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nh sách công việc" sheetId="2" state="visible" r:id="rId2"/>
    <sheet xmlns:r="http://schemas.openxmlformats.org/officeDocument/2006/relationships" name="Thống kê"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333333"/>
      <sz val="20"/>
    </font>
    <font>
      <color rgb="00666666"/>
      <sz val="12"/>
    </font>
    <font>
      <b val="1"/>
      <color rgb="000066CC"/>
      <sz val="14"/>
    </font>
    <font>
      <color rgb="00666666"/>
    </font>
    <font>
      <b val="1"/>
      <color rgb="00333333"/>
    </font>
    <font>
      <b val="1"/>
      <color rgb="00FFFFFF"/>
    </font>
    <font>
      <color rgb="000563C1"/>
      <u val="single"/>
    </font>
    <font>
      <b val="1"/>
      <color rgb="00333333"/>
      <sz val="16"/>
    </font>
    <font>
      <b val="1"/>
      <color rgb="000066CC"/>
      <sz val="12"/>
    </font>
  </fonts>
  <fills count="4">
    <fill>
      <patternFill/>
    </fill>
    <fill>
      <patternFill patternType="gray125"/>
    </fill>
    <fill>
      <patternFill patternType="solid">
        <fgColor rgb="00333333"/>
        <bgColor rgb="00333333"/>
      </patternFill>
    </fill>
    <fill>
      <patternFill patternType="solid">
        <fgColor rgb="00F9F9F9"/>
        <bgColor rgb="00F9F9F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center" vertical="center" wrapText="1"/>
    </xf>
    <xf numFmtId="0" fontId="0" fillId="0" borderId="0" applyAlignment="1" pivotButton="0" quotePrefix="0" xfId="0">
      <alignment horizontal="center"/>
    </xf>
    <xf numFmtId="0" fontId="7" fillId="0" borderId="0" pivotButton="0" quotePrefix="0" xfId="0"/>
    <xf numFmtId="0" fontId="0" fillId="3" borderId="0" applyAlignment="1" pivotButton="0" quotePrefix="0" xfId="0">
      <alignment horizontal="center"/>
    </xf>
    <xf numFmtId="0" fontId="0" fillId="3" borderId="0" pivotButton="0" quotePrefix="0" xfId="0"/>
    <xf numFmtId="0" fontId="7" fillId="3" borderId="0" pivotButton="0" quotePrefix="0" xfId="0"/>
    <xf numFmtId="0" fontId="8" fillId="0" borderId="0" applyAlignment="1" pivotButton="0" quotePrefix="0" xfId="0">
      <alignment horizontal="center"/>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12"/>
  <sheetViews>
    <sheetView showGridLines="0" workbookViewId="0">
      <selection activeCell="A1" sqref="A1"/>
    </sheetView>
  </sheetViews>
  <sheetFormatPr baseColWidth="8" defaultRowHeight="15"/>
  <cols>
    <col width="3" customWidth="1" min="1" max="1"/>
    <col width="25" customWidth="1" min="2" max="2"/>
    <col width="5" customWidth="1" min="3" max="3"/>
    <col width="35" customWidth="1" min="4" max="4"/>
  </cols>
  <sheetData>
    <row r="2" ht="35" customHeight="1">
      <c r="B2" s="1" t="inlineStr">
        <is>
          <t>BÁO CÁO THÔNG TIN TUYỂN DỤNG VIETNAMWORKS</t>
        </is>
      </c>
    </row>
    <row r="4">
      <c r="B4" s="2" t="inlineStr">
        <is>
          <t>Dữ liệu được thu thập từ VietnamWorks.com</t>
        </is>
      </c>
    </row>
    <row r="7">
      <c r="B7" s="3" t="inlineStr">
        <is>
          <t>TỔNG QUAN</t>
        </is>
      </c>
    </row>
    <row r="9">
      <c r="B9" s="4" t="inlineStr">
        <is>
          <t>Tổng số công việc</t>
        </is>
      </c>
      <c r="D9" s="5" t="n">
        <v>12400</v>
      </c>
    </row>
    <row r="10">
      <c r="B10" s="4" t="inlineStr">
        <is>
          <t>Số công ty</t>
        </is>
      </c>
      <c r="D10" s="5" t="n">
        <v>4550</v>
      </c>
    </row>
    <row r="11">
      <c r="B11" s="4" t="inlineStr">
        <is>
          <t>Số địa điểm</t>
        </is>
      </c>
      <c r="D11" s="5" t="n">
        <v>593</v>
      </c>
    </row>
    <row r="12">
      <c r="B12" s="4" t="inlineStr">
        <is>
          <t>Ngày cập nhật</t>
        </is>
      </c>
      <c r="D12" s="5" t="inlineStr">
        <is>
          <t>17/03/2026</t>
        </is>
      </c>
    </row>
  </sheetData>
  <mergeCells count="2">
    <mergeCell ref="B2:G2"/>
    <mergeCell ref="B4:G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O12402"/>
  <sheetViews>
    <sheetView showGridLines="0" workbookViewId="0">
      <selection activeCell="A1" sqref="A1"/>
    </sheetView>
  </sheetViews>
  <sheetFormatPr baseColWidth="8" defaultRowHeight="15"/>
  <cols>
    <col width="3" customWidth="1" min="1" max="1"/>
    <col width="6" customWidth="1" min="2" max="2"/>
    <col width="40" customWidth="1" min="3" max="3"/>
    <col width="30" customWidth="1" min="4" max="4"/>
    <col width="15" customWidth="1" min="5" max="5"/>
    <col width="18" customWidth="1" min="6" max="6"/>
    <col width="12" customWidth="1" min="7" max="7"/>
    <col width="14" customWidth="1" min="8" max="8"/>
    <col width="14" customWidth="1" min="9" max="9"/>
    <col width="14" customWidth="1" min="10" max="10"/>
    <col width="25" customWidth="1" min="11" max="11"/>
    <col width="30" customWidth="1" min="12" max="12"/>
    <col width="30" customWidth="1" min="13" max="13"/>
    <col width="18" customWidth="1" min="14" max="14"/>
  </cols>
  <sheetData>
    <row r="2" ht="30" customHeight="1">
      <c r="B2" s="6" t="inlineStr">
        <is>
          <t>STT</t>
        </is>
      </c>
      <c r="C2" s="6" t="inlineStr">
        <is>
          <t>Tiêu đề công việc</t>
        </is>
      </c>
      <c r="D2" s="6" t="inlineStr">
        <is>
          <t>Công ty</t>
        </is>
      </c>
      <c r="E2" s="6" t="inlineStr">
        <is>
          <t>Mức lương</t>
        </is>
      </c>
      <c r="F2" s="6" t="inlineStr">
        <is>
          <t>Địa điểm</t>
        </is>
      </c>
      <c r="G2" s="6" t="inlineStr">
        <is>
          <t>Cấp bậc</t>
        </is>
      </c>
      <c r="H2" s="6" t="inlineStr">
        <is>
          <t>Ngày đăng</t>
        </is>
      </c>
      <c r="I2" s="6" t="inlineStr">
        <is>
          <t>Ngày hết hạn</t>
        </is>
      </c>
      <c r="J2" s="6" t="inlineStr">
        <is>
          <t>Ngày cập nhật</t>
        </is>
      </c>
      <c r="K2" s="6" t="inlineStr">
        <is>
          <t>Ngành hoạt động</t>
        </is>
      </c>
      <c r="L2" s="6" t="inlineStr">
        <is>
          <t>Kỹ năng</t>
        </is>
      </c>
      <c r="M2" s="6" t="inlineStr">
        <is>
          <t>Phúc lợi</t>
        </is>
      </c>
      <c r="N2" s="6" t="inlineStr">
        <is>
          <t>Link</t>
        </is>
      </c>
    </row>
    <row r="3">
      <c r="B3" s="7" t="n">
        <v>1</v>
      </c>
      <c r="C3" t="inlineStr">
        <is>
          <t>MEP DESIGN MANAGER</t>
        </is>
      </c>
      <c r="D3" t="inlineStr">
        <is>
          <t>Công Ty TNHH Phát Triển Nam Hội An</t>
        </is>
      </c>
      <c r="E3" t="inlineStr">
        <is>
          <t>Thương lượng</t>
        </is>
      </c>
      <c r="F3" t="inlineStr">
        <is>
          <t>Đà Nẵng</t>
        </is>
      </c>
      <c r="G3" t="inlineStr">
        <is>
          <t>Trưởng phòng</t>
        </is>
      </c>
      <c r="H3" t="inlineStr">
        <is>
          <t>31/01/2026</t>
        </is>
      </c>
      <c r="I3" t="inlineStr">
        <is>
          <t>17/03/2026</t>
        </is>
      </c>
      <c r="J3" t="inlineStr">
        <is>
          <t>17/03/2026</t>
        </is>
      </c>
      <c r="K3" t="inlineStr">
        <is>
          <t>N/A</t>
        </is>
      </c>
      <c r="L3" t="inlineStr">
        <is>
          <t>Electrical Systems, Fire Protection Systems, HVAC System, Plumbing, MEP Design</t>
        </is>
      </c>
      <c r="M3" t="inlineStr">
        <is>
          <t>Others</t>
        </is>
      </c>
      <c r="N3" s="8">
        <f>HYPERLINK("https://www.vietnamworks.com/mep-design-manager-2008796-jv","Xem chi tiết")</f>
        <v/>
      </c>
    </row>
    <row r="4">
      <c r="B4" s="9" t="n">
        <v>2</v>
      </c>
      <c r="C4" s="10" t="inlineStr">
        <is>
          <t>Vietnam Sales Director</t>
        </is>
      </c>
      <c r="D4" s="10" t="inlineStr">
        <is>
          <t>HUASHENGDA ZIPPER</t>
        </is>
      </c>
      <c r="E4" s="10" t="inlineStr">
        <is>
          <t>$$ 2,900-4,000 /tháng</t>
        </is>
      </c>
      <c r="F4" s="10" t="inlineStr">
        <is>
          <t>Hồ Chí Minh</t>
        </is>
      </c>
      <c r="G4" s="10" t="inlineStr">
        <is>
          <t>Giám Đốc và Cấp Cao Hơn</t>
        </is>
      </c>
      <c r="H4" s="10" t="inlineStr">
        <is>
          <t>31/01/2026</t>
        </is>
      </c>
      <c r="I4" s="10" t="inlineStr">
        <is>
          <t>17/03/2026</t>
        </is>
      </c>
      <c r="J4" s="10" t="inlineStr">
        <is>
          <t>17/03/2026</t>
        </is>
      </c>
      <c r="K4" s="10" t="inlineStr">
        <is>
          <t>N/A</t>
        </is>
      </c>
      <c r="L4" s="10" t="inlineStr">
        <is>
          <t>Marketing Strategy, Business Development, Leadership Skill</t>
        </is>
      </c>
      <c r="M4" s="10" t="inlineStr">
        <is>
          <t>Bonus</t>
        </is>
      </c>
      <c r="N4" s="11">
        <f>HYPERLINK("https://www.vietnamworks.com/vietnam-sales-director--2008776-jv","Xem chi tiết")</f>
        <v/>
      </c>
      <c r="O4" s="10" t="n"/>
    </row>
    <row r="5">
      <c r="B5" s="7" t="n">
        <v>3</v>
      </c>
      <c r="C5" t="inlineStr">
        <is>
          <t>Sales Specialist</t>
        </is>
      </c>
      <c r="D5" t="inlineStr">
        <is>
          <t>HUASHENGDA ZIPPER</t>
        </is>
      </c>
      <c r="E5" t="inlineStr">
        <is>
          <t>$$ 600-900 /tháng</t>
        </is>
      </c>
      <c r="F5" t="inlineStr">
        <is>
          <t>Hà Nội, Hồ Chí Minh</t>
        </is>
      </c>
      <c r="G5" t="inlineStr">
        <is>
          <t>Mới Tốt Nghiệp</t>
        </is>
      </c>
      <c r="H5" t="inlineStr">
        <is>
          <t>31/01/2026</t>
        </is>
      </c>
      <c r="I5" t="inlineStr">
        <is>
          <t>20/03/2026</t>
        </is>
      </c>
      <c r="J5" t="inlineStr">
        <is>
          <t>17/03/2026</t>
        </is>
      </c>
      <c r="K5" t="inlineStr">
        <is>
          <t>N/A</t>
        </is>
      </c>
      <c r="L5" t="inlineStr">
        <is>
          <t>B2B Sales, Customer Service, Business Development</t>
        </is>
      </c>
      <c r="M5" t="inlineStr">
        <is>
          <t>Bonus</t>
        </is>
      </c>
      <c r="N5" s="8">
        <f>HYPERLINK("https://www.vietnamworks.com/sales-specialist--2008781-jv","Xem chi tiết")</f>
        <v/>
      </c>
    </row>
    <row r="6">
      <c r="B6" s="9" t="n">
        <v>4</v>
      </c>
      <c r="C6" s="10" t="inlineStr">
        <is>
          <t>Senior Field Services Engineer- FSE3</t>
        </is>
      </c>
      <c r="D6" s="10" t="inlineStr">
        <is>
          <t>CÔNG TY CỔ PHẦN DỊCH VỤ KỸ THUẬT LND</t>
        </is>
      </c>
      <c r="E6" s="10" t="inlineStr">
        <is>
          <t>Thương lượng</t>
        </is>
      </c>
      <c r="F6" s="10" t="inlineStr">
        <is>
          <t>Hồ Chí Minh</t>
        </is>
      </c>
      <c r="G6" s="10" t="inlineStr">
        <is>
          <t>Nhân viên</t>
        </is>
      </c>
      <c r="H6" s="10" t="inlineStr">
        <is>
          <t>31/01/2026</t>
        </is>
      </c>
      <c r="I6" s="10" t="inlineStr">
        <is>
          <t>17/03/2026</t>
        </is>
      </c>
      <c r="J6" s="10" t="inlineStr">
        <is>
          <t>17/03/2026</t>
        </is>
      </c>
      <c r="K6" s="10" t="inlineStr">
        <is>
          <t>N/A</t>
        </is>
      </c>
      <c r="L6" s="10" t="inlineStr">
        <is>
          <t>N/A</t>
        </is>
      </c>
      <c r="M6" s="10" t="inlineStr">
        <is>
          <t>Bonus, Healthcare Plan, Team Activities, Others</t>
        </is>
      </c>
      <c r="N6" s="11">
        <f>HYPERLINK("https://www.vietnamworks.com/senior-field-services-engineer-fse3-2008782-jv","Xem chi tiết")</f>
        <v/>
      </c>
      <c r="O6" s="10" t="n"/>
    </row>
    <row r="7">
      <c r="B7" s="7" t="n">
        <v>5</v>
      </c>
      <c r="C7" t="inlineStr">
        <is>
          <t>QA Hygienist Technician</t>
        </is>
      </c>
      <c r="D7" t="inlineStr">
        <is>
          <t>Nestlé Vietnam LTD.</t>
        </is>
      </c>
      <c r="E7" t="inlineStr">
        <is>
          <t>Thương lượng</t>
        </is>
      </c>
      <c r="F7" t="inlineStr">
        <is>
          <t>Hưng Yên</t>
        </is>
      </c>
      <c r="G7" t="inlineStr">
        <is>
          <t>Nhân viên</t>
        </is>
      </c>
      <c r="H7" t="inlineStr">
        <is>
          <t>31/01/2026</t>
        </is>
      </c>
      <c r="I7" t="inlineStr">
        <is>
          <t>17/03/2026</t>
        </is>
      </c>
      <c r="J7" t="inlineStr">
        <is>
          <t>17/03/2026</t>
        </is>
      </c>
      <c r="K7" t="inlineStr">
        <is>
          <t>N/A</t>
        </is>
      </c>
      <c r="L7" t="inlineStr">
        <is>
          <t>Microsoft PowerPoint, Microsoft Excel, Report Writing</t>
        </is>
      </c>
      <c r="M7" t="inlineStr">
        <is>
          <t>Bonus, Healthcare Plan, Laptop</t>
        </is>
      </c>
      <c r="N7" s="8">
        <f>HYPERLINK("https://www.vietnamworks.com/qa-hygienist-technician--2008777-jv","Xem chi tiết")</f>
        <v/>
      </c>
    </row>
    <row r="8">
      <c r="B8" s="9" t="n">
        <v>6</v>
      </c>
      <c r="C8" s="10" t="inlineStr">
        <is>
          <t>Investment Specialist (CEO Assistant)</t>
        </is>
      </c>
      <c r="D8" s="10" t="inlineStr">
        <is>
          <t>Nanyang Biologics</t>
        </is>
      </c>
      <c r="E8" s="10" t="inlineStr">
        <is>
          <t>20tr-30tr ₫/tháng</t>
        </is>
      </c>
      <c r="F8" s="10" t="inlineStr">
        <is>
          <t>Hà Nội</t>
        </is>
      </c>
      <c r="G8" s="10" t="inlineStr">
        <is>
          <t>Nhân viên</t>
        </is>
      </c>
      <c r="H8" s="10" t="inlineStr">
        <is>
          <t>22/01/2026</t>
        </is>
      </c>
      <c r="I8" s="10" t="inlineStr">
        <is>
          <t>17/03/2026</t>
        </is>
      </c>
      <c r="J8" s="10" t="inlineStr">
        <is>
          <t>17/03/2026</t>
        </is>
      </c>
      <c r="K8" s="10" t="inlineStr">
        <is>
          <t>N/A</t>
        </is>
      </c>
      <c r="L8" s="10" t="inlineStr">
        <is>
          <t>Data Management, English Language Proficiency, Financial Reporting, Investment Support, Microsoft Excel</t>
        </is>
      </c>
      <c r="M8" s="10" t="inlineStr">
        <is>
          <t>Others</t>
        </is>
      </c>
      <c r="N8" s="11">
        <f>HYPERLINK("https://www.vietnamworks.com/investment-specialist-ceo-assistant-2005432-jv","Xem chi tiết")</f>
        <v/>
      </c>
      <c r="O8" s="10" t="n"/>
    </row>
    <row r="9">
      <c r="B9" s="7" t="n">
        <v>7</v>
      </c>
      <c r="C9" t="inlineStr">
        <is>
          <t>Manager, Energy and Resources Management</t>
        </is>
      </c>
      <c r="D9" t="inlineStr">
        <is>
          <t>Công Ty TNHH Pandora Production Việt Nam</t>
        </is>
      </c>
      <c r="E9" t="inlineStr">
        <is>
          <t>Thương lượng</t>
        </is>
      </c>
      <c r="F9" t="inlineStr">
        <is>
          <t>Bình Dương</t>
        </is>
      </c>
      <c r="G9" t="inlineStr">
        <is>
          <t>Trưởng phòng</t>
        </is>
      </c>
      <c r="H9" t="inlineStr">
        <is>
          <t>31/01/2026</t>
        </is>
      </c>
      <c r="I9" t="inlineStr">
        <is>
          <t>17/03/2026</t>
        </is>
      </c>
      <c r="J9" t="inlineStr">
        <is>
          <t>17/03/2026</t>
        </is>
      </c>
      <c r="K9" t="inlineStr">
        <is>
          <t>N/A</t>
        </is>
      </c>
      <c r="L9" t="inlineStr">
        <is>
          <t>Safety Management, Stakeholder Management, Sustainable Management, Water Engineering, Solar Technologies</t>
        </is>
      </c>
      <c r="M9" t="inlineStr">
        <is>
          <t>Bonus, Healthcare Plan, Transportation</t>
        </is>
      </c>
      <c r="N9" s="8">
        <f>HYPERLINK("https://www.vietnamworks.com/manager-energy-and-resources-management-2008780-jv","Xem chi tiết")</f>
        <v/>
      </c>
    </row>
    <row r="10">
      <c r="B10" s="9" t="n">
        <v>8</v>
      </c>
      <c r="C10" s="10" t="inlineStr">
        <is>
          <t>Kỹ Sư Cơ Sở Hạ Tầng (Fac)</t>
        </is>
      </c>
      <c r="D10" s="10" t="inlineStr">
        <is>
          <t>Công Ty TNHH LITEON Việt Nam</t>
        </is>
      </c>
      <c r="E10" s="10" t="inlineStr">
        <is>
          <t>Thương lượng</t>
        </is>
      </c>
      <c r="F10" s="10" t="inlineStr">
        <is>
          <t>Hải Phòng, Quảng Ninh</t>
        </is>
      </c>
      <c r="G10" s="10" t="inlineStr">
        <is>
          <t>Nhân viên</t>
        </is>
      </c>
      <c r="H10" s="10" t="inlineStr">
        <is>
          <t>31/01/2026</t>
        </is>
      </c>
      <c r="I10" s="10" t="inlineStr">
        <is>
          <t>17/03/2026</t>
        </is>
      </c>
      <c r="J10" s="10" t="inlineStr">
        <is>
          <t>17/03/2026</t>
        </is>
      </c>
      <c r="K10" s="10" t="inlineStr">
        <is>
          <t>N/A</t>
        </is>
      </c>
      <c r="L10" s="10" t="inlineStr">
        <is>
          <t>Kỹ Thuật Cơ Sở Hạ Tầng, Facility, Bảo Trì, Sửa Chữa Thiết Bị, O&amp;M</t>
        </is>
      </c>
      <c r="M10" s="10" t="inlineStr">
        <is>
          <t>Healthcare Plan, Team Activities, Canteen</t>
        </is>
      </c>
      <c r="N10" s="11">
        <f>HYPERLINK("https://www.vietnamworks.com/ky-su-co-so-ha-tang-fac-2008793-jv","Xem chi tiết")</f>
        <v/>
      </c>
      <c r="O10" s="10" t="n"/>
    </row>
    <row r="11">
      <c r="B11" s="7" t="n">
        <v>9</v>
      </c>
      <c r="C11" t="inlineStr">
        <is>
          <t>Senior Specialist - Consolidated Finance Accounting</t>
        </is>
      </c>
      <c r="D11" t="inlineStr">
        <is>
          <t>VINFAST TRADING AND PRODUCTION JSC</t>
        </is>
      </c>
      <c r="E11" t="inlineStr">
        <is>
          <t>Thương lượng</t>
        </is>
      </c>
      <c r="F11" t="inlineStr">
        <is>
          <t>Hà Nội</t>
        </is>
      </c>
      <c r="G11" t="inlineStr">
        <is>
          <t>Nhân viên</t>
        </is>
      </c>
      <c r="H11" t="inlineStr">
        <is>
          <t>31/01/2026</t>
        </is>
      </c>
      <c r="I11" t="inlineStr">
        <is>
          <t>17/03/2026</t>
        </is>
      </c>
      <c r="J11" t="inlineStr">
        <is>
          <t>17/03/2026</t>
        </is>
      </c>
      <c r="K11" t="inlineStr">
        <is>
          <t>N/A</t>
        </is>
      </c>
      <c r="L11" t="inlineStr">
        <is>
          <t>English Language Proficiency, Financial Statement, IFRS, US GAAP, VAS Standards</t>
        </is>
      </c>
      <c r="M11" t="inlineStr">
        <is>
          <t>Bonus, Healthcare Plan, Others</t>
        </is>
      </c>
      <c r="N11" s="8">
        <f>HYPERLINK("https://www.vietnamworks.com/senior-specialist-consolidated-finance-accounting-2008801-jv","Xem chi tiết")</f>
        <v/>
      </c>
    </row>
    <row r="12">
      <c r="B12" s="9" t="n">
        <v>10</v>
      </c>
      <c r="C12" s="10" t="inlineStr">
        <is>
          <t>Phó Phòng Phát Triển Kinh Doanh (Phỏng Vấn Đi Làm Ngay)</t>
        </is>
      </c>
      <c r="D12" s="10" t="inlineStr">
        <is>
          <t>Công Ty Cổ Phần Đầu Tư VCN</t>
        </is>
      </c>
      <c r="E12" s="10" t="inlineStr">
        <is>
          <t>$$ 500-1,000 /tháng</t>
        </is>
      </c>
      <c r="F12" s="10" t="inlineStr">
        <is>
          <t>Khánh Hòa</t>
        </is>
      </c>
      <c r="G12" s="10" t="inlineStr">
        <is>
          <t>Trưởng phòng</t>
        </is>
      </c>
      <c r="H12" s="10" t="inlineStr">
        <is>
          <t>31/01/2026</t>
        </is>
      </c>
      <c r="I12" s="10" t="inlineStr">
        <is>
          <t>17/03/2026</t>
        </is>
      </c>
      <c r="J12" s="10" t="inlineStr">
        <is>
          <t>17/03/2026</t>
        </is>
      </c>
      <c r="K12" s="10" t="inlineStr">
        <is>
          <t>N/A</t>
        </is>
      </c>
      <c r="L12" s="10" t="inlineStr">
        <is>
          <t>Kinh Doanh Bất Động Sản, Quản Trị Doanh Nghiệp, Marketing Tổng Hợp, Tiếng Anh Thành Thạo, Excel</t>
        </is>
      </c>
      <c r="M12" s="10" t="inlineStr">
        <is>
          <t>Bonus, Training, Travel Opportunities</t>
        </is>
      </c>
      <c r="N12" s="11">
        <f>HYPERLINK("https://www.vietnamworks.com/pho-phong-phat-trien-kinh-doanh-phong-van-di-lam-ngay-2008791-jv","Xem chi tiết")</f>
        <v/>
      </c>
      <c r="O12" s="10" t="n"/>
    </row>
    <row r="13">
      <c r="B13" s="7" t="n">
        <v>11</v>
      </c>
      <c r="C13" t="inlineStr">
        <is>
          <t>HR Generalist (Good English, 3+ Years of Experience, and Payroll Expertise)</t>
        </is>
      </c>
      <c r="D13" t="inlineStr">
        <is>
          <t>MiTek Việt Nam</t>
        </is>
      </c>
      <c r="E13" t="inlineStr">
        <is>
          <t>Thương lượng</t>
        </is>
      </c>
      <c r="F13" t="inlineStr">
        <is>
          <t>Hồ Chí Minh</t>
        </is>
      </c>
      <c r="G13" t="inlineStr">
        <is>
          <t>Nhân viên</t>
        </is>
      </c>
      <c r="H13" t="inlineStr">
        <is>
          <t>31/01/2026</t>
        </is>
      </c>
      <c r="I13" t="inlineStr">
        <is>
          <t>17/03/2026</t>
        </is>
      </c>
      <c r="J13" t="inlineStr">
        <is>
          <t>17/03/2026</t>
        </is>
      </c>
      <c r="K13" t="inlineStr">
        <is>
          <t>N/A</t>
        </is>
      </c>
      <c r="L13" t="inlineStr">
        <is>
          <t>Human Resources, English, C&amp;B, Microsoft Excel, HR Administration</t>
        </is>
      </c>
      <c r="M13" t="inlineStr">
        <is>
          <t>Bonus, Healthcare Plan</t>
        </is>
      </c>
      <c r="N13" s="8">
        <f>HYPERLINK("https://www.vietnamworks.com/hr-generalist-good-english-3-years-of-experience-and-payroll-expertise--2008815-jv","Xem chi tiết")</f>
        <v/>
      </c>
    </row>
    <row r="14">
      <c r="B14" s="9" t="n">
        <v>12</v>
      </c>
      <c r="C14" s="10" t="inlineStr">
        <is>
          <t>Nhân Viên Bảo Trì Bảo Dưỡng</t>
        </is>
      </c>
      <c r="D14" s="10" t="inlineStr">
        <is>
          <t>Panasonic Appliances Vietnam</t>
        </is>
      </c>
      <c r="E14" s="10" t="inlineStr">
        <is>
          <t>Thương lượng</t>
        </is>
      </c>
      <c r="F14" s="10" t="inlineStr">
        <is>
          <t>Hà Nội</t>
        </is>
      </c>
      <c r="G14" s="10" t="inlineStr">
        <is>
          <t>Nhân viên</t>
        </is>
      </c>
      <c r="H14" s="10" t="inlineStr">
        <is>
          <t>01/02/2026</t>
        </is>
      </c>
      <c r="I14" s="10" t="inlineStr">
        <is>
          <t>18/03/2026</t>
        </is>
      </c>
      <c r="J14" s="10" t="inlineStr">
        <is>
          <t>17/03/2026</t>
        </is>
      </c>
      <c r="K14" s="10" t="inlineStr">
        <is>
          <t>N/A</t>
        </is>
      </c>
      <c r="L14" s="10" t="inlineStr">
        <is>
          <t>Bảo Dưỡng Máy Móc, Bảo Trì Khuôn, Sửa Chữa, Mold, Điện</t>
        </is>
      </c>
      <c r="M14" s="10" t="inlineStr">
        <is>
          <t>Bonus, Healthcare Plan, Transportation</t>
        </is>
      </c>
      <c r="N14" s="11">
        <f>HYPERLINK("https://www.vietnamworks.com/nhan-vien-bao-tri-bao-duong--2008821-jv","Xem chi tiết")</f>
        <v/>
      </c>
      <c r="O14" s="10" t="n"/>
    </row>
    <row r="15">
      <c r="B15" s="7" t="n">
        <v>13</v>
      </c>
      <c r="C15" t="inlineStr">
        <is>
          <t>Assistant Site Manager (C&amp;S)</t>
        </is>
      </c>
      <c r="D15" t="inlineStr">
        <is>
          <t>CapitaLand Development (Vietnam)</t>
        </is>
      </c>
      <c r="E15" t="inlineStr">
        <is>
          <t>Thương lượng</t>
        </is>
      </c>
      <c r="F15" t="inlineStr">
        <is>
          <t>Hà Nội</t>
        </is>
      </c>
      <c r="G15" t="inlineStr">
        <is>
          <t>Nhân viên</t>
        </is>
      </c>
      <c r="H15" t="inlineStr">
        <is>
          <t>31/01/2026</t>
        </is>
      </c>
      <c r="I15" t="inlineStr">
        <is>
          <t>17/03/2026</t>
        </is>
      </c>
      <c r="J15" t="inlineStr">
        <is>
          <t>17/03/2026</t>
        </is>
      </c>
      <c r="K15" t="inlineStr">
        <is>
          <t>N/A</t>
        </is>
      </c>
      <c r="L15" t="inlineStr">
        <is>
          <t>Project Management, Site Construction, Structural Engineering, Civil Engineering</t>
        </is>
      </c>
      <c r="M15" t="inlineStr">
        <is>
          <t>Bonus, Healthcare Plan, Paid Leave</t>
        </is>
      </c>
      <c r="N15" s="8">
        <f>HYPERLINK("https://www.vietnamworks.com/assistant-site-manager-c-s--2008803-jv","Xem chi tiết")</f>
        <v/>
      </c>
    </row>
    <row r="16">
      <c r="B16" s="9" t="n">
        <v>14</v>
      </c>
      <c r="C16" s="10" t="inlineStr">
        <is>
          <t>Investment Manager (Solar Farm; Wind Farm)</t>
        </is>
      </c>
      <c r="D16" s="10" t="inlineStr">
        <is>
          <t>Vietnamworks' Client</t>
        </is>
      </c>
      <c r="E16" s="10" t="inlineStr">
        <is>
          <t>$$ 3,500-5,600 /tháng</t>
        </is>
      </c>
      <c r="F16" s="10" t="inlineStr">
        <is>
          <t>Hồ Chí Minh</t>
        </is>
      </c>
      <c r="G16" s="10" t="inlineStr">
        <is>
          <t>Trưởng phòng</t>
        </is>
      </c>
      <c r="H16" s="10" t="inlineStr">
        <is>
          <t>31/01/2026</t>
        </is>
      </c>
      <c r="I16" s="10" t="inlineStr">
        <is>
          <t>17/03/2026</t>
        </is>
      </c>
      <c r="J16" s="10" t="inlineStr">
        <is>
          <t>17/03/2026</t>
        </is>
      </c>
      <c r="K16" s="10" t="inlineStr">
        <is>
          <t>N/A</t>
        </is>
      </c>
      <c r="L16" s="10" t="inlineStr">
        <is>
          <t>Project Sales, Funding, Solar Power Systems, Renewable Energy Expertise</t>
        </is>
      </c>
      <c r="M16" s="10" t="inlineStr">
        <is>
          <t>Bonus</t>
        </is>
      </c>
      <c r="N16" s="11">
        <f>HYPERLINK("https://www.vietnamworks.com/investment-manager-solar-farm-wind-farm-2008794-jv","Xem chi tiết")</f>
        <v/>
      </c>
      <c r="O16" s="10" t="n"/>
    </row>
    <row r="17">
      <c r="B17" s="7" t="n">
        <v>15</v>
      </c>
      <c r="C17" t="inlineStr">
        <is>
          <t>General Admin - Nhân Viên Hành Chính Tổng Hợp</t>
        </is>
      </c>
      <c r="D17" t="inlineStr">
        <is>
          <t>Yamaha Motor Vietnam</t>
        </is>
      </c>
      <c r="E17" t="inlineStr">
        <is>
          <t>Thương lượng</t>
        </is>
      </c>
      <c r="F17" t="inlineStr">
        <is>
          <t>Hồ Chí Minh</t>
        </is>
      </c>
      <c r="G17" t="inlineStr">
        <is>
          <t>Nhân viên</t>
        </is>
      </c>
      <c r="H17" t="inlineStr">
        <is>
          <t>29/01/2026</t>
        </is>
      </c>
      <c r="I17" t="inlineStr">
        <is>
          <t>17/03/2026</t>
        </is>
      </c>
      <c r="J17" t="inlineStr">
        <is>
          <t>17/03/2026</t>
        </is>
      </c>
      <c r="K17" t="inlineStr">
        <is>
          <t>N/A</t>
        </is>
      </c>
      <c r="L17" t="inlineStr">
        <is>
          <t>Hành Chính Tổng Hợp, Hành Chính, Administration, Kế toán, Kế Toán Tổng Hợp</t>
        </is>
      </c>
      <c r="M17" t="inlineStr">
        <is>
          <t>Bonus, Training, Team Activities</t>
        </is>
      </c>
      <c r="N17" s="8">
        <f>HYPERLINK("https://www.vietnamworks.com/general-admin-nhan-vien-hanh-chinh-tong-hop-2007640-jv","Xem chi tiết")</f>
        <v/>
      </c>
    </row>
    <row r="18">
      <c r="B18" s="9" t="n">
        <v>16</v>
      </c>
      <c r="C18" s="10" t="inlineStr">
        <is>
          <t>Production Supervisor (Molding)</t>
        </is>
      </c>
      <c r="D18" s="10" t="inlineStr">
        <is>
          <t>Molex Vietnam Co., Ltd.</t>
        </is>
      </c>
      <c r="E18" s="10" t="inlineStr">
        <is>
          <t>Thương lượng</t>
        </is>
      </c>
      <c r="F18" s="10" t="inlineStr">
        <is>
          <t>Hà Nội, Hưng Yên</t>
        </is>
      </c>
      <c r="G18" s="10" t="inlineStr">
        <is>
          <t>Trưởng phòng</t>
        </is>
      </c>
      <c r="H18" s="10" t="inlineStr">
        <is>
          <t>31/01/2026</t>
        </is>
      </c>
      <c r="I18" s="10" t="inlineStr">
        <is>
          <t>17/03/2026</t>
        </is>
      </c>
      <c r="J18" s="10" t="inlineStr">
        <is>
          <t>17/03/2026</t>
        </is>
      </c>
      <c r="K18" s="10" t="inlineStr">
        <is>
          <t>N/A</t>
        </is>
      </c>
      <c r="L18" s="10" t="inlineStr">
        <is>
          <t>Basic English, Leadership Skills, Molding, Operation System, Problem-solving</t>
        </is>
      </c>
      <c r="M18" s="10" t="inlineStr">
        <is>
          <t>Healthcare Plan, Paid Leave, Team Activities, Transportation, Others</t>
        </is>
      </c>
      <c r="N18" s="11">
        <f>HYPERLINK("https://www.vietnamworks.com/production-supervisor-molding-2008811-jv","Xem chi tiết")</f>
        <v/>
      </c>
      <c r="O18" s="10" t="n"/>
    </row>
    <row r="19">
      <c r="B19" s="7" t="n">
        <v>17</v>
      </c>
      <c r="C19" t="inlineStr">
        <is>
          <t>Chief Accountant (Kế Toán Trưởng)</t>
        </is>
      </c>
      <c r="D19" t="inlineStr">
        <is>
          <t>Garden Estate Manufacturing</t>
        </is>
      </c>
      <c r="E19" t="inlineStr">
        <is>
          <t>$$ 1,000-1,200 /tháng</t>
        </is>
      </c>
      <c r="F19" t="inlineStr">
        <is>
          <t>Bình Dương</t>
        </is>
      </c>
      <c r="G19" t="inlineStr">
        <is>
          <t>Giám Đốc và Cấp Cao Hơn</t>
        </is>
      </c>
      <c r="H19" t="inlineStr">
        <is>
          <t>31/01/2026</t>
        </is>
      </c>
      <c r="I19" t="inlineStr">
        <is>
          <t>17/03/2026</t>
        </is>
      </c>
      <c r="J19" t="inlineStr">
        <is>
          <t>17/03/2026</t>
        </is>
      </c>
      <c r="K19" t="inlineStr">
        <is>
          <t>N/A</t>
        </is>
      </c>
      <c r="L19" t="inlineStr">
        <is>
          <t>Accounting Software, Analytical Skills, Financial Law, General Accounting Principals, Leadership</t>
        </is>
      </c>
      <c r="M19" t="inlineStr">
        <is>
          <t>Bonus, Healthcare Plan, Training, Others</t>
        </is>
      </c>
      <c r="N19" s="8">
        <f>HYPERLINK("https://www.vietnamworks.com/chief-accountant-ke-toan-truong-2008778-jv","Xem chi tiết")</f>
        <v/>
      </c>
    </row>
    <row r="20">
      <c r="B20" s="9" t="n">
        <v>18</v>
      </c>
      <c r="C20" s="10" t="inlineStr">
        <is>
          <t>Project Sales Executive/ Technical Sales (Construction Chemical)</t>
        </is>
      </c>
      <c r="D20" s="10" t="inlineStr">
        <is>
          <t>Công ty TNHH công nghiệp Vĩnh Tường miền bắc Việt Nam</t>
        </is>
      </c>
      <c r="E20" s="10" t="inlineStr">
        <is>
          <t>Thương lượng</t>
        </is>
      </c>
      <c r="F20" s="10" t="inlineStr">
        <is>
          <t>Hồ Chí Minh</t>
        </is>
      </c>
      <c r="G20" s="10" t="inlineStr">
        <is>
          <t>Nhân viên</t>
        </is>
      </c>
      <c r="H20" s="10" t="inlineStr">
        <is>
          <t>01/02/2026</t>
        </is>
      </c>
      <c r="I20" s="10" t="inlineStr">
        <is>
          <t>18/03/2026</t>
        </is>
      </c>
      <c r="J20" s="10" t="inlineStr">
        <is>
          <t>17/03/2026</t>
        </is>
      </c>
      <c r="K20" s="10" t="inlineStr">
        <is>
          <t>N/A</t>
        </is>
      </c>
      <c r="L20" s="10" t="inlineStr">
        <is>
          <t>Sales Engineering, Sales Kỹ Thuật, Civil Engineering</t>
        </is>
      </c>
      <c r="M20" s="10" t="inlineStr">
        <is>
          <t>Bonus, Healthcare Plan, Training</t>
        </is>
      </c>
      <c r="N20" s="11">
        <f>HYPERLINK("https://www.vietnamworks.com/project-sales-executive-technical-sales-construction-chemical-2008820-jv","Xem chi tiết")</f>
        <v/>
      </c>
      <c r="O20" s="10" t="n"/>
    </row>
    <row r="21">
      <c r="B21" s="7" t="n">
        <v>19</v>
      </c>
      <c r="C21" t="inlineStr">
        <is>
          <t>Nhân Viên Pháp Chế</t>
        </is>
      </c>
      <c r="D21" t="inlineStr">
        <is>
          <t>Công Ty TNHH Cảng Quốc Tế Tân Cảng - Cái Mép</t>
        </is>
      </c>
      <c r="E21" t="inlineStr">
        <is>
          <t>$$ 500-1,000 /tháng</t>
        </is>
      </c>
      <c r="F21" t="inlineStr">
        <is>
          <t>Bà Rịa - Vũng Tàu</t>
        </is>
      </c>
      <c r="G21" t="inlineStr">
        <is>
          <t>Nhân viên</t>
        </is>
      </c>
      <c r="H21" t="inlineStr">
        <is>
          <t>31/01/2026</t>
        </is>
      </c>
      <c r="I21" t="inlineStr">
        <is>
          <t>17/03/2026</t>
        </is>
      </c>
      <c r="J21" t="inlineStr">
        <is>
          <t>17/03/2026</t>
        </is>
      </c>
      <c r="K21" t="inlineStr">
        <is>
          <t>N/A</t>
        </is>
      </c>
      <c r="L21" t="inlineStr">
        <is>
          <t>Pháp Lý, Pháp Chế, Tư Vấn Pháp Lý, Legal, Soạn Thảo Văn Bản</t>
        </is>
      </c>
      <c r="M21" t="inlineStr">
        <is>
          <t>Bonus, Healthcare Plan, Training</t>
        </is>
      </c>
      <c r="N21" s="8">
        <f>HYPERLINK("https://www.vietnamworks.com/nhan-vien-phap-che--2008798-jv","Xem chi tiết")</f>
        <v/>
      </c>
    </row>
    <row r="22">
      <c r="B22" s="9" t="n">
        <v>20</v>
      </c>
      <c r="C22" s="10" t="inlineStr">
        <is>
          <t>Nhân Viên Kỹ Thuật (Thiết Bị Thẩm Mỹ) - Không Yêu Cầu Kinh Nghiệm</t>
        </is>
      </c>
      <c r="D22" s="10" t="inlineStr">
        <is>
          <t>G&amp;BVINA.,JSC</t>
        </is>
      </c>
      <c r="E22" s="10" t="inlineStr">
        <is>
          <t>Từ $ 400 /tháng</t>
        </is>
      </c>
      <c r="F22" s="10" t="inlineStr">
        <is>
          <t>Hà Nội</t>
        </is>
      </c>
      <c r="G22" s="10" t="inlineStr">
        <is>
          <t>Nhân viên</t>
        </is>
      </c>
      <c r="H22" s="10" t="inlineStr">
        <is>
          <t>31/01/2026</t>
        </is>
      </c>
      <c r="I22" s="10" t="inlineStr">
        <is>
          <t>17/03/2026</t>
        </is>
      </c>
      <c r="J22" s="10" t="inlineStr">
        <is>
          <t>17/03/2026</t>
        </is>
      </c>
      <c r="K22" s="10" t="inlineStr">
        <is>
          <t>N/A</t>
        </is>
      </c>
      <c r="L22" s="10" t="inlineStr">
        <is>
          <t>Kỹ Thuật Thiết Bị, Kĩ Thuật Lắp Đặt</t>
        </is>
      </c>
      <c r="M22" s="10" t="inlineStr">
        <is>
          <t>Bonus, Healthcare Plan, Awards</t>
        </is>
      </c>
      <c r="N22" s="11">
        <f>HYPERLINK("https://www.vietnamworks.com/nhan-vien-ky-thuat-thiet-bi-tham-my-khong-yeu-cau-kinh-nghiem--2008809-jv","Xem chi tiết")</f>
        <v/>
      </c>
      <c r="O22" s="10" t="n"/>
    </row>
    <row r="23">
      <c r="B23" s="7" t="n">
        <v>21</v>
      </c>
      <c r="C23" t="inlineStr">
        <is>
          <t>Trưởng Phòng Phát Triển Kinh Doanh</t>
        </is>
      </c>
      <c r="D23" t="inlineStr">
        <is>
          <t>CÔNG TY TNHH SX BAO BÌ NAM VIỆT</t>
        </is>
      </c>
      <c r="E23" t="inlineStr">
        <is>
          <t>Thương lượng</t>
        </is>
      </c>
      <c r="F23" t="inlineStr">
        <is>
          <t>Hồ Chí Minh</t>
        </is>
      </c>
      <c r="G23" t="inlineStr">
        <is>
          <t>Nhân viên</t>
        </is>
      </c>
      <c r="H23" t="inlineStr">
        <is>
          <t>30/09/2025</t>
        </is>
      </c>
      <c r="I23" t="inlineStr">
        <is>
          <t>19/03/2026</t>
        </is>
      </c>
      <c r="J23" t="inlineStr">
        <is>
          <t>17/03/2026</t>
        </is>
      </c>
      <c r="K23" t="inlineStr">
        <is>
          <t>N/A</t>
        </is>
      </c>
      <c r="L23" t="inlineStr">
        <is>
          <t>Lean, Six Sigma, Power BI, Cải Tiến Sản Phẩm, Continuous Improvement (CI)</t>
        </is>
      </c>
      <c r="M23" t="inlineStr">
        <is>
          <t>Bonus, Healthcare Plan, Others</t>
        </is>
      </c>
      <c r="N23" s="8">
        <f>HYPERLINK("https://www.vietnamworks.com/truong-phong-phat-trien-kinh-doanh-1964296-jv","Xem chi tiết")</f>
        <v/>
      </c>
    </row>
    <row r="24">
      <c r="B24" s="9" t="n">
        <v>22</v>
      </c>
      <c r="C24" s="10" t="inlineStr">
        <is>
          <t>Ceramic Technician</t>
        </is>
      </c>
      <c r="D24" s="10" t="inlineStr">
        <is>
          <t>FRITTA VIET NAM CO LTD</t>
        </is>
      </c>
      <c r="E24" s="10" t="inlineStr">
        <is>
          <t>Thương lượng</t>
        </is>
      </c>
      <c r="F24" s="10" t="inlineStr">
        <is>
          <t>Bà Rịa - Vũng Tàu</t>
        </is>
      </c>
      <c r="G24" s="10" t="inlineStr">
        <is>
          <t>Nhân viên</t>
        </is>
      </c>
      <c r="H24" s="10" t="inlineStr">
        <is>
          <t>22/12/2025</t>
        </is>
      </c>
      <c r="I24" s="10" t="inlineStr">
        <is>
          <t>19/03/2026</t>
        </is>
      </c>
      <c r="J24" s="10" t="inlineStr">
        <is>
          <t>17/03/2026</t>
        </is>
      </c>
      <c r="K24" s="10" t="inlineStr">
        <is>
          <t>N/A</t>
        </is>
      </c>
      <c r="L24" s="10" t="inlineStr">
        <is>
          <t>Equipment Testing, Customer Support, Problem Solving, Relationship Building, Teamwork</t>
        </is>
      </c>
      <c r="M24" s="10" t="inlineStr">
        <is>
          <t>Bonus, Healthcare Plan, Training, Transportation, Canteen</t>
        </is>
      </c>
      <c r="N24" s="11">
        <f>HYPERLINK("https://www.vietnamworks.com/ceramic-technician--1995391-jv","Xem chi tiết")</f>
        <v/>
      </c>
      <c r="O24" s="10" t="n"/>
    </row>
    <row r="25">
      <c r="B25" s="7" t="n">
        <v>23</v>
      </c>
      <c r="C25" t="inlineStr">
        <is>
          <t>Quality Manager (Germany Company – Located in Nam Dinh Vu Industrial Park – Haiphong)</t>
        </is>
      </c>
      <c r="D25" t="inlineStr">
        <is>
          <t>RRC Power Solutions</t>
        </is>
      </c>
      <c r="E25" t="inlineStr">
        <is>
          <t>Thương lượng</t>
        </is>
      </c>
      <c r="F25" t="inlineStr">
        <is>
          <t>Hải Phòng</t>
        </is>
      </c>
      <c r="G25" t="inlineStr">
        <is>
          <t>Trưởng phòng</t>
        </is>
      </c>
      <c r="H25" t="inlineStr">
        <is>
          <t>23/12/2025</t>
        </is>
      </c>
      <c r="I25" t="inlineStr">
        <is>
          <t>19/03/2026</t>
        </is>
      </c>
      <c r="J25" t="inlineStr">
        <is>
          <t>17/03/2026</t>
        </is>
      </c>
      <c r="K25" t="inlineStr">
        <is>
          <t>N/A</t>
        </is>
      </c>
      <c r="L25" t="inlineStr">
        <is>
          <t>English, Quality Management, ISO 9001, Quality Control, MS Office</t>
        </is>
      </c>
      <c r="M25" t="inlineStr">
        <is>
          <t>Healthcare Plan, Team Activities, Others</t>
        </is>
      </c>
      <c r="N25" s="8">
        <f>HYPERLINK("https://www.vietnamworks.com/quality-manager-germany-company-located-in-nam-dinh-vu-industrial-park-haiphong-1995627-jv","Xem chi tiết")</f>
        <v/>
      </c>
    </row>
    <row r="26">
      <c r="B26" s="9" t="n">
        <v>24</v>
      </c>
      <c r="C26" s="10" t="inlineStr">
        <is>
          <t>HSE Manager</t>
        </is>
      </c>
      <c r="D26" s="10" t="inlineStr">
        <is>
          <t>Vietnamworks' Client</t>
        </is>
      </c>
      <c r="E26" s="10" t="inlineStr">
        <is>
          <t>Thương lượng</t>
        </is>
      </c>
      <c r="F26" s="10" t="inlineStr">
        <is>
          <t>Hồ Chí Minh</t>
        </is>
      </c>
      <c r="G26" s="10" t="inlineStr">
        <is>
          <t>Trưởng phòng</t>
        </is>
      </c>
      <c r="H26" s="10" t="inlineStr">
        <is>
          <t>01/02/2026</t>
        </is>
      </c>
      <c r="I26" s="10" t="inlineStr">
        <is>
          <t>18/03/2026</t>
        </is>
      </c>
      <c r="J26" s="10" t="inlineStr">
        <is>
          <t>17/03/2026</t>
        </is>
      </c>
      <c r="K26" s="10" t="inlineStr">
        <is>
          <t>N/A</t>
        </is>
      </c>
      <c r="L26" s="10" t="inlineStr">
        <is>
          <t>Environmental Management, HSE Management, Leadership, Policy Development, Risk Assessment</t>
        </is>
      </c>
      <c r="M26" s="10" t="inlineStr">
        <is>
          <t>Travel Opportunities, Others</t>
        </is>
      </c>
      <c r="N26" s="11">
        <f>HYPERLINK("https://www.vietnamworks.com/hse-manager-2008822-jv","Xem chi tiết")</f>
        <v/>
      </c>
      <c r="O26" s="10" t="n"/>
    </row>
    <row r="27">
      <c r="B27" s="7" t="n">
        <v>25</v>
      </c>
      <c r="C27" t="inlineStr">
        <is>
          <t>Trưởng Phòng Quản Lý Thiết Kế Kiến Trúc Nội Thất và Kiến Trúc Cảnh Quan</t>
        </is>
      </c>
      <c r="D27" t="inlineStr">
        <is>
          <t>Công Ty Cổ Phần Đầu Tư DIC</t>
        </is>
      </c>
      <c r="E27" t="inlineStr">
        <is>
          <t>25tr-45tr ₫/tháng</t>
        </is>
      </c>
      <c r="F27" t="inlineStr">
        <is>
          <t>Hà Nội</t>
        </is>
      </c>
      <c r="G27" t="inlineStr">
        <is>
          <t>Trưởng phòng</t>
        </is>
      </c>
      <c r="H27" t="inlineStr">
        <is>
          <t>25/12/2025</t>
        </is>
      </c>
      <c r="I27" t="inlineStr">
        <is>
          <t>19/03/2026</t>
        </is>
      </c>
      <c r="J27" t="inlineStr">
        <is>
          <t>17/03/2026</t>
        </is>
      </c>
      <c r="K27" t="inlineStr">
        <is>
          <t>N/A</t>
        </is>
      </c>
      <c r="L27" t="inlineStr">
        <is>
          <t>Thiết Kế Nội Thất, Kiến Trúc Cảnh Quan, AutoCAD, Sketchup, Giao Tiếp Tiếng Anh</t>
        </is>
      </c>
      <c r="M27" t="inlineStr">
        <is>
          <t>Bonus, Healthcare Plan, Laptop, Others</t>
        </is>
      </c>
      <c r="N27" s="8">
        <f>HYPERLINK("https://www.vietnamworks.com/truong-phong-quan-ly-thiet-ke-kien-truc-noi-that-va-kien-truc-canh-quan-1996478-jv","Xem chi tiết")</f>
        <v/>
      </c>
    </row>
    <row r="28">
      <c r="B28" s="9" t="n">
        <v>26</v>
      </c>
      <c r="C28" s="10" t="inlineStr">
        <is>
          <t>Legal Manager</t>
        </is>
      </c>
      <c r="D28" s="10" t="inlineStr">
        <is>
          <t>CÔNG TY CỔ PHẦN GONSA</t>
        </is>
      </c>
      <c r="E28" s="10" t="inlineStr">
        <is>
          <t>Thương lượng</t>
        </is>
      </c>
      <c r="F28" s="10" t="inlineStr">
        <is>
          <t>Hồ Chí Minh</t>
        </is>
      </c>
      <c r="G28" s="10" t="inlineStr">
        <is>
          <t>Trưởng phòng</t>
        </is>
      </c>
      <c r="H28" s="10" t="inlineStr">
        <is>
          <t>01/02/2026</t>
        </is>
      </c>
      <c r="I28" s="10" t="inlineStr">
        <is>
          <t>18/03/2026</t>
        </is>
      </c>
      <c r="J28" s="10" t="inlineStr">
        <is>
          <t>17/03/2026</t>
        </is>
      </c>
      <c r="K28" s="10" t="inlineStr">
        <is>
          <t>N/A</t>
        </is>
      </c>
      <c r="L28" s="10" t="inlineStr">
        <is>
          <t>Pháp Lý, Luật, Legal, Law, Pháp Chế</t>
        </is>
      </c>
      <c r="M28" s="10" t="inlineStr">
        <is>
          <t>Bonus, Healthcare Plan, Others</t>
        </is>
      </c>
      <c r="N28" s="11">
        <f>HYPERLINK("https://www.vietnamworks.com/legal-manager--2008823-jv","Xem chi tiết")</f>
        <v/>
      </c>
      <c r="O28" s="10" t="n"/>
    </row>
    <row r="29">
      <c r="B29" s="7" t="n">
        <v>27</v>
      </c>
      <c r="C29" t="inlineStr">
        <is>
          <t>[Gấp] Kế Toán Tổng Hợp (18-25 Triệu/tháng)</t>
        </is>
      </c>
      <c r="D29" t="inlineStr">
        <is>
          <t>CÔNG TY TNHH POMPOUS SƠN THÀNH PHÁT VIỆT NAM</t>
        </is>
      </c>
      <c r="E29" t="inlineStr">
        <is>
          <t>18tr-25tr ₫/tháng</t>
        </is>
      </c>
      <c r="F29" t="inlineStr">
        <is>
          <t>Hà Nội</t>
        </is>
      </c>
      <c r="G29" t="inlineStr">
        <is>
          <t>Nhân viên</t>
        </is>
      </c>
      <c r="H29" t="inlineStr">
        <is>
          <t>23/12/2025</t>
        </is>
      </c>
      <c r="I29" t="inlineStr">
        <is>
          <t>19/03/2026</t>
        </is>
      </c>
      <c r="J29" t="inlineStr">
        <is>
          <t>17/03/2026</t>
        </is>
      </c>
      <c r="K29" t="inlineStr">
        <is>
          <t>N/A</t>
        </is>
      </c>
      <c r="L29" t="inlineStr">
        <is>
          <t>Tài Chính, Kế Toán Tổng Hợp, Hạch Toán, Báo Cáo Tài Chính, Kế Toán Xuất Hóa Đơn</t>
        </is>
      </c>
      <c r="M29" t="inlineStr">
        <is>
          <t>Bonus, Paid Leave, Training</t>
        </is>
      </c>
      <c r="N29" s="8">
        <f>HYPERLINK("https://www.vietnamworks.com/gap-ke-toan-tong-hop-18-25-trieu-thang-1995530-jv","Xem chi tiết")</f>
        <v/>
      </c>
    </row>
    <row r="30">
      <c r="B30" s="9" t="n">
        <v>28</v>
      </c>
      <c r="C30" s="10" t="inlineStr">
        <is>
          <t>Store Manager</t>
        </is>
      </c>
      <c r="D30" s="10" t="inlineStr">
        <is>
          <t>KKV</t>
        </is>
      </c>
      <c r="E30" s="10" t="inlineStr">
        <is>
          <t>20tr-35tr ₫/tháng</t>
        </is>
      </c>
      <c r="F30" s="10" t="inlineStr">
        <is>
          <t>Hồ Chí Minh, Hà Nội</t>
        </is>
      </c>
      <c r="G30" s="10" t="inlineStr">
        <is>
          <t>Trưởng phòng</t>
        </is>
      </c>
      <c r="H30" s="10" t="inlineStr">
        <is>
          <t>08/07/2025</t>
        </is>
      </c>
      <c r="I30" s="10" t="inlineStr">
        <is>
          <t>19/03/2026</t>
        </is>
      </c>
      <c r="J30" s="10" t="inlineStr">
        <is>
          <t>17/03/2026</t>
        </is>
      </c>
      <c r="K30" s="10" t="inlineStr">
        <is>
          <t>N/A</t>
        </is>
      </c>
      <c r="L30" s="10" t="inlineStr">
        <is>
          <t>Data Analysis, English Language Proficiency, Planning Capability, Risk Management, Store Management</t>
        </is>
      </c>
      <c r="M30" s="10" t="inlineStr">
        <is>
          <t>Bonus, Paid Leave, Training, Team Activities, Others</t>
        </is>
      </c>
      <c r="N30" s="11">
        <f>HYPERLINK("https://www.vietnamworks.com/store-manager-1931402-jv","Xem chi tiết")</f>
        <v/>
      </c>
      <c r="O30" s="10" t="n"/>
    </row>
    <row r="31">
      <c r="B31" s="7" t="n">
        <v>29</v>
      </c>
      <c r="C31" t="inlineStr">
        <is>
          <t>Nhân Viên Kỹ Thuật Điện</t>
        </is>
      </c>
      <c r="D31" t="inlineStr">
        <is>
          <t>Công Ty Cổ Phần Knp Việt Nam</t>
        </is>
      </c>
      <c r="E31" t="inlineStr">
        <is>
          <t>10tr-15tr ₫/tháng</t>
        </is>
      </c>
      <c r="F31" t="inlineStr">
        <is>
          <t>Hà Nội</t>
        </is>
      </c>
      <c r="G31" t="inlineStr">
        <is>
          <t>Nhân viên</t>
        </is>
      </c>
      <c r="H31" t="inlineStr">
        <is>
          <t>29/12/2025</t>
        </is>
      </c>
      <c r="I31" t="inlineStr">
        <is>
          <t>19/03/2026</t>
        </is>
      </c>
      <c r="J31" t="inlineStr">
        <is>
          <t>17/03/2026</t>
        </is>
      </c>
      <c r="K31" t="inlineStr">
        <is>
          <t>N/A</t>
        </is>
      </c>
      <c r="L31" t="inlineStr">
        <is>
          <t>Kỹ Thuật Điện, Thiết Bị Điện, Vận Hành Điện, Hệ Thống Điện</t>
        </is>
      </c>
      <c r="M31" t="inlineStr">
        <is>
          <t>Bonus, Healthcare Plan, Paid Leave, Training, Laptop, Travel Opportunities, Team Activities, Others</t>
        </is>
      </c>
      <c r="N31" s="8">
        <f>HYPERLINK("https://www.vietnamworks.com/nhan-vien-ky-thuat-dien--1997520-jv","Xem chi tiết")</f>
        <v/>
      </c>
    </row>
    <row r="32">
      <c r="B32" s="9" t="n">
        <v>30</v>
      </c>
      <c r="C32" s="10" t="inlineStr">
        <is>
          <t>Kỹ Sư Điện Tự Động Hóa (Electrical And Automation Control Engineer)</t>
        </is>
      </c>
      <c r="D32" s="10" t="inlineStr">
        <is>
          <t>Công Ty TNHH Một Thành Viên Sedo Vinako</t>
        </is>
      </c>
      <c r="E32" s="10" t="inlineStr">
        <is>
          <t>Thương lượng</t>
        </is>
      </c>
      <c r="F32" s="10" t="inlineStr">
        <is>
          <t>Đà Nẵng</t>
        </is>
      </c>
      <c r="G32" s="10" t="inlineStr">
        <is>
          <t>Nhân viên</t>
        </is>
      </c>
      <c r="H32" s="10" t="inlineStr">
        <is>
          <t>26/12/2025</t>
        </is>
      </c>
      <c r="I32" s="10" t="inlineStr">
        <is>
          <t>19/03/2026</t>
        </is>
      </c>
      <c r="J32" s="10" t="inlineStr">
        <is>
          <t>17/03/2026</t>
        </is>
      </c>
      <c r="K32" s="10" t="inlineStr">
        <is>
          <t>N/A</t>
        </is>
      </c>
      <c r="L32" s="10" t="inlineStr">
        <is>
          <t>Điện, Tự Động Hóa, PLC, Manufacturing, Điện Công Nghiệp</t>
        </is>
      </c>
      <c r="M32" s="10" t="inlineStr">
        <is>
          <t>Bonus, Healthcare Plan, Others</t>
        </is>
      </c>
      <c r="N32" s="11">
        <f>HYPERLINK("https://www.vietnamworks.com/ky-su-dien-tu-dong-hoa-electrical-and-automation-control-engineer-1996758-jv","Xem chi tiết")</f>
        <v/>
      </c>
      <c r="O32" s="10" t="n"/>
    </row>
    <row r="33">
      <c r="B33" s="7" t="n">
        <v>31</v>
      </c>
      <c r="C33" t="inlineStr">
        <is>
          <t>Kỹ Sư Vận Hành Chế Biến Sữa</t>
        </is>
      </c>
      <c r="D33" t="inlineStr">
        <is>
          <t>Công Ty Cổ Phần Sữa Việt Nam (Vinamilk)</t>
        </is>
      </c>
      <c r="E33" t="inlineStr">
        <is>
          <t>Thương lượng</t>
        </is>
      </c>
      <c r="F33" t="inlineStr">
        <is>
          <t>Bình Dương, Hồ Chí Minh, Bắc Ninh</t>
        </is>
      </c>
      <c r="G33" t="inlineStr">
        <is>
          <t>Nhân viên</t>
        </is>
      </c>
      <c r="H33" t="inlineStr">
        <is>
          <t>29/12/2025</t>
        </is>
      </c>
      <c r="I33" t="inlineStr">
        <is>
          <t>19/03/2026</t>
        </is>
      </c>
      <c r="J33" t="inlineStr">
        <is>
          <t>17/03/2026</t>
        </is>
      </c>
      <c r="K33" t="inlineStr">
        <is>
          <t>N/A</t>
        </is>
      </c>
      <c r="L33" t="inlineStr">
        <is>
          <t>Cơ Khí, Công Nghệ Thực Phẩm, Tự Động Hóa</t>
        </is>
      </c>
      <c r="M33" t="inlineStr">
        <is>
          <t>Bonus, Healthcare Plan, Training</t>
        </is>
      </c>
      <c r="N33" s="8">
        <f>HYPERLINK("https://www.vietnamworks.com/ky-su-van-hanh-che-bien-sua-1997178-jv","Xem chi tiết")</f>
        <v/>
      </c>
    </row>
    <row r="34">
      <c r="B34" s="9" t="n">
        <v>32</v>
      </c>
      <c r="C34" s="10" t="inlineStr">
        <is>
          <t>Kỹ Sư Cơ Điện</t>
        </is>
      </c>
      <c r="D34" s="10" t="inlineStr">
        <is>
          <t>Công Ty Cổ Phần Sữa Việt Nam (Vinamilk)</t>
        </is>
      </c>
      <c r="E34" s="10" t="inlineStr">
        <is>
          <t>Thương lượng</t>
        </is>
      </c>
      <c r="F34" s="10" t="inlineStr">
        <is>
          <t>Hồ Chí Minh</t>
        </is>
      </c>
      <c r="G34" s="10" t="inlineStr">
        <is>
          <t>Nhân viên</t>
        </is>
      </c>
      <c r="H34" s="10" t="inlineStr">
        <is>
          <t>29/12/2025</t>
        </is>
      </c>
      <c r="I34" s="10" t="inlineStr">
        <is>
          <t>19/03/2026</t>
        </is>
      </c>
      <c r="J34" s="10" t="inlineStr">
        <is>
          <t>17/03/2026</t>
        </is>
      </c>
      <c r="K34" s="10" t="inlineStr">
        <is>
          <t>N/A</t>
        </is>
      </c>
      <c r="L34" s="10" t="inlineStr">
        <is>
          <t>Vận Hành, Bảo Dưỡng Máy Móc, Sửa Chữa, Vận Hành Cơ Điện</t>
        </is>
      </c>
      <c r="M34" s="10" t="inlineStr">
        <is>
          <t>Bonus, Healthcare Plan, Training</t>
        </is>
      </c>
      <c r="N34" s="11">
        <f>HYPERLINK("https://www.vietnamworks.com/ky-su-co-dien--1997161-jv","Xem chi tiết")</f>
        <v/>
      </c>
      <c r="O34" s="10" t="n"/>
    </row>
    <row r="35">
      <c r="B35" s="7" t="n">
        <v>33</v>
      </c>
      <c r="C35" t="inlineStr">
        <is>
          <t>Merchandiser Staff (Ngành May)</t>
        </is>
      </c>
      <c r="D35" t="inlineStr">
        <is>
          <t>Công Ty Cổ Phần Scavi - Corèle International Group</t>
        </is>
      </c>
      <c r="E35" t="inlineStr">
        <is>
          <t>Thương lượng</t>
        </is>
      </c>
      <c r="F35" t="inlineStr">
        <is>
          <t>Hồ Chí Minh, Đồng Nai</t>
        </is>
      </c>
      <c r="G35" t="inlineStr">
        <is>
          <t>Nhân viên</t>
        </is>
      </c>
      <c r="H35" t="inlineStr">
        <is>
          <t>29/12/2025</t>
        </is>
      </c>
      <c r="I35" t="inlineStr">
        <is>
          <t>19/03/2026</t>
        </is>
      </c>
      <c r="J35" t="inlineStr">
        <is>
          <t>17/03/2026</t>
        </is>
      </c>
      <c r="K35" t="inlineStr">
        <is>
          <t>N/A</t>
        </is>
      </c>
      <c r="L35" t="inlineStr">
        <is>
          <t>Material Sourcing, Quản Lý Đơn Hàng May Mặc, Merchandising, Merchandise Sourcing, Procurement</t>
        </is>
      </c>
      <c r="M35" t="inlineStr">
        <is>
          <t>Bonus, Transportation, Canteen</t>
        </is>
      </c>
      <c r="N35" s="8">
        <f>HYPERLINK("https://www.vietnamworks.com/merchandiser-staff-nganh-may-2-1-1-1-1-1-1-1-1-1-1-1-1-1-1-1-1-1-1-1-1-1-1-1-1-1-1-1-1-1--1997272-jv","Xem chi tiết")</f>
        <v/>
      </c>
    </row>
    <row r="36">
      <c r="B36" s="9" t="n">
        <v>34</v>
      </c>
      <c r="C36" s="10" t="inlineStr">
        <is>
          <t>Phiên Dịch Tiếng Trung (Thực Tập Sinh)</t>
        </is>
      </c>
      <c r="D36" s="10" t="inlineStr">
        <is>
          <t>BDO Vietnam</t>
        </is>
      </c>
      <c r="E36" s="10" t="inlineStr">
        <is>
          <t>Thương lượng</t>
        </is>
      </c>
      <c r="F36" s="10" t="inlineStr">
        <is>
          <t>Hà Nội</t>
        </is>
      </c>
      <c r="G36" s="10" t="inlineStr">
        <is>
          <t>Mới Tốt Nghiệp</t>
        </is>
      </c>
      <c r="H36" s="10" t="inlineStr">
        <is>
          <t>26/12/2025</t>
        </is>
      </c>
      <c r="I36" s="10" t="inlineStr">
        <is>
          <t>19/03/2026</t>
        </is>
      </c>
      <c r="J36" s="10" t="inlineStr">
        <is>
          <t>17/03/2026</t>
        </is>
      </c>
      <c r="K36" s="10" t="inlineStr">
        <is>
          <t>N/A</t>
        </is>
      </c>
      <c r="L36" s="10" t="inlineStr">
        <is>
          <t>Tiếng Trung, Phiên Dịch, Biên Phiên Dịch, Biên Phiên Dịch Tiếng Trung, Dịch thuật Trung Việt</t>
        </is>
      </c>
      <c r="M36" s="10" t="inlineStr">
        <is>
          <t>Bonus, Training, Team Activities</t>
        </is>
      </c>
      <c r="N36" s="11">
        <f>HYPERLINK("https://www.vietnamworks.com/phien-dich-tieng-trung-thuc-tap-sinh--1996752-jv","Xem chi tiết")</f>
        <v/>
      </c>
      <c r="O36" s="10" t="n"/>
    </row>
    <row r="37">
      <c r="B37" s="7" t="n">
        <v>35</v>
      </c>
      <c r="C37" t="inlineStr">
        <is>
          <t>IELTS Business Development Manager</t>
        </is>
      </c>
      <c r="D37" t="inlineStr">
        <is>
          <t>IDP Education (Vietnam)</t>
        </is>
      </c>
      <c r="E37" t="inlineStr">
        <is>
          <t>Thương lượng</t>
        </is>
      </c>
      <c r="F37" t="inlineStr">
        <is>
          <t>Hồ Chí Minh</t>
        </is>
      </c>
      <c r="G37" t="inlineStr">
        <is>
          <t>Trưởng phòng</t>
        </is>
      </c>
      <c r="H37" t="inlineStr">
        <is>
          <t>29/12/2025</t>
        </is>
      </c>
      <c r="I37" t="inlineStr">
        <is>
          <t>19/03/2026</t>
        </is>
      </c>
      <c r="J37" t="inlineStr">
        <is>
          <t>17/03/2026</t>
        </is>
      </c>
      <c r="K37" t="inlineStr">
        <is>
          <t>N/A</t>
        </is>
      </c>
      <c r="L37" t="inlineStr">
        <is>
          <t>B2B Business Development, B2B Relationship Management, B2B Sales, Business Development &amp; Management, B2B Service</t>
        </is>
      </c>
      <c r="M37" t="inlineStr">
        <is>
          <t>Bonus, Healthcare Plan, Paid Leave</t>
        </is>
      </c>
      <c r="N37" s="8">
        <f>HYPERLINK("https://www.vietnamworks.com/ielts-business-development-manager-1997583-jv","Xem chi tiết")</f>
        <v/>
      </c>
    </row>
    <row r="38">
      <c r="B38" s="9" t="n">
        <v>36</v>
      </c>
      <c r="C38" s="10" t="inlineStr">
        <is>
          <t>Kế Toán Tổng Hợp</t>
        </is>
      </c>
      <c r="D38" s="10" t="inlineStr">
        <is>
          <t>CÔNG TY TNHH XÂY DỰNG, CƠ KHÍ VÀ THƯƠNG MẠI BÌNH MINH</t>
        </is>
      </c>
      <c r="E38" s="10" t="inlineStr">
        <is>
          <t>25tr-30tr ₫/tháng</t>
        </is>
      </c>
      <c r="F38" s="10" t="inlineStr">
        <is>
          <t>Hà Nội</t>
        </is>
      </c>
      <c r="G38" s="10" t="inlineStr">
        <is>
          <t>Nhân viên</t>
        </is>
      </c>
      <c r="H38" s="10" t="inlineStr">
        <is>
          <t>19/12/2025</t>
        </is>
      </c>
      <c r="I38" s="10" t="inlineStr">
        <is>
          <t>19/03/2026</t>
        </is>
      </c>
      <c r="J38" s="10" t="inlineStr">
        <is>
          <t>17/03/2026</t>
        </is>
      </c>
      <c r="K38" s="10" t="inlineStr">
        <is>
          <t>N/A</t>
        </is>
      </c>
      <c r="L38" s="10" t="inlineStr">
        <is>
          <t>Kế Toán Tổng Hợp, Phần mềm kế toán, Thống Kê Excel, Luật Thuế</t>
        </is>
      </c>
      <c r="M38" s="10" t="inlineStr">
        <is>
          <t>Bonus, Healthcare Plan, Paid Leave, Others</t>
        </is>
      </c>
      <c r="N38" s="11">
        <f>HYPERLINK("https://www.vietnamworks.com/ke-toan-tong-hop-1994757-jv","Xem chi tiết")</f>
        <v/>
      </c>
      <c r="O38" s="10" t="n"/>
    </row>
    <row r="39">
      <c r="B39" s="7" t="n">
        <v>37</v>
      </c>
      <c r="C39" t="inlineStr">
        <is>
          <t>Nhân Viên KCS Trạm Sữa (Bắc Ninh)</t>
        </is>
      </c>
      <c r="D39" t="inlineStr">
        <is>
          <t>Công Ty Cổ Phần Sữa Việt Nam (Vinamilk)</t>
        </is>
      </c>
      <c r="E39" t="inlineStr">
        <is>
          <t>Thương lượng</t>
        </is>
      </c>
      <c r="F39" t="inlineStr">
        <is>
          <t>Bắc Ninh</t>
        </is>
      </c>
      <c r="G39" t="inlineStr">
        <is>
          <t>Mới Tốt Nghiệp</t>
        </is>
      </c>
      <c r="H39" t="inlineStr">
        <is>
          <t>29/12/2025</t>
        </is>
      </c>
      <c r="I39" t="inlineStr">
        <is>
          <t>19/03/2026</t>
        </is>
      </c>
      <c r="J39" t="inlineStr">
        <is>
          <t>17/03/2026</t>
        </is>
      </c>
      <c r="K39" t="inlineStr">
        <is>
          <t>N/A</t>
        </is>
      </c>
      <c r="L39" t="inlineStr">
        <is>
          <t>Công Nghệ Thực Phẩm, Kiểm Soát Chất Lượng, Hoá Thực Phẩm</t>
        </is>
      </c>
      <c r="M39" t="inlineStr">
        <is>
          <t>Bonus, Healthcare Plan, Training</t>
        </is>
      </c>
      <c r="N39" s="8">
        <f>HYPERLINK("https://www.vietnamworks.com/nhan-vien-kcs-tram-sua-bac-ninh--1997164-jv","Xem chi tiết")</f>
        <v/>
      </c>
    </row>
    <row r="40">
      <c r="B40" s="9" t="n">
        <v>38</v>
      </c>
      <c r="C40" s="10" t="inlineStr">
        <is>
          <t>(Senior) Investor Relations Manager</t>
        </is>
      </c>
      <c r="D40" s="10" t="inlineStr">
        <is>
          <t>Công Ty Cổ Phần Sữa Việt Nam (Vinamilk)</t>
        </is>
      </c>
      <c r="E40" s="10" t="inlineStr">
        <is>
          <t>Thương lượng</t>
        </is>
      </c>
      <c r="F40" s="10" t="inlineStr">
        <is>
          <t>Hồ Chí Minh</t>
        </is>
      </c>
      <c r="G40" s="10" t="inlineStr">
        <is>
          <t>Giám Đốc và Cấp Cao Hơn</t>
        </is>
      </c>
      <c r="H40" s="10" t="inlineStr">
        <is>
          <t>24/12/2025</t>
        </is>
      </c>
      <c r="I40" s="10" t="inlineStr">
        <is>
          <t>19/03/2026</t>
        </is>
      </c>
      <c r="J40" s="10" t="inlineStr">
        <is>
          <t>17/03/2026</t>
        </is>
      </c>
      <c r="K40" s="10" t="inlineStr">
        <is>
          <t>N/A</t>
        </is>
      </c>
      <c r="L40" s="10" t="inlineStr">
        <is>
          <t>Investor Relations, Investment Strategies, Investment Valuation, Investment Analysis, Investment Planning</t>
        </is>
      </c>
      <c r="M40" s="10" t="inlineStr">
        <is>
          <t>Bonus, Healthcare Plan, Training</t>
        </is>
      </c>
      <c r="N40" s="11">
        <f>HYPERLINK("https://www.vietnamworks.com/senior-investor-relations-manager--1996346-jv","Xem chi tiết")</f>
        <v/>
      </c>
      <c r="O40" s="10" t="n"/>
    </row>
    <row r="41">
      <c r="B41" s="7" t="n">
        <v>39</v>
      </c>
      <c r="C41" t="inlineStr">
        <is>
          <t>Ga-Hr Manager - Japanese (Must) and English Speaking (Salary Negotiate)</t>
        </is>
      </c>
      <c r="D41" t="inlineStr">
        <is>
          <t>Công Ty TNHH Enoteca Việt Nam</t>
        </is>
      </c>
      <c r="E41" t="inlineStr">
        <is>
          <t>30tr-45tr ₫/tháng</t>
        </is>
      </c>
      <c r="F41" t="inlineStr">
        <is>
          <t>Hồ Chí Minh</t>
        </is>
      </c>
      <c r="G41" t="inlineStr">
        <is>
          <t>Trưởng phòng</t>
        </is>
      </c>
      <c r="H41" t="inlineStr">
        <is>
          <t>26/12/2025</t>
        </is>
      </c>
      <c r="I41" t="inlineStr">
        <is>
          <t>19/03/2026</t>
        </is>
      </c>
      <c r="J41" t="inlineStr">
        <is>
          <t>17/03/2026</t>
        </is>
      </c>
      <c r="K41" t="inlineStr">
        <is>
          <t>N/A</t>
        </is>
      </c>
      <c r="L41" t="inlineStr">
        <is>
          <t>Japanese Business, Japanese Communication, HR &amp; Admin Management, Hr Experience, English Communicate</t>
        </is>
      </c>
      <c r="M41" t="inlineStr">
        <is>
          <t>Bonus, Healthcare Plan, Paid Leave</t>
        </is>
      </c>
      <c r="N41" s="8">
        <f>HYPERLINK("https://www.vietnamworks.com/ga-hr-manager-japanese-must-and-english-speaking-salary-negotiate-1996832-jv","Xem chi tiết")</f>
        <v/>
      </c>
    </row>
    <row r="42">
      <c r="B42" s="9" t="n">
        <v>40</v>
      </c>
      <c r="C42" s="10" t="inlineStr">
        <is>
          <t>Nhân Viên Kinh Doanh (Sales Engineer)</t>
        </is>
      </c>
      <c r="D42" s="10" t="inlineStr">
        <is>
          <t>Công Ty Cổ Phần Knp Việt Nam</t>
        </is>
      </c>
      <c r="E42" s="10" t="inlineStr">
        <is>
          <t>10tr-15tr ₫/tháng</t>
        </is>
      </c>
      <c r="F42" s="10" t="inlineStr">
        <is>
          <t>Hà Nội</t>
        </is>
      </c>
      <c r="G42" s="10" t="inlineStr">
        <is>
          <t>Nhân viên</t>
        </is>
      </c>
      <c r="H42" s="10" t="inlineStr">
        <is>
          <t>29/12/2025</t>
        </is>
      </c>
      <c r="I42" s="10" t="inlineStr">
        <is>
          <t>19/03/2026</t>
        </is>
      </c>
      <c r="J42" s="10" t="inlineStr">
        <is>
          <t>17/03/2026</t>
        </is>
      </c>
      <c r="K42" s="10" t="inlineStr">
        <is>
          <t>N/A</t>
        </is>
      </c>
      <c r="L42" s="10" t="inlineStr">
        <is>
          <t>Bán hàng, Kinh Doanh, Hệ Thống Điện, Thiết Bị Điện, Điện</t>
        </is>
      </c>
      <c r="M42" s="10" t="inlineStr">
        <is>
          <t>Bonus, Healthcare Plan, Paid Leave, Training, Laptop, Travel Opportunities, Team Activities, Others</t>
        </is>
      </c>
      <c r="N42" s="11">
        <f>HYPERLINK("https://www.vietnamworks.com/nhan-vien-kinh-doanh-sales-engineer--1997512-jv","Xem chi tiết")</f>
        <v/>
      </c>
      <c r="O42" s="10" t="n"/>
    </row>
    <row r="43">
      <c r="B43" s="7" t="n">
        <v>41</v>
      </c>
      <c r="C43" t="inlineStr">
        <is>
          <t>Chuyên Viên Công Nghệ Thông Tin (Phụ Trách Ứng Dụng)</t>
        </is>
      </c>
      <c r="D43" t="inlineStr">
        <is>
          <t>Công Ty Cổ Phần Sữa TH</t>
        </is>
      </c>
      <c r="E43" t="inlineStr">
        <is>
          <t>Thương lượng</t>
        </is>
      </c>
      <c r="F43" t="inlineStr">
        <is>
          <t>Nghệ An</t>
        </is>
      </c>
      <c r="G43" t="inlineStr">
        <is>
          <t>Nhân viên</t>
        </is>
      </c>
      <c r="H43" t="inlineStr">
        <is>
          <t>29/12/2025</t>
        </is>
      </c>
      <c r="I43" t="inlineStr">
        <is>
          <t>19/03/2026</t>
        </is>
      </c>
      <c r="J43" t="inlineStr">
        <is>
          <t>17/03/2026</t>
        </is>
      </c>
      <c r="K43" t="inlineStr">
        <is>
          <t>N/A</t>
        </is>
      </c>
      <c r="L43" t="inlineStr">
        <is>
          <t>SAP, Công Nghệ Thông Tin, MES, Triển Khai Ứng Dụng, Phát Triển Phần Mềm</t>
        </is>
      </c>
      <c r="M43" t="inlineStr">
        <is>
          <t>Bonus, Healthcare Plan, Paid Leave</t>
        </is>
      </c>
      <c r="N43" s="8">
        <f>HYPERLINK("https://www.vietnamworks.com/chuyen-vien-cong-nghe-thong-tin-phu-trach-ung-dung-1997597-jv","Xem chi tiết")</f>
        <v/>
      </c>
    </row>
    <row r="44">
      <c r="B44" s="9" t="n">
        <v>42</v>
      </c>
      <c r="C44" s="10" t="inlineStr">
        <is>
          <t>Nhân Viên Kinh Doanh/Sales - Showroom Oppein Nội Thất Liền Tường</t>
        </is>
      </c>
      <c r="D44" s="10" t="inlineStr">
        <is>
          <t>Công Ty TNHH Granford</t>
        </is>
      </c>
      <c r="E44" s="10" t="inlineStr">
        <is>
          <t>$$ 800-1,000 /tháng</t>
        </is>
      </c>
      <c r="F44" s="10" t="inlineStr">
        <is>
          <t>Hồ Chí Minh</t>
        </is>
      </c>
      <c r="G44" s="10" t="inlineStr">
        <is>
          <t>Nhân viên</t>
        </is>
      </c>
      <c r="H44" s="10" t="inlineStr">
        <is>
          <t>30/12/2025</t>
        </is>
      </c>
      <c r="I44" s="10" t="inlineStr">
        <is>
          <t>19/03/2026</t>
        </is>
      </c>
      <c r="J44" s="10" t="inlineStr">
        <is>
          <t>17/03/2026</t>
        </is>
      </c>
      <c r="K44" s="10" t="inlineStr">
        <is>
          <t>N/A</t>
        </is>
      </c>
      <c r="L44" s="10" t="inlineStr">
        <is>
          <t>Kinh Doanh, Nội Thất, Xây Dựng, Sales</t>
        </is>
      </c>
      <c r="M44" s="10" t="inlineStr">
        <is>
          <t>Bonus, Team Activities</t>
        </is>
      </c>
      <c r="N44" s="11">
        <f>HYPERLINK("https://www.vietnamworks.com/nhan-vien-kinh-doanh-sales-showroom-oppein-noi-that-lien-tuong-1997732-jv","Xem chi tiết")</f>
        <v/>
      </c>
      <c r="O44" s="10" t="n"/>
    </row>
    <row r="45">
      <c r="B45" s="7" t="n">
        <v>43</v>
      </c>
      <c r="C45" t="inlineStr">
        <is>
          <t>Nhân Viên Sales &amp; Marketing ( Ưu Tiên Nam Biết Tiếng Trung, Làm Việc Ở Tây Ninh &amp; TP.HCM )</t>
        </is>
      </c>
      <c r="D45" t="inlineStr">
        <is>
          <t>CÔNG TY TNHH BROTEX (VIỆT NAM)</t>
        </is>
      </c>
      <c r="E45" t="inlineStr">
        <is>
          <t>10tr-20tr ₫/tháng</t>
        </is>
      </c>
      <c r="F45" t="inlineStr">
        <is>
          <t>Hồ Chí Minh, Tây Ninh</t>
        </is>
      </c>
      <c r="G45" t="inlineStr">
        <is>
          <t>Nhân viên</t>
        </is>
      </c>
      <c r="H45" t="inlineStr">
        <is>
          <t>31/12/2025</t>
        </is>
      </c>
      <c r="I45" t="inlineStr">
        <is>
          <t>19/03/2026</t>
        </is>
      </c>
      <c r="J45" t="inlineStr">
        <is>
          <t>17/03/2026</t>
        </is>
      </c>
      <c r="K45" t="inlineStr">
        <is>
          <t>N/A</t>
        </is>
      </c>
      <c r="L45" t="inlineStr">
        <is>
          <t>Chăm Sóc Khách Hàng, Chuyên Ngành Dệt May, Sales, Tiếng Anh, Tiếng Trung</t>
        </is>
      </c>
      <c r="M45" t="inlineStr">
        <is>
          <t>Others</t>
        </is>
      </c>
      <c r="N45" s="8">
        <f>HYPERLINK("https://www.vietnamworks.com/nhan-vien-sales-and-marketing-uu-tien-nam-biet-tieng-trung-lam-viec-o-tay-ninh-and-tp-hcm-1998239-jv","Xem chi tiết")</f>
        <v/>
      </c>
    </row>
    <row r="46">
      <c r="B46" s="9" t="n">
        <v>44</v>
      </c>
      <c r="C46" s="10" t="inlineStr">
        <is>
          <t>Nhân Viên Tiếng Hoa</t>
        </is>
      </c>
      <c r="D46" s="10" t="inlineStr">
        <is>
          <t>CÔNG TY TNHH BROTEX (VIỆT NAM)</t>
        </is>
      </c>
      <c r="E46" s="10" t="inlineStr">
        <is>
          <t>Từ 10tr ₫/tháng</t>
        </is>
      </c>
      <c r="F46" s="10" t="inlineStr">
        <is>
          <t>Tây Ninh, Hồ Chí Minh</t>
        </is>
      </c>
      <c r="G46" s="10" t="inlineStr">
        <is>
          <t>Mới Tốt Nghiệp</t>
        </is>
      </c>
      <c r="H46" s="10" t="inlineStr">
        <is>
          <t>31/12/2025</t>
        </is>
      </c>
      <c r="I46" s="10" t="inlineStr">
        <is>
          <t>19/03/2026</t>
        </is>
      </c>
      <c r="J46" s="10" t="inlineStr">
        <is>
          <t>17/03/2026</t>
        </is>
      </c>
      <c r="K46" s="10" t="inlineStr">
        <is>
          <t>N/A</t>
        </is>
      </c>
      <c r="L46" s="10" t="inlineStr">
        <is>
          <t>Tiếng Trung, Kinh Doanh, Kỹ năng văn phòng</t>
        </is>
      </c>
      <c r="M46" s="10" t="inlineStr">
        <is>
          <t>Bonus, Healthcare Plan, Others</t>
        </is>
      </c>
      <c r="N46" s="11">
        <f>HYPERLINK("https://www.vietnamworks.com/nhan-vien-tieng-hoa-1998213-jv","Xem chi tiết")</f>
        <v/>
      </c>
      <c r="O46" s="10" t="n"/>
    </row>
    <row r="47">
      <c r="B47" s="7" t="n">
        <v>45</v>
      </c>
      <c r="C47" t="inlineStr">
        <is>
          <t>Nhân Viên Hóa ( Ưu tiên ĐH Bách Khoa, ĐH Khoa học và Tự Nhiên - Làm việc tại Tây Ninh)</t>
        </is>
      </c>
      <c r="D47" t="inlineStr">
        <is>
          <t>CÔNG TY TNHH BROTEX (VIỆT NAM)</t>
        </is>
      </c>
      <c r="E47" t="inlineStr">
        <is>
          <t>Từ 10tr ₫/tháng</t>
        </is>
      </c>
      <c r="F47" t="inlineStr">
        <is>
          <t>Tây Ninh</t>
        </is>
      </c>
      <c r="G47" t="inlineStr">
        <is>
          <t>Mới Tốt Nghiệp</t>
        </is>
      </c>
      <c r="H47" t="inlineStr">
        <is>
          <t>31/12/2025</t>
        </is>
      </c>
      <c r="I47" t="inlineStr">
        <is>
          <t>19/03/2026</t>
        </is>
      </c>
      <c r="J47" t="inlineStr">
        <is>
          <t>17/03/2026</t>
        </is>
      </c>
      <c r="K47" t="inlineStr">
        <is>
          <t>N/A</t>
        </is>
      </c>
      <c r="L47" t="inlineStr">
        <is>
          <t>Hóa Học, Xử Lý Nước Thải</t>
        </is>
      </c>
      <c r="M47" t="inlineStr">
        <is>
          <t>Bonus, Healthcare Plan, Others</t>
        </is>
      </c>
      <c r="N47" s="8">
        <f>HYPERLINK("https://www.vietnamworks.com/nhan-vien-hoa-uu-tien-djh-bach-khoa-djh-khoa-hoc-va-tu-nhien-lam-viec-tai-tay-ninh-1998244-jv","Xem chi tiết")</f>
        <v/>
      </c>
    </row>
    <row r="48">
      <c r="B48" s="9" t="n">
        <v>46</v>
      </c>
      <c r="C48" s="10" t="inlineStr">
        <is>
          <t>Nhân Viên Điện, Cơ Khí Tự Động Hóa (Làm Việc Tại Tây Ninh)</t>
        </is>
      </c>
      <c r="D48" s="10" t="inlineStr">
        <is>
          <t>CÔNG TY TNHH BROTEX (VIỆT NAM)</t>
        </is>
      </c>
      <c r="E48" s="10" t="inlineStr">
        <is>
          <t>Từ 10tr ₫/tháng</t>
        </is>
      </c>
      <c r="F48" s="10" t="inlineStr">
        <is>
          <t>Tây Ninh</t>
        </is>
      </c>
      <c r="G48" s="10" t="inlineStr">
        <is>
          <t>Mới Tốt Nghiệp</t>
        </is>
      </c>
      <c r="H48" s="10" t="inlineStr">
        <is>
          <t>31/12/2025</t>
        </is>
      </c>
      <c r="I48" s="10" t="inlineStr">
        <is>
          <t>19/03/2026</t>
        </is>
      </c>
      <c r="J48" s="10" t="inlineStr">
        <is>
          <t>17/03/2026</t>
        </is>
      </c>
      <c r="K48" s="10" t="inlineStr">
        <is>
          <t>N/A</t>
        </is>
      </c>
      <c r="L48" s="10" t="inlineStr">
        <is>
          <t>Bảo Dưỡng, Tự Động Hóa, Vận Hành Thiết Bị, Điện Công Nghiệp, Không Cần Kinh Nghiệm</t>
        </is>
      </c>
      <c r="M48" s="10" t="inlineStr">
        <is>
          <t>Bonus, Healthcare Plan, Others</t>
        </is>
      </c>
      <c r="N48" s="11">
        <f>HYPERLINK("https://www.vietnamworks.com/nhan-vien-djien-co-khi-tu-djong-hoa-lam-viec-tai-tay-ninh-1998252-jv","Xem chi tiết")</f>
        <v/>
      </c>
      <c r="O48" s="10" t="n"/>
    </row>
    <row r="49">
      <c r="B49" s="7" t="n">
        <v>47</v>
      </c>
      <c r="C49" t="inlineStr">
        <is>
          <t>Nhân Viên IT (Ưu tiên biết tiếng Trung - Làm việc tại Tây Ninh)</t>
        </is>
      </c>
      <c r="D49" t="inlineStr">
        <is>
          <t>CÔNG TY TNHH BROTEX (VIỆT NAM)</t>
        </is>
      </c>
      <c r="E49" t="inlineStr">
        <is>
          <t>Từ $ 10tr /tháng</t>
        </is>
      </c>
      <c r="F49" t="inlineStr">
        <is>
          <t>Tây Ninh</t>
        </is>
      </c>
      <c r="G49" t="inlineStr">
        <is>
          <t>Mới Tốt Nghiệp</t>
        </is>
      </c>
      <c r="H49" t="inlineStr">
        <is>
          <t>31/12/2025</t>
        </is>
      </c>
      <c r="I49" t="inlineStr">
        <is>
          <t>19/03/2026</t>
        </is>
      </c>
      <c r="J49" t="inlineStr">
        <is>
          <t>17/03/2026</t>
        </is>
      </c>
      <c r="K49" t="inlineStr">
        <is>
          <t>N/A</t>
        </is>
      </c>
      <c r="L49" t="inlineStr">
        <is>
          <t>Công Nghệ Thông Tin, Hệ Thống Camera Quan Sát, Không Cần Kinh Nghiệm, Máy Tính, Triển Khai Mạng</t>
        </is>
      </c>
      <c r="M49" t="inlineStr">
        <is>
          <t>Bonus, Healthcare Plan, Others</t>
        </is>
      </c>
      <c r="N49" s="8">
        <f>HYPERLINK("https://www.vietnamworks.com/nhan-vien-it-uu-tien-biet-tieng-trung-lam-viec-tai-tay-ninh-1998257-jv","Xem chi tiết")</f>
        <v/>
      </c>
    </row>
    <row r="50">
      <c r="B50" s="9" t="n">
        <v>48</v>
      </c>
      <c r="C50" s="10" t="inlineStr">
        <is>
          <t>Nhân Viên Bán Hàng (Cửa Hàng Vinamilk)</t>
        </is>
      </c>
      <c r="D50" s="10" t="inlineStr">
        <is>
          <t>Công Ty Cổ Phần Sữa Việt Nam (Vinamilk)</t>
        </is>
      </c>
      <c r="E50" s="10" t="inlineStr">
        <is>
          <t>Thương lượng</t>
        </is>
      </c>
      <c r="F50" s="10" t="inlineStr">
        <is>
          <t>Hồ Chí Minh, Đắk Lắk, Hà Nội</t>
        </is>
      </c>
      <c r="G50" s="10" t="inlineStr">
        <is>
          <t>Nhân viên</t>
        </is>
      </c>
      <c r="H50" s="10" t="inlineStr">
        <is>
          <t>30/12/2025</t>
        </is>
      </c>
      <c r="I50" s="10" t="inlineStr">
        <is>
          <t>19/03/2026</t>
        </is>
      </c>
      <c r="J50" s="10" t="inlineStr">
        <is>
          <t>17/03/2026</t>
        </is>
      </c>
      <c r="K50" s="10" t="inlineStr">
        <is>
          <t>N/A</t>
        </is>
      </c>
      <c r="L50" s="10" t="inlineStr">
        <is>
          <t>Store Operation, Nhân viên bán hàng, Sales, Bán Lẻ, FMCG</t>
        </is>
      </c>
      <c r="M50" s="10" t="inlineStr">
        <is>
          <t>Bonus, Healthcare Plan, Training</t>
        </is>
      </c>
      <c r="N50" s="11">
        <f>HYPERLINK("https://www.vietnamworks.com/nhan-vien-ban-hang-cua-hang-vinamilk--1997762-jv","Xem chi tiết")</f>
        <v/>
      </c>
      <c r="O50" s="10" t="n"/>
    </row>
    <row r="51">
      <c r="B51" s="7" t="n">
        <v>49</v>
      </c>
      <c r="C51" t="inlineStr">
        <is>
          <t>Senior Strategy &amp; Planning Manager</t>
        </is>
      </c>
      <c r="D51" t="inlineStr">
        <is>
          <t>Vietnamworks' Client</t>
        </is>
      </c>
      <c r="E51" t="inlineStr">
        <is>
          <t>Thương lượng</t>
        </is>
      </c>
      <c r="F51" t="inlineStr">
        <is>
          <t>Hồ Chí Minh</t>
        </is>
      </c>
      <c r="G51" t="inlineStr">
        <is>
          <t>Trưởng phòng</t>
        </is>
      </c>
      <c r="H51" t="inlineStr">
        <is>
          <t>31/12/2025</t>
        </is>
      </c>
      <c r="I51" t="inlineStr">
        <is>
          <t>19/03/2026</t>
        </is>
      </c>
      <c r="J51" t="inlineStr">
        <is>
          <t>17/03/2026</t>
        </is>
      </c>
      <c r="K51" t="inlineStr">
        <is>
          <t>N/A</t>
        </is>
      </c>
      <c r="L51" t="inlineStr">
        <is>
          <t>Analytical Skills, Budgetary Control, Business Planning, Effective Communication, Fp&amp;A</t>
        </is>
      </c>
      <c r="M51" t="inlineStr">
        <is>
          <t>Bonus, Healthcare Plan</t>
        </is>
      </c>
      <c r="N51" s="8">
        <f>HYPERLINK("https://www.vietnamworks.com/senior-strategy-planning-manager-1998325-jv","Xem chi tiết")</f>
        <v/>
      </c>
    </row>
    <row r="52">
      <c r="B52" s="9" t="n">
        <v>50</v>
      </c>
      <c r="C52" s="10" t="inlineStr">
        <is>
          <t>Senior Material Planning Executive</t>
        </is>
      </c>
      <c r="D52" s="10" t="inlineStr">
        <is>
          <t>Unigen Vietnam Hanoi Co.Ltd</t>
        </is>
      </c>
      <c r="E52" s="10" t="inlineStr">
        <is>
          <t>Thương lượng</t>
        </is>
      </c>
      <c r="F52" s="10" t="inlineStr">
        <is>
          <t>Hà Nội, Bắc Ninh, Hưng Yên</t>
        </is>
      </c>
      <c r="G52" s="10" t="inlineStr">
        <is>
          <t>Nhân viên</t>
        </is>
      </c>
      <c r="H52" s="10" t="inlineStr">
        <is>
          <t>31/12/2025</t>
        </is>
      </c>
      <c r="I52" s="10" t="inlineStr">
        <is>
          <t>19/03/2026</t>
        </is>
      </c>
      <c r="J52" s="10" t="inlineStr">
        <is>
          <t>17/03/2026</t>
        </is>
      </c>
      <c r="K52" s="10" t="inlineStr">
        <is>
          <t>N/A</t>
        </is>
      </c>
      <c r="L52" s="10" t="inlineStr">
        <is>
          <t>Material Planning, Raw Materials, Lập Kế Hoạch Vật Tư, Quản Lý Chuỗi Cung Ứng, Supply Chain</t>
        </is>
      </c>
      <c r="M52" s="10" t="inlineStr">
        <is>
          <t>Bonus, Healthcare Plan, Paid Leave</t>
        </is>
      </c>
      <c r="N52" s="11">
        <f>HYPERLINK("https://www.vietnamworks.com/senior-material-planning-executive-1998263-jv","Xem chi tiết")</f>
        <v/>
      </c>
      <c r="O52" s="10" t="n"/>
    </row>
    <row r="53">
      <c r="B53" s="7" t="n">
        <v>51</v>
      </c>
      <c r="C53" t="inlineStr">
        <is>
          <t>Nhân Viên Kế Toán Tài Sản Cố Định - Kho</t>
        </is>
      </c>
      <c r="D53" t="inlineStr">
        <is>
          <t>RT Holdings</t>
        </is>
      </c>
      <c r="E53" t="inlineStr">
        <is>
          <t>Thương lượng</t>
        </is>
      </c>
      <c r="F53" t="inlineStr">
        <is>
          <t>Hồ Chí Minh</t>
        </is>
      </c>
      <c r="G53" t="inlineStr">
        <is>
          <t>Nhân viên</t>
        </is>
      </c>
      <c r="H53" t="inlineStr">
        <is>
          <t>30/12/2025</t>
        </is>
      </c>
      <c r="I53" t="inlineStr">
        <is>
          <t>19/03/2026</t>
        </is>
      </c>
      <c r="J53" t="inlineStr">
        <is>
          <t>17/03/2026</t>
        </is>
      </c>
      <c r="K53" t="inlineStr">
        <is>
          <t>N/A</t>
        </is>
      </c>
      <c r="L53" t="inlineStr">
        <is>
          <t>Kế Toán Kho, Giáo Dục Đào Tạo, Kế toán, Kế Toán Xuất Nhập Kho</t>
        </is>
      </c>
      <c r="M53" t="inlineStr">
        <is>
          <t>Bonus, Travel Opportunities, Canteen</t>
        </is>
      </c>
      <c r="N53" s="8">
        <f>HYPERLINK("https://www.vietnamworks.com/nhan-vien-ke-toan-tai-san-co-dinh-kho--1997880-jv","Xem chi tiết")</f>
        <v/>
      </c>
    </row>
    <row r="54">
      <c r="B54" s="9" t="n">
        <v>52</v>
      </c>
      <c r="C54" s="10" t="inlineStr">
        <is>
          <t>Kỹ Thuật Viên Bảo Trì</t>
        </is>
      </c>
      <c r="D54" s="10" t="inlineStr">
        <is>
          <t>Anheuser- Busch Inbev (AB Inbev)</t>
        </is>
      </c>
      <c r="E54" s="10" t="inlineStr">
        <is>
          <t>Thương lượng</t>
        </is>
      </c>
      <c r="F54" s="10" t="inlineStr">
        <is>
          <t>Bình Dương</t>
        </is>
      </c>
      <c r="G54" s="10" t="inlineStr">
        <is>
          <t>Mới Tốt Nghiệp</t>
        </is>
      </c>
      <c r="H54" s="10" t="inlineStr">
        <is>
          <t>31/12/2025</t>
        </is>
      </c>
      <c r="I54" s="10" t="inlineStr">
        <is>
          <t>19/03/2026</t>
        </is>
      </c>
      <c r="J54" s="10" t="inlineStr">
        <is>
          <t>17/03/2026</t>
        </is>
      </c>
      <c r="K54" s="10" t="inlineStr">
        <is>
          <t>N/A</t>
        </is>
      </c>
      <c r="L54" s="10" t="inlineStr">
        <is>
          <t>Maintenance, Cơ Khí, Bảo Trì, Bảo Dưỡng, Tự Động Hóa</t>
        </is>
      </c>
      <c r="M54" s="10" t="inlineStr">
        <is>
          <t>Healthcare Plan, Paid Leave, Training</t>
        </is>
      </c>
      <c r="N54" s="11">
        <f>HYPERLINK("https://www.vietnamworks.com/ky-thuat-vien-bao-tri--1998433-jv","Xem chi tiết")</f>
        <v/>
      </c>
      <c r="O54" s="10" t="n"/>
    </row>
    <row r="55">
      <c r="B55" s="7" t="n">
        <v>53</v>
      </c>
      <c r="C55" t="inlineStr">
        <is>
          <t>[Hà Nội] Trưởng Nhóm Khách Hàng Cá Nhân</t>
        </is>
      </c>
      <c r="D55" t="inlineStr">
        <is>
          <t>Ngân hàng TMCP Tiên Phong (TPBank)</t>
        </is>
      </c>
      <c r="E55" t="inlineStr">
        <is>
          <t>Thương lượng</t>
        </is>
      </c>
      <c r="F55" t="inlineStr">
        <is>
          <t>Hà Nội</t>
        </is>
      </c>
      <c r="G55" t="inlineStr">
        <is>
          <t>Nhân viên</t>
        </is>
      </c>
      <c r="H55" t="inlineStr">
        <is>
          <t>31/12/2025</t>
        </is>
      </c>
      <c r="I55" t="inlineStr">
        <is>
          <t>19/03/2026</t>
        </is>
      </c>
      <c r="J55" t="inlineStr">
        <is>
          <t>17/03/2026</t>
        </is>
      </c>
      <c r="K55" t="inlineStr">
        <is>
          <t>N/A</t>
        </is>
      </c>
      <c r="L55" t="inlineStr">
        <is>
          <t>Tài Chính, Quản Trị Rủi Ro, Sales, Khách Hàng Cá Nhân, Quan Hệ Khách Hàng Cá Nhân</t>
        </is>
      </c>
      <c r="M55" t="inlineStr">
        <is>
          <t>Bonus, Healthcare Plan, Paid Leave, Training, Awards, Mobile, Team Activities, Transportation, Others</t>
        </is>
      </c>
      <c r="N55" s="8">
        <f>HYPERLINK("https://www.vietnamworks.com/ha-noi-truong-nhom-khach-hang-ca-nhan-1998447-jv","Xem chi tiết")</f>
        <v/>
      </c>
    </row>
    <row r="56">
      <c r="B56" s="9" t="n">
        <v>54</v>
      </c>
      <c r="C56" s="10" t="inlineStr">
        <is>
          <t>Kỹ Thuật Viên Thang Máy</t>
        </is>
      </c>
      <c r="D56" s="10" t="inlineStr">
        <is>
          <t>Công ty cổ phần Gama Việt Nam</t>
        </is>
      </c>
      <c r="E56" s="10" t="inlineStr">
        <is>
          <t>Từ 20tr ₫/tháng</t>
        </is>
      </c>
      <c r="F56" s="10" t="inlineStr">
        <is>
          <t>Hà Nội</t>
        </is>
      </c>
      <c r="G56" s="10" t="inlineStr">
        <is>
          <t>Nhân viên</t>
        </is>
      </c>
      <c r="H56" s="10" t="inlineStr">
        <is>
          <t>31/12/2025</t>
        </is>
      </c>
      <c r="I56" s="10" t="inlineStr">
        <is>
          <t>19/03/2026</t>
        </is>
      </c>
      <c r="J56" s="10" t="inlineStr">
        <is>
          <t>17/03/2026</t>
        </is>
      </c>
      <c r="K56" s="10" t="inlineStr">
        <is>
          <t>N/A</t>
        </is>
      </c>
      <c r="L56" s="10" t="inlineStr">
        <is>
          <t>Cơ Điện Tử, Điện, Tự Động Hóa, Cơ Khí, QC Thang Máy</t>
        </is>
      </c>
      <c r="M56" s="10" t="inlineStr">
        <is>
          <t>Bonus, Paid Leave, Training, Team Activities</t>
        </is>
      </c>
      <c r="N56" s="11">
        <f>HYPERLINK("https://www.vietnamworks.com/ky-thuat-vien-thang-may-1998322-jv","Xem chi tiết")</f>
        <v/>
      </c>
      <c r="O56" s="10" t="n"/>
    </row>
    <row r="57">
      <c r="B57" s="7" t="n">
        <v>55</v>
      </c>
      <c r="C57" t="inlineStr">
        <is>
          <t>Nhân Viên Dựng Mô Hình BIM Kiến Trúc</t>
        </is>
      </c>
      <c r="D57" t="inlineStr">
        <is>
          <t>Công Ty TNHH Doalltech Vietnam</t>
        </is>
      </c>
      <c r="E57" t="inlineStr">
        <is>
          <t>Thương lượng</t>
        </is>
      </c>
      <c r="F57" t="inlineStr">
        <is>
          <t>Hà Nội</t>
        </is>
      </c>
      <c r="G57" t="inlineStr">
        <is>
          <t>Mới Tốt Nghiệp</t>
        </is>
      </c>
      <c r="H57" t="inlineStr">
        <is>
          <t>31/12/2025</t>
        </is>
      </c>
      <c r="I57" t="inlineStr">
        <is>
          <t>19/03/2026</t>
        </is>
      </c>
      <c r="J57" t="inlineStr">
        <is>
          <t>17/03/2026</t>
        </is>
      </c>
      <c r="K57" t="inlineStr">
        <is>
          <t>N/A</t>
        </is>
      </c>
      <c r="L57" t="inlineStr">
        <is>
          <t>Revit, BIM, AutoCAD, Civil 3D, Teamwork</t>
        </is>
      </c>
      <c r="M57" t="inlineStr">
        <is>
          <t>Bonus, Healthcare Plan, Paid Leave, Training, Others</t>
        </is>
      </c>
      <c r="N57" s="8">
        <f>HYPERLINK("https://www.vietnamworks.com/nhan-vien-dung-mo-hinh-bim-kien-truc-1998408-jv","Xem chi tiết")</f>
        <v/>
      </c>
    </row>
    <row r="58">
      <c r="B58" s="9" t="n">
        <v>56</v>
      </c>
      <c r="C58" s="10" t="inlineStr">
        <is>
          <t>Phó Phòng Mua Hàng - Vật tư chính xây dựng</t>
        </is>
      </c>
      <c r="D58" s="10" t="inlineStr">
        <is>
          <t>Tập Đoàn FECON</t>
        </is>
      </c>
      <c r="E58" s="10" t="inlineStr">
        <is>
          <t>Thương lượng</t>
        </is>
      </c>
      <c r="F58" s="10" t="inlineStr">
        <is>
          <t>Hà Nội</t>
        </is>
      </c>
      <c r="G58" s="10" t="inlineStr">
        <is>
          <t>Trưởng phòng</t>
        </is>
      </c>
      <c r="H58" s="10" t="inlineStr">
        <is>
          <t>31/12/2025</t>
        </is>
      </c>
      <c r="I58" s="10" t="inlineStr">
        <is>
          <t>19/03/2026</t>
        </is>
      </c>
      <c r="J58" s="10" t="inlineStr">
        <is>
          <t>17/03/2026</t>
        </is>
      </c>
      <c r="K58" s="10" t="inlineStr">
        <is>
          <t>N/A</t>
        </is>
      </c>
      <c r="L58" s="10" t="inlineStr">
        <is>
          <t>Cung Ứng Vật Tư Xây Dựng, Quản Lý Hợp Đồng, Quản Lý Nhà Cung Cấp, Tìm Kiếm Nhà Cung Cấp, Đàm Phán Nhà Cung Cấp</t>
        </is>
      </c>
      <c r="M58" s="10" t="inlineStr">
        <is>
          <t>Bonus, Healthcare Plan, Paid Leave, Training, Others</t>
        </is>
      </c>
      <c r="N58" s="11">
        <f>HYPERLINK("https://www.vietnamworks.com/pho-phong-mua-hang-vat-tu-chinh-xay-dung-1998560-jv","Xem chi tiết")</f>
        <v/>
      </c>
      <c r="O58" s="10" t="n"/>
    </row>
    <row r="59">
      <c r="B59" s="7" t="n">
        <v>57</v>
      </c>
      <c r="C59" t="inlineStr">
        <is>
          <t>Trưởng Phòng Marketing (Marketing Manager)</t>
        </is>
      </c>
      <c r="D59" t="inlineStr">
        <is>
          <t>CÔNG TY CỔ PHẦN TẬP ĐOÀN TUẦN CHÂU</t>
        </is>
      </c>
      <c r="E59" t="inlineStr">
        <is>
          <t>Thương lượng</t>
        </is>
      </c>
      <c r="F59" t="inlineStr">
        <is>
          <t>Hà Nội</t>
        </is>
      </c>
      <c r="G59" t="inlineStr">
        <is>
          <t>Trưởng phòng</t>
        </is>
      </c>
      <c r="H59" t="inlineStr">
        <is>
          <t>31/12/2025</t>
        </is>
      </c>
      <c r="I59" t="inlineStr">
        <is>
          <t>19/03/2026</t>
        </is>
      </c>
      <c r="J59" t="inlineStr">
        <is>
          <t>17/03/2026</t>
        </is>
      </c>
      <c r="K59" t="inlineStr">
        <is>
          <t>N/A</t>
        </is>
      </c>
      <c r="L59" t="inlineStr">
        <is>
          <t>Branding, Digital Marketing, Event Operation, Lãnh Đạo, Truyền Thông</t>
        </is>
      </c>
      <c r="M59" t="inlineStr">
        <is>
          <t>Bonus, Healthcare Plan, Training, Others</t>
        </is>
      </c>
      <c r="N59" s="8">
        <f>HYPERLINK("https://www.vietnamworks.com/truong-phong-marketing-marketing-manager-1998351-jv","Xem chi tiết")</f>
        <v/>
      </c>
    </row>
    <row r="60">
      <c r="B60" s="9" t="n">
        <v>58</v>
      </c>
      <c r="C60" s="10" t="inlineStr">
        <is>
          <t>Chuyên Gia Đối Tác Khách Hàng Doanh Nghiệp (Mảng Đối Tác Số) - Khối KHDN</t>
        </is>
      </c>
      <c r="D60" s="10" t="inlineStr">
        <is>
          <t>Ngân Hàng TMCP Đại Chúng Việt Nam</t>
        </is>
      </c>
      <c r="E60" s="10" t="inlineStr">
        <is>
          <t>Thương lượng</t>
        </is>
      </c>
      <c r="F60" s="10" t="inlineStr">
        <is>
          <t>Hà Nội</t>
        </is>
      </c>
      <c r="G60" s="10" t="inlineStr">
        <is>
          <t>Nhân viên</t>
        </is>
      </c>
      <c r="H60" s="10" t="inlineStr">
        <is>
          <t>31/12/2025</t>
        </is>
      </c>
      <c r="I60" s="10" t="inlineStr">
        <is>
          <t>19/03/2026</t>
        </is>
      </c>
      <c r="J60" s="10" t="inlineStr">
        <is>
          <t>17/03/2026</t>
        </is>
      </c>
      <c r="K60" s="10" t="inlineStr">
        <is>
          <t>N/A</t>
        </is>
      </c>
      <c r="L60" s="10" t="inlineStr">
        <is>
          <t>Fintech, Digital Banking, Tìm Kiếm Đối Tác, Digital Payment, API Integration</t>
        </is>
      </c>
      <c r="M60" s="10" t="inlineStr">
        <is>
          <t>Bonus, Healthcare Plan, Canteen</t>
        </is>
      </c>
      <c r="N60" s="11">
        <f>HYPERLINK("https://www.vietnamworks.com/chuyen-gia-doi-tac-khach-hang-doanh-nghiep-mang-doi-tac-so-khoi-khdn-1998613-jv","Xem chi tiết")</f>
        <v/>
      </c>
      <c r="O60" s="10" t="n"/>
    </row>
    <row r="61">
      <c r="B61" s="7" t="n">
        <v>59</v>
      </c>
      <c r="C61" t="inlineStr">
        <is>
          <t>UX Designer (Mobile Games)</t>
        </is>
      </c>
      <c r="D61" t="inlineStr">
        <is>
          <t>LIHUHU GAMES</t>
        </is>
      </c>
      <c r="E61" t="inlineStr">
        <is>
          <t>Thương lượng</t>
        </is>
      </c>
      <c r="F61" t="inlineStr">
        <is>
          <t>Hồ Chí Minh</t>
        </is>
      </c>
      <c r="G61" t="inlineStr">
        <is>
          <t>Nhân viên</t>
        </is>
      </c>
      <c r="H61" t="inlineStr">
        <is>
          <t>31/12/2025</t>
        </is>
      </c>
      <c r="I61" t="inlineStr">
        <is>
          <t>19/03/2026</t>
        </is>
      </c>
      <c r="J61" t="inlineStr">
        <is>
          <t>17/03/2026</t>
        </is>
      </c>
      <c r="K61" t="inlineStr">
        <is>
          <t>N/A</t>
        </is>
      </c>
      <c r="L61" t="inlineStr">
        <is>
          <t>Figma, Animation Game, Thiết Kế Đồ Họa, Tư Duy Thẩm Mỹ, Đồ Họa Game</t>
        </is>
      </c>
      <c r="M61" t="inlineStr">
        <is>
          <t>Bonus, Healthcare Plan, Paid Leave, Training, Laptop, Travel Opportunities, Canteen, Others</t>
        </is>
      </c>
      <c r="N61" s="8">
        <f>HYPERLINK("https://www.vietnamworks.com/ux-designer-mobile-games-1998411-jv","Xem chi tiết")</f>
        <v/>
      </c>
    </row>
    <row r="62">
      <c r="B62" s="9" t="n">
        <v>60</v>
      </c>
      <c r="C62" s="10" t="inlineStr">
        <is>
          <t>Head of Project Management Office (PMO)</t>
        </is>
      </c>
      <c r="D62" s="10" t="inlineStr">
        <is>
          <t>Ho Chi Minh City Securities Corporation (HSC)</t>
        </is>
      </c>
      <c r="E62" s="10" t="inlineStr">
        <is>
          <t>Thương lượng</t>
        </is>
      </c>
      <c r="F62" s="10" t="inlineStr">
        <is>
          <t>Hồ Chí Minh</t>
        </is>
      </c>
      <c r="G62" s="10" t="inlineStr">
        <is>
          <t>Giám Đốc và Cấp Cao Hơn</t>
        </is>
      </c>
      <c r="H62" s="10" t="inlineStr">
        <is>
          <t>31/12/2025</t>
        </is>
      </c>
      <c r="I62" s="10" t="inlineStr">
        <is>
          <t>19/03/2026</t>
        </is>
      </c>
      <c r="J62" s="10" t="inlineStr">
        <is>
          <t>17/03/2026</t>
        </is>
      </c>
      <c r="K62" s="10" t="inlineStr">
        <is>
          <t>N/A</t>
        </is>
      </c>
      <c r="L62" s="10" t="inlineStr">
        <is>
          <t>AI, Product Management, Product Owner, Project Management, Scrum</t>
        </is>
      </c>
      <c r="M62" s="10" t="inlineStr">
        <is>
          <t>Healthcare Plan, Paid Leave, Training</t>
        </is>
      </c>
      <c r="N62" s="11">
        <f>HYPERLINK("https://www.vietnamworks.com/head-of-project-management-office-pmo-1998483-jv","Xem chi tiết")</f>
        <v/>
      </c>
      <c r="O62" s="10" t="n"/>
    </row>
    <row r="63">
      <c r="B63" s="7" t="n">
        <v>61</v>
      </c>
      <c r="C63" t="inlineStr">
        <is>
          <t>Chuyên viên Pháp chế hợp đồng - Alphanam Group</t>
        </is>
      </c>
      <c r="D63" t="inlineStr">
        <is>
          <t>Alphanam Group</t>
        </is>
      </c>
      <c r="E63" t="inlineStr">
        <is>
          <t>20tr-40tr ₫/tháng</t>
        </is>
      </c>
      <c r="F63" t="inlineStr">
        <is>
          <t>Hà Nội</t>
        </is>
      </c>
      <c r="G63" t="inlineStr">
        <is>
          <t>Nhân viên</t>
        </is>
      </c>
      <c r="H63" t="inlineStr">
        <is>
          <t>31/12/2025</t>
        </is>
      </c>
      <c r="I63" t="inlineStr">
        <is>
          <t>19/03/2026</t>
        </is>
      </c>
      <c r="J63" t="inlineStr">
        <is>
          <t>17/03/2026</t>
        </is>
      </c>
      <c r="K63" t="inlineStr">
        <is>
          <t>N/A</t>
        </is>
      </c>
      <c r="L63" t="inlineStr">
        <is>
          <t>Giao Tiếp, Luật, Quản Lý Thời Gian, Soạn Thảo Hợp Đồng, Tư Vấn Pháp Lý</t>
        </is>
      </c>
      <c r="M63" t="inlineStr">
        <is>
          <t>Bonus, Paid Leave, Training, Awards, Vouchers</t>
        </is>
      </c>
      <c r="N63" s="8">
        <f>HYPERLINK("https://www.vietnamworks.com/chuyen-vien-phap-che-hop-djong-alphanam-group-1998627-jv","Xem chi tiết")</f>
        <v/>
      </c>
    </row>
    <row r="64">
      <c r="B64" s="9" t="n">
        <v>62</v>
      </c>
      <c r="C64" s="10" t="inlineStr">
        <is>
          <t>Sales Manager (Korean Speaking)</t>
        </is>
      </c>
      <c r="D64" s="10" t="inlineStr">
        <is>
          <t>Panasonic Vietnam Co.,LTD</t>
        </is>
      </c>
      <c r="E64" s="10" t="inlineStr">
        <is>
          <t>Thương lượng</t>
        </is>
      </c>
      <c r="F64" s="10" t="inlineStr">
        <is>
          <t>Hà Nội</t>
        </is>
      </c>
      <c r="G64" s="10" t="inlineStr">
        <is>
          <t>Trưởng phòng</t>
        </is>
      </c>
      <c r="H64" s="10" t="inlineStr">
        <is>
          <t>31/12/2025</t>
        </is>
      </c>
      <c r="I64" s="10" t="inlineStr">
        <is>
          <t>19/03/2026</t>
        </is>
      </c>
      <c r="J64" s="10" t="inlineStr">
        <is>
          <t>17/03/2026</t>
        </is>
      </c>
      <c r="K64" s="10" t="inlineStr">
        <is>
          <t>N/A</t>
        </is>
      </c>
      <c r="L64" s="10" t="inlineStr">
        <is>
          <t>SMT experience, Sales, Korean Language, B2B Sales, Communication</t>
        </is>
      </c>
      <c r="M64" s="10" t="inlineStr">
        <is>
          <t>Bonus, Training, Transportation</t>
        </is>
      </c>
      <c r="N64" s="11">
        <f>HYPERLINK("https://www.vietnamworks.com/sales-manager-korean-speaking--1998675-jv","Xem chi tiết")</f>
        <v/>
      </c>
      <c r="O64" s="10" t="n"/>
    </row>
    <row r="65">
      <c r="B65" s="7" t="n">
        <v>63</v>
      </c>
      <c r="C65" t="inlineStr">
        <is>
          <t>[Northern HO] Compliance Monitoring - Legal &amp; Compliance Department</t>
        </is>
      </c>
      <c r="D65" t="inlineStr">
        <is>
          <t>Shinhan Bank Vietnam</t>
        </is>
      </c>
      <c r="E65" t="inlineStr">
        <is>
          <t>Từ $ 1 /tháng</t>
        </is>
      </c>
      <c r="F65" t="inlineStr">
        <is>
          <t>Hà Nội</t>
        </is>
      </c>
      <c r="G65" t="inlineStr">
        <is>
          <t>Nhân viên</t>
        </is>
      </c>
      <c r="H65" t="inlineStr">
        <is>
          <t>31/12/2025</t>
        </is>
      </c>
      <c r="I65" t="inlineStr">
        <is>
          <t>19/03/2026</t>
        </is>
      </c>
      <c r="J65" t="inlineStr">
        <is>
          <t>17/03/2026</t>
        </is>
      </c>
      <c r="K65" t="inlineStr">
        <is>
          <t>N/A</t>
        </is>
      </c>
      <c r="L65" t="inlineStr">
        <is>
          <t>Kiểm Soát Tuân Thủ, Pháp Chế</t>
        </is>
      </c>
      <c r="M65" t="inlineStr">
        <is>
          <t>Healthcare Plan, Paid Leave</t>
        </is>
      </c>
      <c r="N65" s="8">
        <f>HYPERLINK("https://www.vietnamworks.com/northern-ho-compliance-monitoring-legal-compliance-department-1998937-jv","Xem chi tiết")</f>
        <v/>
      </c>
    </row>
    <row r="66">
      <c r="B66" s="9" t="n">
        <v>64</v>
      </c>
      <c r="C66" s="10" t="inlineStr">
        <is>
          <t>Cán Bộ Kỹ Thuật Công Trường</t>
        </is>
      </c>
      <c r="D66" s="10" t="inlineStr">
        <is>
          <t>Công Ty Cổ Phần Xây Dựng Và Đầu Tư Visicons</t>
        </is>
      </c>
      <c r="E66" s="10" t="inlineStr">
        <is>
          <t>14-30 ₫/tháng</t>
        </is>
      </c>
      <c r="F66" s="10" t="inlineStr">
        <is>
          <t>Hải Dương, Hà Nam, Nam Định</t>
        </is>
      </c>
      <c r="G66" s="10" t="inlineStr">
        <is>
          <t>Nhân viên</t>
        </is>
      </c>
      <c r="H66" s="10" t="inlineStr">
        <is>
          <t>31/12/2025</t>
        </is>
      </c>
      <c r="I66" s="10" t="inlineStr">
        <is>
          <t>19/03/2026</t>
        </is>
      </c>
      <c r="J66" s="10" t="inlineStr">
        <is>
          <t>17/03/2026</t>
        </is>
      </c>
      <c r="K66" s="10" t="inlineStr">
        <is>
          <t>N/A</t>
        </is>
      </c>
      <c r="L66" s="10" t="inlineStr">
        <is>
          <t>Kỹ Sư Xây Dựng, Giám Sát Thi Công, QS, Qc, QA</t>
        </is>
      </c>
      <c r="M66" s="10" t="inlineStr">
        <is>
          <t>Bonus, Healthcare Plan, Training</t>
        </is>
      </c>
      <c r="N66" s="11">
        <f>HYPERLINK("https://www.vietnamworks.com/can-bo-ky-thuat-cong-truong--1998657-jv","Xem chi tiết")</f>
        <v/>
      </c>
      <c r="O66" s="10" t="n"/>
    </row>
    <row r="67">
      <c r="B67" s="7" t="n">
        <v>65</v>
      </c>
      <c r="C67" t="inlineStr">
        <is>
          <t>Supplier Quality Engineer</t>
        </is>
      </c>
      <c r="D67" t="inlineStr">
        <is>
          <t>Fushan Technology Vietnam</t>
        </is>
      </c>
      <c r="E67" t="inlineStr">
        <is>
          <t>$$ 500-1,000 /tháng</t>
        </is>
      </c>
      <c r="F67" t="inlineStr">
        <is>
          <t>Bắc Ninh, Hà Nội, Bắc Giang</t>
        </is>
      </c>
      <c r="G67" t="inlineStr">
        <is>
          <t>Nhân viên</t>
        </is>
      </c>
      <c r="H67" t="inlineStr">
        <is>
          <t>02/01/2026</t>
        </is>
      </c>
      <c r="I67" t="inlineStr">
        <is>
          <t>19/03/2026</t>
        </is>
      </c>
      <c r="J67" t="inlineStr">
        <is>
          <t>17/03/2026</t>
        </is>
      </c>
      <c r="K67" t="inlineStr">
        <is>
          <t>N/A</t>
        </is>
      </c>
      <c r="L67" t="inlineStr">
        <is>
          <t>Supplier Quality Management, Quality Management, QA, Supplier Audit</t>
        </is>
      </c>
      <c r="M67" t="inlineStr">
        <is>
          <t>Bonus, Healthcare Plan, Transportation</t>
        </is>
      </c>
      <c r="N67" s="8">
        <f>HYPERLINK("https://www.vietnamworks.com/supplier-quality-engineer--1999024-jv","Xem chi tiết")</f>
        <v/>
      </c>
    </row>
    <row r="68">
      <c r="B68" s="9" t="n">
        <v>66</v>
      </c>
      <c r="C68" s="10" t="inlineStr">
        <is>
          <t>Kiến Trúc Sư</t>
        </is>
      </c>
      <c r="D68" s="10" t="inlineStr">
        <is>
          <t>Công ty Cổ phần Xây dựng Hợp Lực</t>
        </is>
      </c>
      <c r="E68" s="10" t="inlineStr">
        <is>
          <t>Thương lượng</t>
        </is>
      </c>
      <c r="F68" s="10" t="inlineStr">
        <is>
          <t>Hà Nội</t>
        </is>
      </c>
      <c r="G68" s="10" t="inlineStr">
        <is>
          <t>Nhân viên</t>
        </is>
      </c>
      <c r="H68" s="10" t="inlineStr">
        <is>
          <t>31/12/2025</t>
        </is>
      </c>
      <c r="I68" s="10" t="inlineStr">
        <is>
          <t>19/03/2026</t>
        </is>
      </c>
      <c r="J68" s="10" t="inlineStr">
        <is>
          <t>17/03/2026</t>
        </is>
      </c>
      <c r="K68" s="10" t="inlineStr">
        <is>
          <t>N/A</t>
        </is>
      </c>
      <c r="L68" s="10" t="inlineStr">
        <is>
          <t>Thiết Kế Concept, Phần Mềm 3D, MS Office, Architecture Drafting, Thiết Kế Công Trình</t>
        </is>
      </c>
      <c r="M68" s="10" t="inlineStr">
        <is>
          <t>Bonus, Healthcare Plan, Paid Leave, Training, Travel Opportunities, Others</t>
        </is>
      </c>
      <c r="N68" s="11">
        <f>HYPERLINK("https://www.vietnamworks.com/kien-truc-su-1998946-jv","Xem chi tiết")</f>
        <v/>
      </c>
      <c r="O68" s="10" t="n"/>
    </row>
    <row r="69">
      <c r="B69" s="7" t="n">
        <v>67</v>
      </c>
      <c r="C69" t="inlineStr">
        <is>
          <t>Kỹ Sư Kết Cấu</t>
        </is>
      </c>
      <c r="D69" t="inlineStr">
        <is>
          <t>Công ty Cổ phần Xây dựng Hợp Lực</t>
        </is>
      </c>
      <c r="E69" t="inlineStr">
        <is>
          <t>$$ 500-1,000 /tháng</t>
        </is>
      </c>
      <c r="F69" t="inlineStr">
        <is>
          <t>Hà Nội</t>
        </is>
      </c>
      <c r="G69" t="inlineStr">
        <is>
          <t>Nhân viên</t>
        </is>
      </c>
      <c r="H69" t="inlineStr">
        <is>
          <t>31/12/2025</t>
        </is>
      </c>
      <c r="I69" t="inlineStr">
        <is>
          <t>19/03/2026</t>
        </is>
      </c>
      <c r="J69" t="inlineStr">
        <is>
          <t>17/03/2026</t>
        </is>
      </c>
      <c r="K69" t="inlineStr">
        <is>
          <t>N/A</t>
        </is>
      </c>
      <c r="L69" t="inlineStr">
        <is>
          <t>Kỹ Sư Kết Cấu, AutoCAD, Thiết Kế Kết Cấu, Công Tác Đấu Thầu, Etab</t>
        </is>
      </c>
      <c r="M69" t="inlineStr">
        <is>
          <t>Bonus, Healthcare Plan, Travel Opportunities</t>
        </is>
      </c>
      <c r="N69" s="8">
        <f>HYPERLINK("https://www.vietnamworks.com/ky-su-ket-cau--1998947-jv","Xem chi tiết")</f>
        <v/>
      </c>
    </row>
    <row r="70">
      <c r="B70" s="9" t="n">
        <v>68</v>
      </c>
      <c r="C70" s="10" t="inlineStr">
        <is>
          <t>Giám Đốc Phòng Tổ Chức Đấu Thầu</t>
        </is>
      </c>
      <c r="D70" s="10" t="inlineStr">
        <is>
          <t>Công Ty Cổ Phần Tổng Công Ty Nova Service</t>
        </is>
      </c>
      <c r="E70" s="10" t="inlineStr">
        <is>
          <t>Thương lượng</t>
        </is>
      </c>
      <c r="F70" s="10" t="inlineStr">
        <is>
          <t>Hồ Chí Minh</t>
        </is>
      </c>
      <c r="G70" s="10" t="inlineStr">
        <is>
          <t>Giám Đốc và Cấp Cao Hơn</t>
        </is>
      </c>
      <c r="H70" s="10" t="inlineStr">
        <is>
          <t>31/12/2025</t>
        </is>
      </c>
      <c r="I70" s="10" t="inlineStr">
        <is>
          <t>19/03/2026</t>
        </is>
      </c>
      <c r="J70" s="10" t="inlineStr">
        <is>
          <t>17/03/2026</t>
        </is>
      </c>
      <c r="K70" s="10" t="inlineStr">
        <is>
          <t>N/A</t>
        </is>
      </c>
      <c r="L70" s="10" t="inlineStr">
        <is>
          <t>Cung Ứng, Đấu Thầu, Procurement &amp; Supplier Management, Purchasing Strategies</t>
        </is>
      </c>
      <c r="M70" s="10" t="inlineStr">
        <is>
          <t>Bonus, Paid Leave, Training</t>
        </is>
      </c>
      <c r="N70" s="11">
        <f>HYPERLINK("https://www.vietnamworks.com/giam-doc-phong-to-chuc-dau-thau-1998856-jv","Xem chi tiết")</f>
        <v/>
      </c>
      <c r="O70" s="10" t="n"/>
    </row>
    <row r="71">
      <c r="B71" s="7" t="n">
        <v>69</v>
      </c>
      <c r="C71" t="inlineStr">
        <is>
          <t>Trưởng Ban Đầu Tư</t>
        </is>
      </c>
      <c r="D71" t="inlineStr">
        <is>
          <t>TNHH LẠC VIỆT QUY NHƠN</t>
        </is>
      </c>
      <c r="E71" t="inlineStr">
        <is>
          <t>Thương lượng</t>
        </is>
      </c>
      <c r="F71" t="inlineStr">
        <is>
          <t>Hà Nội</t>
        </is>
      </c>
      <c r="G71" t="inlineStr">
        <is>
          <t>Trưởng phòng</t>
        </is>
      </c>
      <c r="H71" t="inlineStr">
        <is>
          <t>31/12/2025</t>
        </is>
      </c>
      <c r="I71" t="inlineStr">
        <is>
          <t>19/03/2026</t>
        </is>
      </c>
      <c r="J71" t="inlineStr">
        <is>
          <t>17/03/2026</t>
        </is>
      </c>
      <c r="K71" t="inlineStr">
        <is>
          <t>N/A</t>
        </is>
      </c>
      <c r="L71" t="inlineStr">
        <is>
          <t>Bất Động Sản, Luật Đầu Tư, Kinh Tế Đầu Tư, Nghiên Cứu Thị Trường, Phát Triển Dự Án</t>
        </is>
      </c>
      <c r="M71" t="inlineStr">
        <is>
          <t>Healthcare Plan, Awards, Others</t>
        </is>
      </c>
      <c r="N71" s="8">
        <f>HYPERLINK("https://www.vietnamworks.com/truong-ban-djau-tu-1998760-jv","Xem chi tiết")</f>
        <v/>
      </c>
    </row>
    <row r="72">
      <c r="B72" s="9" t="n">
        <v>70</v>
      </c>
      <c r="C72" s="10" t="inlineStr">
        <is>
          <t>Nhân Viên Hiện Trường Hàng Air</t>
        </is>
      </c>
      <c r="D72" s="10" t="inlineStr">
        <is>
          <t>Thami Corporation</t>
        </is>
      </c>
      <c r="E72" s="10" t="inlineStr">
        <is>
          <t>$$ 350-450 /tháng</t>
        </is>
      </c>
      <c r="F72" s="10" t="inlineStr">
        <is>
          <t>Hồ Chí Minh</t>
        </is>
      </c>
      <c r="G72" s="10" t="inlineStr">
        <is>
          <t>Nhân viên</t>
        </is>
      </c>
      <c r="H72" s="10" t="inlineStr">
        <is>
          <t>02/01/2026</t>
        </is>
      </c>
      <c r="I72" s="10" t="inlineStr">
        <is>
          <t>19/03/2026</t>
        </is>
      </c>
      <c r="J72" s="10" t="inlineStr">
        <is>
          <t>17/03/2026</t>
        </is>
      </c>
      <c r="K72" s="10" t="inlineStr">
        <is>
          <t>N/A</t>
        </is>
      </c>
      <c r="L72" s="10" t="inlineStr">
        <is>
          <t>Thủ Tục Hải Quan, Giao Nhận Hiện Trường, Xuất Nhập Khẩu</t>
        </is>
      </c>
      <c r="M72" s="10" t="inlineStr">
        <is>
          <t>Bonus, Healthcare Plan, Paid Leave</t>
        </is>
      </c>
      <c r="N72" s="11">
        <f>HYPERLINK("https://www.vietnamworks.com/nhan-vien-hien-truong-hang-air-1999047-jv","Xem chi tiết")</f>
        <v/>
      </c>
      <c r="O72" s="10" t="n"/>
    </row>
    <row r="73">
      <c r="B73" s="7" t="n">
        <v>71</v>
      </c>
      <c r="C73" t="inlineStr">
        <is>
          <t>Kế Toán Tổng Hợp</t>
        </is>
      </c>
      <c r="D73" t="inlineStr">
        <is>
          <t>Công ty Cổ phần Xây dựng Hợp Lực</t>
        </is>
      </c>
      <c r="E73" t="inlineStr">
        <is>
          <t>15tr-20tr ₫/tháng</t>
        </is>
      </c>
      <c r="F73" t="inlineStr">
        <is>
          <t>Hà Nội</t>
        </is>
      </c>
      <c r="G73" t="inlineStr">
        <is>
          <t>Nhân viên</t>
        </is>
      </c>
      <c r="H73" t="inlineStr">
        <is>
          <t>31/12/2025</t>
        </is>
      </c>
      <c r="I73" t="inlineStr">
        <is>
          <t>19/03/2026</t>
        </is>
      </c>
      <c r="J73" t="inlineStr">
        <is>
          <t>17/03/2026</t>
        </is>
      </c>
      <c r="K73" t="inlineStr">
        <is>
          <t>N/A</t>
        </is>
      </c>
      <c r="L73" t="inlineStr">
        <is>
          <t>Báo Cáo Tài Chính, Kế Toán Tổng Hợp, Kiểm Toán, Nghiệp Vụ Kế Toán, Quyết Toán Thuế</t>
        </is>
      </c>
      <c r="M73" t="inlineStr">
        <is>
          <t>Bonus, Healthcare Plan, Paid Leave, Training, Travel Opportunities, Others</t>
        </is>
      </c>
      <c r="N73" s="8">
        <f>HYPERLINK("https://www.vietnamworks.com/ke-toan-tong-hop-1998950-jv","Xem chi tiết")</f>
        <v/>
      </c>
    </row>
    <row r="74">
      <c r="B74" s="9" t="n">
        <v>72</v>
      </c>
      <c r="C74" s="10" t="inlineStr">
        <is>
          <t xml:space="preserve">Manager - Strategy and Execution - Hanoi Office </t>
        </is>
      </c>
      <c r="D74" s="10" t="inlineStr">
        <is>
          <t>Ernst &amp; Young Vietnam Limited (EY Vietnam)</t>
        </is>
      </c>
      <c r="E74" s="10" t="inlineStr">
        <is>
          <t>Thương lượng</t>
        </is>
      </c>
      <c r="F74" s="10" t="inlineStr">
        <is>
          <t>Hà Nội</t>
        </is>
      </c>
      <c r="G74" s="10" t="inlineStr">
        <is>
          <t>Trưởng phòng</t>
        </is>
      </c>
      <c r="H74" s="10" t="inlineStr">
        <is>
          <t>02/01/2026</t>
        </is>
      </c>
      <c r="I74" s="10" t="inlineStr">
        <is>
          <t>19/03/2026</t>
        </is>
      </c>
      <c r="J74" s="10" t="inlineStr">
        <is>
          <t>17/03/2026</t>
        </is>
      </c>
      <c r="K74" s="10" t="inlineStr">
        <is>
          <t>N/A</t>
        </is>
      </c>
      <c r="L74" s="10" t="inlineStr">
        <is>
          <t>Business Strategic, Marketing, Strategy Consulting, Strategy Execution</t>
        </is>
      </c>
      <c r="M74" s="10" t="inlineStr">
        <is>
          <t>Training, Team Activities, Others</t>
        </is>
      </c>
      <c r="N74" s="11">
        <f>HYPERLINK("https://www.vietnamworks.com/manager-strategy-and-execution-hanoi-office-1999007-jv","Xem chi tiết")</f>
        <v/>
      </c>
      <c r="O74" s="10" t="n"/>
    </row>
    <row r="75">
      <c r="B75" s="7" t="n">
        <v>73</v>
      </c>
      <c r="C75" t="inlineStr">
        <is>
          <t>Kế Toán Tổng Hợp</t>
        </is>
      </c>
      <c r="D75" t="inlineStr">
        <is>
          <t>The One Digi Corp</t>
        </is>
      </c>
      <c r="E75" t="inlineStr">
        <is>
          <t>$$ 400-700 /tháng</t>
        </is>
      </c>
      <c r="F75" t="inlineStr">
        <is>
          <t>Hồ Chí Minh</t>
        </is>
      </c>
      <c r="G75" t="inlineStr">
        <is>
          <t>Nhân viên</t>
        </is>
      </c>
      <c r="H75" t="inlineStr">
        <is>
          <t>02/01/2026</t>
        </is>
      </c>
      <c r="I75" t="inlineStr">
        <is>
          <t>19/03/2026</t>
        </is>
      </c>
      <c r="J75" t="inlineStr">
        <is>
          <t>17/03/2026</t>
        </is>
      </c>
      <c r="K75" t="inlineStr">
        <is>
          <t>N/A</t>
        </is>
      </c>
      <c r="L75" t="inlineStr">
        <is>
          <t>Kế Toán Tổng Hợp, Kế Toán Tổng Hợp nội bộ, Kế Toán Tài Chính</t>
        </is>
      </c>
      <c r="M75" t="inlineStr">
        <is>
          <t>Healthcare Plan, Paid Leave, Laptop</t>
        </is>
      </c>
      <c r="N75" s="8">
        <f>HYPERLINK("https://www.vietnamworks.com/ke-toan-tong-hop--1999083-jv","Xem chi tiết")</f>
        <v/>
      </c>
    </row>
    <row r="76">
      <c r="B76" s="9" t="n">
        <v>74</v>
      </c>
      <c r="C76" s="10" t="inlineStr">
        <is>
          <t>Giáo Viên IELTS (Middle-Senior Level)</t>
        </is>
      </c>
      <c r="D76" s="10" t="inlineStr">
        <is>
          <t>IELTS 1984</t>
        </is>
      </c>
      <c r="E76" s="10" t="inlineStr">
        <is>
          <t>27tr-45tr ₫/tháng</t>
        </is>
      </c>
      <c r="F76" s="10" t="inlineStr">
        <is>
          <t>Hồ Chí Minh</t>
        </is>
      </c>
      <c r="G76" s="10" t="inlineStr">
        <is>
          <t>Nhân viên</t>
        </is>
      </c>
      <c r="H76" s="10" t="inlineStr">
        <is>
          <t>02/01/2026</t>
        </is>
      </c>
      <c r="I76" s="10" t="inlineStr">
        <is>
          <t>19/03/2026</t>
        </is>
      </c>
      <c r="J76" s="10" t="inlineStr">
        <is>
          <t>17/03/2026</t>
        </is>
      </c>
      <c r="K76" s="10" t="inlineStr">
        <is>
          <t>N/A</t>
        </is>
      </c>
      <c r="L76" s="10" t="inlineStr">
        <is>
          <t>English Teaching, Giảng Dạy Tiếng Anh, Hỗ Trợ Học Sinh, Giảng Dạy Online, IELTS</t>
        </is>
      </c>
      <c r="M76" s="10" t="inlineStr">
        <is>
          <t>Healthcare Plan, Training, Others</t>
        </is>
      </c>
      <c r="N76" s="11">
        <f>HYPERLINK("https://www.vietnamworks.com/giao-vien-ielts-middle-senior-level--1999064-jv","Xem chi tiết")</f>
        <v/>
      </c>
      <c r="O76" s="10" t="n"/>
    </row>
    <row r="77">
      <c r="B77" s="7" t="n">
        <v>75</v>
      </c>
      <c r="C77" t="inlineStr">
        <is>
          <t>R&amp;D Manager ( Battery )</t>
        </is>
      </c>
      <c r="D77" t="inlineStr">
        <is>
          <t>ALUKO Group</t>
        </is>
      </c>
      <c r="E77" t="inlineStr">
        <is>
          <t>Thương lượng</t>
        </is>
      </c>
      <c r="F77" t="inlineStr">
        <is>
          <t>Hà Nội</t>
        </is>
      </c>
      <c r="G77" t="inlineStr">
        <is>
          <t>Trưởng phòng</t>
        </is>
      </c>
      <c r="H77" t="inlineStr">
        <is>
          <t>02/01/2026</t>
        </is>
      </c>
      <c r="I77" t="inlineStr">
        <is>
          <t>19/03/2026</t>
        </is>
      </c>
      <c r="J77" t="inlineStr">
        <is>
          <t>17/03/2026</t>
        </is>
      </c>
      <c r="K77" t="inlineStr">
        <is>
          <t>N/A</t>
        </is>
      </c>
      <c r="L77" t="inlineStr">
        <is>
          <t>R&amp;D, Ô Tô, Thiết Kế, Quản Lý</t>
        </is>
      </c>
      <c r="M77" t="inlineStr">
        <is>
          <t>Healthcare Plan, Paid Leave, Transportation</t>
        </is>
      </c>
      <c r="N77" s="8">
        <f>HYPERLINK("https://www.vietnamworks.com/r-d-manager-battery-1999130-jv","Xem chi tiết")</f>
        <v/>
      </c>
    </row>
    <row r="78">
      <c r="B78" s="9" t="n">
        <v>76</v>
      </c>
      <c r="C78" s="10" t="inlineStr">
        <is>
          <t>HR Section Manager - Recruitment</t>
        </is>
      </c>
      <c r="D78" s="10" t="inlineStr">
        <is>
          <t>Fushan Technology Vietnam</t>
        </is>
      </c>
      <c r="E78" s="10" t="inlineStr">
        <is>
          <t>Thương lượng</t>
        </is>
      </c>
      <c r="F78" s="10" t="inlineStr">
        <is>
          <t>Bắc Ninh, Hà Nội, Bắc Giang</t>
        </is>
      </c>
      <c r="G78" s="10" t="inlineStr">
        <is>
          <t>Trưởng phòng</t>
        </is>
      </c>
      <c r="H78" s="10" t="inlineStr">
        <is>
          <t>02/01/2026</t>
        </is>
      </c>
      <c r="I78" s="10" t="inlineStr">
        <is>
          <t>19/03/2026</t>
        </is>
      </c>
      <c r="J78" s="10" t="inlineStr">
        <is>
          <t>17/03/2026</t>
        </is>
      </c>
      <c r="K78" s="10" t="inlineStr">
        <is>
          <t>N/A</t>
        </is>
      </c>
      <c r="L78" s="10" t="inlineStr">
        <is>
          <t>Tuyển Dụng, Recruitment, Nhân Sự, Hành Chính Tuyển Dụng, Hành Chính Nhân Sự</t>
        </is>
      </c>
      <c r="M78" s="10" t="inlineStr">
        <is>
          <t>Bonus, Healthcare Plan, Paid Leave</t>
        </is>
      </c>
      <c r="N78" s="11">
        <f>HYPERLINK("https://www.vietnamworks.com/hr-section-manager-recruitment-1999087-jv","Xem chi tiết")</f>
        <v/>
      </c>
      <c r="O78" s="10" t="n"/>
    </row>
    <row r="79">
      <c r="B79" s="7" t="n">
        <v>77</v>
      </c>
      <c r="C79" t="inlineStr">
        <is>
          <t>Phó Phòng Kinh Doanh Kdnd 1</t>
        </is>
      </c>
      <c r="D79" t="inlineStr">
        <is>
          <t>CÔNG TY CỔ PHẦN DỆT GIA DỤNG PHONG PHÚ</t>
        </is>
      </c>
      <c r="E79" t="inlineStr">
        <is>
          <t>Thương lượng</t>
        </is>
      </c>
      <c r="F79" t="inlineStr">
        <is>
          <t>Hồ Chí Minh</t>
        </is>
      </c>
      <c r="G79" t="inlineStr">
        <is>
          <t>Trưởng phòng</t>
        </is>
      </c>
      <c r="H79" t="inlineStr">
        <is>
          <t>02/01/2026</t>
        </is>
      </c>
      <c r="I79" t="inlineStr">
        <is>
          <t>19/03/2026</t>
        </is>
      </c>
      <c r="J79" t="inlineStr">
        <is>
          <t>17/03/2026</t>
        </is>
      </c>
      <c r="K79" t="inlineStr">
        <is>
          <t>N/A</t>
        </is>
      </c>
      <c r="L79" t="inlineStr">
        <is>
          <t>Quản Lý Sales, Lập Kế Hoạch, Phân Tích Kinh Doanh, Khảo Sát Thị Trường, Phát Triển Khách Hàng</t>
        </is>
      </c>
      <c r="M79" t="inlineStr">
        <is>
          <t>Bonus, Healthcare Plan, Others</t>
        </is>
      </c>
      <c r="N79" s="8">
        <f>HYPERLINK("https://www.vietnamworks.com/pho-phong-kinh-doanh-kdnd-1-1999076-jv","Xem chi tiết")</f>
        <v/>
      </c>
    </row>
    <row r="80">
      <c r="B80" s="9" t="n">
        <v>78</v>
      </c>
      <c r="C80" s="10" t="inlineStr">
        <is>
          <t>Senior Executive, Customer Service Unit (Bộ Phận Bàn Giao)</t>
        </is>
      </c>
      <c r="D80" s="10" t="inlineStr">
        <is>
          <t>CapitaLand Development (Vietnam)</t>
        </is>
      </c>
      <c r="E80" s="10" t="inlineStr">
        <is>
          <t>Thương lượng</t>
        </is>
      </c>
      <c r="F80" s="10" t="inlineStr">
        <is>
          <t>Hà Nội</t>
        </is>
      </c>
      <c r="G80" s="10" t="inlineStr">
        <is>
          <t>Nhân viên</t>
        </is>
      </c>
      <c r="H80" s="10" t="inlineStr">
        <is>
          <t>02/01/2026</t>
        </is>
      </c>
      <c r="I80" s="10" t="inlineStr">
        <is>
          <t>19/03/2026</t>
        </is>
      </c>
      <c r="J80" s="10" t="inlineStr">
        <is>
          <t>17/03/2026</t>
        </is>
      </c>
      <c r="K80" s="10" t="inlineStr">
        <is>
          <t>N/A</t>
        </is>
      </c>
      <c r="L80" s="10" t="inlineStr">
        <is>
          <t>Customer Service, Chăm Sóc Khách Hàng, Dịch Vụ Khách Hàng, Customer Care, Bàn Giao Nhà Đất</t>
        </is>
      </c>
      <c r="M80" s="10" t="inlineStr">
        <is>
          <t>Bonus, Healthcare Plan, Training</t>
        </is>
      </c>
      <c r="N80" s="11">
        <f>HYPERLINK("https://www.vietnamworks.com/senior-executive-customer-service-unit-bo-phan-ban-giao-1999137-jv","Xem chi tiết")</f>
        <v/>
      </c>
      <c r="O80" s="10" t="n"/>
    </row>
    <row r="81">
      <c r="B81" s="7" t="n">
        <v>79</v>
      </c>
      <c r="C81" t="inlineStr">
        <is>
          <t>Chủ Trì Dự toán xây dựng</t>
        </is>
      </c>
      <c r="D81" t="inlineStr">
        <is>
          <t>Công ty TNHH Tư vấn và Đầu tư xây dựng Art Deco</t>
        </is>
      </c>
      <c r="E81" t="inlineStr">
        <is>
          <t>15tr-25tr ₫/tháng</t>
        </is>
      </c>
      <c r="F81" t="inlineStr">
        <is>
          <t>Hà Nội</t>
        </is>
      </c>
      <c r="G81" t="inlineStr">
        <is>
          <t>Nhân viên</t>
        </is>
      </c>
      <c r="H81" t="inlineStr">
        <is>
          <t>06/01/2026</t>
        </is>
      </c>
      <c r="I81" t="inlineStr">
        <is>
          <t>19/03/2026</t>
        </is>
      </c>
      <c r="J81" t="inlineStr">
        <is>
          <t>17/03/2026</t>
        </is>
      </c>
      <c r="K81" t="inlineStr">
        <is>
          <t>N/A</t>
        </is>
      </c>
      <c r="L81" t="inlineStr">
        <is>
          <t>Autocad, Giải Quyết Vấn Đề, Giao Tiếp, Kinh Tế Xây Dựng, Lập Kế Hoạch</t>
        </is>
      </c>
      <c r="M81" t="inlineStr">
        <is>
          <t>Bonus, Training, Others</t>
        </is>
      </c>
      <c r="N81" s="8">
        <f>HYPERLINK("https://www.vietnamworks.com/chu-tri-du-toan-xay-dung-1999973-jv","Xem chi tiết")</f>
        <v/>
      </c>
    </row>
    <row r="82">
      <c r="B82" s="9" t="n">
        <v>80</v>
      </c>
      <c r="C82" s="10" t="inlineStr">
        <is>
          <t>Kỹ Sư 工程师/翻译</t>
        </is>
      </c>
      <c r="D82" s="10" t="inlineStr">
        <is>
          <t>CÔNG TY TNHH SUGA INTERNATIONAL (VIỆT NAM)</t>
        </is>
      </c>
      <c r="E82" s="10" t="inlineStr">
        <is>
          <t>Thương lượng</t>
        </is>
      </c>
      <c r="F82" s="10" t="inlineStr">
        <is>
          <t>Bắc Ninh</t>
        </is>
      </c>
      <c r="G82" s="10" t="inlineStr">
        <is>
          <t>Nhân viên</t>
        </is>
      </c>
      <c r="H82" s="10" t="inlineStr">
        <is>
          <t>02/02/2026</t>
        </is>
      </c>
      <c r="I82" s="10" t="inlineStr">
        <is>
          <t>19/03/2026</t>
        </is>
      </c>
      <c r="J82" s="10" t="inlineStr">
        <is>
          <t>17/03/2026</t>
        </is>
      </c>
      <c r="K82" s="10" t="inlineStr">
        <is>
          <t>N/A</t>
        </is>
      </c>
      <c r="L82" s="10" t="inlineStr">
        <is>
          <t>Hệ Thống SAP, Hệ Thống MES, Hoàn Thiện Sản Phẩm, SMT Technology, SMT</t>
        </is>
      </c>
      <c r="M82" s="10" t="inlineStr">
        <is>
          <t>Bonus, Paid Leave, Training</t>
        </is>
      </c>
      <c r="N82" s="11">
        <f>HYPERLINK("https://www.vietnamworks.com/ky-su-2008865-jv","Xem chi tiết")</f>
        <v/>
      </c>
      <c r="O82" s="10" t="n"/>
    </row>
    <row r="83">
      <c r="B83" s="7" t="n">
        <v>81</v>
      </c>
      <c r="C83" t="inlineStr">
        <is>
          <t>Chuyên Viên Pháp Chế</t>
        </is>
      </c>
      <c r="D83" t="inlineStr">
        <is>
          <t>CÔNG TY CỔ PHẦN TẬP ĐOÀN BMK</t>
        </is>
      </c>
      <c r="E83" t="inlineStr">
        <is>
          <t>25tr-30tr ₫/tháng</t>
        </is>
      </c>
      <c r="F83" t="inlineStr">
        <is>
          <t>Hà Nội</t>
        </is>
      </c>
      <c r="G83" t="inlineStr">
        <is>
          <t>Nhân viên</t>
        </is>
      </c>
      <c r="H83" t="inlineStr">
        <is>
          <t>02/02/2026</t>
        </is>
      </c>
      <c r="I83" t="inlineStr">
        <is>
          <t>19/03/2026</t>
        </is>
      </c>
      <c r="J83" t="inlineStr">
        <is>
          <t>17/03/2026</t>
        </is>
      </c>
      <c r="K83" t="inlineStr">
        <is>
          <t>N/A</t>
        </is>
      </c>
      <c r="L83" t="inlineStr">
        <is>
          <t>Pháp Chế Doanh Nghiệp, MS Office, Luật Đầu Tư, Tư Vấn Pháp Lý, Luật Doanh Nghiệp</t>
        </is>
      </c>
      <c r="M83" t="inlineStr">
        <is>
          <t>Bonus, Healthcare Plan, Travel Opportunities, Team Activities, Others</t>
        </is>
      </c>
      <c r="N83" s="8">
        <f>HYPERLINK("https://www.vietnamworks.com/chuyen-vien-phap-che--2008862-jv","Xem chi tiết")</f>
        <v/>
      </c>
    </row>
    <row r="84">
      <c r="B84" s="9" t="n">
        <v>82</v>
      </c>
      <c r="C84" s="10" t="inlineStr">
        <is>
          <t>Garment Merchandiser</t>
        </is>
      </c>
      <c r="D84" s="10" t="inlineStr">
        <is>
          <t>CÔNG TY TNHH GLOBAL POONGIN VINA</t>
        </is>
      </c>
      <c r="E84" s="10" t="inlineStr">
        <is>
          <t>Thương lượng</t>
        </is>
      </c>
      <c r="F84" s="10" t="inlineStr">
        <is>
          <t>Hồ Chí Minh, Hải Phòng</t>
        </is>
      </c>
      <c r="G84" s="10" t="inlineStr">
        <is>
          <t>Nhân viên</t>
        </is>
      </c>
      <c r="H84" s="10" t="inlineStr">
        <is>
          <t>30/01/2026</t>
        </is>
      </c>
      <c r="I84" s="10" t="inlineStr">
        <is>
          <t>19/03/2026</t>
        </is>
      </c>
      <c r="J84" s="10" t="inlineStr">
        <is>
          <t>17/03/2026</t>
        </is>
      </c>
      <c r="K84" s="10" t="inlineStr">
        <is>
          <t>N/A</t>
        </is>
      </c>
      <c r="L84" s="10" t="inlineStr">
        <is>
          <t>Garment Technician, General Communication English, MS Office, Problem Solving, Teamwork</t>
        </is>
      </c>
      <c r="M84" s="10" t="inlineStr">
        <is>
          <t>Healthcare Plan, Team Activities, Canteen, Others</t>
        </is>
      </c>
      <c r="N84" s="11">
        <f>HYPERLINK("https://www.vietnamworks.com/garment-merchandiser-2008344-jv","Xem chi tiết")</f>
        <v/>
      </c>
      <c r="O84" s="10" t="n"/>
    </row>
    <row r="85">
      <c r="B85" s="7" t="n">
        <v>83</v>
      </c>
      <c r="C85" t="inlineStr">
        <is>
          <t>Steel Connection Design Engineer</t>
        </is>
      </c>
      <c r="D85" t="inlineStr">
        <is>
          <t>Thornton Tomasetti Vietnam</t>
        </is>
      </c>
      <c r="E85" t="inlineStr">
        <is>
          <t>Thương lượng</t>
        </is>
      </c>
      <c r="F85" t="inlineStr">
        <is>
          <t>Hồ Chí Minh</t>
        </is>
      </c>
      <c r="G85" t="inlineStr">
        <is>
          <t>Nhân viên</t>
        </is>
      </c>
      <c r="H85" t="inlineStr">
        <is>
          <t>15/01/2026</t>
        </is>
      </c>
      <c r="I85" t="inlineStr">
        <is>
          <t>19/03/2026</t>
        </is>
      </c>
      <c r="J85" t="inlineStr">
        <is>
          <t>17/03/2026</t>
        </is>
      </c>
      <c r="K85" t="inlineStr">
        <is>
          <t>N/A</t>
        </is>
      </c>
      <c r="L85" t="inlineStr">
        <is>
          <t>Steel Structure, Structural Analysis, Structural Engineering, Teamwork, Us Design Codes</t>
        </is>
      </c>
      <c r="M85" t="inlineStr">
        <is>
          <t>Bonus, Training, Team Activities</t>
        </is>
      </c>
      <c r="N85" s="8">
        <f>HYPERLINK("https://www.vietnamworks.com/steel-connection-design-engineer-2002898-jv","Xem chi tiết")</f>
        <v/>
      </c>
    </row>
    <row r="86">
      <c r="B86" s="9" t="n">
        <v>84</v>
      </c>
      <c r="C86" s="10" t="inlineStr">
        <is>
          <t>Business Analyst Specialist</t>
        </is>
      </c>
      <c r="D86" s="10" t="inlineStr">
        <is>
          <t>Bridgestone Tire Sales Vietnam LLC</t>
        </is>
      </c>
      <c r="E86" s="10" t="inlineStr">
        <is>
          <t>Thương lượng</t>
        </is>
      </c>
      <c r="F86" s="10" t="inlineStr">
        <is>
          <t>Hồ Chí Minh</t>
        </is>
      </c>
      <c r="G86" s="10" t="inlineStr">
        <is>
          <t>Nhân viên</t>
        </is>
      </c>
      <c r="H86" s="10" t="inlineStr">
        <is>
          <t>30/01/2026</t>
        </is>
      </c>
      <c r="I86" s="10" t="inlineStr">
        <is>
          <t>19/03/2026</t>
        </is>
      </c>
      <c r="J86" s="10" t="inlineStr">
        <is>
          <t>17/03/2026</t>
        </is>
      </c>
      <c r="K86" s="10" t="inlineStr">
        <is>
          <t>N/A</t>
        </is>
      </c>
      <c r="L86" s="10" t="inlineStr">
        <is>
          <t>Business Development, Business Analysis, Sales Planning, Analytical Skills, Excel</t>
        </is>
      </c>
      <c r="M86" s="10" t="inlineStr">
        <is>
          <t>Bonus, Healthcare Plan, Training</t>
        </is>
      </c>
      <c r="N86" s="11">
        <f>HYPERLINK("https://www.vietnamworks.com/business-analyst-specialist--2008181-jv","Xem chi tiết")</f>
        <v/>
      </c>
      <c r="O86" s="10" t="n"/>
    </row>
    <row r="87">
      <c r="B87" s="7" t="n">
        <v>85</v>
      </c>
      <c r="C87" t="inlineStr">
        <is>
          <t>Sales Operations Associate</t>
        </is>
      </c>
      <c r="D87" t="inlineStr">
        <is>
          <t>Công ty TNHH Innovative Lighting</t>
        </is>
      </c>
      <c r="E87" t="inlineStr">
        <is>
          <t>Thương lượng</t>
        </is>
      </c>
      <c r="F87" t="inlineStr">
        <is>
          <t>Đồng Nai</t>
        </is>
      </c>
      <c r="G87" t="inlineStr">
        <is>
          <t>Nhân viên</t>
        </is>
      </c>
      <c r="H87" t="inlineStr">
        <is>
          <t>05/01/2026</t>
        </is>
      </c>
      <c r="I87" t="inlineStr">
        <is>
          <t>19/03/2026</t>
        </is>
      </c>
      <c r="J87" t="inlineStr">
        <is>
          <t>17/03/2026</t>
        </is>
      </c>
      <c r="K87" t="inlineStr">
        <is>
          <t>N/A</t>
        </is>
      </c>
      <c r="L87" t="inlineStr">
        <is>
          <t>Logistics, Microsoft Office, Bán hàng, Business Administration, Hải Quan</t>
        </is>
      </c>
      <c r="M87" t="inlineStr">
        <is>
          <t>Bonus, Healthcare Plan, Awards, Transportation, Others</t>
        </is>
      </c>
      <c r="N87" s="8">
        <f>HYPERLINK("https://www.vietnamworks.com/sales-operations-associate-1999334-jv","Xem chi tiết")</f>
        <v/>
      </c>
    </row>
    <row r="88">
      <c r="B88" s="9" t="n">
        <v>86</v>
      </c>
      <c r="C88" s="10" t="inlineStr">
        <is>
          <t>Chủ Quản 主管</t>
        </is>
      </c>
      <c r="D88" s="10" t="inlineStr">
        <is>
          <t>CÔNG TY TNHH SUGA INTERNATIONAL (VIỆT NAM)</t>
        </is>
      </c>
      <c r="E88" s="10" t="inlineStr">
        <is>
          <t>Thương lượng</t>
        </is>
      </c>
      <c r="F88" s="10" t="inlineStr">
        <is>
          <t>Bắc Ninh</t>
        </is>
      </c>
      <c r="G88" s="10" t="inlineStr">
        <is>
          <t>Nhân viên</t>
        </is>
      </c>
      <c r="H88" s="10" t="inlineStr">
        <is>
          <t>02/02/2026</t>
        </is>
      </c>
      <c r="I88" s="10" t="inlineStr">
        <is>
          <t>19/03/2026</t>
        </is>
      </c>
      <c r="J88" s="10" t="inlineStr">
        <is>
          <t>17/03/2026</t>
        </is>
      </c>
      <c r="K88" s="10" t="inlineStr">
        <is>
          <t>N/A</t>
        </is>
      </c>
      <c r="L88" s="10" t="inlineStr">
        <is>
          <t>Hệ Thống SAP, Hệ Thống MES, Hoàn Thiện Sản Phẩm, SMT Technology, SMT</t>
        </is>
      </c>
      <c r="M88" s="10" t="inlineStr">
        <is>
          <t>Bonus, Paid Leave, Training</t>
        </is>
      </c>
      <c r="N88" s="11">
        <f>HYPERLINK("https://www.vietnamworks.com/chu-quan-2008864-jv","Xem chi tiết")</f>
        <v/>
      </c>
      <c r="O88" s="10" t="n"/>
    </row>
    <row r="89">
      <c r="B89" s="7" t="n">
        <v>87</v>
      </c>
      <c r="C89" t="inlineStr">
        <is>
          <t>Chuyên Viên Nghiên Cứu Phát Triển Sản Phẩm (Research and Development Specialist)</t>
        </is>
      </c>
      <c r="D89" t="inlineStr">
        <is>
          <t>Công Ty Cổ Phần Sữa Việt Nam (Vinamilk)</t>
        </is>
      </c>
      <c r="E89" t="inlineStr">
        <is>
          <t>Thương lượng</t>
        </is>
      </c>
      <c r="F89" t="inlineStr">
        <is>
          <t>Hồ Chí Minh</t>
        </is>
      </c>
      <c r="G89" t="inlineStr">
        <is>
          <t>Nhân viên</t>
        </is>
      </c>
      <c r="H89" t="inlineStr">
        <is>
          <t>02/01/2026</t>
        </is>
      </c>
      <c r="I89" t="inlineStr">
        <is>
          <t>19/03/2026</t>
        </is>
      </c>
      <c r="J89" t="inlineStr">
        <is>
          <t>17/03/2026</t>
        </is>
      </c>
      <c r="K89" t="inlineStr">
        <is>
          <t>N/A</t>
        </is>
      </c>
      <c r="L89" t="inlineStr">
        <is>
          <t>Food Research, Retail Product Development, Quality Checking, R&amp;D</t>
        </is>
      </c>
      <c r="M89" t="inlineStr">
        <is>
          <t>Bonus, Healthcare Plan, Training</t>
        </is>
      </c>
      <c r="N89" s="8">
        <f>HYPERLINK("https://www.vietnamworks.com/chuyen-vien-nghien-cuu-phat-trien-san-pham-research-and-development-specialist--1999134-jv","Xem chi tiết")</f>
        <v/>
      </c>
    </row>
    <row r="90">
      <c r="B90" s="9" t="n">
        <v>88</v>
      </c>
      <c r="C90" s="10" t="inlineStr">
        <is>
          <t>Onsite Business Developer</t>
        </is>
      </c>
      <c r="D90" s="10" t="inlineStr">
        <is>
          <t>Air Liquide Viet Nam</t>
        </is>
      </c>
      <c r="E90" s="10" t="inlineStr">
        <is>
          <t>$$ 1,000-1,500 /tháng</t>
        </is>
      </c>
      <c r="F90" s="10" t="inlineStr">
        <is>
          <t>Hà Nội, Hồ Chí Minh</t>
        </is>
      </c>
      <c r="G90" s="10" t="inlineStr">
        <is>
          <t>Nhân viên</t>
        </is>
      </c>
      <c r="H90" s="10" t="inlineStr">
        <is>
          <t>02/02/2026</t>
        </is>
      </c>
      <c r="I90" s="10" t="inlineStr">
        <is>
          <t>19/03/2026</t>
        </is>
      </c>
      <c r="J90" s="10" t="inlineStr">
        <is>
          <t>17/03/2026</t>
        </is>
      </c>
      <c r="K90" s="10" t="inlineStr">
        <is>
          <t>N/A</t>
        </is>
      </c>
      <c r="L90" s="10" t="inlineStr">
        <is>
          <t>Commercial Sense, Communication Skills, Interpersonal Skills, Negotiation Skills, Project Management</t>
        </is>
      </c>
      <c r="M90" s="10" t="inlineStr">
        <is>
          <t>Bonus, Healthcare Plan, Training</t>
        </is>
      </c>
      <c r="N90" s="11">
        <f>HYPERLINK("https://www.vietnamworks.com/onsite-business-developer-2008868-jv","Xem chi tiết")</f>
        <v/>
      </c>
      <c r="O90" s="10" t="n"/>
    </row>
    <row r="91">
      <c r="B91" s="7" t="n">
        <v>89</v>
      </c>
      <c r="C91" t="inlineStr">
        <is>
          <t>Chuyên Viên Cung Ứng/ Purchasing/ Procurement/ Supply Chain Specialist</t>
        </is>
      </c>
      <c r="D91" t="inlineStr">
        <is>
          <t>Công Ty Cổ Phần Phương Tiện Điện Thông Minh Selex</t>
        </is>
      </c>
      <c r="E91" t="inlineStr">
        <is>
          <t>$$ 800-1,000 /tháng</t>
        </is>
      </c>
      <c r="F91" t="inlineStr">
        <is>
          <t>Hà Nội</t>
        </is>
      </c>
      <c r="G91" t="inlineStr">
        <is>
          <t>Nhân viên</t>
        </is>
      </c>
      <c r="H91" t="inlineStr">
        <is>
          <t>02/02/2026</t>
        </is>
      </c>
      <c r="I91" t="inlineStr">
        <is>
          <t>19/03/2026</t>
        </is>
      </c>
      <c r="J91" t="inlineStr">
        <is>
          <t>17/03/2026</t>
        </is>
      </c>
      <c r="K91" t="inlineStr">
        <is>
          <t>N/A</t>
        </is>
      </c>
      <c r="L91" t="inlineStr">
        <is>
          <t>Supply Chain, Cung Ứng, Thu Mua, Purchasing, Procurement</t>
        </is>
      </c>
      <c r="M91" t="inlineStr">
        <is>
          <t>Bonus, Awards, Others</t>
        </is>
      </c>
      <c r="N91" s="8">
        <f>HYPERLINK("https://www.vietnamworks.com/chuyen-vien-cung-ung-purchasing-procurement-supply-chain-specialist-2008861-jv","Xem chi tiết")</f>
        <v/>
      </c>
    </row>
    <row r="92">
      <c r="B92" s="9" t="n">
        <v>90</v>
      </c>
      <c r="C92" s="10" t="inlineStr">
        <is>
          <t>Trưởng Phòng Hành Chính Nhân Sự - Chi Nhánh Miền Nam (Q.11 - HCM) (Tuyển Nữ)</t>
        </is>
      </c>
      <c r="D92" s="10" t="inlineStr">
        <is>
          <t>Công Ty Cổ Phần Mỹ Phẩm Quốc Tế Thùy Dung</t>
        </is>
      </c>
      <c r="E92" s="10" t="inlineStr">
        <is>
          <t>$$ 1,000-1,300 /tháng</t>
        </is>
      </c>
      <c r="F92" s="10" t="inlineStr">
        <is>
          <t>Hồ Chí Minh</t>
        </is>
      </c>
      <c r="G92" s="10" t="inlineStr">
        <is>
          <t>Trưởng phòng</t>
        </is>
      </c>
      <c r="H92" s="10" t="inlineStr">
        <is>
          <t>02/02/2026</t>
        </is>
      </c>
      <c r="I92" s="10" t="inlineStr">
        <is>
          <t>19/03/2026</t>
        </is>
      </c>
      <c r="J92" s="10" t="inlineStr">
        <is>
          <t>17/03/2026</t>
        </is>
      </c>
      <c r="K92" s="10" t="inlineStr">
        <is>
          <t>N/A</t>
        </is>
      </c>
      <c r="L92" s="10" t="inlineStr">
        <is>
          <t>Quản Trị Nhân Sự, Quản Trị Hành Chính</t>
        </is>
      </c>
      <c r="M92" s="10" t="inlineStr">
        <is>
          <t>Bonus, Team Activities, Others</t>
        </is>
      </c>
      <c r="N92" s="11">
        <f>HYPERLINK("https://www.vietnamworks.com/truong-phong-hanh-chinh-nhan-su-chi-nhanh-mien-nam-q-11-hcm-tuyen-nu-2008866-jv","Xem chi tiết")</f>
        <v/>
      </c>
      <c r="O92" s="10" t="n"/>
    </row>
    <row r="93">
      <c r="B93" s="7" t="n">
        <v>91</v>
      </c>
      <c r="C93" t="inlineStr">
        <is>
          <t>[Internship Program] AI Engineer Intern</t>
        </is>
      </c>
      <c r="D93" t="inlineStr">
        <is>
          <t>Bosch Global Software Technologies Company Limited</t>
        </is>
      </c>
      <c r="E93" t="inlineStr">
        <is>
          <t>Thương lượng</t>
        </is>
      </c>
      <c r="F93" t="inlineStr">
        <is>
          <t>Hồ Chí Minh</t>
        </is>
      </c>
      <c r="G93" t="inlineStr">
        <is>
          <t>Thực tập sinh/Sinh viên</t>
        </is>
      </c>
      <c r="H93" t="inlineStr">
        <is>
          <t>02/02/2026</t>
        </is>
      </c>
      <c r="I93" t="inlineStr">
        <is>
          <t>19/03/2026</t>
        </is>
      </c>
      <c r="J93" t="inlineStr">
        <is>
          <t>17/03/2026</t>
        </is>
      </c>
      <c r="K93" t="inlineStr">
        <is>
          <t>N/A</t>
        </is>
      </c>
      <c r="L93" t="inlineStr">
        <is>
          <t>C/C++ Programming, Deep Learning, Python, PyTorch, TensorFlow</t>
        </is>
      </c>
      <c r="M93" t="inlineStr">
        <is>
          <t>Bonus, Paid Leave, Training, Team Activities, Others</t>
        </is>
      </c>
      <c r="N93" s="8">
        <f>HYPERLINK("https://www.vietnamworks.com/internship-program-ai-engineer-intern-2008869-jv","Xem chi tiết")</f>
        <v/>
      </c>
    </row>
    <row r="94">
      <c r="B94" s="9" t="n">
        <v>92</v>
      </c>
      <c r="C94" s="10" t="inlineStr">
        <is>
          <t>[Internship Program] DevOps Intern</t>
        </is>
      </c>
      <c r="D94" s="10" t="inlineStr">
        <is>
          <t>Bosch Global Software Technologies Company Limited</t>
        </is>
      </c>
      <c r="E94" s="10" t="inlineStr">
        <is>
          <t>Thương lượng</t>
        </is>
      </c>
      <c r="F94" s="10" t="inlineStr">
        <is>
          <t>Hồ Chí Minh</t>
        </is>
      </c>
      <c r="G94" s="10" t="inlineStr">
        <is>
          <t>Thực tập sinh/Sinh viên</t>
        </is>
      </c>
      <c r="H94" s="10" t="inlineStr">
        <is>
          <t>02/02/2026</t>
        </is>
      </c>
      <c r="I94" s="10" t="inlineStr">
        <is>
          <t>19/03/2026</t>
        </is>
      </c>
      <c r="J94" s="10" t="inlineStr">
        <is>
          <t>17/03/2026</t>
        </is>
      </c>
      <c r="K94" s="10" t="inlineStr">
        <is>
          <t>N/A</t>
        </is>
      </c>
      <c r="L94" s="10" t="inlineStr">
        <is>
          <t>Python, Jenkins, Git, Microcontroller Programming, English</t>
        </is>
      </c>
      <c r="M94" s="10" t="inlineStr">
        <is>
          <t>Bonus, Paid Leave, Training, Team Activities, Others</t>
        </is>
      </c>
      <c r="N94" s="11">
        <f>HYPERLINK("https://www.vietnamworks.com/internship-program-devops-intern-2008870-jv","Xem chi tiết")</f>
        <v/>
      </c>
      <c r="O94" s="10" t="n"/>
    </row>
    <row r="95">
      <c r="B95" s="7" t="n">
        <v>93</v>
      </c>
      <c r="C95" t="inlineStr">
        <is>
          <t>Air FWD Executive</t>
        </is>
      </c>
      <c r="D95" t="inlineStr">
        <is>
          <t>Logisteed Vietnam Co., Ltd.</t>
        </is>
      </c>
      <c r="E95" t="inlineStr">
        <is>
          <t>Thương lượng</t>
        </is>
      </c>
      <c r="F95" t="inlineStr">
        <is>
          <t>Hồ Chí Minh</t>
        </is>
      </c>
      <c r="G95" t="inlineStr">
        <is>
          <t>Nhân viên</t>
        </is>
      </c>
      <c r="H95" t="inlineStr">
        <is>
          <t>02/02/2026</t>
        </is>
      </c>
      <c r="I95" t="inlineStr">
        <is>
          <t>19/03/2026</t>
        </is>
      </c>
      <c r="J95" t="inlineStr">
        <is>
          <t>17/03/2026</t>
        </is>
      </c>
      <c r="K95" t="inlineStr">
        <is>
          <t>N/A</t>
        </is>
      </c>
      <c r="L95" t="inlineStr">
        <is>
          <t>Freight Forwarding, Giao Nhận Vận Tải, Logistics, Shipment Management, Shipping Document Control</t>
        </is>
      </c>
      <c r="M95" t="inlineStr">
        <is>
          <t>Bonus, Healthcare Plan, Paid Leave</t>
        </is>
      </c>
      <c r="N95" s="8">
        <f>HYPERLINK("https://www.vietnamworks.com/air-fwd-executive-2008881-jv","Xem chi tiết")</f>
        <v/>
      </c>
    </row>
    <row r="96">
      <c r="B96" s="9" t="n">
        <v>94</v>
      </c>
      <c r="C96" s="10" t="inlineStr">
        <is>
          <t>Operations Manager (Hanoi)</t>
        </is>
      </c>
      <c r="D96" s="10" t="inlineStr">
        <is>
          <t>Brady Corporation</t>
        </is>
      </c>
      <c r="E96" s="10" t="inlineStr">
        <is>
          <t>Thương lượng</t>
        </is>
      </c>
      <c r="F96" s="10" t="inlineStr">
        <is>
          <t>Bắc Ninh, Hà Nội</t>
        </is>
      </c>
      <c r="G96" s="10" t="inlineStr">
        <is>
          <t>Trưởng phòng</t>
        </is>
      </c>
      <c r="H96" s="10" t="inlineStr">
        <is>
          <t>02/02/2026</t>
        </is>
      </c>
      <c r="I96" s="10" t="inlineStr">
        <is>
          <t>19/03/2026</t>
        </is>
      </c>
      <c r="J96" s="10" t="inlineStr">
        <is>
          <t>17/03/2026</t>
        </is>
      </c>
      <c r="K96" s="10" t="inlineStr">
        <is>
          <t>N/A</t>
        </is>
      </c>
      <c r="L96" s="10" t="inlineStr">
        <is>
          <t>Business Acumen, Solution Oriented, Strategic Agility, English, Operation Management</t>
        </is>
      </c>
      <c r="M96" s="10" t="inlineStr">
        <is>
          <t>Others</t>
        </is>
      </c>
      <c r="N96" s="11">
        <f>HYPERLINK("https://www.vietnamworks.com/operations-manager-hanoi-2008880-jv","Xem chi tiết")</f>
        <v/>
      </c>
      <c r="O96" s="10" t="n"/>
    </row>
    <row r="97">
      <c r="B97" s="7" t="n">
        <v>95</v>
      </c>
      <c r="C97" t="inlineStr">
        <is>
          <t>[Internship Program] Embedded Software Intern (C/C++/Linux)</t>
        </is>
      </c>
      <c r="D97" t="inlineStr">
        <is>
          <t>Bosch Global Software Technologies Company Limited</t>
        </is>
      </c>
      <c r="E97" t="inlineStr">
        <is>
          <t>Thương lượng</t>
        </is>
      </c>
      <c r="F97" t="inlineStr">
        <is>
          <t>Hồ Chí Minh</t>
        </is>
      </c>
      <c r="G97" t="inlineStr">
        <is>
          <t>Thực tập sinh/Sinh viên</t>
        </is>
      </c>
      <c r="H97" t="inlineStr">
        <is>
          <t>02/02/2026</t>
        </is>
      </c>
      <c r="I97" t="inlineStr">
        <is>
          <t>19/03/2026</t>
        </is>
      </c>
      <c r="J97" t="inlineStr">
        <is>
          <t>17/03/2026</t>
        </is>
      </c>
      <c r="K97" t="inlineStr">
        <is>
          <t>N/A</t>
        </is>
      </c>
      <c r="L97" t="inlineStr">
        <is>
          <t>C/C++ Programming, Embedded Systems, Microcontroller Programming, Microprocessor, English Communication</t>
        </is>
      </c>
      <c r="M97" t="inlineStr">
        <is>
          <t>Bonus, Paid Leave, Training, Team Activities, Others</t>
        </is>
      </c>
      <c r="N97" s="8">
        <f>HYPERLINK("https://www.vietnamworks.com/internship-program-embedded-software-intern-cclinux-2008875-jv","Xem chi tiết")</f>
        <v/>
      </c>
    </row>
    <row r="98">
      <c r="B98" s="9" t="n">
        <v>96</v>
      </c>
      <c r="C98" s="10" t="inlineStr">
        <is>
          <t>Chuyên Viên Chính Chiến Lược Kinh Doanh</t>
        </is>
      </c>
      <c r="D98" s="10" t="inlineStr">
        <is>
          <t>Công Ty Cổ Phần Tập Đoàn BRG</t>
        </is>
      </c>
      <c r="E98" s="10" t="inlineStr">
        <is>
          <t>Thương lượng</t>
        </is>
      </c>
      <c r="F98" s="10" t="inlineStr">
        <is>
          <t>Hà Nội</t>
        </is>
      </c>
      <c r="G98" s="10" t="inlineStr">
        <is>
          <t>Nhân viên</t>
        </is>
      </c>
      <c r="H98" s="10" t="inlineStr">
        <is>
          <t>02/02/2026</t>
        </is>
      </c>
      <c r="I98" s="10" t="inlineStr">
        <is>
          <t>19/03/2026</t>
        </is>
      </c>
      <c r="J98" s="10" t="inlineStr">
        <is>
          <t>17/03/2026</t>
        </is>
      </c>
      <c r="K98" s="10" t="inlineStr">
        <is>
          <t>N/A</t>
        </is>
      </c>
      <c r="L98" s="10" t="inlineStr">
        <is>
          <t>Giao Tiếp Tiếng Anh, Kinh Doanh Bất Động Sản, Kỹ năng tin học văn phòng, Phân Tích Chiến Lược, Quản Lý Kế Hoạch</t>
        </is>
      </c>
      <c r="M98" s="10" t="inlineStr">
        <is>
          <t>Bonus, Healthcare Plan, Canteen, Vouchers, Others</t>
        </is>
      </c>
      <c r="N98" s="11">
        <f>HYPERLINK("https://www.vietnamworks.com/chuyen-vien-chinh-chien-luoc-kinh-doanh-2008877-jv","Xem chi tiết")</f>
        <v/>
      </c>
      <c r="O98" s="10" t="n"/>
    </row>
    <row r="99">
      <c r="B99" s="7" t="n">
        <v>97</v>
      </c>
      <c r="C99" t="inlineStr">
        <is>
          <t>Nhân Viên Vận Hành Máy</t>
        </is>
      </c>
      <c r="D99" t="inlineStr">
        <is>
          <t>Công Ty TNHH MTV Nông Sản DK</t>
        </is>
      </c>
      <c r="E99" t="inlineStr">
        <is>
          <t>Thương lượng</t>
        </is>
      </c>
      <c r="F99" t="inlineStr">
        <is>
          <t>Bình Dương</t>
        </is>
      </c>
      <c r="G99" t="inlineStr">
        <is>
          <t>Nhân viên</t>
        </is>
      </c>
      <c r="H99" t="inlineStr">
        <is>
          <t>02/02/2026</t>
        </is>
      </c>
      <c r="I99" t="inlineStr">
        <is>
          <t>19/03/2026</t>
        </is>
      </c>
      <c r="J99" t="inlineStr">
        <is>
          <t>17/03/2026</t>
        </is>
      </c>
      <c r="K99" t="inlineStr">
        <is>
          <t>N/A</t>
        </is>
      </c>
      <c r="L99" t="inlineStr">
        <is>
          <t>Đọc Bản Vẽ Kỹ Thuật, Quản Lý Bảo Dưỡng, Khắc Phục Sự Cố Máy, Vận Hành Dây Chuyền, Vệ Sinh Máy Móc</t>
        </is>
      </c>
      <c r="M99" t="inlineStr">
        <is>
          <t>Bonus, Healthcare Plan, Paid Leave</t>
        </is>
      </c>
      <c r="N99" s="8">
        <f>HYPERLINK("https://www.vietnamworks.com/nhan-vien-van-hanh-may--2008887-jv","Xem chi tiết")</f>
        <v/>
      </c>
    </row>
    <row r="100">
      <c r="B100" s="9" t="n">
        <v>98</v>
      </c>
      <c r="C100" s="10" t="inlineStr">
        <is>
          <t>Technical Support (Nail360 POS)</t>
        </is>
      </c>
      <c r="D100" s="10" t="inlineStr">
        <is>
          <t>Công Ty TNHH MTV Thương Mại Sản Xuất Lạc Long</t>
        </is>
      </c>
      <c r="E100" s="10" t="inlineStr">
        <is>
          <t>Thương lượng</t>
        </is>
      </c>
      <c r="F100" s="10" t="inlineStr">
        <is>
          <t>Hồ Chí Minh</t>
        </is>
      </c>
      <c r="G100" s="10" t="inlineStr">
        <is>
          <t>Nhân viên</t>
        </is>
      </c>
      <c r="H100" s="10" t="inlineStr">
        <is>
          <t>02/02/2026</t>
        </is>
      </c>
      <c r="I100" s="10" t="inlineStr">
        <is>
          <t>19/03/2026</t>
        </is>
      </c>
      <c r="J100" s="10" t="inlineStr">
        <is>
          <t>17/03/2026</t>
        </is>
      </c>
      <c r="K100" s="10" t="inlineStr">
        <is>
          <t>N/A</t>
        </is>
      </c>
      <c r="L100" s="10" t="inlineStr">
        <is>
          <t>POS System, Operations Production, Android Security, Computer Hardware Troubleshooting, Network Relationship</t>
        </is>
      </c>
      <c r="M100" s="10" t="inlineStr">
        <is>
          <t>Bonus, Healthcare Plan, Others</t>
        </is>
      </c>
      <c r="N100" s="11">
        <f>HYPERLINK("https://www.vietnamworks.com/technical-support-nail360-pos-2008888-jv","Xem chi tiết")</f>
        <v/>
      </c>
      <c r="O100" s="10" t="n"/>
    </row>
    <row r="101">
      <c r="B101" s="7" t="n">
        <v>99</v>
      </c>
      <c r="C101" t="inlineStr">
        <is>
          <t>[ Hot Job ] Phó Quản Lý Khu Tổ Hợp Dịch Vụ Xanh Melody (Mảng Khách Sạn/nhà Hàng)(Có Thể Đi Làm Sau Tết)</t>
        </is>
      </c>
      <c r="D101" t="inlineStr">
        <is>
          <t>Công Ty Cổ Phần Tập Đoàn Amdi</t>
        </is>
      </c>
      <c r="E101" t="inlineStr">
        <is>
          <t>Thương lượng</t>
        </is>
      </c>
      <c r="F101" t="inlineStr">
        <is>
          <t>Bắc Ninh</t>
        </is>
      </c>
      <c r="G101" t="inlineStr">
        <is>
          <t>Nhân viên</t>
        </is>
      </c>
      <c r="H101" t="inlineStr">
        <is>
          <t>02/02/2026</t>
        </is>
      </c>
      <c r="I101" t="inlineStr">
        <is>
          <t>19/03/2026</t>
        </is>
      </c>
      <c r="J101" t="inlineStr">
        <is>
          <t>17/03/2026</t>
        </is>
      </c>
      <c r="K101" t="inlineStr">
        <is>
          <t>N/A</t>
        </is>
      </c>
      <c r="L101" t="inlineStr">
        <is>
          <t>Operation Management, Hospitality, F&amp;B, SOPs Development, Quản Lý Khách Sạn</t>
        </is>
      </c>
      <c r="M101" t="inlineStr">
        <is>
          <t>Bonus, Healthcare Plan, Others</t>
        </is>
      </c>
      <c r="N101" s="8">
        <f>HYPERLINK("https://www.vietnamworks.com/hot-job-pho-quan-ly-khu-to-hop-dich-vu-xanh-melody-mang-khach-san-nha-hang-co-the-di-lam-sau-tet-2008882-jv","Xem chi tiết")</f>
        <v/>
      </c>
    </row>
    <row r="102">
      <c r="B102" s="9" t="n">
        <v>100</v>
      </c>
      <c r="C102" s="10" t="inlineStr">
        <is>
          <t>Nhân Viên Marketing (Tuyển Gấp!!)</t>
        </is>
      </c>
      <c r="D102" s="10" t="inlineStr">
        <is>
          <t>Công Ty Cổ Phần Nông Nghiệp U&amp;I</t>
        </is>
      </c>
      <c r="E102" s="10" t="inlineStr">
        <is>
          <t>Thương lượng</t>
        </is>
      </c>
      <c r="F102" s="10" t="inlineStr">
        <is>
          <t>Bình Dương</t>
        </is>
      </c>
      <c r="G102" s="10" t="inlineStr">
        <is>
          <t>Nhân viên</t>
        </is>
      </c>
      <c r="H102" s="10" t="inlineStr">
        <is>
          <t>02/02/2026</t>
        </is>
      </c>
      <c r="I102" s="10" t="inlineStr">
        <is>
          <t>19/03/2026</t>
        </is>
      </c>
      <c r="J102" s="10" t="inlineStr">
        <is>
          <t>17/03/2026</t>
        </is>
      </c>
      <c r="K102" s="10" t="inlineStr">
        <is>
          <t>N/A</t>
        </is>
      </c>
      <c r="L102" s="10" t="inlineStr">
        <is>
          <t>Quảng Bá Sản Phẩm, Sáng Tạo Nội Dung, Truyền Thông, Content &amp; Brand Marketing, Quay dựng hình ảnh</t>
        </is>
      </c>
      <c r="M102" s="10" t="inlineStr">
        <is>
          <t>Bonus, Healthcare Plan, Paid Leave, Training, Team Activities, Others</t>
        </is>
      </c>
      <c r="N102" s="11">
        <f>HYPERLINK("https://www.vietnamworks.com/nhan-vien-marketing-tuyen-gap--2008883-jv","Xem chi tiết")</f>
        <v/>
      </c>
      <c r="O102" s="10" t="n"/>
    </row>
    <row r="103">
      <c r="B103" s="7" t="n">
        <v>101</v>
      </c>
      <c r="C103" t="inlineStr">
        <is>
          <t>Event Executive</t>
        </is>
      </c>
      <c r="D103" t="inlineStr">
        <is>
          <t>PICO HCMC LTD</t>
        </is>
      </c>
      <c r="E103" t="inlineStr">
        <is>
          <t>Thương lượng</t>
        </is>
      </c>
      <c r="F103" t="inlineStr">
        <is>
          <t>Hồ Chí Minh</t>
        </is>
      </c>
      <c r="G103" t="inlineStr">
        <is>
          <t>Nhân viên</t>
        </is>
      </c>
      <c r="H103" t="inlineStr">
        <is>
          <t>02/02/2026</t>
        </is>
      </c>
      <c r="I103" t="inlineStr">
        <is>
          <t>19/03/2026</t>
        </is>
      </c>
      <c r="J103" t="inlineStr">
        <is>
          <t>17/03/2026</t>
        </is>
      </c>
      <c r="K103" t="inlineStr">
        <is>
          <t>N/A</t>
        </is>
      </c>
      <c r="L103" t="inlineStr">
        <is>
          <t>Quảng Cáo, Truyền Thông, Tổ Chức Sự Kiện, Event Planning, Marketing Event</t>
        </is>
      </c>
      <c r="M103" t="inlineStr">
        <is>
          <t>Bonus, Healthcare Plan, Others</t>
        </is>
      </c>
      <c r="N103" s="8">
        <f>HYPERLINK("https://www.vietnamworks.com/event-executive--2008898-jv","Xem chi tiết")</f>
        <v/>
      </c>
    </row>
    <row r="104">
      <c r="B104" s="9" t="n">
        <v>102</v>
      </c>
      <c r="C104" s="10" t="inlineStr">
        <is>
          <t>Business Process Management Specialist</t>
        </is>
      </c>
      <c r="D104" s="10" t="inlineStr">
        <is>
          <t>Ben Line Vietnam</t>
        </is>
      </c>
      <c r="E104" s="10" t="inlineStr">
        <is>
          <t>Thương lượng</t>
        </is>
      </c>
      <c r="F104" s="10" t="inlineStr">
        <is>
          <t>Hồ Chí Minh</t>
        </is>
      </c>
      <c r="G104" s="10" t="inlineStr">
        <is>
          <t>Nhân viên</t>
        </is>
      </c>
      <c r="H104" s="10" t="inlineStr">
        <is>
          <t>02/02/2026</t>
        </is>
      </c>
      <c r="I104" s="10" t="inlineStr">
        <is>
          <t>19/03/2026</t>
        </is>
      </c>
      <c r="J104" s="10" t="inlineStr">
        <is>
          <t>17/03/2026</t>
        </is>
      </c>
      <c r="K104" s="10" t="inlineStr">
        <is>
          <t>N/A</t>
        </is>
      </c>
      <c r="L104" s="10" t="inlineStr">
        <is>
          <t>Vessel Management, Operations support, Cargo Handling, Crew Management, Operation coordination</t>
        </is>
      </c>
      <c r="M104" s="10" t="inlineStr">
        <is>
          <t>Bonus, Paid Leave, Others</t>
        </is>
      </c>
      <c r="N104" s="11">
        <f>HYPERLINK("https://www.vietnamworks.com/business-process-management-specialist-2008889-jv","Xem chi tiết")</f>
        <v/>
      </c>
      <c r="O104" s="10" t="n"/>
    </row>
    <row r="105">
      <c r="B105" s="7" t="n">
        <v>103</v>
      </c>
      <c r="C105" t="inlineStr">
        <is>
          <t>Graphic Designer</t>
        </is>
      </c>
      <c r="D105" t="inlineStr">
        <is>
          <t>Công Ty TNHH MTV Thương Mại Sản Xuất Lạc Long</t>
        </is>
      </c>
      <c r="E105" t="inlineStr">
        <is>
          <t>Thương lượng</t>
        </is>
      </c>
      <c r="F105" t="inlineStr">
        <is>
          <t>Hồ Chí Minh</t>
        </is>
      </c>
      <c r="G105" t="inlineStr">
        <is>
          <t>Nhân viên</t>
        </is>
      </c>
      <c r="H105" t="inlineStr">
        <is>
          <t>02/02/2026</t>
        </is>
      </c>
      <c r="I105" t="inlineStr">
        <is>
          <t>19/03/2026</t>
        </is>
      </c>
      <c r="J105" t="inlineStr">
        <is>
          <t>17/03/2026</t>
        </is>
      </c>
      <c r="K105" t="inlineStr">
        <is>
          <t>N/A</t>
        </is>
      </c>
      <c r="L105" t="inlineStr">
        <is>
          <t>Graphic Design, Adobe Photoshop, Adobe Illustrator, Visual Communication, Creativity</t>
        </is>
      </c>
      <c r="M105" t="inlineStr">
        <is>
          <t>Bonus, Healthcare Plan, Others</t>
        </is>
      </c>
      <c r="N105" s="8">
        <f>HYPERLINK("https://www.vietnamworks.com/graphic-designer-2008891-jv","Xem chi tiết")</f>
        <v/>
      </c>
    </row>
    <row r="106">
      <c r="B106" s="9" t="n">
        <v>104</v>
      </c>
      <c r="C106" s="10" t="inlineStr">
        <is>
          <t>Junior UI/UX Designer</t>
        </is>
      </c>
      <c r="D106" s="10" t="inlineStr">
        <is>
          <t>Công Ty TNHH MTV Thương Mại Sản Xuất Lạc Long</t>
        </is>
      </c>
      <c r="E106" s="10" t="inlineStr">
        <is>
          <t>Thương lượng</t>
        </is>
      </c>
      <c r="F106" s="10" t="inlineStr">
        <is>
          <t>Hồ Chí Minh</t>
        </is>
      </c>
      <c r="G106" s="10" t="inlineStr">
        <is>
          <t>Nhân viên</t>
        </is>
      </c>
      <c r="H106" s="10" t="inlineStr">
        <is>
          <t>02/02/2026</t>
        </is>
      </c>
      <c r="I106" s="10" t="inlineStr">
        <is>
          <t>19/03/2026</t>
        </is>
      </c>
      <c r="J106" s="10" t="inlineStr">
        <is>
          <t>17/03/2026</t>
        </is>
      </c>
      <c r="K106" s="10" t="inlineStr">
        <is>
          <t>N/A</t>
        </is>
      </c>
      <c r="L106" s="10" t="inlineStr">
        <is>
          <t>UI/UX, Figma, Adobe Creative Suite, Design systems, Communication</t>
        </is>
      </c>
      <c r="M106" s="10" t="inlineStr">
        <is>
          <t>Bonus, Healthcare Plan, Others</t>
        </is>
      </c>
      <c r="N106" s="11">
        <f>HYPERLINK("https://www.vietnamworks.com/junior-uiux-designer-2008892-jv","Xem chi tiết")</f>
        <v/>
      </c>
      <c r="O106" s="10" t="n"/>
    </row>
    <row r="107">
      <c r="B107" s="7" t="n">
        <v>105</v>
      </c>
      <c r="C107" t="inlineStr">
        <is>
          <t>[Internship Program] Automation Tester Intern (Selenium)</t>
        </is>
      </c>
      <c r="D107" t="inlineStr">
        <is>
          <t>Bosch Global Software Technologies Company Limited</t>
        </is>
      </c>
      <c r="E107" t="inlineStr">
        <is>
          <t>Thương lượng</t>
        </is>
      </c>
      <c r="F107" t="inlineStr">
        <is>
          <t>Hồ Chí Minh</t>
        </is>
      </c>
      <c r="G107" t="inlineStr">
        <is>
          <t>Thực tập sinh/Sinh viên</t>
        </is>
      </c>
      <c r="H107" t="inlineStr">
        <is>
          <t>02/02/2026</t>
        </is>
      </c>
      <c r="I107" t="inlineStr">
        <is>
          <t>19/03/2026</t>
        </is>
      </c>
      <c r="J107" t="inlineStr">
        <is>
          <t>17/03/2026</t>
        </is>
      </c>
      <c r="K107" t="inlineStr">
        <is>
          <t>N/A</t>
        </is>
      </c>
      <c r="L107" t="inlineStr">
        <is>
          <t>Selenium, Automation Testing, Bug Tracking, .Net, Create Test Case</t>
        </is>
      </c>
      <c r="M107" t="inlineStr">
        <is>
          <t>Bonus, Paid Leave, Training, Team Activities, Others</t>
        </is>
      </c>
      <c r="N107" s="8">
        <f>HYPERLINK("https://www.vietnamworks.com/internship-program-automation-tester-intern-selenium-2008884-jv","Xem chi tiết")</f>
        <v/>
      </c>
    </row>
    <row r="108">
      <c r="B108" s="9" t="n">
        <v>106</v>
      </c>
      <c r="C108" s="10" t="inlineStr">
        <is>
          <t>Lái Xe Nâng Trong Khu Vực Sản Xuất</t>
        </is>
      </c>
      <c r="D108" s="10" t="inlineStr">
        <is>
          <t>Công Ty Cổ Phần Sữa Việt Nam (Vinamilk)</t>
        </is>
      </c>
      <c r="E108" s="10" t="inlineStr">
        <is>
          <t>Thương lượng</t>
        </is>
      </c>
      <c r="F108" s="10" t="inlineStr">
        <is>
          <t>Bình Dương, Hồ Chí Minh</t>
        </is>
      </c>
      <c r="G108" s="10" t="inlineStr">
        <is>
          <t>Mới Tốt Nghiệp</t>
        </is>
      </c>
      <c r="H108" s="10" t="inlineStr">
        <is>
          <t>02/02/2026</t>
        </is>
      </c>
      <c r="I108" s="10" t="inlineStr">
        <is>
          <t>19/03/2026</t>
        </is>
      </c>
      <c r="J108" s="10" t="inlineStr">
        <is>
          <t>17/03/2026</t>
        </is>
      </c>
      <c r="K108" s="10" t="inlineStr">
        <is>
          <t>N/A</t>
        </is>
      </c>
      <c r="L108" s="10" t="inlineStr">
        <is>
          <t>Cẩn Thận, Lái Xe Nâng, Sức Khoẻ Tốt, Trung Thực, Kiến Thức An Toàn Lao Động</t>
        </is>
      </c>
      <c r="M108" s="10" t="inlineStr">
        <is>
          <t>Bonus, Healthcare Plan, Training</t>
        </is>
      </c>
      <c r="N108" s="11">
        <f>HYPERLINK("https://www.vietnamworks.com/lai-xe-nang-trong-khu-vuc-san-xuat-2008885-jv","Xem chi tiết")</f>
        <v/>
      </c>
      <c r="O108" s="10" t="n"/>
    </row>
    <row r="109">
      <c r="B109" s="7" t="n">
        <v>107</v>
      </c>
      <c r="C109" t="inlineStr">
        <is>
          <t>[Internship Program] Fullstack Engineer Intern (Java/ NodeJS/ Python/ Django/ React/ .NET)</t>
        </is>
      </c>
      <c r="D109" t="inlineStr">
        <is>
          <t>Bosch Global Software Technologies Company Limited</t>
        </is>
      </c>
      <c r="E109" t="inlineStr">
        <is>
          <t>Thương lượng</t>
        </is>
      </c>
      <c r="F109" t="inlineStr">
        <is>
          <t>Hồ Chí Minh</t>
        </is>
      </c>
      <c r="G109" t="inlineStr">
        <is>
          <t>Thực tập sinh/Sinh viên</t>
        </is>
      </c>
      <c r="H109" t="inlineStr">
        <is>
          <t>02/02/2026</t>
        </is>
      </c>
      <c r="I109" t="inlineStr">
        <is>
          <t>19/03/2026</t>
        </is>
      </c>
      <c r="J109" t="inlineStr">
        <is>
          <t>17/03/2026</t>
        </is>
      </c>
      <c r="K109" t="inlineStr">
        <is>
          <t>N/A</t>
        </is>
      </c>
      <c r="L109" t="inlineStr">
        <is>
          <t>Java, NodeJS, Python, Django</t>
        </is>
      </c>
      <c r="M109" t="inlineStr">
        <is>
          <t>Bonus, Paid Leave, Training, Team Activities, Others</t>
        </is>
      </c>
      <c r="N109" s="8">
        <f>HYPERLINK("https://www.vietnamworks.com/internship-program-fullstack-engineer-intern-java-nodejs-python-django-react-net-2008886-jv","Xem chi tiết")</f>
        <v/>
      </c>
    </row>
    <row r="110">
      <c r="B110" s="9" t="n">
        <v>108</v>
      </c>
      <c r="C110" s="10" t="inlineStr">
        <is>
          <t>[Hà Nội] Giám Đốc Phòng Dịch Vụ Khách Hàng</t>
        </is>
      </c>
      <c r="D110" s="10" t="inlineStr">
        <is>
          <t>Ngân hàng TMCP Tiên Phong (TPBank)</t>
        </is>
      </c>
      <c r="E110" s="10" t="inlineStr">
        <is>
          <t>30tr-35tr ₫/tháng</t>
        </is>
      </c>
      <c r="F110" s="10" t="inlineStr">
        <is>
          <t>Hà Nội</t>
        </is>
      </c>
      <c r="G110" s="10" t="inlineStr">
        <is>
          <t>Giám Đốc và Cấp Cao Hơn</t>
        </is>
      </c>
      <c r="H110" s="10" t="inlineStr">
        <is>
          <t>02/02/2026</t>
        </is>
      </c>
      <c r="I110" s="10" t="inlineStr">
        <is>
          <t>19/03/2026</t>
        </is>
      </c>
      <c r="J110" s="10" t="inlineStr">
        <is>
          <t>17/03/2026</t>
        </is>
      </c>
      <c r="K110" s="10" t="inlineStr">
        <is>
          <t>N/A</t>
        </is>
      </c>
      <c r="L110" s="10" t="inlineStr">
        <is>
          <t>Dịch Vụ Khách Hàng, Lãnh Đạo, Kế Toán, Ngân hàng, Tài Chính</t>
        </is>
      </c>
      <c r="M110" s="10" t="inlineStr">
        <is>
          <t>Bonus, Awards, Others</t>
        </is>
      </c>
      <c r="N110" s="11">
        <f>HYPERLINK("https://www.vietnamworks.com/ha-noi-giam-djoc-phong-dich-vu-khach-hang-2008896-jv","Xem chi tiết")</f>
        <v/>
      </c>
      <c r="O110" s="10" t="n"/>
    </row>
    <row r="111">
      <c r="B111" s="7" t="n">
        <v>109</v>
      </c>
      <c r="C111" t="inlineStr">
        <is>
          <t>Content Creator - Filming &amp; Editing</t>
        </is>
      </c>
      <c r="D111" t="inlineStr">
        <is>
          <t>Công Ty TNHH MTV Thương Mại Sản Xuất Lạc Long</t>
        </is>
      </c>
      <c r="E111" t="inlineStr">
        <is>
          <t>Thương lượng</t>
        </is>
      </c>
      <c r="F111" t="inlineStr">
        <is>
          <t>Hồ Chí Minh</t>
        </is>
      </c>
      <c r="G111" t="inlineStr">
        <is>
          <t>Nhân viên</t>
        </is>
      </c>
      <c r="H111" t="inlineStr">
        <is>
          <t>02/02/2026</t>
        </is>
      </c>
      <c r="I111" t="inlineStr">
        <is>
          <t>19/03/2026</t>
        </is>
      </c>
      <c r="J111" t="inlineStr">
        <is>
          <t>17/03/2026</t>
        </is>
      </c>
      <c r="K111" t="inlineStr">
        <is>
          <t>N/A</t>
        </is>
      </c>
      <c r="L111" t="inlineStr">
        <is>
          <t>Content Creation, Video Editing, Social Media Marketing, Trend Analysis, Project Management</t>
        </is>
      </c>
      <c r="M111" t="inlineStr">
        <is>
          <t>Bonus, Healthcare Plan, Others</t>
        </is>
      </c>
      <c r="N111" s="8">
        <f>HYPERLINK("https://www.vietnamworks.com/content-creator-filming-and-editing-2008890-jv","Xem chi tiết")</f>
        <v/>
      </c>
    </row>
    <row r="112">
      <c r="B112" s="9" t="n">
        <v>110</v>
      </c>
      <c r="C112" s="10" t="inlineStr">
        <is>
          <t>Senior System Analyst/ Principal System Analyst</t>
        </is>
      </c>
      <c r="D112" s="10" t="inlineStr">
        <is>
          <t>Raffles Medical Group</t>
        </is>
      </c>
      <c r="E112" s="10" t="inlineStr">
        <is>
          <t>Thương lượng</t>
        </is>
      </c>
      <c r="F112" s="10" t="inlineStr">
        <is>
          <t>Hồ Chí Minh</t>
        </is>
      </c>
      <c r="G112" s="10" t="inlineStr">
        <is>
          <t>Nhân viên</t>
        </is>
      </c>
      <c r="H112" s="10" t="inlineStr">
        <is>
          <t>02/02/2026</t>
        </is>
      </c>
      <c r="I112" s="10" t="inlineStr">
        <is>
          <t>19/03/2026</t>
        </is>
      </c>
      <c r="J112" s="10" t="inlineStr">
        <is>
          <t>17/03/2026</t>
        </is>
      </c>
      <c r="K112" s="10" t="inlineStr">
        <is>
          <t>N/A</t>
        </is>
      </c>
      <c r="L112" s="10" t="inlineStr">
        <is>
          <t>SAP, REST, System Analysis, SAP ABAP, SOAP</t>
        </is>
      </c>
      <c r="M112" s="10" t="inlineStr">
        <is>
          <t>Bonus, Healthcare Plan</t>
        </is>
      </c>
      <c r="N112" s="11">
        <f>HYPERLINK("https://www.vietnamworks.com/senior-system-analyst-principal-system-analyst-2008899-jv","Xem chi tiết")</f>
        <v/>
      </c>
      <c r="O112" s="10" t="n"/>
    </row>
    <row r="113">
      <c r="B113" s="7" t="n">
        <v>111</v>
      </c>
      <c r="C113" t="inlineStr">
        <is>
          <t>Document Controller</t>
        </is>
      </c>
      <c r="D113" t="inlineStr">
        <is>
          <t>Công Ty TNHH Năng Lượng Xanh Và Tái Tạo Phương Nam</t>
        </is>
      </c>
      <c r="E113" t="inlineStr">
        <is>
          <t>Thương lượng</t>
        </is>
      </c>
      <c r="F113" t="inlineStr">
        <is>
          <t>Bà Rịa - Vũng Tàu</t>
        </is>
      </c>
      <c r="G113" t="inlineStr">
        <is>
          <t>Nhân viên</t>
        </is>
      </c>
      <c r="H113" t="inlineStr">
        <is>
          <t>02/02/2026</t>
        </is>
      </c>
      <c r="I113" t="inlineStr">
        <is>
          <t>19/03/2026</t>
        </is>
      </c>
      <c r="J113" t="inlineStr">
        <is>
          <t>17/03/2026</t>
        </is>
      </c>
      <c r="K113" t="inlineStr">
        <is>
          <t>N/A</t>
        </is>
      </c>
      <c r="L113" t="inlineStr">
        <is>
          <t>Document Control, Hành Chính, Administration, Documentation, Văn Thư Hành Chính</t>
        </is>
      </c>
      <c r="M113" t="inlineStr">
        <is>
          <t>Bonus, Healthcare Plan, Paid Leave</t>
        </is>
      </c>
      <c r="N113" s="8">
        <f>HYPERLINK("https://www.vietnamworks.com/document-controller-2008904-jv","Xem chi tiết")</f>
        <v/>
      </c>
    </row>
    <row r="114">
      <c r="B114" s="9" t="n">
        <v>112</v>
      </c>
      <c r="C114" s="10" t="inlineStr">
        <is>
          <t>Trưởng Ban Quản Lý Dự Án</t>
        </is>
      </c>
      <c r="D114" s="10" t="inlineStr">
        <is>
          <t>Công Ty TNHH Một Thành Viên Booyoung Việt Nam</t>
        </is>
      </c>
      <c r="E114" s="10" t="inlineStr">
        <is>
          <t>Thương lượng</t>
        </is>
      </c>
      <c r="F114" s="10" t="inlineStr">
        <is>
          <t>Hà Nội</t>
        </is>
      </c>
      <c r="G114" s="10" t="inlineStr">
        <is>
          <t>Nhân viên</t>
        </is>
      </c>
      <c r="H114" s="10" t="inlineStr">
        <is>
          <t>02/02/2026</t>
        </is>
      </c>
      <c r="I114" s="10" t="inlineStr">
        <is>
          <t>19/03/2026</t>
        </is>
      </c>
      <c r="J114" s="10" t="inlineStr">
        <is>
          <t>17/03/2026</t>
        </is>
      </c>
      <c r="K114" s="10" t="inlineStr">
        <is>
          <t>N/A</t>
        </is>
      </c>
      <c r="L114" s="10" t="inlineStr">
        <is>
          <t>Xây Dựng, Kinh Tế Xây Dựng, Kiến Trúc, Kiểm Tra Chất Lượng, Giám Sát Thi Công</t>
        </is>
      </c>
      <c r="M114" s="10" t="inlineStr">
        <is>
          <t>Bonus</t>
        </is>
      </c>
      <c r="N114" s="11">
        <f>HYPERLINK("https://www.vietnamworks.com/truong-ban-quan-ly-du-an--2008925-jv","Xem chi tiết")</f>
        <v/>
      </c>
      <c r="O114" s="10" t="n"/>
    </row>
    <row r="115">
      <c r="B115" s="7" t="n">
        <v>113</v>
      </c>
      <c r="C115" t="inlineStr">
        <is>
          <t>Nhân Viên Kinh Doanh Quốc Tế</t>
        </is>
      </c>
      <c r="D115" t="inlineStr">
        <is>
          <t>Công ty TNHH H&amp;B International</t>
        </is>
      </c>
      <c r="E115" t="inlineStr">
        <is>
          <t>10tr-40tr ₫/tháng</t>
        </is>
      </c>
      <c r="F115" t="inlineStr">
        <is>
          <t>Hà Nội</t>
        </is>
      </c>
      <c r="G115" t="inlineStr">
        <is>
          <t>Nhân viên</t>
        </is>
      </c>
      <c r="H115" t="inlineStr">
        <is>
          <t>02/02/2026</t>
        </is>
      </c>
      <c r="I115" t="inlineStr">
        <is>
          <t>19/03/2026</t>
        </is>
      </c>
      <c r="J115" t="inlineStr">
        <is>
          <t>17/03/2026</t>
        </is>
      </c>
      <c r="K115" t="inlineStr">
        <is>
          <t>N/A</t>
        </is>
      </c>
      <c r="L115" t="inlineStr">
        <is>
          <t>Marketing Quốc Tế, Tiếng Anh, Excel, Tư Vấn Khách Hàng, Kinh doanh &amp; Phát triển khách hàng</t>
        </is>
      </c>
      <c r="M115" t="inlineStr">
        <is>
          <t>Bonus, Healthcare Plan, Training, Travel Opportunities, Team Activities, Canteen, Others</t>
        </is>
      </c>
      <c r="N115" s="8">
        <f>HYPERLINK("https://www.vietnamworks.com/nhan-vien-kinh-doanh-quoc-te-2008917-jv","Xem chi tiết")</f>
        <v/>
      </c>
    </row>
    <row r="116">
      <c r="B116" s="9" t="n">
        <v>114</v>
      </c>
      <c r="C116" s="10" t="inlineStr">
        <is>
          <t>Kỹ Sư Dự Toán (Quantity Surveyor) – Mức Lương Khởi Điểm 15 Triệu/tháng</t>
        </is>
      </c>
      <c r="D116" s="10" t="inlineStr">
        <is>
          <t>Dpe Engineering &amp; Construction., JSC</t>
        </is>
      </c>
      <c r="E116" s="10" t="inlineStr">
        <is>
          <t>Từ 15tr ₫/tháng</t>
        </is>
      </c>
      <c r="F116" s="10" t="inlineStr">
        <is>
          <t>Hà Nội</t>
        </is>
      </c>
      <c r="G116" s="10" t="inlineStr">
        <is>
          <t>Nhân viên</t>
        </is>
      </c>
      <c r="H116" s="10" t="inlineStr">
        <is>
          <t>02/02/2026</t>
        </is>
      </c>
      <c r="I116" s="10" t="inlineStr">
        <is>
          <t>19/03/2026</t>
        </is>
      </c>
      <c r="J116" s="10" t="inlineStr">
        <is>
          <t>17/03/2026</t>
        </is>
      </c>
      <c r="K116" s="10" t="inlineStr">
        <is>
          <t>N/A</t>
        </is>
      </c>
      <c r="L116" s="10" t="inlineStr">
        <is>
          <t>Kinh Tế Xây Dựng, Dự Toán, Làm Dự Toán, Dự Thảo Hợp Đồng, Quản Lý Chi Phí</t>
        </is>
      </c>
      <c r="M116" s="10" t="inlineStr">
        <is>
          <t>Bonus, Healthcare Plan, Paid Leave, Training, Travel Opportunities, Others</t>
        </is>
      </c>
      <c r="N116" s="11">
        <f>HYPERLINK("https://www.vietnamworks.com/ky-su-du-toan-quantity-surveyor-muc-luong-khoi-djiem-15-trieuthang-2008905-jv","Xem chi tiết")</f>
        <v/>
      </c>
      <c r="O116" s="10" t="n"/>
    </row>
    <row r="117">
      <c r="B117" s="7" t="n">
        <v>115</v>
      </c>
      <c r="C117" t="inlineStr">
        <is>
          <t>CVCC Nghiên Cứu Thị Trường và Quan Hệ Đối Tác (Ngành Bđs, Nghỉ Dưỡng)</t>
        </is>
      </c>
      <c r="D117" t="inlineStr">
        <is>
          <t>Công Ty Cổ Phần Tập Đoàn Masterise</t>
        </is>
      </c>
      <c r="E117" t="inlineStr">
        <is>
          <t>Thương lượng</t>
        </is>
      </c>
      <c r="F117" t="inlineStr">
        <is>
          <t>Hà Nội</t>
        </is>
      </c>
      <c r="G117" t="inlineStr">
        <is>
          <t>Nhân viên</t>
        </is>
      </c>
      <c r="H117" t="inlineStr">
        <is>
          <t>02/02/2026</t>
        </is>
      </c>
      <c r="I117" t="inlineStr">
        <is>
          <t>19/03/2026</t>
        </is>
      </c>
      <c r="J117" t="inlineStr">
        <is>
          <t>17/03/2026</t>
        </is>
      </c>
      <c r="K117" t="inlineStr">
        <is>
          <t>N/A</t>
        </is>
      </c>
      <c r="L117" t="inlineStr">
        <is>
          <t>Phát Triển Kinh Doanh, Nghiên Cứu Thị Trường, Kinh Doanh Nhà Hàng Khách Sạn, Bất Động Sản, Phát Triển Dự Án</t>
        </is>
      </c>
      <c r="M117" t="inlineStr">
        <is>
          <t>Bonus, Healthcare Plan, Laptop</t>
        </is>
      </c>
      <c r="N117" s="8">
        <f>HYPERLINK("https://www.vietnamworks.com/cvcc-nghien-cuu-thi-truong-va-quan-he-doi-tac-nganh-bds-nghi-duong-2008915-jv","Xem chi tiết")</f>
        <v/>
      </c>
    </row>
    <row r="118">
      <c r="B118" s="9" t="n">
        <v>116</v>
      </c>
      <c r="C118" s="10" t="inlineStr">
        <is>
          <t>Kỹ Sư Xây Dựng , Kiến Trúc, Hạ Tầng, Điện và Cơ Điện (4 Vị Trí)</t>
        </is>
      </c>
      <c r="D118" s="10" t="inlineStr">
        <is>
          <t>Công Ty TNHH Một Thành Viên Booyoung Việt Nam</t>
        </is>
      </c>
      <c r="E118" s="10" t="inlineStr">
        <is>
          <t>Từ $ 1,000 /tháng</t>
        </is>
      </c>
      <c r="F118" s="10" t="inlineStr">
        <is>
          <t>Hà Nội</t>
        </is>
      </c>
      <c r="G118" s="10" t="inlineStr">
        <is>
          <t>Nhân viên</t>
        </is>
      </c>
      <c r="H118" s="10" t="inlineStr">
        <is>
          <t>02/02/2026</t>
        </is>
      </c>
      <c r="I118" s="10" t="inlineStr">
        <is>
          <t>19/03/2026</t>
        </is>
      </c>
      <c r="J118" s="10" t="inlineStr">
        <is>
          <t>17/03/2026</t>
        </is>
      </c>
      <c r="K118" s="10" t="inlineStr">
        <is>
          <t>N/A</t>
        </is>
      </c>
      <c r="L118" s="10" t="inlineStr">
        <is>
          <t>Xây Dựng Dân Dụng, Xây Dựng, Kinh Tế Xây Dựng, AutoCAD, Tư Vấn Xây Dựng</t>
        </is>
      </c>
      <c r="M118" s="10" t="inlineStr">
        <is>
          <t>Bonus</t>
        </is>
      </c>
      <c r="N118" s="11">
        <f>HYPERLINK("https://www.vietnamworks.com/ky-su-xay-dung-kien-truc-ha-tang-dien-va-co-dien-4-vi-tri-2008924-jv","Xem chi tiết")</f>
        <v/>
      </c>
      <c r="O118" s="10" t="n"/>
    </row>
    <row r="119">
      <c r="B119" s="7" t="n">
        <v>117</v>
      </c>
      <c r="C119" t="inlineStr">
        <is>
          <t>QA Executive</t>
        </is>
      </c>
      <c r="D119" t="inlineStr">
        <is>
          <t>Rentokil Initial (Viet Nam) Limited Company</t>
        </is>
      </c>
      <c r="E119" t="inlineStr">
        <is>
          <t>$$ 500-700 /tháng</t>
        </is>
      </c>
      <c r="F119" t="inlineStr">
        <is>
          <t>Hà Nội</t>
        </is>
      </c>
      <c r="G119" t="inlineStr">
        <is>
          <t>Mới Tốt Nghiệp</t>
        </is>
      </c>
      <c r="H119" t="inlineStr">
        <is>
          <t>02/02/2026</t>
        </is>
      </c>
      <c r="I119" t="inlineStr">
        <is>
          <t>19/03/2026</t>
        </is>
      </c>
      <c r="J119" t="inlineStr">
        <is>
          <t>17/03/2026</t>
        </is>
      </c>
      <c r="K119" t="inlineStr">
        <is>
          <t>N/A</t>
        </is>
      </c>
      <c r="L119" t="inlineStr">
        <is>
          <t>Communication Skills, Technical skills, Quality Management, Reporting Skill, Presentation Skills</t>
        </is>
      </c>
      <c r="M119" t="inlineStr">
        <is>
          <t>Bonus, Healthcare Plan, Awards</t>
        </is>
      </c>
      <c r="N119" s="8">
        <f>HYPERLINK("https://www.vietnamworks.com/qa-executive--2008913-jv","Xem chi tiết")</f>
        <v/>
      </c>
    </row>
    <row r="120">
      <c r="B120" s="9" t="n">
        <v>118</v>
      </c>
      <c r="C120" s="10" t="inlineStr">
        <is>
          <t>Chuyên Viên Giải Quyết Khiếu Nại Phi Hàng Hải Thuộc Ban Giải Quyết Khiếu Nại, Tổng Công Ty Bảo Hiểm PVI</t>
        </is>
      </c>
      <c r="D120" s="10" t="inlineStr">
        <is>
          <t>Tổng Công ty Bảo hiểm PVI - Chi nhánh Bảo hiểm PVI Link</t>
        </is>
      </c>
      <c r="E120" s="10" t="inlineStr">
        <is>
          <t>Thương lượng</t>
        </is>
      </c>
      <c r="F120" s="10" t="inlineStr">
        <is>
          <t>Hà Nội</t>
        </is>
      </c>
      <c r="G120" s="10" t="inlineStr">
        <is>
          <t>Trưởng phòng</t>
        </is>
      </c>
      <c r="H120" s="10" t="inlineStr">
        <is>
          <t>02/02/2026</t>
        </is>
      </c>
      <c r="I120" s="10" t="inlineStr">
        <is>
          <t>19/03/2026</t>
        </is>
      </c>
      <c r="J120" s="10" t="inlineStr">
        <is>
          <t>17/03/2026</t>
        </is>
      </c>
      <c r="K120" s="10" t="inlineStr">
        <is>
          <t>N/A</t>
        </is>
      </c>
      <c r="L120" s="10" t="inlineStr">
        <is>
          <t>Kinh Doanh Bảo Hiểm, Giải Quyết Khiếu Nại, Giám Định, Bảo Hiểm, Quản Lý Rủi Ro</t>
        </is>
      </c>
      <c r="M120" s="10" t="inlineStr">
        <is>
          <t>Bonus, Healthcare Plan, Training</t>
        </is>
      </c>
      <c r="N120" s="11">
        <f>HYPERLINK("https://www.vietnamworks.com/chuyen-vien-giai-quyet-khieu-nai-phi-hang-hai-thuoc-ban-giai-quyet-khieu-nai-tong-cong-ty-bao-hiem-pvi-2008929-jv","Xem chi tiết")</f>
        <v/>
      </c>
      <c r="O120" s="10" t="n"/>
    </row>
    <row r="121">
      <c r="B121" s="7" t="n">
        <v>119</v>
      </c>
      <c r="C121" t="inlineStr">
        <is>
          <t>Chuyên Viên Kinh Doanh Thị Trường - Đi Làm Sau Tết</t>
        </is>
      </c>
      <c r="D121" t="inlineStr">
        <is>
          <t>CÔNG TY TNHH HỒNG QUÂN D&amp;I</t>
        </is>
      </c>
      <c r="E121" t="inlineStr">
        <is>
          <t>15tr-20tr ₫/tháng</t>
        </is>
      </c>
      <c r="F121" t="inlineStr">
        <is>
          <t>Hà Nội</t>
        </is>
      </c>
      <c r="G121" t="inlineStr">
        <is>
          <t>Mới Tốt Nghiệp</t>
        </is>
      </c>
      <c r="H121" t="inlineStr">
        <is>
          <t>02/02/2026</t>
        </is>
      </c>
      <c r="I121" t="inlineStr">
        <is>
          <t>19/03/2026</t>
        </is>
      </c>
      <c r="J121" t="inlineStr">
        <is>
          <t>17/03/2026</t>
        </is>
      </c>
      <c r="K121" t="inlineStr">
        <is>
          <t>N/A</t>
        </is>
      </c>
      <c r="L121" t="inlineStr">
        <is>
          <t>Kinh Doanh Kiến Trúc, Kỹ năng giao tiêp, Kỹ năng đàm phán, Tin Học Văn Phòng, Khả năng làm việc độc lập</t>
        </is>
      </c>
      <c r="M121" t="inlineStr">
        <is>
          <t>Bonus, Healthcare Plan, Paid Leave, Training, Team Activities, Others</t>
        </is>
      </c>
      <c r="N121" s="8">
        <f>HYPERLINK("https://www.vietnamworks.com/chuyen-vien-kinh-doanh-thi-truong-dji-lam-sau-tet-2008928-jv","Xem chi tiết")</f>
        <v/>
      </c>
    </row>
    <row r="122">
      <c r="B122" s="9" t="n">
        <v>120</v>
      </c>
      <c r="C122" s="10" t="inlineStr">
        <is>
          <t>Nhân Viên Kinh Doanh - Salesman Khu Vực Lagi - Nam Bình Thuận Và Các Khu Vực Lân Cận/vũng Tàu</t>
        </is>
      </c>
      <c r="D122" s="10" t="inlineStr">
        <is>
          <t>CÔNG TY CỔ PHẦN THƯƠNG MẠI XUẤT NHẬP KHẨU DẦU KHÍ THÁI BÌNH DƯƠNG</t>
        </is>
      </c>
      <c r="E122" s="10" t="inlineStr">
        <is>
          <t>10tr-15tr ₫/tháng</t>
        </is>
      </c>
      <c r="F122" s="10" t="inlineStr">
        <is>
          <t>Bình Thuận, Bà Rịa - Vũng Tàu</t>
        </is>
      </c>
      <c r="G122" s="10" t="inlineStr">
        <is>
          <t>Nhân viên</t>
        </is>
      </c>
      <c r="H122" s="10" t="inlineStr">
        <is>
          <t>02/02/2026</t>
        </is>
      </c>
      <c r="I122" s="10" t="inlineStr">
        <is>
          <t>19/03/2026</t>
        </is>
      </c>
      <c r="J122" s="10" t="inlineStr">
        <is>
          <t>17/03/2026</t>
        </is>
      </c>
      <c r="K122" s="10" t="inlineStr">
        <is>
          <t>N/A</t>
        </is>
      </c>
      <c r="L122" s="10" t="inlineStr">
        <is>
          <t>Sales, Nhân viên kinh doanh, Kinh Doanh, Bán hàng, Sale Thị Trường</t>
        </is>
      </c>
      <c r="M122" s="10" t="inlineStr">
        <is>
          <t>Bonus, Healthcare Plan, Mobile</t>
        </is>
      </c>
      <c r="N122" s="11">
        <f>HYPERLINK("https://www.vietnamworks.com/nhan-vien-kinh-doanh-salesman-khu-vuc-lagi-nam-binh-thuan-va-cac-khu-vuc-lan-can-vung-tau-2008931-jv","Xem chi tiết")</f>
        <v/>
      </c>
      <c r="O122" s="10" t="n"/>
    </row>
    <row r="123">
      <c r="B123" s="7" t="n">
        <v>121</v>
      </c>
      <c r="C123" t="inlineStr">
        <is>
          <t>Kế Toán Công Nợ</t>
        </is>
      </c>
      <c r="D123" t="inlineStr">
        <is>
          <t>Công Ty TNHH Một Thành Viên Booyoung Việt Nam</t>
        </is>
      </c>
      <c r="E123" t="inlineStr">
        <is>
          <t>Thương lượng</t>
        </is>
      </c>
      <c r="F123" t="inlineStr">
        <is>
          <t>Hà Nội</t>
        </is>
      </c>
      <c r="G123" t="inlineStr">
        <is>
          <t>Nhân viên</t>
        </is>
      </c>
      <c r="H123" t="inlineStr">
        <is>
          <t>02/02/2026</t>
        </is>
      </c>
      <c r="I123" t="inlineStr">
        <is>
          <t>19/03/2026</t>
        </is>
      </c>
      <c r="J123" t="inlineStr">
        <is>
          <t>17/03/2026</t>
        </is>
      </c>
      <c r="K123" t="inlineStr">
        <is>
          <t>N/A</t>
        </is>
      </c>
      <c r="L123" t="inlineStr">
        <is>
          <t>Kế Toán Công Trường, Tài Chính, Quản Lý Chi Phí, Quản Lý Doanh Thu, Quản Lý Tài Sản</t>
        </is>
      </c>
      <c r="M123" t="inlineStr">
        <is>
          <t>Bonus, Healthcare Plan, Paid Leave</t>
        </is>
      </c>
      <c r="N123" s="8">
        <f>HYPERLINK("https://www.vietnamworks.com/ke-toan-cong-no--2008930-jv","Xem chi tiết")</f>
        <v/>
      </c>
    </row>
    <row r="124">
      <c r="B124" s="9" t="n">
        <v>122</v>
      </c>
      <c r="C124" s="10" t="inlineStr">
        <is>
          <t>(Senior) Quality Inspector - Long An</t>
        </is>
      </c>
      <c r="D124" s="10" t="inlineStr">
        <is>
          <t>Sharkninja Vietnam</t>
        </is>
      </c>
      <c r="E124" s="10" t="inlineStr">
        <is>
          <t>Thương lượng</t>
        </is>
      </c>
      <c r="F124" s="10" t="inlineStr">
        <is>
          <t>Long An</t>
        </is>
      </c>
      <c r="G124" s="10" t="inlineStr">
        <is>
          <t>Nhân viên</t>
        </is>
      </c>
      <c r="H124" s="10" t="inlineStr">
        <is>
          <t>02/02/2026</t>
        </is>
      </c>
      <c r="I124" s="10" t="inlineStr">
        <is>
          <t>19/03/2026</t>
        </is>
      </c>
      <c r="J124" s="10" t="inlineStr">
        <is>
          <t>17/03/2026</t>
        </is>
      </c>
      <c r="K124" s="10" t="inlineStr">
        <is>
          <t>N/A</t>
        </is>
      </c>
      <c r="L124" s="10" t="inlineStr">
        <is>
          <t>Issue Detection, PSI, Quality Inspection, Quality Internal Audit, Report Writing</t>
        </is>
      </c>
      <c r="M124" s="10" t="inlineStr">
        <is>
          <t>Bonus, Healthcare Plan, Training</t>
        </is>
      </c>
      <c r="N124" s="11">
        <f>HYPERLINK("https://www.vietnamworks.com/-senior-quality-inspector-long-an-2008941-jv","Xem chi tiết")</f>
        <v/>
      </c>
      <c r="O124" s="10" t="n"/>
    </row>
    <row r="125">
      <c r="B125" s="7" t="n">
        <v>123</v>
      </c>
      <c r="C125" t="inlineStr">
        <is>
          <t>Chuyên Gia Điện Tái Tạo - Energy - 4Q017</t>
        </is>
      </c>
      <c r="D125" t="inlineStr">
        <is>
          <t>Tập đoàn ROX (ROX Group)</t>
        </is>
      </c>
      <c r="E125" t="inlineStr">
        <is>
          <t>Thương lượng</t>
        </is>
      </c>
      <c r="F125" t="inlineStr">
        <is>
          <t>Hà Nội, Hồ Chí Minh</t>
        </is>
      </c>
      <c r="G125" t="inlineStr">
        <is>
          <t>Nhân viên</t>
        </is>
      </c>
      <c r="H125" t="inlineStr">
        <is>
          <t>02/02/2026</t>
        </is>
      </c>
      <c r="I125" t="inlineStr">
        <is>
          <t>19/03/2026</t>
        </is>
      </c>
      <c r="J125" t="inlineStr">
        <is>
          <t>17/03/2026</t>
        </is>
      </c>
      <c r="K125" t="inlineStr">
        <is>
          <t>N/A</t>
        </is>
      </c>
      <c r="L125" t="inlineStr">
        <is>
          <t>Kỹ Thuật, Kỹ Thuật Điện, Quản Lý Thiết Kế Kết Cấu, Tiếng Anh Chuyên Ngành May, Điện Tái Tạo</t>
        </is>
      </c>
      <c r="M125" t="inlineStr">
        <is>
          <t>Bonus, Healthcare Plan, Training, Others</t>
        </is>
      </c>
      <c r="N125" s="8">
        <f>HYPERLINK("https://www.vietnamworks.com/chuyen-gia-djien-tai-tao-energy-4q017-2008927-jv","Xem chi tiết")</f>
        <v/>
      </c>
    </row>
    <row r="126">
      <c r="B126" s="9" t="n">
        <v>124</v>
      </c>
      <c r="C126" s="10" t="inlineStr">
        <is>
          <t>Business Process Management Specialist - Liner</t>
        </is>
      </c>
      <c r="D126" s="10" t="inlineStr">
        <is>
          <t>Ben Line Vietnam</t>
        </is>
      </c>
      <c r="E126" s="10" t="inlineStr">
        <is>
          <t>Thương lượng</t>
        </is>
      </c>
      <c r="F126" s="10" t="inlineStr">
        <is>
          <t>Hồ Chí Minh</t>
        </is>
      </c>
      <c r="G126" s="10" t="inlineStr">
        <is>
          <t>Nhân viên</t>
        </is>
      </c>
      <c r="H126" s="10" t="inlineStr">
        <is>
          <t>02/02/2026</t>
        </is>
      </c>
      <c r="I126" s="10" t="inlineStr">
        <is>
          <t>19/03/2026</t>
        </is>
      </c>
      <c r="J126" s="10" t="inlineStr">
        <is>
          <t>17/03/2026</t>
        </is>
      </c>
      <c r="K126" s="10" t="inlineStr">
        <is>
          <t>N/A</t>
        </is>
      </c>
      <c r="L126" s="10" t="inlineStr">
        <is>
          <t>Cargo Industry Experience, Shipping/Logistics, Shipping Processes, Documentation Process, Cargo Handling</t>
        </is>
      </c>
      <c r="M126" s="10" t="inlineStr">
        <is>
          <t>Bonus, Paid Leave, Others</t>
        </is>
      </c>
      <c r="N126" s="11">
        <f>HYPERLINK("https://www.vietnamworks.com/business-process-management-specialist-liner--2008944-jv","Xem chi tiết")</f>
        <v/>
      </c>
      <c r="O126" s="10" t="n"/>
    </row>
    <row r="127">
      <c r="B127" s="7" t="n">
        <v>125</v>
      </c>
      <c r="C127" t="inlineStr">
        <is>
          <t>Community Management Associate - Green International Coworking Space In Hoi An</t>
        </is>
      </c>
      <c r="D127" t="inlineStr">
        <is>
          <t>CÔNG TY TNHH HUB HỘI AN</t>
        </is>
      </c>
      <c r="E127" t="inlineStr">
        <is>
          <t>Thương lượng</t>
        </is>
      </c>
      <c r="F127" t="inlineStr">
        <is>
          <t>Đà Nẵng</t>
        </is>
      </c>
      <c r="G127" t="inlineStr">
        <is>
          <t>Nhân viên</t>
        </is>
      </c>
      <c r="H127" t="inlineStr">
        <is>
          <t>02/02/2026</t>
        </is>
      </c>
      <c r="I127" t="inlineStr">
        <is>
          <t>19/03/2026</t>
        </is>
      </c>
      <c r="J127" t="inlineStr">
        <is>
          <t>17/03/2026</t>
        </is>
      </c>
      <c r="K127" t="inlineStr">
        <is>
          <t>N/A</t>
        </is>
      </c>
      <c r="L127" t="inlineStr">
        <is>
          <t>Community Management, Time Management, Problem Solving, Admin, Hospitality</t>
        </is>
      </c>
      <c r="M127" t="inlineStr">
        <is>
          <t>Healthcare Plan, Training, Others</t>
        </is>
      </c>
      <c r="N127" s="8">
        <f>HYPERLINK("https://www.vietnamworks.com/community-management-associate-green-international-coworking-space-in-hoi-an-2008940-jv","Xem chi tiết")</f>
        <v/>
      </c>
    </row>
    <row r="128">
      <c r="B128" s="9" t="n">
        <v>126</v>
      </c>
      <c r="C128" s="10" t="inlineStr">
        <is>
          <t>Senior Product Owner (Business Analyst)</t>
        </is>
      </c>
      <c r="D128" s="10" t="inlineStr">
        <is>
          <t>One Mount</t>
        </is>
      </c>
      <c r="E128" s="10" t="inlineStr">
        <is>
          <t>$$ 1,500-2,000 /tháng</t>
        </is>
      </c>
      <c r="F128" s="10" t="inlineStr">
        <is>
          <t>Hà Nội</t>
        </is>
      </c>
      <c r="G128" s="10" t="inlineStr">
        <is>
          <t>Trưởng phòng</t>
        </is>
      </c>
      <c r="H128" s="10" t="inlineStr">
        <is>
          <t>02/02/2026</t>
        </is>
      </c>
      <c r="I128" s="10" t="inlineStr">
        <is>
          <t>19/03/2026</t>
        </is>
      </c>
      <c r="J128" s="10" t="inlineStr">
        <is>
          <t>17/03/2026</t>
        </is>
      </c>
      <c r="K128" s="10" t="inlineStr">
        <is>
          <t>N/A</t>
        </is>
      </c>
      <c r="L128" s="10" t="inlineStr">
        <is>
          <t>Product Management, Business Analysis, Agile, Product Owner, Figma</t>
        </is>
      </c>
      <c r="M128" s="10" t="inlineStr">
        <is>
          <t>Healthcare Plan, Laptop, Team Activities</t>
        </is>
      </c>
      <c r="N128" s="11">
        <f>HYPERLINK("https://www.vietnamworks.com/senior-product-owner-business-analyst--2008918-jv","Xem chi tiết")</f>
        <v/>
      </c>
      <c r="O128" s="10" t="n"/>
    </row>
    <row r="129">
      <c r="B129" s="7" t="n">
        <v>127</v>
      </c>
      <c r="C129" t="inlineStr">
        <is>
          <t>Assistant Brand Manager</t>
        </is>
      </c>
      <c r="D129" t="inlineStr">
        <is>
          <t>Masan Consumer Holdings</t>
        </is>
      </c>
      <c r="E129" t="inlineStr">
        <is>
          <t>Thương lượng</t>
        </is>
      </c>
      <c r="F129" t="inlineStr">
        <is>
          <t>Hồ Chí Minh</t>
        </is>
      </c>
      <c r="G129" t="inlineStr">
        <is>
          <t>Nhân viên</t>
        </is>
      </c>
      <c r="H129" t="inlineStr">
        <is>
          <t>02/02/2026</t>
        </is>
      </c>
      <c r="I129" t="inlineStr">
        <is>
          <t>19/03/2026</t>
        </is>
      </c>
      <c r="J129" t="inlineStr">
        <is>
          <t>17/03/2026</t>
        </is>
      </c>
      <c r="K129" t="inlineStr">
        <is>
          <t>N/A</t>
        </is>
      </c>
      <c r="L129" t="inlineStr">
        <is>
          <t>FMCG, Branding, Brand Positioning, Brand Planning, Brand Management</t>
        </is>
      </c>
      <c r="M129" t="inlineStr">
        <is>
          <t>Bonus, Laptop, Others</t>
        </is>
      </c>
      <c r="N129" s="8">
        <f>HYPERLINK("https://www.vietnamworks.com/assistant-brand-manager--2008933-jv","Xem chi tiết")</f>
        <v/>
      </c>
    </row>
    <row r="130">
      <c r="B130" s="9" t="n">
        <v>128</v>
      </c>
      <c r="C130" s="10" t="inlineStr">
        <is>
          <t>Trợ Lý Pháp Chế</t>
        </is>
      </c>
      <c r="D130" s="10" t="inlineStr">
        <is>
          <t>Công Ty Cổ Phần Thiết Bị Và Giải Pháp Cơ Khí AUTOMECH</t>
        </is>
      </c>
      <c r="E130" s="10" t="inlineStr">
        <is>
          <t>15tr-30tr ₫/tháng</t>
        </is>
      </c>
      <c r="F130" s="10" t="inlineStr">
        <is>
          <t>Hà Nội</t>
        </is>
      </c>
      <c r="G130" s="10" t="inlineStr">
        <is>
          <t>Nhân viên</t>
        </is>
      </c>
      <c r="H130" s="10" t="inlineStr">
        <is>
          <t>02/02/2026</t>
        </is>
      </c>
      <c r="I130" s="10" t="inlineStr">
        <is>
          <t>19/03/2026</t>
        </is>
      </c>
      <c r="J130" s="10" t="inlineStr">
        <is>
          <t>17/03/2026</t>
        </is>
      </c>
      <c r="K130" s="10" t="inlineStr">
        <is>
          <t>N/A</t>
        </is>
      </c>
      <c r="L130" s="10" t="inlineStr">
        <is>
          <t>Luật, Pháp Lý, Soạn Thảo Hợp Đồng, Luật Doanh Nghiệp, Luật Đầu Tư</t>
        </is>
      </c>
      <c r="M130" s="10" t="inlineStr">
        <is>
          <t>Bonus, Healthcare Plan, Paid Leave, Laptop, Travel Opportunities, Team Activities</t>
        </is>
      </c>
      <c r="N130" s="11">
        <f>HYPERLINK("https://www.vietnamworks.com/tro-ly-phap-che-2008909-jv","Xem chi tiết")</f>
        <v/>
      </c>
      <c r="O130" s="10" t="n"/>
    </row>
    <row r="131">
      <c r="B131" s="7" t="n">
        <v>129</v>
      </c>
      <c r="C131" t="inlineStr">
        <is>
          <t>Chuyên viên quản lý nông trại thủy canh tại Long An</t>
        </is>
      </c>
      <c r="D131" t="inlineStr">
        <is>
          <t>Phuc Giang Company Limited/ Công Ty TNHH Phúc Giang</t>
        </is>
      </c>
      <c r="E131" t="inlineStr">
        <is>
          <t>Thương lượng</t>
        </is>
      </c>
      <c r="F131" t="inlineStr">
        <is>
          <t>Long An, Tiền Giang, Hồ Chí Minh</t>
        </is>
      </c>
      <c r="G131" t="inlineStr">
        <is>
          <t>Nhân viên</t>
        </is>
      </c>
      <c r="H131" t="inlineStr">
        <is>
          <t>02/02/2026</t>
        </is>
      </c>
      <c r="I131" t="inlineStr">
        <is>
          <t>19/03/2026</t>
        </is>
      </c>
      <c r="J131" t="inlineStr">
        <is>
          <t>17/03/2026</t>
        </is>
      </c>
      <c r="K131" t="inlineStr">
        <is>
          <t>N/A</t>
        </is>
      </c>
      <c r="L131" t="inlineStr">
        <is>
          <t>Giám Sát Hệ Thống, Quản Lý Nông Nghiệp, Trách Nhiệm Cao, Vi tính văn phòng, Kiến Thức Cây Ăn Quả</t>
        </is>
      </c>
      <c r="M131" t="inlineStr">
        <is>
          <t>Bonus, Healthcare Plan, Paid Leave, Laptop, Travel Opportunities</t>
        </is>
      </c>
      <c r="N131" s="8">
        <f>HYPERLINK("https://www.vietnamworks.com/chuyen-vien-quan-ly-nong-trai-thuy-canh-tai-long-an-2008914-jv","Xem chi tiết")</f>
        <v/>
      </c>
    </row>
    <row r="132">
      <c r="B132" s="9" t="n">
        <v>130</v>
      </c>
      <c r="C132" s="10" t="inlineStr">
        <is>
          <t>Chuyên Viên Đấu Thầu</t>
        </is>
      </c>
      <c r="D132" s="10" t="inlineStr">
        <is>
          <t>CÔNG TY CỔ PHẦN TẬP ĐOÀN BMK</t>
        </is>
      </c>
      <c r="E132" s="10" t="inlineStr">
        <is>
          <t>23tr-27tr ₫/tháng</t>
        </is>
      </c>
      <c r="F132" s="10" t="inlineStr">
        <is>
          <t>Hà Nội</t>
        </is>
      </c>
      <c r="G132" s="10" t="inlineStr">
        <is>
          <t>Nhân viên</t>
        </is>
      </c>
      <c r="H132" s="10" t="inlineStr">
        <is>
          <t>02/02/2026</t>
        </is>
      </c>
      <c r="I132" s="10" t="inlineStr">
        <is>
          <t>19/03/2026</t>
        </is>
      </c>
      <c r="J132" s="10" t="inlineStr">
        <is>
          <t>17/03/2026</t>
        </is>
      </c>
      <c r="K132" s="10" t="inlineStr">
        <is>
          <t>N/A</t>
        </is>
      </c>
      <c r="L132" s="10" t="inlineStr">
        <is>
          <t>Lập Dự Toán, Luật Xây Dựng, Phân Tích Rủi Ro, Tư Vấn Thiết Kế, Đấu Thầu</t>
        </is>
      </c>
      <c r="M132" s="10" t="inlineStr">
        <is>
          <t>Bonus, Healthcare Plan, Awards, Travel Opportunities, Others</t>
        </is>
      </c>
      <c r="N132" s="11">
        <f>HYPERLINK("https://www.vietnamworks.com/chuyen-vien-djau-thau-2008945-jv","Xem chi tiết")</f>
        <v/>
      </c>
      <c r="O132" s="10" t="n"/>
    </row>
    <row r="133">
      <c r="B133" s="7" t="n">
        <v>131</v>
      </c>
      <c r="C133" t="inlineStr">
        <is>
          <t>C&amp;B Executive (Good English Speaking)</t>
        </is>
      </c>
      <c r="D133" t="inlineStr">
        <is>
          <t>ILA Vietnam</t>
        </is>
      </c>
      <c r="E133" t="inlineStr">
        <is>
          <t>Thương lượng</t>
        </is>
      </c>
      <c r="F133" t="inlineStr">
        <is>
          <t>Hồ Chí Minh</t>
        </is>
      </c>
      <c r="G133" t="inlineStr">
        <is>
          <t>Nhân viên</t>
        </is>
      </c>
      <c r="H133" t="inlineStr">
        <is>
          <t>02/02/2026</t>
        </is>
      </c>
      <c r="I133" t="inlineStr">
        <is>
          <t>19/03/2026</t>
        </is>
      </c>
      <c r="J133" t="inlineStr">
        <is>
          <t>17/03/2026</t>
        </is>
      </c>
      <c r="K133" t="inlineStr">
        <is>
          <t>N/A</t>
        </is>
      </c>
      <c r="L133" t="inlineStr">
        <is>
          <t>C&amp;B, Consultant Service, Tư Vấn, Tư Vấn Sinh Viên</t>
        </is>
      </c>
      <c r="M133" t="inlineStr">
        <is>
          <t>Bonus, Healthcare Plan, Training, Others</t>
        </is>
      </c>
      <c r="N133" s="8">
        <f>HYPERLINK("https://www.vietnamworks.com/candb-executive-good-english-speaking-2008948-jv","Xem chi tiết")</f>
        <v/>
      </c>
    </row>
    <row r="134">
      <c r="B134" s="9" t="n">
        <v>132</v>
      </c>
      <c r="C134" s="10" t="inlineStr">
        <is>
          <t>Trưởng Ban Kinh Doanh</t>
        </is>
      </c>
      <c r="D134" s="10" t="inlineStr">
        <is>
          <t>CÔNG TY CỔ PHẦN TẬP ĐOÀN BMK</t>
        </is>
      </c>
      <c r="E134" s="10" t="inlineStr">
        <is>
          <t>40tr-45tr ₫/tháng</t>
        </is>
      </c>
      <c r="F134" s="10" t="inlineStr">
        <is>
          <t>Hà Nội</t>
        </is>
      </c>
      <c r="G134" s="10" t="inlineStr">
        <is>
          <t>Giám Đốc và Cấp Cao Hơn</t>
        </is>
      </c>
      <c r="H134" s="10" t="inlineStr">
        <is>
          <t>02/02/2026</t>
        </is>
      </c>
      <c r="I134" s="10" t="inlineStr">
        <is>
          <t>19/03/2026</t>
        </is>
      </c>
      <c r="J134" s="10" t="inlineStr">
        <is>
          <t>17/03/2026</t>
        </is>
      </c>
      <c r="K134" s="10" t="inlineStr">
        <is>
          <t>N/A</t>
        </is>
      </c>
      <c r="L134" s="10" t="inlineStr">
        <is>
          <t>Business Development, Lãnh Đạo, Lập Kế Hoạch Kinh Doanh, Xây Dựng Hệ Thống Bán Hàng, Đàm Phán</t>
        </is>
      </c>
      <c r="M134" s="10" t="inlineStr">
        <is>
          <t>Bonus, Healthcare Plan, Awards, Travel Opportunities, Others</t>
        </is>
      </c>
      <c r="N134" s="11">
        <f>HYPERLINK("https://www.vietnamworks.com/truong-ban-kinh-doanh-2008950-jv","Xem chi tiết")</f>
        <v/>
      </c>
      <c r="O134" s="10" t="n"/>
    </row>
    <row r="135">
      <c r="B135" s="7" t="n">
        <v>133</v>
      </c>
      <c r="C135" t="inlineStr">
        <is>
          <t>Nhân Viên Kỹ Thuật Thiết Bị</t>
        </is>
      </c>
      <c r="D135" t="inlineStr">
        <is>
          <t>Công ty TNHH Elentec Việt Nam</t>
        </is>
      </c>
      <c r="E135" t="inlineStr">
        <is>
          <t>Thương lượng</t>
        </is>
      </c>
      <c r="F135" t="inlineStr">
        <is>
          <t>Hà Nội</t>
        </is>
      </c>
      <c r="G135" t="inlineStr">
        <is>
          <t>Nhân viên</t>
        </is>
      </c>
      <c r="H135" t="inlineStr">
        <is>
          <t>02/02/2026</t>
        </is>
      </c>
      <c r="I135" t="inlineStr">
        <is>
          <t>19/03/2026</t>
        </is>
      </c>
      <c r="J135" t="inlineStr">
        <is>
          <t>17/03/2026</t>
        </is>
      </c>
      <c r="K135" t="inlineStr">
        <is>
          <t>N/A</t>
        </is>
      </c>
      <c r="L135" t="inlineStr">
        <is>
          <t>Bảo Trì Định Kỳ, Equipment Operation, Kỹ Thuật Thiết Bị, Layout Optimization, Maintenance</t>
        </is>
      </c>
      <c r="M135" t="inlineStr">
        <is>
          <t>Bonus, Healthcare Plan, Training, Transportation, Canteen, Others</t>
        </is>
      </c>
      <c r="N135" s="8">
        <f>HYPERLINK("https://www.vietnamworks.com/nhan-vien-ky-thuat-thiet-bi-2008956-jv","Xem chi tiết")</f>
        <v/>
      </c>
    </row>
    <row r="136">
      <c r="B136" s="9" t="n">
        <v>134</v>
      </c>
      <c r="C136" s="10" t="inlineStr">
        <is>
          <t>Python/ Odoo Developer</t>
        </is>
      </c>
      <c r="D136" s="10" t="inlineStr">
        <is>
          <t>RT Holdings</t>
        </is>
      </c>
      <c r="E136" s="10" t="inlineStr">
        <is>
          <t>Thương lượng</t>
        </is>
      </c>
      <c r="F136" s="10" t="inlineStr">
        <is>
          <t>Hồ Chí Minh</t>
        </is>
      </c>
      <c r="G136" s="10" t="inlineStr">
        <is>
          <t>Nhân viên</t>
        </is>
      </c>
      <c r="H136" s="10" t="inlineStr">
        <is>
          <t>02/02/2026</t>
        </is>
      </c>
      <c r="I136" s="10" t="inlineStr">
        <is>
          <t>19/03/2026</t>
        </is>
      </c>
      <c r="J136" s="10" t="inlineStr">
        <is>
          <t>17/03/2026</t>
        </is>
      </c>
      <c r="K136" s="10" t="inlineStr">
        <is>
          <t>N/A</t>
        </is>
      </c>
      <c r="L136" s="10" t="inlineStr">
        <is>
          <t>Odoo, PostgreSQL, Project Management, Python</t>
        </is>
      </c>
      <c r="M136" s="10" t="inlineStr">
        <is>
          <t>Bonus, Healthcare Plan, Paid Leave, Team Activities</t>
        </is>
      </c>
      <c r="N136" s="11">
        <f>HYPERLINK("https://www.vietnamworks.com/python-odoo-developer-2008955-jv","Xem chi tiết")</f>
        <v/>
      </c>
      <c r="O136" s="10" t="n"/>
    </row>
    <row r="137">
      <c r="B137" s="7" t="n">
        <v>135</v>
      </c>
      <c r="C137" t="inlineStr">
        <is>
          <t>Chuyên Viên Tuyển Dụng (Talent Acquisition Specialist)</t>
        </is>
      </c>
      <c r="D137" t="inlineStr">
        <is>
          <t>Asiafoods Corporation</t>
        </is>
      </c>
      <c r="E137" t="inlineStr">
        <is>
          <t>$$ 800-1,000 /tháng</t>
        </is>
      </c>
      <c r="F137" t="inlineStr">
        <is>
          <t>Hà Nội</t>
        </is>
      </c>
      <c r="G137" t="inlineStr">
        <is>
          <t>Nhân viên</t>
        </is>
      </c>
      <c r="H137" t="inlineStr">
        <is>
          <t>02/02/2026</t>
        </is>
      </c>
      <c r="I137" t="inlineStr">
        <is>
          <t>19/03/2026</t>
        </is>
      </c>
      <c r="J137" t="inlineStr">
        <is>
          <t>17/03/2026</t>
        </is>
      </c>
      <c r="K137" t="inlineStr">
        <is>
          <t>N/A</t>
        </is>
      </c>
      <c r="L137" t="inlineStr">
        <is>
          <t>Kỹ năng giao tiếp, Làm Việc Nhóm, Quản Lý Thời Gian, Tuyển Dụng Sales &amp; Marketing</t>
        </is>
      </c>
      <c r="M137" t="inlineStr">
        <is>
          <t>Bonus, Healthcare Plan, Training, Others</t>
        </is>
      </c>
      <c r="N137" s="8">
        <f>HYPERLINK("https://www.vietnamworks.com/chuyen-vien-tuyen-dung-talent-acquisition-specialist-2008959-jv","Xem chi tiết")</f>
        <v/>
      </c>
    </row>
    <row r="138">
      <c r="B138" s="9" t="n">
        <v>136</v>
      </c>
      <c r="C138" s="10" t="inlineStr">
        <is>
          <t>Information Security and IT Governance Manager</t>
        </is>
      </c>
      <c r="D138" s="10" t="inlineStr">
        <is>
          <t>Sun Life Vietnam (Sun Life)</t>
        </is>
      </c>
      <c r="E138" s="10" t="inlineStr">
        <is>
          <t>Thương lượng</t>
        </is>
      </c>
      <c r="F138" s="10" t="inlineStr">
        <is>
          <t>Hồ Chí Minh</t>
        </is>
      </c>
      <c r="G138" s="10" t="inlineStr">
        <is>
          <t>Nhân viên</t>
        </is>
      </c>
      <c r="H138" s="10" t="inlineStr">
        <is>
          <t>02/02/2026</t>
        </is>
      </c>
      <c r="I138" s="10" t="inlineStr">
        <is>
          <t>19/03/2026</t>
        </is>
      </c>
      <c r="J138" s="10" t="inlineStr">
        <is>
          <t>17/03/2026</t>
        </is>
      </c>
      <c r="K138" s="10" t="inlineStr">
        <is>
          <t>N/A</t>
        </is>
      </c>
      <c r="L138" s="10" t="inlineStr">
        <is>
          <t>Information Systems Audit, Information security, Government Risk, Information Security solutions</t>
        </is>
      </c>
      <c r="M138" s="10" t="inlineStr">
        <is>
          <t>Healthcare Plan, Team Activities, Others</t>
        </is>
      </c>
      <c r="N138" s="11">
        <f>HYPERLINK("https://www.vietnamworks.com/information-security-and-it-governance-manager-2008963-jv","Xem chi tiết")</f>
        <v/>
      </c>
      <c r="O138" s="10" t="n"/>
    </row>
    <row r="139">
      <c r="B139" s="7" t="n">
        <v>137</v>
      </c>
      <c r="C139" t="inlineStr">
        <is>
          <t>Chuyên Viên Tài Chính</t>
        </is>
      </c>
      <c r="D139" t="inlineStr">
        <is>
          <t>Hyundai Thành Công Việt Nam (Hyundai.thanhcong.vn)</t>
        </is>
      </c>
      <c r="E139" t="inlineStr">
        <is>
          <t>Thương lượng</t>
        </is>
      </c>
      <c r="F139" t="inlineStr">
        <is>
          <t>Hà Nội</t>
        </is>
      </c>
      <c r="G139" t="inlineStr">
        <is>
          <t>Nhân viên</t>
        </is>
      </c>
      <c r="H139" t="inlineStr">
        <is>
          <t>02/02/2026</t>
        </is>
      </c>
      <c r="I139" t="inlineStr">
        <is>
          <t>19/03/2026</t>
        </is>
      </c>
      <c r="J139" t="inlineStr">
        <is>
          <t>17/03/2026</t>
        </is>
      </c>
      <c r="K139" t="inlineStr">
        <is>
          <t>N/A</t>
        </is>
      </c>
      <c r="L139" t="inlineStr">
        <is>
          <t>Financial Analyst, Financial Modeling, Risk Management, Credit Risk Assessment, Trade Finance</t>
        </is>
      </c>
      <c r="M139" t="inlineStr">
        <is>
          <t>Bonus, Healthcare Plan, Travel Opportunities</t>
        </is>
      </c>
      <c r="N139" s="8">
        <f>HYPERLINK("https://www.vietnamworks.com/chuyen-vien-tai-chinh--2008952-jv","Xem chi tiết")</f>
        <v/>
      </c>
    </row>
    <row r="140">
      <c r="B140" s="9" t="n">
        <v>138</v>
      </c>
      <c r="C140" s="10" t="inlineStr">
        <is>
          <t>Trưởng Phòng MKT Và Nghiên Cứu Sản Phẩm</t>
        </is>
      </c>
      <c r="D140" s="10" t="inlineStr">
        <is>
          <t>CÔNG TY CỔ PHẦN TẬP ĐOÀN BMK</t>
        </is>
      </c>
      <c r="E140" s="10" t="inlineStr">
        <is>
          <t>35tr-40tr ₫/tháng</t>
        </is>
      </c>
      <c r="F140" s="10" t="inlineStr">
        <is>
          <t>Hà Nội</t>
        </is>
      </c>
      <c r="G140" s="10" t="inlineStr">
        <is>
          <t>Trưởng phòng</t>
        </is>
      </c>
      <c r="H140" s="10" t="inlineStr">
        <is>
          <t>02/02/2026</t>
        </is>
      </c>
      <c r="I140" s="10" t="inlineStr">
        <is>
          <t>19/03/2026</t>
        </is>
      </c>
      <c r="J140" s="10" t="inlineStr">
        <is>
          <t>17/03/2026</t>
        </is>
      </c>
      <c r="K140" s="10" t="inlineStr">
        <is>
          <t>N/A</t>
        </is>
      </c>
      <c r="L140" s="10" t="inlineStr">
        <is>
          <t>Marketing Planning, Nghiên Cứu Sản Phẩm, Phân Tích Thị Trường, Phát Triển Sản Phẩm, Quản Lý Dự Án</t>
        </is>
      </c>
      <c r="M140" s="10" t="inlineStr">
        <is>
          <t>Bonus, Healthcare Plan, Awards, Travel Opportunities, Others</t>
        </is>
      </c>
      <c r="N140" s="11">
        <f>HYPERLINK("https://www.vietnamworks.com/truong-phong-mkt-va-nghien-cuu-san-pham-2008954-jv","Xem chi tiết")</f>
        <v/>
      </c>
      <c r="O140" s="10" t="n"/>
    </row>
    <row r="141">
      <c r="B141" s="7" t="n">
        <v>139</v>
      </c>
      <c r="C141" t="inlineStr">
        <is>
          <t>Chuyên Viên GPMB</t>
        </is>
      </c>
      <c r="D141" t="inlineStr">
        <is>
          <t>CÔNG TY CỔ PHẦN TẬP ĐOÀN BMK</t>
        </is>
      </c>
      <c r="E141" t="inlineStr">
        <is>
          <t>22tr-28tr ₫/tháng</t>
        </is>
      </c>
      <c r="F141" t="inlineStr">
        <is>
          <t>Hưng Yên, Hà Nội</t>
        </is>
      </c>
      <c r="G141" t="inlineStr">
        <is>
          <t>Nhân viên</t>
        </is>
      </c>
      <c r="H141" t="inlineStr">
        <is>
          <t>02/02/2026</t>
        </is>
      </c>
      <c r="I141" t="inlineStr">
        <is>
          <t>19/03/2026</t>
        </is>
      </c>
      <c r="J141" t="inlineStr">
        <is>
          <t>17/03/2026</t>
        </is>
      </c>
      <c r="K141" t="inlineStr">
        <is>
          <t>N/A</t>
        </is>
      </c>
      <c r="L141" t="inlineStr">
        <is>
          <t>AutoCAD, Giải Phóng Mặt Bằng, Luật Đất Đai, Quản Lý Đất Đai, Đàm Phán</t>
        </is>
      </c>
      <c r="M141" t="inlineStr">
        <is>
          <t>Bonus, Healthcare Plan, Awards, Travel Opportunities, Others</t>
        </is>
      </c>
      <c r="N141" s="8">
        <f>HYPERLINK("https://www.vietnamworks.com/chuyen-vien-gpmb-2008962-jv","Xem chi tiết")</f>
        <v/>
      </c>
    </row>
    <row r="142">
      <c r="B142" s="9" t="n">
        <v>140</v>
      </c>
      <c r="C142" s="10" t="inlineStr">
        <is>
          <t>Unit Head of Cash Loan Product</t>
        </is>
      </c>
      <c r="D142" s="10" t="inlineStr">
        <is>
          <t>Công Ty Tài Chính TNHH Ngân Hàng TMCP Sài Gòn - Hà Nội (SHBFinance)</t>
        </is>
      </c>
      <c r="E142" s="10" t="inlineStr">
        <is>
          <t>$$ 2,000-3,000 /tháng</t>
        </is>
      </c>
      <c r="F142" s="10" t="inlineStr">
        <is>
          <t>Hồ Chí Minh</t>
        </is>
      </c>
      <c r="G142" s="10" t="inlineStr">
        <is>
          <t>Nhân viên</t>
        </is>
      </c>
      <c r="H142" s="10" t="inlineStr">
        <is>
          <t>02/02/2026</t>
        </is>
      </c>
      <c r="I142" s="10" t="inlineStr">
        <is>
          <t>19/03/2026</t>
        </is>
      </c>
      <c r="J142" s="10" t="inlineStr">
        <is>
          <t>17/03/2026</t>
        </is>
      </c>
      <c r="K142" s="10" t="inlineStr">
        <is>
          <t>N/A</t>
        </is>
      </c>
      <c r="L142" s="10" t="inlineStr">
        <is>
          <t>Consumer Finance, Credit Analyst, English Communication, Market Research, Product Development</t>
        </is>
      </c>
      <c r="M142" s="10" t="inlineStr">
        <is>
          <t>Bonus, Healthcare Plan, Training, Laptop, Mobile, Vouchers</t>
        </is>
      </c>
      <c r="N142" s="11">
        <f>HYPERLINK("https://www.vietnamworks.com/unit-head-of-cash-loan-product-2008960-jv","Xem chi tiết")</f>
        <v/>
      </c>
      <c r="O142" s="10" t="n"/>
    </row>
    <row r="143">
      <c r="B143" s="7" t="n">
        <v>141</v>
      </c>
      <c r="C143" t="inlineStr">
        <is>
          <t>Digital Specialist</t>
        </is>
      </c>
      <c r="D143" t="inlineStr">
        <is>
          <t>La Vie Limited Liability Company</t>
        </is>
      </c>
      <c r="E143" t="inlineStr">
        <is>
          <t>Thương lượng</t>
        </is>
      </c>
      <c r="F143" t="inlineStr">
        <is>
          <t>Long An</t>
        </is>
      </c>
      <c r="G143" t="inlineStr">
        <is>
          <t>Nhân viên</t>
        </is>
      </c>
      <c r="H143" t="inlineStr">
        <is>
          <t>02/02/2026</t>
        </is>
      </c>
      <c r="I143" t="inlineStr">
        <is>
          <t>19/03/2026</t>
        </is>
      </c>
      <c r="J143" t="inlineStr">
        <is>
          <t>17/03/2026</t>
        </is>
      </c>
      <c r="K143" t="inlineStr">
        <is>
          <t>N/A</t>
        </is>
      </c>
      <c r="L143" t="inlineStr">
        <is>
          <t>Manufacturing, Production, FMCG, Report System, Data Visualization</t>
        </is>
      </c>
      <c r="M143" t="inlineStr">
        <is>
          <t>Bonus, Healthcare Plan, Training</t>
        </is>
      </c>
      <c r="N143" s="8">
        <f>HYPERLINK("https://www.vietnamworks.com/digital-specialist--2008968-jv","Xem chi tiết")</f>
        <v/>
      </c>
    </row>
    <row r="144">
      <c r="B144" s="9" t="n">
        <v>142</v>
      </c>
      <c r="C144" s="10" t="inlineStr">
        <is>
          <t>Kiến Trúc Sư Kiểm Soát Thiết Kế &amp; Chất Lượng Thi Công</t>
        </is>
      </c>
      <c r="D144" s="10" t="inlineStr">
        <is>
          <t>CÔNG TY CỔ PHẦN TẬP ĐOÀN BMK</t>
        </is>
      </c>
      <c r="E144" s="10" t="inlineStr">
        <is>
          <t>25tr-30tr ₫/tháng</t>
        </is>
      </c>
      <c r="F144" s="10" t="inlineStr">
        <is>
          <t>Hà Nội</t>
        </is>
      </c>
      <c r="G144" s="10" t="inlineStr">
        <is>
          <t>Nhân viên</t>
        </is>
      </c>
      <c r="H144" s="10" t="inlineStr">
        <is>
          <t>02/02/2026</t>
        </is>
      </c>
      <c r="I144" s="10" t="inlineStr">
        <is>
          <t>19/03/2026</t>
        </is>
      </c>
      <c r="J144" s="10" t="inlineStr">
        <is>
          <t>17/03/2026</t>
        </is>
      </c>
      <c r="K144" s="10" t="inlineStr">
        <is>
          <t>N/A</t>
        </is>
      </c>
      <c r="L144" s="10" t="inlineStr">
        <is>
          <t>thi công, Dự án, Luật Xây Dựng</t>
        </is>
      </c>
      <c r="M144" s="10" t="inlineStr">
        <is>
          <t>Bonus, Healthcare Plan, Awards, Travel Opportunities, Others</t>
        </is>
      </c>
      <c r="N144" s="11">
        <f>HYPERLINK("https://www.vietnamworks.com/kien-truc-su-kiem-soat-thiet-ke-and-chat-luong-thi-cong-2008965-jv","Xem chi tiết")</f>
        <v/>
      </c>
      <c r="O144" s="10" t="n"/>
    </row>
    <row r="145">
      <c r="B145" s="7" t="n">
        <v>143</v>
      </c>
      <c r="C145" t="inlineStr">
        <is>
          <t>Nhân Viên Tư Vấn Tuyển Sinh (Educational Planner)</t>
        </is>
      </c>
      <c r="D145" t="inlineStr">
        <is>
          <t>ILA Vietnam</t>
        </is>
      </c>
      <c r="E145" t="inlineStr">
        <is>
          <t>Thương lượng</t>
        </is>
      </c>
      <c r="F145" t="inlineStr">
        <is>
          <t>Hồ Chí Minh, Bình Dương, Hà Nội</t>
        </is>
      </c>
      <c r="G145" t="inlineStr">
        <is>
          <t>Nhân viên</t>
        </is>
      </c>
      <c r="H145" t="inlineStr">
        <is>
          <t>02/02/2026</t>
        </is>
      </c>
      <c r="I145" t="inlineStr">
        <is>
          <t>19/03/2026</t>
        </is>
      </c>
      <c r="J145" t="inlineStr">
        <is>
          <t>17/03/2026</t>
        </is>
      </c>
      <c r="K145" t="inlineStr">
        <is>
          <t>N/A</t>
        </is>
      </c>
      <c r="L145" t="inlineStr">
        <is>
          <t>Tư Vấn, Giáo Dục Đào Tạo, Kinh Doanh, Telesales, Education Consulting</t>
        </is>
      </c>
      <c r="M145" t="inlineStr">
        <is>
          <t>Bonus, Paid Leave, Training</t>
        </is>
      </c>
      <c r="N145" s="8">
        <f>HYPERLINK("https://www.vietnamworks.com/nhan-vien-tu-van-tuyen-sinh-educational-planner--2008964-jv","Xem chi tiết")</f>
        <v/>
      </c>
    </row>
    <row r="146">
      <c r="B146" s="9" t="n">
        <v>144</v>
      </c>
      <c r="C146" s="10" t="inlineStr">
        <is>
          <t>Giám Đốc Công Nghệ &amp; Chuyển Đổi Số</t>
        </is>
      </c>
      <c r="D146" s="10" t="inlineStr">
        <is>
          <t>Vietnamworks' Client</t>
        </is>
      </c>
      <c r="E146" s="10" t="inlineStr">
        <is>
          <t>Thương lượng</t>
        </is>
      </c>
      <c r="F146" s="10" t="inlineStr">
        <is>
          <t>Hà Nội</t>
        </is>
      </c>
      <c r="G146" s="10" t="inlineStr">
        <is>
          <t>Giám Đốc và Cấp Cao Hơn</t>
        </is>
      </c>
      <c r="H146" s="10" t="inlineStr">
        <is>
          <t>02/02/2026</t>
        </is>
      </c>
      <c r="I146" s="10" t="inlineStr">
        <is>
          <t>19/03/2026</t>
        </is>
      </c>
      <c r="J146" s="10" t="inlineStr">
        <is>
          <t>17/03/2026</t>
        </is>
      </c>
      <c r="K146" s="10" t="inlineStr">
        <is>
          <t>N/A</t>
        </is>
      </c>
      <c r="L146" s="10" t="inlineStr">
        <is>
          <t>Chuyển Đổi Số, CNTT, Enterprise Architecture, ERP, Khoa Học Dữ Liệu</t>
        </is>
      </c>
      <c r="M146" s="10" t="inlineStr">
        <is>
          <t>Bonus, Healthcare Plan, Training, Laptop, Others</t>
        </is>
      </c>
      <c r="N146" s="11">
        <f>HYPERLINK("https://www.vietnamworks.com/giam-djoc-cong-nghe-and-chuyen-djoi-so-2008958-jv","Xem chi tiết")</f>
        <v/>
      </c>
      <c r="O146" s="10" t="n"/>
    </row>
    <row r="147">
      <c r="B147" s="7" t="n">
        <v>145</v>
      </c>
      <c r="C147" t="inlineStr">
        <is>
          <t>Lab Technician (Ngày Bắt Đầu Làm Việc Là 05/08/2026)</t>
        </is>
      </c>
      <c r="D147" t="inlineStr">
        <is>
          <t>Renaissance International School Saigon</t>
        </is>
      </c>
      <c r="E147" t="inlineStr">
        <is>
          <t>Thương lượng</t>
        </is>
      </c>
      <c r="F147" t="inlineStr">
        <is>
          <t>Hồ Chí Minh</t>
        </is>
      </c>
      <c r="G147" t="inlineStr">
        <is>
          <t>Nhân viên</t>
        </is>
      </c>
      <c r="H147" t="inlineStr">
        <is>
          <t>02/02/2026</t>
        </is>
      </c>
      <c r="I147" t="inlineStr">
        <is>
          <t>19/03/2026</t>
        </is>
      </c>
      <c r="J147" t="inlineStr">
        <is>
          <t>17/03/2026</t>
        </is>
      </c>
      <c r="K147" t="inlineStr">
        <is>
          <t>N/A</t>
        </is>
      </c>
      <c r="L147" t="inlineStr">
        <is>
          <t>Laboratory Management, Chemical Safety, Inventory Control, Lab Technician Softline, LabTech</t>
        </is>
      </c>
      <c r="M147" t="inlineStr">
        <is>
          <t>Healthcare Plan, Paid Leave, Others</t>
        </is>
      </c>
      <c r="N147" s="8">
        <f>HYPERLINK("https://www.vietnamworks.com/lab-technician-ngay-bat-djau-lam-viec-la-05082026-2008949-jv","Xem chi tiết")</f>
        <v/>
      </c>
    </row>
    <row r="148">
      <c r="B148" s="9" t="n">
        <v>146</v>
      </c>
      <c r="C148" s="10" t="inlineStr">
        <is>
          <t>Finance Associate</t>
        </is>
      </c>
      <c r="D148" s="10" t="inlineStr">
        <is>
          <t>CÔNG TY TNHH ANAERGIA VIETNAM</t>
        </is>
      </c>
      <c r="E148" s="10" t="inlineStr">
        <is>
          <t>Thương lượng</t>
        </is>
      </c>
      <c r="F148" s="10" t="inlineStr">
        <is>
          <t>Hồ Chí Minh</t>
        </is>
      </c>
      <c r="G148" s="10" t="inlineStr">
        <is>
          <t>Nhân viên</t>
        </is>
      </c>
      <c r="H148" s="10" t="inlineStr">
        <is>
          <t>02/02/2026</t>
        </is>
      </c>
      <c r="I148" s="10" t="inlineStr">
        <is>
          <t>19/03/2026</t>
        </is>
      </c>
      <c r="J148" s="10" t="inlineStr">
        <is>
          <t>17/03/2026</t>
        </is>
      </c>
      <c r="K148" s="10" t="inlineStr">
        <is>
          <t>N/A</t>
        </is>
      </c>
      <c r="L148" s="10" t="inlineStr">
        <is>
          <t>Financial Modeling, Financial Analysis, Investment Banking, Market Research, Strategic Planning</t>
        </is>
      </c>
      <c r="M148" s="10" t="inlineStr">
        <is>
          <t>Bonus, Healthcare Plan, Others</t>
        </is>
      </c>
      <c r="N148" s="11">
        <f>HYPERLINK("https://www.vietnamworks.com/finance-associate-2008961-jv","Xem chi tiết")</f>
        <v/>
      </c>
      <c r="O148" s="10" t="n"/>
    </row>
    <row r="149">
      <c r="B149" s="7" t="n">
        <v>147</v>
      </c>
      <c r="C149" t="inlineStr">
        <is>
          <t>Warehouse Superivsor - Giám Sát Kho</t>
        </is>
      </c>
      <c r="D149" t="inlineStr">
        <is>
          <t>Abbott</t>
        </is>
      </c>
      <c r="E149" t="inlineStr">
        <is>
          <t>Thương lượng</t>
        </is>
      </c>
      <c r="F149" t="inlineStr">
        <is>
          <t>Nghệ An</t>
        </is>
      </c>
      <c r="G149" t="inlineStr">
        <is>
          <t>Nhân viên</t>
        </is>
      </c>
      <c r="H149" t="inlineStr">
        <is>
          <t>02/02/2026</t>
        </is>
      </c>
      <c r="I149" t="inlineStr">
        <is>
          <t>19/03/2026</t>
        </is>
      </c>
      <c r="J149" t="inlineStr">
        <is>
          <t>17/03/2026</t>
        </is>
      </c>
      <c r="K149" t="inlineStr">
        <is>
          <t>N/A</t>
        </is>
      </c>
      <c r="L149" t="inlineStr">
        <is>
          <t>Giám Sát Kho, Warehouse Management, Quản lý kho vận, Điều Hành Kho Vận, Kho</t>
        </is>
      </c>
      <c r="M149" t="inlineStr">
        <is>
          <t>Bonus, Healthcare Plan, Training</t>
        </is>
      </c>
      <c r="N149" s="8">
        <f>HYPERLINK("https://www.vietnamworks.com/warehouse-superivsor-giam-sat-kho-2008967-jv","Xem chi tiết")</f>
        <v/>
      </c>
    </row>
    <row r="150">
      <c r="B150" s="9" t="n">
        <v>148</v>
      </c>
      <c r="C150" s="10" t="inlineStr">
        <is>
          <t>Chuyên Viên Phát Triển Sản Phẩm (R&amp;D) (Ra Tết Đi Làm Luôn)</t>
        </is>
      </c>
      <c r="D150" s="10" t="inlineStr">
        <is>
          <t>Công ty CP Tập Đoàn UKG</t>
        </is>
      </c>
      <c r="E150" s="10" t="inlineStr">
        <is>
          <t>14tr-16tr ₫/tháng</t>
        </is>
      </c>
      <c r="F150" s="10" t="inlineStr">
        <is>
          <t>Hà Nội</t>
        </is>
      </c>
      <c r="G150" s="10" t="inlineStr">
        <is>
          <t>Nhân viên</t>
        </is>
      </c>
      <c r="H150" s="10" t="inlineStr">
        <is>
          <t>02/02/2026</t>
        </is>
      </c>
      <c r="I150" s="10" t="inlineStr">
        <is>
          <t>19/03/2026</t>
        </is>
      </c>
      <c r="J150" s="10" t="inlineStr">
        <is>
          <t>17/03/2026</t>
        </is>
      </c>
      <c r="K150" s="10" t="inlineStr">
        <is>
          <t>N/A</t>
        </is>
      </c>
      <c r="L150" s="10" t="inlineStr">
        <is>
          <t>Cơ Khí, Điện Tử, Tự Động Hóa, Nghiên Cứu Ứng Dụng Sản Phẩm, Product Development</t>
        </is>
      </c>
      <c r="M150" s="10" t="inlineStr">
        <is>
          <t>Bonus, Healthcare Plan, Paid Leave, Training, Team Activities, Others</t>
        </is>
      </c>
      <c r="N150" s="11">
        <f>HYPERLINK("https://www.vietnamworks.com/chuyen-vien-phat-trien-san-pham-r-d-ra-tet-di-lam-luon-2008957-jv","Xem chi tiết")</f>
        <v/>
      </c>
      <c r="O150" s="10" t="n"/>
    </row>
    <row r="151">
      <c r="B151" s="7" t="n">
        <v>149</v>
      </c>
      <c r="C151" t="inlineStr">
        <is>
          <t>IB French Language Educator (Ngày Bắt Đầu Làm Việc Là 05/08/2026)</t>
        </is>
      </c>
      <c r="D151" t="inlineStr">
        <is>
          <t>Renaissance International School Saigon</t>
        </is>
      </c>
      <c r="E151" t="inlineStr">
        <is>
          <t>Thương lượng</t>
        </is>
      </c>
      <c r="F151" t="inlineStr">
        <is>
          <t>Hồ Chí Minh</t>
        </is>
      </c>
      <c r="G151" t="inlineStr">
        <is>
          <t>Nhân viên</t>
        </is>
      </c>
      <c r="H151" t="inlineStr">
        <is>
          <t>02/02/2026</t>
        </is>
      </c>
      <c r="I151" t="inlineStr">
        <is>
          <t>19/03/2026</t>
        </is>
      </c>
      <c r="J151" t="inlineStr">
        <is>
          <t>17/03/2026</t>
        </is>
      </c>
      <c r="K151" t="inlineStr">
        <is>
          <t>N/A</t>
        </is>
      </c>
      <c r="L151" t="inlineStr">
        <is>
          <t>Ib Curriculum Knowledge, Classroom Management, Differentiated Instruction</t>
        </is>
      </c>
      <c r="M151" t="inlineStr">
        <is>
          <t>Healthcare Plan, Paid Leave, Others</t>
        </is>
      </c>
      <c r="N151" s="8">
        <f>HYPERLINK("https://www.vietnamworks.com/ib-french-language-educator-ngay-bat-djau-lam-viec-la-05082026-2008966-jv","Xem chi tiết")</f>
        <v/>
      </c>
    </row>
    <row r="152">
      <c r="B152" s="9" t="n">
        <v>150</v>
      </c>
      <c r="C152" s="10" t="inlineStr">
        <is>
          <t>Nhân Viên QA</t>
        </is>
      </c>
      <c r="D152" s="10" t="inlineStr">
        <is>
          <t>CÔNG TY TNHH DAIWA PLASTICS BÌNH DƯƠNG</t>
        </is>
      </c>
      <c r="E152" s="10" t="inlineStr">
        <is>
          <t>$$ 300-350 /tháng</t>
        </is>
      </c>
      <c r="F152" s="10" t="inlineStr">
        <is>
          <t>Hồ Chí Minh</t>
        </is>
      </c>
      <c r="G152" s="10" t="inlineStr">
        <is>
          <t>Mới Tốt Nghiệp</t>
        </is>
      </c>
      <c r="H152" s="10" t="inlineStr">
        <is>
          <t>02/02/2026</t>
        </is>
      </c>
      <c r="I152" s="10" t="inlineStr">
        <is>
          <t>19/03/2026</t>
        </is>
      </c>
      <c r="J152" s="10" t="inlineStr">
        <is>
          <t>17/03/2026</t>
        </is>
      </c>
      <c r="K152" s="10" t="inlineStr">
        <is>
          <t>N/A</t>
        </is>
      </c>
      <c r="L152" s="10" t="inlineStr">
        <is>
          <t>Document Control, IQC, OQC, Quality Assurance, Xử Lý Khiếu Nại</t>
        </is>
      </c>
      <c r="M152" s="10" t="inlineStr">
        <is>
          <t>Bonus, Paid Leave, Training, Others</t>
        </is>
      </c>
      <c r="N152" s="11">
        <f>HYPERLINK("https://www.vietnamworks.com/nhan-vien-qa-2008983-jv","Xem chi tiết")</f>
        <v/>
      </c>
      <c r="O152" s="10" t="n"/>
    </row>
    <row r="153">
      <c r="B153" s="7" t="n">
        <v>151</v>
      </c>
      <c r="C153" t="inlineStr">
        <is>
          <t>[NovaDreams] Chuyên Viên Cao Cấp Quản Lý Kế Hoạch Marketing Và Sự Kiện</t>
        </is>
      </c>
      <c r="D153" t="inlineStr">
        <is>
          <t>Công Ty Cổ Phần Tổng Công Ty Nova Service</t>
        </is>
      </c>
      <c r="E153" t="inlineStr">
        <is>
          <t>Thương lượng</t>
        </is>
      </c>
      <c r="F153" t="inlineStr">
        <is>
          <t>Hồ Chí Minh</t>
        </is>
      </c>
      <c r="G153" t="inlineStr">
        <is>
          <t>Nhân viên</t>
        </is>
      </c>
      <c r="H153" t="inlineStr">
        <is>
          <t>02/02/2026</t>
        </is>
      </c>
      <c r="I153" t="inlineStr">
        <is>
          <t>19/03/2026</t>
        </is>
      </c>
      <c r="J153" t="inlineStr">
        <is>
          <t>17/03/2026</t>
        </is>
      </c>
      <c r="K153" t="inlineStr">
        <is>
          <t>N/A</t>
        </is>
      </c>
      <c r="L153" t="inlineStr">
        <is>
          <t>Content Creating, Content Writing, Digital Marketing Tools, Positive attitude, SEO Content Writing</t>
        </is>
      </c>
      <c r="M153" t="inlineStr">
        <is>
          <t>Healthcare Plan, Laptop, Vouchers, Others</t>
        </is>
      </c>
      <c r="N153" s="8">
        <f>HYPERLINK("https://www.vietnamworks.com/novadreams-chuyen-vien-cao-cap-quan-ly-ke-hoach-marketing-va-su-kien-2008969-jv","Xem chi tiết")</f>
        <v/>
      </c>
    </row>
    <row r="154">
      <c r="B154" s="9" t="n">
        <v>152</v>
      </c>
      <c r="C154" s="10" t="inlineStr">
        <is>
          <t>Korean IT Comtor / Interpreter (3 Months contract) - Bình Dương Factory</t>
        </is>
      </c>
      <c r="D154" s="10" t="inlineStr">
        <is>
          <t>Orion Food Vina Co,. Ltd - Head Office</t>
        </is>
      </c>
      <c r="E154" s="10" t="inlineStr">
        <is>
          <t>Thương lượng</t>
        </is>
      </c>
      <c r="F154" s="10" t="inlineStr">
        <is>
          <t>Bình Dương, Hồ Chí Minh</t>
        </is>
      </c>
      <c r="G154" s="10" t="inlineStr">
        <is>
          <t>Nhân viên</t>
        </is>
      </c>
      <c r="H154" s="10" t="inlineStr">
        <is>
          <t>02/02/2026</t>
        </is>
      </c>
      <c r="I154" s="10" t="inlineStr">
        <is>
          <t>19/03/2026</t>
        </is>
      </c>
      <c r="J154" s="10" t="inlineStr">
        <is>
          <t>17/03/2026</t>
        </is>
      </c>
      <c r="K154" s="10" t="inlineStr">
        <is>
          <t>N/A</t>
        </is>
      </c>
      <c r="L154" s="10" t="inlineStr">
        <is>
          <t>Korean Interpretation, SAP Application, IT Comtor, TOPIK LEVEL 5, TOPIK</t>
        </is>
      </c>
      <c r="M154" s="10" t="inlineStr">
        <is>
          <t>Bonus, Healthcare Plan, Team Activities</t>
        </is>
      </c>
      <c r="N154" s="11">
        <f>HYPERLINK("https://www.vietnamworks.com/korean-it-comtor-interpreter-3-months-contract-binh-duong-factory-2008982-jv","Xem chi tiết")</f>
        <v/>
      </c>
      <c r="O154" s="10" t="n"/>
    </row>
    <row r="155">
      <c r="B155" s="7" t="n">
        <v>153</v>
      </c>
      <c r="C155" t="inlineStr">
        <is>
          <t>Kỹ Sư Hạ Tầng Kỹ Thuật</t>
        </is>
      </c>
      <c r="D155" t="inlineStr">
        <is>
          <t>CÔNG TY CỔ PHẦN TẬP ĐOÀN BMK</t>
        </is>
      </c>
      <c r="E155" t="inlineStr">
        <is>
          <t>25tr-30tr ₫/tháng</t>
        </is>
      </c>
      <c r="F155" t="inlineStr">
        <is>
          <t>Hà Nội</t>
        </is>
      </c>
      <c r="G155" t="inlineStr">
        <is>
          <t>Nhân viên</t>
        </is>
      </c>
      <c r="H155" t="inlineStr">
        <is>
          <t>02/02/2026</t>
        </is>
      </c>
      <c r="I155" t="inlineStr">
        <is>
          <t>19/03/2026</t>
        </is>
      </c>
      <c r="J155" t="inlineStr">
        <is>
          <t>17/03/2026</t>
        </is>
      </c>
      <c r="K155" t="inlineStr">
        <is>
          <t>N/A</t>
        </is>
      </c>
      <c r="L155" t="inlineStr">
        <is>
          <t>Autocad, Hạ Tầng Kỹ Thuật, Luật Xây Dựng, Nghiệm Thu Công Trình, Quản Lý Chất Lượng</t>
        </is>
      </c>
      <c r="M155" t="inlineStr">
        <is>
          <t>Bonus, Healthcare Plan, Awards, Travel Opportunities, Others</t>
        </is>
      </c>
      <c r="N155" s="8">
        <f>HYPERLINK("https://www.vietnamworks.com/ky-su-ha-tang-ky-thuat-2008972-jv","Xem chi tiết")</f>
        <v/>
      </c>
    </row>
    <row r="156">
      <c r="B156" s="9" t="n">
        <v>154</v>
      </c>
      <c r="C156" s="10" t="inlineStr">
        <is>
          <t>Giám Đốc Ban Quản Lý Dự Án</t>
        </is>
      </c>
      <c r="D156" s="10" t="inlineStr">
        <is>
          <t>CÔNG TY CỔ PHẦN TẬP ĐOÀN BMK</t>
        </is>
      </c>
      <c r="E156" s="10" t="inlineStr">
        <is>
          <t>35tr-40tr ₫/tháng</t>
        </is>
      </c>
      <c r="F156" s="10" t="inlineStr">
        <is>
          <t>Hưng Yên</t>
        </is>
      </c>
      <c r="G156" s="10" t="inlineStr">
        <is>
          <t>Trưởng phòng</t>
        </is>
      </c>
      <c r="H156" s="10" t="inlineStr">
        <is>
          <t>02/02/2026</t>
        </is>
      </c>
      <c r="I156" s="10" t="inlineStr">
        <is>
          <t>19/03/2026</t>
        </is>
      </c>
      <c r="J156" s="10" t="inlineStr">
        <is>
          <t>17/03/2026</t>
        </is>
      </c>
      <c r="K156" s="10" t="inlineStr">
        <is>
          <t>N/A</t>
        </is>
      </c>
      <c r="L156" s="10" t="inlineStr">
        <is>
          <t>Autocad, Kỹ Thuật Xây Dựng, Lãnh Đạo, Quản Lý Dự Án, Quản Trị Tiến Độ</t>
        </is>
      </c>
      <c r="M156" s="10" t="inlineStr">
        <is>
          <t>Bonus, Healthcare Plan, Awards, Travel Opportunities, Others</t>
        </is>
      </c>
      <c r="N156" s="11">
        <f>HYPERLINK("https://www.vietnamworks.com/giam-djoc-ban-quan-ly-du-an-2008975-jv","Xem chi tiết")</f>
        <v/>
      </c>
      <c r="O156" s="10" t="n"/>
    </row>
    <row r="157">
      <c r="B157" s="7" t="n">
        <v>155</v>
      </c>
      <c r="C157" t="inlineStr">
        <is>
          <t>HCM - Garment Merchaniser/ MR (Freshman, Under 1~2 Year)</t>
        </is>
      </c>
      <c r="D157" t="inlineStr">
        <is>
          <t>Công ty TNHH Bando Vina</t>
        </is>
      </c>
      <c r="E157" t="inlineStr">
        <is>
          <t>10tr-12tr ₫/tháng</t>
        </is>
      </c>
      <c r="F157" t="inlineStr">
        <is>
          <t>Hồ Chí Minh</t>
        </is>
      </c>
      <c r="G157" t="inlineStr">
        <is>
          <t>Mới Tốt Nghiệp</t>
        </is>
      </c>
      <c r="H157" t="inlineStr">
        <is>
          <t>02/02/2026</t>
        </is>
      </c>
      <c r="I157" t="inlineStr">
        <is>
          <t>19/03/2026</t>
        </is>
      </c>
      <c r="J157" t="inlineStr">
        <is>
          <t>17/03/2026</t>
        </is>
      </c>
      <c r="K157" t="inlineStr">
        <is>
          <t>N/A</t>
        </is>
      </c>
      <c r="L157" t="inlineStr">
        <is>
          <t>Communication Skills, Computer Skill, Sample Development, Garment Technology</t>
        </is>
      </c>
      <c r="M157" t="inlineStr">
        <is>
          <t>Bonus, Healthcare Plan, Paid Leave, Others</t>
        </is>
      </c>
      <c r="N157" s="8">
        <f>HYPERLINK("https://www.vietnamworks.com/hcm-garment-merchaniser-mr-freshman-under-12-year-2008971-jv","Xem chi tiết")</f>
        <v/>
      </c>
    </row>
    <row r="158">
      <c r="B158" s="9" t="n">
        <v>156</v>
      </c>
      <c r="C158" s="10" t="inlineStr">
        <is>
          <t>Senior Supervisor / Assistant Manager, PD Trainer</t>
        </is>
      </c>
      <c r="D158" s="10" t="inlineStr">
        <is>
          <t>CÔNG TY TNHH BẢO HIỂM SHINHAN LIFE VIỆT NAM</t>
        </is>
      </c>
      <c r="E158" s="10" t="inlineStr">
        <is>
          <t>Thương lượng</t>
        </is>
      </c>
      <c r="F158" s="10" t="inlineStr">
        <is>
          <t>Hồ Chí Minh</t>
        </is>
      </c>
      <c r="G158" s="10" t="inlineStr">
        <is>
          <t>Nhân viên</t>
        </is>
      </c>
      <c r="H158" s="10" t="inlineStr">
        <is>
          <t>02/02/2026</t>
        </is>
      </c>
      <c r="I158" s="10" t="inlineStr">
        <is>
          <t>19/03/2026</t>
        </is>
      </c>
      <c r="J158" s="10" t="inlineStr">
        <is>
          <t>17/03/2026</t>
        </is>
      </c>
      <c r="K158" s="10" t="inlineStr">
        <is>
          <t>N/A</t>
        </is>
      </c>
      <c r="L158" s="10" t="inlineStr">
        <is>
          <t>communication, Microsoft Office, Interpersonal Skills, English</t>
        </is>
      </c>
      <c r="M158" s="10" t="inlineStr">
        <is>
          <t>Healthcare Plan</t>
        </is>
      </c>
      <c r="N158" s="11">
        <f>HYPERLINK("https://www.vietnamworks.com/senior-supervisor-assistant-manager-pd-trainer-2008973-jv","Xem chi tiết")</f>
        <v/>
      </c>
      <c r="O158" s="10" t="n"/>
    </row>
    <row r="159">
      <c r="B159" s="7" t="n">
        <v>157</v>
      </c>
      <c r="C159" t="inlineStr">
        <is>
          <t>Nhân Viên IT Workflow</t>
        </is>
      </c>
      <c r="D159" t="inlineStr">
        <is>
          <t>Công Ty TNHH Thiết Bị Minh Tâm (Mitalab Co., Ltd)</t>
        </is>
      </c>
      <c r="E159" t="inlineStr">
        <is>
          <t>Thương lượng</t>
        </is>
      </c>
      <c r="F159" t="inlineStr">
        <is>
          <t>Hồ Chí Minh</t>
        </is>
      </c>
      <c r="G159" t="inlineStr">
        <is>
          <t>Nhân viên</t>
        </is>
      </c>
      <c r="H159" t="inlineStr">
        <is>
          <t>02/02/2026</t>
        </is>
      </c>
      <c r="I159" t="inlineStr">
        <is>
          <t>19/03/2026</t>
        </is>
      </c>
      <c r="J159" t="inlineStr">
        <is>
          <t>17/03/2026</t>
        </is>
      </c>
      <c r="K159" t="inlineStr">
        <is>
          <t>N/A</t>
        </is>
      </c>
      <c r="L159" t="inlineStr">
        <is>
          <t>Điện Tử Y Sinh, IT Operations, MS SQL</t>
        </is>
      </c>
      <c r="M159" t="inlineStr">
        <is>
          <t>Bonus, Training, Travel Opportunities</t>
        </is>
      </c>
      <c r="N159" s="8">
        <f>HYPERLINK("https://www.vietnamworks.com/nhan-vien-it-workflow-2008976-jv","Xem chi tiết")</f>
        <v/>
      </c>
    </row>
    <row r="160">
      <c r="B160" s="9" t="n">
        <v>158</v>
      </c>
      <c r="C160" s="10" t="inlineStr">
        <is>
          <t>Supplier Quality Engineer</t>
        </is>
      </c>
      <c r="D160" s="10" t="inlineStr">
        <is>
          <t>Công Ty Trách Nhiệm Hữu Hạn Meggitt (Việt Nam)</t>
        </is>
      </c>
      <c r="E160" s="10" t="inlineStr">
        <is>
          <t>Thương lượng</t>
        </is>
      </c>
      <c r="F160" s="10" t="inlineStr">
        <is>
          <t>Đồng Nai, Hồ Chí Minh</t>
        </is>
      </c>
      <c r="G160" s="10" t="inlineStr">
        <is>
          <t>Nhân viên</t>
        </is>
      </c>
      <c r="H160" s="10" t="inlineStr">
        <is>
          <t>02/02/2026</t>
        </is>
      </c>
      <c r="I160" s="10" t="inlineStr">
        <is>
          <t>19/03/2026</t>
        </is>
      </c>
      <c r="J160" s="10" t="inlineStr">
        <is>
          <t>17/03/2026</t>
        </is>
      </c>
      <c r="K160" s="10" t="inlineStr">
        <is>
          <t>N/A</t>
        </is>
      </c>
      <c r="L160" s="10" t="inlineStr">
        <is>
          <t>ISO 9001, PPAP, 5Whys, English, Supplier Quality</t>
        </is>
      </c>
      <c r="M160" s="10" t="inlineStr">
        <is>
          <t>Bonus, Healthcare Plan, Others</t>
        </is>
      </c>
      <c r="N160" s="11">
        <f>HYPERLINK("https://www.vietnamworks.com/supplier-quality-engineer-2008979-jv","Xem chi tiết")</f>
        <v/>
      </c>
      <c r="O160" s="10" t="n"/>
    </row>
    <row r="161">
      <c r="B161" s="7" t="n">
        <v>159</v>
      </c>
      <c r="C161" t="inlineStr">
        <is>
          <t>Giám Đốc Công Ty Las (Phòng Thí Nghiệm Xây Dựng)</t>
        </is>
      </c>
      <c r="D161" t="inlineStr">
        <is>
          <t>Công Ty Cổ Phần Tập Đoàn Masterise</t>
        </is>
      </c>
      <c r="E161" t="inlineStr">
        <is>
          <t>Thương lượng</t>
        </is>
      </c>
      <c r="F161" t="inlineStr">
        <is>
          <t>Bắc Ninh</t>
        </is>
      </c>
      <c r="G161" t="inlineStr">
        <is>
          <t>Giám Đốc và Cấp Cao Hơn</t>
        </is>
      </c>
      <c r="H161" t="inlineStr">
        <is>
          <t>02/02/2026</t>
        </is>
      </c>
      <c r="I161" t="inlineStr">
        <is>
          <t>19/03/2026</t>
        </is>
      </c>
      <c r="J161" t="inlineStr">
        <is>
          <t>17/03/2026</t>
        </is>
      </c>
      <c r="K161" t="inlineStr">
        <is>
          <t>N/A</t>
        </is>
      </c>
      <c r="L161" t="inlineStr">
        <is>
          <t>Thí Nghiệm, Thí Nghiệm Hiện Trường Xây Dựng, Thí Nghiệm Mẫu Bê Tông, Kiểm Soát Chất Lượng, Kiểm Định Chất Lượng</t>
        </is>
      </c>
      <c r="M161" t="inlineStr">
        <is>
          <t>Bonus, Healthcare Plan, Laptop</t>
        </is>
      </c>
      <c r="N161" s="8">
        <f>HYPERLINK("https://www.vietnamworks.com/giam-doc-cong-ty-las-phong-thi-nghiem-xay-dung-2008974-jv","Xem chi tiết")</f>
        <v/>
      </c>
    </row>
    <row r="162">
      <c r="B162" s="9" t="n">
        <v>160</v>
      </c>
      <c r="C162" s="10" t="inlineStr">
        <is>
          <t>IT Business Analyst</t>
        </is>
      </c>
      <c r="D162" s="10" t="inlineStr">
        <is>
          <t>CÔNG TY TNHH BẢO HIỂM SHINHAN LIFE VIỆT NAM</t>
        </is>
      </c>
      <c r="E162" s="10" t="inlineStr">
        <is>
          <t>Thương lượng</t>
        </is>
      </c>
      <c r="F162" s="10" t="inlineStr">
        <is>
          <t>Hồ Chí Minh</t>
        </is>
      </c>
      <c r="G162" s="10" t="inlineStr">
        <is>
          <t>Nhân viên</t>
        </is>
      </c>
      <c r="H162" s="10" t="inlineStr">
        <is>
          <t>02/02/2026</t>
        </is>
      </c>
      <c r="I162" s="10" t="inlineStr">
        <is>
          <t>19/03/2026</t>
        </is>
      </c>
      <c r="J162" s="10" t="inlineStr">
        <is>
          <t>17/03/2026</t>
        </is>
      </c>
      <c r="K162" s="10" t="inlineStr">
        <is>
          <t>N/A</t>
        </is>
      </c>
      <c r="L162" s="10" t="inlineStr">
        <is>
          <t>English, communication, Logical Thinking, Detail-oriented, SQL</t>
        </is>
      </c>
      <c r="M162" s="10" t="inlineStr">
        <is>
          <t>Healthcare Plan</t>
        </is>
      </c>
      <c r="N162" s="11">
        <f>HYPERLINK("https://www.vietnamworks.com/it-business-analyst--2008977-jv","Xem chi tiết")</f>
        <v/>
      </c>
      <c r="O162" s="10" t="n"/>
    </row>
    <row r="163">
      <c r="B163" s="7" t="n">
        <v>161</v>
      </c>
      <c r="C163" t="inlineStr">
        <is>
          <t>Senior Talent Acquisition Specialist</t>
        </is>
      </c>
      <c r="D163" t="inlineStr">
        <is>
          <t>Meishang Cosmetics Vietnam (Colorkey BRAND)</t>
        </is>
      </c>
      <c r="E163" t="inlineStr">
        <is>
          <t>Thương lượng</t>
        </is>
      </c>
      <c r="F163" t="inlineStr">
        <is>
          <t>Hồ Chí Minh</t>
        </is>
      </c>
      <c r="G163" t="inlineStr">
        <is>
          <t>Nhân viên</t>
        </is>
      </c>
      <c r="H163" t="inlineStr">
        <is>
          <t>02/02/2026</t>
        </is>
      </c>
      <c r="I163" t="inlineStr">
        <is>
          <t>19/03/2026</t>
        </is>
      </c>
      <c r="J163" t="inlineStr">
        <is>
          <t>17/03/2026</t>
        </is>
      </c>
      <c r="K163" t="inlineStr">
        <is>
          <t>N/A</t>
        </is>
      </c>
      <c r="L163" t="inlineStr">
        <is>
          <t>Communication Skills, Interpersonal Skills, Recruitment Tasks, Social Media Sourcing, Talent Acquisition</t>
        </is>
      </c>
      <c r="M163" t="inlineStr">
        <is>
          <t>Bonus, Healthcare Plan, Training, Others</t>
        </is>
      </c>
      <c r="N163" s="8">
        <f>HYPERLINK("https://www.vietnamworks.com/senior-talent-acquisition-specialist-2008978-jv","Xem chi tiết")</f>
        <v/>
      </c>
    </row>
    <row r="164">
      <c r="B164" s="9" t="n">
        <v>162</v>
      </c>
      <c r="C164" s="10" t="inlineStr">
        <is>
          <t>Nhân Viên Kinh Doanh/ Sales Executive</t>
        </is>
      </c>
      <c r="D164" s="10" t="inlineStr">
        <is>
          <t>CÔNG TY TNHH SRITHAI (VIỆT NAM)</t>
        </is>
      </c>
      <c r="E164" s="10" t="inlineStr">
        <is>
          <t>Thương lượng</t>
        </is>
      </c>
      <c r="F164" s="10" t="inlineStr">
        <is>
          <t>Hồ Chí Minh, Bình Dương</t>
        </is>
      </c>
      <c r="G164" s="10" t="inlineStr">
        <is>
          <t>Nhân viên</t>
        </is>
      </c>
      <c r="H164" s="10" t="inlineStr">
        <is>
          <t>02/02/2026</t>
        </is>
      </c>
      <c r="I164" s="10" t="inlineStr">
        <is>
          <t>19/03/2026</t>
        </is>
      </c>
      <c r="J164" s="10" t="inlineStr">
        <is>
          <t>17/03/2026</t>
        </is>
      </c>
      <c r="K164" s="10" t="inlineStr">
        <is>
          <t>N/A</t>
        </is>
      </c>
      <c r="L164" s="10" t="inlineStr">
        <is>
          <t>Kinh Doanh, Chăm Sóc Khách Hàng, Phát Triển Khách Hàng, Kinh Doanh Bán Lẻ, Horeca</t>
        </is>
      </c>
      <c r="M164" s="10" t="inlineStr">
        <is>
          <t>Bonus, Healthcare Plan, Paid Leave</t>
        </is>
      </c>
      <c r="N164" s="11">
        <f>HYPERLINK("https://www.vietnamworks.com/nhan-vien-kinh-doanh-sales-executive--2008993-jv","Xem chi tiết")</f>
        <v/>
      </c>
      <c r="O164" s="10" t="n"/>
    </row>
    <row r="165">
      <c r="B165" s="7" t="n">
        <v>163</v>
      </c>
      <c r="C165" t="inlineStr">
        <is>
          <t>Nhân Viên Hành Chính Thu Hồi Công Nợ</t>
        </is>
      </c>
      <c r="D165" t="inlineStr">
        <is>
          <t>Chailease International Leasing Co., Ltd. (Head Office)</t>
        </is>
      </c>
      <c r="E165" t="inlineStr">
        <is>
          <t>Thương lượng</t>
        </is>
      </c>
      <c r="F165" t="inlineStr">
        <is>
          <t>Hồ Chí Minh</t>
        </is>
      </c>
      <c r="G165" t="inlineStr">
        <is>
          <t>Nhân viên</t>
        </is>
      </c>
      <c r="H165" t="inlineStr">
        <is>
          <t>02/02/2026</t>
        </is>
      </c>
      <c r="I165" t="inlineStr">
        <is>
          <t>19/03/2026</t>
        </is>
      </c>
      <c r="J165" t="inlineStr">
        <is>
          <t>17/03/2026</t>
        </is>
      </c>
      <c r="K165" t="inlineStr">
        <is>
          <t>N/A</t>
        </is>
      </c>
      <c r="L165" t="inlineStr">
        <is>
          <t>Tiếng Anh, Kiểm Soát Công Nợ, Administrative, Kế Toán Công Nợ, Hành Chính</t>
        </is>
      </c>
      <c r="M165" t="inlineStr">
        <is>
          <t>Bonus, Healthcare Plan, Awards</t>
        </is>
      </c>
      <c r="N165" s="8">
        <f>HYPERLINK("https://www.vietnamworks.com/nhan-vien-hanh-chinh-thu-hoi-cong-no--2008985-jv","Xem chi tiết")</f>
        <v/>
      </c>
    </row>
    <row r="166">
      <c r="B166" s="9" t="n">
        <v>164</v>
      </c>
      <c r="C166" s="10" t="inlineStr">
        <is>
          <t>Supply Chain Specialist</t>
        </is>
      </c>
      <c r="D166" s="10" t="inlineStr">
        <is>
          <t>Công Ty TNHH Công Nghệ Huawei Việt Nam</t>
        </is>
      </c>
      <c r="E166" s="10" t="inlineStr">
        <is>
          <t>Thương lượng</t>
        </is>
      </c>
      <c r="F166" s="10" t="inlineStr">
        <is>
          <t>Hà Nội</t>
        </is>
      </c>
      <c r="G166" s="10" t="inlineStr">
        <is>
          <t>Mới Tốt Nghiệp</t>
        </is>
      </c>
      <c r="H166" s="10" t="inlineStr">
        <is>
          <t>02/02/2026</t>
        </is>
      </c>
      <c r="I166" s="10" t="inlineStr">
        <is>
          <t>19/03/2026</t>
        </is>
      </c>
      <c r="J166" s="10" t="inlineStr">
        <is>
          <t>17/03/2026</t>
        </is>
      </c>
      <c r="K166" s="10" t="inlineStr">
        <is>
          <t>N/A</t>
        </is>
      </c>
      <c r="L166" s="10" t="inlineStr">
        <is>
          <t>Supply Chain Management, Warehouse Operation, English, Chinese</t>
        </is>
      </c>
      <c r="M166" s="10" t="inlineStr">
        <is>
          <t>Bonus, Paid Leave, Others</t>
        </is>
      </c>
      <c r="N166" s="11">
        <f>HYPERLINK("https://www.vietnamworks.com/supply-chain-specialist--2008991-jv","Xem chi tiết")</f>
        <v/>
      </c>
      <c r="O166" s="10" t="n"/>
    </row>
    <row r="167">
      <c r="B167" s="7" t="n">
        <v>165</v>
      </c>
      <c r="C167" t="inlineStr">
        <is>
          <t>Personal Assistant To General Director (Trợ Lý Tổng Giám Đốc)</t>
        </is>
      </c>
      <c r="D167" t="inlineStr">
        <is>
          <t>Vietnamworks' Client</t>
        </is>
      </c>
      <c r="E167" t="inlineStr">
        <is>
          <t>Thương lượng</t>
        </is>
      </c>
      <c r="F167" t="inlineStr">
        <is>
          <t>Hà Nội</t>
        </is>
      </c>
      <c r="G167" t="inlineStr">
        <is>
          <t>Trưởng phòng</t>
        </is>
      </c>
      <c r="H167" t="inlineStr">
        <is>
          <t>02/02/2026</t>
        </is>
      </c>
      <c r="I167" t="inlineStr">
        <is>
          <t>19/03/2026</t>
        </is>
      </c>
      <c r="J167" t="inlineStr">
        <is>
          <t>17/03/2026</t>
        </is>
      </c>
      <c r="K167" t="inlineStr">
        <is>
          <t>N/A</t>
        </is>
      </c>
      <c r="L167" t="inlineStr">
        <is>
          <t>Administrative Support, Communication Skills, Document Management, English Language Proficiency, Time Management</t>
        </is>
      </c>
      <c r="M167" t="inlineStr">
        <is>
          <t>Bonus</t>
        </is>
      </c>
      <c r="N167" s="8">
        <f>HYPERLINK("https://www.vietnamworks.com/personal-assistant-to-general-director-tro-ly-tong-giam-djoc-2008992-jv","Xem chi tiết")</f>
        <v/>
      </c>
    </row>
    <row r="168">
      <c r="B168" s="9" t="n">
        <v>166</v>
      </c>
      <c r="C168" s="10" t="inlineStr">
        <is>
          <t>Training Assistant Manager (Retail)</t>
        </is>
      </c>
      <c r="D168" s="10" t="inlineStr">
        <is>
          <t>Công Ty TNHH Kohnan Việt Nam</t>
        </is>
      </c>
      <c r="E168" s="10" t="inlineStr">
        <is>
          <t>Thương lượng</t>
        </is>
      </c>
      <c r="F168" s="10" t="inlineStr">
        <is>
          <t>Hồ Chí Minh</t>
        </is>
      </c>
      <c r="G168" s="10" t="inlineStr">
        <is>
          <t>Nhân viên</t>
        </is>
      </c>
      <c r="H168" s="10" t="inlineStr">
        <is>
          <t>02/02/2026</t>
        </is>
      </c>
      <c r="I168" s="10" t="inlineStr">
        <is>
          <t>19/03/2026</t>
        </is>
      </c>
      <c r="J168" s="10" t="inlineStr">
        <is>
          <t>17/03/2026</t>
        </is>
      </c>
      <c r="K168" s="10" t="inlineStr">
        <is>
          <t>N/A</t>
        </is>
      </c>
      <c r="L168" s="10" t="inlineStr">
        <is>
          <t>Kỹ năng giao tiếp, Kỹ năng tổ chức, Quản Lý Thời Gian, Thiết Kế Bài Giảng, Tư Duy Học Hỏi</t>
        </is>
      </c>
      <c r="M168" s="10" t="inlineStr">
        <is>
          <t>Bonus, Healthcare Plan, Paid Leave, Transportation, Others</t>
        </is>
      </c>
      <c r="N168" s="11">
        <f>HYPERLINK("https://www.vietnamworks.com/training-assistant-manager-retail-2008981-jv","Xem chi tiết")</f>
        <v/>
      </c>
      <c r="O168" s="10" t="n"/>
    </row>
    <row r="169">
      <c r="B169" s="7" t="n">
        <v>167</v>
      </c>
      <c r="C169" t="inlineStr">
        <is>
          <t>Chuyên Viên Cao Cấp Đại Diện Đơn Vị Nghiệp Vụ (DSP) - RB - MSB - 1O284</t>
        </is>
      </c>
      <c r="D169" t="inlineStr">
        <is>
          <t>Ngân Hàng Thương Mại Cổ Phần Hàng Hải Việt Nam (MSB)</t>
        </is>
      </c>
      <c r="E169" t="inlineStr">
        <is>
          <t>Thương lượng</t>
        </is>
      </c>
      <c r="F169" t="inlineStr">
        <is>
          <t>Hà Nội</t>
        </is>
      </c>
      <c r="G169" t="inlineStr">
        <is>
          <t>Nhân viên</t>
        </is>
      </c>
      <c r="H169" t="inlineStr">
        <is>
          <t>02/02/2026</t>
        </is>
      </c>
      <c r="I169" t="inlineStr">
        <is>
          <t>19/03/2026</t>
        </is>
      </c>
      <c r="J169" t="inlineStr">
        <is>
          <t>17/03/2026</t>
        </is>
      </c>
      <c r="K169" t="inlineStr">
        <is>
          <t>N/A</t>
        </is>
      </c>
      <c r="L169" t="inlineStr">
        <is>
          <t>Giao Tiếp, Kinh Tế, Phân Tích Nghiệp Vụ, Quản Trị Kinh Doanh, Tài Chính Ngân Hàng</t>
        </is>
      </c>
      <c r="M169" t="inlineStr">
        <is>
          <t>Bonus, Healthcare Plan, Paid Leave, Training, Travel Opportunities, Others</t>
        </is>
      </c>
      <c r="N169" s="8">
        <f>HYPERLINK("https://www.vietnamworks.com/chuyen-vien-cao-cap-djai-dien-djon-vi-nghiep-vu-dsp-rb-msb-1o284-2008970-jv","Xem chi tiết")</f>
        <v/>
      </c>
    </row>
    <row r="170">
      <c r="B170" s="9" t="n">
        <v>168</v>
      </c>
      <c r="C170" s="10" t="inlineStr">
        <is>
          <t>Retail Brand Manager</t>
        </is>
      </c>
      <c r="D170" s="10" t="inlineStr">
        <is>
          <t>Maison Retail Management International</t>
        </is>
      </c>
      <c r="E170" s="10" t="inlineStr">
        <is>
          <t>Thương lượng</t>
        </is>
      </c>
      <c r="F170" s="10" t="inlineStr">
        <is>
          <t>Hồ Chí Minh</t>
        </is>
      </c>
      <c r="G170" s="10" t="inlineStr">
        <is>
          <t>Trưởng phòng</t>
        </is>
      </c>
      <c r="H170" s="10" t="inlineStr">
        <is>
          <t>02/02/2026</t>
        </is>
      </c>
      <c r="I170" s="10" t="inlineStr">
        <is>
          <t>19/03/2026</t>
        </is>
      </c>
      <c r="J170" s="10" t="inlineStr">
        <is>
          <t>17/03/2026</t>
        </is>
      </c>
      <c r="K170" s="10" t="inlineStr">
        <is>
          <t>N/A</t>
        </is>
      </c>
      <c r="L170" s="10" t="inlineStr">
        <is>
          <t>Branding Strategy, Branding, Marketing, PR, Marketing Planning</t>
        </is>
      </c>
      <c r="M170" s="10" t="inlineStr">
        <is>
          <t>Bonus, Awards, Laptop</t>
        </is>
      </c>
      <c r="N170" s="11">
        <f>HYPERLINK("https://www.vietnamworks.com/retail-brand-manager--2008980-jv","Xem chi tiết")</f>
        <v/>
      </c>
      <c r="O170" s="10" t="n"/>
    </row>
    <row r="171">
      <c r="B171" s="7" t="n">
        <v>169</v>
      </c>
      <c r="C171" t="inlineStr">
        <is>
          <t>Chuyên Viên Cao Cấp Tổ Chức Cung Ứng - Food</t>
        </is>
      </c>
      <c r="D171" t="inlineStr">
        <is>
          <t>Công Ty Cổ Phần Tổng Công Ty Nova Service</t>
        </is>
      </c>
      <c r="E171" t="inlineStr">
        <is>
          <t>Thương lượng</t>
        </is>
      </c>
      <c r="F171" t="inlineStr">
        <is>
          <t>Hồ Chí Minh</t>
        </is>
      </c>
      <c r="G171" t="inlineStr">
        <is>
          <t>Nhân viên</t>
        </is>
      </c>
      <c r="H171" t="inlineStr">
        <is>
          <t>02/02/2026</t>
        </is>
      </c>
      <c r="I171" t="inlineStr">
        <is>
          <t>19/03/2026</t>
        </is>
      </c>
      <c r="J171" t="inlineStr">
        <is>
          <t>17/03/2026</t>
        </is>
      </c>
      <c r="K171" t="inlineStr">
        <is>
          <t>N/A</t>
        </is>
      </c>
      <c r="L171" t="inlineStr">
        <is>
          <t>Cung Ứng Thực Phẩm, Thu Mua Trái Cây, Vận Hành Nhà Hàng, Thu Mua Hàng Hóa</t>
        </is>
      </c>
      <c r="M171" t="inlineStr">
        <is>
          <t>Bonus, Paid Leave, Training</t>
        </is>
      </c>
      <c r="N171" s="8">
        <f>HYPERLINK("https://www.vietnamworks.com/chuyen-vien-cao-cap-to-chuc-cung-ung-food-2008990-jv","Xem chi tiết")</f>
        <v/>
      </c>
    </row>
    <row r="172">
      <c r="B172" s="9" t="n">
        <v>170</v>
      </c>
      <c r="C172" s="10" t="inlineStr">
        <is>
          <t>PMC</t>
        </is>
      </c>
      <c r="D172" s="10" t="inlineStr">
        <is>
          <t>Công Ty TNHH WGR Industries</t>
        </is>
      </c>
      <c r="E172" s="10" t="inlineStr">
        <is>
          <t>Thương lượng</t>
        </is>
      </c>
      <c r="F172" s="10" t="inlineStr">
        <is>
          <t>Gia Lai, Bình Định</t>
        </is>
      </c>
      <c r="G172" s="10" t="inlineStr">
        <is>
          <t>Nhân viên</t>
        </is>
      </c>
      <c r="H172" s="10" t="inlineStr">
        <is>
          <t>02/02/2026</t>
        </is>
      </c>
      <c r="I172" s="10" t="inlineStr">
        <is>
          <t>19/03/2026</t>
        </is>
      </c>
      <c r="J172" s="10" t="inlineStr">
        <is>
          <t>17/03/2026</t>
        </is>
      </c>
      <c r="K172" s="10" t="inlineStr">
        <is>
          <t>N/A</t>
        </is>
      </c>
      <c r="L172" s="10" t="inlineStr">
        <is>
          <t>MRP, Material Control, Inventory Control, ISO 9001, Kiểm Soát Tồn Kho</t>
        </is>
      </c>
      <c r="M172" s="10" t="inlineStr">
        <is>
          <t>Healthcare Plan, Training, Awards</t>
        </is>
      </c>
      <c r="N172" s="11">
        <f>HYPERLINK("https://www.vietnamworks.com/pmc--2009018-jv","Xem chi tiết")</f>
        <v/>
      </c>
      <c r="O172" s="10" t="n"/>
    </row>
    <row r="173">
      <c r="B173" s="7" t="n">
        <v>171</v>
      </c>
      <c r="C173" t="inlineStr">
        <is>
          <t>Industrial Engineer (IE)</t>
        </is>
      </c>
      <c r="D173" t="inlineStr">
        <is>
          <t>Công Ty TNHH WGR Industries</t>
        </is>
      </c>
      <c r="E173" t="inlineStr">
        <is>
          <t>Thương lượng</t>
        </is>
      </c>
      <c r="F173" t="inlineStr">
        <is>
          <t>Gia Lai, Bình Định</t>
        </is>
      </c>
      <c r="G173" t="inlineStr">
        <is>
          <t>Nhân viên</t>
        </is>
      </c>
      <c r="H173" t="inlineStr">
        <is>
          <t>02/02/2026</t>
        </is>
      </c>
      <c r="I173" t="inlineStr">
        <is>
          <t>19/03/2026</t>
        </is>
      </c>
      <c r="J173" t="inlineStr">
        <is>
          <t>17/03/2026</t>
        </is>
      </c>
      <c r="K173" t="inlineStr">
        <is>
          <t>N/A</t>
        </is>
      </c>
      <c r="L173" t="inlineStr">
        <is>
          <t>Industrial Engineering, Lean Manufacturing, Layout Optimization, Furniture Manufacturing, Furniture Design</t>
        </is>
      </c>
      <c r="M173" t="inlineStr">
        <is>
          <t>Healthcare Plan, Training, Awards</t>
        </is>
      </c>
      <c r="N173" s="8">
        <f>HYPERLINK("https://www.vietnamworks.com/industrial-engineer-ie--2009011-jv","Xem chi tiết")</f>
        <v/>
      </c>
    </row>
    <row r="174">
      <c r="B174" s="9" t="n">
        <v>172</v>
      </c>
      <c r="C174" s="10" t="inlineStr">
        <is>
          <t>Giám Đốc Điều Hành</t>
        </is>
      </c>
      <c r="D174" s="10" t="inlineStr">
        <is>
          <t>Công Ty Cổ Phần Nhựa Tiến Đức</t>
        </is>
      </c>
      <c r="E174" s="10" t="inlineStr">
        <is>
          <t>Thương lượng</t>
        </is>
      </c>
      <c r="F174" s="10" t="inlineStr">
        <is>
          <t>Hà Nội</t>
        </is>
      </c>
      <c r="G174" s="10" t="inlineStr">
        <is>
          <t>Giám Đốc và Cấp Cao Hơn</t>
        </is>
      </c>
      <c r="H174" s="10" t="inlineStr">
        <is>
          <t>02/02/2026</t>
        </is>
      </c>
      <c r="I174" s="10" t="inlineStr">
        <is>
          <t>19/03/2026</t>
        </is>
      </c>
      <c r="J174" s="10" t="inlineStr">
        <is>
          <t>17/03/2026</t>
        </is>
      </c>
      <c r="K174" s="10" t="inlineStr">
        <is>
          <t>N/A</t>
        </is>
      </c>
      <c r="L174" s="10" t="inlineStr">
        <is>
          <t>Quản Trị Kinh Doanh, Kinh Tế, Thẩm Định Vấn Đề, Quản Lý Rủi Ro, Giao Tiếp Tiếng Anh</t>
        </is>
      </c>
      <c r="M174" s="10" t="inlineStr">
        <is>
          <t>Bonus, Healthcare Plan, Awards, Laptop, Others</t>
        </is>
      </c>
      <c r="N174" s="11">
        <f>HYPERLINK("https://www.vietnamworks.com/giam-djoc-djieu-hanh-2008996-jv","Xem chi tiết")</f>
        <v/>
      </c>
      <c r="O174" s="10" t="n"/>
    </row>
    <row r="175">
      <c r="B175" s="7" t="n">
        <v>173</v>
      </c>
      <c r="C175" t="inlineStr">
        <is>
          <t>Senior QS Specialist (Ưu Tiên Xây Dựng- Kinh Nghiệm Từ 10 Năm)</t>
        </is>
      </c>
      <c r="D175" t="inlineStr">
        <is>
          <t>Công Ty Cổ Phần Bất Động Sản Bản Việt</t>
        </is>
      </c>
      <c r="E175" t="inlineStr">
        <is>
          <t>Thương lượng</t>
        </is>
      </c>
      <c r="F175" t="inlineStr">
        <is>
          <t>Hồ Chí Minh</t>
        </is>
      </c>
      <c r="G175" t="inlineStr">
        <is>
          <t>Nhân viên</t>
        </is>
      </c>
      <c r="H175" t="inlineStr">
        <is>
          <t>02/02/2026</t>
        </is>
      </c>
      <c r="I175" t="inlineStr">
        <is>
          <t>19/03/2026</t>
        </is>
      </c>
      <c r="J175" t="inlineStr">
        <is>
          <t>17/03/2026</t>
        </is>
      </c>
      <c r="K175" t="inlineStr">
        <is>
          <t>N/A</t>
        </is>
      </c>
      <c r="L175" t="inlineStr">
        <is>
          <t>QS (Quantity Surveying), Construction Standard, Price Control, Real Estate Projects, Real Estate Contracting</t>
        </is>
      </c>
      <c r="M175" t="inlineStr">
        <is>
          <t>Bonus, Healthcare Plan, Team Activities</t>
        </is>
      </c>
      <c r="N175" s="8">
        <f>HYPERLINK("https://www.vietnamworks.com/senior-qs-specialist-uu-tien-xay-dung-kinh-nghiem-tu-10-nam-2008995-jv","Xem chi tiết")</f>
        <v/>
      </c>
    </row>
    <row r="176">
      <c r="B176" s="9" t="n">
        <v>174</v>
      </c>
      <c r="C176" s="10" t="inlineStr">
        <is>
          <t>Machine Learning Ops Engineer - Mlops Engineer (Virtual Official)</t>
        </is>
      </c>
      <c r="D176" s="10" t="inlineStr">
        <is>
          <t>Ocean Network Express (Vietnam) Co., Ltd</t>
        </is>
      </c>
      <c r="E176" s="10" t="inlineStr">
        <is>
          <t>Thương lượng</t>
        </is>
      </c>
      <c r="F176" s="10" t="inlineStr">
        <is>
          <t>Hồ Chí Minh</t>
        </is>
      </c>
      <c r="G176" s="10" t="inlineStr">
        <is>
          <t>Nhân viên</t>
        </is>
      </c>
      <c r="H176" s="10" t="inlineStr">
        <is>
          <t>02/02/2026</t>
        </is>
      </c>
      <c r="I176" s="10" t="inlineStr">
        <is>
          <t>19/03/2026</t>
        </is>
      </c>
      <c r="J176" s="10" t="inlineStr">
        <is>
          <t>17/03/2026</t>
        </is>
      </c>
      <c r="K176" s="10" t="inlineStr">
        <is>
          <t>N/A</t>
        </is>
      </c>
      <c r="L176" s="10" t="inlineStr">
        <is>
          <t>Python, Machine Learning Engineering, AI Engineer, Ai/Ml Engineering, DevOps &amp; CI/CD</t>
        </is>
      </c>
      <c r="M176" s="10" t="inlineStr">
        <is>
          <t>Bonus, Healthcare Plan, Team Activities</t>
        </is>
      </c>
      <c r="N176" s="11">
        <f>HYPERLINK("https://www.vietnamworks.com/machine-learning-ops-engineer-mlops-engineer-virtual-official-2009008-jv","Xem chi tiết")</f>
        <v/>
      </c>
      <c r="O176" s="10" t="n"/>
    </row>
    <row r="177">
      <c r="B177" s="7" t="n">
        <v>175</v>
      </c>
      <c r="C177" t="inlineStr">
        <is>
          <t>Sales Admin</t>
        </is>
      </c>
      <c r="D177" t="inlineStr">
        <is>
          <t>Cubes Asia Co., Ltd.</t>
        </is>
      </c>
      <c r="E177" t="inlineStr">
        <is>
          <t>Thương lượng</t>
        </is>
      </c>
      <c r="F177" t="inlineStr">
        <is>
          <t>Hồ Chí Minh</t>
        </is>
      </c>
      <c r="G177" t="inlineStr">
        <is>
          <t>Nhân viên</t>
        </is>
      </c>
      <c r="H177" t="inlineStr">
        <is>
          <t>02/02/2026</t>
        </is>
      </c>
      <c r="I177" t="inlineStr">
        <is>
          <t>19/03/2026</t>
        </is>
      </c>
      <c r="J177" t="inlineStr">
        <is>
          <t>17/03/2026</t>
        </is>
      </c>
      <c r="K177" t="inlineStr">
        <is>
          <t>N/A</t>
        </is>
      </c>
      <c r="L177" t="inlineStr">
        <is>
          <t>English, Customer Service, Sales Admin, Microsoft Excel, Dealer Management</t>
        </is>
      </c>
      <c r="M177" t="inlineStr">
        <is>
          <t>Bonus, Healthcare Plan, Travel Opportunities</t>
        </is>
      </c>
      <c r="N177" s="8">
        <f>HYPERLINK("https://www.vietnamworks.com/sales-admin--2009023-jv","Xem chi tiết")</f>
        <v/>
      </c>
    </row>
    <row r="178">
      <c r="B178" s="9" t="n">
        <v>176</v>
      </c>
      <c r="C178" s="10" t="inlineStr">
        <is>
          <t>Analytical Method Validation Specialist - Contract 12 Months</t>
        </is>
      </c>
      <c r="D178" s="10" t="inlineStr">
        <is>
          <t>Abbott</t>
        </is>
      </c>
      <c r="E178" s="10" t="inlineStr">
        <is>
          <t>Thương lượng</t>
        </is>
      </c>
      <c r="F178" s="10" t="inlineStr">
        <is>
          <t>Bình Dương</t>
        </is>
      </c>
      <c r="G178" s="10" t="inlineStr">
        <is>
          <t>Nhân viên</t>
        </is>
      </c>
      <c r="H178" s="10" t="inlineStr">
        <is>
          <t>02/02/2026</t>
        </is>
      </c>
      <c r="I178" s="10" t="inlineStr">
        <is>
          <t>19/03/2026</t>
        </is>
      </c>
      <c r="J178" s="10" t="inlineStr">
        <is>
          <t>17/03/2026</t>
        </is>
      </c>
      <c r="K178" s="10" t="inlineStr">
        <is>
          <t>N/A</t>
        </is>
      </c>
      <c r="L178" s="10" t="inlineStr">
        <is>
          <t>Kiểm Nghiệm Thuốc, Qc / Qa, Validation, HPLC, Test Method Validation</t>
        </is>
      </c>
      <c r="M178" s="10" t="inlineStr">
        <is>
          <t>Bonus, Healthcare Plan, Training</t>
        </is>
      </c>
      <c r="N178" s="11">
        <f>HYPERLINK("https://www.vietnamworks.com/analytical-method-validation-specialist-contract-12-months-2009022-jv","Xem chi tiết")</f>
        <v/>
      </c>
      <c r="O178" s="10" t="n"/>
    </row>
    <row r="179">
      <c r="B179" s="7" t="n">
        <v>177</v>
      </c>
      <c r="C179" t="inlineStr">
        <is>
          <t>Operation Executive/ Senior Operation Executive</t>
        </is>
      </c>
      <c r="D179" t="inlineStr">
        <is>
          <t>Công Ty TNHH K-Chem Việt Nam</t>
        </is>
      </c>
      <c r="E179" t="inlineStr">
        <is>
          <t>Thương lượng</t>
        </is>
      </c>
      <c r="F179" t="inlineStr">
        <is>
          <t>Bình Dương</t>
        </is>
      </c>
      <c r="G179" t="inlineStr">
        <is>
          <t>Nhân viên</t>
        </is>
      </c>
      <c r="H179" t="inlineStr">
        <is>
          <t>02/02/2026</t>
        </is>
      </c>
      <c r="I179" t="inlineStr">
        <is>
          <t>19/03/2026</t>
        </is>
      </c>
      <c r="J179" t="inlineStr">
        <is>
          <t>17/03/2026</t>
        </is>
      </c>
      <c r="K179" t="inlineStr">
        <is>
          <t>N/A</t>
        </is>
      </c>
      <c r="L179" t="inlineStr">
        <is>
          <t>Stock Planning, Warehouse Operation, Inventory Control, Supply Chain, Logistics Operations</t>
        </is>
      </c>
      <c r="M179" t="inlineStr">
        <is>
          <t>Bonus, Healthcare Plan, Paid Leave</t>
        </is>
      </c>
      <c r="N179" s="8">
        <f>HYPERLINK("https://www.vietnamworks.com/operation-executive-senior-operation-executive--2009020-jv","Xem chi tiết")</f>
        <v/>
      </c>
    </row>
    <row r="180">
      <c r="B180" s="9" t="n">
        <v>178</v>
      </c>
      <c r="C180" s="10" t="inlineStr">
        <is>
          <t>Wood Processing Workshop Supervisor</t>
        </is>
      </c>
      <c r="D180" s="10" t="inlineStr">
        <is>
          <t>Công Ty TNHH WGR Industries</t>
        </is>
      </c>
      <c r="E180" s="10" t="inlineStr">
        <is>
          <t>Thương lượng</t>
        </is>
      </c>
      <c r="F180" s="10" t="inlineStr">
        <is>
          <t>Gia Lai, Bình Định</t>
        </is>
      </c>
      <c r="G180" s="10" t="inlineStr">
        <is>
          <t>Nhân viên</t>
        </is>
      </c>
      <c r="H180" s="10" t="inlineStr">
        <is>
          <t>02/02/2026</t>
        </is>
      </c>
      <c r="I180" s="10" t="inlineStr">
        <is>
          <t>19/03/2026</t>
        </is>
      </c>
      <c r="J180" s="10" t="inlineStr">
        <is>
          <t>17/03/2026</t>
        </is>
      </c>
      <c r="K180" s="10" t="inlineStr">
        <is>
          <t>N/A</t>
        </is>
      </c>
      <c r="L180" s="10" t="inlineStr">
        <is>
          <t>CNC Programming, Lean Manufacturing, Jig Design, CNC cutting, Furniture Manufacturing</t>
        </is>
      </c>
      <c r="M180" s="10" t="inlineStr">
        <is>
          <t>Healthcare Plan, Training, Awards</t>
        </is>
      </c>
      <c r="N180" s="11">
        <f>HYPERLINK("https://www.vietnamworks.com/wood-processing-workshop-supervisor-2009016-jv","Xem chi tiết")</f>
        <v/>
      </c>
      <c r="O180" s="10" t="n"/>
    </row>
    <row r="181">
      <c r="B181" s="7" t="n">
        <v>179</v>
      </c>
      <c r="C181" t="inlineStr">
        <is>
          <t>Brand Manager Assistant</t>
        </is>
      </c>
      <c r="D181" t="inlineStr">
        <is>
          <t>Công Ty Easia Travel</t>
        </is>
      </c>
      <c r="E181" t="inlineStr">
        <is>
          <t>Thương lượng</t>
        </is>
      </c>
      <c r="F181" t="inlineStr">
        <is>
          <t>Hà Nội</t>
        </is>
      </c>
      <c r="G181" t="inlineStr">
        <is>
          <t>Nhân viên</t>
        </is>
      </c>
      <c r="H181" t="inlineStr">
        <is>
          <t>02/02/2026</t>
        </is>
      </c>
      <c r="I181" t="inlineStr">
        <is>
          <t>19/03/2026</t>
        </is>
      </c>
      <c r="J181" t="inlineStr">
        <is>
          <t>17/03/2026</t>
        </is>
      </c>
      <c r="K181" t="inlineStr">
        <is>
          <t>N/A</t>
        </is>
      </c>
      <c r="L181" t="inlineStr">
        <is>
          <t>Logical Thinking, Creative Marketing, Branding, Brand Management</t>
        </is>
      </c>
      <c r="M181" t="inlineStr">
        <is>
          <t>Bonus, Healthcare Plan, Travel Opportunities</t>
        </is>
      </c>
      <c r="N181" s="8">
        <f>HYPERLINK("https://www.vietnamworks.com/brand-manager-assistant--2008997-jv","Xem chi tiết")</f>
        <v/>
      </c>
    </row>
    <row r="182">
      <c r="B182" s="9" t="n">
        <v>180</v>
      </c>
      <c r="C182" s="10" t="inlineStr">
        <is>
          <t>Nhân Viên Sales (Tiếng Nhật N3)</t>
        </is>
      </c>
      <c r="D182" s="10" t="inlineStr">
        <is>
          <t>Công Ty TNHH Tds Việt Nam</t>
        </is>
      </c>
      <c r="E182" s="10" t="inlineStr">
        <is>
          <t>$$ 450-700 /tháng</t>
        </is>
      </c>
      <c r="F182" s="10" t="inlineStr">
        <is>
          <t>Hà Nam</t>
        </is>
      </c>
      <c r="G182" s="10" t="inlineStr">
        <is>
          <t>Nhân viên</t>
        </is>
      </c>
      <c r="H182" s="10" t="inlineStr">
        <is>
          <t>02/02/2026</t>
        </is>
      </c>
      <c r="I182" s="10" t="inlineStr">
        <is>
          <t>19/03/2026</t>
        </is>
      </c>
      <c r="J182" s="10" t="inlineStr">
        <is>
          <t>17/03/2026</t>
        </is>
      </c>
      <c r="K182" s="10" t="inlineStr">
        <is>
          <t>N/A</t>
        </is>
      </c>
      <c r="L182" s="10" t="inlineStr">
        <is>
          <t>Tiếng Nhật N3, Quản Lý Đơn Hàng, Chăm Sóc Khách Hàng, Quản Lý Đơn Giá, Kinh Doanh</t>
        </is>
      </c>
      <c r="M182" s="10" t="inlineStr">
        <is>
          <t>Healthcare Plan, Transportation, Others</t>
        </is>
      </c>
      <c r="N182" s="11">
        <f>HYPERLINK("https://www.vietnamworks.com/nhan-vien-sales-tieng-nhat-n3-2009005-jv","Xem chi tiết")</f>
        <v/>
      </c>
      <c r="O182" s="10" t="n"/>
    </row>
    <row r="183">
      <c r="B183" s="7" t="n">
        <v>181</v>
      </c>
      <c r="C183" t="inlineStr">
        <is>
          <t>Material Planner</t>
        </is>
      </c>
      <c r="D183" t="inlineStr">
        <is>
          <t>Công Ty TNHH WGR Industries</t>
        </is>
      </c>
      <c r="E183" t="inlineStr">
        <is>
          <t>Thương lượng</t>
        </is>
      </c>
      <c r="F183" t="inlineStr">
        <is>
          <t>Gia Lai, Bình Định</t>
        </is>
      </c>
      <c r="G183" t="inlineStr">
        <is>
          <t>Nhân viên</t>
        </is>
      </c>
      <c r="H183" t="inlineStr">
        <is>
          <t>02/02/2026</t>
        </is>
      </c>
      <c r="I183" t="inlineStr">
        <is>
          <t>19/03/2026</t>
        </is>
      </c>
      <c r="J183" t="inlineStr">
        <is>
          <t>17/03/2026</t>
        </is>
      </c>
      <c r="K183" t="inlineStr">
        <is>
          <t>N/A</t>
        </is>
      </c>
      <c r="L183" t="inlineStr">
        <is>
          <t>Material Planning, Wood Material, MRP, Lập Kế Hoạch Vật Tư, Production Planning</t>
        </is>
      </c>
      <c r="M183" t="inlineStr">
        <is>
          <t>Healthcare Plan, Training, Awards</t>
        </is>
      </c>
      <c r="N183" s="8">
        <f>HYPERLINK("https://www.vietnamworks.com/material-planner--2009009-jv","Xem chi tiết")</f>
        <v/>
      </c>
    </row>
    <row r="184">
      <c r="B184" s="9" t="n">
        <v>182</v>
      </c>
      <c r="C184" s="10" t="inlineStr">
        <is>
          <t>Educational Travel Coordinator</t>
        </is>
      </c>
      <c r="D184" s="10" t="inlineStr">
        <is>
          <t>Vietnamworks' Client</t>
        </is>
      </c>
      <c r="E184" s="10" t="inlineStr">
        <is>
          <t>$$ 780-840 /tháng</t>
        </is>
      </c>
      <c r="F184" s="10" t="inlineStr">
        <is>
          <t>Hồ Chí Minh, Hà Nội</t>
        </is>
      </c>
      <c r="G184" s="10" t="inlineStr">
        <is>
          <t>Nhân viên</t>
        </is>
      </c>
      <c r="H184" s="10" t="inlineStr">
        <is>
          <t>02/02/2026</t>
        </is>
      </c>
      <c r="I184" s="10" t="inlineStr">
        <is>
          <t>19/03/2026</t>
        </is>
      </c>
      <c r="J184" s="10" t="inlineStr">
        <is>
          <t>17/03/2026</t>
        </is>
      </c>
      <c r="K184" s="10" t="inlineStr">
        <is>
          <t>N/A</t>
        </is>
      </c>
      <c r="L184" s="10" t="inlineStr">
        <is>
          <t>English, Travel Coordination</t>
        </is>
      </c>
      <c r="M184" s="10" t="inlineStr">
        <is>
          <t>Healthcare Plan</t>
        </is>
      </c>
      <c r="N184" s="11">
        <f>HYPERLINK("https://www.vietnamworks.com/educational-travel-coordinator-2008999-jv","Xem chi tiết")</f>
        <v/>
      </c>
      <c r="O184" s="10" t="n"/>
    </row>
    <row r="185">
      <c r="B185" s="7" t="n">
        <v>183</v>
      </c>
      <c r="C185" t="inlineStr">
        <is>
          <t>Process Engineer (PE)</t>
        </is>
      </c>
      <c r="D185" t="inlineStr">
        <is>
          <t>Công Ty TNHH WGR Industries</t>
        </is>
      </c>
      <c r="E185" t="inlineStr">
        <is>
          <t>Thương lượng</t>
        </is>
      </c>
      <c r="F185" t="inlineStr">
        <is>
          <t>Gia Lai, Bình Định</t>
        </is>
      </c>
      <c r="G185" t="inlineStr">
        <is>
          <t>Nhân viên</t>
        </is>
      </c>
      <c r="H185" t="inlineStr">
        <is>
          <t>02/02/2026</t>
        </is>
      </c>
      <c r="I185" t="inlineStr">
        <is>
          <t>19/03/2026</t>
        </is>
      </c>
      <c r="J185" t="inlineStr">
        <is>
          <t>17/03/2026</t>
        </is>
      </c>
      <c r="K185" t="inlineStr">
        <is>
          <t>N/A</t>
        </is>
      </c>
      <c r="L185" t="inlineStr">
        <is>
          <t>Process Development, Furniture Manufacturing, Process Optimization, SOP, manufacturing</t>
        </is>
      </c>
      <c r="M185" t="inlineStr">
        <is>
          <t>Healthcare Plan, Training, Awards</t>
        </is>
      </c>
      <c r="N185" s="8">
        <f>HYPERLINK("https://www.vietnamworks.com/process-engineer-pe-2009019-jv","Xem chi tiết")</f>
        <v/>
      </c>
    </row>
    <row r="186">
      <c r="B186" s="9" t="n">
        <v>184</v>
      </c>
      <c r="C186" s="10" t="inlineStr">
        <is>
          <t>Kỹ Sư Chuyển Giao Công Nghệ (Chấp Nhận Ứng Viên Chưa Có Kinh Nghiệm)</t>
        </is>
      </c>
      <c r="D186" s="10" t="inlineStr">
        <is>
          <t>Asahi Intecc Hanoi Co., Ltd.</t>
        </is>
      </c>
      <c r="E186" s="10" t="inlineStr">
        <is>
          <t>Thương lượng</t>
        </is>
      </c>
      <c r="F186" s="10" t="inlineStr">
        <is>
          <t>Hà Nội</t>
        </is>
      </c>
      <c r="G186" s="10" t="inlineStr">
        <is>
          <t>Mới Tốt Nghiệp</t>
        </is>
      </c>
      <c r="H186" s="10" t="inlineStr">
        <is>
          <t>02/02/2026</t>
        </is>
      </c>
      <c r="I186" s="10" t="inlineStr">
        <is>
          <t>19/03/2026</t>
        </is>
      </c>
      <c r="J186" s="10" t="inlineStr">
        <is>
          <t>17/03/2026</t>
        </is>
      </c>
      <c r="K186" s="10" t="inlineStr">
        <is>
          <t>N/A</t>
        </is>
      </c>
      <c r="L186" s="10" t="inlineStr">
        <is>
          <t>Kỹ Thuật Cơ Khí, Cơ Điện Tử, Tự Động Hóa, AutoCAD, Cơ Khí Tự Động Hóa</t>
        </is>
      </c>
      <c r="M186" s="10" t="inlineStr">
        <is>
          <t>Bonus, Healthcare Plan, Paid Leave, Training, Travel Opportunities, Team Activities, Transportation, Others</t>
        </is>
      </c>
      <c r="N186" s="11">
        <f>HYPERLINK("https://www.vietnamworks.com/ky-su-chuyen-giao-cong-nghe-chap-nhan-ung-vien-chua-co-kinh-nghiem-2009003-jv","Xem chi tiết")</f>
        <v/>
      </c>
      <c r="O186" s="10" t="n"/>
    </row>
    <row r="187">
      <c r="B187" s="7" t="n">
        <v>185</v>
      </c>
      <c r="C187" t="inlineStr">
        <is>
          <t>Upholstery Production Workshop Supervisor</t>
        </is>
      </c>
      <c r="D187" t="inlineStr">
        <is>
          <t>Công Ty TNHH WGR Industries</t>
        </is>
      </c>
      <c r="E187" t="inlineStr">
        <is>
          <t>Thương lượng</t>
        </is>
      </c>
      <c r="F187" t="inlineStr">
        <is>
          <t>Gia Lai, Bình Định</t>
        </is>
      </c>
      <c r="G187" t="inlineStr">
        <is>
          <t>Nhân viên</t>
        </is>
      </c>
      <c r="H187" t="inlineStr">
        <is>
          <t>02/02/2026</t>
        </is>
      </c>
      <c r="I187" t="inlineStr">
        <is>
          <t>19/03/2026</t>
        </is>
      </c>
      <c r="J187" t="inlineStr">
        <is>
          <t>17/03/2026</t>
        </is>
      </c>
      <c r="K187" t="inlineStr">
        <is>
          <t>N/A</t>
        </is>
      </c>
      <c r="L187" t="inlineStr">
        <is>
          <t>Line Balancing, WIP Management, Material Utilization, Kỹ Thuật Chuyền May, Lean Production</t>
        </is>
      </c>
      <c r="M187" t="inlineStr">
        <is>
          <t>Healthcare Plan, Training, Awards</t>
        </is>
      </c>
      <c r="N187" s="8">
        <f>HYPERLINK("https://www.vietnamworks.com/upholstery-production-workshop-supervisor-2009021-jv","Xem chi tiết")</f>
        <v/>
      </c>
    </row>
    <row r="188">
      <c r="B188" s="9" t="n">
        <v>186</v>
      </c>
      <c r="C188" s="10" t="inlineStr">
        <is>
          <t>Marcom Executive</t>
        </is>
      </c>
      <c r="D188" s="10" t="inlineStr">
        <is>
          <t>Cubes Asia Co., Ltd.</t>
        </is>
      </c>
      <c r="E188" s="10" t="inlineStr">
        <is>
          <t>Thương lượng</t>
        </is>
      </c>
      <c r="F188" s="10" t="inlineStr">
        <is>
          <t>Hồ Chí Minh</t>
        </is>
      </c>
      <c r="G188" s="10" t="inlineStr">
        <is>
          <t>Nhân viên</t>
        </is>
      </c>
      <c r="H188" s="10" t="inlineStr">
        <is>
          <t>02/02/2026</t>
        </is>
      </c>
      <c r="I188" s="10" t="inlineStr">
        <is>
          <t>19/03/2026</t>
        </is>
      </c>
      <c r="J188" s="10" t="inlineStr">
        <is>
          <t>17/03/2026</t>
        </is>
      </c>
      <c r="K188" s="10" t="inlineStr">
        <is>
          <t>N/A</t>
        </is>
      </c>
      <c r="L188" s="10" t="inlineStr">
        <is>
          <t>Marcom, English, Content creation, Visual Communication, Video Editing</t>
        </is>
      </c>
      <c r="M188" s="10" t="inlineStr">
        <is>
          <t>Bonus, Healthcare Plan, Travel Opportunities</t>
        </is>
      </c>
      <c r="N188" s="11">
        <f>HYPERLINK("https://www.vietnamworks.com/marcom-executive--2009024-jv","Xem chi tiết")</f>
        <v/>
      </c>
      <c r="O188" s="10" t="n"/>
    </row>
    <row r="189">
      <c r="B189" s="7" t="n">
        <v>187</v>
      </c>
      <c r="C189" t="inlineStr">
        <is>
          <t>R&amp;D Manager - Trưởng Phòng Phát Triển Sản Phẩm</t>
        </is>
      </c>
      <c r="D189" t="inlineStr">
        <is>
          <t>Tập Đoàn Karofi Holding</t>
        </is>
      </c>
      <c r="E189" t="inlineStr">
        <is>
          <t>$$ 1,800-3,600 /tháng</t>
        </is>
      </c>
      <c r="F189" t="inlineStr">
        <is>
          <t>Hưng Yên, Hà Nội</t>
        </is>
      </c>
      <c r="G189" t="inlineStr">
        <is>
          <t>Trưởng phòng</t>
        </is>
      </c>
      <c r="H189" t="inlineStr">
        <is>
          <t>02/02/2026</t>
        </is>
      </c>
      <c r="I189" t="inlineStr">
        <is>
          <t>19/03/2026</t>
        </is>
      </c>
      <c r="J189" t="inlineStr">
        <is>
          <t>17/03/2026</t>
        </is>
      </c>
      <c r="K189" t="inlineStr">
        <is>
          <t>N/A</t>
        </is>
      </c>
      <c r="L189" t="inlineStr">
        <is>
          <t>Thiết Kế Cơ Khí, Chế Tạo Máy, Điện Gia Dụng, Phát Triển Sản Phẩm, Nghiên Cứu Sản Phẩm</t>
        </is>
      </c>
      <c r="M189" t="inlineStr">
        <is>
          <t>Bonus, Healthcare Plan, Laptop</t>
        </is>
      </c>
      <c r="N189" s="8">
        <f>HYPERLINK("https://www.vietnamworks.com/r-d-manager-truong-phong-phat-trien-san-pham--2009001-jv","Xem chi tiết")</f>
        <v/>
      </c>
    </row>
    <row r="190">
      <c r="B190" s="9" t="n">
        <v>188</v>
      </c>
      <c r="C190" s="10" t="inlineStr">
        <is>
          <t>Production Director</t>
        </is>
      </c>
      <c r="D190" s="10" t="inlineStr">
        <is>
          <t>Công Ty TNHH WGR Industries</t>
        </is>
      </c>
      <c r="E190" s="10" t="inlineStr">
        <is>
          <t>Thương lượng</t>
        </is>
      </c>
      <c r="F190" s="10" t="inlineStr">
        <is>
          <t>Gia Lai, Bình Định</t>
        </is>
      </c>
      <c r="G190" s="10" t="inlineStr">
        <is>
          <t>Giám Đốc và Cấp Cao Hơn</t>
        </is>
      </c>
      <c r="H190" s="10" t="inlineStr">
        <is>
          <t>02/02/2026</t>
        </is>
      </c>
      <c r="I190" s="10" t="inlineStr">
        <is>
          <t>19/03/2026</t>
        </is>
      </c>
      <c r="J190" s="10" t="inlineStr">
        <is>
          <t>17/03/2026</t>
        </is>
      </c>
      <c r="K190" s="10" t="inlineStr">
        <is>
          <t>N/A</t>
        </is>
      </c>
      <c r="L190" s="10" t="inlineStr">
        <is>
          <t>Wood Processing, Capacity Planning, Lean Manufacturing, Lean Six Sigma, Furniture Manufacturing</t>
        </is>
      </c>
      <c r="M190" s="10" t="inlineStr">
        <is>
          <t>Healthcare Plan, Training, Awards</t>
        </is>
      </c>
      <c r="N190" s="11">
        <f>HYPERLINK("https://www.vietnamworks.com/production-director--2009017-jv","Xem chi tiết")</f>
        <v/>
      </c>
      <c r="O190" s="10" t="n"/>
    </row>
    <row r="191">
      <c r="B191" s="7" t="n">
        <v>189</v>
      </c>
      <c r="C191" t="inlineStr">
        <is>
          <t>Trưởng Phòng Tuyển Dụng</t>
        </is>
      </c>
      <c r="D191" t="inlineStr">
        <is>
          <t>Tập Đoàn Karofi Holding</t>
        </is>
      </c>
      <c r="E191" t="inlineStr">
        <is>
          <t>$$ 1,500-2,500 /tháng</t>
        </is>
      </c>
      <c r="F191" t="inlineStr">
        <is>
          <t>Hà Nội</t>
        </is>
      </c>
      <c r="G191" t="inlineStr">
        <is>
          <t>Trưởng phòng</t>
        </is>
      </c>
      <c r="H191" t="inlineStr">
        <is>
          <t>02/02/2026</t>
        </is>
      </c>
      <c r="I191" t="inlineStr">
        <is>
          <t>19/03/2026</t>
        </is>
      </c>
      <c r="J191" t="inlineStr">
        <is>
          <t>17/03/2026</t>
        </is>
      </c>
      <c r="K191" t="inlineStr">
        <is>
          <t>N/A</t>
        </is>
      </c>
      <c r="L191" t="inlineStr">
        <is>
          <t>Talent Acquisition, Tuyển Dụng Nhân Sự, Mass Recruitment, Researching, Human Resources</t>
        </is>
      </c>
      <c r="M191" t="inlineStr">
        <is>
          <t>Bonus, Healthcare Plan, Laptop</t>
        </is>
      </c>
      <c r="N191" s="8">
        <f>HYPERLINK("https://www.vietnamworks.com/truong-phong-tuyen-dung--2009010-jv","Xem chi tiết")</f>
        <v/>
      </c>
    </row>
    <row r="192">
      <c r="B192" s="9" t="n">
        <v>190</v>
      </c>
      <c r="C192" s="10" t="inlineStr">
        <is>
          <t>Structural Engineer Intern</t>
        </is>
      </c>
      <c r="D192" s="10" t="inlineStr">
        <is>
          <t>Thornton Tomasetti Vietnam</t>
        </is>
      </c>
      <c r="E192" s="10" t="inlineStr">
        <is>
          <t>Thương lượng</t>
        </is>
      </c>
      <c r="F192" s="10" t="inlineStr">
        <is>
          <t>Hồ Chí Minh</t>
        </is>
      </c>
      <c r="G192" s="10" t="inlineStr">
        <is>
          <t>Thực tập sinh/Sinh viên</t>
        </is>
      </c>
      <c r="H192" s="10" t="inlineStr">
        <is>
          <t>02/02/2026</t>
        </is>
      </c>
      <c r="I192" s="10" t="inlineStr">
        <is>
          <t>19/03/2026</t>
        </is>
      </c>
      <c r="J192" s="10" t="inlineStr">
        <is>
          <t>17/03/2026</t>
        </is>
      </c>
      <c r="K192" s="10" t="inlineStr">
        <is>
          <t>N/A</t>
        </is>
      </c>
      <c r="L192" s="10" t="inlineStr">
        <is>
          <t>Etabs, Revit, SAP2000, Structural Analysis, Structural Engineering</t>
        </is>
      </c>
      <c r="M192" s="10" t="inlineStr">
        <is>
          <t>Bonus, Training, Team Activities</t>
        </is>
      </c>
      <c r="N192" s="11">
        <f>HYPERLINK("https://www.vietnamworks.com/structural-engineer-intern-2009030-jv","Xem chi tiết")</f>
        <v/>
      </c>
      <c r="O192" s="10" t="n"/>
    </row>
    <row r="193">
      <c r="B193" s="7" t="n">
        <v>191</v>
      </c>
      <c r="C193" t="inlineStr">
        <is>
          <t>Account Payable Staff</t>
        </is>
      </c>
      <c r="D193" t="inlineStr">
        <is>
          <t>Công Ty TNHH Lotte Property &amp; Development Việt Nam</t>
        </is>
      </c>
      <c r="E193" t="inlineStr">
        <is>
          <t>Thương lượng</t>
        </is>
      </c>
      <c r="F193" t="inlineStr">
        <is>
          <t>Hà Nội</t>
        </is>
      </c>
      <c r="G193" t="inlineStr">
        <is>
          <t>Nhân viên</t>
        </is>
      </c>
      <c r="H193" t="inlineStr">
        <is>
          <t>02/02/2026</t>
        </is>
      </c>
      <c r="I193" t="inlineStr">
        <is>
          <t>19/03/2026</t>
        </is>
      </c>
      <c r="J193" t="inlineStr">
        <is>
          <t>17/03/2026</t>
        </is>
      </c>
      <c r="K193" t="inlineStr">
        <is>
          <t>N/A</t>
        </is>
      </c>
      <c r="L193" t="inlineStr">
        <is>
          <t>Manage ERP Software, Invoice Processing, Credit Management, Ar/Ap Management, Payable Accounting</t>
        </is>
      </c>
      <c r="M193" t="inlineStr">
        <is>
          <t>Bonus, Healthcare Plan, Paid Leave, Awards, Team Activities, Others</t>
        </is>
      </c>
      <c r="N193" s="8">
        <f>HYPERLINK("https://www.vietnamworks.com/account-payable-staff-2009026-jv","Xem chi tiết")</f>
        <v/>
      </c>
    </row>
    <row r="194">
      <c r="B194" s="9" t="n">
        <v>192</v>
      </c>
      <c r="C194" s="10" t="inlineStr">
        <is>
          <t>Warehouse Lead</t>
        </is>
      </c>
      <c r="D194" s="10" t="inlineStr">
        <is>
          <t>Công Ty TNHH K-Chem Việt Nam</t>
        </is>
      </c>
      <c r="E194" s="10" t="inlineStr">
        <is>
          <t>Thương lượng</t>
        </is>
      </c>
      <c r="F194" s="10" t="inlineStr">
        <is>
          <t>Bình Dương</t>
        </is>
      </c>
      <c r="G194" s="10" t="inlineStr">
        <is>
          <t>Nhân viên</t>
        </is>
      </c>
      <c r="H194" s="10" t="inlineStr">
        <is>
          <t>02/02/2026</t>
        </is>
      </c>
      <c r="I194" s="10" t="inlineStr">
        <is>
          <t>19/03/2026</t>
        </is>
      </c>
      <c r="J194" s="10" t="inlineStr">
        <is>
          <t>17/03/2026</t>
        </is>
      </c>
      <c r="K194" s="10" t="inlineStr">
        <is>
          <t>N/A</t>
        </is>
      </c>
      <c r="L194" s="10" t="inlineStr">
        <is>
          <t>Inventory Management, Order Processing, Stock Planning, EHS, Kho Vận</t>
        </is>
      </c>
      <c r="M194" s="10" t="inlineStr">
        <is>
          <t>Bonus, Healthcare Plan, Paid Leave</t>
        </is>
      </c>
      <c r="N194" s="11">
        <f>HYPERLINK("https://www.vietnamworks.com/warehouse-lead--2009025-jv","Xem chi tiết")</f>
        <v/>
      </c>
      <c r="O194" s="10" t="n"/>
    </row>
    <row r="195">
      <c r="B195" s="7" t="n">
        <v>193</v>
      </c>
      <c r="C195" t="inlineStr">
        <is>
          <t>Lập Trình Viên Mobile</t>
        </is>
      </c>
      <c r="D195" t="inlineStr">
        <is>
          <t>Ngân Hàng TMCP Công Thương Việt Nam (VietinBank)</t>
        </is>
      </c>
      <c r="E195" t="inlineStr">
        <is>
          <t>Thương lượng</t>
        </is>
      </c>
      <c r="F195" t="inlineStr">
        <is>
          <t>Hà Nội</t>
        </is>
      </c>
      <c r="G195" t="inlineStr">
        <is>
          <t>Nhân viên</t>
        </is>
      </c>
      <c r="H195" t="inlineStr">
        <is>
          <t>02/02/2026</t>
        </is>
      </c>
      <c r="I195" t="inlineStr">
        <is>
          <t>19/03/2026</t>
        </is>
      </c>
      <c r="J195" t="inlineStr">
        <is>
          <t>17/03/2026</t>
        </is>
      </c>
      <c r="K195" t="inlineStr">
        <is>
          <t>N/A</t>
        </is>
      </c>
      <c r="L195" t="inlineStr">
        <is>
          <t>Mobile Android, Swift iOS, Design Pattern, RESTful API, Xcode</t>
        </is>
      </c>
      <c r="M195" t="inlineStr">
        <is>
          <t>Bonus</t>
        </is>
      </c>
      <c r="N195" s="8">
        <f>HYPERLINK("https://www.vietnamworks.com/lap-trinh-vien-mobile--2009041-jv","Xem chi tiết")</f>
        <v/>
      </c>
    </row>
    <row r="196">
      <c r="B196" s="9" t="n">
        <v>194</v>
      </c>
      <c r="C196" s="10" t="inlineStr">
        <is>
          <t>Immigration Specialist - Chuyên Viên Tư Vấn Định Cư</t>
        </is>
      </c>
      <c r="D196" s="10" t="inlineStr">
        <is>
          <t>Công ty TNHH Đầu tư Citizen Pathway</t>
        </is>
      </c>
      <c r="E196" s="10" t="inlineStr">
        <is>
          <t>$$ 1,000-3,000 /tháng</t>
        </is>
      </c>
      <c r="F196" s="10" t="inlineStr">
        <is>
          <t>Hà Nội, Hồ Chí Minh</t>
        </is>
      </c>
      <c r="G196" s="10" t="inlineStr">
        <is>
          <t>Nhân viên</t>
        </is>
      </c>
      <c r="H196" s="10" t="inlineStr">
        <is>
          <t>02/02/2026</t>
        </is>
      </c>
      <c r="I196" s="10" t="inlineStr">
        <is>
          <t>19/03/2026</t>
        </is>
      </c>
      <c r="J196" s="10" t="inlineStr">
        <is>
          <t>17/03/2026</t>
        </is>
      </c>
      <c r="K196" s="10" t="inlineStr">
        <is>
          <t>N/A</t>
        </is>
      </c>
      <c r="L196" s="10" t="inlineStr">
        <is>
          <t>Kỹ năng giao tiêp, Xây Dựng Mối Quan Hệ, Du Học, Tư Vấn Định Cư</t>
        </is>
      </c>
      <c r="M196" s="10" t="inlineStr">
        <is>
          <t>Bonus, Healthcare Plan, Training, Laptop, Travel Opportunities, Team Activities, Others</t>
        </is>
      </c>
      <c r="N196" s="11">
        <f>HYPERLINK("https://www.vietnamworks.com/immigration-specialist-chuyen-vien-tu-van-djinh-cu-2009056-jv","Xem chi tiết")</f>
        <v/>
      </c>
      <c r="O196" s="10" t="n"/>
    </row>
    <row r="197">
      <c r="B197" s="7" t="n">
        <v>195</v>
      </c>
      <c r="C197" t="inlineStr">
        <is>
          <t>Film Sales Admin Specialist (Temporary Contract - 8Months)</t>
        </is>
      </c>
      <c r="D197" t="inlineStr">
        <is>
          <t>CJ CGV Vietnam</t>
        </is>
      </c>
      <c r="E197" t="inlineStr">
        <is>
          <t>Thương lượng</t>
        </is>
      </c>
      <c r="F197" t="inlineStr">
        <is>
          <t>Hồ Chí Minh</t>
        </is>
      </c>
      <c r="G197" t="inlineStr">
        <is>
          <t>Nhân viên</t>
        </is>
      </c>
      <c r="H197" t="inlineStr">
        <is>
          <t>02/02/2026</t>
        </is>
      </c>
      <c r="I197" t="inlineStr">
        <is>
          <t>19/03/2026</t>
        </is>
      </c>
      <c r="J197" t="inlineStr">
        <is>
          <t>17/03/2026</t>
        </is>
      </c>
      <c r="K197" t="inlineStr">
        <is>
          <t>N/A</t>
        </is>
      </c>
      <c r="L197" t="inlineStr">
        <is>
          <t>Reporting Skill, Sale Support, Documentation Control, Communications</t>
        </is>
      </c>
      <c r="M197" t="inlineStr">
        <is>
          <t>Bonus, Vouchers, Others</t>
        </is>
      </c>
      <c r="N197" s="8">
        <f>HYPERLINK("https://www.vietnamworks.com/film-sales-admin-specialist-temporary-contract-8months-2009027-jv","Xem chi tiết")</f>
        <v/>
      </c>
    </row>
    <row r="198">
      <c r="B198" s="9" t="n">
        <v>196</v>
      </c>
      <c r="C198" s="10" t="inlineStr">
        <is>
          <t>R&amp;D Engineer - EE / RF / FAE / Camera</t>
        </is>
      </c>
      <c r="D198" s="10" t="inlineStr">
        <is>
          <t>Fushan Technology Vietnam</t>
        </is>
      </c>
      <c r="E198" s="10" t="inlineStr">
        <is>
          <t>Thương lượng</t>
        </is>
      </c>
      <c r="F198" s="10" t="inlineStr">
        <is>
          <t>Bắc Ninh, Hà Nội, Bắc Giang</t>
        </is>
      </c>
      <c r="G198" s="10" t="inlineStr">
        <is>
          <t>Nhân viên</t>
        </is>
      </c>
      <c r="H198" s="10" t="inlineStr">
        <is>
          <t>02/02/2026</t>
        </is>
      </c>
      <c r="I198" s="10" t="inlineStr">
        <is>
          <t>19/03/2026</t>
        </is>
      </c>
      <c r="J198" s="10" t="inlineStr">
        <is>
          <t>17/03/2026</t>
        </is>
      </c>
      <c r="K198" s="10" t="inlineStr">
        <is>
          <t>N/A</t>
        </is>
      </c>
      <c r="L198" s="10" t="inlineStr">
        <is>
          <t>Electronics, Radio Frequency, Failure Analysis, engineer</t>
        </is>
      </c>
      <c r="M198" s="10" t="inlineStr">
        <is>
          <t>Bonus, Healthcare Plan, Paid Leave</t>
        </is>
      </c>
      <c r="N198" s="11">
        <f>HYPERLINK("https://www.vietnamworks.com/r-d-engineer-ee-rf-fae-camera--2009037-jv","Xem chi tiết")</f>
        <v/>
      </c>
      <c r="O198" s="10" t="n"/>
    </row>
    <row r="199">
      <c r="B199" s="7" t="n">
        <v>197</v>
      </c>
      <c r="C199" t="inlineStr">
        <is>
          <t>Chuyên Viên Hỗ Trợ Kỹ Thuật / Technical Services Engineer (Chemical)</t>
        </is>
      </c>
      <c r="D199" t="inlineStr">
        <is>
          <t>Hyosung Vietnam Corp</t>
        </is>
      </c>
      <c r="E199" t="inlineStr">
        <is>
          <t>Thương lượng</t>
        </is>
      </c>
      <c r="F199" t="inlineStr">
        <is>
          <t>Đồng Nai</t>
        </is>
      </c>
      <c r="G199" t="inlineStr">
        <is>
          <t>Nhân viên</t>
        </is>
      </c>
      <c r="H199" t="inlineStr">
        <is>
          <t>02/02/2026</t>
        </is>
      </c>
      <c r="I199" t="inlineStr">
        <is>
          <t>19/03/2026</t>
        </is>
      </c>
      <c r="J199" t="inlineStr">
        <is>
          <t>17/03/2026</t>
        </is>
      </c>
      <c r="K199" t="inlineStr">
        <is>
          <t>N/A</t>
        </is>
      </c>
      <c r="L199" t="inlineStr">
        <is>
          <t>Technical Service, Technical Engineering, Polyurethanes, Organic Chemistry</t>
        </is>
      </c>
      <c r="M199" t="inlineStr">
        <is>
          <t>Bonus</t>
        </is>
      </c>
      <c r="N199" s="8">
        <f>HYPERLINK("https://www.vietnamworks.com/chuyen-vien-ho-tro-ky-thuat-technical-services-engineer-chemical--2009053-jv","Xem chi tiết")</f>
        <v/>
      </c>
    </row>
    <row r="200">
      <c r="B200" s="9" t="n">
        <v>198</v>
      </c>
      <c r="C200" s="10" t="inlineStr">
        <is>
          <t>Executive, Customer Service Unit (Nhân Viên Bộ Phận Bàn Giao)</t>
        </is>
      </c>
      <c r="D200" s="10" t="inlineStr">
        <is>
          <t>CapitaLand Development (Vietnam)</t>
        </is>
      </c>
      <c r="E200" s="10" t="inlineStr">
        <is>
          <t>Thương lượng</t>
        </is>
      </c>
      <c r="F200" s="10" t="inlineStr">
        <is>
          <t>Hà Nội</t>
        </is>
      </c>
      <c r="G200" s="10" t="inlineStr">
        <is>
          <t>Nhân viên</t>
        </is>
      </c>
      <c r="H200" s="10" t="inlineStr">
        <is>
          <t>02/02/2026</t>
        </is>
      </c>
      <c r="I200" s="10" t="inlineStr">
        <is>
          <t>19/03/2026</t>
        </is>
      </c>
      <c r="J200" s="10" t="inlineStr">
        <is>
          <t>17/03/2026</t>
        </is>
      </c>
      <c r="K200" s="10" t="inlineStr">
        <is>
          <t>N/A</t>
        </is>
      </c>
      <c r="L200" s="10" t="inlineStr">
        <is>
          <t>Customer Service, Chăm Sóc Khách Hàng, Dịch Vụ Khách Hàng, Customer Care, Customer Service Knowledge</t>
        </is>
      </c>
      <c r="M200" s="10" t="inlineStr">
        <is>
          <t>Bonus, Healthcare Plan, Training</t>
        </is>
      </c>
      <c r="N200" s="11">
        <f>HYPERLINK("https://www.vietnamworks.com/executive-customer-service-unit-nhan-vien-bo-phan-ban-giao--2009051-jv","Xem chi tiết")</f>
        <v/>
      </c>
      <c r="O200" s="10" t="n"/>
    </row>
    <row r="201">
      <c r="B201" s="7" t="n">
        <v>199</v>
      </c>
      <c r="C201" t="inlineStr">
        <is>
          <t>R&amp;D Staff/ Nhân Viên Nghiên Cứu Phát Triển (Kỹ Sư Cơ Khí, Điện...) (Accept Fresher)/ Salary $400-$1000 + R&amp;D Allowance</t>
        </is>
      </c>
      <c r="D201" t="inlineStr">
        <is>
          <t>LG Electronics Việt Nam Hải Phòng</t>
        </is>
      </c>
      <c r="E201" t="inlineStr">
        <is>
          <t>$$ 400-1,000 /tháng</t>
        </is>
      </c>
      <c r="F201" t="inlineStr">
        <is>
          <t>Hải Phòng</t>
        </is>
      </c>
      <c r="G201" t="inlineStr">
        <is>
          <t>Mới Tốt Nghiệp</t>
        </is>
      </c>
      <c r="H201" t="inlineStr">
        <is>
          <t>02/02/2026</t>
        </is>
      </c>
      <c r="I201" t="inlineStr">
        <is>
          <t>19/03/2026</t>
        </is>
      </c>
      <c r="J201" t="inlineStr">
        <is>
          <t>17/03/2026</t>
        </is>
      </c>
      <c r="K201" t="inlineStr">
        <is>
          <t>N/A</t>
        </is>
      </c>
      <c r="L201" t="inlineStr">
        <is>
          <t>Mechanical Drawing, Mechatronics Engineering, 2D Drawing, Cơ Khí, Electrical</t>
        </is>
      </c>
      <c r="M201" t="inlineStr">
        <is>
          <t>Bonus, Healthcare Plan, Paid Leave, Training, Laptop, Team Activities, Transportation, Canteen, Others</t>
        </is>
      </c>
      <c r="N201" s="8">
        <f>HYPERLINK("https://www.vietnamworks.com/randd-staff-nhan-vien-nghien-cuu-phat-trien-ky-su-co-khi-djien-accept-fresher-salary-dollar400-dollar1000-randd-allowance-2009057-jv","Xem chi tiết")</f>
        <v/>
      </c>
    </row>
    <row r="202">
      <c r="B202" s="9" t="n">
        <v>200</v>
      </c>
      <c r="C202" s="10" t="inlineStr">
        <is>
          <t>EHS Specialist</t>
        </is>
      </c>
      <c r="D202" s="10" t="inlineStr">
        <is>
          <t>Avery Dennison Vietnam</t>
        </is>
      </c>
      <c r="E202" s="10" t="inlineStr">
        <is>
          <t>Thương lượng</t>
        </is>
      </c>
      <c r="F202" s="10" t="inlineStr">
        <is>
          <t>Long An</t>
        </is>
      </c>
      <c r="G202" s="10" t="inlineStr">
        <is>
          <t>Nhân viên</t>
        </is>
      </c>
      <c r="H202" s="10" t="inlineStr">
        <is>
          <t>02/02/2026</t>
        </is>
      </c>
      <c r="I202" s="10" t="inlineStr">
        <is>
          <t>19/03/2026</t>
        </is>
      </c>
      <c r="J202" s="10" t="inlineStr">
        <is>
          <t>17/03/2026</t>
        </is>
      </c>
      <c r="K202" s="10" t="inlineStr">
        <is>
          <t>N/A</t>
        </is>
      </c>
      <c r="L202" s="10" t="inlineStr">
        <is>
          <t>Safety Compliance, HSE Procedure, HSE Experience, HSE Regulations, HSE</t>
        </is>
      </c>
      <c r="M202" s="10" t="inlineStr">
        <is>
          <t>Bonus, Healthcare Plan, Paid Leave</t>
        </is>
      </c>
      <c r="N202" s="11">
        <f>HYPERLINK("https://www.vietnamworks.com/ehs-specialist--2009055-jv","Xem chi tiết")</f>
        <v/>
      </c>
      <c r="O202" s="10" t="n"/>
    </row>
    <row r="203">
      <c r="B203" s="7" t="n">
        <v>201</v>
      </c>
      <c r="C203" t="inlineStr">
        <is>
          <t>Legal Specialist/ Chuyên Viên Pháp Chế</t>
        </is>
      </c>
      <c r="D203" t="inlineStr">
        <is>
          <t>Công Ty Cổ Phần Phương Tiện Điện Thông Minh Selex</t>
        </is>
      </c>
      <c r="E203" t="inlineStr">
        <is>
          <t>$$ 800-1,300 /tháng</t>
        </is>
      </c>
      <c r="F203" t="inlineStr">
        <is>
          <t>Hà Nội</t>
        </is>
      </c>
      <c r="G203" t="inlineStr">
        <is>
          <t>Nhân viên</t>
        </is>
      </c>
      <c r="H203" t="inlineStr">
        <is>
          <t>02/02/2026</t>
        </is>
      </c>
      <c r="I203" t="inlineStr">
        <is>
          <t>19/03/2026</t>
        </is>
      </c>
      <c r="J203" t="inlineStr">
        <is>
          <t>17/03/2026</t>
        </is>
      </c>
      <c r="K203" t="inlineStr">
        <is>
          <t>N/A</t>
        </is>
      </c>
      <c r="L203" t="inlineStr">
        <is>
          <t>Pháp Chế, Legal, Compliance Document, Business Law, Consulting</t>
        </is>
      </c>
      <c r="M203" t="inlineStr">
        <is>
          <t>Bonus, Awards, Others</t>
        </is>
      </c>
      <c r="N203" s="8">
        <f>HYPERLINK("https://www.vietnamworks.com/legal-specialist-chuyen-vien-phap-che--2009058-jv","Xem chi tiết")</f>
        <v/>
      </c>
    </row>
    <row r="204">
      <c r="B204" s="9" t="n">
        <v>202</v>
      </c>
      <c r="C204" s="10" t="inlineStr">
        <is>
          <t>Trợ Lý Tổng Giám Đốc (Thời Vụ)</t>
        </is>
      </c>
      <c r="D204" s="10" t="inlineStr">
        <is>
          <t>Công Ty Cổ Phần Sữa TH</t>
        </is>
      </c>
      <c r="E204" s="10" t="inlineStr">
        <is>
          <t>Thương lượng</t>
        </is>
      </c>
      <c r="F204" s="10" t="inlineStr">
        <is>
          <t>Nghệ An</t>
        </is>
      </c>
      <c r="G204" s="10" t="inlineStr">
        <is>
          <t>Mới Tốt Nghiệp</t>
        </is>
      </c>
      <c r="H204" s="10" t="inlineStr">
        <is>
          <t>02/02/2026</t>
        </is>
      </c>
      <c r="I204" s="10" t="inlineStr">
        <is>
          <t>19/03/2026</t>
        </is>
      </c>
      <c r="J204" s="10" t="inlineStr">
        <is>
          <t>17/03/2026</t>
        </is>
      </c>
      <c r="K204" s="10" t="inlineStr">
        <is>
          <t>N/A</t>
        </is>
      </c>
      <c r="L204" s="10" t="inlineStr">
        <is>
          <t>Trợ Lý, Tiếng Anh, Kỹ Năng Sắp Xếp Lịch Trình, Phiên Dịch Tài Liệu, Chuẩn Bị Tài Liệu</t>
        </is>
      </c>
      <c r="M204" s="10" t="inlineStr">
        <is>
          <t>Bonus, Healthcare Plan, Paid Leave</t>
        </is>
      </c>
      <c r="N204" s="11">
        <f>HYPERLINK("https://www.vietnamworks.com/tro-ly-tong-giam-doc-thoi-vu--2009050-jv","Xem chi tiết")</f>
        <v/>
      </c>
      <c r="O204" s="10" t="n"/>
    </row>
    <row r="205">
      <c r="B205" s="7" t="n">
        <v>203</v>
      </c>
      <c r="C205" t="inlineStr">
        <is>
          <t>Nhân Viên Thiết Kế Thi Công</t>
        </is>
      </c>
      <c r="D205" t="inlineStr">
        <is>
          <t>Công Ty TNHH Năng Lượng Xanh Và Tái Tạo Phương Nam</t>
        </is>
      </c>
      <c r="E205" t="inlineStr">
        <is>
          <t>Thương lượng</t>
        </is>
      </c>
      <c r="F205" t="inlineStr">
        <is>
          <t>Bà Rịa - Vũng Tàu</t>
        </is>
      </c>
      <c r="G205" t="inlineStr">
        <is>
          <t>Mới Tốt Nghiệp</t>
        </is>
      </c>
      <c r="H205" t="inlineStr">
        <is>
          <t>02/02/2026</t>
        </is>
      </c>
      <c r="I205" t="inlineStr">
        <is>
          <t>19/03/2026</t>
        </is>
      </c>
      <c r="J205" t="inlineStr">
        <is>
          <t>17/03/2026</t>
        </is>
      </c>
      <c r="K205" t="inlineStr">
        <is>
          <t>N/A</t>
        </is>
      </c>
      <c r="L205" t="inlineStr">
        <is>
          <t>Thiết Kế Kỹ Thuật, Triển Khai Mô Hình 3D, AutoCAD, Microsoft Office, Kỹ năng giao tiêp</t>
        </is>
      </c>
      <c r="M205" t="inlineStr">
        <is>
          <t>Bonus, Healthcare Plan, Paid Leave, Training, Others</t>
        </is>
      </c>
      <c r="N205" s="8">
        <f>HYPERLINK("https://www.vietnamworks.com/nhan-vien-thiet-ke-thi-cong-2009033-jv","Xem chi tiết")</f>
        <v/>
      </c>
    </row>
    <row r="206">
      <c r="B206" s="9" t="n">
        <v>204</v>
      </c>
      <c r="C206" s="10" t="inlineStr">
        <is>
          <t>Kế Toán Trưởng</t>
        </is>
      </c>
      <c r="D206" s="10" t="inlineStr">
        <is>
          <t>VNB Global</t>
        </is>
      </c>
      <c r="E206" s="10" t="inlineStr">
        <is>
          <t>20tr-30tr ₫/tháng</t>
        </is>
      </c>
      <c r="F206" s="10" t="inlineStr">
        <is>
          <t>Hà Nội</t>
        </is>
      </c>
      <c r="G206" s="10" t="inlineStr">
        <is>
          <t>Trưởng phòng</t>
        </is>
      </c>
      <c r="H206" s="10" t="inlineStr">
        <is>
          <t>02/02/2026</t>
        </is>
      </c>
      <c r="I206" s="10" t="inlineStr">
        <is>
          <t>19/03/2026</t>
        </is>
      </c>
      <c r="J206" s="10" t="inlineStr">
        <is>
          <t>17/03/2026</t>
        </is>
      </c>
      <c r="K206" s="10" t="inlineStr">
        <is>
          <t>N/A</t>
        </is>
      </c>
      <c r="L206" s="10" t="inlineStr">
        <is>
          <t>Kế Toán, Kiến Thức Chuẩn Mực Kế Toán, Lập Báo Cáo Tài Chính, Phân Tích Số Liệu, Tin Học Văn Phòng</t>
        </is>
      </c>
      <c r="M206" s="10" t="inlineStr">
        <is>
          <t>Bonus, Paid Leave, Training, Travel Opportunities, Others</t>
        </is>
      </c>
      <c r="N206" s="11">
        <f>HYPERLINK("https://www.vietnamworks.com/ke-toan-truong-2009043-jv","Xem chi tiết")</f>
        <v/>
      </c>
      <c r="O206" s="10" t="n"/>
    </row>
    <row r="207">
      <c r="B207" s="7" t="n">
        <v>205</v>
      </c>
      <c r="C207" t="inlineStr">
        <is>
          <t>Nhân Viên Tinh Chế/ Refinery Staff</t>
        </is>
      </c>
      <c r="D207" t="inlineStr">
        <is>
          <t>Hyosung Vietnam Corp</t>
        </is>
      </c>
      <c r="E207" t="inlineStr">
        <is>
          <t>Thương lượng</t>
        </is>
      </c>
      <c r="F207" t="inlineStr">
        <is>
          <t>Bà Rịa - Vũng Tàu</t>
        </is>
      </c>
      <c r="G207" t="inlineStr">
        <is>
          <t>Nhân viên</t>
        </is>
      </c>
      <c r="H207" t="inlineStr">
        <is>
          <t>02/02/2026</t>
        </is>
      </c>
      <c r="I207" t="inlineStr">
        <is>
          <t>19/03/2026</t>
        </is>
      </c>
      <c r="J207" t="inlineStr">
        <is>
          <t>17/03/2026</t>
        </is>
      </c>
      <c r="K207" t="inlineStr">
        <is>
          <t>N/A</t>
        </is>
      </c>
      <c r="L207" t="inlineStr">
        <is>
          <t>Refinery Processes, Chemical Engineering, Biology</t>
        </is>
      </c>
      <c r="M207" t="inlineStr">
        <is>
          <t>Bonus</t>
        </is>
      </c>
      <c r="N207" s="8">
        <f>HYPERLINK("https://www.vietnamworks.com/nhan-vien-tinh-che-refinery-staff--2009052-jv","Xem chi tiết")</f>
        <v/>
      </c>
    </row>
    <row r="208">
      <c r="B208" s="9" t="n">
        <v>206</v>
      </c>
      <c r="C208" s="10" t="inlineStr">
        <is>
          <t>Solution Architect (Kiến Trúc Giải Pháp)</t>
        </is>
      </c>
      <c r="D208" s="10" t="inlineStr">
        <is>
          <t>Ngân Hàng TMCP Công Thương Việt Nam (VietinBank)</t>
        </is>
      </c>
      <c r="E208" s="10" t="inlineStr">
        <is>
          <t>Thương lượng</t>
        </is>
      </c>
      <c r="F208" s="10" t="inlineStr">
        <is>
          <t>Hà Nội</t>
        </is>
      </c>
      <c r="G208" s="10" t="inlineStr">
        <is>
          <t>Nhân viên</t>
        </is>
      </c>
      <c r="H208" s="10" t="inlineStr">
        <is>
          <t>02/02/2026</t>
        </is>
      </c>
      <c r="I208" s="10" t="inlineStr">
        <is>
          <t>19/03/2026</t>
        </is>
      </c>
      <c r="J208" s="10" t="inlineStr">
        <is>
          <t>17/03/2026</t>
        </is>
      </c>
      <c r="K208" s="10" t="inlineStr">
        <is>
          <t>N/A</t>
        </is>
      </c>
      <c r="L208" s="10" t="inlineStr">
        <is>
          <t>Phân Tích Dữ Liệu, Solution Architecture, Công Nghệ Phần Mềm, Phát Triển Phần Mềm, DevSecOps</t>
        </is>
      </c>
      <c r="M208" s="10" t="inlineStr">
        <is>
          <t>Bonus</t>
        </is>
      </c>
      <c r="N208" s="11">
        <f>HYPERLINK("https://www.vietnamworks.com/solution-architect-kien-truc-giai-phap-2009046-jv","Xem chi tiết")</f>
        <v/>
      </c>
      <c r="O208" s="10" t="n"/>
    </row>
    <row r="209">
      <c r="B209" s="7" t="n">
        <v>207</v>
      </c>
      <c r="C209" t="inlineStr">
        <is>
          <t>Business Development Manager, Hardware</t>
        </is>
      </c>
      <c r="D209" t="inlineStr">
        <is>
          <t>Brady Corporation</t>
        </is>
      </c>
      <c r="E209" t="inlineStr">
        <is>
          <t>Thương lượng</t>
        </is>
      </c>
      <c r="F209" t="inlineStr">
        <is>
          <t>Bắc Ninh, Hà Nội</t>
        </is>
      </c>
      <c r="G209" t="inlineStr">
        <is>
          <t>Trưởng phòng</t>
        </is>
      </c>
      <c r="H209" t="inlineStr">
        <is>
          <t>02/02/2026</t>
        </is>
      </c>
      <c r="I209" t="inlineStr">
        <is>
          <t>19/03/2026</t>
        </is>
      </c>
      <c r="J209" t="inlineStr">
        <is>
          <t>17/03/2026</t>
        </is>
      </c>
      <c r="K209" t="inlineStr">
        <is>
          <t>N/A</t>
        </is>
      </c>
      <c r="L209" t="inlineStr">
        <is>
          <t>Business Development, Customer Engagement, Strategy Selling, Technical Sales, Printing Technology</t>
        </is>
      </c>
      <c r="M209" t="inlineStr">
        <is>
          <t>Others</t>
        </is>
      </c>
      <c r="N209" s="8">
        <f>HYPERLINK("https://www.vietnamworks.com/business-development-manager-hardware-2009059-jv","Xem chi tiết")</f>
        <v/>
      </c>
    </row>
    <row r="210">
      <c r="B210" s="9" t="n">
        <v>208</v>
      </c>
      <c r="C210" s="10" t="inlineStr">
        <is>
          <t>BIM Modeler Intern</t>
        </is>
      </c>
      <c r="D210" s="10" t="inlineStr">
        <is>
          <t>Thornton Tomasetti Vietnam</t>
        </is>
      </c>
      <c r="E210" s="10" t="inlineStr">
        <is>
          <t>Thương lượng</t>
        </is>
      </c>
      <c r="F210" s="10" t="inlineStr">
        <is>
          <t>Hồ Chí Minh</t>
        </is>
      </c>
      <c r="G210" s="10" t="inlineStr">
        <is>
          <t>Thực tập sinh/Sinh viên</t>
        </is>
      </c>
      <c r="H210" s="10" t="inlineStr">
        <is>
          <t>02/02/2026</t>
        </is>
      </c>
      <c r="I210" s="10" t="inlineStr">
        <is>
          <t>19/03/2026</t>
        </is>
      </c>
      <c r="J210" s="10" t="inlineStr">
        <is>
          <t>17/03/2026</t>
        </is>
      </c>
      <c r="K210" s="10" t="inlineStr">
        <is>
          <t>N/A</t>
        </is>
      </c>
      <c r="L210" s="10" t="inlineStr">
        <is>
          <t>AutoCAD, BIM 3D, MEP, Revit Structure, Civil Construction</t>
        </is>
      </c>
      <c r="M210" s="10" t="inlineStr">
        <is>
          <t>Bonus, Training, Team Activities</t>
        </is>
      </c>
      <c r="N210" s="11">
        <f>HYPERLINK("https://www.vietnamworks.com/bim-modeler-intern-2009031-jv","Xem chi tiết")</f>
        <v/>
      </c>
      <c r="O210" s="10" t="n"/>
    </row>
    <row r="211">
      <c r="B211" s="7" t="n">
        <v>209</v>
      </c>
      <c r="C211" t="inlineStr">
        <is>
          <t>Fullstack Developer</t>
        </is>
      </c>
      <c r="D211" t="inlineStr">
        <is>
          <t>Ngân Hàng TMCP Công Thương Việt Nam (VietinBank)</t>
        </is>
      </c>
      <c r="E211" t="inlineStr">
        <is>
          <t>Thương lượng</t>
        </is>
      </c>
      <c r="F211" t="inlineStr">
        <is>
          <t>Hà Nội</t>
        </is>
      </c>
      <c r="G211" t="inlineStr">
        <is>
          <t>Nhân viên</t>
        </is>
      </c>
      <c r="H211" t="inlineStr">
        <is>
          <t>02/02/2026</t>
        </is>
      </c>
      <c r="I211" t="inlineStr">
        <is>
          <t>19/03/2026</t>
        </is>
      </c>
      <c r="J211" t="inlineStr">
        <is>
          <t>17/03/2026</t>
        </is>
      </c>
      <c r="K211" t="inlineStr">
        <is>
          <t>N/A</t>
        </is>
      </c>
      <c r="L211" t="inlineStr">
        <is>
          <t>Full Stack Development, Java, Oracle, Angular, LINUX</t>
        </is>
      </c>
      <c r="M211" t="inlineStr">
        <is>
          <t>Bonus</t>
        </is>
      </c>
      <c r="N211" s="8">
        <f>HYPERLINK("https://www.vietnamworks.com/fullstack-developer--2009039-jv","Xem chi tiết")</f>
        <v/>
      </c>
    </row>
    <row r="212">
      <c r="B212" s="9" t="n">
        <v>210</v>
      </c>
      <c r="C212" s="10" t="inlineStr">
        <is>
          <t>Giám Đốc Phòng Xử Lý Nợ Ngoại Bảng</t>
        </is>
      </c>
      <c r="D212" s="10" t="inlineStr">
        <is>
          <t>Ngân Hàng TMCP Quốc Tế Việt Nam (VIB)</t>
        </is>
      </c>
      <c r="E212" s="10" t="inlineStr">
        <is>
          <t>Thương lượng</t>
        </is>
      </c>
      <c r="F212" s="10" t="inlineStr">
        <is>
          <t>Hồ Chí Minh, Cần Thơ</t>
        </is>
      </c>
      <c r="G212" s="10" t="inlineStr">
        <is>
          <t>Giám Đốc và Cấp Cao Hơn</t>
        </is>
      </c>
      <c r="H212" s="10" t="inlineStr">
        <is>
          <t>02/02/2026</t>
        </is>
      </c>
      <c r="I212" s="10" t="inlineStr">
        <is>
          <t>19/03/2026</t>
        </is>
      </c>
      <c r="J212" s="10" t="inlineStr">
        <is>
          <t>17/03/2026</t>
        </is>
      </c>
      <c r="K212" s="10" t="inlineStr">
        <is>
          <t>N/A</t>
        </is>
      </c>
      <c r="L212" s="10" t="inlineStr">
        <is>
          <t>Xử Lý Nợ, Luật, Pháp Lý Bất Động Sản, Tài Chính Ngân Hàng, Tố Tụng</t>
        </is>
      </c>
      <c r="M212" s="10" t="inlineStr">
        <is>
          <t>Bonus, Paid Leave, Travel Opportunities</t>
        </is>
      </c>
      <c r="N212" s="11">
        <f>HYPERLINK("https://www.vietnamworks.com/giam-doc-phong-xu-ly-no-ngoai-bang-2009038-jv","Xem chi tiết")</f>
        <v/>
      </c>
      <c r="O212" s="10" t="n"/>
    </row>
    <row r="213">
      <c r="B213" s="7" t="n">
        <v>211</v>
      </c>
      <c r="C213" t="inlineStr">
        <is>
          <t>Kế Toán Tổng Hợp Công Ty Logistics (Mức Lương 17Tr - 20Tr)</t>
        </is>
      </c>
      <c r="D213" t="inlineStr">
        <is>
          <t>Cargo Road Vietnam Co.,ltd</t>
        </is>
      </c>
      <c r="E213" t="inlineStr">
        <is>
          <t>17tr-20tr ₫/tháng</t>
        </is>
      </c>
      <c r="F213" t="inlineStr">
        <is>
          <t>Hà Nội</t>
        </is>
      </c>
      <c r="G213" t="inlineStr">
        <is>
          <t>Nhân viên</t>
        </is>
      </c>
      <c r="H213" t="inlineStr">
        <is>
          <t>02/02/2026</t>
        </is>
      </c>
      <c r="I213" t="inlineStr">
        <is>
          <t>19/03/2026</t>
        </is>
      </c>
      <c r="J213" t="inlineStr">
        <is>
          <t>17/03/2026</t>
        </is>
      </c>
      <c r="K213" t="inlineStr">
        <is>
          <t>N/A</t>
        </is>
      </c>
      <c r="L213" t="inlineStr">
        <is>
          <t>Hạch Toán Chi Phí, Chứng Từ Hóa Đơn, Công Nợ, Báo Cáo Tài Chính, Logistic Forwarding</t>
        </is>
      </c>
      <c r="M213" t="inlineStr">
        <is>
          <t>Bonus, Healthcare Plan, Training</t>
        </is>
      </c>
      <c r="N213" s="8">
        <f>HYPERLINK("https://www.vietnamworks.com/ke-toan-tong-hop-cong-ty-logistics-muc-luong-17tr-20tr--2009060-jv","Xem chi tiết")</f>
        <v/>
      </c>
    </row>
    <row r="214">
      <c r="B214" s="9" t="n">
        <v>212</v>
      </c>
      <c r="C214" s="10" t="inlineStr">
        <is>
          <t>Senior EHS Specialist</t>
        </is>
      </c>
      <c r="D214" s="10" t="inlineStr">
        <is>
          <t>Avery Dennison Vietnam</t>
        </is>
      </c>
      <c r="E214" s="10" t="inlineStr">
        <is>
          <t>Thương lượng</t>
        </is>
      </c>
      <c r="F214" s="10" t="inlineStr">
        <is>
          <t>Long An</t>
        </is>
      </c>
      <c r="G214" s="10" t="inlineStr">
        <is>
          <t>Nhân viên</t>
        </is>
      </c>
      <c r="H214" s="10" t="inlineStr">
        <is>
          <t>02/02/2026</t>
        </is>
      </c>
      <c r="I214" s="10" t="inlineStr">
        <is>
          <t>19/03/2026</t>
        </is>
      </c>
      <c r="J214" s="10" t="inlineStr">
        <is>
          <t>17/03/2026</t>
        </is>
      </c>
      <c r="K214" s="10" t="inlineStr">
        <is>
          <t>N/A</t>
        </is>
      </c>
      <c r="L214" s="10" t="inlineStr">
        <is>
          <t>EHSQ Management, EHS Regulations</t>
        </is>
      </c>
      <c r="M214" s="10" t="inlineStr">
        <is>
          <t>Bonus, Healthcare Plan, Paid Leave</t>
        </is>
      </c>
      <c r="N214" s="11">
        <f>HYPERLINK("https://www.vietnamworks.com/senior-ehs-specialist--2009062-jv","Xem chi tiết")</f>
        <v/>
      </c>
      <c r="O214" s="10" t="n"/>
    </row>
    <row r="215">
      <c r="B215" s="7" t="n">
        <v>213</v>
      </c>
      <c r="C215" t="inlineStr">
        <is>
          <t>Chuyên viên Tuyển Dụng / Talent Acquisition Specialist</t>
        </is>
      </c>
      <c r="D215" t="inlineStr">
        <is>
          <t>Công Ty CP Dây Cáp Điện Việt Nam - CADIVI</t>
        </is>
      </c>
      <c r="E215" t="inlineStr">
        <is>
          <t>Thương lượng</t>
        </is>
      </c>
      <c r="F215" t="inlineStr">
        <is>
          <t>Hồ Chí Minh</t>
        </is>
      </c>
      <c r="G215" t="inlineStr">
        <is>
          <t>Nhân viên</t>
        </is>
      </c>
      <c r="H215" t="inlineStr">
        <is>
          <t>02/02/2026</t>
        </is>
      </c>
      <c r="I215" t="inlineStr">
        <is>
          <t>19/03/2026</t>
        </is>
      </c>
      <c r="J215" t="inlineStr">
        <is>
          <t>17/03/2026</t>
        </is>
      </c>
      <c r="K215" t="inlineStr">
        <is>
          <t>N/A</t>
        </is>
      </c>
      <c r="L215" t="inlineStr">
        <is>
          <t>Recruitment Consulting, Talent Sourcing, Tuyển Dụng, Tuyển dụng &amp; Nhân sự</t>
        </is>
      </c>
      <c r="M215" t="inlineStr">
        <is>
          <t>Bonus, Training, Awards</t>
        </is>
      </c>
      <c r="N215" s="8">
        <f>HYPERLINK("https://www.vietnamworks.com/chuyen-vien-tuyen-dung-talent-acquisition-specialist-2009073-jv","Xem chi tiết")</f>
        <v/>
      </c>
    </row>
    <row r="216">
      <c r="B216" s="9" t="n">
        <v>214</v>
      </c>
      <c r="C216" s="10" t="inlineStr">
        <is>
          <t>Sales Support</t>
        </is>
      </c>
      <c r="D216" s="10" t="inlineStr">
        <is>
          <t>Công Ty TNHH Yusen Logistics (Việt Nam)</t>
        </is>
      </c>
      <c r="E216" s="10" t="inlineStr">
        <is>
          <t>Thương lượng</t>
        </is>
      </c>
      <c r="F216" s="10" t="inlineStr">
        <is>
          <t>Hà Nội</t>
        </is>
      </c>
      <c r="G216" s="10" t="inlineStr">
        <is>
          <t>Nhân viên</t>
        </is>
      </c>
      <c r="H216" s="10" t="inlineStr">
        <is>
          <t>02/02/2026</t>
        </is>
      </c>
      <c r="I216" s="10" t="inlineStr">
        <is>
          <t>19/03/2026</t>
        </is>
      </c>
      <c r="J216" s="10" t="inlineStr">
        <is>
          <t>17/03/2026</t>
        </is>
      </c>
      <c r="K216" s="10" t="inlineStr">
        <is>
          <t>N/A</t>
        </is>
      </c>
      <c r="L216" s="10" t="inlineStr">
        <is>
          <t>Sales Support, Logistics, English, Business Development, communication</t>
        </is>
      </c>
      <c r="M216" s="10" t="inlineStr">
        <is>
          <t>Bonus, Healthcare Plan, Canteen</t>
        </is>
      </c>
      <c r="N216" s="11">
        <f>HYPERLINK("https://www.vietnamworks.com/sales-support--2009079-jv","Xem chi tiết")</f>
        <v/>
      </c>
      <c r="O216" s="10" t="n"/>
    </row>
    <row r="217">
      <c r="B217" s="7" t="n">
        <v>215</v>
      </c>
      <c r="C217" t="inlineStr">
        <is>
          <t>Chuyên Viên Quan Hệ Khách Hàng Doanh Nghiệp (Có Kinh Nghiệm Trong Lĩnh Vực Banking)</t>
        </is>
      </c>
      <c r="D217" t="inlineStr">
        <is>
          <t>Công ty TNHH MTV Cho Thuê Tài Chính Ngân Hàng Á Châu</t>
        </is>
      </c>
      <c r="E217" t="inlineStr">
        <is>
          <t>Thương lượng</t>
        </is>
      </c>
      <c r="F217" t="inlineStr">
        <is>
          <t>Hồ Chí Minh, Hà Nội, Đà Nẵng</t>
        </is>
      </c>
      <c r="G217" t="inlineStr">
        <is>
          <t>Nhân viên</t>
        </is>
      </c>
      <c r="H217" t="inlineStr">
        <is>
          <t>02/02/2026</t>
        </is>
      </c>
      <c r="I217" t="inlineStr">
        <is>
          <t>19/03/2026</t>
        </is>
      </c>
      <c r="J217" t="inlineStr">
        <is>
          <t>17/03/2026</t>
        </is>
      </c>
      <c r="K217" t="inlineStr">
        <is>
          <t>N/A</t>
        </is>
      </c>
      <c r="L217" t="inlineStr">
        <is>
          <t>Tìm Kiếm Khách Hàng, Quan Hệ Khách Hàng, Kinh Doanh, Thẩm Định Hồ Sơ, Cho Thuê Tài Chính</t>
        </is>
      </c>
      <c r="M217" t="inlineStr">
        <is>
          <t>Bonus, Healthcare Plan, Paid Leave</t>
        </is>
      </c>
      <c r="N217" s="8">
        <f>HYPERLINK("https://www.vietnamworks.com/chuyen-vien-quan-he-khach-hang-doanh-nghiep-co-kinh-nghiem-trong-linh-vuc-banking--2009061-jv","Xem chi tiết")</f>
        <v/>
      </c>
    </row>
    <row r="218">
      <c r="B218" s="9" t="n">
        <v>216</v>
      </c>
      <c r="C218" s="10" t="inlineStr">
        <is>
          <t>Continuous Improvement Specialist (Open for Fresh)</t>
        </is>
      </c>
      <c r="D218" s="10" t="inlineStr">
        <is>
          <t>Avery Dennison Vietnam</t>
        </is>
      </c>
      <c r="E218" s="10" t="inlineStr">
        <is>
          <t>$$ 600-700 /tháng</t>
        </is>
      </c>
      <c r="F218" s="10" t="inlineStr">
        <is>
          <t>Long An</t>
        </is>
      </c>
      <c r="G218" s="10" t="inlineStr">
        <is>
          <t>Mới Tốt Nghiệp</t>
        </is>
      </c>
      <c r="H218" s="10" t="inlineStr">
        <is>
          <t>02/02/2026</t>
        </is>
      </c>
      <c r="I218" s="10" t="inlineStr">
        <is>
          <t>19/03/2026</t>
        </is>
      </c>
      <c r="J218" s="10" t="inlineStr">
        <is>
          <t>17/03/2026</t>
        </is>
      </c>
      <c r="K218" s="10" t="inlineStr">
        <is>
          <t>N/A</t>
        </is>
      </c>
      <c r="L218" s="10" t="inlineStr">
        <is>
          <t>Continuous Improvement, Lean, KAIZEN</t>
        </is>
      </c>
      <c r="M218" s="10" t="inlineStr">
        <is>
          <t>Bonus, Healthcare Plan, Paid Leave</t>
        </is>
      </c>
      <c r="N218" s="11">
        <f>HYPERLINK("https://www.vietnamworks.com/continuous-improvement-specialist-open-for-fresh-2009070-jv","Xem chi tiết")</f>
        <v/>
      </c>
      <c r="O218" s="10" t="n"/>
    </row>
    <row r="219">
      <c r="B219" s="7" t="n">
        <v>217</v>
      </c>
      <c r="C219" t="inlineStr">
        <is>
          <t>Sales Manager – Bess (Battery Energy Storage Systems)</t>
        </is>
      </c>
      <c r="D219" t="inlineStr">
        <is>
          <t>Công ty TNHH Tectiiko Technology</t>
        </is>
      </c>
      <c r="E219" t="inlineStr">
        <is>
          <t>Thương lượng</t>
        </is>
      </c>
      <c r="F219" t="inlineStr">
        <is>
          <t>Hồ Chí Minh, Bình Dương</t>
        </is>
      </c>
      <c r="G219" t="inlineStr">
        <is>
          <t>Trưởng phòng</t>
        </is>
      </c>
      <c r="H219" t="inlineStr">
        <is>
          <t>02/02/2026</t>
        </is>
      </c>
      <c r="I219" t="inlineStr">
        <is>
          <t>19/03/2026</t>
        </is>
      </c>
      <c r="J219" t="inlineStr">
        <is>
          <t>17/03/2026</t>
        </is>
      </c>
      <c r="K219" t="inlineStr">
        <is>
          <t>N/A</t>
        </is>
      </c>
      <c r="L219" t="inlineStr">
        <is>
          <t>Business Development, CRM System, English, Renewable Energy Projects, Sales Management</t>
        </is>
      </c>
      <c r="M219" t="inlineStr">
        <is>
          <t>Bonus, Healthcare Plan, Team Activities</t>
        </is>
      </c>
      <c r="N219" s="8">
        <f>HYPERLINK("https://www.vietnamworks.com/sales-manager-bess-battery-energy-storage-systems-2009088-jv","Xem chi tiết")</f>
        <v/>
      </c>
    </row>
    <row r="220">
      <c r="B220" s="9" t="n">
        <v>218</v>
      </c>
      <c r="C220" s="10" t="inlineStr">
        <is>
          <t>Nhân Viên Dự Toán (Fresher, Có Đào Tạo)</t>
        </is>
      </c>
      <c r="D220" s="10" t="inlineStr">
        <is>
          <t>MiTek Việt Nam</t>
        </is>
      </c>
      <c r="E220" s="10" t="inlineStr">
        <is>
          <t>9tr-10tr ₫/tháng</t>
        </is>
      </c>
      <c r="F220" s="10" t="inlineStr">
        <is>
          <t>Hồ Chí Minh</t>
        </is>
      </c>
      <c r="G220" s="10" t="inlineStr">
        <is>
          <t>Mới Tốt Nghiệp</t>
        </is>
      </c>
      <c r="H220" s="10" t="inlineStr">
        <is>
          <t>02/02/2026</t>
        </is>
      </c>
      <c r="I220" s="10" t="inlineStr">
        <is>
          <t>19/03/2026</t>
        </is>
      </c>
      <c r="J220" s="10" t="inlineStr">
        <is>
          <t>17/03/2026</t>
        </is>
      </c>
      <c r="K220" s="10" t="inlineStr">
        <is>
          <t>N/A</t>
        </is>
      </c>
      <c r="L220" s="10" t="inlineStr">
        <is>
          <t>Dự Toán Báo Giá, Dự Toán Công Trình, Dự Toán Khối Lượng Xây Dựng, Dự Toán Xây Dựng, Bóc Tách Khối Lượng</t>
        </is>
      </c>
      <c r="M220" s="10" t="inlineStr">
        <is>
          <t>Bonus, Healthcare Plan, Paid Leave</t>
        </is>
      </c>
      <c r="N220" s="11">
        <f>HYPERLINK("https://www.vietnamworks.com/nhan-vien-du-toan-fresher-co-djao-tao-2009080-jv","Xem chi tiết")</f>
        <v/>
      </c>
      <c r="O220" s="10" t="n"/>
    </row>
    <row r="221">
      <c r="B221" s="7" t="n">
        <v>219</v>
      </c>
      <c r="C221" t="inlineStr">
        <is>
          <t>PE Staff (New Product Development)</t>
        </is>
      </c>
      <c r="D221" t="inlineStr">
        <is>
          <t>Panasonic Appliances Vietnam</t>
        </is>
      </c>
      <c r="E221" t="inlineStr">
        <is>
          <t>Thương lượng</t>
        </is>
      </c>
      <c r="F221" t="inlineStr">
        <is>
          <t>Hưng Yên</t>
        </is>
      </c>
      <c r="G221" t="inlineStr">
        <is>
          <t>Nhân viên</t>
        </is>
      </c>
      <c r="H221" t="inlineStr">
        <is>
          <t>02/02/2026</t>
        </is>
      </c>
      <c r="I221" t="inlineStr">
        <is>
          <t>19/03/2026</t>
        </is>
      </c>
      <c r="J221" t="inlineStr">
        <is>
          <t>17/03/2026</t>
        </is>
      </c>
      <c r="K221" t="inlineStr">
        <is>
          <t>N/A</t>
        </is>
      </c>
      <c r="L221" t="inlineStr">
        <is>
          <t>Mechanical, Cơ Khí, Thiết Kế Khuôn Đúc, Kỹ Thuật Sản Xuất, New Product Development</t>
        </is>
      </c>
      <c r="M221" t="inlineStr">
        <is>
          <t>Bonus, Healthcare Plan, Transportation</t>
        </is>
      </c>
      <c r="N221" s="8">
        <f>HYPERLINK("https://www.vietnamworks.com/pe-staff-new-product-development--2009095-jv","Xem chi tiết")</f>
        <v/>
      </c>
    </row>
    <row r="222">
      <c r="B222" s="9" t="n">
        <v>220</v>
      </c>
      <c r="C222" s="10" t="inlineStr">
        <is>
          <t>Civil Engineer/ Kỹ Sư Xây Dựng</t>
        </is>
      </c>
      <c r="D222" s="10" t="inlineStr">
        <is>
          <t>Công Ty TNHH 4M Thành Viên Việt Nam</t>
        </is>
      </c>
      <c r="E222" s="10" t="inlineStr">
        <is>
          <t>Thương lượng</t>
        </is>
      </c>
      <c r="F222" s="10" t="inlineStr">
        <is>
          <t>Hồ Chí Minh, Hà Nội, Đồng Nai</t>
        </is>
      </c>
      <c r="G222" s="10" t="inlineStr">
        <is>
          <t>Nhân viên</t>
        </is>
      </c>
      <c r="H222" s="10" t="inlineStr">
        <is>
          <t>02/02/2026</t>
        </is>
      </c>
      <c r="I222" s="10" t="inlineStr">
        <is>
          <t>19/03/2026</t>
        </is>
      </c>
      <c r="J222" s="10" t="inlineStr">
        <is>
          <t>17/03/2026</t>
        </is>
      </c>
      <c r="K222" s="10" t="inlineStr">
        <is>
          <t>N/A</t>
        </is>
      </c>
      <c r="L222" s="10" t="inlineStr">
        <is>
          <t>Civil Construction, Civil Engineering, Giám Sát Xây Dựng, Quản Lý Công Trình Xây Dựng, Kỹ Sư Xây Dựng</t>
        </is>
      </c>
      <c r="M222" s="10" t="inlineStr">
        <is>
          <t>Bonus, Healthcare Plan, Awards</t>
        </is>
      </c>
      <c r="N222" s="11">
        <f>HYPERLINK("https://www.vietnamworks.com/civil-engineer-ky-su-xay-dung--2009096-jv","Xem chi tiết")</f>
        <v/>
      </c>
      <c r="O222" s="10" t="n"/>
    </row>
    <row r="223">
      <c r="B223" s="7" t="n">
        <v>221</v>
      </c>
      <c r="C223" t="inlineStr">
        <is>
          <t>Medical Science Liaison - Specialty Medicine (HCMC)</t>
        </is>
      </c>
      <c r="D223" t="inlineStr">
        <is>
          <t>Ferring Pharmaceuticals LTD.</t>
        </is>
      </c>
      <c r="E223" t="inlineStr">
        <is>
          <t>Thương lượng</t>
        </is>
      </c>
      <c r="F223" t="inlineStr">
        <is>
          <t>Hồ Chí Minh</t>
        </is>
      </c>
      <c r="G223" t="inlineStr">
        <is>
          <t>Nhân viên</t>
        </is>
      </c>
      <c r="H223" t="inlineStr">
        <is>
          <t>02/02/2026</t>
        </is>
      </c>
      <c r="I223" t="inlineStr">
        <is>
          <t>19/03/2026</t>
        </is>
      </c>
      <c r="J223" t="inlineStr">
        <is>
          <t>17/03/2026</t>
        </is>
      </c>
      <c r="K223" t="inlineStr">
        <is>
          <t>N/A</t>
        </is>
      </c>
      <c r="L223" t="inlineStr">
        <is>
          <t>Pharmacy, Dược Phẩm, Medical Science Liaison, Medical Research, Data Analysis</t>
        </is>
      </c>
      <c r="M223" t="inlineStr">
        <is>
          <t>Bonus, Healthcare Plan, Training</t>
        </is>
      </c>
      <c r="N223" s="8">
        <f>HYPERLINK("https://www.vietnamworks.com/medical-science-liaison-specialty-medicine-hcmc-2009097-jv","Xem chi tiết")</f>
        <v/>
      </c>
    </row>
    <row r="224">
      <c r="B224" s="9" t="n">
        <v>222</v>
      </c>
      <c r="C224" s="10" t="inlineStr">
        <is>
          <t>Nhân Viên Thiết Kế Kỹ Thuật (Fresher Level, Được Đào Tạo)</t>
        </is>
      </c>
      <c r="D224" s="10" t="inlineStr">
        <is>
          <t>MiTek Việt Nam</t>
        </is>
      </c>
      <c r="E224" s="10" t="inlineStr">
        <is>
          <t>10tr-12tr ₫/tháng</t>
        </is>
      </c>
      <c r="F224" s="10" t="inlineStr">
        <is>
          <t>Hồ Chí Minh</t>
        </is>
      </c>
      <c r="G224" s="10" t="inlineStr">
        <is>
          <t>Mới Tốt Nghiệp</t>
        </is>
      </c>
      <c r="H224" s="10" t="inlineStr">
        <is>
          <t>02/02/2026</t>
        </is>
      </c>
      <c r="I224" s="10" t="inlineStr">
        <is>
          <t>19/03/2026</t>
        </is>
      </c>
      <c r="J224" s="10" t="inlineStr">
        <is>
          <t>17/03/2026</t>
        </is>
      </c>
      <c r="K224" s="10" t="inlineStr">
        <is>
          <t>N/A</t>
        </is>
      </c>
      <c r="L224" s="10" t="inlineStr">
        <is>
          <t>AutoCAD, Đọc Hiểu Bản Vẽ, Thiết Kế, Thiết Kế Chế Tạo Máy, Thiết Kế Cơ Khí 2D</t>
        </is>
      </c>
      <c r="M224" s="10" t="inlineStr">
        <is>
          <t>Bonus, Healthcare Plan, Paid Leave, Training, Travel Opportunities, Team Activities, Others</t>
        </is>
      </c>
      <c r="N224" s="11">
        <f>HYPERLINK("https://www.vietnamworks.com/nhan-vien-thiet-ke-ky-thuat-fresher-level-djuoc-djao-tao-2009086-jv","Xem chi tiết")</f>
        <v/>
      </c>
      <c r="O224" s="10" t="n"/>
    </row>
    <row r="225">
      <c r="B225" s="7" t="n">
        <v>223</v>
      </c>
      <c r="C225" t="inlineStr">
        <is>
          <t>Chuyên Viên Đấu Thầu Xây Dựng</t>
        </is>
      </c>
      <c r="D225" t="inlineStr">
        <is>
          <t>Tập Đoàn APEC (APEC GROUP)</t>
        </is>
      </c>
      <c r="E225" t="inlineStr">
        <is>
          <t>Từ $ 1,000 /tháng</t>
        </is>
      </c>
      <c r="F225" t="inlineStr">
        <is>
          <t>Hà Nội</t>
        </is>
      </c>
      <c r="G225" t="inlineStr">
        <is>
          <t>Nhân viên</t>
        </is>
      </c>
      <c r="H225" t="inlineStr">
        <is>
          <t>02/02/2026</t>
        </is>
      </c>
      <c r="I225" t="inlineStr">
        <is>
          <t>19/03/2026</t>
        </is>
      </c>
      <c r="J225" t="inlineStr">
        <is>
          <t>17/03/2026</t>
        </is>
      </c>
      <c r="K225" t="inlineStr">
        <is>
          <t>N/A</t>
        </is>
      </c>
      <c r="L225" t="inlineStr">
        <is>
          <t>Đấu Thầu Xây Dựng, Đấu Thầu, Xây Dựng Dân Dụng, Đấu thầu &amp; hợp đồng, Bóc Tách Khối Lượng</t>
        </is>
      </c>
      <c r="M225" t="inlineStr">
        <is>
          <t>Bonus, Travel Opportunities, Others</t>
        </is>
      </c>
      <c r="N225" s="8">
        <f>HYPERLINK("https://www.vietnamworks.com/chuyen-vien-dau-thau-xay-dung--2009084-jv","Xem chi tiết")</f>
        <v/>
      </c>
    </row>
    <row r="226">
      <c r="B226" s="9" t="n">
        <v>224</v>
      </c>
      <c r="C226" s="10" t="inlineStr">
        <is>
          <t>Trưởng Nhóm Thanh Quyết Toán (Đi Dự Án)</t>
        </is>
      </c>
      <c r="D226" s="10" t="inlineStr">
        <is>
          <t>Công Ty Cổ Phần Xây Dựng Vijako Việt Nam</t>
        </is>
      </c>
      <c r="E226" s="10" t="inlineStr">
        <is>
          <t>30tr-35tr ₫/tháng</t>
        </is>
      </c>
      <c r="F226" s="10" t="inlineStr">
        <is>
          <t>Hà Nội, Ninh Bình</t>
        </is>
      </c>
      <c r="G226" s="10" t="inlineStr">
        <is>
          <t>Trưởng phòng</t>
        </is>
      </c>
      <c r="H226" s="10" t="inlineStr">
        <is>
          <t>02/02/2026</t>
        </is>
      </c>
      <c r="I226" s="10" t="inlineStr">
        <is>
          <t>19/03/2026</t>
        </is>
      </c>
      <c r="J226" s="10" t="inlineStr">
        <is>
          <t>17/03/2026</t>
        </is>
      </c>
      <c r="K226" s="10" t="inlineStr">
        <is>
          <t>N/A</t>
        </is>
      </c>
      <c r="L226" s="10" t="inlineStr">
        <is>
          <t>Thanh Quyết Toán, Quantity Surveyor Management, Dự Toán Xây Dựng, QS Ngành Xây Dựng, Construction Cost Control</t>
        </is>
      </c>
      <c r="M226" s="10" t="inlineStr">
        <is>
          <t>Bonus, Healthcare Plan, Training, Team Activities, Others</t>
        </is>
      </c>
      <c r="N226" s="11">
        <f>HYPERLINK("https://www.vietnamworks.com/truong-nhom-thanh-quyet-toan-di-du-an-2009069-jv","Xem chi tiết")</f>
        <v/>
      </c>
      <c r="O226" s="10" t="n"/>
    </row>
    <row r="227">
      <c r="B227" s="7" t="n">
        <v>225</v>
      </c>
      <c r="C227" t="inlineStr">
        <is>
          <t>Physical Security Manager/ Lead</t>
        </is>
      </c>
      <c r="D227" t="inlineStr">
        <is>
          <t>CÔNG TY TNHH AJAX SYSTEMS VIỆT NAM</t>
        </is>
      </c>
      <c r="E227" t="inlineStr">
        <is>
          <t>Thương lượng</t>
        </is>
      </c>
      <c r="F227" t="inlineStr">
        <is>
          <t>Hưng Yên, Hải Dương, Hà Nội</t>
        </is>
      </c>
      <c r="G227" t="inlineStr">
        <is>
          <t>Trưởng phòng</t>
        </is>
      </c>
      <c r="H227" t="inlineStr">
        <is>
          <t>02/02/2026</t>
        </is>
      </c>
      <c r="I227" t="inlineStr">
        <is>
          <t>19/03/2026</t>
        </is>
      </c>
      <c r="J227" t="inlineStr">
        <is>
          <t>17/03/2026</t>
        </is>
      </c>
      <c r="K227" t="inlineStr">
        <is>
          <t>N/A</t>
        </is>
      </c>
      <c r="L227" t="inlineStr">
        <is>
          <t>Security Operations, Bảo Vệ An Ninh, CISSP, Physical Security, Security Control</t>
        </is>
      </c>
      <c r="M227" t="inlineStr">
        <is>
          <t>Bonus, Laptop, Transportation</t>
        </is>
      </c>
      <c r="N227" s="8">
        <f>HYPERLINK("https://www.vietnamworks.com/physical-security-manager-lead-2009085-jv","Xem chi tiết")</f>
        <v/>
      </c>
    </row>
    <row r="228">
      <c r="B228" s="9" t="n">
        <v>226</v>
      </c>
      <c r="C228" s="10" t="inlineStr">
        <is>
          <t>IT Helpdesk</t>
        </is>
      </c>
      <c r="D228" s="10" t="inlineStr">
        <is>
          <t>Công Ty Cổ Phần Tổng Công Ty Nova Service</t>
        </is>
      </c>
      <c r="E228" s="10" t="inlineStr">
        <is>
          <t>Thương lượng</t>
        </is>
      </c>
      <c r="F228" s="10" t="inlineStr">
        <is>
          <t>Hồ Chí Minh</t>
        </is>
      </c>
      <c r="G228" s="10" t="inlineStr">
        <is>
          <t>Nhân viên</t>
        </is>
      </c>
      <c r="H228" s="10" t="inlineStr">
        <is>
          <t>02/02/2026</t>
        </is>
      </c>
      <c r="I228" s="10" t="inlineStr">
        <is>
          <t>19/03/2026</t>
        </is>
      </c>
      <c r="J228" s="10" t="inlineStr">
        <is>
          <t>17/03/2026</t>
        </is>
      </c>
      <c r="K228" s="10" t="inlineStr">
        <is>
          <t>N/A</t>
        </is>
      </c>
      <c r="L228" s="10" t="inlineStr">
        <is>
          <t>Technical Support, IT System Administration, IT Helpdesk, Công Nghệ Thông Tin</t>
        </is>
      </c>
      <c r="M228" s="10" t="inlineStr">
        <is>
          <t>Bonus, Paid Leave, Training</t>
        </is>
      </c>
      <c r="N228" s="11">
        <f>HYPERLINK("https://www.vietnamworks.com/it-helpdesk--2009098-jv","Xem chi tiết")</f>
        <v/>
      </c>
      <c r="O228" s="10" t="n"/>
    </row>
    <row r="229">
      <c r="B229" s="7" t="n">
        <v>227</v>
      </c>
      <c r="C229" t="inlineStr">
        <is>
          <t>Nhân Viên Phòng Pháp Lý / Legal Staff (Experienced)</t>
        </is>
      </c>
      <c r="D229" t="inlineStr">
        <is>
          <t>Hyosung Vietnam Corp</t>
        </is>
      </c>
      <c r="E229" t="inlineStr">
        <is>
          <t>Thương lượng</t>
        </is>
      </c>
      <c r="F229" t="inlineStr">
        <is>
          <t>Đồng Nai</t>
        </is>
      </c>
      <c r="G229" t="inlineStr">
        <is>
          <t>Nhân viên</t>
        </is>
      </c>
      <c r="H229" t="inlineStr">
        <is>
          <t>02/02/2026</t>
        </is>
      </c>
      <c r="I229" t="inlineStr">
        <is>
          <t>19/03/2026</t>
        </is>
      </c>
      <c r="J229" t="inlineStr">
        <is>
          <t>17/03/2026</t>
        </is>
      </c>
      <c r="K229" t="inlineStr">
        <is>
          <t>N/A</t>
        </is>
      </c>
      <c r="L229" t="inlineStr">
        <is>
          <t>Legal Advise, Contract Drafting, Litigation Assistance, Regulatory Compliance, Chemical</t>
        </is>
      </c>
      <c r="M229" t="inlineStr">
        <is>
          <t>Bonus</t>
        </is>
      </c>
      <c r="N229" s="8">
        <f>HYPERLINK("https://www.vietnamworks.com/nhan-vien-phong-phap-ly-legal-staff-experienced-2009099-jv","Xem chi tiết")</f>
        <v/>
      </c>
    </row>
    <row r="230">
      <c r="B230" s="9" t="n">
        <v>228</v>
      </c>
      <c r="C230" s="10" t="inlineStr">
        <is>
          <t>Chuyên Viên Kinh Doanh Quốc Tế</t>
        </is>
      </c>
      <c r="D230" s="10" t="inlineStr">
        <is>
          <t>Stavian Group</t>
        </is>
      </c>
      <c r="E230" s="10" t="inlineStr">
        <is>
          <t>Thương lượng</t>
        </is>
      </c>
      <c r="F230" s="10" t="inlineStr">
        <is>
          <t>Hà Nội</t>
        </is>
      </c>
      <c r="G230" s="10" t="inlineStr">
        <is>
          <t>Nhân viên</t>
        </is>
      </c>
      <c r="H230" s="10" t="inlineStr">
        <is>
          <t>02/02/2026</t>
        </is>
      </c>
      <c r="I230" s="10" t="inlineStr">
        <is>
          <t>19/03/2026</t>
        </is>
      </c>
      <c r="J230" s="10" t="inlineStr">
        <is>
          <t>17/03/2026</t>
        </is>
      </c>
      <c r="K230" s="10" t="inlineStr">
        <is>
          <t>N/A</t>
        </is>
      </c>
      <c r="L230" s="10" t="inlineStr">
        <is>
          <t>Sales Export, Kinh Doanh Quốc Tế, Kinh Doanh, Tiếng Anh</t>
        </is>
      </c>
      <c r="M230" s="10" t="inlineStr">
        <is>
          <t>Bonus, Healthcare Plan, Travel Opportunities</t>
        </is>
      </c>
      <c r="N230" s="11">
        <f>HYPERLINK("https://www.vietnamworks.com/chuyen-vien-kinh-doanh-quoc-te--2009089-jv","Xem chi tiết")</f>
        <v/>
      </c>
      <c r="O230" s="10" t="n"/>
    </row>
    <row r="231">
      <c r="B231" s="7" t="n">
        <v>229</v>
      </c>
      <c r="C231" t="inlineStr">
        <is>
          <t>Kỹ Sư Tự Động Hoá</t>
        </is>
      </c>
      <c r="D231" t="inlineStr">
        <is>
          <t>CÔNG TY CỔ PHẦN THƯƠNG MẠI DỊCH VỤ KỸ THUẬT PMC</t>
        </is>
      </c>
      <c r="E231" t="inlineStr">
        <is>
          <t>Thương lượng</t>
        </is>
      </c>
      <c r="F231" t="inlineStr">
        <is>
          <t>Hồ Chí Minh</t>
        </is>
      </c>
      <c r="G231" t="inlineStr">
        <is>
          <t>Nhân viên</t>
        </is>
      </c>
      <c r="H231" t="inlineStr">
        <is>
          <t>02/02/2026</t>
        </is>
      </c>
      <c r="I231" t="inlineStr">
        <is>
          <t>19/03/2026</t>
        </is>
      </c>
      <c r="J231" t="inlineStr">
        <is>
          <t>17/03/2026</t>
        </is>
      </c>
      <c r="K231" t="inlineStr">
        <is>
          <t>N/A</t>
        </is>
      </c>
      <c r="L231" t="inlineStr">
        <is>
          <t>Tự Động Hóa, Điện Tử, Cơ Điện Tử, Thi Công Lắp Đặt, Làm Việc Nhóm</t>
        </is>
      </c>
      <c r="M231" t="inlineStr">
        <is>
          <t>Bonus, Healthcare Plan, Training, Others</t>
        </is>
      </c>
      <c r="N231" s="8">
        <f>HYPERLINK("https://www.vietnamworks.com/ky-su-tu-djong-hoa-2009090-jv","Xem chi tiết")</f>
        <v/>
      </c>
    </row>
    <row r="232">
      <c r="B232" s="9" t="n">
        <v>230</v>
      </c>
      <c r="C232" s="10" t="inlineStr">
        <is>
          <t>Trưởng Phòng Truyền Thông Dự Án</t>
        </is>
      </c>
      <c r="D232" s="10" t="inlineStr">
        <is>
          <t>CÔNG TY CỔ PHẦN TẬP ĐOÀN KIM OANH</t>
        </is>
      </c>
      <c r="E232" s="10" t="inlineStr">
        <is>
          <t>Thương lượng</t>
        </is>
      </c>
      <c r="F232" s="10" t="inlineStr">
        <is>
          <t>Hồ Chí Minh</t>
        </is>
      </c>
      <c r="G232" s="10" t="inlineStr">
        <is>
          <t>Trưởng phòng</t>
        </is>
      </c>
      <c r="H232" s="10" t="inlineStr">
        <is>
          <t>02/02/2026</t>
        </is>
      </c>
      <c r="I232" s="10" t="inlineStr">
        <is>
          <t>19/03/2026</t>
        </is>
      </c>
      <c r="J232" s="10" t="inlineStr">
        <is>
          <t>17/03/2026</t>
        </is>
      </c>
      <c r="K232" s="10" t="inlineStr">
        <is>
          <t>N/A</t>
        </is>
      </c>
      <c r="L232" s="10" t="inlineStr">
        <is>
          <t>Project Management, Marketing Planning, Marketing Development, Communication, public relations</t>
        </is>
      </c>
      <c r="M232" s="10" t="inlineStr">
        <is>
          <t>Others</t>
        </is>
      </c>
      <c r="N232" s="11">
        <f>HYPERLINK("https://www.vietnamworks.com/truong-phong-truyen-thong-du-an--2009071-jv","Xem chi tiết")</f>
        <v/>
      </c>
      <c r="O232" s="10" t="n"/>
    </row>
    <row r="233">
      <c r="B233" s="7" t="n">
        <v>231</v>
      </c>
      <c r="C233" t="inlineStr">
        <is>
          <t>Financial Accountant</t>
        </is>
      </c>
      <c r="D233" t="inlineStr">
        <is>
          <t>VIO Travel</t>
        </is>
      </c>
      <c r="E233" t="inlineStr">
        <is>
          <t>$$ 1,500-2,000 /tháng</t>
        </is>
      </c>
      <c r="F233" t="inlineStr">
        <is>
          <t>Quốc tế</t>
        </is>
      </c>
      <c r="G233" t="inlineStr">
        <is>
          <t>Trưởng phòng</t>
        </is>
      </c>
      <c r="H233" t="inlineStr">
        <is>
          <t>02/02/2026</t>
        </is>
      </c>
      <c r="I233" t="inlineStr">
        <is>
          <t>19/03/2026</t>
        </is>
      </c>
      <c r="J233" t="inlineStr">
        <is>
          <t>17/03/2026</t>
        </is>
      </c>
      <c r="K233" t="inlineStr">
        <is>
          <t>N/A</t>
        </is>
      </c>
      <c r="L233" t="inlineStr">
        <is>
          <t>Financial Accounting, Finance, Accounting Software Proficiency, Account Planning, Accounting Transactions</t>
        </is>
      </c>
      <c r="M233" t="inlineStr">
        <is>
          <t>Bonus, Training, Laptop</t>
        </is>
      </c>
      <c r="N233" s="8">
        <f>HYPERLINK("https://www.vietnamworks.com/financial-accountant--2009087-jv","Xem chi tiết")</f>
        <v/>
      </c>
    </row>
    <row r="234">
      <c r="B234" s="9" t="n">
        <v>232</v>
      </c>
      <c r="C234" s="10" t="inlineStr">
        <is>
          <t>Structural Engineer</t>
        </is>
      </c>
      <c r="D234" s="10" t="inlineStr">
        <is>
          <t>Arup Vietnam Limited (Arup)</t>
        </is>
      </c>
      <c r="E234" s="10" t="inlineStr">
        <is>
          <t>Thương lượng</t>
        </is>
      </c>
      <c r="F234" s="10" t="inlineStr">
        <is>
          <t>Hồ Chí Minh</t>
        </is>
      </c>
      <c r="G234" s="10" t="inlineStr">
        <is>
          <t>Nhân viên</t>
        </is>
      </c>
      <c r="H234" s="10" t="inlineStr">
        <is>
          <t>02/02/2026</t>
        </is>
      </c>
      <c r="I234" s="10" t="inlineStr">
        <is>
          <t>19/03/2026</t>
        </is>
      </c>
      <c r="J234" s="10" t="inlineStr">
        <is>
          <t>17/03/2026</t>
        </is>
      </c>
      <c r="K234" s="10" t="inlineStr">
        <is>
          <t>N/A</t>
        </is>
      </c>
      <c r="L234" s="10" t="inlineStr">
        <is>
          <t>Revit, CAD Drawings, Geotechnical, Structural Engineering, Grasshopper</t>
        </is>
      </c>
      <c r="M234" s="10" t="inlineStr">
        <is>
          <t>Bonus, Healthcare Plan, Paid Leave</t>
        </is>
      </c>
      <c r="N234" s="11">
        <f>HYPERLINK("https://www.vietnamworks.com/structural-engineer-2009083-jv","Xem chi tiết")</f>
        <v/>
      </c>
      <c r="O234" s="10" t="n"/>
    </row>
    <row r="235">
      <c r="B235" s="7" t="n">
        <v>233</v>
      </c>
      <c r="C235" t="inlineStr">
        <is>
          <t>[Nova Hotels &amp; Resorts World] Kế Toán Trưởng</t>
        </is>
      </c>
      <c r="D235" t="inlineStr">
        <is>
          <t>Công Ty Cổ Phần Tổng Công Ty Nova Service</t>
        </is>
      </c>
      <c r="E235" t="inlineStr">
        <is>
          <t>Thương lượng</t>
        </is>
      </c>
      <c r="F235" t="inlineStr">
        <is>
          <t>Hồ Chí Minh</t>
        </is>
      </c>
      <c r="G235" t="inlineStr">
        <is>
          <t>Trưởng phòng</t>
        </is>
      </c>
      <c r="H235" t="inlineStr">
        <is>
          <t>02/02/2026</t>
        </is>
      </c>
      <c r="I235" t="inlineStr">
        <is>
          <t>19/03/2026</t>
        </is>
      </c>
      <c r="J235" t="inlineStr">
        <is>
          <t>17/03/2026</t>
        </is>
      </c>
      <c r="K235" t="inlineStr">
        <is>
          <t>N/A</t>
        </is>
      </c>
      <c r="L235" t="inlineStr">
        <is>
          <t>Accounting knowledge, Honest And Trustworthy, Analysis &amp; Reporting Skills, Creative Solutions, Carefulness</t>
        </is>
      </c>
      <c r="M235" t="inlineStr">
        <is>
          <t>Bonus, Paid Leave, Training</t>
        </is>
      </c>
      <c r="N235" s="8">
        <f>HYPERLINK("https://www.vietnamworks.com/nova-hotels-resorts-world-ke-toan-truong-2009094-jv","Xem chi tiết")</f>
        <v/>
      </c>
    </row>
    <row r="236">
      <c r="B236" s="9" t="n">
        <v>234</v>
      </c>
      <c r="C236" s="10" t="inlineStr">
        <is>
          <t>[Nova Hotels &amp; Resorts World] Phó Giám Đốc Ban Kinh Doanh</t>
        </is>
      </c>
      <c r="D236" s="10" t="inlineStr">
        <is>
          <t>Công Ty Cổ Phần Tổng Công Ty Nova Service</t>
        </is>
      </c>
      <c r="E236" s="10" t="inlineStr">
        <is>
          <t>Thương lượng</t>
        </is>
      </c>
      <c r="F236" s="10" t="inlineStr">
        <is>
          <t>Hồ Chí Minh</t>
        </is>
      </c>
      <c r="G236" s="10" t="inlineStr">
        <is>
          <t>Giám Đốc và Cấp Cao Hơn</t>
        </is>
      </c>
      <c r="H236" s="10" t="inlineStr">
        <is>
          <t>02/02/2026</t>
        </is>
      </c>
      <c r="I236" s="10" t="inlineStr">
        <is>
          <t>19/03/2026</t>
        </is>
      </c>
      <c r="J236" s="10" t="inlineStr">
        <is>
          <t>17/03/2026</t>
        </is>
      </c>
      <c r="K236" s="10" t="inlineStr">
        <is>
          <t>N/A</t>
        </is>
      </c>
      <c r="L236" s="10" t="inlineStr">
        <is>
          <t>Positive attitude, Innovative &amp; Creative, Self Planning, Professional, Business Developing</t>
        </is>
      </c>
      <c r="M236" s="10" t="inlineStr">
        <is>
          <t>Bonus, Paid Leave, Training</t>
        </is>
      </c>
      <c r="N236" s="11">
        <f>HYPERLINK("https://www.vietnamworks.com/nova-hotels-resorts-world-pho-giam-doc-ban-kinh-doanh-2009077-jv","Xem chi tiết")</f>
        <v/>
      </c>
      <c r="O236" s="10" t="n"/>
    </row>
    <row r="237">
      <c r="B237" s="7" t="n">
        <v>235</v>
      </c>
      <c r="C237" t="inlineStr">
        <is>
          <t>HSE Manager (Quản Lý An Toàn Sức Khỏe Môi Trường Tại Nhà Máy)</t>
        </is>
      </c>
      <c r="D237" t="inlineStr">
        <is>
          <t>CÔNG TY TNHH GREENWIND</t>
        </is>
      </c>
      <c r="E237" t="inlineStr">
        <is>
          <t>Thương lượng</t>
        </is>
      </c>
      <c r="F237" t="inlineStr">
        <is>
          <t>Bình Định</t>
        </is>
      </c>
      <c r="G237" t="inlineStr">
        <is>
          <t>Trưởng phòng</t>
        </is>
      </c>
      <c r="H237" t="inlineStr">
        <is>
          <t>02/02/2026</t>
        </is>
      </c>
      <c r="I237" t="inlineStr">
        <is>
          <t>19/03/2026</t>
        </is>
      </c>
      <c r="J237" t="inlineStr">
        <is>
          <t>17/03/2026</t>
        </is>
      </c>
      <c r="K237" t="inlineStr">
        <is>
          <t>N/A</t>
        </is>
      </c>
      <c r="L237" t="inlineStr">
        <is>
          <t>An Toàn Lao Động, Môi Trường, HSE, MS Office, PCCC</t>
        </is>
      </c>
      <c r="M237" t="inlineStr">
        <is>
          <t>Bonus, Healthcare Plan, Laptop, Team Activities, Others</t>
        </is>
      </c>
      <c r="N237" s="8">
        <f>HYPERLINK("https://www.vietnamworks.com/hse-manager-quan-ly-an-toan-suc-khoe-moi-truong-tai-nha-may-2009072-jv","Xem chi tiết")</f>
        <v/>
      </c>
    </row>
    <row r="238">
      <c r="B238" s="9" t="n">
        <v>236</v>
      </c>
      <c r="C238" s="10" t="inlineStr">
        <is>
          <t>PE Specialist (New Mold Development)</t>
        </is>
      </c>
      <c r="D238" s="10" t="inlineStr">
        <is>
          <t>Panasonic Appliances Vietnam</t>
        </is>
      </c>
      <c r="E238" s="10" t="inlineStr">
        <is>
          <t>Thương lượng</t>
        </is>
      </c>
      <c r="F238" s="10" t="inlineStr">
        <is>
          <t>Hưng Yên</t>
        </is>
      </c>
      <c r="G238" s="10" t="inlineStr">
        <is>
          <t>Nhân viên</t>
        </is>
      </c>
      <c r="H238" s="10" t="inlineStr">
        <is>
          <t>02/02/2026</t>
        </is>
      </c>
      <c r="I238" s="10" t="inlineStr">
        <is>
          <t>19/03/2026</t>
        </is>
      </c>
      <c r="J238" s="10" t="inlineStr">
        <is>
          <t>17/03/2026</t>
        </is>
      </c>
      <c r="K238" s="10" t="inlineStr">
        <is>
          <t>N/A</t>
        </is>
      </c>
      <c r="L238" s="10" t="inlineStr">
        <is>
          <t>New Product Development, Mold Maintenance, Manufacturing Products, Japanese, Mold Design</t>
        </is>
      </c>
      <c r="M238" s="10" t="inlineStr">
        <is>
          <t>Bonus, Healthcare Plan, Transportation</t>
        </is>
      </c>
      <c r="N238" s="11">
        <f>HYPERLINK("https://www.vietnamworks.com/pe-specialist-new-mold-development-2009101-jv","Xem chi tiết")</f>
        <v/>
      </c>
      <c r="O238" s="10" t="n"/>
    </row>
    <row r="239">
      <c r="B239" s="7" t="n">
        <v>237</v>
      </c>
      <c r="C239" t="inlineStr">
        <is>
          <t>[CN Đà Nẵng] Quan hệ khách hàng cá nhân</t>
        </is>
      </c>
      <c r="D239" t="inlineStr">
        <is>
          <t>Ngân Hàng TNHH MTV Woori Việt Nam</t>
        </is>
      </c>
      <c r="E239" t="inlineStr">
        <is>
          <t>$$ 600-2,000 /tháng</t>
        </is>
      </c>
      <c r="F239" t="inlineStr">
        <is>
          <t>Đà Nẵng</t>
        </is>
      </c>
      <c r="G239" t="inlineStr">
        <is>
          <t>Nhân viên</t>
        </is>
      </c>
      <c r="H239" t="inlineStr">
        <is>
          <t>02/02/2026</t>
        </is>
      </c>
      <c r="I239" t="inlineStr">
        <is>
          <t>19/03/2026</t>
        </is>
      </c>
      <c r="J239" t="inlineStr">
        <is>
          <t>17/03/2026</t>
        </is>
      </c>
      <c r="K239" t="inlineStr">
        <is>
          <t>N/A</t>
        </is>
      </c>
      <c r="L239" t="inlineStr">
        <is>
          <t>Giao Tiếp Tốt, Đàm Phán Thương Lượng</t>
        </is>
      </c>
      <c r="M239" t="inlineStr">
        <is>
          <t>Bonus, Healthcare Plan, Paid Leave, Training</t>
        </is>
      </c>
      <c r="N239" s="8">
        <f>HYPERLINK("https://www.vietnamworks.com/cn-dja-nang-quan-he-khach-hang-ca-nhan-2009100-jv","Xem chi tiết")</f>
        <v/>
      </c>
    </row>
    <row r="240">
      <c r="B240" s="9" t="n">
        <v>238</v>
      </c>
      <c r="C240" s="10" t="inlineStr">
        <is>
          <t>IT Manager - ERP Transformation_Top FMCG Leader</t>
        </is>
      </c>
      <c r="D240" s="10" t="inlineStr">
        <is>
          <t>Michael Page Vietnam</t>
        </is>
      </c>
      <c r="E240" s="10" t="inlineStr">
        <is>
          <t>Thương lượng</t>
        </is>
      </c>
      <c r="F240" s="10" t="inlineStr">
        <is>
          <t>Hồ Chí Minh</t>
        </is>
      </c>
      <c r="G240" s="10" t="inlineStr">
        <is>
          <t>Trưởng phòng</t>
        </is>
      </c>
      <c r="H240" s="10" t="inlineStr">
        <is>
          <t>02/02/2026</t>
        </is>
      </c>
      <c r="I240" s="10" t="inlineStr">
        <is>
          <t>19/03/2026</t>
        </is>
      </c>
      <c r="J240" s="10" t="inlineStr">
        <is>
          <t>17/03/2026</t>
        </is>
      </c>
      <c r="K240" s="10" t="inlineStr">
        <is>
          <t>N/A</t>
        </is>
      </c>
      <c r="L240" s="10" t="inlineStr">
        <is>
          <t>IT, ERP, IT Management, Change Management, Leadership</t>
        </is>
      </c>
      <c r="M240" s="10" t="inlineStr">
        <is>
          <t>Bonus</t>
        </is>
      </c>
      <c r="N240" s="11">
        <f>HYPERLINK("https://www.vietnamworks.com/it-manager-erp-transformation-top-fmcg-leader-2009103-jv","Xem chi tiết")</f>
        <v/>
      </c>
      <c r="O240" s="10" t="n"/>
    </row>
    <row r="241">
      <c r="B241" s="7" t="n">
        <v>239</v>
      </c>
      <c r="C241" t="inlineStr">
        <is>
          <t>Kế Toán Tổng Hợp</t>
        </is>
      </c>
      <c r="D241" t="inlineStr">
        <is>
          <t>GSM</t>
        </is>
      </c>
      <c r="E241" t="inlineStr">
        <is>
          <t>$$ 1,000-2,000 /tháng</t>
        </is>
      </c>
      <c r="F241" t="inlineStr">
        <is>
          <t>Hà Nội</t>
        </is>
      </c>
      <c r="G241" t="inlineStr">
        <is>
          <t>Nhân viên</t>
        </is>
      </c>
      <c r="H241" t="inlineStr">
        <is>
          <t>02/02/2026</t>
        </is>
      </c>
      <c r="I241" t="inlineStr">
        <is>
          <t>19/03/2026</t>
        </is>
      </c>
      <c r="J241" t="inlineStr">
        <is>
          <t>17/03/2026</t>
        </is>
      </c>
      <c r="K241" t="inlineStr">
        <is>
          <t>N/A</t>
        </is>
      </c>
      <c r="L241" t="inlineStr">
        <is>
          <t>Kế Toán Tổng Hợp, Excel, SAP, ERP</t>
        </is>
      </c>
      <c r="M241" t="inlineStr">
        <is>
          <t>Bonus, Healthcare Plan, Training</t>
        </is>
      </c>
      <c r="N241" s="8">
        <f>HYPERLINK("https://www.vietnamworks.com/ke-toan-tong-hop--2009110-jv","Xem chi tiết")</f>
        <v/>
      </c>
    </row>
    <row r="242">
      <c r="B242" s="9" t="n">
        <v>240</v>
      </c>
      <c r="C242" s="10" t="inlineStr">
        <is>
          <t>Scrum Master - Văn Phòng Quản Lý Dự Án</t>
        </is>
      </c>
      <c r="D242" s="10" t="inlineStr">
        <is>
          <t>Ngân Hàng TMCP Đại Chúng Việt Nam</t>
        </is>
      </c>
      <c r="E242" s="10" t="inlineStr">
        <is>
          <t>$$ 800-2,000 /tháng</t>
        </is>
      </c>
      <c r="F242" s="10" t="inlineStr">
        <is>
          <t>Hà Nội</t>
        </is>
      </c>
      <c r="G242" s="10" t="inlineStr">
        <is>
          <t>Nhân viên</t>
        </is>
      </c>
      <c r="H242" s="10" t="inlineStr">
        <is>
          <t>02/02/2026</t>
        </is>
      </c>
      <c r="I242" s="10" t="inlineStr">
        <is>
          <t>19/03/2026</t>
        </is>
      </c>
      <c r="J242" s="10" t="inlineStr">
        <is>
          <t>17/03/2026</t>
        </is>
      </c>
      <c r="K242" s="10" t="inlineStr">
        <is>
          <t>N/A</t>
        </is>
      </c>
      <c r="L242" s="10" t="inlineStr">
        <is>
          <t>Scrum Master, Quản Lý Dự Án, Agile, Lập Trình, Leadership</t>
        </is>
      </c>
      <c r="M242" s="10" t="inlineStr">
        <is>
          <t>Bonus, Healthcare Plan, Canteen</t>
        </is>
      </c>
      <c r="N242" s="11">
        <f>HYPERLINK("https://www.vietnamworks.com/scrum-master-van-phong-quan-ly-du-an--2009111-jv","Xem chi tiết")</f>
        <v/>
      </c>
      <c r="O242" s="10" t="n"/>
    </row>
    <row r="243">
      <c r="B243" s="7" t="n">
        <v>241</v>
      </c>
      <c r="C243" t="inlineStr">
        <is>
          <t>Unit Head Of Digital Product Management – Ubank</t>
        </is>
      </c>
      <c r="D243" t="inlineStr">
        <is>
          <t>FE CREDIT</t>
        </is>
      </c>
      <c r="E243" t="inlineStr">
        <is>
          <t>$$ 2,000-3,000 /tháng</t>
        </is>
      </c>
      <c r="F243" t="inlineStr">
        <is>
          <t>Hồ Chí Minh</t>
        </is>
      </c>
      <c r="G243" t="inlineStr">
        <is>
          <t>Giám Đốc và Cấp Cao Hơn</t>
        </is>
      </c>
      <c r="H243" t="inlineStr">
        <is>
          <t>02/02/2026</t>
        </is>
      </c>
      <c r="I243" t="inlineStr">
        <is>
          <t>19/03/2026</t>
        </is>
      </c>
      <c r="J243" t="inlineStr">
        <is>
          <t>17/03/2026</t>
        </is>
      </c>
      <c r="K243" t="inlineStr">
        <is>
          <t>N/A</t>
        </is>
      </c>
      <c r="L243" t="inlineStr">
        <is>
          <t>Agile Methodologies, Financial services experience, Leadership Skills, P&amp;L Management, Product Management</t>
        </is>
      </c>
      <c r="M243" t="inlineStr">
        <is>
          <t>Bonus</t>
        </is>
      </c>
      <c r="N243" s="8">
        <f>HYPERLINK("https://www.vietnamworks.com/unit-head-of-digital-product-management-ubank-2009104-jv","Xem chi tiết")</f>
        <v/>
      </c>
    </row>
    <row r="244">
      <c r="B244" s="9" t="n">
        <v>242</v>
      </c>
      <c r="C244" s="10" t="inlineStr">
        <is>
          <t>Operations Staff (Air Freight) - English Skill</t>
        </is>
      </c>
      <c r="D244" s="10" t="inlineStr">
        <is>
          <t>Dolphin Logistics Co., Ltd</t>
        </is>
      </c>
      <c r="E244" s="10" t="inlineStr">
        <is>
          <t>$$ 400-600 /tháng</t>
        </is>
      </c>
      <c r="F244" s="10" t="inlineStr">
        <is>
          <t>Hồ Chí Minh</t>
        </is>
      </c>
      <c r="G244" s="10" t="inlineStr">
        <is>
          <t>Nhân viên</t>
        </is>
      </c>
      <c r="H244" s="10" t="inlineStr">
        <is>
          <t>02/02/2026</t>
        </is>
      </c>
      <c r="I244" s="10" t="inlineStr">
        <is>
          <t>19/03/2026</t>
        </is>
      </c>
      <c r="J244" s="10" t="inlineStr">
        <is>
          <t>17/03/2026</t>
        </is>
      </c>
      <c r="K244" s="10" t="inlineStr">
        <is>
          <t>N/A</t>
        </is>
      </c>
      <c r="L244" s="10" t="inlineStr">
        <is>
          <t>Chứng Từ Xuất Nhập Khẩu, Forwarding Operation, Logistics, Air Freight Forwarding, Import &amp; Export</t>
        </is>
      </c>
      <c r="M244" s="10" t="inlineStr">
        <is>
          <t>Bonus, Healthcare Plan, Paid Leave</t>
        </is>
      </c>
      <c r="N244" s="11">
        <f>HYPERLINK("https://www.vietnamworks.com/operations-staff-air-freight-english-skill--2009123-jv","Xem chi tiết")</f>
        <v/>
      </c>
      <c r="O244" s="10" t="n"/>
    </row>
    <row r="245">
      <c r="B245" s="7" t="n">
        <v>243</v>
      </c>
      <c r="C245" t="inlineStr">
        <is>
          <t>Assistant Manager, Property Management</t>
        </is>
      </c>
      <c r="D245" t="inlineStr">
        <is>
          <t>CapitaLand Development (Vietnam)</t>
        </is>
      </c>
      <c r="E245" t="inlineStr">
        <is>
          <t>Thương lượng</t>
        </is>
      </c>
      <c r="F245" t="inlineStr">
        <is>
          <t>Hà Nội</t>
        </is>
      </c>
      <c r="G245" t="inlineStr">
        <is>
          <t>Nhân viên</t>
        </is>
      </c>
      <c r="H245" t="inlineStr">
        <is>
          <t>02/02/2026</t>
        </is>
      </c>
      <c r="I245" t="inlineStr">
        <is>
          <t>19/03/2026</t>
        </is>
      </c>
      <c r="J245" t="inlineStr">
        <is>
          <t>17/03/2026</t>
        </is>
      </c>
      <c r="K245" t="inlineStr">
        <is>
          <t>N/A</t>
        </is>
      </c>
      <c r="L245" t="inlineStr">
        <is>
          <t>Real Estate, Property Management, Building Management, Asset Management</t>
        </is>
      </c>
      <c r="M245" t="inlineStr">
        <is>
          <t>Bonus, Healthcare Plan, Training</t>
        </is>
      </c>
      <c r="N245" s="8">
        <f>HYPERLINK("https://www.vietnamworks.com/assistant-manager-property-management-1--2009118-jv","Xem chi tiết")</f>
        <v/>
      </c>
    </row>
    <row r="246">
      <c r="B246" s="9" t="n">
        <v>244</v>
      </c>
      <c r="C246" s="10" t="inlineStr">
        <is>
          <t>Loan Payment Support Division Manager</t>
        </is>
      </c>
      <c r="D246" s="10" t="inlineStr">
        <is>
          <t>Công Ty Tài Chính TNHH Ngân Hàng TMCP Sài Gòn - Hà Nội (SHBFinance)</t>
        </is>
      </c>
      <c r="E246" s="10" t="inlineStr">
        <is>
          <t>$$ 2,000-3,500 /tháng</t>
        </is>
      </c>
      <c r="F246" s="10" t="inlineStr">
        <is>
          <t>Hồ Chí Minh</t>
        </is>
      </c>
      <c r="G246" s="10" t="inlineStr">
        <is>
          <t>Nhân viên</t>
        </is>
      </c>
      <c r="H246" s="10" t="inlineStr">
        <is>
          <t>02/02/2026</t>
        </is>
      </c>
      <c r="I246" s="10" t="inlineStr">
        <is>
          <t>19/03/2026</t>
        </is>
      </c>
      <c r="J246" s="10" t="inlineStr">
        <is>
          <t>17/03/2026</t>
        </is>
      </c>
      <c r="K246" s="10" t="inlineStr">
        <is>
          <t>N/A</t>
        </is>
      </c>
      <c r="L246" s="10" t="inlineStr">
        <is>
          <t>Excel Proficiency, Loan Prepayment, Management Knowledge, Sql Proficiency, Teamwork</t>
        </is>
      </c>
      <c r="M246" s="10" t="inlineStr">
        <is>
          <t>Bonus, Healthcare Plan, Training, Awards, Laptop, Mobile</t>
        </is>
      </c>
      <c r="N246" s="11">
        <f>HYPERLINK("https://www.vietnamworks.com/loan-payment-support-division-manager-2009117-jv","Xem chi tiết")</f>
        <v/>
      </c>
      <c r="O246" s="10" t="n"/>
    </row>
    <row r="247">
      <c r="B247" s="7" t="n">
        <v>245</v>
      </c>
      <c r="C247" t="inlineStr">
        <is>
          <t>Supplier Quality Engineer in Electronics - Da Nang</t>
        </is>
      </c>
      <c r="D247" t="inlineStr">
        <is>
          <t>Michael Page Vietnam</t>
        </is>
      </c>
      <c r="E247" t="inlineStr">
        <is>
          <t>$$ 2,000-2,000 /tháng</t>
        </is>
      </c>
      <c r="F247" t="inlineStr">
        <is>
          <t>Đà Nẵng</t>
        </is>
      </c>
      <c r="G247" t="inlineStr">
        <is>
          <t>Nhân viên</t>
        </is>
      </c>
      <c r="H247" t="inlineStr">
        <is>
          <t>02/02/2026</t>
        </is>
      </c>
      <c r="I247" t="inlineStr">
        <is>
          <t>19/03/2026</t>
        </is>
      </c>
      <c r="J247" t="inlineStr">
        <is>
          <t>17/03/2026</t>
        </is>
      </c>
      <c r="K247" t="inlineStr">
        <is>
          <t>N/A</t>
        </is>
      </c>
      <c r="L247" t="inlineStr">
        <is>
          <t>Supplier Quality, Electronics, PCBA, Supplier Quality Management, Quality Control</t>
        </is>
      </c>
      <c r="M247" t="inlineStr">
        <is>
          <t>Bonus, Healthcare Plan, Transportation</t>
        </is>
      </c>
      <c r="N247" s="8">
        <f>HYPERLINK("https://www.vietnamworks.com/supplier-quality-engineer-in-electronics-da-nang-2009121-jv","Xem chi tiết")</f>
        <v/>
      </c>
    </row>
    <row r="248">
      <c r="B248" s="9" t="n">
        <v>246</v>
      </c>
      <c r="C248" s="10" t="inlineStr">
        <is>
          <t>Kỹ Sư Thiết Kế - Thử Nghiệm Khuôn và Đồ Gá</t>
        </is>
      </c>
      <c r="D248" s="10" t="inlineStr">
        <is>
          <t>Công Ty TNHH Kyoei Việt Nam / Kyoei Manufacturing Vietnam Co.,ltd. Website: Http://kyoei-Vn.com/</t>
        </is>
      </c>
      <c r="E248" s="10" t="inlineStr">
        <is>
          <t>Thương lượng</t>
        </is>
      </c>
      <c r="F248" s="10" t="inlineStr">
        <is>
          <t>Hà Nội</t>
        </is>
      </c>
      <c r="G248" s="10" t="inlineStr">
        <is>
          <t>Nhân viên</t>
        </is>
      </c>
      <c r="H248" s="10" t="inlineStr">
        <is>
          <t>02/02/2026</t>
        </is>
      </c>
      <c r="I248" s="10" t="inlineStr">
        <is>
          <t>19/03/2026</t>
        </is>
      </c>
      <c r="J248" s="10" t="inlineStr">
        <is>
          <t>17/03/2026</t>
        </is>
      </c>
      <c r="K248" s="10" t="inlineStr">
        <is>
          <t>N/A</t>
        </is>
      </c>
      <c r="L248" s="10" t="inlineStr">
        <is>
          <t>AutoCAD, Microsoft Office, Thiết Kế Khuôn Dập, Phân Tích Dữ Liệu, Cơ Khí</t>
        </is>
      </c>
      <c r="M248" s="10" t="inlineStr">
        <is>
          <t>Bonus, Healthcare Plan, Team Activities</t>
        </is>
      </c>
      <c r="N248" s="11">
        <f>HYPERLINK("https://www.vietnamworks.com/ky-su-thiet-ke-thu-nghiem-khuon-va-do-ga-2009119-jv","Xem chi tiết")</f>
        <v/>
      </c>
      <c r="O248" s="10" t="n"/>
    </row>
    <row r="249">
      <c r="B249" s="7" t="n">
        <v>247</v>
      </c>
      <c r="C249" t="inlineStr">
        <is>
          <t>Quality Assurance Lead</t>
        </is>
      </c>
      <c r="D249" t="inlineStr">
        <is>
          <t>Vietnamworks' Client</t>
        </is>
      </c>
      <c r="E249" t="inlineStr">
        <is>
          <t>Thương lượng</t>
        </is>
      </c>
      <c r="F249" t="inlineStr">
        <is>
          <t>Tây Ninh</t>
        </is>
      </c>
      <c r="G249" t="inlineStr">
        <is>
          <t>Nhân viên</t>
        </is>
      </c>
      <c r="H249" t="inlineStr">
        <is>
          <t>02/02/2026</t>
        </is>
      </c>
      <c r="I249" t="inlineStr">
        <is>
          <t>19/03/2026</t>
        </is>
      </c>
      <c r="J249" t="inlineStr">
        <is>
          <t>17/03/2026</t>
        </is>
      </c>
      <c r="K249" t="inlineStr">
        <is>
          <t>N/A</t>
        </is>
      </c>
      <c r="L249" t="inlineStr">
        <is>
          <t>Medical Device, Mechanical, Product Quality, Quality System, Quality Assurance</t>
        </is>
      </c>
      <c r="M249" t="inlineStr">
        <is>
          <t>Bonus, Healthcare Plan, Paid Leave</t>
        </is>
      </c>
      <c r="N249" s="8">
        <f>HYPERLINK("https://www.vietnamworks.com/quality-assurance-lead--2009122-jv","Xem chi tiết")</f>
        <v/>
      </c>
    </row>
    <row r="250">
      <c r="B250" s="9" t="n">
        <v>248</v>
      </c>
      <c r="C250" s="10" t="inlineStr">
        <is>
          <t>IT Officer</t>
        </is>
      </c>
      <c r="D250" s="10" t="inlineStr">
        <is>
          <t>Trường Quốc Tế Đức Thành Phố Hồ Chí Minh</t>
        </is>
      </c>
      <c r="E250" s="10" t="inlineStr">
        <is>
          <t>Thương lượng</t>
        </is>
      </c>
      <c r="F250" s="10" t="inlineStr">
        <is>
          <t>Hồ Chí Minh</t>
        </is>
      </c>
      <c r="G250" s="10" t="inlineStr">
        <is>
          <t>Nhân viên</t>
        </is>
      </c>
      <c r="H250" s="10" t="inlineStr">
        <is>
          <t>02/02/2026</t>
        </is>
      </c>
      <c r="I250" s="10" t="inlineStr">
        <is>
          <t>19/03/2026</t>
        </is>
      </c>
      <c r="J250" s="10" t="inlineStr">
        <is>
          <t>17/03/2026</t>
        </is>
      </c>
      <c r="K250" s="10" t="inlineStr">
        <is>
          <t>N/A</t>
        </is>
      </c>
      <c r="L250" s="10" t="inlineStr">
        <is>
          <t>IT System Administration, Network Administration, Troubleshooting, Cybersecurity Tools, Problem-solving</t>
        </is>
      </c>
      <c r="M250" s="10" t="inlineStr">
        <is>
          <t>Bonus, Healthcare Plan, Team Activities</t>
        </is>
      </c>
      <c r="N250" s="11">
        <f>HYPERLINK("https://www.vietnamworks.com/it-officer-2009113-jv","Xem chi tiết")</f>
        <v/>
      </c>
      <c r="O250" s="10" t="n"/>
    </row>
    <row r="251">
      <c r="B251" s="7" t="n">
        <v>249</v>
      </c>
      <c r="C251" t="inlineStr">
        <is>
          <t>Account Receivable Accountant (Hanoi)</t>
        </is>
      </c>
      <c r="D251" t="inlineStr">
        <is>
          <t>CapitaLand Development (Vietnam)</t>
        </is>
      </c>
      <c r="E251" t="inlineStr">
        <is>
          <t>Thương lượng</t>
        </is>
      </c>
      <c r="F251" t="inlineStr">
        <is>
          <t>Hà Nội</t>
        </is>
      </c>
      <c r="G251" t="inlineStr">
        <is>
          <t>Nhân viên</t>
        </is>
      </c>
      <c r="H251" t="inlineStr">
        <is>
          <t>02/02/2026</t>
        </is>
      </c>
      <c r="I251" t="inlineStr">
        <is>
          <t>19/03/2026</t>
        </is>
      </c>
      <c r="J251" t="inlineStr">
        <is>
          <t>17/03/2026</t>
        </is>
      </c>
      <c r="K251" t="inlineStr">
        <is>
          <t>N/A</t>
        </is>
      </c>
      <c r="L251" t="inlineStr">
        <is>
          <t>Accounting, Accounting Software, English Fluency, Finance, Tax Regulation</t>
        </is>
      </c>
      <c r="M251" t="inlineStr">
        <is>
          <t>Bonus, Healthcare Plan, Training</t>
        </is>
      </c>
      <c r="N251" s="8">
        <f>HYPERLINK("https://www.vietnamworks.com/account-receivable-accountant-hanoi-2009115-jv","Xem chi tiết")</f>
        <v/>
      </c>
    </row>
    <row r="252">
      <c r="B252" s="9" t="n">
        <v>250</v>
      </c>
      <c r="C252" s="10" t="inlineStr">
        <is>
          <t>Nhân Viên Chất Lượng Công Đoạn</t>
        </is>
      </c>
      <c r="D252" s="10" t="inlineStr">
        <is>
          <t>Sumitomo Electric Interconnect Products (Vietnam), Ltd. [Sepv]</t>
        </is>
      </c>
      <c r="E252" s="10" t="inlineStr">
        <is>
          <t>Thương lượng</t>
        </is>
      </c>
      <c r="F252" s="10" t="inlineStr">
        <is>
          <t>Hà Nội, Bắc Giang, Bắc Ninh</t>
        </is>
      </c>
      <c r="G252" s="10" t="inlineStr">
        <is>
          <t>Nhân viên</t>
        </is>
      </c>
      <c r="H252" s="10" t="inlineStr">
        <is>
          <t>02/02/2026</t>
        </is>
      </c>
      <c r="I252" s="10" t="inlineStr">
        <is>
          <t>19/03/2026</t>
        </is>
      </c>
      <c r="J252" s="10" t="inlineStr">
        <is>
          <t>17/03/2026</t>
        </is>
      </c>
      <c r="K252" s="10" t="inlineStr">
        <is>
          <t>N/A</t>
        </is>
      </c>
      <c r="L252" s="10" t="inlineStr">
        <is>
          <t>Quản Lý Chất Lượng PQC, QA, 7 QC Tools</t>
        </is>
      </c>
      <c r="M252" s="10" t="inlineStr">
        <is>
          <t>Bonus, Healthcare Plan, Transportation</t>
        </is>
      </c>
      <c r="N252" s="11">
        <f>HYPERLINK("https://www.vietnamworks.com/nhan-vien-chat-luong-cong-doan--2009114-jv","Xem chi tiết")</f>
        <v/>
      </c>
      <c r="O252" s="10" t="n"/>
    </row>
    <row r="253">
      <c r="B253" s="7" t="n">
        <v>251</v>
      </c>
      <c r="C253" t="inlineStr">
        <is>
          <t>Cable Extrusion Technician</t>
        </is>
      </c>
      <c r="D253" t="inlineStr">
        <is>
          <t>Công Ty TNHH Amphenol Technology Việt Nam</t>
        </is>
      </c>
      <c r="E253" t="inlineStr">
        <is>
          <t>$$ 500-1,000 /tháng</t>
        </is>
      </c>
      <c r="F253" t="inlineStr">
        <is>
          <t>Tây Ninh</t>
        </is>
      </c>
      <c r="G253" t="inlineStr">
        <is>
          <t>Nhân viên</t>
        </is>
      </c>
      <c r="H253" t="inlineStr">
        <is>
          <t>02/02/2026</t>
        </is>
      </c>
      <c r="I253" t="inlineStr">
        <is>
          <t>19/03/2026</t>
        </is>
      </c>
      <c r="J253" t="inlineStr">
        <is>
          <t>17/03/2026</t>
        </is>
      </c>
      <c r="K253" t="inlineStr">
        <is>
          <t>N/A</t>
        </is>
      </c>
      <c r="L253" t="inlineStr">
        <is>
          <t>Production Reports, Cable Manufacturing, Production Process, Maintenance, Operation</t>
        </is>
      </c>
      <c r="M253" t="inlineStr">
        <is>
          <t>Bonus, Healthcare Plan, Paid Leave</t>
        </is>
      </c>
      <c r="N253" s="8">
        <f>HYPERLINK("https://www.vietnamworks.com/cable-extrusion-technician--2009124-jv","Xem chi tiết")</f>
        <v/>
      </c>
    </row>
    <row r="254">
      <c r="B254" s="9" t="n">
        <v>252</v>
      </c>
      <c r="C254" s="10" t="inlineStr">
        <is>
          <t>Nhân Viên Vẽ Autocad (CAD Operator) (Đi Làm Sau Tết)</t>
        </is>
      </c>
      <c r="D254" s="10" t="inlineStr">
        <is>
          <t>Deep C Industrial Zones</t>
        </is>
      </c>
      <c r="E254" s="10" t="inlineStr">
        <is>
          <t>Thương lượng</t>
        </is>
      </c>
      <c r="F254" s="10" t="inlineStr">
        <is>
          <t>Hải Phòng</t>
        </is>
      </c>
      <c r="G254" s="10" t="inlineStr">
        <is>
          <t>Nhân viên</t>
        </is>
      </c>
      <c r="H254" s="10" t="inlineStr">
        <is>
          <t>02/02/2026</t>
        </is>
      </c>
      <c r="I254" s="10" t="inlineStr">
        <is>
          <t>19/03/2026</t>
        </is>
      </c>
      <c r="J254" s="10" t="inlineStr">
        <is>
          <t>17/03/2026</t>
        </is>
      </c>
      <c r="K254" s="10" t="inlineStr">
        <is>
          <t>N/A</t>
        </is>
      </c>
      <c r="L254" s="10" t="inlineStr">
        <is>
          <t>AutoCad Drawings, Autocad Operation, Revit, Technical Drawing, BIM</t>
        </is>
      </c>
      <c r="M254" s="10" t="inlineStr">
        <is>
          <t>Bonus, Healthcare Plan, Paid Leave</t>
        </is>
      </c>
      <c r="N254" s="11">
        <f>HYPERLINK("https://www.vietnamworks.com/nhan-vien-ve-autocad-cad-operator-di-lam-sau-tet-2009125-jv","Xem chi tiết")</f>
        <v/>
      </c>
      <c r="O254" s="10" t="n"/>
    </row>
    <row r="255">
      <c r="B255" s="7" t="n">
        <v>253</v>
      </c>
      <c r="C255" t="inlineStr">
        <is>
          <t>Giám Sát Bán Hàng Tài Năng Kênh MT - Base HCM Phụ trách Tỉnh</t>
        </is>
      </c>
      <c r="D255" t="inlineStr">
        <is>
          <t>Diana Unicharm JSC</t>
        </is>
      </c>
      <c r="E255" t="inlineStr">
        <is>
          <t>Thương lượng</t>
        </is>
      </c>
      <c r="F255" t="inlineStr">
        <is>
          <t>Hồ Chí Minh</t>
        </is>
      </c>
      <c r="G255" t="inlineStr">
        <is>
          <t>Nhân viên</t>
        </is>
      </c>
      <c r="H255" t="inlineStr">
        <is>
          <t>02/02/2026</t>
        </is>
      </c>
      <c r="I255" t="inlineStr">
        <is>
          <t>19/03/2026</t>
        </is>
      </c>
      <c r="J255" t="inlineStr">
        <is>
          <t>17/03/2026</t>
        </is>
      </c>
      <c r="K255" t="inlineStr">
        <is>
          <t>N/A</t>
        </is>
      </c>
      <c r="L255" t="inlineStr">
        <is>
          <t>Kỹ năng tổ chức, Lập Kế Hoạch Bán Hàng, Xây Dựng Mối Quan Hệ</t>
        </is>
      </c>
      <c r="M255" t="inlineStr">
        <is>
          <t>Bonus, Healthcare Plan, Paid Leave</t>
        </is>
      </c>
      <c r="N255" s="8">
        <f>HYPERLINK("https://www.vietnamworks.com/giam-sat-ban-hang-tai-nang-kenh-mt-base-hcm-phu-trach-tinh-2009129-jv","Xem chi tiết")</f>
        <v/>
      </c>
    </row>
    <row r="256">
      <c r="B256" s="9" t="n">
        <v>254</v>
      </c>
      <c r="C256" s="10" t="inlineStr">
        <is>
          <t>Cable Equipment Maintenance Engineer</t>
        </is>
      </c>
      <c r="D256" s="10" t="inlineStr">
        <is>
          <t>Công Ty TNHH Amphenol Technology Việt Nam</t>
        </is>
      </c>
      <c r="E256" s="10" t="inlineStr">
        <is>
          <t>Thương lượng</t>
        </is>
      </c>
      <c r="F256" s="10" t="inlineStr">
        <is>
          <t>Tây Ninh</t>
        </is>
      </c>
      <c r="G256" s="10" t="inlineStr">
        <is>
          <t>Nhân viên</t>
        </is>
      </c>
      <c r="H256" s="10" t="inlineStr">
        <is>
          <t>02/02/2026</t>
        </is>
      </c>
      <c r="I256" s="10" t="inlineStr">
        <is>
          <t>19/03/2026</t>
        </is>
      </c>
      <c r="J256" s="10" t="inlineStr">
        <is>
          <t>17/03/2026</t>
        </is>
      </c>
      <c r="K256" s="10" t="inlineStr">
        <is>
          <t>N/A</t>
        </is>
      </c>
      <c r="L256" s="10" t="inlineStr">
        <is>
          <t>English, Equipment Maintenance, Electronics, Documentation Skills, High-Voltage Systems</t>
        </is>
      </c>
      <c r="M256" s="10" t="inlineStr">
        <is>
          <t>Bonus, Healthcare Plan, Paid Leave</t>
        </is>
      </c>
      <c r="N256" s="11">
        <f>HYPERLINK("https://www.vietnamworks.com/cable-equipment-maintenance-engineer--2009126-jv","Xem chi tiết")</f>
        <v/>
      </c>
      <c r="O256" s="10" t="n"/>
    </row>
    <row r="257">
      <c r="B257" s="7" t="n">
        <v>255</v>
      </c>
      <c r="C257" t="inlineStr">
        <is>
          <t>Giám Sát Bán Hàng (Sales Supervisor) Upto 25 Triệu</t>
        </is>
      </c>
      <c r="D257" t="inlineStr">
        <is>
          <t>Công Ty Cổ Phần Chế Tạo Và Lắp Ráp Thiết Bị Điện Việt Nam</t>
        </is>
      </c>
      <c r="E257" t="inlineStr">
        <is>
          <t>Tới 25tr ₫/tháng</t>
        </is>
      </c>
      <c r="F257" t="inlineStr">
        <is>
          <t>Quảng Trị, Thanh Hóa, Bắc Ninh</t>
        </is>
      </c>
      <c r="G257" t="inlineStr">
        <is>
          <t>Nhân viên</t>
        </is>
      </c>
      <c r="H257" t="inlineStr">
        <is>
          <t>02/02/2026</t>
        </is>
      </c>
      <c r="I257" t="inlineStr">
        <is>
          <t>19/03/2026</t>
        </is>
      </c>
      <c r="J257" t="inlineStr">
        <is>
          <t>17/03/2026</t>
        </is>
      </c>
      <c r="K257" t="inlineStr">
        <is>
          <t>N/A</t>
        </is>
      </c>
      <c r="L257" t="inlineStr">
        <is>
          <t>Kiến Thức Thị Trường Led, Giám Sát Bán Hàng, Phát Triển Thị Trường, Quản Lý Đội Ngũ, Đàm Phán Thương Lượng</t>
        </is>
      </c>
      <c r="M257" t="inlineStr">
        <is>
          <t>Bonus, Healthcare Plan, Training, Travel Opportunities, Transportation, Others</t>
        </is>
      </c>
      <c r="N257" s="8">
        <f>HYPERLINK("https://www.vietnamworks.com/giam-sat-ban-hang-sales-supervisor-upto-25-trieu-2009127-jv","Xem chi tiết")</f>
        <v/>
      </c>
    </row>
    <row r="258">
      <c r="B258" s="9" t="n">
        <v>256</v>
      </c>
      <c r="C258" s="10" t="inlineStr">
        <is>
          <t>Construction Manager</t>
        </is>
      </c>
      <c r="D258" s="10" t="inlineStr">
        <is>
          <t>LOTTE LAND CO., LTD – A Member Of LOTTE E&amp;C</t>
        </is>
      </c>
      <c r="E258" s="10" t="inlineStr">
        <is>
          <t>25tr-40tr ₫/tháng</t>
        </is>
      </c>
      <c r="F258" s="10" t="inlineStr">
        <is>
          <t>Hồ Chí Minh</t>
        </is>
      </c>
      <c r="G258" s="10" t="inlineStr">
        <is>
          <t>Trưởng phòng</t>
        </is>
      </c>
      <c r="H258" s="10" t="inlineStr">
        <is>
          <t>02/02/2026</t>
        </is>
      </c>
      <c r="I258" s="10" t="inlineStr">
        <is>
          <t>19/03/2026</t>
        </is>
      </c>
      <c r="J258" s="10" t="inlineStr">
        <is>
          <t>17/03/2026</t>
        </is>
      </c>
      <c r="K258" s="10" t="inlineStr">
        <is>
          <t>N/A</t>
        </is>
      </c>
      <c r="L258" s="10" t="inlineStr">
        <is>
          <t>Construction Management, Quantity Surveyor Management, Project Planning, Technical Support, Quản Lý Xây Dựng</t>
        </is>
      </c>
      <c r="M258" s="10" t="inlineStr">
        <is>
          <t>Bonus, Healthcare Plan, Awards</t>
        </is>
      </c>
      <c r="N258" s="11">
        <f>HYPERLINK("https://www.vietnamworks.com/construction-manager-2009134-jv","Xem chi tiết")</f>
        <v/>
      </c>
      <c r="O258" s="10" t="n"/>
    </row>
    <row r="259">
      <c r="B259" s="7" t="n">
        <v>257</v>
      </c>
      <c r="C259" t="inlineStr">
        <is>
          <t>General Accountant</t>
        </is>
      </c>
      <c r="D259" t="inlineStr">
        <is>
          <t>OPUS MANUFACTURING</t>
        </is>
      </c>
      <c r="E259" t="inlineStr">
        <is>
          <t>Thương lượng</t>
        </is>
      </c>
      <c r="F259" t="inlineStr">
        <is>
          <t>Long An, Hồ Chí Minh</t>
        </is>
      </c>
      <c r="G259" t="inlineStr">
        <is>
          <t>Nhân viên</t>
        </is>
      </c>
      <c r="H259" t="inlineStr">
        <is>
          <t>02/02/2026</t>
        </is>
      </c>
      <c r="I259" t="inlineStr">
        <is>
          <t>19/03/2026</t>
        </is>
      </c>
      <c r="J259" t="inlineStr">
        <is>
          <t>17/03/2026</t>
        </is>
      </c>
      <c r="K259" t="inlineStr">
        <is>
          <t>N/A</t>
        </is>
      </c>
      <c r="L259" t="inlineStr">
        <is>
          <t>Accounting Procedure, English Communicate, Finance Development, General Accounting, Microsoft Office</t>
        </is>
      </c>
      <c r="M259" t="inlineStr">
        <is>
          <t>Healthcare Plan, Paid Leave, Laptop, Transportation</t>
        </is>
      </c>
      <c r="N259" s="8">
        <f>HYPERLINK("https://www.vietnamworks.com/general-accountant-2009132-jv","Xem chi tiết")</f>
        <v/>
      </c>
    </row>
    <row r="260">
      <c r="B260" s="9" t="n">
        <v>258</v>
      </c>
      <c r="C260" s="10" t="inlineStr">
        <is>
          <t>Trưởng Phòng Kinh Doanh (Golf)</t>
        </is>
      </c>
      <c r="D260" s="10" t="inlineStr">
        <is>
          <t>Công Ty Cổ Phần Tập Đoàn BRG</t>
        </is>
      </c>
      <c r="E260" s="10" t="inlineStr">
        <is>
          <t>Thương lượng</t>
        </is>
      </c>
      <c r="F260" s="10" t="inlineStr">
        <is>
          <t>Đà Nẵng</t>
        </is>
      </c>
      <c r="G260" s="10" t="inlineStr">
        <is>
          <t>Trưởng phòng</t>
        </is>
      </c>
      <c r="H260" s="10" t="inlineStr">
        <is>
          <t>02/02/2026</t>
        </is>
      </c>
      <c r="I260" s="10" t="inlineStr">
        <is>
          <t>19/03/2026</t>
        </is>
      </c>
      <c r="J260" s="10" t="inlineStr">
        <is>
          <t>17/03/2026</t>
        </is>
      </c>
      <c r="K260" s="10" t="inlineStr">
        <is>
          <t>N/A</t>
        </is>
      </c>
      <c r="L260" s="10" t="inlineStr">
        <is>
          <t>Sales manager, Golf, Hospitality</t>
        </is>
      </c>
      <c r="M260" s="10" t="inlineStr">
        <is>
          <t>Bonus, Healthcare Plan, Travel Opportunities</t>
        </is>
      </c>
      <c r="N260" s="11">
        <f>HYPERLINK("https://www.vietnamworks.com/truong-phong-kinh-doanh-golf--2009139-jv","Xem chi tiết")</f>
        <v/>
      </c>
      <c r="O260" s="10" t="n"/>
    </row>
    <row r="261">
      <c r="B261" s="7" t="n">
        <v>259</v>
      </c>
      <c r="C261" t="inlineStr">
        <is>
          <t>Unit Head of Talent Acquisition</t>
        </is>
      </c>
      <c r="D261" t="inlineStr">
        <is>
          <t>Công Ty Tài Chính TNHH Ngân Hàng TMCP Sài Gòn - Hà Nội (SHBFinance)</t>
        </is>
      </c>
      <c r="E261" t="inlineStr">
        <is>
          <t>Thương lượng</t>
        </is>
      </c>
      <c r="F261" t="inlineStr">
        <is>
          <t>Hồ Chí Minh</t>
        </is>
      </c>
      <c r="G261" t="inlineStr">
        <is>
          <t>Trưởng phòng</t>
        </is>
      </c>
      <c r="H261" t="inlineStr">
        <is>
          <t>02/02/2026</t>
        </is>
      </c>
      <c r="I261" t="inlineStr">
        <is>
          <t>19/03/2026</t>
        </is>
      </c>
      <c r="J261" t="inlineStr">
        <is>
          <t>17/03/2026</t>
        </is>
      </c>
      <c r="K261" t="inlineStr">
        <is>
          <t>N/A</t>
        </is>
      </c>
      <c r="L261" t="inlineStr">
        <is>
          <t>Talent Acquisition, Recruitment, Nhân Sự, Sourcing, Employer Branding</t>
        </is>
      </c>
      <c r="M261" t="inlineStr">
        <is>
          <t>Bonus, Healthcare Plan, Travel Opportunities</t>
        </is>
      </c>
      <c r="N261" s="8">
        <f>HYPERLINK("https://www.vietnamworks.com/unit-head-of-talent-acquisition-2009144-jv","Xem chi tiết")</f>
        <v/>
      </c>
    </row>
    <row r="262">
      <c r="B262" s="9" t="n">
        <v>260</v>
      </c>
      <c r="C262" s="10" t="inlineStr">
        <is>
          <t>Quản Lý Phát Triển Đại Lý</t>
        </is>
      </c>
      <c r="D262" s="10" t="inlineStr">
        <is>
          <t>VINFAST TRADING AND PRODUCTION JSC</t>
        </is>
      </c>
      <c r="E262" s="10" t="inlineStr">
        <is>
          <t>Thương lượng</t>
        </is>
      </c>
      <c r="F262" s="10" t="inlineStr">
        <is>
          <t>Hồ Chí Minh</t>
        </is>
      </c>
      <c r="G262" s="10" t="inlineStr">
        <is>
          <t>Nhân viên</t>
        </is>
      </c>
      <c r="H262" s="10" t="inlineStr">
        <is>
          <t>02/02/2026</t>
        </is>
      </c>
      <c r="I262" s="10" t="inlineStr">
        <is>
          <t>19/03/2026</t>
        </is>
      </c>
      <c r="J262" s="10" t="inlineStr">
        <is>
          <t>17/03/2026</t>
        </is>
      </c>
      <c r="K262" s="10" t="inlineStr">
        <is>
          <t>N/A</t>
        </is>
      </c>
      <c r="L262" s="10" t="inlineStr">
        <is>
          <t>Dealer Network, Channel Development, Phát Triển Đại Lý, Tìm Kiếm Đối Tác, Business Expansion</t>
        </is>
      </c>
      <c r="M262" s="10" t="inlineStr">
        <is>
          <t>Bonus, Healthcare Plan, Others</t>
        </is>
      </c>
      <c r="N262" s="11">
        <f>HYPERLINK("https://www.vietnamworks.com/quan-ly-phat-trien-dai-ly-2009131-jv","Xem chi tiết")</f>
        <v/>
      </c>
      <c r="O262" s="10" t="n"/>
    </row>
    <row r="263">
      <c r="B263" s="7" t="n">
        <v>261</v>
      </c>
      <c r="C263" t="inlineStr">
        <is>
          <t>Nhân Viên Marketing Full-Time</t>
        </is>
      </c>
      <c r="D263" t="inlineStr">
        <is>
          <t>Công ty TNHH Trawise</t>
        </is>
      </c>
      <c r="E263" t="inlineStr">
        <is>
          <t>$$ 500-1,000 /tháng</t>
        </is>
      </c>
      <c r="F263" t="inlineStr">
        <is>
          <t>Hà Nội</t>
        </is>
      </c>
      <c r="G263" t="inlineStr">
        <is>
          <t>Nhân viên</t>
        </is>
      </c>
      <c r="H263" t="inlineStr">
        <is>
          <t>02/02/2026</t>
        </is>
      </c>
      <c r="I263" t="inlineStr">
        <is>
          <t>19/03/2026</t>
        </is>
      </c>
      <c r="J263" t="inlineStr">
        <is>
          <t>17/03/2026</t>
        </is>
      </c>
      <c r="K263" t="inlineStr">
        <is>
          <t>N/A</t>
        </is>
      </c>
      <c r="L263" t="inlineStr">
        <is>
          <t>Marketing Strategy, Quản Lý Fanpage, Marketing, Youtube, Quản Trị Nội Dung Website</t>
        </is>
      </c>
      <c r="M263" t="inlineStr">
        <is>
          <t>Paid Leave, Training, Travel Opportunities</t>
        </is>
      </c>
      <c r="N263" s="8">
        <f>HYPERLINK("https://www.vietnamworks.com/nhan-vien-marketing-full-time--2009158-jv","Xem chi tiết")</f>
        <v/>
      </c>
    </row>
    <row r="264">
      <c r="B264" s="9" t="n">
        <v>262</v>
      </c>
      <c r="C264" s="10" t="inlineStr">
        <is>
          <t>Import/Export Documentation Staff (Urgent)</t>
        </is>
      </c>
      <c r="D264" s="10" t="inlineStr">
        <is>
          <t>Meiko Trans (Vietnam) Co., Ltd.</t>
        </is>
      </c>
      <c r="E264" s="10" t="inlineStr">
        <is>
          <t>Thương lượng</t>
        </is>
      </c>
      <c r="F264" s="10" t="inlineStr">
        <is>
          <t>Hà Nội</t>
        </is>
      </c>
      <c r="G264" s="10" t="inlineStr">
        <is>
          <t>Nhân viên</t>
        </is>
      </c>
      <c r="H264" s="10" t="inlineStr">
        <is>
          <t>02/02/2026</t>
        </is>
      </c>
      <c r="I264" s="10" t="inlineStr">
        <is>
          <t>19/03/2026</t>
        </is>
      </c>
      <c r="J264" s="10" t="inlineStr">
        <is>
          <t>17/03/2026</t>
        </is>
      </c>
      <c r="K264" s="10" t="inlineStr">
        <is>
          <t>N/A</t>
        </is>
      </c>
      <c r="L264" s="10" t="inlineStr">
        <is>
          <t>Xuất Nhập Khẩu, Chứng Từ Xuất Nhập Khẩu, Thông Quan, Vận Tải, Logistics</t>
        </is>
      </c>
      <c r="M264" s="10" t="inlineStr">
        <is>
          <t>Bonus, Healthcare Plan, Travel Opportunities</t>
        </is>
      </c>
      <c r="N264" s="11">
        <f>HYPERLINK("https://www.vietnamworks.com/import-export-documentation-staff-urgent-2009160-jv","Xem chi tiết")</f>
        <v/>
      </c>
      <c r="O264" s="10" t="n"/>
    </row>
    <row r="265">
      <c r="B265" s="7" t="n">
        <v>263</v>
      </c>
      <c r="C265" t="inlineStr">
        <is>
          <t>Product Owner (Banking &amp; Insurance Loyalty Integration)</t>
        </is>
      </c>
      <c r="D265" t="inlineStr">
        <is>
          <t>Galaxy Digital Holdings Co., Ltd (GH)</t>
        </is>
      </c>
      <c r="E265" t="inlineStr">
        <is>
          <t>Thương lượng</t>
        </is>
      </c>
      <c r="F265" t="inlineStr">
        <is>
          <t>Hồ Chí Minh</t>
        </is>
      </c>
      <c r="G265" t="inlineStr">
        <is>
          <t>Nhân viên</t>
        </is>
      </c>
      <c r="H265" t="inlineStr">
        <is>
          <t>02/02/2026</t>
        </is>
      </c>
      <c r="I265" t="inlineStr">
        <is>
          <t>19/03/2026</t>
        </is>
      </c>
      <c r="J265" t="inlineStr">
        <is>
          <t>17/03/2026</t>
        </is>
      </c>
      <c r="K265" t="inlineStr">
        <is>
          <t>N/A</t>
        </is>
      </c>
      <c r="L265" t="inlineStr">
        <is>
          <t>Backend, NodeJS</t>
        </is>
      </c>
      <c r="M265" t="inlineStr">
        <is>
          <t>Bonus, Paid Leave, Travel Opportunities</t>
        </is>
      </c>
      <c r="N265" s="8">
        <f>HYPERLINK("https://www.vietnamworks.com/product-owner-banking-insurance-loyalty-integration-2009161-jv","Xem chi tiết")</f>
        <v/>
      </c>
    </row>
    <row r="266">
      <c r="B266" s="9" t="n">
        <v>264</v>
      </c>
      <c r="C266" s="10" t="inlineStr">
        <is>
          <t>Giám Đốc Phát Triển Năng Lực Kinh Doanh</t>
        </is>
      </c>
      <c r="D266" s="10" t="inlineStr">
        <is>
          <t>Ngân Hàng TMCP Đại Chúng Việt Nam</t>
        </is>
      </c>
      <c r="E266" s="10" t="inlineStr">
        <is>
          <t>$$ 1,500-2,000 /tháng</t>
        </is>
      </c>
      <c r="F266" s="10" t="inlineStr">
        <is>
          <t>Hà Nội</t>
        </is>
      </c>
      <c r="G266" s="10" t="inlineStr">
        <is>
          <t>Giám Đốc và Cấp Cao Hơn</t>
        </is>
      </c>
      <c r="H266" s="10" t="inlineStr">
        <is>
          <t>02/02/2026</t>
        </is>
      </c>
      <c r="I266" s="10" t="inlineStr">
        <is>
          <t>19/03/2026</t>
        </is>
      </c>
      <c r="J266" s="10" t="inlineStr">
        <is>
          <t>17/03/2026</t>
        </is>
      </c>
      <c r="K266" s="10" t="inlineStr">
        <is>
          <t>N/A</t>
        </is>
      </c>
      <c r="L266" s="10" t="inlineStr">
        <is>
          <t>Đào Tạo Nhân Lực, Đào Tạo, Ngân hàng</t>
        </is>
      </c>
      <c r="M266" s="10" t="inlineStr">
        <is>
          <t>Bonus, Healthcare Plan, Canteen</t>
        </is>
      </c>
      <c r="N266" s="11">
        <f>HYPERLINK("https://www.vietnamworks.com/giam-doc-phat-trien-nang-luc-kinh-doanh--2009136-jv","Xem chi tiết")</f>
        <v/>
      </c>
      <c r="O266" s="10" t="n"/>
    </row>
    <row r="267">
      <c r="B267" s="7" t="n">
        <v>265</v>
      </c>
      <c r="C267" t="inlineStr">
        <is>
          <t>Kỹ Sư Giám Sát Cơ Điện Ban Quản Lý Dự Án (Chủ Đầu Tư)</t>
        </is>
      </c>
      <c r="D267" t="inlineStr">
        <is>
          <t>Alphanam Group</t>
        </is>
      </c>
      <c r="E267" t="inlineStr">
        <is>
          <t>$$ 1,000-1,500 /tháng</t>
        </is>
      </c>
      <c r="F267" t="inlineStr">
        <is>
          <t>Lào Cai</t>
        </is>
      </c>
      <c r="G267" t="inlineStr">
        <is>
          <t>Nhân viên</t>
        </is>
      </c>
      <c r="H267" t="inlineStr">
        <is>
          <t>02/02/2026</t>
        </is>
      </c>
      <c r="I267" t="inlineStr">
        <is>
          <t>19/03/2026</t>
        </is>
      </c>
      <c r="J267" t="inlineStr">
        <is>
          <t>17/03/2026</t>
        </is>
      </c>
      <c r="K267" t="inlineStr">
        <is>
          <t>N/A</t>
        </is>
      </c>
      <c r="L267" t="inlineStr">
        <is>
          <t>Giám Sát Cơ Điện, Vận Hành Tòa Nhà, Nghiệm Thu Bàn Giao</t>
        </is>
      </c>
      <c r="M267" t="inlineStr">
        <is>
          <t>Bonus, Training, Travel Opportunities</t>
        </is>
      </c>
      <c r="N267" s="8">
        <f>HYPERLINK("https://www.vietnamworks.com/ky-su-giam-sat-co-dien-ban-quan-ly-du-an-chu-dau-tu-2009142-jv","Xem chi tiết")</f>
        <v/>
      </c>
    </row>
    <row r="268">
      <c r="B268" s="9" t="n">
        <v>266</v>
      </c>
      <c r="C268" s="10" t="inlineStr">
        <is>
          <t>IT Transformation Manager_Leading FMCG Organisation</t>
        </is>
      </c>
      <c r="D268" s="10" t="inlineStr">
        <is>
          <t>Michael Page Vietnam</t>
        </is>
      </c>
      <c r="E268" s="10" t="inlineStr">
        <is>
          <t>$$ 3,000-4,000 /tháng</t>
        </is>
      </c>
      <c r="F268" s="10" t="inlineStr">
        <is>
          <t>Hồ Chí Minh</t>
        </is>
      </c>
      <c r="G268" s="10" t="inlineStr">
        <is>
          <t>Trưởng phòng</t>
        </is>
      </c>
      <c r="H268" s="10" t="inlineStr">
        <is>
          <t>02/02/2026</t>
        </is>
      </c>
      <c r="I268" s="10" t="inlineStr">
        <is>
          <t>19/03/2026</t>
        </is>
      </c>
      <c r="J268" s="10" t="inlineStr">
        <is>
          <t>17/03/2026</t>
        </is>
      </c>
      <c r="K268" s="10" t="inlineStr">
        <is>
          <t>N/A</t>
        </is>
      </c>
      <c r="L268" s="10" t="inlineStr">
        <is>
          <t>IT, IT Transformation, ERP, MES, Retail Operations</t>
        </is>
      </c>
      <c r="M268" s="10" t="inlineStr">
        <is>
          <t>Bonus</t>
        </is>
      </c>
      <c r="N268" s="11">
        <f>HYPERLINK("https://www.vietnamworks.com/it-transformation-manager-leading-fmcg-organisation-2009150-jv","Xem chi tiết")</f>
        <v/>
      </c>
      <c r="O268" s="10" t="n"/>
    </row>
    <row r="269">
      <c r="B269" s="7" t="n">
        <v>267</v>
      </c>
      <c r="C269" t="inlineStr">
        <is>
          <t>Quality Manager - EMS Industry</t>
        </is>
      </c>
      <c r="D269" t="inlineStr">
        <is>
          <t>Michael Page Vietnam</t>
        </is>
      </c>
      <c r="E269" t="inlineStr">
        <is>
          <t>$$ 2,000-3,000 /tháng</t>
        </is>
      </c>
      <c r="F269" t="inlineStr">
        <is>
          <t>Đồng Nai</t>
        </is>
      </c>
      <c r="G269" t="inlineStr">
        <is>
          <t>Trưởng phòng</t>
        </is>
      </c>
      <c r="H269" t="inlineStr">
        <is>
          <t>02/02/2026</t>
        </is>
      </c>
      <c r="I269" t="inlineStr">
        <is>
          <t>19/03/2026</t>
        </is>
      </c>
      <c r="J269" t="inlineStr">
        <is>
          <t>17/03/2026</t>
        </is>
      </c>
      <c r="K269" t="inlineStr">
        <is>
          <t>N/A</t>
        </is>
      </c>
      <c r="L269" t="inlineStr">
        <is>
          <t>Quality Management, PCBA, EMS, CAPA, Electronics</t>
        </is>
      </c>
      <c r="M269" t="inlineStr">
        <is>
          <t>Bonus, Transportation, Canteen</t>
        </is>
      </c>
      <c r="N269" s="8">
        <f>HYPERLINK("https://www.vietnamworks.com/quality-manager-ems-industry-2009149-jv","Xem chi tiết")</f>
        <v/>
      </c>
    </row>
    <row r="270">
      <c r="B270" s="9" t="n">
        <v>268</v>
      </c>
      <c r="C270" s="10" t="inlineStr">
        <is>
          <t>Sales Engineer</t>
        </is>
      </c>
      <c r="D270" s="10" t="inlineStr">
        <is>
          <t>CÔNG TY TNHH TỰ ĐỘNG HÓA ECA VIỆT NAM</t>
        </is>
      </c>
      <c r="E270" s="10" t="inlineStr">
        <is>
          <t>Thương lượng</t>
        </is>
      </c>
      <c r="F270" s="10" t="inlineStr">
        <is>
          <t>Hồ Chí Minh</t>
        </is>
      </c>
      <c r="G270" s="10" t="inlineStr">
        <is>
          <t>Nhân viên</t>
        </is>
      </c>
      <c r="H270" s="10" t="inlineStr">
        <is>
          <t>02/02/2026</t>
        </is>
      </c>
      <c r="I270" s="10" t="inlineStr">
        <is>
          <t>19/03/2026</t>
        </is>
      </c>
      <c r="J270" s="10" t="inlineStr">
        <is>
          <t>17/03/2026</t>
        </is>
      </c>
      <c r="K270" s="10" t="inlineStr">
        <is>
          <t>N/A</t>
        </is>
      </c>
      <c r="L270" s="10" t="inlineStr">
        <is>
          <t>Customer Service, English, MS Office, Problem Solving, Sales Engineering</t>
        </is>
      </c>
      <c r="M270" s="10" t="inlineStr">
        <is>
          <t>Bonus, Healthcare Plan, Laptop, Others</t>
        </is>
      </c>
      <c r="N270" s="11">
        <f>HYPERLINK("https://www.vietnamworks.com/sales-engineer-2009145-jv","Xem chi tiết")</f>
        <v/>
      </c>
      <c r="O270" s="10" t="n"/>
    </row>
    <row r="271">
      <c r="B271" s="7" t="n">
        <v>269</v>
      </c>
      <c r="C271" t="inlineStr">
        <is>
          <t>Chuyên Viên Cao Cấp Thiết Kế</t>
        </is>
      </c>
      <c r="D271" t="inlineStr">
        <is>
          <t>Ngân Hàng TMCP Quốc Tế Việt Nam (VIB)</t>
        </is>
      </c>
      <c r="E271" t="inlineStr">
        <is>
          <t>Thương lượng</t>
        </is>
      </c>
      <c r="F271" t="inlineStr">
        <is>
          <t>Hồ Chí Minh</t>
        </is>
      </c>
      <c r="G271" t="inlineStr">
        <is>
          <t>Nhân viên</t>
        </is>
      </c>
      <c r="H271" t="inlineStr">
        <is>
          <t>02/02/2026</t>
        </is>
      </c>
      <c r="I271" t="inlineStr">
        <is>
          <t>19/03/2026</t>
        </is>
      </c>
      <c r="J271" t="inlineStr">
        <is>
          <t>17/03/2026</t>
        </is>
      </c>
      <c r="K271" t="inlineStr">
        <is>
          <t>N/A</t>
        </is>
      </c>
      <c r="L271" t="inlineStr">
        <is>
          <t>Thiết Kế Kiến Trúc, Sketchup, Kiến Trúc Xây Dựng, Thiết Kế 3D, Revit</t>
        </is>
      </c>
      <c r="M271" t="inlineStr">
        <is>
          <t>Bonus, Paid Leave, Travel Opportunities</t>
        </is>
      </c>
      <c r="N271" s="8">
        <f>HYPERLINK("https://www.vietnamworks.com/chuyen-vien-cao-cap-thiet-ke--2009147-jv","Xem chi tiết")</f>
        <v/>
      </c>
    </row>
    <row r="272">
      <c r="B272" s="9" t="n">
        <v>270</v>
      </c>
      <c r="C272" s="10" t="inlineStr">
        <is>
          <t>Trưởng Phòng Tổ Chức Thanh Quyết Toán</t>
        </is>
      </c>
      <c r="D272" s="10" t="inlineStr">
        <is>
          <t>Công Ty Cổ Phần Tổng Công Ty Nova Service</t>
        </is>
      </c>
      <c r="E272" s="10" t="inlineStr">
        <is>
          <t>Thương lượng</t>
        </is>
      </c>
      <c r="F272" s="10" t="inlineStr">
        <is>
          <t>Hồ Chí Minh</t>
        </is>
      </c>
      <c r="G272" s="10" t="inlineStr">
        <is>
          <t>Trưởng phòng</t>
        </is>
      </c>
      <c r="H272" s="10" t="inlineStr">
        <is>
          <t>02/02/2026</t>
        </is>
      </c>
      <c r="I272" s="10" t="inlineStr">
        <is>
          <t>19/03/2026</t>
        </is>
      </c>
      <c r="J272" s="10" t="inlineStr">
        <is>
          <t>17/03/2026</t>
        </is>
      </c>
      <c r="K272" s="10" t="inlineStr">
        <is>
          <t>N/A</t>
        </is>
      </c>
      <c r="L272" s="10" t="inlineStr">
        <is>
          <t>Thanh Toán, Đấu Thầu Mua Sắm, Cung Ứng, Thanh Quyết Toán</t>
        </is>
      </c>
      <c r="M272" s="10" t="inlineStr">
        <is>
          <t>Bonus, Paid Leave, Training</t>
        </is>
      </c>
      <c r="N272" s="11">
        <f>HYPERLINK("https://www.vietnamworks.com/truong-phong-to-chuc-thanh-quyet-toan--2009138-jv","Xem chi tiết")</f>
        <v/>
      </c>
      <c r="O272" s="10" t="n"/>
    </row>
    <row r="273">
      <c r="B273" s="7" t="n">
        <v>271</v>
      </c>
      <c r="C273" t="inlineStr">
        <is>
          <t>Automation Software Engineer</t>
        </is>
      </c>
      <c r="D273" t="inlineStr">
        <is>
          <t>CÔNG TY TNHH TỰ ĐỘNG HÓA ECA VIỆT NAM</t>
        </is>
      </c>
      <c r="E273" t="inlineStr">
        <is>
          <t>Thương lượng</t>
        </is>
      </c>
      <c r="F273" t="inlineStr">
        <is>
          <t>Hồ Chí Minh</t>
        </is>
      </c>
      <c r="G273" t="inlineStr">
        <is>
          <t>Nhân viên</t>
        </is>
      </c>
      <c r="H273" t="inlineStr">
        <is>
          <t>02/02/2026</t>
        </is>
      </c>
      <c r="I273" t="inlineStr">
        <is>
          <t>19/03/2026</t>
        </is>
      </c>
      <c r="J273" t="inlineStr">
        <is>
          <t>17/03/2026</t>
        </is>
      </c>
      <c r="K273" t="inlineStr">
        <is>
          <t>N/A</t>
        </is>
      </c>
      <c r="L273" t="inlineStr">
        <is>
          <t>C#, Communication Skills, English, PLC Programming</t>
        </is>
      </c>
      <c r="M273" t="inlineStr">
        <is>
          <t>Bonus, Healthcare Plan, Laptop, Others</t>
        </is>
      </c>
      <c r="N273" s="8">
        <f>HYPERLINK("https://www.vietnamworks.com/automation-software-engineer--2009143-jv","Xem chi tiết")</f>
        <v/>
      </c>
    </row>
    <row r="274">
      <c r="B274" s="9" t="n">
        <v>272</v>
      </c>
      <c r="C274" s="10" t="inlineStr">
        <is>
          <t>Unit Head of HRBP</t>
        </is>
      </c>
      <c r="D274" s="10" t="inlineStr">
        <is>
          <t>Công Ty Tài Chính TNHH Ngân Hàng TMCP Sài Gòn - Hà Nội (SHBFinance)</t>
        </is>
      </c>
      <c r="E274" s="10" t="inlineStr">
        <is>
          <t>Thương lượng</t>
        </is>
      </c>
      <c r="F274" s="10" t="inlineStr">
        <is>
          <t>Hồ Chí Minh</t>
        </is>
      </c>
      <c r="G274" s="10" t="inlineStr">
        <is>
          <t>Trưởng phòng</t>
        </is>
      </c>
      <c r="H274" s="10" t="inlineStr">
        <is>
          <t>02/02/2026</t>
        </is>
      </c>
      <c r="I274" s="10" t="inlineStr">
        <is>
          <t>19/03/2026</t>
        </is>
      </c>
      <c r="J274" s="10" t="inlineStr">
        <is>
          <t>17/03/2026</t>
        </is>
      </c>
      <c r="K274" s="10" t="inlineStr">
        <is>
          <t>N/A</t>
        </is>
      </c>
      <c r="L274" s="10" t="inlineStr">
        <is>
          <t>HRBP, HRBP Management, HRBP Operation, HRBP Tasks, Nhân Sự</t>
        </is>
      </c>
      <c r="M274" s="10" t="inlineStr">
        <is>
          <t>Bonus, Healthcare Plan, Travel Opportunities</t>
        </is>
      </c>
      <c r="N274" s="11">
        <f>HYPERLINK("https://www.vietnamworks.com/unit-head-of-hrbp-2009148-jv","Xem chi tiết")</f>
        <v/>
      </c>
      <c r="O274" s="10" t="n"/>
    </row>
    <row r="275">
      <c r="B275" s="7" t="n">
        <v>273</v>
      </c>
      <c r="C275" t="inlineStr">
        <is>
          <t>Quality Engineer</t>
        </is>
      </c>
      <c r="D275" t="inlineStr">
        <is>
          <t>CÔNG TY TNHH AMPHENOL TECHNOLOGY VIỆT NAM</t>
        </is>
      </c>
      <c r="E275" t="inlineStr">
        <is>
          <t>Thương lượng</t>
        </is>
      </c>
      <c r="F275" t="inlineStr">
        <is>
          <t>Long An</t>
        </is>
      </c>
      <c r="G275" t="inlineStr">
        <is>
          <t>Nhân viên</t>
        </is>
      </c>
      <c r="H275" t="inlineStr">
        <is>
          <t>02/02/2026</t>
        </is>
      </c>
      <c r="I275" t="inlineStr">
        <is>
          <t>19/03/2026</t>
        </is>
      </c>
      <c r="J275" t="inlineStr">
        <is>
          <t>17/03/2026</t>
        </is>
      </c>
      <c r="K275" t="inlineStr">
        <is>
          <t>N/A</t>
        </is>
      </c>
      <c r="L275" t="inlineStr">
        <is>
          <t>Quality Control, Quality Assurance, QC, QA, Quality Management</t>
        </is>
      </c>
      <c r="M275" t="inlineStr">
        <is>
          <t>Bonus, Healthcare Plan, Paid Leave</t>
        </is>
      </c>
      <c r="N275" s="8">
        <f>HYPERLINK("https://www.vietnamworks.com/quality-engineer--2009164-jv","Xem chi tiết")</f>
        <v/>
      </c>
    </row>
    <row r="276">
      <c r="B276" s="9" t="n">
        <v>274</v>
      </c>
      <c r="C276" s="10" t="inlineStr">
        <is>
          <t>Senior Programmer</t>
        </is>
      </c>
      <c r="D276" s="10" t="inlineStr">
        <is>
          <t>Công Ty TNHH Socotec Việt Nam</t>
        </is>
      </c>
      <c r="E276" s="10" t="inlineStr">
        <is>
          <t>30tr-60tr ₫/tháng</t>
        </is>
      </c>
      <c r="F276" s="10" t="inlineStr">
        <is>
          <t>Hà Nội, Hồ Chí Minh</t>
        </is>
      </c>
      <c r="G276" s="10" t="inlineStr">
        <is>
          <t>Nhân viên</t>
        </is>
      </c>
      <c r="H276" s="10" t="inlineStr">
        <is>
          <t>02/02/2026</t>
        </is>
      </c>
      <c r="I276" s="10" t="inlineStr">
        <is>
          <t>19/03/2026</t>
        </is>
      </c>
      <c r="J276" s="10" t="inlineStr">
        <is>
          <t>17/03/2026</t>
        </is>
      </c>
      <c r="K276" s="10" t="inlineStr">
        <is>
          <t>N/A</t>
        </is>
      </c>
      <c r="L276" s="10" t="inlineStr">
        <is>
          <t>ASP.NET, C#, jQuery, MS SQL Server, Problem-solving</t>
        </is>
      </c>
      <c r="M276" s="10" t="inlineStr">
        <is>
          <t>Bonus, Healthcare Plan, Paid Leave, Training, Team Activities, Others</t>
        </is>
      </c>
      <c r="N276" s="11">
        <f>HYPERLINK("https://www.vietnamworks.com/senior-programmer-2009151-jv","Xem chi tiết")</f>
        <v/>
      </c>
      <c r="O276" s="10" t="n"/>
    </row>
    <row r="277">
      <c r="B277" s="7" t="n">
        <v>275</v>
      </c>
      <c r="C277" t="inlineStr">
        <is>
          <t>UX Designer (cum Product Insight Analyst)</t>
        </is>
      </c>
      <c r="D277" t="inlineStr">
        <is>
          <t>Galaxy Digital Holdings Co., Ltd (GH)</t>
        </is>
      </c>
      <c r="E277" t="inlineStr">
        <is>
          <t>Thương lượng</t>
        </is>
      </c>
      <c r="F277" t="inlineStr">
        <is>
          <t>Hồ Chí Minh</t>
        </is>
      </c>
      <c r="G277" t="inlineStr">
        <is>
          <t>Nhân viên</t>
        </is>
      </c>
      <c r="H277" t="inlineStr">
        <is>
          <t>02/02/2026</t>
        </is>
      </c>
      <c r="I277" t="inlineStr">
        <is>
          <t>19/03/2026</t>
        </is>
      </c>
      <c r="J277" t="inlineStr">
        <is>
          <t>17/03/2026</t>
        </is>
      </c>
      <c r="K277" t="inlineStr">
        <is>
          <t>N/A</t>
        </is>
      </c>
      <c r="L277" t="inlineStr">
        <is>
          <t>UI/UX Design</t>
        </is>
      </c>
      <c r="M277" t="inlineStr">
        <is>
          <t>Bonus, Paid Leave, Travel Opportunities</t>
        </is>
      </c>
      <c r="N277" s="8">
        <f>HYPERLINK("https://www.vietnamworks.com/ux-designer-cum-product-insight-analyst-2009162-jv","Xem chi tiết")</f>
        <v/>
      </c>
    </row>
    <row r="278">
      <c r="B278" s="9" t="n">
        <v>276</v>
      </c>
      <c r="C278" s="10" t="inlineStr">
        <is>
          <t>Program Manager (Kindergarten / Primary &amp; Secondary)</t>
        </is>
      </c>
      <c r="D278" s="10" t="inlineStr">
        <is>
          <t>Yola Education</t>
        </is>
      </c>
      <c r="E278" s="10" t="inlineStr">
        <is>
          <t>Thương lượng</t>
        </is>
      </c>
      <c r="F278" s="10" t="inlineStr">
        <is>
          <t>Hồ Chí Minh</t>
        </is>
      </c>
      <c r="G278" s="10" t="inlineStr">
        <is>
          <t>Trưởng phòng</t>
        </is>
      </c>
      <c r="H278" s="10" t="inlineStr">
        <is>
          <t>02/02/2026</t>
        </is>
      </c>
      <c r="I278" s="10" t="inlineStr">
        <is>
          <t>19/03/2026</t>
        </is>
      </c>
      <c r="J278" s="10" t="inlineStr">
        <is>
          <t>17/03/2026</t>
        </is>
      </c>
      <c r="K278" s="10" t="inlineStr">
        <is>
          <t>N/A</t>
        </is>
      </c>
      <c r="L278" s="10" t="inlineStr">
        <is>
          <t>Curriculum Development, Data Analysis, Effective Communication, Program Management, Training Design</t>
        </is>
      </c>
      <c r="M278" s="10" t="inlineStr">
        <is>
          <t>Healthcare Plan, Training, Laptop, Mobile, Team Activities, Transportation</t>
        </is>
      </c>
      <c r="N278" s="11">
        <f>HYPERLINK("https://www.vietnamworks.com/program-manager-kindergarten-primary-and-secondary-2009152-jv","Xem chi tiết")</f>
        <v/>
      </c>
      <c r="O278" s="10" t="n"/>
    </row>
    <row r="279">
      <c r="B279" s="7" t="n">
        <v>277</v>
      </c>
      <c r="C279" t="inlineStr">
        <is>
          <t>Giám Đốc Chi Nhánh - RB - MSB - 1D043</t>
        </is>
      </c>
      <c r="D279" t="inlineStr">
        <is>
          <t>Ngân Hàng Thương Mại Cổ Phần Hàng Hải Việt Nam (MSB)</t>
        </is>
      </c>
      <c r="E279" t="inlineStr">
        <is>
          <t>Thương lượng</t>
        </is>
      </c>
      <c r="F279" t="inlineStr">
        <is>
          <t>Trà Vinh</t>
        </is>
      </c>
      <c r="G279" t="inlineStr">
        <is>
          <t>Giám Đốc và Cấp Cao Hơn</t>
        </is>
      </c>
      <c r="H279" t="inlineStr">
        <is>
          <t>02/02/2026</t>
        </is>
      </c>
      <c r="I279" t="inlineStr">
        <is>
          <t>19/03/2026</t>
        </is>
      </c>
      <c r="J279" t="inlineStr">
        <is>
          <t>17/03/2026</t>
        </is>
      </c>
      <c r="K279" t="inlineStr">
        <is>
          <t>N/A</t>
        </is>
      </c>
      <c r="L279" t="inlineStr">
        <is>
          <t>Quản Lý, Giao Tiếp Tốt, Quản Trị</t>
        </is>
      </c>
      <c r="M279" t="inlineStr">
        <is>
          <t>Bonus, Healthcare Plan, Team Activities</t>
        </is>
      </c>
      <c r="N279" s="8">
        <f>HYPERLINK("https://www.vietnamworks.com/giam-doc-chi-nhanh-rb-msb-1d043-2009153-jv","Xem chi tiết")</f>
        <v/>
      </c>
    </row>
    <row r="280">
      <c r="B280" s="9" t="n">
        <v>278</v>
      </c>
      <c r="C280" s="10" t="inlineStr">
        <is>
          <t>Card Portfolio Product Analyst (Outsourcing)</t>
        </is>
      </c>
      <c r="D280" s="10" t="inlineStr">
        <is>
          <t>United Overseas Bank (Vietnam) Limited (UOB)</t>
        </is>
      </c>
      <c r="E280" s="10" t="inlineStr">
        <is>
          <t>Thương lượng</t>
        </is>
      </c>
      <c r="F280" s="10" t="inlineStr">
        <is>
          <t>Hồ Chí Minh</t>
        </is>
      </c>
      <c r="G280" s="10" t="inlineStr">
        <is>
          <t>Nhân viên</t>
        </is>
      </c>
      <c r="H280" s="10" t="inlineStr">
        <is>
          <t>02/02/2026</t>
        </is>
      </c>
      <c r="I280" s="10" t="inlineStr">
        <is>
          <t>19/03/2026</t>
        </is>
      </c>
      <c r="J280" s="10" t="inlineStr">
        <is>
          <t>17/03/2026</t>
        </is>
      </c>
      <c r="K280" s="10" t="inlineStr">
        <is>
          <t>N/A</t>
        </is>
      </c>
      <c r="L280" s="10" t="inlineStr">
        <is>
          <t>Communication Skills, Data Analysis, Patent Portfolio Analysis, Product Management, Vendor Management</t>
        </is>
      </c>
      <c r="M280" s="10" t="inlineStr">
        <is>
          <t>Bonus, Healthcare Plan, Paid Leave, Others</t>
        </is>
      </c>
      <c r="N280" s="11">
        <f>HYPERLINK("https://www.vietnamworks.com/card-portfolio-product-analyst-outsourcing-2009163-jv","Xem chi tiết")</f>
        <v/>
      </c>
      <c r="O280" s="10" t="n"/>
    </row>
    <row r="281">
      <c r="B281" s="7" t="n">
        <v>279</v>
      </c>
      <c r="C281" t="inlineStr">
        <is>
          <t>Production Engineer (PE)</t>
        </is>
      </c>
      <c r="D281" t="inlineStr">
        <is>
          <t>CÔNG TY TNHH AMPHENOL TECHNOLOGY VIỆT NAM</t>
        </is>
      </c>
      <c r="E281" t="inlineStr">
        <is>
          <t>Thương lượng</t>
        </is>
      </c>
      <c r="F281" t="inlineStr">
        <is>
          <t>Long An</t>
        </is>
      </c>
      <c r="G281" t="inlineStr">
        <is>
          <t>Nhân viên</t>
        </is>
      </c>
      <c r="H281" t="inlineStr">
        <is>
          <t>02/02/2026</t>
        </is>
      </c>
      <c r="I281" t="inlineStr">
        <is>
          <t>19/03/2026</t>
        </is>
      </c>
      <c r="J281" t="inlineStr">
        <is>
          <t>17/03/2026</t>
        </is>
      </c>
      <c r="K281" t="inlineStr">
        <is>
          <t>N/A</t>
        </is>
      </c>
      <c r="L281" t="inlineStr">
        <is>
          <t>Technical Engineering, CAD/CAM, Project Management, Manufacturing</t>
        </is>
      </c>
      <c r="M281" t="inlineStr">
        <is>
          <t>Bonus, Healthcare Plan, Paid Leave, Training, Laptop, Travel Opportunities, Transportation, Others</t>
        </is>
      </c>
      <c r="N281" s="8">
        <f>HYPERLINK("https://www.vietnamworks.com/production-engineer-pe-2009166-jv","Xem chi tiết")</f>
        <v/>
      </c>
    </row>
    <row r="282">
      <c r="B282" s="9" t="n">
        <v>280</v>
      </c>
      <c r="C282" s="10" t="inlineStr">
        <is>
          <t>Financial &amp; Regulatory Reporting &amp; Tax Head</t>
        </is>
      </c>
      <c r="D282" s="10" t="inlineStr">
        <is>
          <t>United Overseas Bank (Vietnam) Limited (UOB)</t>
        </is>
      </c>
      <c r="E282" s="10" t="inlineStr">
        <is>
          <t>Thương lượng</t>
        </is>
      </c>
      <c r="F282" s="10" t="inlineStr">
        <is>
          <t>Hồ Chí Minh</t>
        </is>
      </c>
      <c r="G282" s="10" t="inlineStr">
        <is>
          <t>Trưởng phòng</t>
        </is>
      </c>
      <c r="H282" s="10" t="inlineStr">
        <is>
          <t>02/02/2026</t>
        </is>
      </c>
      <c r="I282" s="10" t="inlineStr">
        <is>
          <t>19/03/2026</t>
        </is>
      </c>
      <c r="J282" s="10" t="inlineStr">
        <is>
          <t>17/03/2026</t>
        </is>
      </c>
      <c r="K282" s="10" t="inlineStr">
        <is>
          <t>N/A</t>
        </is>
      </c>
      <c r="L282" s="10" t="inlineStr">
        <is>
          <t>Analytical Skills, Communication Skills, Financial Reporting, Regulatory Compliance, Tax Consulting</t>
        </is>
      </c>
      <c r="M282" s="10" t="inlineStr">
        <is>
          <t>Bonus, Healthcare Plan, Paid Leave, Others</t>
        </is>
      </c>
      <c r="N282" s="11">
        <f>HYPERLINK("https://www.vietnamworks.com/financial-and-regulatory-reporting-and-tax-head-2009170-jv","Xem chi tiết")</f>
        <v/>
      </c>
      <c r="O282" s="10" t="n"/>
    </row>
    <row r="283">
      <c r="B283" s="7" t="n">
        <v>281</v>
      </c>
      <c r="C283" t="inlineStr">
        <is>
          <t>Mechanical Design Engineer</t>
        </is>
      </c>
      <c r="D283" t="inlineStr">
        <is>
          <t>CÔNG TY TNHH TỰ ĐỘNG HÓA ECA VIỆT NAM</t>
        </is>
      </c>
      <c r="E283" t="inlineStr">
        <is>
          <t>Thương lượng</t>
        </is>
      </c>
      <c r="F283" t="inlineStr">
        <is>
          <t>Hồ Chí Minh</t>
        </is>
      </c>
      <c r="G283" t="inlineStr">
        <is>
          <t>Nhân viên</t>
        </is>
      </c>
      <c r="H283" t="inlineStr">
        <is>
          <t>02/02/2026</t>
        </is>
      </c>
      <c r="I283" t="inlineStr">
        <is>
          <t>19/03/2026</t>
        </is>
      </c>
      <c r="J283" t="inlineStr">
        <is>
          <t>17/03/2026</t>
        </is>
      </c>
      <c r="K283" t="inlineStr">
        <is>
          <t>N/A</t>
        </is>
      </c>
      <c r="L283" t="inlineStr">
        <is>
          <t>Autocad, ISO9001:2015, Mechanical Design</t>
        </is>
      </c>
      <c r="M283" t="inlineStr">
        <is>
          <t>Bonus, Healthcare Plan, Laptop, Others</t>
        </is>
      </c>
      <c r="N283" s="8">
        <f>HYPERLINK("https://www.vietnamworks.com/mechanical-design-engineer-2009140-jv","Xem chi tiết")</f>
        <v/>
      </c>
    </row>
    <row r="284">
      <c r="B284" s="9" t="n">
        <v>282</v>
      </c>
      <c r="C284" s="10" t="inlineStr">
        <is>
          <t>Deposit Product Support Officer (Outsourcing)</t>
        </is>
      </c>
      <c r="D284" s="10" t="inlineStr">
        <is>
          <t>United Overseas Bank (Vietnam) Limited (UOB)</t>
        </is>
      </c>
      <c r="E284" s="10" t="inlineStr">
        <is>
          <t>Thương lượng</t>
        </is>
      </c>
      <c r="F284" s="10" t="inlineStr">
        <is>
          <t>Hồ Chí Minh</t>
        </is>
      </c>
      <c r="G284" s="10" t="inlineStr">
        <is>
          <t>Nhân viên</t>
        </is>
      </c>
      <c r="H284" s="10" t="inlineStr">
        <is>
          <t>02/02/2026</t>
        </is>
      </c>
      <c r="I284" s="10" t="inlineStr">
        <is>
          <t>19/03/2026</t>
        </is>
      </c>
      <c r="J284" s="10" t="inlineStr">
        <is>
          <t>17/03/2026</t>
        </is>
      </c>
      <c r="K284" s="10" t="inlineStr">
        <is>
          <t>N/A</t>
        </is>
      </c>
      <c r="L284" s="10" t="inlineStr">
        <is>
          <t>Bank Deposit Products Promotion, Product Support, Sales Admin, Sales Support</t>
        </is>
      </c>
      <c r="M284" s="10" t="inlineStr">
        <is>
          <t>Bonus, Healthcare Plan, Paid Leave, Others</t>
        </is>
      </c>
      <c r="N284" s="11">
        <f>HYPERLINK("https://www.vietnamworks.com/deposit-product-support-officer-outsourcing-2009167-jv","Xem chi tiết")</f>
        <v/>
      </c>
      <c r="O284" s="10" t="n"/>
    </row>
    <row r="285">
      <c r="B285" s="7" t="n">
        <v>283</v>
      </c>
      <c r="C285" t="inlineStr">
        <is>
          <t>Import &amp; Export Lead</t>
        </is>
      </c>
      <c r="D285" t="inlineStr">
        <is>
          <t>Schneider Electric Vietnam Limited</t>
        </is>
      </c>
      <c r="E285" t="inlineStr">
        <is>
          <t>Thương lượng</t>
        </is>
      </c>
      <c r="F285" t="inlineStr">
        <is>
          <t>Hồ Chí Minh</t>
        </is>
      </c>
      <c r="G285" t="inlineStr">
        <is>
          <t>Nhân viên</t>
        </is>
      </c>
      <c r="H285" t="inlineStr">
        <is>
          <t>02/02/2026</t>
        </is>
      </c>
      <c r="I285" t="inlineStr">
        <is>
          <t>19/03/2026</t>
        </is>
      </c>
      <c r="J285" t="inlineStr">
        <is>
          <t>17/03/2026</t>
        </is>
      </c>
      <c r="K285" t="inlineStr">
        <is>
          <t>N/A</t>
        </is>
      </c>
      <c r="L285" t="inlineStr">
        <is>
          <t>Customs Compliance, Leadership Skills, Local Logistics Operation, Negotiation, Problem Solving</t>
        </is>
      </c>
      <c r="M285" t="inlineStr">
        <is>
          <t>Bonus, Paid Leave, Transportation, Canteen</t>
        </is>
      </c>
      <c r="N285" s="8">
        <f>HYPERLINK("https://www.vietnamworks.com/import-and-export-lead-2009154-jv","Xem chi tiết")</f>
        <v/>
      </c>
    </row>
    <row r="286">
      <c r="B286" s="9" t="n">
        <v>284</v>
      </c>
      <c r="C286" s="10" t="inlineStr">
        <is>
          <t>Senior SEO Executive</t>
        </is>
      </c>
      <c r="D286" s="10" t="inlineStr">
        <is>
          <t>We Are Digito Pte Ltd</t>
        </is>
      </c>
      <c r="E286" s="10" t="inlineStr">
        <is>
          <t>$$ 500-1,000 /tháng</t>
        </is>
      </c>
      <c r="F286" s="10" t="inlineStr">
        <is>
          <t>Hồ Chí Minh</t>
        </is>
      </c>
      <c r="G286" s="10" t="inlineStr">
        <is>
          <t>Nhân viên</t>
        </is>
      </c>
      <c r="H286" s="10" t="inlineStr">
        <is>
          <t>02/02/2026</t>
        </is>
      </c>
      <c r="I286" s="10" t="inlineStr">
        <is>
          <t>19/03/2026</t>
        </is>
      </c>
      <c r="J286" s="10" t="inlineStr">
        <is>
          <t>17/03/2026</t>
        </is>
      </c>
      <c r="K286" s="10" t="inlineStr">
        <is>
          <t>N/A</t>
        </is>
      </c>
      <c r="L286" s="10" t="inlineStr">
        <is>
          <t>SEO, SEM, Online Marketing, Digital Marketing, Digital Advertising</t>
        </is>
      </c>
      <c r="M286" s="10" t="inlineStr">
        <is>
          <t>Others</t>
        </is>
      </c>
      <c r="N286" s="11">
        <f>HYPERLINK("https://www.vietnamworks.com/senior-seo-executive--2009171-jv","Xem chi tiết")</f>
        <v/>
      </c>
      <c r="O286" s="10" t="n"/>
    </row>
    <row r="287">
      <c r="B287" s="7" t="n">
        <v>285</v>
      </c>
      <c r="C287" t="inlineStr">
        <is>
          <t>[Tuyển Gấp] Kỹ Sư Kinh Tế Xây Dựng ( Lương Từ 15Trđ Trở Lên)</t>
        </is>
      </c>
      <c r="D287" t="inlineStr">
        <is>
          <t>Công Ty Cổ Phần Xây Dựng Và Dịch Vụ Kỹ Thuật Việt Hưng</t>
        </is>
      </c>
      <c r="E287" t="inlineStr">
        <is>
          <t>Từ 15tr ₫/tháng</t>
        </is>
      </c>
      <c r="F287" t="inlineStr">
        <is>
          <t>Hà Nội</t>
        </is>
      </c>
      <c r="G287" t="inlineStr">
        <is>
          <t>Nhân viên</t>
        </is>
      </c>
      <c r="H287" t="inlineStr">
        <is>
          <t>30/12/2025</t>
        </is>
      </c>
      <c r="I287" t="inlineStr">
        <is>
          <t>20/03/2026</t>
        </is>
      </c>
      <c r="J287" t="inlineStr">
        <is>
          <t>17/03/2026</t>
        </is>
      </c>
      <c r="K287" t="inlineStr">
        <is>
          <t>N/A</t>
        </is>
      </c>
      <c r="L287" t="inlineStr">
        <is>
          <t>Kinh Tế Xây Dựng, MS Office, Lập Dự Toán, Bóc Tách Khối Lượng, Hồ Sơ Nghiệm Thu Dự Án</t>
        </is>
      </c>
      <c r="M287" t="inlineStr">
        <is>
          <t>Healthcare Plan, Paid Leave, Library, Laptop, Transportation, Others</t>
        </is>
      </c>
      <c r="N287" s="8">
        <f>HYPERLINK("https://www.vietnamworks.com/tuyen-gap-ky-su-kinh-te-xay-dung-luong-tu-15trd-tro-len-1997921-jv","Xem chi tiết")</f>
        <v/>
      </c>
    </row>
    <row r="288">
      <c r="B288" s="9" t="n">
        <v>286</v>
      </c>
      <c r="C288" s="10" t="inlineStr">
        <is>
          <t>Direct Sales Team Leader</t>
        </is>
      </c>
      <c r="D288" s="10" t="inlineStr">
        <is>
          <t>United Overseas Bank (Vietnam) Limited (UOB)</t>
        </is>
      </c>
      <c r="E288" s="10" t="inlineStr">
        <is>
          <t>Thương lượng</t>
        </is>
      </c>
      <c r="F288" s="10" t="inlineStr">
        <is>
          <t>Hồ Chí Minh</t>
        </is>
      </c>
      <c r="G288" s="10" t="inlineStr">
        <is>
          <t>Nhân viên</t>
        </is>
      </c>
      <c r="H288" s="10" t="inlineStr">
        <is>
          <t>02/02/2026</t>
        </is>
      </c>
      <c r="I288" s="10" t="inlineStr">
        <is>
          <t>19/03/2026</t>
        </is>
      </c>
      <c r="J288" s="10" t="inlineStr">
        <is>
          <t>17/03/2026</t>
        </is>
      </c>
      <c r="K288" s="10" t="inlineStr">
        <is>
          <t>N/A</t>
        </is>
      </c>
      <c r="L288" s="10" t="inlineStr">
        <is>
          <t>Communication Skills, Data Analysis, Microsoft Office, Presentation Skills, Sales Management</t>
        </is>
      </c>
      <c r="M288" s="10" t="inlineStr">
        <is>
          <t>Bonus, Healthcare Plan, Paid Leave, Others</t>
        </is>
      </c>
      <c r="N288" s="11">
        <f>HYPERLINK("https://www.vietnamworks.com/direct-sales-team-leader-2009173-jv","Xem chi tiết")</f>
        <v/>
      </c>
      <c r="O288" s="10" t="n"/>
    </row>
    <row r="289">
      <c r="B289" s="7" t="n">
        <v>287</v>
      </c>
      <c r="C289" t="inlineStr">
        <is>
          <t>Kế Toán Trưởng ( Mức Lương 20-30Tr)</t>
        </is>
      </c>
      <c r="D289" t="inlineStr">
        <is>
          <t>Công ty TNHH Tư vấn và Đầu tư xây dựng Art Deco</t>
        </is>
      </c>
      <c r="E289" t="inlineStr">
        <is>
          <t>Thương lượng</t>
        </is>
      </c>
      <c r="F289" t="inlineStr">
        <is>
          <t>Hà Nội</t>
        </is>
      </c>
      <c r="G289" t="inlineStr">
        <is>
          <t>Trưởng phòng</t>
        </is>
      </c>
      <c r="H289" t="inlineStr">
        <is>
          <t>22/09/2023</t>
        </is>
      </c>
      <c r="I289" t="inlineStr">
        <is>
          <t>20/03/2026</t>
        </is>
      </c>
      <c r="J289" t="inlineStr">
        <is>
          <t>17/03/2026</t>
        </is>
      </c>
      <c r="K289" t="inlineStr">
        <is>
          <t>N/A</t>
        </is>
      </c>
      <c r="L289" t="inlineStr">
        <is>
          <t>Luật Kế Toán, Kế Toán Xây Dựng, Kế Toán Thuế, MS Office, Kiến Thức Chuẩn Mực Kế Toán</t>
        </is>
      </c>
      <c r="M289" t="inlineStr">
        <is>
          <t>Bonus, Training, Travel Opportunities</t>
        </is>
      </c>
      <c r="N289" s="8">
        <f>HYPERLINK("https://www.vietnamworks.com/ke-toan-truong-muc-luong-20-30tr-1696204-jv","Xem chi tiết")</f>
        <v/>
      </c>
    </row>
    <row r="290">
      <c r="B290" s="9" t="n">
        <v>288</v>
      </c>
      <c r="C290" s="10" t="inlineStr">
        <is>
          <t>Chemical Engineer (PU)</t>
        </is>
      </c>
      <c r="D290" s="10" t="inlineStr">
        <is>
          <t>framas footwear technologies Co., Ltd</t>
        </is>
      </c>
      <c r="E290" s="10" t="inlineStr">
        <is>
          <t>Thương lượng</t>
        </is>
      </c>
      <c r="F290" s="10" t="inlineStr">
        <is>
          <t>Đồng Nai</t>
        </is>
      </c>
      <c r="G290" s="10" t="inlineStr">
        <is>
          <t>Nhân viên</t>
        </is>
      </c>
      <c r="H290" s="10" t="inlineStr">
        <is>
          <t>24/12/2025</t>
        </is>
      </c>
      <c r="I290" s="10" t="inlineStr">
        <is>
          <t>20/03/2026</t>
        </is>
      </c>
      <c r="J290" s="10" t="inlineStr">
        <is>
          <t>17/03/2026</t>
        </is>
      </c>
      <c r="K290" s="10" t="inlineStr">
        <is>
          <t>N/A</t>
        </is>
      </c>
      <c r="L290" s="10" t="inlineStr">
        <is>
          <t>Polyurethanes, Chemical Formulation, Chemical Technology, Analytical Skills, Problem-solving</t>
        </is>
      </c>
      <c r="M290" s="10" t="inlineStr">
        <is>
          <t>Bonus, Healthcare Plan, Training, Travel Opportunities, Transportation, Others</t>
        </is>
      </c>
      <c r="N290" s="11">
        <f>HYPERLINK("https://www.vietnamworks.com/chemical-engineer-pu-1996139-jv","Xem chi tiết")</f>
        <v/>
      </c>
      <c r="O290" s="10" t="n"/>
    </row>
    <row r="291">
      <c r="B291" s="7" t="n">
        <v>289</v>
      </c>
      <c r="C291" t="inlineStr">
        <is>
          <t>Trưởng Phòng - Kỹ Sư Thiết Kế Cơ Khí Chế Tạo Máy - Lương Từ 30 Triệu + Thưởng+++</t>
        </is>
      </c>
      <c r="D291" t="inlineStr">
        <is>
          <t>CÔNG TY TNHH CÔNG NGHỆ TỰ ĐỘNG HÓA SMART</t>
        </is>
      </c>
      <c r="E291" t="inlineStr">
        <is>
          <t>Từ 30tr ₫/tháng</t>
        </is>
      </c>
      <c r="F291" t="inlineStr">
        <is>
          <t>Bắc Ninh</t>
        </is>
      </c>
      <c r="G291" t="inlineStr">
        <is>
          <t>Trưởng phòng</t>
        </is>
      </c>
      <c r="H291" t="inlineStr">
        <is>
          <t>29/12/2025</t>
        </is>
      </c>
      <c r="I291" t="inlineStr">
        <is>
          <t>20/03/2026</t>
        </is>
      </c>
      <c r="J291" t="inlineStr">
        <is>
          <t>17/03/2026</t>
        </is>
      </c>
      <c r="K291" t="inlineStr">
        <is>
          <t>N/A</t>
        </is>
      </c>
      <c r="L291" t="inlineStr">
        <is>
          <t>Mechanical Design, Automation Machine Engineering, Robot Control, Vision Systems Design, Team Management</t>
        </is>
      </c>
      <c r="M291" t="inlineStr">
        <is>
          <t>Bonus, Healthcare Plan, Others</t>
        </is>
      </c>
      <c r="N291" s="8">
        <f>HYPERLINK("https://www.vietnamworks.com/truong-phong-ky-su-thiet-ke-co-khi-che-tao-may-luong-tu-30-trieu-thuong-1997488-jv","Xem chi tiết")</f>
        <v/>
      </c>
    </row>
    <row r="292">
      <c r="B292" s="9" t="n">
        <v>290</v>
      </c>
      <c r="C292" s="10" t="inlineStr">
        <is>
          <t>E-Commerce Operation</t>
        </is>
      </c>
      <c r="D292" s="10" t="inlineStr">
        <is>
          <t>LG Electronics Vietnam Hai Phong - Sales &amp; Marketing Company</t>
        </is>
      </c>
      <c r="E292" s="10" t="inlineStr">
        <is>
          <t>Thương lượng</t>
        </is>
      </c>
      <c r="F292" s="10" t="inlineStr">
        <is>
          <t>Hồ Chí Minh</t>
        </is>
      </c>
      <c r="G292" s="10" t="inlineStr">
        <is>
          <t>Nhân viên</t>
        </is>
      </c>
      <c r="H292" s="10" t="inlineStr">
        <is>
          <t>26/12/2025</t>
        </is>
      </c>
      <c r="I292" s="10" t="inlineStr">
        <is>
          <t>20/03/2026</t>
        </is>
      </c>
      <c r="J292" s="10" t="inlineStr">
        <is>
          <t>17/03/2026</t>
        </is>
      </c>
      <c r="K292" s="10" t="inlineStr">
        <is>
          <t>N/A</t>
        </is>
      </c>
      <c r="L292" s="10" t="inlineStr">
        <is>
          <t>Thương Mại Điện Tử, E-commerce, Customer Service, Ecommerce operation, Data System Management</t>
        </is>
      </c>
      <c r="M292" s="10" t="inlineStr">
        <is>
          <t>Healthcare Plan, Paid Leave, Canteen</t>
        </is>
      </c>
      <c r="N292" s="11">
        <f>HYPERLINK("https://www.vietnamworks.com/e-commerce-operation--1996980-jv","Xem chi tiết")</f>
        <v/>
      </c>
      <c r="O292" s="10" t="n"/>
    </row>
    <row r="293">
      <c r="B293" s="7" t="n">
        <v>291</v>
      </c>
      <c r="C293" t="inlineStr">
        <is>
          <t>Ecommerce Executive</t>
        </is>
      </c>
      <c r="D293" t="inlineStr">
        <is>
          <t>Công ty Cổ phần Thời trang American</t>
        </is>
      </c>
      <c r="E293" t="inlineStr">
        <is>
          <t>11tr-18tr ₫/tháng</t>
        </is>
      </c>
      <c r="F293" t="inlineStr">
        <is>
          <t>Hồ Chí Minh</t>
        </is>
      </c>
      <c r="G293" t="inlineStr">
        <is>
          <t>Nhân viên</t>
        </is>
      </c>
      <c r="H293" t="inlineStr">
        <is>
          <t>23/12/2025</t>
        </is>
      </c>
      <c r="I293" t="inlineStr">
        <is>
          <t>20/03/2026</t>
        </is>
      </c>
      <c r="J293" t="inlineStr">
        <is>
          <t>17/03/2026</t>
        </is>
      </c>
      <c r="K293" t="inlineStr">
        <is>
          <t>N/A</t>
        </is>
      </c>
      <c r="L293" t="inlineStr">
        <is>
          <t>Giao Tiếp Đàm Phán, Marketing, Sales Online, Thương Mại Điện Tử</t>
        </is>
      </c>
      <c r="M293" t="inlineStr">
        <is>
          <t>Bonus, Healthcare Plan, Paid Leave, Training, Vouchers, Others</t>
        </is>
      </c>
      <c r="N293" s="8">
        <f>HYPERLINK("https://www.vietnamworks.com/ecommerce-executive-1995520-jv","Xem chi tiết")</f>
        <v/>
      </c>
    </row>
    <row r="294">
      <c r="B294" s="9" t="n">
        <v>292</v>
      </c>
      <c r="C294" s="10" t="inlineStr">
        <is>
          <t>Nhân Viên Kế Toán [ Ngồi Làm Việc Tại Cửa Hàng ]</t>
        </is>
      </c>
      <c r="D294" s="10" t="inlineStr">
        <is>
          <t>CÔNG TY CỔ PHẦN ĐẦU TƯ VÀNG PHÚ QUÝ</t>
        </is>
      </c>
      <c r="E294" s="10" t="inlineStr">
        <is>
          <t>10tr-15tr ₫/tháng</t>
        </is>
      </c>
      <c r="F294" s="10" t="inlineStr">
        <is>
          <t>Hà Nội</t>
        </is>
      </c>
      <c r="G294" s="10" t="inlineStr">
        <is>
          <t>Nhân viên</t>
        </is>
      </c>
      <c r="H294" s="10" t="inlineStr">
        <is>
          <t>29/12/2025</t>
        </is>
      </c>
      <c r="I294" s="10" t="inlineStr">
        <is>
          <t>20/03/2026</t>
        </is>
      </c>
      <c r="J294" s="10" t="inlineStr">
        <is>
          <t>17/03/2026</t>
        </is>
      </c>
      <c r="K294" s="10" t="inlineStr">
        <is>
          <t>N/A</t>
        </is>
      </c>
      <c r="L294" s="10" t="inlineStr">
        <is>
          <t>Tài Chính, Fast Accounting, Kiểm Quỹ, Nhập Xuất Hàng Hóa, Thuế</t>
        </is>
      </c>
      <c r="M294" s="10" t="inlineStr">
        <is>
          <t>Bonus, Healthcare Plan, Travel Opportunities, Canteen, Others</t>
        </is>
      </c>
      <c r="N294" s="11">
        <f>HYPERLINK("https://www.vietnamworks.com/nhan-vien-ke-toan-ngoi-lam-viec-tai-cua-hang-1997491-jv","Xem chi tiết")</f>
        <v/>
      </c>
      <c r="O294" s="10" t="n"/>
    </row>
    <row r="295">
      <c r="B295" s="7" t="n">
        <v>293</v>
      </c>
      <c r="C295" t="inlineStr">
        <is>
          <t>[Tuyển Gấp] Kỹ Sư Điện – Lương Từ 15–25Tr (Không Hạn Chế Mức Tối Đa)</t>
        </is>
      </c>
      <c r="D295" t="inlineStr">
        <is>
          <t>Công Ty Cổ Phần Xây Dựng Và Dịch Vụ Kỹ Thuật Việt Hưng</t>
        </is>
      </c>
      <c r="E295" t="inlineStr">
        <is>
          <t>Từ 15tr ₫/tháng</t>
        </is>
      </c>
      <c r="F295" t="inlineStr">
        <is>
          <t>Hà Nội</t>
        </is>
      </c>
      <c r="G295" t="inlineStr">
        <is>
          <t>Nhân viên</t>
        </is>
      </c>
      <c r="H295" t="inlineStr">
        <is>
          <t>30/12/2025</t>
        </is>
      </c>
      <c r="I295" t="inlineStr">
        <is>
          <t>20/03/2026</t>
        </is>
      </c>
      <c r="J295" t="inlineStr">
        <is>
          <t>17/03/2026</t>
        </is>
      </c>
      <c r="K295" t="inlineStr">
        <is>
          <t>N/A</t>
        </is>
      </c>
      <c r="L295" t="inlineStr">
        <is>
          <t>Kĩ Thuật Điện, Điện Công Nghiệp, Điện Dân Dụng, Hệ Thống Điện, Giám Sát Thi Công</t>
        </is>
      </c>
      <c r="M295" t="inlineStr">
        <is>
          <t>Library, Laptop, Transportation, Others</t>
        </is>
      </c>
      <c r="N295" s="8">
        <f>HYPERLINK("https://www.vietnamworks.com/tuyen-gap-ky-su-dien-luong-tu-15-25tr-khong-han-che-muc-toi-da-1997923-jv","Xem chi tiết")</f>
        <v/>
      </c>
    </row>
    <row r="296">
      <c r="B296" s="9" t="n">
        <v>294</v>
      </c>
      <c r="C296" s="10" t="inlineStr">
        <is>
          <t>Technical Support Staff | Hỗ Trợ Kỹ Thuật (Upto 35 Triệu)</t>
        </is>
      </c>
      <c r="D296" s="10" t="inlineStr">
        <is>
          <t>Misumi Vietnam Co., Ltd</t>
        </is>
      </c>
      <c r="E296" s="10" t="inlineStr">
        <is>
          <t>Tới 35tr ₫/tháng</t>
        </is>
      </c>
      <c r="F296" s="10" t="inlineStr">
        <is>
          <t>Hà Nội</t>
        </is>
      </c>
      <c r="G296" s="10" t="inlineStr">
        <is>
          <t>Nhân viên</t>
        </is>
      </c>
      <c r="H296" s="10" t="inlineStr">
        <is>
          <t>31/12/2025</t>
        </is>
      </c>
      <c r="I296" s="10" t="inlineStr">
        <is>
          <t>20/03/2026</t>
        </is>
      </c>
      <c r="J296" s="10" t="inlineStr">
        <is>
          <t>17/03/2026</t>
        </is>
      </c>
      <c r="K296" s="10" t="inlineStr">
        <is>
          <t>N/A</t>
        </is>
      </c>
      <c r="L296" s="10" t="inlineStr">
        <is>
          <t>Servo Motor, Sales Engineering, Motor 3P, Motor servo, Inverter, Mechatronics, Automation Control Engineering</t>
        </is>
      </c>
      <c r="M296" s="10" t="inlineStr">
        <is>
          <t>Bonus, Healthcare Plan, Training, Team Activities</t>
        </is>
      </c>
      <c r="N296" s="11">
        <f>HYPERLINK("https://www.vietnamworks.com/technical-support-staff-or-ho-tro-ky-thuat-upto-35-trieu-1998403-jv","Xem chi tiết")</f>
        <v/>
      </c>
      <c r="O296" s="10" t="n"/>
    </row>
    <row r="297">
      <c r="B297" s="7" t="n">
        <v>295</v>
      </c>
      <c r="C297" t="inlineStr">
        <is>
          <t>Product Development (Mechanical Background)</t>
        </is>
      </c>
      <c r="D297" t="inlineStr">
        <is>
          <t>Misumi Vietnam Co., Ltd</t>
        </is>
      </c>
      <c r="E297" t="inlineStr">
        <is>
          <t>20tr-35tr ₫/tháng</t>
        </is>
      </c>
      <c r="F297" t="inlineStr">
        <is>
          <t>Hà Nội, Bắc Ninh</t>
        </is>
      </c>
      <c r="G297" t="inlineStr">
        <is>
          <t>Nhân viên</t>
        </is>
      </c>
      <c r="H297" t="inlineStr">
        <is>
          <t>31/12/2025</t>
        </is>
      </c>
      <c r="I297" t="inlineStr">
        <is>
          <t>20/03/2026</t>
        </is>
      </c>
      <c r="J297" t="inlineStr">
        <is>
          <t>17/03/2026</t>
        </is>
      </c>
      <c r="K297" t="inlineStr">
        <is>
          <t>N/A</t>
        </is>
      </c>
      <c r="L297" t="inlineStr">
        <is>
          <t>Communication, Data Analysis, Factory Automation, Mechanical Engineering, Mechatronics Engineering</t>
        </is>
      </c>
      <c r="M297" t="inlineStr">
        <is>
          <t>Bonus, Healthcare Plan, Training, Team Activities</t>
        </is>
      </c>
      <c r="N297" s="8">
        <f>HYPERLINK("https://www.vietnamworks.com/product-development-mechanical-background-1998407-jv","Xem chi tiết")</f>
        <v/>
      </c>
    </row>
    <row r="298">
      <c r="B298" s="9" t="n">
        <v>296</v>
      </c>
      <c r="C298" s="10" t="inlineStr">
        <is>
          <t>Sales Executive</t>
        </is>
      </c>
      <c r="D298" s="10" t="inlineStr">
        <is>
          <t>CÔNG TY TNHH HDS DỊCH VỤ VIỆT NAM</t>
        </is>
      </c>
      <c r="E298" s="10" t="inlineStr">
        <is>
          <t>$$ 1,000-1,500 /tháng</t>
        </is>
      </c>
      <c r="F298" s="10" t="inlineStr">
        <is>
          <t>Hồ Chí Minh</t>
        </is>
      </c>
      <c r="G298" s="10" t="inlineStr">
        <is>
          <t>Nhân viên</t>
        </is>
      </c>
      <c r="H298" s="10" t="inlineStr">
        <is>
          <t>31/12/2025</t>
        </is>
      </c>
      <c r="I298" s="10" t="inlineStr">
        <is>
          <t>20/03/2026</t>
        </is>
      </c>
      <c r="J298" s="10" t="inlineStr">
        <is>
          <t>17/03/2026</t>
        </is>
      </c>
      <c r="K298" s="10" t="inlineStr">
        <is>
          <t>N/A</t>
        </is>
      </c>
      <c r="L298" s="10" t="inlineStr">
        <is>
          <t>Business Development, Communication Skills, Logistics Consulting, Negotiation Skills, Supply Chain Management</t>
        </is>
      </c>
      <c r="M298" s="10" t="inlineStr">
        <is>
          <t>Bonus, Healthcare Plan, Paid Leave, Team Activities, Others</t>
        </is>
      </c>
      <c r="N298" s="11">
        <f>HYPERLINK("https://www.vietnamworks.com/sales-executive-1998270-jv","Xem chi tiết")</f>
        <v/>
      </c>
      <c r="O298" s="10" t="n"/>
    </row>
    <row r="299">
      <c r="B299" s="7" t="n">
        <v>297</v>
      </c>
      <c r="C299" t="inlineStr">
        <is>
          <t>Direct Sales Executive B2B (Đà Nẵng)</t>
        </is>
      </c>
      <c r="D299" t="inlineStr">
        <is>
          <t>Konica Minolta Business SOLUTIONS VN</t>
        </is>
      </c>
      <c r="E299" t="inlineStr">
        <is>
          <t>Thương lượng</t>
        </is>
      </c>
      <c r="F299" t="inlineStr">
        <is>
          <t>Đà Nẵng</t>
        </is>
      </c>
      <c r="G299" t="inlineStr">
        <is>
          <t>Nhân viên</t>
        </is>
      </c>
      <c r="H299" t="inlineStr">
        <is>
          <t>30/12/2025</t>
        </is>
      </c>
      <c r="I299" t="inlineStr">
        <is>
          <t>20/03/2026</t>
        </is>
      </c>
      <c r="J299" t="inlineStr">
        <is>
          <t>17/03/2026</t>
        </is>
      </c>
      <c r="K299" t="inlineStr">
        <is>
          <t>N/A</t>
        </is>
      </c>
      <c r="L299" t="inlineStr">
        <is>
          <t>Communications, Direct Sales Experience (B2B), Direct Sales, Sales Planning, Market Analysis</t>
        </is>
      </c>
      <c r="M299" t="inlineStr">
        <is>
          <t>Bonus, Healthcare Plan, Travel Opportunities</t>
        </is>
      </c>
      <c r="N299" s="8">
        <f>HYPERLINK("https://www.vietnamworks.com/direct-sales-executive-b2b-da-nang-1997926-jv","Xem chi tiết")</f>
        <v/>
      </c>
    </row>
    <row r="300">
      <c r="B300" s="9" t="n">
        <v>298</v>
      </c>
      <c r="C300" s="10" t="inlineStr">
        <is>
          <t>[Tuyển Gấp] Chemical Sales Engineer</t>
        </is>
      </c>
      <c r="D300" s="10" t="inlineStr">
        <is>
          <t>Công Ty TNHH Goshu Kohsan (Việt Nam)</t>
        </is>
      </c>
      <c r="E300" s="10" t="inlineStr">
        <is>
          <t>Thương lượng</t>
        </is>
      </c>
      <c r="F300" s="10" t="inlineStr">
        <is>
          <t>Hà Nội</t>
        </is>
      </c>
      <c r="G300" s="10" t="inlineStr">
        <is>
          <t>Nhân viên</t>
        </is>
      </c>
      <c r="H300" s="10" t="inlineStr">
        <is>
          <t>31/12/2025</t>
        </is>
      </c>
      <c r="I300" s="10" t="inlineStr">
        <is>
          <t>20/03/2026</t>
        </is>
      </c>
      <c r="J300" s="10" t="inlineStr">
        <is>
          <t>17/03/2026</t>
        </is>
      </c>
      <c r="K300" s="10" t="inlineStr">
        <is>
          <t>N/A</t>
        </is>
      </c>
      <c r="L300" s="10" t="inlineStr">
        <is>
          <t>Chemistry, Business Development, Chemical Selling, Technical Support, Customer Development</t>
        </is>
      </c>
      <c r="M300" s="10" t="inlineStr">
        <is>
          <t>Bonus, Healthcare Plan, Transportation</t>
        </is>
      </c>
      <c r="N300" s="11">
        <f>HYPERLINK("https://www.vietnamworks.com/tuyen-gap-chemical-sales-engineer-1998676-jv","Xem chi tiết")</f>
        <v/>
      </c>
      <c r="O300" s="10" t="n"/>
    </row>
    <row r="301">
      <c r="B301" s="7" t="n">
        <v>299</v>
      </c>
      <c r="C301" t="inlineStr">
        <is>
          <t>Business Development Staff (Sales Background)</t>
        </is>
      </c>
      <c r="D301" t="inlineStr">
        <is>
          <t>Misumi Vietnam Co., Ltd</t>
        </is>
      </c>
      <c r="E301" t="inlineStr">
        <is>
          <t>20tr-35tr ₫/tháng</t>
        </is>
      </c>
      <c r="F301" t="inlineStr">
        <is>
          <t>Hà Nội, Bắc Ninh</t>
        </is>
      </c>
      <c r="G301" t="inlineStr">
        <is>
          <t>Nhân viên</t>
        </is>
      </c>
      <c r="H301" t="inlineStr">
        <is>
          <t>31/12/2025</t>
        </is>
      </c>
      <c r="I301" t="inlineStr">
        <is>
          <t>20/03/2026</t>
        </is>
      </c>
      <c r="J301" t="inlineStr">
        <is>
          <t>17/03/2026</t>
        </is>
      </c>
      <c r="K301" t="inlineStr">
        <is>
          <t>N/A</t>
        </is>
      </c>
      <c r="L301" t="inlineStr">
        <is>
          <t>Market Research, Product Management, Supply Chain Management, Customer Survey, Sales Executive</t>
        </is>
      </c>
      <c r="M301" t="inlineStr">
        <is>
          <t>Bonus, Healthcare Plan, Training, Team Activities</t>
        </is>
      </c>
      <c r="N301" s="8">
        <f>HYPERLINK("https://www.vietnamworks.com/business-development-staff-sales-background-1998401-jv","Xem chi tiết")</f>
        <v/>
      </c>
    </row>
    <row r="302">
      <c r="B302" s="9" t="n">
        <v>300</v>
      </c>
      <c r="C302" s="10" t="inlineStr">
        <is>
          <t>Product Marketing Executive - Air Conditioner Products</t>
        </is>
      </c>
      <c r="D302" s="10" t="inlineStr">
        <is>
          <t>LG Electronics Vietnam Hai Phong - Sales &amp; Marketing Company</t>
        </is>
      </c>
      <c r="E302" s="10" t="inlineStr">
        <is>
          <t>Thương lượng</t>
        </is>
      </c>
      <c r="F302" s="10" t="inlineStr">
        <is>
          <t>Hồ Chí Minh, Hà Nội</t>
        </is>
      </c>
      <c r="G302" s="10" t="inlineStr">
        <is>
          <t>Nhân viên</t>
        </is>
      </c>
      <c r="H302" s="10" t="inlineStr">
        <is>
          <t>30/12/2025</t>
        </is>
      </c>
      <c r="I302" s="10" t="inlineStr">
        <is>
          <t>20/03/2026</t>
        </is>
      </c>
      <c r="J302" s="10" t="inlineStr">
        <is>
          <t>17/03/2026</t>
        </is>
      </c>
      <c r="K302" s="10" t="inlineStr">
        <is>
          <t>N/A</t>
        </is>
      </c>
      <c r="L302" s="10" t="inlineStr">
        <is>
          <t>Product Manager, Product Marketing, Product Planning, Sales Management, PSI Management</t>
        </is>
      </c>
      <c r="M302" s="10" t="inlineStr">
        <is>
          <t>Healthcare Plan, Paid Leave, Canteen</t>
        </is>
      </c>
      <c r="N302" s="11">
        <f>HYPERLINK("https://www.vietnamworks.com/product-marketing-executive-air-conditioner-products-1998029-jv","Xem chi tiết")</f>
        <v/>
      </c>
      <c r="O302" s="10" t="n"/>
    </row>
    <row r="303">
      <c r="B303" s="7" t="n">
        <v>301</v>
      </c>
      <c r="C303" t="inlineStr">
        <is>
          <t>Technical Service Engineer - HCM &amp; Bình Dương (Open to Freshers)</t>
        </is>
      </c>
      <c r="D303" t="inlineStr">
        <is>
          <t>Konica Minolta Business SOLUTIONS VN</t>
        </is>
      </c>
      <c r="E303" t="inlineStr">
        <is>
          <t>Thương lượng</t>
        </is>
      </c>
      <c r="F303" t="inlineStr">
        <is>
          <t>Hồ Chí Minh</t>
        </is>
      </c>
      <c r="G303" t="inlineStr">
        <is>
          <t>Nhân viên</t>
        </is>
      </c>
      <c r="H303" t="inlineStr">
        <is>
          <t>30/12/2025</t>
        </is>
      </c>
      <c r="I303" t="inlineStr">
        <is>
          <t>20/03/2026</t>
        </is>
      </c>
      <c r="J303" t="inlineStr">
        <is>
          <t>17/03/2026</t>
        </is>
      </c>
      <c r="K303" t="inlineStr">
        <is>
          <t>N/A</t>
        </is>
      </c>
      <c r="L303" t="inlineStr">
        <is>
          <t>Technical Service, User Support, Troubleshooting Skills, Electronics Repair, English</t>
        </is>
      </c>
      <c r="M303" t="inlineStr">
        <is>
          <t>Bonus, Healthcare Plan, Travel Opportunities</t>
        </is>
      </c>
      <c r="N303" s="8">
        <f>HYPERLINK("https://www.vietnamworks.com/technical-service-engineer-hcm-binh-duong-open-to-freshers-1997925-jv","Xem chi tiết")</f>
        <v/>
      </c>
    </row>
    <row r="304">
      <c r="B304" s="9" t="n">
        <v>302</v>
      </c>
      <c r="C304" s="10" t="inlineStr">
        <is>
          <t>Chuyên Viên Kinh Doanh Bảo Hiểm Phi Nhân Thọ - Kênh Đại Lý</t>
        </is>
      </c>
      <c r="D304" s="10" t="inlineStr">
        <is>
          <t>Công Ty TNHH Bảo Hiểm Liberty</t>
        </is>
      </c>
      <c r="E304" s="10" t="inlineStr">
        <is>
          <t>Thương lượng</t>
        </is>
      </c>
      <c r="F304" s="10" t="inlineStr">
        <is>
          <t>Hồ Chí Minh</t>
        </is>
      </c>
      <c r="G304" s="10" t="inlineStr">
        <is>
          <t>Nhân viên</t>
        </is>
      </c>
      <c r="H304" s="10" t="inlineStr">
        <is>
          <t>24/12/2025</t>
        </is>
      </c>
      <c r="I304" s="10" t="inlineStr">
        <is>
          <t>20/03/2026</t>
        </is>
      </c>
      <c r="J304" s="10" t="inlineStr">
        <is>
          <t>17/03/2026</t>
        </is>
      </c>
      <c r="K304" s="10" t="inlineStr">
        <is>
          <t>N/A</t>
        </is>
      </c>
      <c r="L304" s="10" t="inlineStr">
        <is>
          <t>Khả Năng Xây Dựng Các Mối Quan Hệ, Bảo Hiểm Ô Tô, Bảo Hiểm Phi Nhân Thọ, Bảo Hiểm Tài Sản Kỹ Thuật, Bảo Hiểm Xe</t>
        </is>
      </c>
      <c r="M304" s="10" t="inlineStr">
        <is>
          <t>Bonus, Healthcare Plan, Others</t>
        </is>
      </c>
      <c r="N304" s="11">
        <f>HYPERLINK("https://www.vietnamworks.com/chuyen-vien-kinh-doanh-bao-hiem-phi-nhan-tho-kenh-djai-ly-1995970-jv","Xem chi tiết")</f>
        <v/>
      </c>
      <c r="O304" s="10" t="n"/>
    </row>
    <row r="305">
      <c r="B305" s="7" t="n">
        <v>303</v>
      </c>
      <c r="C305" t="inlineStr">
        <is>
          <t>Chuyên Viên Quản Lý Thiết Kế (Kiến Trúc - Quy Hoạch - Nội Thất)</t>
        </is>
      </c>
      <c r="D305" t="inlineStr">
        <is>
          <t>Công Ty Cổ Phần Đầu Tư Bất Động Sản Taseco</t>
        </is>
      </c>
      <c r="E305" t="inlineStr">
        <is>
          <t>Thương lượng</t>
        </is>
      </c>
      <c r="F305" t="inlineStr">
        <is>
          <t>Hà Nội</t>
        </is>
      </c>
      <c r="G305" t="inlineStr">
        <is>
          <t>Nhân viên</t>
        </is>
      </c>
      <c r="H305" t="inlineStr">
        <is>
          <t>29/12/2025</t>
        </is>
      </c>
      <c r="I305" t="inlineStr">
        <is>
          <t>20/03/2026</t>
        </is>
      </c>
      <c r="J305" t="inlineStr">
        <is>
          <t>17/03/2026</t>
        </is>
      </c>
      <c r="K305" t="inlineStr">
        <is>
          <t>N/A</t>
        </is>
      </c>
      <c r="L305" t="inlineStr">
        <is>
          <t>Autocad, Revit, Tư Vấn Thiết Kế, Quy Hoạch Kiến Trúc, Thiết Kế Kiến Trúc Nội Thất</t>
        </is>
      </c>
      <c r="M305" t="inlineStr">
        <is>
          <t>Healthcare Plan, Training, Others</t>
        </is>
      </c>
      <c r="N305" s="8">
        <f>HYPERLINK("https://www.vietnamworks.com/chuyen-vien-quan-ly-thiet-ke-kien-truc-quy-hoach-noi-that-1997621-jv","Xem chi tiết")</f>
        <v/>
      </c>
    </row>
    <row r="306">
      <c r="B306" s="9" t="n">
        <v>304</v>
      </c>
      <c r="C306" s="10" t="inlineStr">
        <is>
          <t>Sourcing Officer (Third Party Contract)</t>
        </is>
      </c>
      <c r="D306" s="10" t="inlineStr">
        <is>
          <t>BAT Vietnam</t>
        </is>
      </c>
      <c r="E306" s="10" t="inlineStr">
        <is>
          <t>Thương lượng</t>
        </is>
      </c>
      <c r="F306" s="10" t="inlineStr">
        <is>
          <t>Hồ Chí Minh</t>
        </is>
      </c>
      <c r="G306" s="10" t="inlineStr">
        <is>
          <t>Nhân viên</t>
        </is>
      </c>
      <c r="H306" s="10" t="inlineStr">
        <is>
          <t>31/12/2025</t>
        </is>
      </c>
      <c r="I306" s="10" t="inlineStr">
        <is>
          <t>20/03/2026</t>
        </is>
      </c>
      <c r="J306" s="10" t="inlineStr">
        <is>
          <t>17/03/2026</t>
        </is>
      </c>
      <c r="K306" s="10" t="inlineStr">
        <is>
          <t>N/A</t>
        </is>
      </c>
      <c r="L306" s="10" t="inlineStr">
        <is>
          <t>Analytical Thinking, Communication, Sourcing Management, Stakeholder Mangement</t>
        </is>
      </c>
      <c r="M306" s="10" t="inlineStr">
        <is>
          <t>Bonus</t>
        </is>
      </c>
      <c r="N306" s="11">
        <f>HYPERLINK("https://www.vietnamworks.com/sourcing-officer-third-party-contract-1998599-jv","Xem chi tiết")</f>
        <v/>
      </c>
      <c r="O306" s="10" t="n"/>
    </row>
    <row r="307">
      <c r="B307" s="7" t="n">
        <v>305</v>
      </c>
      <c r="C307" t="inlineStr">
        <is>
          <t>Chuyên Viên Vận Hành ERP</t>
        </is>
      </c>
      <c r="D307" t="inlineStr">
        <is>
          <t>Công Ty Cổ Phần Tập Đoàn Sunhouse</t>
        </is>
      </c>
      <c r="E307" t="inlineStr">
        <is>
          <t>Từ $ 800 /tháng</t>
        </is>
      </c>
      <c r="F307" t="inlineStr">
        <is>
          <t>Hà Nội</t>
        </is>
      </c>
      <c r="G307" t="inlineStr">
        <is>
          <t>Nhân viên</t>
        </is>
      </c>
      <c r="H307" t="inlineStr">
        <is>
          <t>31/12/2025</t>
        </is>
      </c>
      <c r="I307" t="inlineStr">
        <is>
          <t>20/03/2026</t>
        </is>
      </c>
      <c r="J307" t="inlineStr">
        <is>
          <t>17/03/2026</t>
        </is>
      </c>
      <c r="K307" t="inlineStr">
        <is>
          <t>N/A</t>
        </is>
      </c>
      <c r="L307" t="inlineStr">
        <is>
          <t>SQL, SAP, ERP Systems, ERP, Công Nghệ Thông Tin</t>
        </is>
      </c>
      <c r="M307" t="inlineStr">
        <is>
          <t>Bonus, Travel Opportunities, Transportation</t>
        </is>
      </c>
      <c r="N307" s="8">
        <f>HYPERLINK("https://www.vietnamworks.com/chuyen-vien-van-hanh-erp-1998414-jv","Xem chi tiết")</f>
        <v/>
      </c>
    </row>
    <row r="308">
      <c r="B308" s="9" t="n">
        <v>306</v>
      </c>
      <c r="C308" s="10" t="inlineStr">
        <is>
          <t>Quản Lý Phát Triển Mẫu Giày (PDM)</t>
        </is>
      </c>
      <c r="D308" s="10" t="inlineStr">
        <is>
          <t>CÔNG TY TNHH HWASEUNG VINA</t>
        </is>
      </c>
      <c r="E308" s="10" t="inlineStr">
        <is>
          <t>Thương lượng</t>
        </is>
      </c>
      <c r="F308" s="10" t="inlineStr">
        <is>
          <t>Đồng Nai, Hồ Chí Minh</t>
        </is>
      </c>
      <c r="G308" s="10" t="inlineStr">
        <is>
          <t>Nhân viên</t>
        </is>
      </c>
      <c r="H308" s="10" t="inlineStr">
        <is>
          <t>31/12/2025</t>
        </is>
      </c>
      <c r="I308" s="10" t="inlineStr">
        <is>
          <t>20/03/2026</t>
        </is>
      </c>
      <c r="J308" s="10" t="inlineStr">
        <is>
          <t>17/03/2026</t>
        </is>
      </c>
      <c r="K308" s="10" t="inlineStr">
        <is>
          <t>N/A</t>
        </is>
      </c>
      <c r="L308" s="10" t="inlineStr">
        <is>
          <t>Tính Giá Thành, Raw Materials, Clothing Design, Theo Dõi Tiến Độ</t>
        </is>
      </c>
      <c r="M308" s="10" t="inlineStr">
        <is>
          <t>Bonus, Travel Opportunities, Transportation</t>
        </is>
      </c>
      <c r="N308" s="11">
        <f>HYPERLINK("https://www.vietnamworks.com/quan-ly-phat-trien-mau-giay-pdm--1998809-jv","Xem chi tiết")</f>
        <v/>
      </c>
      <c r="O308" s="10" t="n"/>
    </row>
    <row r="309">
      <c r="B309" s="7" t="n">
        <v>307</v>
      </c>
      <c r="C309" t="inlineStr">
        <is>
          <t>Export Sales Representative</t>
        </is>
      </c>
      <c r="D309" t="inlineStr">
        <is>
          <t>CÔNG TY TNHH NÔNG NGHIỆP VÀ THỰC PHẨM TOÀN CẦU</t>
        </is>
      </c>
      <c r="E309" t="inlineStr">
        <is>
          <t>12tr-15tr ₫/tháng</t>
        </is>
      </c>
      <c r="F309" t="inlineStr">
        <is>
          <t>Hồ Chí Minh</t>
        </is>
      </c>
      <c r="G309" t="inlineStr">
        <is>
          <t>Nhân viên</t>
        </is>
      </c>
      <c r="H309" t="inlineStr">
        <is>
          <t>31/12/2025</t>
        </is>
      </c>
      <c r="I309" t="inlineStr">
        <is>
          <t>20/03/2026</t>
        </is>
      </c>
      <c r="J309" t="inlineStr">
        <is>
          <t>17/03/2026</t>
        </is>
      </c>
      <c r="K309" t="inlineStr">
        <is>
          <t>N/A</t>
        </is>
      </c>
      <c r="L309" t="inlineStr">
        <is>
          <t>Negotiation Skills, Logical Thinking, Sales Training, English Language Proficiency, Customer Service</t>
        </is>
      </c>
      <c r="M309" t="inlineStr">
        <is>
          <t>Bonus, Healthcare Plan, Paid Leave, Training, Travel Opportunities, Others</t>
        </is>
      </c>
      <c r="N309" s="8">
        <f>HYPERLINK("https://www.vietnamworks.com/export-sales-representative-1998679-jv","Xem chi tiết")</f>
        <v/>
      </c>
    </row>
    <row r="310">
      <c r="B310" s="9" t="n">
        <v>308</v>
      </c>
      <c r="C310" s="10" t="inlineStr">
        <is>
          <t>Internship Program 2026</t>
        </is>
      </c>
      <c r="D310" s="10" t="inlineStr">
        <is>
          <t>MSIG Insurance (Vietnam) Co., Ltd.</t>
        </is>
      </c>
      <c r="E310" s="10" t="inlineStr">
        <is>
          <t>Thương lượng</t>
        </is>
      </c>
      <c r="F310" s="10" t="inlineStr">
        <is>
          <t>Hà Nội</t>
        </is>
      </c>
      <c r="G310" s="10" t="inlineStr">
        <is>
          <t>Thực tập sinh/Sinh viên</t>
        </is>
      </c>
      <c r="H310" s="10" t="inlineStr">
        <is>
          <t>31/12/2025</t>
        </is>
      </c>
      <c r="I310" s="10" t="inlineStr">
        <is>
          <t>20/03/2026</t>
        </is>
      </c>
      <c r="J310" s="10" t="inlineStr">
        <is>
          <t>17/03/2026</t>
        </is>
      </c>
      <c r="K310" s="10" t="inlineStr">
        <is>
          <t>N/A</t>
        </is>
      </c>
      <c r="L310" s="10" t="inlineStr">
        <is>
          <t>Hỗ Trợ Kinh Doanh, Hành chính - Admin, Risk Management, Paperwork Handling, English</t>
        </is>
      </c>
      <c r="M310" s="10" t="inlineStr">
        <is>
          <t>Paid Leave, Travel Opportunities, Others</t>
        </is>
      </c>
      <c r="N310" s="11">
        <f>HYPERLINK("https://www.vietnamworks.com/internship-program-2026--1998344-jv","Xem chi tiết")</f>
        <v/>
      </c>
      <c r="O310" s="10" t="n"/>
    </row>
    <row r="311">
      <c r="B311" s="7" t="n">
        <v>309</v>
      </c>
      <c r="C311" t="inlineStr">
        <is>
          <t>Digital Platform Development Executive/ Chuyên Viên Phát Triển Nền Tảng Số</t>
        </is>
      </c>
      <c r="D311" t="inlineStr">
        <is>
          <t>Công ty Cổ phần Tập đoàn Golden Gate</t>
        </is>
      </c>
      <c r="E311" t="inlineStr">
        <is>
          <t>Thương lượng</t>
        </is>
      </c>
      <c r="F311" t="inlineStr">
        <is>
          <t>Hà Nội</t>
        </is>
      </c>
      <c r="G311" t="inlineStr">
        <is>
          <t>Nhân viên</t>
        </is>
      </c>
      <c r="H311" t="inlineStr">
        <is>
          <t>26/12/2025</t>
        </is>
      </c>
      <c r="I311" t="inlineStr">
        <is>
          <t>20/03/2026</t>
        </is>
      </c>
      <c r="J311" t="inlineStr">
        <is>
          <t>17/03/2026</t>
        </is>
      </c>
      <c r="K311" t="inlineStr">
        <is>
          <t>N/A</t>
        </is>
      </c>
      <c r="L311" t="inlineStr">
        <is>
          <t>Digital Platform, MS Office, Quản Lý Dự Án, SharePoint, Vendor Management</t>
        </is>
      </c>
      <c r="M311" t="inlineStr">
        <is>
          <t>Bonus, Healthcare Plan, Training, Laptop, Vouchers, Others</t>
        </is>
      </c>
      <c r="N311" s="8">
        <f>HYPERLINK("https://www.vietnamworks.com/digital-platform-development-executive-chuyen-vien-phat-trien-nen-tang-so-1996979-jv","Xem chi tiết")</f>
        <v/>
      </c>
    </row>
    <row r="312">
      <c r="B312" s="9" t="n">
        <v>310</v>
      </c>
      <c r="C312" s="10" t="inlineStr">
        <is>
          <t>Trưởng Phòng Kinh Doanh</t>
        </is>
      </c>
      <c r="D312" s="10" t="inlineStr">
        <is>
          <t>Công Ty TNHH SX &amp; TM Dược Phẩm Tâm Bình</t>
        </is>
      </c>
      <c r="E312" s="10" t="inlineStr">
        <is>
          <t>28tr-35tr ₫/tháng</t>
        </is>
      </c>
      <c r="F312" s="10" t="inlineStr">
        <is>
          <t>Hồ Chí Minh</t>
        </is>
      </c>
      <c r="G312" s="10" t="inlineStr">
        <is>
          <t>Trưởng phòng</t>
        </is>
      </c>
      <c r="H312" s="10" t="inlineStr">
        <is>
          <t>31/12/2025</t>
        </is>
      </c>
      <c r="I312" s="10" t="inlineStr">
        <is>
          <t>20/03/2026</t>
        </is>
      </c>
      <c r="J312" s="10" t="inlineStr">
        <is>
          <t>17/03/2026</t>
        </is>
      </c>
      <c r="K312" s="10" t="inlineStr">
        <is>
          <t>N/A</t>
        </is>
      </c>
      <c r="L312" s="10" t="inlineStr">
        <is>
          <t>Kinh Tế, Tài Chính, Quản Trị Kinh Doanh, Marketing Development, Phân Tích Chiến Lược</t>
        </is>
      </c>
      <c r="M312" s="10" t="inlineStr">
        <is>
          <t>Bonus, Paid Leave, Training, Others</t>
        </is>
      </c>
      <c r="N312" s="11">
        <f>HYPERLINK("https://www.vietnamworks.com/truong-phong-kinh-doanh-1998890-jv","Xem chi tiết")</f>
        <v/>
      </c>
      <c r="O312" s="10" t="n"/>
    </row>
    <row r="313">
      <c r="B313" s="7" t="n">
        <v>311</v>
      </c>
      <c r="C313" t="inlineStr">
        <is>
          <t>[CT0002] Chuyên Viên Quản Lý &amp; Phát Triển Khách Hàng (Phát Triển Kinh Doanh Số)</t>
        </is>
      </c>
      <c r="D313" t="inlineStr">
        <is>
          <t>Công Ty Cổ Phần Chứng Khoán MB</t>
        </is>
      </c>
      <c r="E313" t="inlineStr">
        <is>
          <t>Thương lượng</t>
        </is>
      </c>
      <c r="F313" t="inlineStr">
        <is>
          <t>Hà Nội</t>
        </is>
      </c>
      <c r="G313" t="inlineStr">
        <is>
          <t>Nhân viên</t>
        </is>
      </c>
      <c r="H313" t="inlineStr">
        <is>
          <t>31/12/2025</t>
        </is>
      </c>
      <c r="I313" t="inlineStr">
        <is>
          <t>20/03/2026</t>
        </is>
      </c>
      <c r="J313" t="inlineStr">
        <is>
          <t>17/03/2026</t>
        </is>
      </c>
      <c r="K313" t="inlineStr">
        <is>
          <t>N/A</t>
        </is>
      </c>
      <c r="L313" t="inlineStr">
        <is>
          <t>Tài Chính, Kinh Doanh, Phát Triển Khách Hàng, Quản Lý Kinh Doanh Số, Tìm Kiếm Khách Hàng</t>
        </is>
      </c>
      <c r="M313" t="inlineStr">
        <is>
          <t>Bonus, Healthcare Plan, Training, Team Activities, Others</t>
        </is>
      </c>
      <c r="N313" s="8">
        <f>HYPERLINK("https://www.vietnamworks.com/ct0002-chuyen-vien-quan-ly-phat-trien-khach-hang-phat-trien-kinh-doanh-so-1998897-jv","Xem chi tiết")</f>
        <v/>
      </c>
    </row>
    <row r="314">
      <c r="B314" s="9" t="n">
        <v>312</v>
      </c>
      <c r="C314" s="10" t="inlineStr">
        <is>
          <t>Giám Sát Kinh Doanh - Khu Vực Hồ Chí Minh</t>
        </is>
      </c>
      <c r="D314" s="10" t="inlineStr">
        <is>
          <t>Shinhan Vietnam Finance Company Limited</t>
        </is>
      </c>
      <c r="E314" s="10" t="inlineStr">
        <is>
          <t>Thương lượng</t>
        </is>
      </c>
      <c r="F314" s="10" t="inlineStr">
        <is>
          <t>Hồ Chí Minh</t>
        </is>
      </c>
      <c r="G314" s="10" t="inlineStr">
        <is>
          <t>Trưởng phòng</t>
        </is>
      </c>
      <c r="H314" s="10" t="inlineStr">
        <is>
          <t>02/01/2026</t>
        </is>
      </c>
      <c r="I314" s="10" t="inlineStr">
        <is>
          <t>20/03/2026</t>
        </is>
      </c>
      <c r="J314" s="10" t="inlineStr">
        <is>
          <t>17/03/2026</t>
        </is>
      </c>
      <c r="K314" s="10" t="inlineStr">
        <is>
          <t>N/A</t>
        </is>
      </c>
      <c r="L314" s="10" t="inlineStr">
        <is>
          <t>Giao Tiếp Thuyết Phục, Quản Lý Chỉ Số KPI, Sales Supervisor, Tài Chính, Telesales Marketing</t>
        </is>
      </c>
      <c r="M314" s="10" t="inlineStr">
        <is>
          <t>Bonus, Healthcare Plan, Laptop, Travel Opportunities</t>
        </is>
      </c>
      <c r="N314" s="11">
        <f>HYPERLINK("https://www.vietnamworks.com/giam-sat-kinh-doanh-khu-vuc-ho-chi-minh-1999026-jv","Xem chi tiết")</f>
        <v/>
      </c>
      <c r="O314" s="10" t="n"/>
    </row>
    <row r="315">
      <c r="B315" s="7" t="n">
        <v>313</v>
      </c>
      <c r="C315" t="inlineStr">
        <is>
          <t>Customer Manager</t>
        </is>
      </c>
      <c r="D315" t="inlineStr">
        <is>
          <t>Far East Submarine Cable Co,.Ltd.</t>
        </is>
      </c>
      <c r="E315" t="inlineStr">
        <is>
          <t>$$ 1,200-1,500 /tháng</t>
        </is>
      </c>
      <c r="F315" t="inlineStr">
        <is>
          <t>Hà Nội</t>
        </is>
      </c>
      <c r="G315" t="inlineStr">
        <is>
          <t>Trưởng phòng</t>
        </is>
      </c>
      <c r="H315" t="inlineStr">
        <is>
          <t>11/01/2026</t>
        </is>
      </c>
      <c r="I315" t="inlineStr">
        <is>
          <t>20/03/2026</t>
        </is>
      </c>
      <c r="J315" t="inlineStr">
        <is>
          <t>17/03/2026</t>
        </is>
      </c>
      <c r="K315" t="inlineStr">
        <is>
          <t>N/A</t>
        </is>
      </c>
      <c r="L315" t="inlineStr">
        <is>
          <t>communication</t>
        </is>
      </c>
      <c r="M315" t="inlineStr">
        <is>
          <t>Bonus</t>
        </is>
      </c>
      <c r="N315" s="8">
        <f>HYPERLINK("https://www.vietnamworks.com/customer-manager--2001265-jv","Xem chi tiết")</f>
        <v/>
      </c>
    </row>
    <row r="316">
      <c r="B316" s="9" t="n">
        <v>314</v>
      </c>
      <c r="C316" s="10" t="inlineStr">
        <is>
          <t>Trưởng Phòng Truyền Thông Marketing</t>
        </is>
      </c>
      <c r="D316" s="10" t="inlineStr">
        <is>
          <t>Công Ty TNHH SX &amp; TM Dược Phẩm Tâm Bình</t>
        </is>
      </c>
      <c r="E316" s="10" t="inlineStr">
        <is>
          <t>35tr-40tr ₫/tháng</t>
        </is>
      </c>
      <c r="F316" s="10" t="inlineStr">
        <is>
          <t>Hà Nội</t>
        </is>
      </c>
      <c r="G316" s="10" t="inlineStr">
        <is>
          <t>Trưởng phòng</t>
        </is>
      </c>
      <c r="H316" s="10" t="inlineStr">
        <is>
          <t>31/12/2025</t>
        </is>
      </c>
      <c r="I316" s="10" t="inlineStr">
        <is>
          <t>20/03/2026</t>
        </is>
      </c>
      <c r="J316" s="10" t="inlineStr">
        <is>
          <t>17/03/2026</t>
        </is>
      </c>
      <c r="K316" s="10" t="inlineStr">
        <is>
          <t>N/A</t>
        </is>
      </c>
      <c r="L316" s="10" t="inlineStr">
        <is>
          <t>Truyền Thông, Marketing Development, Truyền Thông Báo Chí, Quản Lý, Lập Kế Hoạch</t>
        </is>
      </c>
      <c r="M316" s="10" t="inlineStr">
        <is>
          <t>Bonus, Healthcare Plan, Paid Leave, Training, Team Activities, Others</t>
        </is>
      </c>
      <c r="N316" s="11">
        <f>HYPERLINK("https://www.vietnamworks.com/truong-phong-truyen-thong-marketing-1998900-jv","Xem chi tiết")</f>
        <v/>
      </c>
      <c r="O316" s="10" t="n"/>
    </row>
    <row r="317">
      <c r="B317" s="7" t="n">
        <v>315</v>
      </c>
      <c r="C317" t="inlineStr">
        <is>
          <t>Cost Accountant</t>
        </is>
      </c>
      <c r="D317" t="inlineStr">
        <is>
          <t>CÔNG TY TNHH VISUAL COMFORT VIỆT NAM</t>
        </is>
      </c>
      <c r="E317" t="inlineStr">
        <is>
          <t>Thương lượng</t>
        </is>
      </c>
      <c r="F317" t="inlineStr">
        <is>
          <t>Đồng Nai, Hồ Chí Minh</t>
        </is>
      </c>
      <c r="G317" t="inlineStr">
        <is>
          <t>Nhân viên</t>
        </is>
      </c>
      <c r="H317" t="inlineStr">
        <is>
          <t>02/01/2026</t>
        </is>
      </c>
      <c r="I317" t="inlineStr">
        <is>
          <t>20/03/2026</t>
        </is>
      </c>
      <c r="J317" t="inlineStr">
        <is>
          <t>17/03/2026</t>
        </is>
      </c>
      <c r="K317" t="inlineStr">
        <is>
          <t>N/A</t>
        </is>
      </c>
      <c r="L317" t="inlineStr">
        <is>
          <t>Analytical Skills, Cost Accounting, ERP Systems, IFRS, SAP</t>
        </is>
      </c>
      <c r="M317" t="inlineStr">
        <is>
          <t>Bonus, Healthcare Plan, Others</t>
        </is>
      </c>
      <c r="N317" s="8">
        <f>HYPERLINK("https://www.vietnamworks.com/cost-accountant-1999110-jv","Xem chi tiết")</f>
        <v/>
      </c>
    </row>
    <row r="318">
      <c r="B318" s="9" t="n">
        <v>316</v>
      </c>
      <c r="C318" s="10" t="inlineStr">
        <is>
          <t>Chuyên Viên Nguồn Vốn (Thu Nhập và Đãi Ngộ Hấp Dẫn)</t>
        </is>
      </c>
      <c r="D318" s="10" t="inlineStr">
        <is>
          <t>Công Ty TNHH Tập Đoàn Xây Dựng Delta</t>
        </is>
      </c>
      <c r="E318" s="10" t="inlineStr">
        <is>
          <t>Thương lượng</t>
        </is>
      </c>
      <c r="F318" s="10" t="inlineStr">
        <is>
          <t>Hà Nội</t>
        </is>
      </c>
      <c r="G318" s="10" t="inlineStr">
        <is>
          <t>Nhân viên</t>
        </is>
      </c>
      <c r="H318" s="10" t="inlineStr">
        <is>
          <t>02/01/2026</t>
        </is>
      </c>
      <c r="I318" s="10" t="inlineStr">
        <is>
          <t>20/03/2026</t>
        </is>
      </c>
      <c r="J318" s="10" t="inlineStr">
        <is>
          <t>17/03/2026</t>
        </is>
      </c>
      <c r="K318" s="10" t="inlineStr">
        <is>
          <t>N/A</t>
        </is>
      </c>
      <c r="L318" s="10" t="inlineStr">
        <is>
          <t>Quản Lý Nguồn Vốn, Huy Động Vốn, Lập Báo Cáo Tài Chính, Kỹ năng giao tiêp, Làm Việc Nhóm</t>
        </is>
      </c>
      <c r="M318" s="10" t="inlineStr">
        <is>
          <t>Bonus, Paid Leave, Training</t>
        </is>
      </c>
      <c r="N318" s="11">
        <f>HYPERLINK("https://www.vietnamworks.com/chuyen-vien-nguon-von-thu-nhap-va-dai-ngo-hap-dan-1999131-jv","Xem chi tiết")</f>
        <v/>
      </c>
      <c r="O318" s="10" t="n"/>
    </row>
    <row r="319">
      <c r="B319" s="7" t="n">
        <v>317</v>
      </c>
      <c r="C319" t="inlineStr">
        <is>
          <t>Inventory Accountant</t>
        </is>
      </c>
      <c r="D319" t="inlineStr">
        <is>
          <t>CÔNG TY TNHH VISUAL COMFORT VIỆT NAM</t>
        </is>
      </c>
      <c r="E319" t="inlineStr">
        <is>
          <t>Thương lượng</t>
        </is>
      </c>
      <c r="F319" t="inlineStr">
        <is>
          <t>Đà Nẵng, Quảng Nam</t>
        </is>
      </c>
      <c r="G319" t="inlineStr">
        <is>
          <t>Nhân viên</t>
        </is>
      </c>
      <c r="H319" t="inlineStr">
        <is>
          <t>02/01/2026</t>
        </is>
      </c>
      <c r="I319" t="inlineStr">
        <is>
          <t>20/03/2026</t>
        </is>
      </c>
      <c r="J319" t="inlineStr">
        <is>
          <t>17/03/2026</t>
        </is>
      </c>
      <c r="K319" t="inlineStr">
        <is>
          <t>N/A</t>
        </is>
      </c>
      <c r="L319" t="inlineStr">
        <is>
          <t>Administrative Management, Microsoft Office 365, Office Administration, Operations support, Solution Oriented</t>
        </is>
      </c>
      <c r="M319" t="inlineStr">
        <is>
          <t>Others</t>
        </is>
      </c>
      <c r="N319" s="8">
        <f>HYPERLINK("https://www.vietnamworks.com/inventory-accountant-1999115-jv","Xem chi tiết")</f>
        <v/>
      </c>
    </row>
    <row r="320">
      <c r="B320" s="9" t="n">
        <v>318</v>
      </c>
      <c r="C320" s="10" t="inlineStr">
        <is>
          <t>[CT0003] Trưởng Phòng Kinh Doanh Dịch Vụ Chứng Khoán</t>
        </is>
      </c>
      <c r="D320" s="10" t="inlineStr">
        <is>
          <t>Công Ty Cổ Phần Chứng Khoán MB</t>
        </is>
      </c>
      <c r="E320" s="10" t="inlineStr">
        <is>
          <t>Thương lượng</t>
        </is>
      </c>
      <c r="F320" s="10" t="inlineStr">
        <is>
          <t>Hà Nội</t>
        </is>
      </c>
      <c r="G320" s="10" t="inlineStr">
        <is>
          <t>Trưởng phòng</t>
        </is>
      </c>
      <c r="H320" s="10" t="inlineStr">
        <is>
          <t>31/12/2025</t>
        </is>
      </c>
      <c r="I320" s="10" t="inlineStr">
        <is>
          <t>20/03/2026</t>
        </is>
      </c>
      <c r="J320" s="10" t="inlineStr">
        <is>
          <t>17/03/2026</t>
        </is>
      </c>
      <c r="K320" s="10" t="inlineStr">
        <is>
          <t>N/A</t>
        </is>
      </c>
      <c r="L320" s="10" t="inlineStr">
        <is>
          <t>Tài Chính, Chứng khoán, Kinh Doanh, Lập Kế Hoạch, Ngân hàng</t>
        </is>
      </c>
      <c r="M320" s="10" t="inlineStr">
        <is>
          <t>Bonus, Healthcare Plan, Training, Team Activities, Others</t>
        </is>
      </c>
      <c r="N320" s="11">
        <f>HYPERLINK("https://www.vietnamworks.com/ct0003-truong-phong-kinh-doanh-dich-vu-chung-khoan-1998898-jv","Xem chi tiết")</f>
        <v/>
      </c>
      <c r="O320" s="10" t="n"/>
    </row>
    <row r="321">
      <c r="B321" s="7" t="n">
        <v>319</v>
      </c>
      <c r="C321" t="inlineStr">
        <is>
          <t xml:space="preserve">Regulatory Affairs Specialist </t>
        </is>
      </c>
      <c r="D321" t="inlineStr">
        <is>
          <t>Công Ty TNHH Dược Phẩm New Far East</t>
        </is>
      </c>
      <c r="E321" t="inlineStr">
        <is>
          <t>$$ 700-1,000 /tháng</t>
        </is>
      </c>
      <c r="F321" t="inlineStr">
        <is>
          <t>Hồ Chí Minh</t>
        </is>
      </c>
      <c r="G321" t="inlineStr">
        <is>
          <t>Nhân viên</t>
        </is>
      </c>
      <c r="H321" t="inlineStr">
        <is>
          <t>29/01/2026</t>
        </is>
      </c>
      <c r="I321" t="inlineStr">
        <is>
          <t>20/03/2026</t>
        </is>
      </c>
      <c r="J321" t="inlineStr">
        <is>
          <t>17/03/2026</t>
        </is>
      </c>
      <c r="K321" t="inlineStr">
        <is>
          <t>N/A</t>
        </is>
      </c>
      <c r="L321" t="inlineStr">
        <is>
          <t>Regulatory Affairs, Drug Registration Records, GMP, Ctd Structure, English Language Proficiency</t>
        </is>
      </c>
      <c r="M321" t="inlineStr">
        <is>
          <t>Bonus, Healthcare Plan, Paid Leave, Team Activities, Others</t>
        </is>
      </c>
      <c r="N321" s="8">
        <f>HYPERLINK("https://www.vietnamworks.com/regulatory-affairs-specialist-2007677-jv","Xem chi tiết")</f>
        <v/>
      </c>
    </row>
    <row r="322">
      <c r="B322" s="9" t="n">
        <v>320</v>
      </c>
      <c r="C322" s="10" t="inlineStr">
        <is>
          <t>Quản Lý Sản Xuất</t>
        </is>
      </c>
      <c r="D322" s="10" t="inlineStr">
        <is>
          <t>Công ty Thương mại Quốc tế Lekker</t>
        </is>
      </c>
      <c r="E322" s="10" t="inlineStr">
        <is>
          <t>Từ 15tr ₫/tháng</t>
        </is>
      </c>
      <c r="F322" s="10" t="inlineStr">
        <is>
          <t>Hà Nội</t>
        </is>
      </c>
      <c r="G322" s="10" t="inlineStr">
        <is>
          <t>Nhân viên</t>
        </is>
      </c>
      <c r="H322" s="10" t="inlineStr">
        <is>
          <t>31/01/2026</t>
        </is>
      </c>
      <c r="I322" s="10" t="inlineStr">
        <is>
          <t>20/03/2026</t>
        </is>
      </c>
      <c r="J322" s="10" t="inlineStr">
        <is>
          <t>17/03/2026</t>
        </is>
      </c>
      <c r="K322" s="10" t="inlineStr">
        <is>
          <t>N/A</t>
        </is>
      </c>
      <c r="L322" s="10" t="inlineStr">
        <is>
          <t>Production Management, Quản lý chất lượng, Quản Lý Dự Án, Sourcing Management</t>
        </is>
      </c>
      <c r="M322" s="10" t="inlineStr">
        <is>
          <t>Bonus, Healthcare Plan</t>
        </is>
      </c>
      <c r="N322" s="11">
        <f>HYPERLINK("https://www.vietnamworks.com/quan-ly-san-xuat-2008792-jv","Xem chi tiết")</f>
        <v/>
      </c>
      <c r="O322" s="10" t="n"/>
    </row>
    <row r="323">
      <c r="B323" s="7" t="n">
        <v>321</v>
      </c>
      <c r="C323" t="inlineStr">
        <is>
          <t>Cộng Tác Viên Môi Giới Chứng Khoán - Thu Nhập Từ 15 Triệu VND</t>
        </is>
      </c>
      <c r="D323" t="inlineStr">
        <is>
          <t>Công ty Cổ phần Chứng khoán VPS - CN Hồ Chí Minh</t>
        </is>
      </c>
      <c r="E323" t="inlineStr">
        <is>
          <t>Thương lượng</t>
        </is>
      </c>
      <c r="F323" t="inlineStr">
        <is>
          <t>Hồ Chí Minh, Tây Ninh, Đồng Nai</t>
        </is>
      </c>
      <c r="G323" t="inlineStr">
        <is>
          <t>Nhân viên</t>
        </is>
      </c>
      <c r="H323" t="inlineStr">
        <is>
          <t>03/02/2026</t>
        </is>
      </c>
      <c r="I323" t="inlineStr">
        <is>
          <t>20/03/2026</t>
        </is>
      </c>
      <c r="J323" t="inlineStr">
        <is>
          <t>17/03/2026</t>
        </is>
      </c>
      <c r="K323" t="inlineStr">
        <is>
          <t>N/A</t>
        </is>
      </c>
      <c r="L323" t="inlineStr">
        <is>
          <t>Phân Tích Thị Trường, Tư Vấn Giao Dịch, Mô Hình Tài Chính, Chứng Khoán, Môi Giới Chứng Khoán</t>
        </is>
      </c>
      <c r="M323" t="inlineStr">
        <is>
          <t>Bonus, Healthcare Plan, Training, Travel Opportunities, Others</t>
        </is>
      </c>
      <c r="N323" s="8">
        <f>HYPERLINK("https://www.vietnamworks.com/cong-tac-vien-moi-gioi-chung-khoan-thu-nhap-tu-15-trieu-vnd-2009186-jv","Xem chi tiết")</f>
        <v/>
      </c>
    </row>
    <row r="324">
      <c r="B324" s="9" t="n">
        <v>322</v>
      </c>
      <c r="C324" s="10" t="inlineStr">
        <is>
          <t>Trưởng Phòng Pháp Chế</t>
        </is>
      </c>
      <c r="D324" s="10" t="inlineStr">
        <is>
          <t>GELEX Group</t>
        </is>
      </c>
      <c r="E324" s="10" t="inlineStr">
        <is>
          <t>$$ 2,000-3,000 /tháng</t>
        </is>
      </c>
      <c r="F324" s="10" t="inlineStr">
        <is>
          <t>Hà Nội</t>
        </is>
      </c>
      <c r="G324" s="10" t="inlineStr">
        <is>
          <t>Trưởng phòng</t>
        </is>
      </c>
      <c r="H324" s="10" t="inlineStr">
        <is>
          <t>03/01/2026</t>
        </is>
      </c>
      <c r="I324" s="10" t="inlineStr">
        <is>
          <t>20/03/2026</t>
        </is>
      </c>
      <c r="J324" s="10" t="inlineStr">
        <is>
          <t>17/03/2026</t>
        </is>
      </c>
      <c r="K324" s="10" t="inlineStr">
        <is>
          <t>N/A</t>
        </is>
      </c>
      <c r="L324" s="10" t="inlineStr">
        <is>
          <t>Pháp Lý Dự Án, Pháp Lý Hợp Đồng, Pháp Lý Doanh Nghiệp, Quy Trình Pháp Lý Đầu Tư, Đầu Tư</t>
        </is>
      </c>
      <c r="M324" s="10" t="inlineStr">
        <is>
          <t>Bonus, Healthcare Plan, Training, Others</t>
        </is>
      </c>
      <c r="N324" s="11">
        <f>HYPERLINK("https://www.vietnamworks.com/truong-phong-phap-che-1999211-jv","Xem chi tiết")</f>
        <v/>
      </c>
      <c r="O324" s="10" t="n"/>
    </row>
    <row r="325">
      <c r="B325" s="7" t="n">
        <v>323</v>
      </c>
      <c r="C325" t="inlineStr">
        <is>
          <t>Production Supply Specialist For Hard Equipment Team</t>
        </is>
      </c>
      <c r="D325" t="inlineStr">
        <is>
          <t>Decathlon Vietnam</t>
        </is>
      </c>
      <c r="E325" t="inlineStr">
        <is>
          <t>Thương lượng</t>
        </is>
      </c>
      <c r="F325" t="inlineStr">
        <is>
          <t>Hồ Chí Minh</t>
        </is>
      </c>
      <c r="G325" t="inlineStr">
        <is>
          <t>Nhân viên</t>
        </is>
      </c>
      <c r="H325" t="inlineStr">
        <is>
          <t>03/02/2026</t>
        </is>
      </c>
      <c r="I325" t="inlineStr">
        <is>
          <t>20/03/2026</t>
        </is>
      </c>
      <c r="J325" t="inlineStr">
        <is>
          <t>17/03/2026</t>
        </is>
      </c>
      <c r="K325" t="inlineStr">
        <is>
          <t>N/A</t>
        </is>
      </c>
      <c r="L325" t="inlineStr">
        <is>
          <t>Supply Planning, Supply Chain, Leadership, Planning Capability, Inventory Forecasting</t>
        </is>
      </c>
      <c r="M325" t="inlineStr">
        <is>
          <t>Bonus, Healthcare Plan, Paid Leave</t>
        </is>
      </c>
      <c r="N325" s="8">
        <f>HYPERLINK("https://www.vietnamworks.com/production-supply-specialist-for-hard-equipment-team-1-2009177-jv","Xem chi tiết")</f>
        <v/>
      </c>
    </row>
    <row r="326">
      <c r="B326" s="9" t="n">
        <v>324</v>
      </c>
      <c r="C326" s="10" t="inlineStr">
        <is>
          <t>Product Owner Tại Hà Nội ( Phỏng Vấn Đi Làm Luôn)</t>
        </is>
      </c>
      <c r="D326" s="10" t="inlineStr">
        <is>
          <t>Công Ty Cổ Phần GAPIT</t>
        </is>
      </c>
      <c r="E326" s="10" t="inlineStr">
        <is>
          <t>Thương lượng</t>
        </is>
      </c>
      <c r="F326" s="10" t="inlineStr">
        <is>
          <t>Hà Nội</t>
        </is>
      </c>
      <c r="G326" s="10" t="inlineStr">
        <is>
          <t>Trưởng phòng</t>
        </is>
      </c>
      <c r="H326" s="10" t="inlineStr">
        <is>
          <t>02/02/2026</t>
        </is>
      </c>
      <c r="I326" s="10" t="inlineStr">
        <is>
          <t>20/03/2026</t>
        </is>
      </c>
      <c r="J326" s="10" t="inlineStr">
        <is>
          <t>17/03/2026</t>
        </is>
      </c>
      <c r="K326" s="10" t="inlineStr">
        <is>
          <t>N/A</t>
        </is>
      </c>
      <c r="L326" s="10" t="inlineStr">
        <is>
          <t>Marketing Development, CNTT, AI, Phát Triển Sản Phẩm</t>
        </is>
      </c>
      <c r="M326" s="10" t="inlineStr">
        <is>
          <t>Bonus, Healthcare Plan, Training, Laptop, Team Activities, Canteen, Others</t>
        </is>
      </c>
      <c r="N326" s="11">
        <f>HYPERLINK("https://www.vietnamworks.com/product-owner-tai-ha-noi-phong-van-di-lam-luon-2009081-jv","Xem chi tiết")</f>
        <v/>
      </c>
      <c r="O326" s="10" t="n"/>
    </row>
    <row r="327">
      <c r="B327" s="7" t="n">
        <v>325</v>
      </c>
      <c r="C327" t="inlineStr">
        <is>
          <t>Business Development Manager</t>
        </is>
      </c>
      <c r="D327" t="inlineStr">
        <is>
          <t>CÔNG TY TNHH THƯƠNG MẠI DỊCH VỤ THÚ CƯNG VIỆT NAM</t>
        </is>
      </c>
      <c r="E327" t="inlineStr">
        <is>
          <t>$$ 1,000-3,000 /tháng</t>
        </is>
      </c>
      <c r="F327" t="inlineStr">
        <is>
          <t>Hồ Chí Minh</t>
        </is>
      </c>
      <c r="G327" t="inlineStr">
        <is>
          <t>Trưởng phòng</t>
        </is>
      </c>
      <c r="H327" t="inlineStr">
        <is>
          <t>31/01/2026</t>
        </is>
      </c>
      <c r="I327" t="inlineStr">
        <is>
          <t>20/03/2026</t>
        </is>
      </c>
      <c r="J327" t="inlineStr">
        <is>
          <t>17/03/2026</t>
        </is>
      </c>
      <c r="K327" t="inlineStr">
        <is>
          <t>N/A</t>
        </is>
      </c>
      <c r="L327" t="inlineStr">
        <is>
          <t>Chiến Lược Kinh Doanh, Công Nghệ Truyền Thông, Phân Tích Số Liệu, Quản Trị Đội Ngũ, Đàm Phán Thương Thuyết</t>
        </is>
      </c>
      <c r="M327" t="inlineStr">
        <is>
          <t>Bonus, Healthcare Plan, Team Activities</t>
        </is>
      </c>
      <c r="N327" s="8">
        <f>HYPERLINK("https://www.vietnamworks.com/business-development-manager-2008816-jv","Xem chi tiết")</f>
        <v/>
      </c>
    </row>
    <row r="328">
      <c r="B328" s="9" t="n">
        <v>326</v>
      </c>
      <c r="C328" s="10" t="inlineStr">
        <is>
          <t>Demand Planner</t>
        </is>
      </c>
      <c r="D328" s="10" t="inlineStr">
        <is>
          <t>Avery Dennison Vietnam</t>
        </is>
      </c>
      <c r="E328" s="10" t="inlineStr">
        <is>
          <t>Thương lượng</t>
        </is>
      </c>
      <c r="F328" s="10" t="inlineStr">
        <is>
          <t>Long An</t>
        </is>
      </c>
      <c r="G328" s="10" t="inlineStr">
        <is>
          <t>Nhân viên</t>
        </is>
      </c>
      <c r="H328" s="10" t="inlineStr">
        <is>
          <t>03/02/2026</t>
        </is>
      </c>
      <c r="I328" s="10" t="inlineStr">
        <is>
          <t>20/03/2026</t>
        </is>
      </c>
      <c r="J328" s="10" t="inlineStr">
        <is>
          <t>17/03/2026</t>
        </is>
      </c>
      <c r="K328" s="10" t="inlineStr">
        <is>
          <t>N/A</t>
        </is>
      </c>
      <c r="L328" s="10" t="inlineStr">
        <is>
          <t>Analytical Skills, Communication Skills, Mathematical Thinking, Organizational skills, Solution Oriented</t>
        </is>
      </c>
      <c r="M328" s="10" t="inlineStr">
        <is>
          <t>Bonus, Healthcare Plan, Transportation, Canteen</t>
        </is>
      </c>
      <c r="N328" s="11">
        <f>HYPERLINK("https://www.vietnamworks.com/demand-planner-2009178-jv","Xem chi tiết")</f>
        <v/>
      </c>
      <c r="O328" s="10" t="n"/>
    </row>
    <row r="329">
      <c r="B329" s="7" t="n">
        <v>327</v>
      </c>
      <c r="C329" t="inlineStr">
        <is>
          <t>Marketing Leader - Ngành Thẩm Mỹ, Da Liễu, Spa, Mỹ Phẩm hoặc Y Tế.</t>
        </is>
      </c>
      <c r="D329" t="inlineStr">
        <is>
          <t>Cty TNHH Phan Thủy The house of luxury</t>
        </is>
      </c>
      <c r="E329" t="inlineStr">
        <is>
          <t>30tr-35tr ₫/tháng</t>
        </is>
      </c>
      <c r="F329" t="inlineStr">
        <is>
          <t>Hà Nội</t>
        </is>
      </c>
      <c r="G329" t="inlineStr">
        <is>
          <t>Trưởng phòng</t>
        </is>
      </c>
      <c r="H329" t="inlineStr">
        <is>
          <t>02/02/2026</t>
        </is>
      </c>
      <c r="I329" t="inlineStr">
        <is>
          <t>20/03/2026</t>
        </is>
      </c>
      <c r="J329" t="inlineStr">
        <is>
          <t>17/03/2026</t>
        </is>
      </c>
      <c r="K329" t="inlineStr">
        <is>
          <t>N/A</t>
        </is>
      </c>
      <c r="L329" t="inlineStr">
        <is>
          <t>Marketing Strategy, Digital Marketing, Beauty Marketing, Marketing Leader Team, Medical Aesthetics Expertise</t>
        </is>
      </c>
      <c r="M329" t="inlineStr">
        <is>
          <t>Bonus, Healthcare Plan, Paid Leave, Others</t>
        </is>
      </c>
      <c r="N329" s="8">
        <f>HYPERLINK("https://www.vietnamworks.com/marketing-leader-nganh-tham-my-da-lieu-spa-my-pham-hoac-y-te-2009159-jv","Xem chi tiết")</f>
        <v/>
      </c>
    </row>
    <row r="330">
      <c r="B330" s="9" t="n">
        <v>328</v>
      </c>
      <c r="C330" s="10" t="inlineStr">
        <is>
          <t>Senior Accountant</t>
        </is>
      </c>
      <c r="D330" s="10" t="inlineStr">
        <is>
          <t>Navi Bunker Pte Ltd</t>
        </is>
      </c>
      <c r="E330" s="10" t="inlineStr">
        <is>
          <t>$$ 800-1,000 /tháng</t>
        </is>
      </c>
      <c r="F330" s="10" t="inlineStr">
        <is>
          <t>Hồ Chí Minh</t>
        </is>
      </c>
      <c r="G330" s="10" t="inlineStr">
        <is>
          <t>Nhân viên</t>
        </is>
      </c>
      <c r="H330" s="10" t="inlineStr">
        <is>
          <t>02/02/2026</t>
        </is>
      </c>
      <c r="I330" s="10" t="inlineStr">
        <is>
          <t>20/03/2026</t>
        </is>
      </c>
      <c r="J330" s="10" t="inlineStr">
        <is>
          <t>17/03/2026</t>
        </is>
      </c>
      <c r="K330" s="10" t="inlineStr">
        <is>
          <t>N/A</t>
        </is>
      </c>
      <c r="L330" s="10" t="inlineStr">
        <is>
          <t>Accounting, Communication, Financial Analysis, Microsoft Excel, Regulatory Compliance</t>
        </is>
      </c>
      <c r="M330" s="10" t="inlineStr">
        <is>
          <t>Healthcare Plan, Paid Leave, Travel Opportunities, Team Activities, Others</t>
        </is>
      </c>
      <c r="N330" s="11">
        <f>HYPERLINK("https://www.vietnamworks.com/senior-accountant-2009075-jv","Xem chi tiết")</f>
        <v/>
      </c>
      <c r="O330" s="10" t="n"/>
    </row>
    <row r="331">
      <c r="B331" s="7" t="n">
        <v>329</v>
      </c>
      <c r="C331" t="inlineStr">
        <is>
          <t>Technical Team Support Member</t>
        </is>
      </c>
      <c r="D331" t="inlineStr">
        <is>
          <t>Công Ty TNHH NexGenus</t>
        </is>
      </c>
      <c r="E331" t="inlineStr">
        <is>
          <t>Thương lượng</t>
        </is>
      </c>
      <c r="F331" t="inlineStr">
        <is>
          <t>Hồ Chí Minh, Đà Nẵng</t>
        </is>
      </c>
      <c r="G331" t="inlineStr">
        <is>
          <t>Nhân viên</t>
        </is>
      </c>
      <c r="H331" t="inlineStr">
        <is>
          <t>03/02/2026</t>
        </is>
      </c>
      <c r="I331" t="inlineStr">
        <is>
          <t>20/03/2026</t>
        </is>
      </c>
      <c r="J331" t="inlineStr">
        <is>
          <t>17/03/2026</t>
        </is>
      </c>
      <c r="K331" t="inlineStr">
        <is>
          <t>N/A</t>
        </is>
      </c>
      <c r="L331" t="inlineStr">
        <is>
          <t>Attention To Detail, AutoCAD Pro, Communication Skills, Residential Design, Team Work</t>
        </is>
      </c>
      <c r="M331" t="inlineStr">
        <is>
          <t>Bonus, Healthcare Plan, Paid Leave, Training, Travel Opportunities, Team Activities, Others</t>
        </is>
      </c>
      <c r="N331" s="8">
        <f>HYPERLINK("https://www.vietnamworks.com/technical-team-support-member-2009179-jv","Xem chi tiết")</f>
        <v/>
      </c>
    </row>
    <row r="332">
      <c r="B332" s="9" t="n">
        <v>330</v>
      </c>
      <c r="C332" s="10" t="inlineStr">
        <is>
          <t>Equitable Learning Services Advisor</t>
        </is>
      </c>
      <c r="D332" s="10" t="inlineStr">
        <is>
          <t>RMIT University Vietnam</t>
        </is>
      </c>
      <c r="E332" s="10" t="inlineStr">
        <is>
          <t>Thương lượng</t>
        </is>
      </c>
      <c r="F332" s="10" t="inlineStr">
        <is>
          <t>Hồ Chí Minh</t>
        </is>
      </c>
      <c r="G332" s="10" t="inlineStr">
        <is>
          <t>Nhân viên</t>
        </is>
      </c>
      <c r="H332" s="10" t="inlineStr">
        <is>
          <t>29/01/2026</t>
        </is>
      </c>
      <c r="I332" s="10" t="inlineStr">
        <is>
          <t>20/03/2026</t>
        </is>
      </c>
      <c r="J332" s="10" t="inlineStr">
        <is>
          <t>17/03/2026</t>
        </is>
      </c>
      <c r="K332" s="10" t="inlineStr">
        <is>
          <t>N/A</t>
        </is>
      </c>
      <c r="L332" s="10" t="inlineStr">
        <is>
          <t>Education Consultant, Student Support, IDEA, Student Assistance</t>
        </is>
      </c>
      <c r="M332" s="10" t="inlineStr">
        <is>
          <t>Bonus, Healthcare Plan, Training, Others</t>
        </is>
      </c>
      <c r="N332" s="11">
        <f>HYPERLINK("https://www.vietnamworks.com/equitable-learning-services-advisor-2007865-jv","Xem chi tiết")</f>
        <v/>
      </c>
      <c r="O332" s="10" t="n"/>
    </row>
    <row r="333">
      <c r="B333" s="7" t="n">
        <v>331</v>
      </c>
      <c r="C333" t="inlineStr">
        <is>
          <t>Reception &amp; Admin Intern</t>
        </is>
      </c>
      <c r="D333" t="inlineStr">
        <is>
          <t>Bosch Global Software Technologies Company Limited</t>
        </is>
      </c>
      <c r="E333" t="inlineStr">
        <is>
          <t>Thương lượng</t>
        </is>
      </c>
      <c r="F333" t="inlineStr">
        <is>
          <t>Hồ Chí Minh</t>
        </is>
      </c>
      <c r="G333" t="inlineStr">
        <is>
          <t>Thực tập sinh/Sinh viên</t>
        </is>
      </c>
      <c r="H333" t="inlineStr">
        <is>
          <t>03/02/2026</t>
        </is>
      </c>
      <c r="I333" t="inlineStr">
        <is>
          <t>20/03/2026</t>
        </is>
      </c>
      <c r="J333" t="inlineStr">
        <is>
          <t>17/03/2026</t>
        </is>
      </c>
      <c r="K333" t="inlineStr">
        <is>
          <t>N/A</t>
        </is>
      </c>
      <c r="L333" t="inlineStr">
        <is>
          <t>Business Administration, Customer Focused Design, English Communication, Hospitality, MS Office</t>
        </is>
      </c>
      <c r="M333" t="inlineStr">
        <is>
          <t>Paid Leave, Training, Others</t>
        </is>
      </c>
      <c r="N333" s="8">
        <f>HYPERLINK("https://www.vietnamworks.com/reception-and-admin-intern-2009183-jv","Xem chi tiết")</f>
        <v/>
      </c>
    </row>
    <row r="334">
      <c r="B334" s="9" t="n">
        <v>332</v>
      </c>
      <c r="C334" s="10" t="inlineStr">
        <is>
          <t>Route-To-Market Executive</t>
        </is>
      </c>
      <c r="D334" s="10" t="inlineStr">
        <is>
          <t>Bel</t>
        </is>
      </c>
      <c r="E334" s="10" t="inlineStr">
        <is>
          <t>Thương lượng</t>
        </is>
      </c>
      <c r="F334" s="10" t="inlineStr">
        <is>
          <t>Hồ Chí Minh</t>
        </is>
      </c>
      <c r="G334" s="10" t="inlineStr">
        <is>
          <t>Nhân viên</t>
        </is>
      </c>
      <c r="H334" s="10" t="inlineStr">
        <is>
          <t>02/02/2026</t>
        </is>
      </c>
      <c r="I334" s="10" t="inlineStr">
        <is>
          <t>20/03/2026</t>
        </is>
      </c>
      <c r="J334" s="10" t="inlineStr">
        <is>
          <t>17/03/2026</t>
        </is>
      </c>
      <c r="K334" s="10" t="inlineStr">
        <is>
          <t>N/A</t>
        </is>
      </c>
      <c r="L334" s="10" t="inlineStr">
        <is>
          <t>Data Analysis  (Excel, Power BI...), Communication  Effective Skill, FMCG sales experience, Report Analytics, Route-To-Market Management</t>
        </is>
      </c>
      <c r="M334" s="10" t="inlineStr">
        <is>
          <t>Bonus, Healthcare Plan, Paid Leave, Laptop, Team Activities</t>
        </is>
      </c>
      <c r="N334" s="11">
        <f>HYPERLINK("https://www.vietnamworks.com/route-to-market-executive-2009034-jv","Xem chi tiết")</f>
        <v/>
      </c>
      <c r="O334" s="10" t="n"/>
    </row>
    <row r="335">
      <c r="B335" s="7" t="n">
        <v>333</v>
      </c>
      <c r="C335" t="inlineStr">
        <is>
          <t>Senior Manager, Office Services</t>
        </is>
      </c>
      <c r="D335" t="inlineStr">
        <is>
          <t>Sun Life Vietnam (Sun Life)</t>
        </is>
      </c>
      <c r="E335" t="inlineStr">
        <is>
          <t>Thương lượng</t>
        </is>
      </c>
      <c r="F335" t="inlineStr">
        <is>
          <t>Hồ Chí Minh</t>
        </is>
      </c>
      <c r="G335" t="inlineStr">
        <is>
          <t>Trưởng phòng</t>
        </is>
      </c>
      <c r="H335" t="inlineStr">
        <is>
          <t>28/01/2026</t>
        </is>
      </c>
      <c r="I335" t="inlineStr">
        <is>
          <t>20/03/2026</t>
        </is>
      </c>
      <c r="J335" t="inlineStr">
        <is>
          <t>17/03/2026</t>
        </is>
      </c>
      <c r="K335" t="inlineStr">
        <is>
          <t>N/A</t>
        </is>
      </c>
      <c r="L335" t="inlineStr">
        <is>
          <t>Office Support, Management Service</t>
        </is>
      </c>
      <c r="M335" t="inlineStr">
        <is>
          <t>Healthcare Plan, Team Activities, Others</t>
        </is>
      </c>
      <c r="N335" s="8">
        <f>HYPERLINK("https://www.vietnamworks.com/senior-manager-office-services-2007408-jv","Xem chi tiết")</f>
        <v/>
      </c>
    </row>
    <row r="336">
      <c r="B336" s="9" t="n">
        <v>334</v>
      </c>
      <c r="C336" s="10" t="inlineStr">
        <is>
          <t>Sales Executive</t>
        </is>
      </c>
      <c r="D336" s="10" t="inlineStr">
        <is>
          <t>CÔNG TY TNHH HAN HOA _XIN CHAO VIET NAM</t>
        </is>
      </c>
      <c r="E336" s="10" t="inlineStr">
        <is>
          <t>Thương lượng</t>
        </is>
      </c>
      <c r="F336" s="10" t="inlineStr">
        <is>
          <t>Hồ Chí Minh</t>
        </is>
      </c>
      <c r="G336" s="10" t="inlineStr">
        <is>
          <t>Nhân viên</t>
        </is>
      </c>
      <c r="H336" s="10" t="inlineStr">
        <is>
          <t>02/02/2026</t>
        </is>
      </c>
      <c r="I336" s="10" t="inlineStr">
        <is>
          <t>20/03/2026</t>
        </is>
      </c>
      <c r="J336" s="10" t="inlineStr">
        <is>
          <t>17/03/2026</t>
        </is>
      </c>
      <c r="K336" s="10" t="inlineStr">
        <is>
          <t>N/A</t>
        </is>
      </c>
      <c r="L336" s="10" t="inlineStr">
        <is>
          <t>Sales experience, Interpersonal skills, Communication Skills, CRM Tools, Goal-Oriented Mindset</t>
        </is>
      </c>
      <c r="M336" s="10" t="inlineStr">
        <is>
          <t>Bonus, Healthcare Plan, Team Activities</t>
        </is>
      </c>
      <c r="N336" s="11">
        <f>HYPERLINK("https://www.vietnamworks.com/sales-executive-2009092-jv","Xem chi tiết")</f>
        <v/>
      </c>
      <c r="O336" s="10" t="n"/>
    </row>
    <row r="337">
      <c r="B337" s="7" t="n">
        <v>335</v>
      </c>
      <c r="C337" t="inlineStr">
        <is>
          <t>Chuyên Viên Phân Tích Nghiệp Vụ Phần Mềm (Yêu Cầu Học Kế Toán/ Kiểm Toán) / Tuyển Gấp</t>
        </is>
      </c>
      <c r="D337" t="inlineStr">
        <is>
          <t>MISA Jointstock Company</t>
        </is>
      </c>
      <c r="E337" t="inlineStr">
        <is>
          <t>Thương lượng</t>
        </is>
      </c>
      <c r="F337" t="inlineStr">
        <is>
          <t>Hà Nội</t>
        </is>
      </c>
      <c r="G337" t="inlineStr">
        <is>
          <t>Nhân viên</t>
        </is>
      </c>
      <c r="H337" t="inlineStr">
        <is>
          <t>03/02/2026</t>
        </is>
      </c>
      <c r="I337" t="inlineStr">
        <is>
          <t>20/03/2026</t>
        </is>
      </c>
      <c r="J337" t="inlineStr">
        <is>
          <t>17/03/2026</t>
        </is>
      </c>
      <c r="K337" t="inlineStr">
        <is>
          <t>N/A</t>
        </is>
      </c>
      <c r="L337" t="inlineStr">
        <is>
          <t>Bussiness Analyst, IT Phần Mềm, Kế toán Kiểm toán, Phân tích nghiệp vụ phần mềm, Phần mềm kế toán</t>
        </is>
      </c>
      <c r="M337" t="inlineStr">
        <is>
          <t>Bonus, Training</t>
        </is>
      </c>
      <c r="N337" s="8">
        <f>HYPERLINK("https://www.vietnamworks.com/chuyen-vien-phan-tich-nghiep-vu-phan-mem-yeu-cau-hoc-ke-toan-kiem-toan-tuyen-gap-2009184-jv","Xem chi tiết")</f>
        <v/>
      </c>
    </row>
    <row r="338">
      <c r="B338" s="9" t="n">
        <v>336</v>
      </c>
      <c r="C338" s="10" t="inlineStr">
        <is>
          <t>Software Tester</t>
        </is>
      </c>
      <c r="D338" s="10" t="inlineStr">
        <is>
          <t>Công Ty Cổ Phần Tổng Công Ty Nova Service</t>
        </is>
      </c>
      <c r="E338" s="10" t="inlineStr">
        <is>
          <t>Thương lượng</t>
        </is>
      </c>
      <c r="F338" s="10" t="inlineStr">
        <is>
          <t>Hồ Chí Minh</t>
        </is>
      </c>
      <c r="G338" s="10" t="inlineStr">
        <is>
          <t>Nhân viên</t>
        </is>
      </c>
      <c r="H338" s="10" t="inlineStr">
        <is>
          <t>03/02/2026</t>
        </is>
      </c>
      <c r="I338" s="10" t="inlineStr">
        <is>
          <t>20/03/2026</t>
        </is>
      </c>
      <c r="J338" s="10" t="inlineStr">
        <is>
          <t>17/03/2026</t>
        </is>
      </c>
      <c r="K338" s="10" t="inlineStr">
        <is>
          <t>N/A</t>
        </is>
      </c>
      <c r="L338" s="10" t="inlineStr">
        <is>
          <t>Test web app/ mobile app, QA, Testing</t>
        </is>
      </c>
      <c r="M338" s="10" t="inlineStr">
        <is>
          <t>Bonus, Paid Leave, Training</t>
        </is>
      </c>
      <c r="N338" s="11">
        <f>HYPERLINK("https://www.vietnamworks.com/software-tester--2009182-jv","Xem chi tiết")</f>
        <v/>
      </c>
      <c r="O338" s="10" t="n"/>
    </row>
    <row r="339">
      <c r="B339" s="7" t="n">
        <v>337</v>
      </c>
      <c r="C339" t="inlineStr">
        <is>
          <t>Corporate Planning Manager</t>
        </is>
      </c>
      <c r="D339" t="inlineStr">
        <is>
          <t>MSIG Insurance (Vietnam) Co., Ltd.</t>
        </is>
      </c>
      <c r="E339" t="inlineStr">
        <is>
          <t>Thương lượng</t>
        </is>
      </c>
      <c r="F339" t="inlineStr">
        <is>
          <t>Hà Nội</t>
        </is>
      </c>
      <c r="G339" t="inlineStr">
        <is>
          <t>Nhân viên</t>
        </is>
      </c>
      <c r="H339" t="inlineStr">
        <is>
          <t>03/02/2026</t>
        </is>
      </c>
      <c r="I339" t="inlineStr">
        <is>
          <t>20/03/2026</t>
        </is>
      </c>
      <c r="J339" t="inlineStr">
        <is>
          <t>17/03/2026</t>
        </is>
      </c>
      <c r="K339" t="inlineStr">
        <is>
          <t>N/A</t>
        </is>
      </c>
      <c r="L339" t="inlineStr">
        <is>
          <t>Financial Analysis, Strategic Planning, Financial Report, Data Analysis, Branding</t>
        </is>
      </c>
      <c r="M339" t="inlineStr">
        <is>
          <t>Paid Leave, Travel Opportunities, Others</t>
        </is>
      </c>
      <c r="N339" s="8">
        <f>HYPERLINK("https://www.vietnamworks.com/corporate-planning-manager--2009208-jv","Xem chi tiết")</f>
        <v/>
      </c>
    </row>
    <row r="340">
      <c r="B340" s="9" t="n">
        <v>338</v>
      </c>
      <c r="C340" s="10" t="inlineStr">
        <is>
          <t>Trưởng Ca Kho Vận - Warehouse Shift Leader</t>
        </is>
      </c>
      <c r="D340" s="10" t="inlineStr">
        <is>
          <t>Fushan Technology Vietnam</t>
        </is>
      </c>
      <c r="E340" s="10" t="inlineStr">
        <is>
          <t>Thương lượng</t>
        </is>
      </c>
      <c r="F340" s="10" t="inlineStr">
        <is>
          <t>Bắc Ninh, Bắc Giang, Hà Nội</t>
        </is>
      </c>
      <c r="G340" s="10" t="inlineStr">
        <is>
          <t>Nhân viên</t>
        </is>
      </c>
      <c r="H340" s="10" t="inlineStr">
        <is>
          <t>03/02/2026</t>
        </is>
      </c>
      <c r="I340" s="10" t="inlineStr">
        <is>
          <t>20/03/2026</t>
        </is>
      </c>
      <c r="J340" s="10" t="inlineStr">
        <is>
          <t>17/03/2026</t>
        </is>
      </c>
      <c r="K340" s="10" t="inlineStr">
        <is>
          <t>N/A</t>
        </is>
      </c>
      <c r="L340" s="10" t="inlineStr">
        <is>
          <t>Quản Lý Kho, Quản lý kho vận, Quản Lý Kho Vật Liệu, SAP, WMS</t>
        </is>
      </c>
      <c r="M340" s="10" t="inlineStr">
        <is>
          <t>Bonus, Healthcare Plan, Paid Leave</t>
        </is>
      </c>
      <c r="N340" s="11">
        <f>HYPERLINK("https://www.vietnamworks.com/truong-ca-kho-van-warehouse-shift-leader--2009199-jv","Xem chi tiết")</f>
        <v/>
      </c>
      <c r="O340" s="10" t="n"/>
    </row>
    <row r="341">
      <c r="B341" s="7" t="n">
        <v>339</v>
      </c>
      <c r="C341" t="inlineStr">
        <is>
          <t>Garment Merchandiser Staff (Ngành May Mặc)</t>
        </is>
      </c>
      <c r="D341" t="inlineStr">
        <is>
          <t>Văn Phòng Đại Diện Hansoll Textile,ltd Tại Thành Phố Hà Nội</t>
        </is>
      </c>
      <c r="E341" t="inlineStr">
        <is>
          <t>Thương lượng</t>
        </is>
      </c>
      <c r="F341" t="inlineStr">
        <is>
          <t>Hà Nội</t>
        </is>
      </c>
      <c r="G341" t="inlineStr">
        <is>
          <t>Nhân viên</t>
        </is>
      </c>
      <c r="H341" t="inlineStr">
        <is>
          <t>03/02/2026</t>
        </is>
      </c>
      <c r="I341" t="inlineStr">
        <is>
          <t>20/03/2026</t>
        </is>
      </c>
      <c r="J341" t="inlineStr">
        <is>
          <t>17/03/2026</t>
        </is>
      </c>
      <c r="K341" t="inlineStr">
        <is>
          <t>N/A</t>
        </is>
      </c>
      <c r="L341" t="inlineStr">
        <is>
          <t>Tiếng Anh, Merchandising, Thời Trang, May Mặc, Purchasing Logistics</t>
        </is>
      </c>
      <c r="M341" t="inlineStr">
        <is>
          <t>Bonus, Laptop</t>
        </is>
      </c>
      <c r="N341" s="8">
        <f>HYPERLINK("https://www.vietnamworks.com/garment-merchandiser-staff-nganh-may-mac--2009216-jv","Xem chi tiết")</f>
        <v/>
      </c>
    </row>
    <row r="342">
      <c r="B342" s="9" t="n">
        <v>340</v>
      </c>
      <c r="C342" s="10" t="inlineStr">
        <is>
          <t>[ Hot Job ] Nhân Viên Chăm Sóc Khách Hàng (Tiếng Trung)</t>
        </is>
      </c>
      <c r="D342" s="10" t="inlineStr">
        <is>
          <t>CÔNG TY TNHH PHOENIX INTERNATIONAL FORWARDING (VIỆT NAM)</t>
        </is>
      </c>
      <c r="E342" s="10" t="inlineStr">
        <is>
          <t>11tr-15tr ₫/tháng</t>
        </is>
      </c>
      <c r="F342" s="10" t="inlineStr">
        <is>
          <t>Hà Nội</t>
        </is>
      </c>
      <c r="G342" s="10" t="inlineStr">
        <is>
          <t>Nhân viên</t>
        </is>
      </c>
      <c r="H342" s="10" t="inlineStr">
        <is>
          <t>03/02/2026</t>
        </is>
      </c>
      <c r="I342" s="10" t="inlineStr">
        <is>
          <t>20/03/2026</t>
        </is>
      </c>
      <c r="J342" s="10" t="inlineStr">
        <is>
          <t>17/03/2026</t>
        </is>
      </c>
      <c r="K342" s="10" t="inlineStr">
        <is>
          <t>N/A</t>
        </is>
      </c>
      <c r="L342" s="10" t="inlineStr">
        <is>
          <t>Vận Tải Biển, Logistics Operations, Chứng Từ Xuất Nhập Khẩu, Thủ Tục Hải Quan, Thông Quan Lô Hàng</t>
        </is>
      </c>
      <c r="M342" s="10" t="inlineStr">
        <is>
          <t>Healthcare Plan, Training, Travel Opportunities</t>
        </is>
      </c>
      <c r="N342" s="11">
        <f>HYPERLINK("https://www.vietnamworks.com/hot-job-nhan-vien-cham-soc-khach-hang-tieng-trung-2009204-jv","Xem chi tiết")</f>
        <v/>
      </c>
      <c r="O342" s="10" t="n"/>
    </row>
    <row r="343">
      <c r="B343" s="7" t="n">
        <v>341</v>
      </c>
      <c r="C343" t="inlineStr">
        <is>
          <t>[Bắc Ninh - Gấp] Nhân Viên Xuất Nhập Khẩu - Không Yêu Cầu Kinh Nghiệm/ Chấp Nhận Sinh Viên Mới Ra Trường</t>
        </is>
      </c>
      <c r="D343" t="inlineStr">
        <is>
          <t>Hanwha Vision Viet Nam Company Limited (Tên cũ là HanwhaTechwin Security Vietnam)</t>
        </is>
      </c>
      <c r="E343" t="inlineStr">
        <is>
          <t>$$ 380-420 /tháng</t>
        </is>
      </c>
      <c r="F343" t="inlineStr">
        <is>
          <t>Bắc Ninh</t>
        </is>
      </c>
      <c r="G343" t="inlineStr">
        <is>
          <t>Nhân viên</t>
        </is>
      </c>
      <c r="H343" t="inlineStr">
        <is>
          <t>03/02/2026</t>
        </is>
      </c>
      <c r="I343" t="inlineStr">
        <is>
          <t>20/03/2026</t>
        </is>
      </c>
      <c r="J343" t="inlineStr">
        <is>
          <t>17/03/2026</t>
        </is>
      </c>
      <c r="K343" t="inlineStr">
        <is>
          <t>N/A</t>
        </is>
      </c>
      <c r="L343" t="inlineStr">
        <is>
          <t>Thủ Tục Hải Quan, Chứng Từ Xuất Nhập Khẩu, Khai Báo Hải Quan, Logistics Sales</t>
        </is>
      </c>
      <c r="M343" t="inlineStr">
        <is>
          <t>Bonus, Paid Leave, Transportation</t>
        </is>
      </c>
      <c r="N343" s="8">
        <f>HYPERLINK("https://www.vietnamworks.com/bac-ninh-gap-nhan-vien-xuat-nhap-khau-khong-yeu-cau-kinh-nghiem-chap-nhan-sinh-vien-moi-ra-truong--2009188-jv","Xem chi tiết")</f>
        <v/>
      </c>
    </row>
    <row r="344">
      <c r="B344" s="9" t="n">
        <v>342</v>
      </c>
      <c r="C344" s="10" t="inlineStr">
        <is>
          <t>Phó Phòng Nhân Sự</t>
        </is>
      </c>
      <c r="D344" s="10" t="inlineStr">
        <is>
          <t>Công Ty Cổ Phần Tập Đoàn Đèo Cả</t>
        </is>
      </c>
      <c r="E344" s="10" t="inlineStr">
        <is>
          <t>Thương lượng</t>
        </is>
      </c>
      <c r="F344" s="10" t="inlineStr">
        <is>
          <t>Hà Nội</t>
        </is>
      </c>
      <c r="G344" s="10" t="inlineStr">
        <is>
          <t>Trưởng phòng</t>
        </is>
      </c>
      <c r="H344" s="10" t="inlineStr">
        <is>
          <t>03/02/2026</t>
        </is>
      </c>
      <c r="I344" s="10" t="inlineStr">
        <is>
          <t>20/03/2026</t>
        </is>
      </c>
      <c r="J344" s="10" t="inlineStr">
        <is>
          <t>17/03/2026</t>
        </is>
      </c>
      <c r="K344" s="10" t="inlineStr">
        <is>
          <t>N/A</t>
        </is>
      </c>
      <c r="L344" s="10" t="inlineStr">
        <is>
          <t>Hành Chính, Hợp Đồng Lao Động, năng động, Quản Trị Nhân Sự, Tin Học Văn Phòng</t>
        </is>
      </c>
      <c r="M344" s="10" t="inlineStr">
        <is>
          <t>Bonus, Paid Leave, Laptop, Others</t>
        </is>
      </c>
      <c r="N344" s="11">
        <f>HYPERLINK("https://www.vietnamworks.com/pho-phong-nhan-su-2009200-jv","Xem chi tiết")</f>
        <v/>
      </c>
      <c r="O344" s="10" t="n"/>
    </row>
    <row r="345">
      <c r="B345" s="7" t="n">
        <v>343</v>
      </c>
      <c r="C345" t="inlineStr">
        <is>
          <t>Teacher Of Makerspace (6-month Maternity Cover)</t>
        </is>
      </c>
      <c r="D345" t="inlineStr">
        <is>
          <t>EMASI Nam Long - EMASI International Bilingual Schools</t>
        </is>
      </c>
      <c r="E345" t="inlineStr">
        <is>
          <t>Thương lượng</t>
        </is>
      </c>
      <c r="F345" t="inlineStr">
        <is>
          <t>Hồ Chí Minh</t>
        </is>
      </c>
      <c r="G345" t="inlineStr">
        <is>
          <t>Nhân viên</t>
        </is>
      </c>
      <c r="H345" t="inlineStr">
        <is>
          <t>03/02/2026</t>
        </is>
      </c>
      <c r="I345" t="inlineStr">
        <is>
          <t>20/03/2026</t>
        </is>
      </c>
      <c r="J345" t="inlineStr">
        <is>
          <t>17/03/2026</t>
        </is>
      </c>
      <c r="K345" t="inlineStr">
        <is>
          <t>N/A</t>
        </is>
      </c>
      <c r="L345" t="inlineStr">
        <is>
          <t>Giáo Dục Kỹ Năng, Kỹ năng giao tiếp, Kỹ năng làm việc nhóm, Kỹ năng nắm bắt và giải quyết vấn đề, Kỹ Năng Quản Lý</t>
        </is>
      </c>
      <c r="M345" t="inlineStr">
        <is>
          <t>Healthcare Plan, Paid Leave, Team Activities, Canteen</t>
        </is>
      </c>
      <c r="N345" s="8">
        <f>HYPERLINK("https://www.vietnamworks.com/teacher-of-makerspace-6-month-maternity-cover-2009198-jv","Xem chi tiết")</f>
        <v/>
      </c>
    </row>
    <row r="346">
      <c r="B346" s="9" t="n">
        <v>344</v>
      </c>
      <c r="C346" s="10" t="inlineStr">
        <is>
          <t>Technologist, Quality Assurance</t>
        </is>
      </c>
      <c r="D346" s="10" t="inlineStr">
        <is>
          <t>Victoria's Secret &amp; Co.</t>
        </is>
      </c>
      <c r="E346" s="10" t="inlineStr">
        <is>
          <t>Thương lượng</t>
        </is>
      </c>
      <c r="F346" s="10" t="inlineStr">
        <is>
          <t>Hà Nội</t>
        </is>
      </c>
      <c r="G346" s="10" t="inlineStr">
        <is>
          <t>Nhân viên</t>
        </is>
      </c>
      <c r="H346" s="10" t="inlineStr">
        <is>
          <t>03/02/2026</t>
        </is>
      </c>
      <c r="I346" s="10" t="inlineStr">
        <is>
          <t>20/03/2026</t>
        </is>
      </c>
      <c r="J346" s="10" t="inlineStr">
        <is>
          <t>17/03/2026</t>
        </is>
      </c>
      <c r="K346" s="10" t="inlineStr">
        <is>
          <t>N/A</t>
        </is>
      </c>
      <c r="L346" s="10" t="inlineStr">
        <is>
          <t>Garment Manufacturing Industry, Leadership Skills, Microsoft Office, Quality Control, Root Cause Analysis</t>
        </is>
      </c>
      <c r="M346" s="10" t="inlineStr">
        <is>
          <t>Bonus, Laptop</t>
        </is>
      </c>
      <c r="N346" s="11">
        <f>HYPERLINK("https://www.vietnamworks.com/technologist-quality-assurance-2009191-jv","Xem chi tiết")</f>
        <v/>
      </c>
      <c r="O346" s="10" t="n"/>
    </row>
    <row r="347">
      <c r="B347" s="7" t="n">
        <v>345</v>
      </c>
      <c r="C347" t="inlineStr">
        <is>
          <t>Kế Toán Tổng Hợp / General Accountant</t>
        </is>
      </c>
      <c r="D347" t="inlineStr">
        <is>
          <t>WIN Energy Joint Stock Company</t>
        </is>
      </c>
      <c r="E347" t="inlineStr">
        <is>
          <t>Thương lượng</t>
        </is>
      </c>
      <c r="F347" t="inlineStr">
        <is>
          <t>Hà Nội</t>
        </is>
      </c>
      <c r="G347" t="inlineStr">
        <is>
          <t>Nhân viên</t>
        </is>
      </c>
      <c r="H347" t="inlineStr">
        <is>
          <t>03/02/2026</t>
        </is>
      </c>
      <c r="I347" t="inlineStr">
        <is>
          <t>20/03/2026</t>
        </is>
      </c>
      <c r="J347" t="inlineStr">
        <is>
          <t>17/03/2026</t>
        </is>
      </c>
      <c r="K347" t="inlineStr">
        <is>
          <t>N/A</t>
        </is>
      </c>
      <c r="L347" t="inlineStr">
        <is>
          <t>Accounting Standards, Tax Regulation, Microsoft Excel, General Accounting, Misa</t>
        </is>
      </c>
      <c r="M347" t="inlineStr">
        <is>
          <t>Bonus, Healthcare Plan, Paid Leave, Others</t>
        </is>
      </c>
      <c r="N347" s="8">
        <f>HYPERLINK("https://www.vietnamworks.com/ke-toan-tong-hop-general-accountant-2009217-jv","Xem chi tiết")</f>
        <v/>
      </c>
    </row>
    <row r="348">
      <c r="B348" s="9" t="n">
        <v>346</v>
      </c>
      <c r="C348" s="10" t="inlineStr">
        <is>
          <t>Digital Advertising Executive</t>
        </is>
      </c>
      <c r="D348" s="10" t="inlineStr">
        <is>
          <t>Công Ty Trách Nhiệm Hữu Hạn Hands On-BEO</t>
        </is>
      </c>
      <c r="E348" s="10" t="inlineStr">
        <is>
          <t>Thương lượng</t>
        </is>
      </c>
      <c r="F348" s="10" t="inlineStr">
        <is>
          <t>Hồ Chí Minh</t>
        </is>
      </c>
      <c r="G348" s="10" t="inlineStr">
        <is>
          <t>Nhân viên</t>
        </is>
      </c>
      <c r="H348" s="10" t="inlineStr">
        <is>
          <t>03/02/2026</t>
        </is>
      </c>
      <c r="I348" s="10" t="inlineStr">
        <is>
          <t>20/03/2026</t>
        </is>
      </c>
      <c r="J348" s="10" t="inlineStr">
        <is>
          <t>17/03/2026</t>
        </is>
      </c>
      <c r="K348" s="10" t="inlineStr">
        <is>
          <t>N/A</t>
        </is>
      </c>
      <c r="L348" s="10" t="inlineStr">
        <is>
          <t>Online Marketing, Google Ads, Facebook Ads, Digital Marketing, Advertising Planning</t>
        </is>
      </c>
      <c r="M348" s="10" t="inlineStr">
        <is>
          <t>Healthcare Plan, Paid Leave, Training</t>
        </is>
      </c>
      <c r="N348" s="11">
        <f>HYPERLINK("https://www.vietnamworks.com/digital-advertising-executive--2009202-jv","Xem chi tiết")</f>
        <v/>
      </c>
      <c r="O348" s="10" t="n"/>
    </row>
    <row r="349">
      <c r="B349" s="7" t="n">
        <v>347</v>
      </c>
      <c r="C349" t="inlineStr">
        <is>
          <t>Senior Executive - Digital Marketing Operations</t>
        </is>
      </c>
      <c r="D349" t="inlineStr">
        <is>
          <t>MSIG Insurance (Vietnam) Co., Ltd.</t>
        </is>
      </c>
      <c r="E349" t="inlineStr">
        <is>
          <t>Thương lượng</t>
        </is>
      </c>
      <c r="F349" t="inlineStr">
        <is>
          <t>Hà Nội</t>
        </is>
      </c>
      <c r="G349" t="inlineStr">
        <is>
          <t>Nhân viên</t>
        </is>
      </c>
      <c r="H349" t="inlineStr">
        <is>
          <t>03/02/2026</t>
        </is>
      </c>
      <c r="I349" t="inlineStr">
        <is>
          <t>20/03/2026</t>
        </is>
      </c>
      <c r="J349" t="inlineStr">
        <is>
          <t>17/03/2026</t>
        </is>
      </c>
      <c r="K349" t="inlineStr">
        <is>
          <t>N/A</t>
        </is>
      </c>
      <c r="L349" t="inlineStr">
        <is>
          <t>Digital Marketing, Marketing Campaign Management, Marketing Content, Campaign Execution, English</t>
        </is>
      </c>
      <c r="M349" t="inlineStr">
        <is>
          <t>Paid Leave, Travel Opportunities, Others</t>
        </is>
      </c>
      <c r="N349" s="8">
        <f>HYPERLINK("https://www.vietnamworks.com/senior-executive-digital-marketing-operations--2009207-jv","Xem chi tiết")</f>
        <v/>
      </c>
    </row>
    <row r="350">
      <c r="B350" s="9" t="n">
        <v>348</v>
      </c>
      <c r="C350" s="10" t="inlineStr">
        <is>
          <t>Quan Hệ Khách Hàng Cá Nhân (Khu Vực Miền Nam)</t>
        </is>
      </c>
      <c r="D350" s="10" t="inlineStr">
        <is>
          <t>Ngân Hàng TNHH MTV Woori Việt Nam</t>
        </is>
      </c>
      <c r="E350" s="10" t="inlineStr">
        <is>
          <t>500-1,000 ₫/tháng</t>
        </is>
      </c>
      <c r="F350" s="10" t="inlineStr">
        <is>
          <t>Bình Dương, Đồng Nai, Hồ Chí Minh</t>
        </is>
      </c>
      <c r="G350" s="10" t="inlineStr">
        <is>
          <t>Nhân viên</t>
        </is>
      </c>
      <c r="H350" s="10" t="inlineStr">
        <is>
          <t>03/02/2026</t>
        </is>
      </c>
      <c r="I350" s="10" t="inlineStr">
        <is>
          <t>20/03/2026</t>
        </is>
      </c>
      <c r="J350" s="10" t="inlineStr">
        <is>
          <t>17/03/2026</t>
        </is>
      </c>
      <c r="K350" s="10" t="inlineStr">
        <is>
          <t>N/A</t>
        </is>
      </c>
      <c r="L350" s="10" t="inlineStr">
        <is>
          <t>Nhiệt tình, Tìm Kiếm Khách Hàng</t>
        </is>
      </c>
      <c r="M350" s="10" t="inlineStr">
        <is>
          <t>Bonus, Healthcare Plan, Training, Travel Opportunities</t>
        </is>
      </c>
      <c r="N350" s="11">
        <f>HYPERLINK("https://www.vietnamworks.com/quan-he-khach-hang-ca-nhan-khu-vuc-mien-nam-2009213-jv","Xem chi tiết")</f>
        <v/>
      </c>
      <c r="O350" s="10" t="n"/>
    </row>
    <row r="351">
      <c r="B351" s="7" t="n">
        <v>349</v>
      </c>
      <c r="C351" t="inlineStr">
        <is>
          <t>[Hà Nội] Chuyên Viên/ Chuyên Viên Chính Thẩm Định KHDN SME</t>
        </is>
      </c>
      <c r="D351" t="inlineStr">
        <is>
          <t>Ngân hàng Lộc Phát Việt Nam LPBank</t>
        </is>
      </c>
      <c r="E351" t="inlineStr">
        <is>
          <t>Thương lượng</t>
        </is>
      </c>
      <c r="F351" t="inlineStr">
        <is>
          <t>Hà Nội</t>
        </is>
      </c>
      <c r="G351" t="inlineStr">
        <is>
          <t>Nhân viên</t>
        </is>
      </c>
      <c r="H351" t="inlineStr">
        <is>
          <t>03/02/2026</t>
        </is>
      </c>
      <c r="I351" t="inlineStr">
        <is>
          <t>20/03/2026</t>
        </is>
      </c>
      <c r="J351" t="inlineStr">
        <is>
          <t>17/03/2026</t>
        </is>
      </c>
      <c r="K351" t="inlineStr">
        <is>
          <t>N/A</t>
        </is>
      </c>
      <c r="L351" t="inlineStr">
        <is>
          <t>Phân Tích Tài Chính, Phân Tích Tín Dụng, Sản Phẩm Vay, Thẩm Định, Tin Học Văn Phòng</t>
        </is>
      </c>
      <c r="M351" t="inlineStr">
        <is>
          <t>Bonus, Healthcare Plan, Others</t>
        </is>
      </c>
      <c r="N351" s="8">
        <f>HYPERLINK("https://www.vietnamworks.com/ha-noi-chuyen-vien-chuyen-vien-chinh-tham-djinh-khdn-sme-2009201-jv","Xem chi tiết")</f>
        <v/>
      </c>
    </row>
    <row r="352">
      <c r="B352" s="9" t="n">
        <v>350</v>
      </c>
      <c r="C352" s="10" t="inlineStr">
        <is>
          <t>[Hà Nội] Chuyên Viên/ Chuyên Viên Chính/ Chuyên Viên Cao Cấp Thẩm Định KHDN Lớn</t>
        </is>
      </c>
      <c r="D352" s="10" t="inlineStr">
        <is>
          <t>Ngân hàng Lộc Phát Việt Nam LPBank</t>
        </is>
      </c>
      <c r="E352" s="10" t="inlineStr">
        <is>
          <t>Thương lượng</t>
        </is>
      </c>
      <c r="F352" s="10" t="inlineStr">
        <is>
          <t>Hà Nội</t>
        </is>
      </c>
      <c r="G352" s="10" t="inlineStr">
        <is>
          <t>Nhân viên</t>
        </is>
      </c>
      <c r="H352" s="10" t="inlineStr">
        <is>
          <t>03/02/2026</t>
        </is>
      </c>
      <c r="I352" s="10" t="inlineStr">
        <is>
          <t>20/03/2026</t>
        </is>
      </c>
      <c r="J352" s="10" t="inlineStr">
        <is>
          <t>17/03/2026</t>
        </is>
      </c>
      <c r="K352" s="10" t="inlineStr">
        <is>
          <t>N/A</t>
        </is>
      </c>
      <c r="L352" s="10" t="inlineStr">
        <is>
          <t>Banking, Phân Tích Tài Chính, Tái Thẩm Định, Thẩm Định Tín Dụng, Tin Học Văn Phòng</t>
        </is>
      </c>
      <c r="M352" s="10" t="inlineStr">
        <is>
          <t>Bonus, Healthcare Plan, Others</t>
        </is>
      </c>
      <c r="N352" s="11">
        <f>HYPERLINK("https://www.vietnamworks.com/ha-noi-chuyen-vien-chuyen-vien-chinh-chuyen-vien-cao-cap-tham-djinh-khdn-lon-2009205-jv","Xem chi tiết")</f>
        <v/>
      </c>
      <c r="O352" s="10" t="n"/>
    </row>
    <row r="353">
      <c r="B353" s="7" t="n">
        <v>351</v>
      </c>
      <c r="C353" t="inlineStr">
        <is>
          <t>[HỘI SỞ] - CHUYÊN VIÊN KHÁCH HÀNG DOANH NGHIỆP LỚN - TRUNG TÂM KINH DOANH HỘI SỞ</t>
        </is>
      </c>
      <c r="D353" t="inlineStr">
        <is>
          <t>SACOMBANK – NGÂN HÀNG TMCP SÀI GÒN THƯƠNG TÍN</t>
        </is>
      </c>
      <c r="E353" t="inlineStr">
        <is>
          <t>Thương lượng</t>
        </is>
      </c>
      <c r="F353" t="inlineStr">
        <is>
          <t>Hồ Chí Minh</t>
        </is>
      </c>
      <c r="G353" t="inlineStr">
        <is>
          <t>Nhân viên</t>
        </is>
      </c>
      <c r="H353" t="inlineStr">
        <is>
          <t>03/02/2026</t>
        </is>
      </c>
      <c r="I353" t="inlineStr">
        <is>
          <t>20/03/2026</t>
        </is>
      </c>
      <c r="J353" t="inlineStr">
        <is>
          <t>17/03/2026</t>
        </is>
      </c>
      <c r="K353" t="inlineStr">
        <is>
          <t>N/A</t>
        </is>
      </c>
      <c r="L353" t="inlineStr">
        <is>
          <t>Báo Cáo Tài Chính, FDI, Phân Tích Báo Cáo Tài Chính, Tài Chính Ngân Hàng, Tái Thẩm Định</t>
        </is>
      </c>
      <c r="M353" t="inlineStr">
        <is>
          <t>Bonus, Training, Travel Opportunities, Others</t>
        </is>
      </c>
      <c r="N353" s="8">
        <f>HYPERLINK("https://www.vietnamworks.com/hoi-so-chuyen-vien-khach-hang-doanh-nghiep-lon-trung-tam-kinh-doanh-hoi-so-2009193-jv","Xem chi tiết")</f>
        <v/>
      </c>
    </row>
    <row r="354">
      <c r="B354" s="9" t="n">
        <v>352</v>
      </c>
      <c r="C354" s="10" t="inlineStr">
        <is>
          <t>Human Resources Business Partner Manager - Sales</t>
        </is>
      </c>
      <c r="D354" s="10" t="inlineStr">
        <is>
          <t>Perfetti Van Melle (Viet Nam) Limited</t>
        </is>
      </c>
      <c r="E354" s="10" t="inlineStr">
        <is>
          <t>Thương lượng</t>
        </is>
      </c>
      <c r="F354" s="10" t="inlineStr">
        <is>
          <t>Hồ Chí Minh</t>
        </is>
      </c>
      <c r="G354" s="10" t="inlineStr">
        <is>
          <t>Trưởng phòng</t>
        </is>
      </c>
      <c r="H354" s="10" t="inlineStr">
        <is>
          <t>03/02/2026</t>
        </is>
      </c>
      <c r="I354" s="10" t="inlineStr">
        <is>
          <t>20/03/2026</t>
        </is>
      </c>
      <c r="J354" s="10" t="inlineStr">
        <is>
          <t>17/03/2026</t>
        </is>
      </c>
      <c r="K354" s="10" t="inlineStr">
        <is>
          <t>N/A</t>
        </is>
      </c>
      <c r="L354" s="10" t="inlineStr">
        <is>
          <t>HR Business Partner, HR Management, Legal Regulations, People Management, Vietnam Labor Laws</t>
        </is>
      </c>
      <c r="M354" s="10" t="inlineStr">
        <is>
          <t>Bonus</t>
        </is>
      </c>
      <c r="N354" s="11">
        <f>HYPERLINK("https://www.vietnamworks.com/human-resources-business-partner-manager-sales-2009203-jv","Xem chi tiết")</f>
        <v/>
      </c>
      <c r="O354" s="10" t="n"/>
    </row>
    <row r="355">
      <c r="B355" s="7" t="n">
        <v>353</v>
      </c>
      <c r="C355" t="inlineStr">
        <is>
          <t>General Accountant - Kế Toán Tổng Hợp (New Project)</t>
        </is>
      </c>
      <c r="D355" t="inlineStr">
        <is>
          <t>Công Ty Cổ Phần Đô Thị Amata Hạ Long</t>
        </is>
      </c>
      <c r="E355" t="inlineStr">
        <is>
          <t>Thương lượng</t>
        </is>
      </c>
      <c r="F355" t="inlineStr">
        <is>
          <t>Phú Thọ, Thái Nguyên, Hà Nội</t>
        </is>
      </c>
      <c r="G355" t="inlineStr">
        <is>
          <t>Nhân viên</t>
        </is>
      </c>
      <c r="H355" t="inlineStr">
        <is>
          <t>03/02/2026</t>
        </is>
      </c>
      <c r="I355" t="inlineStr">
        <is>
          <t>20/03/2026</t>
        </is>
      </c>
      <c r="J355" t="inlineStr">
        <is>
          <t>17/03/2026</t>
        </is>
      </c>
      <c r="K355" t="inlineStr">
        <is>
          <t>N/A</t>
        </is>
      </c>
      <c r="L355" t="inlineStr">
        <is>
          <t>Accounting System, Tax Accounting, Accounts Payable, Account Receivable, Accounting Report</t>
        </is>
      </c>
      <c r="M355" t="inlineStr">
        <is>
          <t>Bonus, Healthcare Plan, Others</t>
        </is>
      </c>
      <c r="N355" s="8">
        <f>HYPERLINK("https://www.vietnamworks.com/general-accountant-ke-toan-tong-hop-new-project-2009196-jv","Xem chi tiết")</f>
        <v/>
      </c>
    </row>
    <row r="356">
      <c r="B356" s="9" t="n">
        <v>354</v>
      </c>
      <c r="C356" s="10" t="inlineStr">
        <is>
          <t>Chief Accountant</t>
        </is>
      </c>
      <c r="D356" s="10" t="inlineStr">
        <is>
          <t>WIN Energy Joint Stock Company</t>
        </is>
      </c>
      <c r="E356" s="10" t="inlineStr">
        <is>
          <t>Thương lượng</t>
        </is>
      </c>
      <c r="F356" s="10" t="inlineStr">
        <is>
          <t>Hà Nội</t>
        </is>
      </c>
      <c r="G356" s="10" t="inlineStr">
        <is>
          <t>Giám Đốc và Cấp Cao Hơn</t>
        </is>
      </c>
      <c r="H356" s="10" t="inlineStr">
        <is>
          <t>03/02/2026</t>
        </is>
      </c>
      <c r="I356" s="10" t="inlineStr">
        <is>
          <t>20/03/2026</t>
        </is>
      </c>
      <c r="J356" s="10" t="inlineStr">
        <is>
          <t>17/03/2026</t>
        </is>
      </c>
      <c r="K356" s="10" t="inlineStr">
        <is>
          <t>N/A</t>
        </is>
      </c>
      <c r="L356" s="10" t="inlineStr">
        <is>
          <t>Financial Management, Accounting Standards, Leadership Skills, Accounting Software, Financial Analysis</t>
        </is>
      </c>
      <c r="M356" s="10" t="inlineStr">
        <is>
          <t>Bonus, Healthcare Plan, Paid Leave, Others</t>
        </is>
      </c>
      <c r="N356" s="11">
        <f>HYPERLINK("https://www.vietnamworks.com/chief-accountant-2009218-jv","Xem chi tiết")</f>
        <v/>
      </c>
      <c r="O356" s="10" t="n"/>
    </row>
    <row r="357">
      <c r="B357" s="7" t="n">
        <v>355</v>
      </c>
      <c r="C357" t="inlineStr">
        <is>
          <t>Chuyên Viên Kinh Doanh (Kênh Đại Lý)</t>
        </is>
      </c>
      <c r="D357" t="inlineStr">
        <is>
          <t>Công Ty Cổ Phần Tập Đoàn Austdoor</t>
        </is>
      </c>
      <c r="E357" t="inlineStr">
        <is>
          <t>30tr-50tr ₫/tháng</t>
        </is>
      </c>
      <c r="F357" t="inlineStr">
        <is>
          <t>Hà Nội</t>
        </is>
      </c>
      <c r="G357" t="inlineStr">
        <is>
          <t>Nhân viên</t>
        </is>
      </c>
      <c r="H357" t="inlineStr">
        <is>
          <t>03/02/2026</t>
        </is>
      </c>
      <c r="I357" t="inlineStr">
        <is>
          <t>20/03/2026</t>
        </is>
      </c>
      <c r="J357" t="inlineStr">
        <is>
          <t>17/03/2026</t>
        </is>
      </c>
      <c r="K357" t="inlineStr">
        <is>
          <t>N/A</t>
        </is>
      </c>
      <c r="L357" t="inlineStr">
        <is>
          <t>Quản Lý Đại Lý, Phát Triển Hệ Thống Đại Lý, Bán Hàng Đại Lý, B2B Sale, Kinh Doanh Điện Công Nghiệp</t>
        </is>
      </c>
      <c r="M357" t="inlineStr">
        <is>
          <t>Bonus, Healthcare Plan, Others</t>
        </is>
      </c>
      <c r="N357" s="8">
        <f>HYPERLINK("https://www.vietnamworks.com/chuyen-vien-kinh-doanh-kenh-dai-ly-2009220-jv","Xem chi tiết")</f>
        <v/>
      </c>
    </row>
    <row r="358">
      <c r="B358" s="9" t="n">
        <v>356</v>
      </c>
      <c r="C358" s="10" t="inlineStr">
        <is>
          <t>[Bắc Ninh - Gấp] Nhân Viên Kỹ Thuật Sản Phẩm - Không Yêu Cầu Kinh Nghiệm/ Chấp Nhận Sinh Viên Mới Ra Trường</t>
        </is>
      </c>
      <c r="D358" s="10" t="inlineStr">
        <is>
          <t>Hanwha Vision Viet Nam Company Limited (Tên cũ là HanwhaTechwin Security Vietnam)</t>
        </is>
      </c>
      <c r="E358" s="10" t="inlineStr">
        <is>
          <t>Thương lượng</t>
        </is>
      </c>
      <c r="F358" s="10" t="inlineStr">
        <is>
          <t>Bắc Ninh</t>
        </is>
      </c>
      <c r="G358" s="10" t="inlineStr">
        <is>
          <t>Mới Tốt Nghiệp</t>
        </is>
      </c>
      <c r="H358" s="10" t="inlineStr">
        <is>
          <t>03/02/2026</t>
        </is>
      </c>
      <c r="I358" s="10" t="inlineStr">
        <is>
          <t>20/03/2026</t>
        </is>
      </c>
      <c r="J358" s="10" t="inlineStr">
        <is>
          <t>17/03/2026</t>
        </is>
      </c>
      <c r="K358" s="10" t="inlineStr">
        <is>
          <t>N/A</t>
        </is>
      </c>
      <c r="L358" s="10" t="inlineStr">
        <is>
          <t>Thiết Kế Jig, Hỗ Trợ Kỹ Thuật, Cơ Điện Tử, Vận Hành Dây Chuyền, Electronic Circuits</t>
        </is>
      </c>
      <c r="M358" s="10" t="inlineStr">
        <is>
          <t>Bonus, Paid Leave, Transportation</t>
        </is>
      </c>
      <c r="N358" s="11">
        <f>HYPERLINK("https://www.vietnamworks.com/bac-ninh-gap-nhan-vien-ky-thuat-san-pham-khong-yeu-cau-kinh-nghiem-chap-nhan-sinh-vien-moi-ra-truong--2009194-jv","Xem chi tiết")</f>
        <v/>
      </c>
      <c r="O358" s="10" t="n"/>
    </row>
    <row r="359">
      <c r="B359" s="7" t="n">
        <v>357</v>
      </c>
      <c r="C359" t="inlineStr">
        <is>
          <t>Brand Marketing Specialist</t>
        </is>
      </c>
      <c r="D359" t="inlineStr">
        <is>
          <t>Archer Daniels Midland (ADM)</t>
        </is>
      </c>
      <c r="E359" t="inlineStr">
        <is>
          <t>Thương lượng</t>
        </is>
      </c>
      <c r="F359" t="inlineStr">
        <is>
          <t>Hồ Chí Minh</t>
        </is>
      </c>
      <c r="G359" t="inlineStr">
        <is>
          <t>Nhân viên</t>
        </is>
      </c>
      <c r="H359" t="inlineStr">
        <is>
          <t>03/02/2026</t>
        </is>
      </c>
      <c r="I359" t="inlineStr">
        <is>
          <t>20/03/2026</t>
        </is>
      </c>
      <c r="J359" t="inlineStr">
        <is>
          <t>17/03/2026</t>
        </is>
      </c>
      <c r="K359" t="inlineStr">
        <is>
          <t>N/A</t>
        </is>
      </c>
      <c r="L359" t="inlineStr">
        <is>
          <t>Digital Marketing, Branding, Product Marketing, Creative Planning, Brand Marketing</t>
        </is>
      </c>
      <c r="M359" t="inlineStr">
        <is>
          <t>Healthcare Plan</t>
        </is>
      </c>
      <c r="N359" s="8">
        <f>HYPERLINK("https://www.vietnamworks.com/brand-marketing-specialist--2009226-jv","Xem chi tiết")</f>
        <v/>
      </c>
    </row>
    <row r="360">
      <c r="B360" s="9" t="n">
        <v>358</v>
      </c>
      <c r="C360" s="10" t="inlineStr">
        <is>
          <t>New Business Underwriting Associate Manager</t>
        </is>
      </c>
      <c r="D360" s="10" t="inlineStr">
        <is>
          <t>Công Ty TNHH Bảo Hiểm Nhân Thọ Generali Việt Nam</t>
        </is>
      </c>
      <c r="E360" s="10" t="inlineStr">
        <is>
          <t>Thương lượng</t>
        </is>
      </c>
      <c r="F360" s="10" t="inlineStr">
        <is>
          <t>Hồ Chí Minh</t>
        </is>
      </c>
      <c r="G360" s="10" t="inlineStr">
        <is>
          <t>Trưởng phòng</t>
        </is>
      </c>
      <c r="H360" s="10" t="inlineStr">
        <is>
          <t>03/02/2026</t>
        </is>
      </c>
      <c r="I360" s="10" t="inlineStr">
        <is>
          <t>20/03/2026</t>
        </is>
      </c>
      <c r="J360" s="10" t="inlineStr">
        <is>
          <t>17/03/2026</t>
        </is>
      </c>
      <c r="K360" s="10" t="inlineStr">
        <is>
          <t>N/A</t>
        </is>
      </c>
      <c r="L360" s="10" t="inlineStr">
        <is>
          <t>Insurance Underwriting, Life Insurance, Underwriting, Medical Underwriting, Communications</t>
        </is>
      </c>
      <c r="M360" s="10" t="inlineStr">
        <is>
          <t>Bonus, Healthcare Plan, Team Activities</t>
        </is>
      </c>
      <c r="N360" s="11">
        <f>HYPERLINK("https://www.vietnamworks.com/new-business-underwriting-associate-manager--2009222-jv","Xem chi tiết")</f>
        <v/>
      </c>
      <c r="O360" s="10" t="n"/>
    </row>
    <row r="361">
      <c r="B361" s="7" t="n">
        <v>359</v>
      </c>
      <c r="C361" t="inlineStr">
        <is>
          <t>SAP Sales Executive</t>
        </is>
      </c>
      <c r="D361" t="inlineStr">
        <is>
          <t>Citek Technology Joint-Stock Company</t>
        </is>
      </c>
      <c r="E361" t="inlineStr">
        <is>
          <t>Tới $ 3,000 /tháng</t>
        </is>
      </c>
      <c r="F361" t="inlineStr">
        <is>
          <t>Hồ Chí Minh, Hà Nội</t>
        </is>
      </c>
      <c r="G361" t="inlineStr">
        <is>
          <t>Nhân viên</t>
        </is>
      </c>
      <c r="H361" t="inlineStr">
        <is>
          <t>03/02/2026</t>
        </is>
      </c>
      <c r="I361" t="inlineStr">
        <is>
          <t>20/03/2026</t>
        </is>
      </c>
      <c r="J361" t="inlineStr">
        <is>
          <t>17/03/2026</t>
        </is>
      </c>
      <c r="K361" t="inlineStr">
        <is>
          <t>N/A</t>
        </is>
      </c>
      <c r="L361" t="inlineStr">
        <is>
          <t>Manage ERP Software, Digital Sales, Sales B2B, Tư vấn phần mềm, Kinh Doanh Phần Mềm</t>
        </is>
      </c>
      <c r="M361" t="inlineStr">
        <is>
          <t>Bonus, Healthcare Plan, Training, Laptop, Travel Opportunities, Team Activities</t>
        </is>
      </c>
      <c r="N361" s="8">
        <f>HYPERLINK("https://www.vietnamworks.com/sap-sales-executive-2009223-jv","Xem chi tiết")</f>
        <v/>
      </c>
    </row>
    <row r="362">
      <c r="B362" s="9" t="n">
        <v>360</v>
      </c>
      <c r="C362" s="10" t="inlineStr">
        <is>
          <t>[NovaDreams] Chuyên viên Quản Lý Vận Hành Kênh Và Quảng Cáo</t>
        </is>
      </c>
      <c r="D362" s="10" t="inlineStr">
        <is>
          <t>Công Ty Cổ Phần Tổng Công Ty Nova Service</t>
        </is>
      </c>
      <c r="E362" s="10" t="inlineStr">
        <is>
          <t>Thương lượng</t>
        </is>
      </c>
      <c r="F362" s="10" t="inlineStr">
        <is>
          <t>Hồ Chí Minh</t>
        </is>
      </c>
      <c r="G362" s="10" t="inlineStr">
        <is>
          <t>Nhân viên</t>
        </is>
      </c>
      <c r="H362" s="10" t="inlineStr">
        <is>
          <t>03/02/2026</t>
        </is>
      </c>
      <c r="I362" s="10" t="inlineStr">
        <is>
          <t>20/03/2026</t>
        </is>
      </c>
      <c r="J362" s="10" t="inlineStr">
        <is>
          <t>17/03/2026</t>
        </is>
      </c>
      <c r="K362" s="10" t="inlineStr">
        <is>
          <t>N/A</t>
        </is>
      </c>
      <c r="L362" s="10" t="inlineStr">
        <is>
          <t>Campaign Management, Content Creation, Creativity, Data Analysis, Digital Marketing</t>
        </is>
      </c>
      <c r="M362" s="10" t="inlineStr">
        <is>
          <t>Healthcare Plan, Laptop, Vouchers, Others</t>
        </is>
      </c>
      <c r="N362" s="11">
        <f>HYPERLINK("https://www.vietnamworks.com/novadreams-chuyen-vien-quan-ly-van-hanh-kenh-va-quang-cao-2009212-jv","Xem chi tiết")</f>
        <v/>
      </c>
      <c r="O362" s="10" t="n"/>
    </row>
    <row r="363">
      <c r="B363" s="7" t="n">
        <v>361</v>
      </c>
      <c r="C363" t="inlineStr">
        <is>
          <t>Deposit Supervisor/kiểm Soát Viên Chi Nhánh Tây Sài Gòn</t>
        </is>
      </c>
      <c r="D363" t="inlineStr">
        <is>
          <t>Ngân Hàng TNHH MTV Woori Việt Nam</t>
        </is>
      </c>
      <c r="E363" t="inlineStr">
        <is>
          <t>Thương lượng</t>
        </is>
      </c>
      <c r="F363" t="inlineStr">
        <is>
          <t>Hồ Chí Minh</t>
        </is>
      </c>
      <c r="G363" t="inlineStr">
        <is>
          <t>Trưởng phòng</t>
        </is>
      </c>
      <c r="H363" t="inlineStr">
        <is>
          <t>03/02/2026</t>
        </is>
      </c>
      <c r="I363" t="inlineStr">
        <is>
          <t>20/03/2026</t>
        </is>
      </c>
      <c r="J363" t="inlineStr">
        <is>
          <t>17/03/2026</t>
        </is>
      </c>
      <c r="K363" t="inlineStr">
        <is>
          <t>N/A</t>
        </is>
      </c>
      <c r="L363" t="inlineStr">
        <is>
          <t>Giao Dịch Ngân Hàng, Tài Chính, Quan Hệ Khách Hàng, Tài Chính Ngân Hàng, Dịch Vụ Ngân Hàng</t>
        </is>
      </c>
      <c r="M363" t="inlineStr">
        <is>
          <t>Bonus, Healthcare Plan, Travel Opportunities</t>
        </is>
      </c>
      <c r="N363" s="8">
        <f>HYPERLINK("https://www.vietnamworks.com/deposit-supervisor-kiem-soat-vien-chi-nhanh-tay-sai-gon-2009211-jv","Xem chi tiết")</f>
        <v/>
      </c>
    </row>
    <row r="364">
      <c r="B364" s="9" t="n">
        <v>362</v>
      </c>
      <c r="C364" s="10" t="inlineStr">
        <is>
          <t>Chuyên Viên Kinh Doanh Đi Làm Sau Tết</t>
        </is>
      </c>
      <c r="D364" s="10" t="inlineStr">
        <is>
          <t>Công ty cổ phần cơ khí công nghệ cao Asimo</t>
        </is>
      </c>
      <c r="E364" s="10" t="inlineStr">
        <is>
          <t>Thương lượng</t>
        </is>
      </c>
      <c r="F364" s="10" t="inlineStr">
        <is>
          <t>Hà Nội</t>
        </is>
      </c>
      <c r="G364" s="10" t="inlineStr">
        <is>
          <t>Nhân viên</t>
        </is>
      </c>
      <c r="H364" s="10" t="inlineStr">
        <is>
          <t>03/02/2026</t>
        </is>
      </c>
      <c r="I364" s="10" t="inlineStr">
        <is>
          <t>20/03/2026</t>
        </is>
      </c>
      <c r="J364" s="10" t="inlineStr">
        <is>
          <t>17/03/2026</t>
        </is>
      </c>
      <c r="K364" s="10" t="inlineStr">
        <is>
          <t>N/A</t>
        </is>
      </c>
      <c r="L364" s="10" t="inlineStr">
        <is>
          <t>Kinh Doanh, Quản Lý Hợp Đồng, Bán Hàng Kỹ Thuật, Cơ khí chế tạo máy</t>
        </is>
      </c>
      <c r="M364" s="10" t="inlineStr">
        <is>
          <t>Bonus, Healthcare Plan, Training, Transportation, Canteen, Others</t>
        </is>
      </c>
      <c r="N364" s="11">
        <f>HYPERLINK("https://www.vietnamworks.com/chuyen-vien-kinh-doanh-di-lam-sau-tet--2009227-jv","Xem chi tiết")</f>
        <v/>
      </c>
      <c r="O364" s="10" t="n"/>
    </row>
    <row r="365">
      <c r="B365" s="7" t="n">
        <v>363</v>
      </c>
      <c r="C365" t="inlineStr">
        <is>
          <t>Nhân Viên IT (Ưu Tiên Kinh Nghiệm Laravel)</t>
        </is>
      </c>
      <c r="D365" t="inlineStr">
        <is>
          <t>Công Ty TNHH Sumitomo Heavy Industries (Việt Nam)</t>
        </is>
      </c>
      <c r="E365" t="inlineStr">
        <is>
          <t>Tới $ 800 /tháng</t>
        </is>
      </c>
      <c r="F365" t="inlineStr">
        <is>
          <t>Hà Nội</t>
        </is>
      </c>
      <c r="G365" t="inlineStr">
        <is>
          <t>Nhân viên</t>
        </is>
      </c>
      <c r="H365" t="inlineStr">
        <is>
          <t>03/02/2026</t>
        </is>
      </c>
      <c r="I365" t="inlineStr">
        <is>
          <t>20/03/2026</t>
        </is>
      </c>
      <c r="J365" t="inlineStr">
        <is>
          <t>17/03/2026</t>
        </is>
      </c>
      <c r="K365" t="inlineStr">
        <is>
          <t>N/A</t>
        </is>
      </c>
      <c r="L365" t="inlineStr">
        <is>
          <t>Java, Spring Framework, Hibernate, Database Administration, HTML/CSS</t>
        </is>
      </c>
      <c r="M365" t="inlineStr">
        <is>
          <t>Awards, Travel Opportunities, Canteen</t>
        </is>
      </c>
      <c r="N365" s="8">
        <f>HYPERLINK("https://www.vietnamworks.com/nhan-vien-it-uu-tien-kinh-nghiem-laravel-2009229-jv","Xem chi tiết")</f>
        <v/>
      </c>
    </row>
    <row r="366">
      <c r="B366" s="9" t="n">
        <v>364</v>
      </c>
      <c r="C366" s="10" t="inlineStr">
        <is>
          <t>HR Specialist</t>
        </is>
      </c>
      <c r="D366" s="10" t="inlineStr">
        <is>
          <t>Hanesbrands Inc. (HY Plant)</t>
        </is>
      </c>
      <c r="E366" s="10" t="inlineStr">
        <is>
          <t>Thương lượng</t>
        </is>
      </c>
      <c r="F366" s="10" t="inlineStr">
        <is>
          <t>Hưng Yên, Hà Nội</t>
        </is>
      </c>
      <c r="G366" s="10" t="inlineStr">
        <is>
          <t>Nhân viên</t>
        </is>
      </c>
      <c r="H366" s="10" t="inlineStr">
        <is>
          <t>03/02/2026</t>
        </is>
      </c>
      <c r="I366" s="10" t="inlineStr">
        <is>
          <t>20/03/2026</t>
        </is>
      </c>
      <c r="J366" s="10" t="inlineStr">
        <is>
          <t>17/03/2026</t>
        </is>
      </c>
      <c r="K366" s="10" t="inlineStr">
        <is>
          <t>N/A</t>
        </is>
      </c>
      <c r="L366" s="10" t="inlineStr">
        <is>
          <t>Hành Chính Nhân Sự, Hành Chính, Analytical Skills, MS Office, Quản Lý Văn Phòng</t>
        </is>
      </c>
      <c r="M366" s="10" t="inlineStr">
        <is>
          <t>Healthcare Plan, Paid Leave, Transportation</t>
        </is>
      </c>
      <c r="N366" s="11">
        <f>HYPERLINK("https://www.vietnamworks.com/hr-specialist--2009225-jv","Xem chi tiết")</f>
        <v/>
      </c>
      <c r="O366" s="10" t="n"/>
    </row>
    <row r="367">
      <c r="B367" s="7" t="n">
        <v>365</v>
      </c>
      <c r="C367" t="inlineStr">
        <is>
          <t>Trưởng Phòng Kinh Doanh – Ngành Vật Tư Chống Thấm &amp; Hạt Nhựa PVC Compound</t>
        </is>
      </c>
      <c r="D367" t="inlineStr">
        <is>
          <t>Công Ty TNHH Nhựa An Đạt</t>
        </is>
      </c>
      <c r="E367" t="inlineStr">
        <is>
          <t>Thương lượng</t>
        </is>
      </c>
      <c r="F367" t="inlineStr">
        <is>
          <t>Hồ Chí Minh</t>
        </is>
      </c>
      <c r="G367" t="inlineStr">
        <is>
          <t>Trưởng phòng</t>
        </is>
      </c>
      <c r="H367" t="inlineStr">
        <is>
          <t>03/02/2026</t>
        </is>
      </c>
      <c r="I367" t="inlineStr">
        <is>
          <t>20/03/2026</t>
        </is>
      </c>
      <c r="J367" t="inlineStr">
        <is>
          <t>17/03/2026</t>
        </is>
      </c>
      <c r="K367" t="inlineStr">
        <is>
          <t>N/A</t>
        </is>
      </c>
      <c r="L367" t="inlineStr">
        <is>
          <t>Kinh Doanh, Chống Thấm, Logistic, sale B2B</t>
        </is>
      </c>
      <c r="M367" t="inlineStr">
        <is>
          <t>Bonus, Healthcare Plan, Training</t>
        </is>
      </c>
      <c r="N367" s="8">
        <f>HYPERLINK("https://www.vietnamworks.com/truong-phong-kinh-doanh-nganh-vat-tu-chong-tham-hat-nhua-pvc-compound-2009224-jv","Xem chi tiết")</f>
        <v/>
      </c>
    </row>
    <row r="368">
      <c r="B368" s="9" t="n">
        <v>366</v>
      </c>
      <c r="C368" s="10" t="inlineStr">
        <is>
          <t>Chuyên Viên Cấp Cao/chuyên Viên Chính Tuyển Dụng - Khối Giải Trí Nghỉ Dưỡng</t>
        </is>
      </c>
      <c r="D368" s="10" t="inlineStr">
        <is>
          <t>CÔNG TY TNHH TẬP ĐOÀN SUN WORLD</t>
        </is>
      </c>
      <c r="E368" s="10" t="inlineStr">
        <is>
          <t>Thương lượng</t>
        </is>
      </c>
      <c r="F368" s="10" t="inlineStr">
        <is>
          <t>An Giang</t>
        </is>
      </c>
      <c r="G368" s="10" t="inlineStr">
        <is>
          <t>Nhân viên</t>
        </is>
      </c>
      <c r="H368" s="10" t="inlineStr">
        <is>
          <t>03/02/2026</t>
        </is>
      </c>
      <c r="I368" s="10" t="inlineStr">
        <is>
          <t>20/03/2026</t>
        </is>
      </c>
      <c r="J368" s="10" t="inlineStr">
        <is>
          <t>17/03/2026</t>
        </is>
      </c>
      <c r="K368" s="10" t="inlineStr">
        <is>
          <t>N/A</t>
        </is>
      </c>
      <c r="L368" s="10" t="inlineStr">
        <is>
          <t>Lập Kế Hoạch Tuyển Dụng, Phỏng Vấn Ứng Viên, Sàng Lọc Hồ Sơ, Mass Recruitment, Tìm Kiếm Ứng Viên</t>
        </is>
      </c>
      <c r="M368" s="10" t="inlineStr">
        <is>
          <t>Bonus, Healthcare Plan, Transportation</t>
        </is>
      </c>
      <c r="N368" s="11">
        <f>HYPERLINK("https://www.vietnamworks.com/chuyen-vien-cap-caochuyen-vien-chinh-tuyen-dung-khoi-giai-tri-nghi-duong-2009235-jv","Xem chi tiết")</f>
        <v/>
      </c>
      <c r="O368" s="10" t="n"/>
    </row>
    <row r="369">
      <c r="B369" s="7" t="n">
        <v>367</v>
      </c>
      <c r="C369" t="inlineStr">
        <is>
          <t>Chuyên Viên Chính/ Chuyên Viên Cấp Cao Đối Tác Nhân Sự (HRBP) - Khối Giải Trí Nghỉ Dưỡng</t>
        </is>
      </c>
      <c r="D369" t="inlineStr">
        <is>
          <t>CÔNG TY TNHH TẬP ĐOÀN SUN WORLD</t>
        </is>
      </c>
      <c r="E369" t="inlineStr">
        <is>
          <t>Thương lượng</t>
        </is>
      </c>
      <c r="F369" t="inlineStr">
        <is>
          <t>An Giang</t>
        </is>
      </c>
      <c r="G369" t="inlineStr">
        <is>
          <t>Nhân viên</t>
        </is>
      </c>
      <c r="H369" t="inlineStr">
        <is>
          <t>03/02/2026</t>
        </is>
      </c>
      <c r="I369" t="inlineStr">
        <is>
          <t>20/03/2026</t>
        </is>
      </c>
      <c r="J369" t="inlineStr">
        <is>
          <t>17/03/2026</t>
        </is>
      </c>
      <c r="K369" t="inlineStr">
        <is>
          <t>N/A</t>
        </is>
      </c>
      <c r="L369" t="inlineStr">
        <is>
          <t>Employer Branding, Hospitality, HR Management, HRBP, Manpower Planning</t>
        </is>
      </c>
      <c r="M369" t="inlineStr">
        <is>
          <t>Bonus, Healthcare Plan, Transportation</t>
        </is>
      </c>
      <c r="N369" s="8">
        <f>HYPERLINK("https://www.vietnamworks.com/chuyen-vien-chinh-chuyen-vien-cap-cao-djoi-tac-nhan-su-hrbp-khoi-giai-tri-nghi-duong-2009234-jv","Xem chi tiết")</f>
        <v/>
      </c>
    </row>
    <row r="370">
      <c r="B370" s="9" t="n">
        <v>368</v>
      </c>
      <c r="C370" s="10" t="inlineStr">
        <is>
          <t>Chuyên Viên Kinh Doanh/sales Leasing Trung Tâm Thương Mại Vincom</t>
        </is>
      </c>
      <c r="D370" s="10" t="inlineStr">
        <is>
          <t>Tập Đoàn Vingroup - Công Ty Cổ phần Vincom Retail</t>
        </is>
      </c>
      <c r="E370" s="10" t="inlineStr">
        <is>
          <t>$$ 800-1,500 /tháng</t>
        </is>
      </c>
      <c r="F370" s="10" t="inlineStr">
        <is>
          <t>Hồ Chí Minh, Hà Nội</t>
        </is>
      </c>
      <c r="G370" s="10" t="inlineStr">
        <is>
          <t>Nhân viên</t>
        </is>
      </c>
      <c r="H370" s="10" t="inlineStr">
        <is>
          <t>03/02/2026</t>
        </is>
      </c>
      <c r="I370" s="10" t="inlineStr">
        <is>
          <t>20/03/2026</t>
        </is>
      </c>
      <c r="J370" s="10" t="inlineStr">
        <is>
          <t>17/03/2026</t>
        </is>
      </c>
      <c r="K370" s="10" t="inlineStr">
        <is>
          <t>N/A</t>
        </is>
      </c>
      <c r="L370" s="10" t="inlineStr">
        <is>
          <t>Leasing, Sales, Kinh Doanh, Cho Thuê Mặt Bằng Thương Mại, Bất Động Sản Thương Mại</t>
        </is>
      </c>
      <c r="M370" s="10" t="inlineStr">
        <is>
          <t>Bonus, Canteen, Others</t>
        </is>
      </c>
      <c r="N370" s="11">
        <f>HYPERLINK("https://www.vietnamworks.com/chuyen-vien-kinh-doanh-sales-leasing-trung-tam-thuong-mai-vincom-2009228-jv","Xem chi tiết")</f>
        <v/>
      </c>
      <c r="O370" s="10" t="n"/>
    </row>
    <row r="371">
      <c r="B371" s="7" t="n">
        <v>369</v>
      </c>
      <c r="C371" t="inlineStr">
        <is>
          <t>Trưởng Nhóm Kinh Doanh Khách Hàng Doanh Nghiệp - RB - MSB - 3F278</t>
        </is>
      </c>
      <c r="D371" t="inlineStr">
        <is>
          <t>Ngân Hàng Thương Mại Cổ Phần Hàng Hải Việt Nam (MSB)</t>
        </is>
      </c>
      <c r="E371" t="inlineStr">
        <is>
          <t>Thương lượng</t>
        </is>
      </c>
      <c r="F371" t="inlineStr">
        <is>
          <t>Đồng Tháp, Tây Ninh</t>
        </is>
      </c>
      <c r="G371" t="inlineStr">
        <is>
          <t>Trưởng phòng</t>
        </is>
      </c>
      <c r="H371" t="inlineStr">
        <is>
          <t>03/02/2026</t>
        </is>
      </c>
      <c r="I371" t="inlineStr">
        <is>
          <t>20/03/2026</t>
        </is>
      </c>
      <c r="J371" t="inlineStr">
        <is>
          <t>17/03/2026</t>
        </is>
      </c>
      <c r="K371" t="inlineStr">
        <is>
          <t>N/A</t>
        </is>
      </c>
      <c r="L371" t="inlineStr">
        <is>
          <t>Giải Quyết Vấn Đề, Kinh Doanh, Phân Tích Thị Trường, Quản Lý, Tín dụng</t>
        </is>
      </c>
      <c r="M371" t="inlineStr">
        <is>
          <t>Bonus, Healthcare Plan, Paid Leave, Training, Laptop, Travel Opportunities, Others</t>
        </is>
      </c>
      <c r="N371" s="8">
        <f>HYPERLINK("https://www.vietnamworks.com/truong-nhom-kinh-doanh-khach-hang-doanh-nghiep-rb-msb-3f278-2009237-jv","Xem chi tiết")</f>
        <v/>
      </c>
    </row>
    <row r="372">
      <c r="B372" s="9" t="n">
        <v>370</v>
      </c>
      <c r="C372" s="10" t="inlineStr">
        <is>
          <t>Order Processing Specialist (Merchandise)</t>
        </is>
      </c>
      <c r="D372" s="10" t="inlineStr">
        <is>
          <t>TPF Group</t>
        </is>
      </c>
      <c r="E372" s="10" t="inlineStr">
        <is>
          <t>Thương lượng</t>
        </is>
      </c>
      <c r="F372" s="10" t="inlineStr">
        <is>
          <t>Hồ Chí Minh</t>
        </is>
      </c>
      <c r="G372" s="10" t="inlineStr">
        <is>
          <t>Nhân viên</t>
        </is>
      </c>
      <c r="H372" s="10" t="inlineStr">
        <is>
          <t>03/02/2026</t>
        </is>
      </c>
      <c r="I372" s="10" t="inlineStr">
        <is>
          <t>20/03/2026</t>
        </is>
      </c>
      <c r="J372" s="10" t="inlineStr">
        <is>
          <t>17/03/2026</t>
        </is>
      </c>
      <c r="K372" s="10" t="inlineStr">
        <is>
          <t>N/A</t>
        </is>
      </c>
      <c r="L372" s="10" t="inlineStr">
        <is>
          <t>Customer Service Experience, English Fluency, Microsoft Office Proficiency, Project Management</t>
        </is>
      </c>
      <c r="M372" s="10" t="inlineStr">
        <is>
          <t>Healthcare Plan, Paid Leave, Training, Travel Opportunities, Team Activities, Canteen, Others</t>
        </is>
      </c>
      <c r="N372" s="11">
        <f>HYPERLINK("https://www.vietnamworks.com/order-processing-specialist-merchandise-2009236-jv","Xem chi tiết")</f>
        <v/>
      </c>
      <c r="O372" s="10" t="n"/>
    </row>
    <row r="373">
      <c r="B373" s="7" t="n">
        <v>371</v>
      </c>
      <c r="C373" t="inlineStr">
        <is>
          <t>[Gấp] Nhân Viên Phát Triển Kinh Doanh (Nhãn Ipone) Tại Hà Nội</t>
        </is>
      </c>
      <c r="D373" t="inlineStr">
        <is>
          <t>MOTUL VIETNAM</t>
        </is>
      </c>
      <c r="E373" t="inlineStr">
        <is>
          <t>Thương lượng</t>
        </is>
      </c>
      <c r="F373" t="inlineStr">
        <is>
          <t>Hà Nội</t>
        </is>
      </c>
      <c r="G373" t="inlineStr">
        <is>
          <t>Nhân viên</t>
        </is>
      </c>
      <c r="H373" t="inlineStr">
        <is>
          <t>03/02/2026</t>
        </is>
      </c>
      <c r="I373" t="inlineStr">
        <is>
          <t>20/03/2026</t>
        </is>
      </c>
      <c r="J373" t="inlineStr">
        <is>
          <t>17/03/2026</t>
        </is>
      </c>
      <c r="K373" t="inlineStr">
        <is>
          <t>N/A</t>
        </is>
      </c>
      <c r="L373" t="inlineStr">
        <is>
          <t>Sales Order Processing, DMS System, Customer Service Collaboration, Selling</t>
        </is>
      </c>
      <c r="M373" t="inlineStr">
        <is>
          <t>Bonus, Healthcare Plan, Training</t>
        </is>
      </c>
      <c r="N373" s="8">
        <f>HYPERLINK("https://www.vietnamworks.com/gap-nhan-vien-phat-trien-kinh-doanh-nhan-ipone-tai-ha-noi-2009233-jv","Xem chi tiết")</f>
        <v/>
      </c>
    </row>
    <row r="374">
      <c r="B374" s="9" t="n">
        <v>372</v>
      </c>
      <c r="C374" s="10" t="inlineStr">
        <is>
          <t>Kế Toán Chi Phí XDCB</t>
        </is>
      </c>
      <c r="D374" s="10" t="inlineStr">
        <is>
          <t>CÔNG TY CỔ PHẦN FRECO VIỆT NAM</t>
        </is>
      </c>
      <c r="E374" s="10" t="inlineStr">
        <is>
          <t>17tr-18tr ₫/tháng</t>
        </is>
      </c>
      <c r="F374" s="10" t="inlineStr">
        <is>
          <t>Hà Nội</t>
        </is>
      </c>
      <c r="G374" s="10" t="inlineStr">
        <is>
          <t>Nhân viên</t>
        </is>
      </c>
      <c r="H374" s="10" t="inlineStr">
        <is>
          <t>03/02/2026</t>
        </is>
      </c>
      <c r="I374" s="10" t="inlineStr">
        <is>
          <t>20/03/2026</t>
        </is>
      </c>
      <c r="J374" s="10" t="inlineStr">
        <is>
          <t>17/03/2026</t>
        </is>
      </c>
      <c r="K374" s="10" t="inlineStr">
        <is>
          <t>N/A</t>
        </is>
      </c>
      <c r="L374" s="10" t="inlineStr">
        <is>
          <t>Tài Chính Kế Toán, Kế Toán Chi Phí, Costing, Kế toán Quản trị, Hạch Toán</t>
        </is>
      </c>
      <c r="M374" s="10" t="inlineStr">
        <is>
          <t>Bonus, Paid Leave, Awards</t>
        </is>
      </c>
      <c r="N374" s="11">
        <f>HYPERLINK("https://www.vietnamworks.com/ke-toan-chi-phi-xdcb--2009246-jv","Xem chi tiết")</f>
        <v/>
      </c>
      <c r="O374" s="10" t="n"/>
    </row>
    <row r="375">
      <c r="B375" s="7" t="n">
        <v>373</v>
      </c>
      <c r="C375" t="inlineStr">
        <is>
          <t>Human Resources Business Partner Officer</t>
        </is>
      </c>
      <c r="D375" t="inlineStr">
        <is>
          <t>Công Ty TNHH Giáo Dục Và Đào Tạo Vinacademy</t>
        </is>
      </c>
      <c r="E375" t="inlineStr">
        <is>
          <t>Thương lượng</t>
        </is>
      </c>
      <c r="F375" t="inlineStr">
        <is>
          <t>Hà Nội</t>
        </is>
      </c>
      <c r="G375" t="inlineStr">
        <is>
          <t>Nhân viên</t>
        </is>
      </c>
      <c r="H375" t="inlineStr">
        <is>
          <t>03/02/2026</t>
        </is>
      </c>
      <c r="I375" t="inlineStr">
        <is>
          <t>20/03/2026</t>
        </is>
      </c>
      <c r="J375" t="inlineStr">
        <is>
          <t>17/03/2026</t>
        </is>
      </c>
      <c r="K375" t="inlineStr">
        <is>
          <t>N/A</t>
        </is>
      </c>
      <c r="L375" t="inlineStr">
        <is>
          <t>Human Resources, Recruitment, Administration, Teamwork, Problem Solving</t>
        </is>
      </c>
      <c r="M375" t="inlineStr">
        <is>
          <t>Healthcare Plan, Training, Laptop</t>
        </is>
      </c>
      <c r="N375" s="8">
        <f>HYPERLINK("https://www.vietnamworks.com/human-resources-business-partner-officer--2009244-jv","Xem chi tiết")</f>
        <v/>
      </c>
    </row>
    <row r="376">
      <c r="B376" s="9" t="n">
        <v>374</v>
      </c>
      <c r="C376" s="10" t="inlineStr">
        <is>
          <t>Sale Support</t>
        </is>
      </c>
      <c r="D376" s="10" t="inlineStr">
        <is>
          <t>Công Ty TNHH YKK AP Việt Nam</t>
        </is>
      </c>
      <c r="E376" s="10" t="inlineStr">
        <is>
          <t>10tr-15tr ₫/tháng</t>
        </is>
      </c>
      <c r="F376" s="10" t="inlineStr">
        <is>
          <t>Hồ Chí Minh</t>
        </is>
      </c>
      <c r="G376" s="10" t="inlineStr">
        <is>
          <t>Nhân viên</t>
        </is>
      </c>
      <c r="H376" s="10" t="inlineStr">
        <is>
          <t>03/02/2026</t>
        </is>
      </c>
      <c r="I376" s="10" t="inlineStr">
        <is>
          <t>20/03/2026</t>
        </is>
      </c>
      <c r="J376" s="10" t="inlineStr">
        <is>
          <t>17/03/2026</t>
        </is>
      </c>
      <c r="K376" s="10" t="inlineStr">
        <is>
          <t>N/A</t>
        </is>
      </c>
      <c r="L376" s="10" t="inlineStr">
        <is>
          <t>Logistics Training, Sales Support, Customer Service, English Communication, Responsibility</t>
        </is>
      </c>
      <c r="M376" s="10" t="inlineStr">
        <is>
          <t>Bonus, Healthcare Plan, Training, Team Activities, Others</t>
        </is>
      </c>
      <c r="N376" s="11">
        <f>HYPERLINK("https://www.vietnamworks.com/sale-support-2009248-jv","Xem chi tiết")</f>
        <v/>
      </c>
      <c r="O376" s="10" t="n"/>
    </row>
    <row r="377">
      <c r="B377" s="7" t="n">
        <v>375</v>
      </c>
      <c r="C377" t="inlineStr">
        <is>
          <t>Sales Planning Specialist (HCM)</t>
        </is>
      </c>
      <c r="D377" t="inlineStr">
        <is>
          <t>Orion Food Vina Co,. Ltd - Head Office</t>
        </is>
      </c>
      <c r="E377" t="inlineStr">
        <is>
          <t>Thương lượng</t>
        </is>
      </c>
      <c r="F377" t="inlineStr">
        <is>
          <t>Hồ Chí Minh</t>
        </is>
      </c>
      <c r="G377" t="inlineStr">
        <is>
          <t>Nhân viên</t>
        </is>
      </c>
      <c r="H377" t="inlineStr">
        <is>
          <t>03/02/2026</t>
        </is>
      </c>
      <c r="I377" t="inlineStr">
        <is>
          <t>20/03/2026</t>
        </is>
      </c>
      <c r="J377" t="inlineStr">
        <is>
          <t>17/03/2026</t>
        </is>
      </c>
      <c r="K377" t="inlineStr">
        <is>
          <t>N/A</t>
        </is>
      </c>
      <c r="L377" t="inlineStr">
        <is>
          <t>Sales Strategy, Trade Marketing, Sales Planning, Sales Admin, Chiến Lược Kinh Doanh</t>
        </is>
      </c>
      <c r="M377" t="inlineStr">
        <is>
          <t>Bonus, Healthcare Plan, Team Activities</t>
        </is>
      </c>
      <c r="N377" s="8">
        <f>HYPERLINK("https://www.vietnamworks.com/sales-planning-specialist-hcm--2009245-jv","Xem chi tiết")</f>
        <v/>
      </c>
    </row>
    <row r="378">
      <c r="B378" s="9" t="n">
        <v>376</v>
      </c>
      <c r="C378" s="10" t="inlineStr">
        <is>
          <t>Head of Admissions</t>
        </is>
      </c>
      <c r="D378" s="10" t="inlineStr">
        <is>
          <t>CÔNG TY TNHH GIÁO DỤC DU LỊCH KHÁCH SẠN ĐỊA ỐC THÀNH PHỐ ĐẢO PHÚ QUỐC</t>
        </is>
      </c>
      <c r="E378" s="10" t="inlineStr">
        <is>
          <t>Thương lượng</t>
        </is>
      </c>
      <c r="F378" s="10" t="inlineStr">
        <is>
          <t>Kiên Giang</t>
        </is>
      </c>
      <c r="G378" s="10" t="inlineStr">
        <is>
          <t>Trưởng phòng</t>
        </is>
      </c>
      <c r="H378" s="10" t="inlineStr">
        <is>
          <t>03/02/2026</t>
        </is>
      </c>
      <c r="I378" s="10" t="inlineStr">
        <is>
          <t>20/03/2026</t>
        </is>
      </c>
      <c r="J378" s="10" t="inlineStr">
        <is>
          <t>17/03/2026</t>
        </is>
      </c>
      <c r="K378" s="10" t="inlineStr">
        <is>
          <t>N/A</t>
        </is>
      </c>
      <c r="L378" s="10" t="inlineStr">
        <is>
          <t>Academic Management, Admissions Process, Education, Hospitality, Digital Marketing</t>
        </is>
      </c>
      <c r="M378" s="10" t="inlineStr">
        <is>
          <t>Bonus, Training, Laptop, Mobile, Canteen</t>
        </is>
      </c>
      <c r="N378" s="11">
        <f>HYPERLINK("https://www.vietnamworks.com/head-of-admissions--2009243-jv","Xem chi tiết")</f>
        <v/>
      </c>
      <c r="O378" s="10" t="n"/>
    </row>
    <row r="379">
      <c r="B379" s="7" t="n">
        <v>377</v>
      </c>
      <c r="C379" t="inlineStr">
        <is>
          <t>Education/Sales Manager (Edtech)</t>
        </is>
      </c>
      <c r="D379" t="inlineStr">
        <is>
          <t>Công Ty TNHH Geniebook Vietnam</t>
        </is>
      </c>
      <c r="E379" t="inlineStr">
        <is>
          <t>Thương lượng</t>
        </is>
      </c>
      <c r="F379" t="inlineStr">
        <is>
          <t>Hồ Chí Minh</t>
        </is>
      </c>
      <c r="G379" t="inlineStr">
        <is>
          <t>Trưởng phòng</t>
        </is>
      </c>
      <c r="H379" t="inlineStr">
        <is>
          <t>03/02/2026</t>
        </is>
      </c>
      <c r="I379" t="inlineStr">
        <is>
          <t>20/03/2026</t>
        </is>
      </c>
      <c r="J379" t="inlineStr">
        <is>
          <t>17/03/2026</t>
        </is>
      </c>
      <c r="K379" t="inlineStr">
        <is>
          <t>N/A</t>
        </is>
      </c>
      <c r="L379" t="inlineStr">
        <is>
          <t>Sales Management, Coaching, CRM Tools, Sales Funnel Optimization, Communication Skills</t>
        </is>
      </c>
      <c r="M379" t="inlineStr">
        <is>
          <t>Bonus, Healthcare Plan, Paid Leave</t>
        </is>
      </c>
      <c r="N379" s="8">
        <f>HYPERLINK("https://www.vietnamworks.com/educationsales-manager-edtech-2009252-jv","Xem chi tiết")</f>
        <v/>
      </c>
    </row>
    <row r="380">
      <c r="B380" s="9" t="n">
        <v>378</v>
      </c>
      <c r="C380" s="10" t="inlineStr">
        <is>
          <t>Kỹ Sư Hóa Silicate</t>
        </is>
      </c>
      <c r="D380" s="10" t="inlineStr">
        <is>
          <t>Công Ty CP Tập Đoàn Đầu Tư Việt Phương</t>
        </is>
      </c>
      <c r="E380" s="10" t="inlineStr">
        <is>
          <t>Thương lượng</t>
        </is>
      </c>
      <c r="F380" s="10" t="inlineStr">
        <is>
          <t>Hà Nội</t>
        </is>
      </c>
      <c r="G380" s="10" t="inlineStr">
        <is>
          <t>Nhân viên</t>
        </is>
      </c>
      <c r="H380" s="10" t="inlineStr">
        <is>
          <t>03/02/2026</t>
        </is>
      </c>
      <c r="I380" s="10" t="inlineStr">
        <is>
          <t>20/03/2026</t>
        </is>
      </c>
      <c r="J380" s="10" t="inlineStr">
        <is>
          <t>17/03/2026</t>
        </is>
      </c>
      <c r="K380" s="10" t="inlineStr">
        <is>
          <t>N/A</t>
        </is>
      </c>
      <c r="L380" s="10" t="inlineStr">
        <is>
          <t>Kỹ Sư Hóa Silicate, Máy Chế Biến Thực Phẩm, Làm Dự Án, Giám Sát Thi Công, Kỹ Năng Phát Triển Dự Án</t>
        </is>
      </c>
      <c r="M380" s="10" t="inlineStr">
        <is>
          <t>Bonus, Healthcare Plan, Laptop</t>
        </is>
      </c>
      <c r="N380" s="11">
        <f>HYPERLINK("https://www.vietnamworks.com/ky-su-hoa-silicate-2009241-jv","Xem chi tiết")</f>
        <v/>
      </c>
      <c r="O380" s="10" t="n"/>
    </row>
    <row r="381">
      <c r="B381" s="7" t="n">
        <v>379</v>
      </c>
      <c r="C381" t="inlineStr">
        <is>
          <t>Embedded Control Engineer</t>
        </is>
      </c>
      <c r="D381" t="inlineStr">
        <is>
          <t>Apicoo Robotics., JSC</t>
        </is>
      </c>
      <c r="E381" t="inlineStr">
        <is>
          <t>Thương lượng</t>
        </is>
      </c>
      <c r="F381" t="inlineStr">
        <is>
          <t>Hà Nội</t>
        </is>
      </c>
      <c r="G381" t="inlineStr">
        <is>
          <t>Nhân viên</t>
        </is>
      </c>
      <c r="H381" t="inlineStr">
        <is>
          <t>03/02/2026</t>
        </is>
      </c>
      <c r="I381" t="inlineStr">
        <is>
          <t>20/03/2026</t>
        </is>
      </c>
      <c r="J381" t="inlineStr">
        <is>
          <t>17/03/2026</t>
        </is>
      </c>
      <c r="K381" t="inlineStr">
        <is>
          <t>N/A</t>
        </is>
      </c>
      <c r="L381" t="inlineStr">
        <is>
          <t>Control System, Electrical Motors, Embedded Programming C++, Communication Protocols, Problem Solving</t>
        </is>
      </c>
      <c r="M381" t="inlineStr">
        <is>
          <t>Training</t>
        </is>
      </c>
      <c r="N381" s="8">
        <f>HYPERLINK("https://www.vietnamworks.com/embedded-control-engineer-2009255-jv","Xem chi tiết")</f>
        <v/>
      </c>
    </row>
    <row r="382">
      <c r="B382" s="9" t="n">
        <v>380</v>
      </c>
      <c r="C382" s="10" t="inlineStr">
        <is>
          <t>Production Control Staff (On Board After Tet) - Shuttle Bus from Center of Hanoi</t>
        </is>
      </c>
      <c r="D382" s="10" t="inlineStr">
        <is>
          <t>Hanwha Aero Engines Company Limited</t>
        </is>
      </c>
      <c r="E382" s="10" t="inlineStr">
        <is>
          <t>Thương lượng</t>
        </is>
      </c>
      <c r="F382" s="10" t="inlineStr">
        <is>
          <t>Hà Nội</t>
        </is>
      </c>
      <c r="G382" s="10" t="inlineStr">
        <is>
          <t>Nhân viên</t>
        </is>
      </c>
      <c r="H382" s="10" t="inlineStr">
        <is>
          <t>03/02/2026</t>
        </is>
      </c>
      <c r="I382" s="10" t="inlineStr">
        <is>
          <t>20/03/2026</t>
        </is>
      </c>
      <c r="J382" s="10" t="inlineStr">
        <is>
          <t>17/03/2026</t>
        </is>
      </c>
      <c r="K382" s="10" t="inlineStr">
        <is>
          <t>N/A</t>
        </is>
      </c>
      <c r="L382" s="10" t="inlineStr">
        <is>
          <t>MES, Production Control, Production Planning, Mechanical, SAP</t>
        </is>
      </c>
      <c r="M382" s="10" t="inlineStr">
        <is>
          <t>Healthcare Plan, Others</t>
        </is>
      </c>
      <c r="N382" s="11">
        <f>HYPERLINK("https://www.vietnamworks.com/production-control-staff-on-board-after-tet-shuttle-bus-from-center-of-hanoi--2009261-jv","Xem chi tiết")</f>
        <v/>
      </c>
      <c r="O382" s="10" t="n"/>
    </row>
    <row r="383">
      <c r="B383" s="7" t="n">
        <v>381</v>
      </c>
      <c r="C383" t="inlineStr">
        <is>
          <t>Marketing Executive</t>
        </is>
      </c>
      <c r="D383" t="inlineStr">
        <is>
          <t>Apicoo Robotics., JSC</t>
        </is>
      </c>
      <c r="E383" t="inlineStr">
        <is>
          <t>Thương lượng</t>
        </is>
      </c>
      <c r="F383" t="inlineStr">
        <is>
          <t>Hà Nội</t>
        </is>
      </c>
      <c r="G383" t="inlineStr">
        <is>
          <t>Nhân viên</t>
        </is>
      </c>
      <c r="H383" t="inlineStr">
        <is>
          <t>03/02/2026</t>
        </is>
      </c>
      <c r="I383" t="inlineStr">
        <is>
          <t>20/03/2026</t>
        </is>
      </c>
      <c r="J383" t="inlineStr">
        <is>
          <t>17/03/2026</t>
        </is>
      </c>
      <c r="K383" t="inlineStr">
        <is>
          <t>N/A</t>
        </is>
      </c>
      <c r="L383" t="inlineStr">
        <is>
          <t>B2B Marketing, Content Creation, Digital Marketing, SEO, English Communication</t>
        </is>
      </c>
      <c r="M383" t="inlineStr">
        <is>
          <t>Training</t>
        </is>
      </c>
      <c r="N383" s="8">
        <f>HYPERLINK("https://www.vietnamworks.com/marketing-executive-2009254-jv","Xem chi tiết")</f>
        <v/>
      </c>
    </row>
    <row r="384">
      <c r="B384" s="9" t="n">
        <v>382</v>
      </c>
      <c r="C384" s="10" t="inlineStr">
        <is>
          <t>Account Manager</t>
        </is>
      </c>
      <c r="D384" s="10" t="inlineStr">
        <is>
          <t>Yomedia - Công Ty Cổ Phần New Pine Multimedia Technologies</t>
        </is>
      </c>
      <c r="E384" s="10" t="inlineStr">
        <is>
          <t>Thương lượng</t>
        </is>
      </c>
      <c r="F384" s="10" t="inlineStr">
        <is>
          <t>Hồ Chí Minh</t>
        </is>
      </c>
      <c r="G384" s="10" t="inlineStr">
        <is>
          <t>Trưởng phòng</t>
        </is>
      </c>
      <c r="H384" s="10" t="inlineStr">
        <is>
          <t>03/02/2026</t>
        </is>
      </c>
      <c r="I384" s="10" t="inlineStr">
        <is>
          <t>20/03/2026</t>
        </is>
      </c>
      <c r="J384" s="10" t="inlineStr">
        <is>
          <t>17/03/2026</t>
        </is>
      </c>
      <c r="K384" s="10" t="inlineStr">
        <is>
          <t>N/A</t>
        </is>
      </c>
      <c r="L384" s="10" t="inlineStr">
        <is>
          <t>Digital Marketing, Account Management, Client Relationship, Web Analytics, Communication</t>
        </is>
      </c>
      <c r="M384" s="10" t="inlineStr">
        <is>
          <t>Others</t>
        </is>
      </c>
      <c r="N384" s="11">
        <f>HYPERLINK("https://www.vietnamworks.com/account-manager-2009247-jv","Xem chi tiết")</f>
        <v/>
      </c>
      <c r="O384" s="10" t="n"/>
    </row>
    <row r="385">
      <c r="B385" s="7" t="n">
        <v>383</v>
      </c>
      <c r="C385" t="inlineStr">
        <is>
          <t>Account Executive</t>
        </is>
      </c>
      <c r="D385" t="inlineStr">
        <is>
          <t>Yomedia - Công Ty Cổ Phần New Pine Multimedia Technologies</t>
        </is>
      </c>
      <c r="E385" t="inlineStr">
        <is>
          <t>Thương lượng</t>
        </is>
      </c>
      <c r="F385" t="inlineStr">
        <is>
          <t>Hồ Chí Minh</t>
        </is>
      </c>
      <c r="G385" t="inlineStr">
        <is>
          <t>Nhân viên</t>
        </is>
      </c>
      <c r="H385" t="inlineStr">
        <is>
          <t>03/02/2026</t>
        </is>
      </c>
      <c r="I385" t="inlineStr">
        <is>
          <t>20/03/2026</t>
        </is>
      </c>
      <c r="J385" t="inlineStr">
        <is>
          <t>17/03/2026</t>
        </is>
      </c>
      <c r="K385" t="inlineStr">
        <is>
          <t>N/A</t>
        </is>
      </c>
      <c r="L385" t="inlineStr">
        <is>
          <t>Digital Marketing, Client Interaction, Campaign Planning, Collaboration, Attention To Detail</t>
        </is>
      </c>
      <c r="M385" t="inlineStr">
        <is>
          <t>Others</t>
        </is>
      </c>
      <c r="N385" s="8">
        <f>HYPERLINK("https://www.vietnamworks.com/account-executive-2009250-jv","Xem chi tiết")</f>
        <v/>
      </c>
    </row>
    <row r="386">
      <c r="B386" s="9" t="n">
        <v>384</v>
      </c>
      <c r="C386" s="10" t="inlineStr">
        <is>
          <t>Software Technical Engineer</t>
        </is>
      </c>
      <c r="D386" s="10" t="inlineStr">
        <is>
          <t>INNORIX VIETNAM</t>
        </is>
      </c>
      <c r="E386" s="10" t="inlineStr">
        <is>
          <t>Thương lượng</t>
        </is>
      </c>
      <c r="F386" s="10" t="inlineStr">
        <is>
          <t>Hồ Chí Minh</t>
        </is>
      </c>
      <c r="G386" s="10" t="inlineStr">
        <is>
          <t>Mới Tốt Nghiệp</t>
        </is>
      </c>
      <c r="H386" s="10" t="inlineStr">
        <is>
          <t>03/02/2026</t>
        </is>
      </c>
      <c r="I386" s="10" t="inlineStr">
        <is>
          <t>20/03/2026</t>
        </is>
      </c>
      <c r="J386" s="10" t="inlineStr">
        <is>
          <t>17/03/2026</t>
        </is>
      </c>
      <c r="K386" s="10" t="inlineStr">
        <is>
          <t>N/A</t>
        </is>
      </c>
      <c r="L386" s="10" t="inlineStr">
        <is>
          <t>English Communicate, Technical Support, IT System Administration, IT Helpdesk, Customer Service</t>
        </is>
      </c>
      <c r="M386" s="10" t="inlineStr">
        <is>
          <t>Others</t>
        </is>
      </c>
      <c r="N386" s="11">
        <f>HYPERLINK("https://www.vietnamworks.com/software-technical-engineer--2009259-jv","Xem chi tiết")</f>
        <v/>
      </c>
      <c r="O386" s="10" t="n"/>
    </row>
    <row r="387">
      <c r="B387" s="7" t="n">
        <v>385</v>
      </c>
      <c r="C387" t="inlineStr">
        <is>
          <t>Robotics Vision Engineer</t>
        </is>
      </c>
      <c r="D387" t="inlineStr">
        <is>
          <t>Apicoo Robotics., JSC</t>
        </is>
      </c>
      <c r="E387" t="inlineStr">
        <is>
          <t>Thương lượng</t>
        </is>
      </c>
      <c r="F387" t="inlineStr">
        <is>
          <t>Hà Nội</t>
        </is>
      </c>
      <c r="G387" t="inlineStr">
        <is>
          <t>Nhân viên</t>
        </is>
      </c>
      <c r="H387" t="inlineStr">
        <is>
          <t>03/02/2026</t>
        </is>
      </c>
      <c r="I387" t="inlineStr">
        <is>
          <t>20/03/2026</t>
        </is>
      </c>
      <c r="J387" t="inlineStr">
        <is>
          <t>17/03/2026</t>
        </is>
      </c>
      <c r="K387" t="inlineStr">
        <is>
          <t>N/A</t>
        </is>
      </c>
      <c r="L387" t="inlineStr">
        <is>
          <t>Python Programming, C/C++ Programming, Computer Vision, Robotics, Deep Learning</t>
        </is>
      </c>
      <c r="M387" t="inlineStr">
        <is>
          <t>Training</t>
        </is>
      </c>
      <c r="N387" s="8">
        <f>HYPERLINK("https://www.vietnamworks.com/robotics-vision-engineer-2009256-jv","Xem chi tiết")</f>
        <v/>
      </c>
    </row>
    <row r="388">
      <c r="B388" s="9" t="n">
        <v>386</v>
      </c>
      <c r="C388" s="10" t="inlineStr">
        <is>
          <t>Merchandising Staff</t>
        </is>
      </c>
      <c r="D388" s="10" t="inlineStr">
        <is>
          <t>Lotte Duty Free</t>
        </is>
      </c>
      <c r="E388" s="10" t="inlineStr">
        <is>
          <t>Thương lượng</t>
        </is>
      </c>
      <c r="F388" s="10" t="inlineStr">
        <is>
          <t>Khánh Hòa</t>
        </is>
      </c>
      <c r="G388" s="10" t="inlineStr">
        <is>
          <t>Nhân viên</t>
        </is>
      </c>
      <c r="H388" s="10" t="inlineStr">
        <is>
          <t>03/02/2026</t>
        </is>
      </c>
      <c r="I388" s="10" t="inlineStr">
        <is>
          <t>20/03/2026</t>
        </is>
      </c>
      <c r="J388" s="10" t="inlineStr">
        <is>
          <t>17/03/2026</t>
        </is>
      </c>
      <c r="K388" s="10" t="inlineStr">
        <is>
          <t>N/A</t>
        </is>
      </c>
      <c r="L388" s="10" t="inlineStr">
        <is>
          <t>Visual Merchandising, Thu Mua, Purchase Management, Merchandising, Communication</t>
        </is>
      </c>
      <c r="M388" s="10" t="inlineStr">
        <is>
          <t>Bonus, Healthcare Plan, Laptop</t>
        </is>
      </c>
      <c r="N388" s="11">
        <f>HYPERLINK("https://www.vietnamworks.com/merchandising-staff--2009258-jv","Xem chi tiết")</f>
        <v/>
      </c>
      <c r="O388" s="10" t="n"/>
    </row>
    <row r="389">
      <c r="B389" s="7" t="n">
        <v>387</v>
      </c>
      <c r="C389" t="inlineStr">
        <is>
          <t>Human Resources Officer (temporary Contract/back-up MTL 8 Months)</t>
        </is>
      </c>
      <c r="D389" t="inlineStr">
        <is>
          <t>Công Ty TNHH Premo Việt Nam</t>
        </is>
      </c>
      <c r="E389" t="inlineStr">
        <is>
          <t>Thương lượng</t>
        </is>
      </c>
      <c r="F389" t="inlineStr">
        <is>
          <t>Quảng Nam</t>
        </is>
      </c>
      <c r="G389" t="inlineStr">
        <is>
          <t>Nhân viên</t>
        </is>
      </c>
      <c r="H389" t="inlineStr">
        <is>
          <t>03/02/2026</t>
        </is>
      </c>
      <c r="I389" t="inlineStr">
        <is>
          <t>20/03/2026</t>
        </is>
      </c>
      <c r="J389" t="inlineStr">
        <is>
          <t>17/03/2026</t>
        </is>
      </c>
      <c r="K389" t="inlineStr">
        <is>
          <t>N/A</t>
        </is>
      </c>
      <c r="L389" t="inlineStr">
        <is>
          <t>Cadena HRM, english skill, Insurance Social Law, Microsoft Office, Time Management</t>
        </is>
      </c>
      <c r="M389" t="inlineStr">
        <is>
          <t>Healthcare Plan, Paid Leave, Training, Team Activities, Transportation, Others</t>
        </is>
      </c>
      <c r="N389" s="8">
        <f>HYPERLINK("https://www.vietnamworks.com/human-resources-officer-temporary-contractback-up-mtl-8-months-2009257-jv","Xem chi tiết")</f>
        <v/>
      </c>
    </row>
    <row r="390">
      <c r="B390" s="9" t="n">
        <v>388</v>
      </c>
      <c r="C390" s="10" t="inlineStr">
        <is>
          <t>Chuyên Viên Truyền Thông Tiếp Thị / MKT Communications Executive</t>
        </is>
      </c>
      <c r="D390" s="10" t="inlineStr">
        <is>
          <t>Công Ty Cổ Phần Chuỗi Thực Phẩm TH</t>
        </is>
      </c>
      <c r="E390" s="10" t="inlineStr">
        <is>
          <t>Thương lượng</t>
        </is>
      </c>
      <c r="F390" s="10" t="inlineStr">
        <is>
          <t>Hà Nội</t>
        </is>
      </c>
      <c r="G390" s="10" t="inlineStr">
        <is>
          <t>Nhân viên</t>
        </is>
      </c>
      <c r="H390" s="10" t="inlineStr">
        <is>
          <t>03/02/2026</t>
        </is>
      </c>
      <c r="I390" s="10" t="inlineStr">
        <is>
          <t>20/03/2026</t>
        </is>
      </c>
      <c r="J390" s="10" t="inlineStr">
        <is>
          <t>17/03/2026</t>
        </is>
      </c>
      <c r="K390" s="10" t="inlineStr">
        <is>
          <t>N/A</t>
        </is>
      </c>
      <c r="L390" s="10" t="inlineStr">
        <is>
          <t>Digital Campaign Execution, marketing excutive, Marketing Campaign Management, Marketing Content, Marketing ATL</t>
        </is>
      </c>
      <c r="M390" s="10" t="inlineStr">
        <is>
          <t>Training</t>
        </is>
      </c>
      <c r="N390" s="11">
        <f>HYPERLINK("https://www.vietnamworks.com/chuyen-vien-truyen-thong-tiep-thi-mkt-communications-executive-2009260-jv","Xem chi tiết")</f>
        <v/>
      </c>
      <c r="O390" s="10" t="n"/>
    </row>
    <row r="391">
      <c r="B391" s="7" t="n">
        <v>389</v>
      </c>
      <c r="C391" t="inlineStr">
        <is>
          <t>Trợ Lý Ban Tổng Giám Đốc (Mảng Khai Thác Cảng/ Depot)</t>
        </is>
      </c>
      <c r="D391" t="inlineStr">
        <is>
          <t>Vietnamworks' Client</t>
        </is>
      </c>
      <c r="E391" t="inlineStr">
        <is>
          <t>Thương lượng</t>
        </is>
      </c>
      <c r="F391" t="inlineStr">
        <is>
          <t>Hồ Chí Minh</t>
        </is>
      </c>
      <c r="G391" t="inlineStr">
        <is>
          <t>Trưởng phòng</t>
        </is>
      </c>
      <c r="H391" t="inlineStr">
        <is>
          <t>03/02/2026</t>
        </is>
      </c>
      <c r="I391" t="inlineStr">
        <is>
          <t>20/03/2026</t>
        </is>
      </c>
      <c r="J391" t="inlineStr">
        <is>
          <t>17/03/2026</t>
        </is>
      </c>
      <c r="K391" t="inlineStr">
        <is>
          <t>N/A</t>
        </is>
      </c>
      <c r="L391" t="inlineStr">
        <is>
          <t>Quản Lý Khai Thác Cảng, Phân tích dữ liệu, Logistics, Tiếng Anh</t>
        </is>
      </c>
      <c r="M391" t="inlineStr">
        <is>
          <t>Bonus, Healthcare Plan, Training, Laptop, Transportation, Others</t>
        </is>
      </c>
      <c r="N391" s="8">
        <f>HYPERLINK("https://www.vietnamworks.com/tro-ly-ban-tong-giam-doc-mang-khai-thac-cang-depot-2009264-jv","Xem chi tiết")</f>
        <v/>
      </c>
    </row>
    <row r="392">
      <c r="B392" s="9" t="n">
        <v>390</v>
      </c>
      <c r="C392" s="10" t="inlineStr">
        <is>
          <t>Quản Lý Dự Án/Assistant Project Manager</t>
        </is>
      </c>
      <c r="D392" s="10" t="inlineStr">
        <is>
          <t>Công ty TNHH RR Donnelley (Bắc Ninh)</t>
        </is>
      </c>
      <c r="E392" s="10" t="inlineStr">
        <is>
          <t>$$ 1,500-2,000 /tháng</t>
        </is>
      </c>
      <c r="F392" s="10" t="inlineStr">
        <is>
          <t>Bắc Ninh</t>
        </is>
      </c>
      <c r="G392" s="10" t="inlineStr">
        <is>
          <t>Trưởng phòng</t>
        </is>
      </c>
      <c r="H392" s="10" t="inlineStr">
        <is>
          <t>03/02/2026</t>
        </is>
      </c>
      <c r="I392" s="10" t="inlineStr">
        <is>
          <t>20/03/2026</t>
        </is>
      </c>
      <c r="J392" s="10" t="inlineStr">
        <is>
          <t>17/03/2026</t>
        </is>
      </c>
      <c r="K392" s="10" t="inlineStr">
        <is>
          <t>N/A</t>
        </is>
      </c>
      <c r="L392" s="10" t="inlineStr">
        <is>
          <t>Kỹ năng giao tiếp, Microsoft Office, Quản Lý Dự Án, Tiếng Trung, Xây Dựng Mối Quan Hệ</t>
        </is>
      </c>
      <c r="M392" s="10" t="inlineStr">
        <is>
          <t>Bonus, Transportation, Canteen</t>
        </is>
      </c>
      <c r="N392" s="11">
        <f>HYPERLINK("https://www.vietnamworks.com/quan-ly-du-anassistant-project-manager-2009262-jv","Xem chi tiết")</f>
        <v/>
      </c>
      <c r="O392" s="10" t="n"/>
    </row>
    <row r="393">
      <c r="B393" s="7" t="n">
        <v>391</v>
      </c>
      <c r="C393" t="inlineStr">
        <is>
          <t>Sales Supervisor</t>
        </is>
      </c>
      <c r="D393" t="inlineStr">
        <is>
          <t>CÔNG TY TNHH MAISA WORLD (VIỆT NAM)</t>
        </is>
      </c>
      <c r="E393" t="inlineStr">
        <is>
          <t>Thương lượng</t>
        </is>
      </c>
      <c r="F393" t="inlineStr">
        <is>
          <t>Hà Nội</t>
        </is>
      </c>
      <c r="G393" t="inlineStr">
        <is>
          <t>Nhân viên</t>
        </is>
      </c>
      <c r="H393" t="inlineStr">
        <is>
          <t>03/02/2026</t>
        </is>
      </c>
      <c r="I393" t="inlineStr">
        <is>
          <t>20/03/2026</t>
        </is>
      </c>
      <c r="J393" t="inlineStr">
        <is>
          <t>17/03/2026</t>
        </is>
      </c>
      <c r="K393" t="inlineStr">
        <is>
          <t>N/A</t>
        </is>
      </c>
      <c r="L393" t="inlineStr">
        <is>
          <t>Communication Skills, Customer Experience Management, Market Research, Sales Management, Sales Planning</t>
        </is>
      </c>
      <c r="M393" t="inlineStr">
        <is>
          <t>Healthcare Plan, Paid Leave, Others</t>
        </is>
      </c>
      <c r="N393" s="8">
        <f>HYPERLINK("https://www.vietnamworks.com/sales-supervisor-2009249-jv","Xem chi tiết")</f>
        <v/>
      </c>
    </row>
    <row r="394">
      <c r="B394" s="9" t="n">
        <v>392</v>
      </c>
      <c r="C394" s="10" t="inlineStr">
        <is>
          <t>Sales Manager (Direct-To-Customer)</t>
        </is>
      </c>
      <c r="D394" s="10" t="inlineStr">
        <is>
          <t>LEAD INTERNATIONAL SUPPLY CHAIN（VIETNAM）CO.LTD.</t>
        </is>
      </c>
      <c r="E394" s="10" t="inlineStr">
        <is>
          <t>$$ 1,000-2,000 /tháng</t>
        </is>
      </c>
      <c r="F394" s="10" t="inlineStr">
        <is>
          <t>Hồ Chí Minh</t>
        </is>
      </c>
      <c r="G394" s="10" t="inlineStr">
        <is>
          <t>Trưởng phòng</t>
        </is>
      </c>
      <c r="H394" s="10" t="inlineStr">
        <is>
          <t>03/02/2026</t>
        </is>
      </c>
      <c r="I394" s="10" t="inlineStr">
        <is>
          <t>20/03/2026</t>
        </is>
      </c>
      <c r="J394" s="10" t="inlineStr">
        <is>
          <t>17/03/2026</t>
        </is>
      </c>
      <c r="K394" s="10" t="inlineStr">
        <is>
          <t>N/A</t>
        </is>
      </c>
      <c r="L394" s="10" t="inlineStr">
        <is>
          <t>Sales &amp; Business Development, Ocean Freight, Shipment Management, Sales Development, Logistics</t>
        </is>
      </c>
      <c r="M394" s="10" t="inlineStr">
        <is>
          <t>Bonus, Healthcare Plan, Others</t>
        </is>
      </c>
      <c r="N394" s="11">
        <f>HYPERLINK("https://www.vietnamworks.com/sales-manager-direct-to-customer--2009274-jv","Xem chi tiết")</f>
        <v/>
      </c>
      <c r="O394" s="10" t="n"/>
    </row>
    <row r="395">
      <c r="B395" s="7" t="n">
        <v>393</v>
      </c>
      <c r="C395" t="inlineStr">
        <is>
          <t>Area Sales Manager - North</t>
        </is>
      </c>
      <c r="D395" t="inlineStr">
        <is>
          <t>Master Martini Vietnam</t>
        </is>
      </c>
      <c r="E395" t="inlineStr">
        <is>
          <t>Thương lượng</t>
        </is>
      </c>
      <c r="F395" t="inlineStr">
        <is>
          <t>Hà Nội</t>
        </is>
      </c>
      <c r="G395" t="inlineStr">
        <is>
          <t>Trưởng phòng</t>
        </is>
      </c>
      <c r="H395" t="inlineStr">
        <is>
          <t>03/02/2026</t>
        </is>
      </c>
      <c r="I395" t="inlineStr">
        <is>
          <t>20/03/2026</t>
        </is>
      </c>
      <c r="J395" t="inlineStr">
        <is>
          <t>17/03/2026</t>
        </is>
      </c>
      <c r="K395" t="inlineStr">
        <is>
          <t>N/A</t>
        </is>
      </c>
      <c r="L395" t="inlineStr">
        <is>
          <t>Communication, Customer Service, Market Development, Sales Management, Team Management</t>
        </is>
      </c>
      <c r="M395" t="inlineStr">
        <is>
          <t>Bonus, Paid Leave, Mobile, Travel Opportunities</t>
        </is>
      </c>
      <c r="N395" s="8">
        <f>HYPERLINK("https://www.vietnamworks.com/area-sales-manager-north-2009266-jv","Xem chi tiết")</f>
        <v/>
      </c>
    </row>
    <row r="396">
      <c r="B396" s="9" t="n">
        <v>394</v>
      </c>
      <c r="C396" s="10" t="inlineStr">
        <is>
          <t>Quality Assurance (BPO, Contact Center, Fixed Nightshift, Up To 24)</t>
        </is>
      </c>
      <c r="D396" s="10" t="inlineStr">
        <is>
          <t>ITECHWX COMPANY LIMITED</t>
        </is>
      </c>
      <c r="E396" s="10" t="inlineStr">
        <is>
          <t>Tới 24tr ₫/tháng</t>
        </is>
      </c>
      <c r="F396" s="10" t="inlineStr">
        <is>
          <t>Hồ Chí Minh</t>
        </is>
      </c>
      <c r="G396" s="10" t="inlineStr">
        <is>
          <t>Nhân viên</t>
        </is>
      </c>
      <c r="H396" s="10" t="inlineStr">
        <is>
          <t>03/02/2026</t>
        </is>
      </c>
      <c r="I396" s="10" t="inlineStr">
        <is>
          <t>20/03/2026</t>
        </is>
      </c>
      <c r="J396" s="10" t="inlineStr">
        <is>
          <t>17/03/2026</t>
        </is>
      </c>
      <c r="K396" s="10" t="inlineStr">
        <is>
          <t>N/A</t>
        </is>
      </c>
      <c r="L396" s="10" t="inlineStr">
        <is>
          <t>BPO, Customer Service Mindset, English Language Proficiency, Quality Assurance, Night Shift Willingness</t>
        </is>
      </c>
      <c r="M396" s="10" t="inlineStr">
        <is>
          <t>Healthcare Plan, Paid Leave, Team Activities, Others</t>
        </is>
      </c>
      <c r="N396" s="11">
        <f>HYPERLINK("https://www.vietnamworks.com/quality-assurance-bpo-contact-center-fixed-nightshift-up-to-24-2009273-jv","Xem chi tiết")</f>
        <v/>
      </c>
      <c r="O396" s="10" t="n"/>
    </row>
    <row r="397">
      <c r="B397" s="7" t="n">
        <v>395</v>
      </c>
      <c r="C397" t="inlineStr">
        <is>
          <t>Chuyên Viên Cao Cấp Marketing (Dược SĨ)</t>
        </is>
      </c>
      <c r="D397" t="inlineStr">
        <is>
          <t>Công ty Cổ Phần Tập Đoàn Merap</t>
        </is>
      </c>
      <c r="E397" t="inlineStr">
        <is>
          <t>$$ 500-1,000 /tháng</t>
        </is>
      </c>
      <c r="F397" t="inlineStr">
        <is>
          <t>Hồ Chí Minh</t>
        </is>
      </c>
      <c r="G397" t="inlineStr">
        <is>
          <t>Nhân viên</t>
        </is>
      </c>
      <c r="H397" t="inlineStr">
        <is>
          <t>03/02/2026</t>
        </is>
      </c>
      <c r="I397" t="inlineStr">
        <is>
          <t>20/03/2026</t>
        </is>
      </c>
      <c r="J397" t="inlineStr">
        <is>
          <t>17/03/2026</t>
        </is>
      </c>
      <c r="K397" t="inlineStr">
        <is>
          <t>N/A</t>
        </is>
      </c>
      <c r="L397" t="inlineStr">
        <is>
          <t>Marketing sản phẩm, Dược Phẩm, Brand Planning, Quản Lý Thương Hiệu, Marketing Campaigns</t>
        </is>
      </c>
      <c r="M397" t="inlineStr">
        <is>
          <t>Bonus, Paid Leave, Travel Opportunities</t>
        </is>
      </c>
      <c r="N397" s="8">
        <f>HYPERLINK("https://www.vietnamworks.com/chuyen-vien-cao-cap-marketing-duoc-si--2009276-jv","Xem chi tiết")</f>
        <v/>
      </c>
    </row>
    <row r="398">
      <c r="B398" s="9" t="n">
        <v>396</v>
      </c>
      <c r="C398" s="10" t="inlineStr">
        <is>
          <t>Kỹ Sư Thiết Kế Mạch Điện Tử (Electronics Circuit Design Engineer)</t>
        </is>
      </c>
      <c r="D398" s="10" t="inlineStr">
        <is>
          <t>CÔNG TY TNHH JCV CORP</t>
        </is>
      </c>
      <c r="E398" s="10" t="inlineStr">
        <is>
          <t>Thương lượng</t>
        </is>
      </c>
      <c r="F398" s="10" t="inlineStr">
        <is>
          <t>Hải Phòng</t>
        </is>
      </c>
      <c r="G398" s="10" t="inlineStr">
        <is>
          <t>Trưởng phòng</t>
        </is>
      </c>
      <c r="H398" s="10" t="inlineStr">
        <is>
          <t>03/02/2026</t>
        </is>
      </c>
      <c r="I398" s="10" t="inlineStr">
        <is>
          <t>20/03/2026</t>
        </is>
      </c>
      <c r="J398" s="10" t="inlineStr">
        <is>
          <t>17/03/2026</t>
        </is>
      </c>
      <c r="K398" s="10" t="inlineStr">
        <is>
          <t>N/A</t>
        </is>
      </c>
      <c r="L398" s="10" t="inlineStr">
        <is>
          <t>OrCAD, Phân Tích Lỗi, Thiết Kế Bo Mạch, Thiết Kế Mạch Điện Tử, Xử Lý Sự Cố</t>
        </is>
      </c>
      <c r="M398" s="10" t="inlineStr">
        <is>
          <t>Bonus, Healthcare Plan, Training, Awards, Team Activities, Canteen, Others</t>
        </is>
      </c>
      <c r="N398" s="11">
        <f>HYPERLINK("https://www.vietnamworks.com/ky-su-thiet-ke-mach-djien-tu-electronics-circuit-design-engineer-2009278-jv","Xem chi tiết")</f>
        <v/>
      </c>
      <c r="O398" s="10" t="n"/>
    </row>
    <row r="399">
      <c r="B399" s="7" t="n">
        <v>397</v>
      </c>
      <c r="C399" t="inlineStr">
        <is>
          <t>Kỹ Sư Quản Lý Sản Xuất</t>
        </is>
      </c>
      <c r="D399" t="inlineStr">
        <is>
          <t>Công Ty CP Tập Đoàn Đầu Tư Việt Phương</t>
        </is>
      </c>
      <c r="E399" t="inlineStr">
        <is>
          <t>Thương lượng</t>
        </is>
      </c>
      <c r="F399" t="inlineStr">
        <is>
          <t>Hà Nội</t>
        </is>
      </c>
      <c r="G399" t="inlineStr">
        <is>
          <t>Nhân viên</t>
        </is>
      </c>
      <c r="H399" t="inlineStr">
        <is>
          <t>03/02/2026</t>
        </is>
      </c>
      <c r="I399" t="inlineStr">
        <is>
          <t>20/03/2026</t>
        </is>
      </c>
      <c r="J399" t="inlineStr">
        <is>
          <t>17/03/2026</t>
        </is>
      </c>
      <c r="K399" t="inlineStr">
        <is>
          <t>N/A</t>
        </is>
      </c>
      <c r="L399" t="inlineStr">
        <is>
          <t>Quản Lý Sản Xuất, Giám Sát Bảo Trì, Kiến Thức Về Silica, Chế Biến Nông Sản, Quản Lý Công Nghiệp</t>
        </is>
      </c>
      <c r="M399" t="inlineStr">
        <is>
          <t>Bonus, Healthcare Plan, Laptop</t>
        </is>
      </c>
      <c r="N399" s="8">
        <f>HYPERLINK("https://www.vietnamworks.com/ky-su-quan-ly-san-xuat-2009272-jv","Xem chi tiết")</f>
        <v/>
      </c>
    </row>
    <row r="400">
      <c r="B400" s="9" t="n">
        <v>398</v>
      </c>
      <c r="C400" s="10" t="inlineStr">
        <is>
          <t>Chuyên viên Báo cáo tuân thủ - Compliance Reporting Officer - Khối Dữ liệu (HO26.27)</t>
        </is>
      </c>
      <c r="D400" s="10" t="inlineStr">
        <is>
          <t>NGÂN HÀNG TMCP QUÂN ĐỘI – MBBANK</t>
        </is>
      </c>
      <c r="E400" s="10" t="inlineStr">
        <is>
          <t>Thương lượng</t>
        </is>
      </c>
      <c r="F400" s="10" t="inlineStr">
        <is>
          <t>Hà Nội</t>
        </is>
      </c>
      <c r="G400" s="10" t="inlineStr">
        <is>
          <t>Nhân viên</t>
        </is>
      </c>
      <c r="H400" s="10" t="inlineStr">
        <is>
          <t>03/02/2026</t>
        </is>
      </c>
      <c r="I400" s="10" t="inlineStr">
        <is>
          <t>20/03/2026</t>
        </is>
      </c>
      <c r="J400" s="10" t="inlineStr">
        <is>
          <t>17/03/2026</t>
        </is>
      </c>
      <c r="K400" s="10" t="inlineStr">
        <is>
          <t>N/A</t>
        </is>
      </c>
      <c r="L400" s="10" t="inlineStr">
        <is>
          <t>Data Visualization, Oracle, Power BI, SQL, Tableau</t>
        </is>
      </c>
      <c r="M400" s="10" t="inlineStr">
        <is>
          <t>Bonus, Healthcare Plan, Paid Leave, Training, Awards, Library, Team Activities</t>
        </is>
      </c>
      <c r="N400" s="11">
        <f>HYPERLINK("https://www.vietnamworks.com/chuyen-vien-bao-cao-tuan-thu-compliance-reporting-officer-khoi-du-lieu-ho26-27-2009281-jv","Xem chi tiết")</f>
        <v/>
      </c>
      <c r="O400" s="10" t="n"/>
    </row>
    <row r="401">
      <c r="B401" s="7" t="n">
        <v>399</v>
      </c>
      <c r="C401" t="inlineStr">
        <is>
          <t>Chuyên viên Quản lý dự án - Project Manager (PM) - Khối Dữ liệu (HO26.28)</t>
        </is>
      </c>
      <c r="D401" t="inlineStr">
        <is>
          <t>NGÂN HÀNG TMCP QUÂN ĐỘI – MBBANK</t>
        </is>
      </c>
      <c r="E401" t="inlineStr">
        <is>
          <t>Thương lượng</t>
        </is>
      </c>
      <c r="F401" t="inlineStr">
        <is>
          <t>Hà Nội</t>
        </is>
      </c>
      <c r="G401" t="inlineStr">
        <is>
          <t>Nhân viên</t>
        </is>
      </c>
      <c r="H401" t="inlineStr">
        <is>
          <t>03/02/2026</t>
        </is>
      </c>
      <c r="I401" t="inlineStr">
        <is>
          <t>20/03/2026</t>
        </is>
      </c>
      <c r="J401" t="inlineStr">
        <is>
          <t>17/03/2026</t>
        </is>
      </c>
      <c r="K401" t="inlineStr">
        <is>
          <t>N/A</t>
        </is>
      </c>
      <c r="L401" t="inlineStr">
        <is>
          <t>BA, Jira, PQA, Project Coordination</t>
        </is>
      </c>
      <c r="M401" t="inlineStr">
        <is>
          <t>Bonus, Healthcare Plan, Paid Leave, Training, Awards, Library, Team Activities</t>
        </is>
      </c>
      <c r="N401" s="8">
        <f>HYPERLINK("https://www.vietnamworks.com/chuyen-vien-quan-ly-du-an-project-manager-pm-khoi-du-lieu-ho26-28-2009279-jv","Xem chi tiết")</f>
        <v/>
      </c>
    </row>
    <row r="402">
      <c r="B402" s="9" t="n">
        <v>400</v>
      </c>
      <c r="C402" s="10" t="inlineStr">
        <is>
          <t>Chuyên Viên Cao Cấp/Chuyên Gia Quản Lý Rủi Ro Hoạt Động - HO - 4H093</t>
        </is>
      </c>
      <c r="D402" s="10" t="inlineStr">
        <is>
          <t>Tập đoàn ROX (ROX Group)</t>
        </is>
      </c>
      <c r="E402" s="10" t="inlineStr">
        <is>
          <t>Thương lượng</t>
        </is>
      </c>
      <c r="F402" s="10" t="inlineStr">
        <is>
          <t>Hà Nội</t>
        </is>
      </c>
      <c r="G402" s="10" t="inlineStr">
        <is>
          <t>Nhân viên</t>
        </is>
      </c>
      <c r="H402" s="10" t="inlineStr">
        <is>
          <t>03/02/2026</t>
        </is>
      </c>
      <c r="I402" s="10" t="inlineStr">
        <is>
          <t>20/03/2026</t>
        </is>
      </c>
      <c r="J402" s="10" t="inlineStr">
        <is>
          <t>17/03/2026</t>
        </is>
      </c>
      <c r="K402" s="10" t="inlineStr">
        <is>
          <t>N/A</t>
        </is>
      </c>
      <c r="L402" s="10" t="inlineStr">
        <is>
          <t>Giao Tiếp Chủ Động, Kiểm Soát Nội Bộ, Kiểm Toán, Phân Tích Dữ Liệu, Quản Lý Rủi Ro</t>
        </is>
      </c>
      <c r="M402" s="10" t="inlineStr">
        <is>
          <t>Bonus, Healthcare Plan, Paid Leave, Training, Laptop, Travel Opportunities, Others</t>
        </is>
      </c>
      <c r="N402" s="11">
        <f>HYPERLINK("https://www.vietnamworks.com/chuyen-vien-cao-capchuyen-gia-quan-ly-rui-ro-hoat-djong-ho-4h093-2009271-jv","Xem chi tiết")</f>
        <v/>
      </c>
      <c r="O402" s="10" t="n"/>
    </row>
    <row r="403">
      <c r="B403" s="7" t="n">
        <v>401</v>
      </c>
      <c r="C403" t="inlineStr">
        <is>
          <t>Chuyên viên cao cấp Bảo mật dữ liệu - Khối Dữ liệu - Senior Data Security - Data Division - Khối Dữ liệu (HO26.25)</t>
        </is>
      </c>
      <c r="D403" t="inlineStr">
        <is>
          <t>NGÂN HÀNG TMCP QUÂN ĐỘI – MBBANK</t>
        </is>
      </c>
      <c r="E403" t="inlineStr">
        <is>
          <t>Thương lượng</t>
        </is>
      </c>
      <c r="F403" t="inlineStr">
        <is>
          <t>Hà Nội</t>
        </is>
      </c>
      <c r="G403" t="inlineStr">
        <is>
          <t>Nhân viên</t>
        </is>
      </c>
      <c r="H403" t="inlineStr">
        <is>
          <t>03/02/2026</t>
        </is>
      </c>
      <c r="I403" t="inlineStr">
        <is>
          <t>20/03/2026</t>
        </is>
      </c>
      <c r="J403" t="inlineStr">
        <is>
          <t>17/03/2026</t>
        </is>
      </c>
      <c r="K403" t="inlineStr">
        <is>
          <t>N/A</t>
        </is>
      </c>
      <c r="L403" t="inlineStr">
        <is>
          <t>Data Masking, Cloud Security, Information security</t>
        </is>
      </c>
      <c r="M403" t="inlineStr">
        <is>
          <t>Bonus, Healthcare Plan, Paid Leave, Training, Awards, Library, Team Activities</t>
        </is>
      </c>
      <c r="N403" s="8">
        <f>HYPERLINK("https://www.vietnamworks.com/chuyen-vien-cao-cap-bao-mat-du-lieu-khoi-du-lieu-senior-data-security-data-division-khoi-du-lieu-ho26-25-2009269-jv","Xem chi tiết")</f>
        <v/>
      </c>
    </row>
    <row r="404">
      <c r="B404" s="9" t="n">
        <v>402</v>
      </c>
      <c r="C404" s="10" t="inlineStr">
        <is>
          <t>Planning Executive</t>
        </is>
      </c>
      <c r="D404" s="10" t="inlineStr">
        <is>
          <t>Asia Chemical Corporation</t>
        </is>
      </c>
      <c r="E404" s="10" t="inlineStr">
        <is>
          <t>Thương lượng</t>
        </is>
      </c>
      <c r="F404" s="10" t="inlineStr">
        <is>
          <t>Hồ Chí Minh</t>
        </is>
      </c>
      <c r="G404" s="10" t="inlineStr">
        <is>
          <t>Nhân viên</t>
        </is>
      </c>
      <c r="H404" s="10" t="inlineStr">
        <is>
          <t>03/02/2026</t>
        </is>
      </c>
      <c r="I404" s="10" t="inlineStr">
        <is>
          <t>20/03/2026</t>
        </is>
      </c>
      <c r="J404" s="10" t="inlineStr">
        <is>
          <t>17/03/2026</t>
        </is>
      </c>
      <c r="K404" s="10" t="inlineStr">
        <is>
          <t>N/A</t>
        </is>
      </c>
      <c r="L404" s="10" t="inlineStr">
        <is>
          <t>Communication Skills, ERP Dynamic, Excel/Word Proficiency, Microsoft Dynamics 365, Planning &amp; controlling</t>
        </is>
      </c>
      <c r="M404" s="10" t="inlineStr">
        <is>
          <t>Bonus, Healthcare Plan, Training, Laptop, Mobile, Travel Opportunities</t>
        </is>
      </c>
      <c r="N404" s="11">
        <f>HYPERLINK("https://www.vietnamworks.com/planning-executive-2009277-jv","Xem chi tiết")</f>
        <v/>
      </c>
      <c r="O404" s="10" t="n"/>
    </row>
    <row r="405">
      <c r="B405" s="7" t="n">
        <v>403</v>
      </c>
      <c r="C405" t="inlineStr">
        <is>
          <t>Chuyên viên Phân tích và thiết kế Mô hình dữ liệu - Data Analyst - Khối Dữ liệu (HO26.29)</t>
        </is>
      </c>
      <c r="D405" t="inlineStr">
        <is>
          <t>NGÂN HÀNG TMCP QUÂN ĐỘI – MBBANK</t>
        </is>
      </c>
      <c r="E405" t="inlineStr">
        <is>
          <t>Thương lượng</t>
        </is>
      </c>
      <c r="F405" t="inlineStr">
        <is>
          <t>Hà Nội</t>
        </is>
      </c>
      <c r="G405" t="inlineStr">
        <is>
          <t>Nhân viên</t>
        </is>
      </c>
      <c r="H405" t="inlineStr">
        <is>
          <t>03/02/2026</t>
        </is>
      </c>
      <c r="I405" t="inlineStr">
        <is>
          <t>20/03/2026</t>
        </is>
      </c>
      <c r="J405" t="inlineStr">
        <is>
          <t>17/03/2026</t>
        </is>
      </c>
      <c r="K405" t="inlineStr">
        <is>
          <t>N/A</t>
        </is>
      </c>
      <c r="L405" t="inlineStr">
        <is>
          <t>Core Banking, DWH, Oracle Database, Power BI, SQL</t>
        </is>
      </c>
      <c r="M405" t="inlineStr">
        <is>
          <t>Bonus, Healthcare Plan, Paid Leave, Training, Awards, Library, Team Activities</t>
        </is>
      </c>
      <c r="N405" s="8">
        <f>HYPERLINK("https://www.vietnamworks.com/chuyen-vien-phan-tich-va-thiet-ke-mo-hinh-du-lieu-data-analyst-khoi-du-lieu-ho26-29-2009282-jv","Xem chi tiết")</f>
        <v/>
      </c>
    </row>
    <row r="406">
      <c r="B406" s="9" t="n">
        <v>404</v>
      </c>
      <c r="C406" s="10" t="inlineStr">
        <is>
          <t>Chuyên viên Cao cấp Kiến trúc Giải pháp Dữ liệu - Data Architect - Khối Dữ liệu (HO26.32)</t>
        </is>
      </c>
      <c r="D406" s="10" t="inlineStr">
        <is>
          <t>NGÂN HÀNG TMCP QUÂN ĐỘI – MBBANK</t>
        </is>
      </c>
      <c r="E406" s="10" t="inlineStr">
        <is>
          <t>Thương lượng</t>
        </is>
      </c>
      <c r="F406" s="10" t="inlineStr">
        <is>
          <t>Hà Nội</t>
        </is>
      </c>
      <c r="G406" s="10" t="inlineStr">
        <is>
          <t>Nhân viên</t>
        </is>
      </c>
      <c r="H406" s="10" t="inlineStr">
        <is>
          <t>03/02/2026</t>
        </is>
      </c>
      <c r="I406" s="10" t="inlineStr">
        <is>
          <t>20/03/2026</t>
        </is>
      </c>
      <c r="J406" s="10" t="inlineStr">
        <is>
          <t>17/03/2026</t>
        </is>
      </c>
      <c r="K406" s="10" t="inlineStr">
        <is>
          <t>N/A</t>
        </is>
      </c>
      <c r="L406" s="10" t="inlineStr">
        <is>
          <t>AWS, Azure, MongoDB, Oracle, PostgreSQL</t>
        </is>
      </c>
      <c r="M406" s="10" t="inlineStr">
        <is>
          <t>Bonus, Healthcare Plan, Paid Leave, Training, Awards, Library, Team Activities</t>
        </is>
      </c>
      <c r="N406" s="11">
        <f>HYPERLINK("https://www.vietnamworks.com/chuyen-vien-cao-cap-kien-truc-giai-phap-du-lieu-data-architect-khoi-du-lieu-ho26-32-2009286-jv","Xem chi tiết")</f>
        <v/>
      </c>
      <c r="O406" s="10" t="n"/>
    </row>
    <row r="407">
      <c r="B407" s="7" t="n">
        <v>405</v>
      </c>
      <c r="C407" t="inlineStr">
        <is>
          <t>Chuyên viên Quản lý chất lượng dữ liệu - Data Quality Management Specialist - Khối Dữ liệu (HO26.26)</t>
        </is>
      </c>
      <c r="D407" t="inlineStr">
        <is>
          <t>NGÂN HÀNG TMCP QUÂN ĐỘI – MBBANK</t>
        </is>
      </c>
      <c r="E407" t="inlineStr">
        <is>
          <t>Thương lượng</t>
        </is>
      </c>
      <c r="F407" t="inlineStr">
        <is>
          <t>Hà Nội</t>
        </is>
      </c>
      <c r="G407" t="inlineStr">
        <is>
          <t>Nhân viên</t>
        </is>
      </c>
      <c r="H407" t="inlineStr">
        <is>
          <t>03/02/2026</t>
        </is>
      </c>
      <c r="I407" t="inlineStr">
        <is>
          <t>20/03/2026</t>
        </is>
      </c>
      <c r="J407" t="inlineStr">
        <is>
          <t>17/03/2026</t>
        </is>
      </c>
      <c r="K407" t="inlineStr">
        <is>
          <t>N/A</t>
        </is>
      </c>
      <c r="L407" t="inlineStr">
        <is>
          <t>Data Governance, Data Policy, Data Quality</t>
        </is>
      </c>
      <c r="M407" t="inlineStr">
        <is>
          <t>Bonus, Healthcare Plan, Paid Leave, Training, Awards, Library, Team Activities</t>
        </is>
      </c>
      <c r="N407" s="8">
        <f>HYPERLINK("https://www.vietnamworks.com/chuyen-vien-quan-ly-chat-luong-du-lieu-data-quality-management-specialist-khoi-du-lieu-ho26-26-2009280-jv","Xem chi tiết")</f>
        <v/>
      </c>
    </row>
    <row r="408">
      <c r="B408" s="9" t="n">
        <v>406</v>
      </c>
      <c r="C408" s="10" t="inlineStr">
        <is>
          <t>Chuyên Viên, Chuyên Viên Cao Cấp Khoa Học Dữ Liệu - Data Scientist - Khối Dữ Liệu (HO26.30)</t>
        </is>
      </c>
      <c r="D408" s="10" t="inlineStr">
        <is>
          <t>NGÂN HÀNG TMCP QUÂN ĐỘI – MBBANK</t>
        </is>
      </c>
      <c r="E408" s="10" t="inlineStr">
        <is>
          <t>Thương lượng</t>
        </is>
      </c>
      <c r="F408" s="10" t="inlineStr">
        <is>
          <t>Hà Nội</t>
        </is>
      </c>
      <c r="G408" s="10" t="inlineStr">
        <is>
          <t>Nhân viên</t>
        </is>
      </c>
      <c r="H408" s="10" t="inlineStr">
        <is>
          <t>03/02/2026</t>
        </is>
      </c>
      <c r="I408" s="10" t="inlineStr">
        <is>
          <t>20/03/2026</t>
        </is>
      </c>
      <c r="J408" s="10" t="inlineStr">
        <is>
          <t>17/03/2026</t>
        </is>
      </c>
      <c r="K408" s="10" t="inlineStr">
        <is>
          <t>N/A</t>
        </is>
      </c>
      <c r="L408" s="10" t="inlineStr">
        <is>
          <t>Data Science, Deep Learning, Keras</t>
        </is>
      </c>
      <c r="M408" s="10" t="inlineStr">
        <is>
          <t>Bonus, Healthcare Plan, Paid Leave, Training, Awards, Library, Team Activities</t>
        </is>
      </c>
      <c r="N408" s="11">
        <f>HYPERLINK("https://www.vietnamworks.com/chuyen-vien-chuyen-vien-cao-cap-khoa-hoc-du-lieu-data-scientist-khoi-du-lieu-ho26-30-2009283-jv","Xem chi tiết")</f>
        <v/>
      </c>
      <c r="O408" s="10" t="n"/>
    </row>
    <row r="409">
      <c r="B409" s="7" t="n">
        <v>407</v>
      </c>
      <c r="C409" t="inlineStr">
        <is>
          <t>Easy Remote Online Tasks English Reading - Large Scale Project - Short Term Period</t>
        </is>
      </c>
      <c r="D409" t="inlineStr">
        <is>
          <t>Ebit</t>
        </is>
      </c>
      <c r="E409" t="inlineStr">
        <is>
          <t>$$ 1,300-1,800 /tháng</t>
        </is>
      </c>
      <c r="F409" t="inlineStr">
        <is>
          <t>An Giang</t>
        </is>
      </c>
      <c r="G409" t="inlineStr">
        <is>
          <t>Mới Tốt Nghiệp</t>
        </is>
      </c>
      <c r="H409" t="inlineStr">
        <is>
          <t>03/02/2026</t>
        </is>
      </c>
      <c r="I409" t="inlineStr">
        <is>
          <t>20/03/2026</t>
        </is>
      </c>
      <c r="J409" t="inlineStr">
        <is>
          <t>17/03/2026</t>
        </is>
      </c>
      <c r="K409" t="inlineStr">
        <is>
          <t>N/A</t>
        </is>
      </c>
      <c r="L409" t="inlineStr">
        <is>
          <t>English Reading, English Writing</t>
        </is>
      </c>
      <c r="M409" t="inlineStr">
        <is>
          <t>Others</t>
        </is>
      </c>
      <c r="N409" s="8">
        <f>HYPERLINK("https://www.vietnamworks.com/easy-remote-online-tasks-english-reading-large-scale-project-short-term-period-2009267-jv","Xem chi tiết")</f>
        <v/>
      </c>
    </row>
    <row r="410">
      <c r="B410" s="9" t="n">
        <v>408</v>
      </c>
      <c r="C410" s="10" t="inlineStr">
        <is>
          <t>Customer Success (Tư Vấn Chăm Sóc Khách Hàng)</t>
        </is>
      </c>
      <c r="D410" s="10" t="inlineStr">
        <is>
          <t>CÔNG TY TNHH ĐẦU TƯ DỊCH VỤ VÀ PHÁT TRIỂN TRẦN GIA</t>
        </is>
      </c>
      <c r="E410" s="10" t="inlineStr">
        <is>
          <t>$$ 460-1,000 /tháng</t>
        </is>
      </c>
      <c r="F410" s="10" t="inlineStr">
        <is>
          <t>Hồ Chí Minh</t>
        </is>
      </c>
      <c r="G410" s="10" t="inlineStr">
        <is>
          <t>Mới Tốt Nghiệp</t>
        </is>
      </c>
      <c r="H410" s="10" t="inlineStr">
        <is>
          <t>03/02/2026</t>
        </is>
      </c>
      <c r="I410" s="10" t="inlineStr">
        <is>
          <t>20/03/2026</t>
        </is>
      </c>
      <c r="J410" s="10" t="inlineStr">
        <is>
          <t>17/03/2026</t>
        </is>
      </c>
      <c r="K410" s="10" t="inlineStr">
        <is>
          <t>N/A</t>
        </is>
      </c>
      <c r="L410" s="10" t="inlineStr">
        <is>
          <t>English</t>
        </is>
      </c>
      <c r="M410" s="10" t="inlineStr">
        <is>
          <t>Bonus, Laptop, Mobile</t>
        </is>
      </c>
      <c r="N410" s="11">
        <f>HYPERLINK("https://www.vietnamworks.com/customer-success-tu-van-cham-soc-khach-hang--2009290-jv","Xem chi tiết")</f>
        <v/>
      </c>
      <c r="O410" s="10" t="n"/>
    </row>
    <row r="411">
      <c r="B411" s="7" t="n">
        <v>409</v>
      </c>
      <c r="C411" t="inlineStr">
        <is>
          <t>Kỹ Sư Dữ Liệu - Data Engineer - Khối Dữ Liệu (HO26.31)</t>
        </is>
      </c>
      <c r="D411" t="inlineStr">
        <is>
          <t>NGÂN HÀNG TMCP QUÂN ĐỘI – MBBANK</t>
        </is>
      </c>
      <c r="E411" t="inlineStr">
        <is>
          <t>Thương lượng</t>
        </is>
      </c>
      <c r="F411" t="inlineStr">
        <is>
          <t>Hà Nội</t>
        </is>
      </c>
      <c r="G411" t="inlineStr">
        <is>
          <t>Nhân viên</t>
        </is>
      </c>
      <c r="H411" t="inlineStr">
        <is>
          <t>03/02/2026</t>
        </is>
      </c>
      <c r="I411" t="inlineStr">
        <is>
          <t>20/03/2026</t>
        </is>
      </c>
      <c r="J411" t="inlineStr">
        <is>
          <t>17/03/2026</t>
        </is>
      </c>
      <c r="K411" t="inlineStr">
        <is>
          <t>N/A</t>
        </is>
      </c>
      <c r="L411" t="inlineStr">
        <is>
          <t>Cloud Security, Data Governance</t>
        </is>
      </c>
      <c r="M411" t="inlineStr">
        <is>
          <t>Bonus, Healthcare Plan, Paid Leave, Training, Awards, Library, Team Activities</t>
        </is>
      </c>
      <c r="N411" s="8">
        <f>HYPERLINK("https://www.vietnamworks.com/ky-su-du-lieu-data-engineer-khoi-du-lieu-ho26-31-2009284-jv","Xem chi tiết")</f>
        <v/>
      </c>
    </row>
    <row r="412">
      <c r="B412" s="9" t="n">
        <v>410</v>
      </c>
      <c r="C412" s="10" t="inlineStr">
        <is>
          <t>Chuyên viên Tuyển dụng - Talent Acquisition - Khối Tổ chức Nhân sự (HO26.33)</t>
        </is>
      </c>
      <c r="D412" s="10" t="inlineStr">
        <is>
          <t>NGÂN HÀNG TMCP QUÂN ĐỘI – MBBANK</t>
        </is>
      </c>
      <c r="E412" s="10" t="inlineStr">
        <is>
          <t>Thương lượng</t>
        </is>
      </c>
      <c r="F412" s="10" t="inlineStr">
        <is>
          <t>Hà Nội</t>
        </is>
      </c>
      <c r="G412" s="10" t="inlineStr">
        <is>
          <t>Nhân viên</t>
        </is>
      </c>
      <c r="H412" s="10" t="inlineStr">
        <is>
          <t>03/02/2026</t>
        </is>
      </c>
      <c r="I412" s="10" t="inlineStr">
        <is>
          <t>20/03/2026</t>
        </is>
      </c>
      <c r="J412" s="10" t="inlineStr">
        <is>
          <t>17/03/2026</t>
        </is>
      </c>
      <c r="K412" s="10" t="inlineStr">
        <is>
          <t>N/A</t>
        </is>
      </c>
      <c r="L412" s="10" t="inlineStr">
        <is>
          <t>Job Evaluation, HR Digitalization, HRBP, Sourcing &amp; Hunting , Talent Management</t>
        </is>
      </c>
      <c r="M412" s="10" t="inlineStr">
        <is>
          <t>Bonus, Healthcare Plan, Paid Leave, Training, Awards, Library, Team Activities</t>
        </is>
      </c>
      <c r="N412" s="11">
        <f>HYPERLINK("https://www.vietnamworks.com/chuyen-vien-tuyen-dung-talent-acquisition-khoi-to-chuc-nhan-su-ho26-33-2009285-jv","Xem chi tiết")</f>
        <v/>
      </c>
      <c r="O412" s="10" t="n"/>
    </row>
    <row r="413">
      <c r="B413" s="7" t="n">
        <v>411</v>
      </c>
      <c r="C413" t="inlineStr">
        <is>
          <t>Electrical &amp; Automation Technician (Vung Tau Brewery)</t>
        </is>
      </c>
      <c r="D413" t="inlineStr">
        <is>
          <t>HEINEKEN Vietnam</t>
        </is>
      </c>
      <c r="E413" t="inlineStr">
        <is>
          <t>Thương lượng</t>
        </is>
      </c>
      <c r="F413" t="inlineStr">
        <is>
          <t>Bà Rịa - Vũng Tàu</t>
        </is>
      </c>
      <c r="G413" t="inlineStr">
        <is>
          <t>Mới Tốt Nghiệp</t>
        </is>
      </c>
      <c r="H413" t="inlineStr">
        <is>
          <t>03/02/2026</t>
        </is>
      </c>
      <c r="I413" t="inlineStr">
        <is>
          <t>20/03/2026</t>
        </is>
      </c>
      <c r="J413" t="inlineStr">
        <is>
          <t>17/03/2026</t>
        </is>
      </c>
      <c r="K413" t="inlineStr">
        <is>
          <t>N/A</t>
        </is>
      </c>
      <c r="L413" t="inlineStr">
        <is>
          <t>Automation, Mechatronics, Bảo Trì</t>
        </is>
      </c>
      <c r="M413" t="inlineStr">
        <is>
          <t>Healthcare Plan, Paid Leave, Canteen</t>
        </is>
      </c>
      <c r="N413" s="8">
        <f>HYPERLINK("https://www.vietnamworks.com/electrical-automation-technician-vung-tau-brewery--2009293-jv","Xem chi tiết")</f>
        <v/>
      </c>
    </row>
    <row r="414">
      <c r="B414" s="9" t="n">
        <v>412</v>
      </c>
      <c r="C414" s="10" t="inlineStr">
        <is>
          <t>Overseas Business Development</t>
        </is>
      </c>
      <c r="D414" s="10" t="inlineStr">
        <is>
          <t>LEAD INTERNATIONAL SUPPLY CHAIN（VIETNAM）CO.LTD.</t>
        </is>
      </c>
      <c r="E414" s="10" t="inlineStr">
        <is>
          <t>Thương lượng</t>
        </is>
      </c>
      <c r="F414" s="10" t="inlineStr">
        <is>
          <t>Hồ Chí Minh</t>
        </is>
      </c>
      <c r="G414" s="10" t="inlineStr">
        <is>
          <t>Nhân viên</t>
        </is>
      </c>
      <c r="H414" s="10" t="inlineStr">
        <is>
          <t>03/02/2026</t>
        </is>
      </c>
      <c r="I414" s="10" t="inlineStr">
        <is>
          <t>20/03/2026</t>
        </is>
      </c>
      <c r="J414" s="10" t="inlineStr">
        <is>
          <t>17/03/2026</t>
        </is>
      </c>
      <c r="K414" s="10" t="inlineStr">
        <is>
          <t>N/A</t>
        </is>
      </c>
      <c r="L414" s="10" t="inlineStr">
        <is>
          <t>Analytical Skills, development, Nhân viên kinh doanh, Bussiness Development, Sales</t>
        </is>
      </c>
      <c r="M414" s="10" t="inlineStr">
        <is>
          <t>Bonus, Healthcare Plan, Others</t>
        </is>
      </c>
      <c r="N414" s="11">
        <f>HYPERLINK("https://www.vietnamworks.com/overseas-business-development--2009294-jv","Xem chi tiết")</f>
        <v/>
      </c>
      <c r="O414" s="10" t="n"/>
    </row>
    <row r="415">
      <c r="B415" s="7" t="n">
        <v>413</v>
      </c>
      <c r="C415" t="inlineStr">
        <is>
          <t>Accountant (English/ Chinese)</t>
        </is>
      </c>
      <c r="D415" t="inlineStr">
        <is>
          <t>FOTON VIETNAM VEHICLE COMPANY LIMITED</t>
        </is>
      </c>
      <c r="E415" t="inlineStr">
        <is>
          <t>Thương lượng</t>
        </is>
      </c>
      <c r="F415" t="inlineStr">
        <is>
          <t>Hồ Chí Minh</t>
        </is>
      </c>
      <c r="G415" t="inlineStr">
        <is>
          <t>Nhân viên</t>
        </is>
      </c>
      <c r="H415" t="inlineStr">
        <is>
          <t>03/02/2026</t>
        </is>
      </c>
      <c r="I415" t="inlineStr">
        <is>
          <t>20/03/2026</t>
        </is>
      </c>
      <c r="J415" t="inlineStr">
        <is>
          <t>17/03/2026</t>
        </is>
      </c>
      <c r="K415" t="inlineStr">
        <is>
          <t>N/A</t>
        </is>
      </c>
      <c r="L415" t="inlineStr">
        <is>
          <t>Tax Regulation, English, Financial Statement, Tax Declaration, VAT Invoices</t>
        </is>
      </c>
      <c r="M415" t="inlineStr">
        <is>
          <t>Bonus, Healthcare Plan, Paid Leave, Others</t>
        </is>
      </c>
      <c r="N415" s="8">
        <f>HYPERLINK("https://www.vietnamworks.com/accountant-english-chinese-2009320-jv","Xem chi tiết")</f>
        <v/>
      </c>
    </row>
    <row r="416">
      <c r="B416" s="9" t="n">
        <v>414</v>
      </c>
      <c r="C416" s="10" t="inlineStr">
        <is>
          <t>Kế Toán Trưởng - NGÀNH TIÊU DÙNG</t>
        </is>
      </c>
      <c r="D416" s="10" t="inlineStr">
        <is>
          <t>Công ty TNHH WEPRO</t>
        </is>
      </c>
      <c r="E416" s="10" t="inlineStr">
        <is>
          <t>20tr-25tr ₫/tháng</t>
        </is>
      </c>
      <c r="F416" s="10" t="inlineStr">
        <is>
          <t>Hồ Chí Minh</t>
        </is>
      </c>
      <c r="G416" s="10" t="inlineStr">
        <is>
          <t>Trưởng phòng</t>
        </is>
      </c>
      <c r="H416" s="10" t="inlineStr">
        <is>
          <t>03/02/2026</t>
        </is>
      </c>
      <c r="I416" s="10" t="inlineStr">
        <is>
          <t>20/03/2026</t>
        </is>
      </c>
      <c r="J416" s="10" t="inlineStr">
        <is>
          <t>17/03/2026</t>
        </is>
      </c>
      <c r="K416" s="10" t="inlineStr">
        <is>
          <t>N/A</t>
        </is>
      </c>
      <c r="L416" s="10" t="inlineStr">
        <is>
          <t>Báo Cáo Tài Chính, Giao Tiếp, Kế Toán, Kiểm Soát Chi Phí, Phân Tích Tài Chính</t>
        </is>
      </c>
      <c r="M416" s="10" t="inlineStr">
        <is>
          <t>Bonus, Healthcare Plan, Training, Laptop</t>
        </is>
      </c>
      <c r="N416" s="11">
        <f>HYPERLINK("https://www.vietnamworks.com/ke-toan-truong-nganh-tieu-dung-2009312-jv","Xem chi tiết")</f>
        <v/>
      </c>
      <c r="O416" s="10" t="n"/>
    </row>
    <row r="417">
      <c r="B417" s="7" t="n">
        <v>415</v>
      </c>
      <c r="C417" t="inlineStr">
        <is>
          <t>Trưởng Phòng Tổ Chức Vận Hành Giám Sát Camera</t>
        </is>
      </c>
      <c r="D417" t="inlineStr">
        <is>
          <t>Công Ty Cổ Phần Tổng Công Ty Nova Service</t>
        </is>
      </c>
      <c r="E417" t="inlineStr">
        <is>
          <t>Thương lượng</t>
        </is>
      </c>
      <c r="F417" t="inlineStr">
        <is>
          <t>Hồ Chí Minh</t>
        </is>
      </c>
      <c r="G417" t="inlineStr">
        <is>
          <t>Trưởng phòng</t>
        </is>
      </c>
      <c r="H417" t="inlineStr">
        <is>
          <t>03/02/2026</t>
        </is>
      </c>
      <c r="I417" t="inlineStr">
        <is>
          <t>20/03/2026</t>
        </is>
      </c>
      <c r="J417" t="inlineStr">
        <is>
          <t>17/03/2026</t>
        </is>
      </c>
      <c r="K417" t="inlineStr">
        <is>
          <t>N/A</t>
        </is>
      </c>
      <c r="L417" t="inlineStr">
        <is>
          <t>Camera System, Camera Operator</t>
        </is>
      </c>
      <c r="M417" t="inlineStr">
        <is>
          <t>Bonus, Paid Leave, Training</t>
        </is>
      </c>
      <c r="N417" s="8">
        <f>HYPERLINK("https://www.vietnamworks.com/truong-phong-to-chuc-van-hanh-giam-sat-camera-2009310-jv","Xem chi tiết")</f>
        <v/>
      </c>
    </row>
    <row r="418">
      <c r="B418" s="9" t="n">
        <v>416</v>
      </c>
      <c r="C418" s="10" t="inlineStr">
        <is>
          <t>Admin Officer - VSIP 2 Binh Duong</t>
        </is>
      </c>
      <c r="D418" s="10" t="inlineStr">
        <is>
          <t>Hoya Lens Vietnam LTD</t>
        </is>
      </c>
      <c r="E418" s="10" t="inlineStr">
        <is>
          <t>Thương lượng</t>
        </is>
      </c>
      <c r="F418" s="10" t="inlineStr">
        <is>
          <t>Bình Dương</t>
        </is>
      </c>
      <c r="G418" s="10" t="inlineStr">
        <is>
          <t>Mới Tốt Nghiệp</t>
        </is>
      </c>
      <c r="H418" s="10" t="inlineStr">
        <is>
          <t>03/02/2026</t>
        </is>
      </c>
      <c r="I418" s="10" t="inlineStr">
        <is>
          <t>20/03/2026</t>
        </is>
      </c>
      <c r="J418" s="10" t="inlineStr">
        <is>
          <t>17/03/2026</t>
        </is>
      </c>
      <c r="K418" s="10" t="inlineStr">
        <is>
          <t>N/A</t>
        </is>
      </c>
      <c r="L418" s="10" t="inlineStr">
        <is>
          <t>Administration, Admin</t>
        </is>
      </c>
      <c r="M418" s="10" t="inlineStr">
        <is>
          <t>Bonus, Transportation, Others</t>
        </is>
      </c>
      <c r="N418" s="11">
        <f>HYPERLINK("https://www.vietnamworks.com/admin-officer-vsip-2-binh-duong-2009313-jv","Xem chi tiết")</f>
        <v/>
      </c>
      <c r="O418" s="10" t="n"/>
    </row>
    <row r="419">
      <c r="B419" s="7" t="n">
        <v>417</v>
      </c>
      <c r="C419" t="inlineStr">
        <is>
          <t>Kế Toán Trưởng (Chief Accountant)</t>
        </is>
      </c>
      <c r="D419" t="inlineStr">
        <is>
          <t>Công Ty TNHH Đầu Tư - Dịch Vụ HumVentures</t>
        </is>
      </c>
      <c r="E419" t="inlineStr">
        <is>
          <t>Thương lượng</t>
        </is>
      </c>
      <c r="F419" t="inlineStr">
        <is>
          <t>Hồ Chí Minh</t>
        </is>
      </c>
      <c r="G419" t="inlineStr">
        <is>
          <t>Trưởng phòng</t>
        </is>
      </c>
      <c r="H419" t="inlineStr">
        <is>
          <t>03/02/2026</t>
        </is>
      </c>
      <c r="I419" t="inlineStr">
        <is>
          <t>20/03/2026</t>
        </is>
      </c>
      <c r="J419" t="inlineStr">
        <is>
          <t>17/03/2026</t>
        </is>
      </c>
      <c r="K419" t="inlineStr">
        <is>
          <t>N/A</t>
        </is>
      </c>
      <c r="L419" t="inlineStr">
        <is>
          <t>Accounting knowledge, Accounting Software, Account Planning</t>
        </is>
      </c>
      <c r="M419" t="inlineStr">
        <is>
          <t>Bonus, Training, Others</t>
        </is>
      </c>
      <c r="N419" s="8">
        <f>HYPERLINK("https://www.vietnamworks.com/ke-toan-truong-chief-accountant--2009314-jv","Xem chi tiết")</f>
        <v/>
      </c>
    </row>
    <row r="420">
      <c r="B420" s="9" t="n">
        <v>418</v>
      </c>
      <c r="C420" s="10" t="inlineStr">
        <is>
          <t>Nhân Viên Quản Lý Dữ Liệu Tiếng Anh Tốt - Master Data</t>
        </is>
      </c>
      <c r="D420" s="10" t="inlineStr">
        <is>
          <t>Công ty TNHH Julie Sandlau Việt Nam</t>
        </is>
      </c>
      <c r="E420" s="10" t="inlineStr">
        <is>
          <t>$$ 500-900 /tháng</t>
        </is>
      </c>
      <c r="F420" s="10" t="inlineStr">
        <is>
          <t>Hà Nội</t>
        </is>
      </c>
      <c r="G420" s="10" t="inlineStr">
        <is>
          <t>Nhân viên</t>
        </is>
      </c>
      <c r="H420" s="10" t="inlineStr">
        <is>
          <t>03/02/2026</t>
        </is>
      </c>
      <c r="I420" s="10" t="inlineStr">
        <is>
          <t>20/03/2026</t>
        </is>
      </c>
      <c r="J420" s="10" t="inlineStr">
        <is>
          <t>17/03/2026</t>
        </is>
      </c>
      <c r="K420" s="10" t="inlineStr">
        <is>
          <t>N/A</t>
        </is>
      </c>
      <c r="L420" s="10" t="inlineStr">
        <is>
          <t>English, Database Administration, Microsoft Office Proficiency, Excel, ERP</t>
        </is>
      </c>
      <c r="M420" s="10" t="inlineStr">
        <is>
          <t>Bonus, Healthcare Plan, Others</t>
        </is>
      </c>
      <c r="N420" s="11">
        <f>HYPERLINK("https://www.vietnamworks.com/nhan-vien-quan-ly-du-lieu-tieng-anh-tot-master-data-2009324-jv","Xem chi tiết")</f>
        <v/>
      </c>
      <c r="O420" s="10" t="n"/>
    </row>
    <row r="421">
      <c r="B421" s="7" t="n">
        <v>419</v>
      </c>
      <c r="C421" t="inlineStr">
        <is>
          <t>Technical Manager</t>
        </is>
      </c>
      <c r="D421" t="inlineStr">
        <is>
          <t>Công ty TNHH công nghiệp Vĩnh Tường miền bắc Việt Nam</t>
        </is>
      </c>
      <c r="E421" t="inlineStr">
        <is>
          <t>Thương lượng</t>
        </is>
      </c>
      <c r="F421" t="inlineStr">
        <is>
          <t>Hà Nội</t>
        </is>
      </c>
      <c r="G421" t="inlineStr">
        <is>
          <t>Trưởng phòng</t>
        </is>
      </c>
      <c r="H421" t="inlineStr">
        <is>
          <t>03/02/2026</t>
        </is>
      </c>
      <c r="I421" t="inlineStr">
        <is>
          <t>20/03/2026</t>
        </is>
      </c>
      <c r="J421" t="inlineStr">
        <is>
          <t>17/03/2026</t>
        </is>
      </c>
      <c r="K421" t="inlineStr">
        <is>
          <t>N/A</t>
        </is>
      </c>
      <c r="L421" t="inlineStr">
        <is>
          <t>Technical Management, Construction Material, Construction Knowledge</t>
        </is>
      </c>
      <c r="M421" t="inlineStr">
        <is>
          <t>Healthcare Plan, Training, Laptop</t>
        </is>
      </c>
      <c r="N421" s="8">
        <f>HYPERLINK("https://www.vietnamworks.com/technical-manager--2009306-jv","Xem chi tiết")</f>
        <v/>
      </c>
    </row>
    <row r="422">
      <c r="B422" s="9" t="n">
        <v>420</v>
      </c>
      <c r="C422" s="10" t="inlineStr">
        <is>
          <t>[HO] AML Transaction Mornitoring</t>
        </is>
      </c>
      <c r="D422" s="10" t="inlineStr">
        <is>
          <t>Shinhan Bank Vietnam</t>
        </is>
      </c>
      <c r="E422" s="10" t="inlineStr">
        <is>
          <t>Thương lượng</t>
        </is>
      </c>
      <c r="F422" s="10" t="inlineStr">
        <is>
          <t>Hồ Chí Minh</t>
        </is>
      </c>
      <c r="G422" s="10" t="inlineStr">
        <is>
          <t>Nhân viên</t>
        </is>
      </c>
      <c r="H422" s="10" t="inlineStr">
        <is>
          <t>03/02/2026</t>
        </is>
      </c>
      <c r="I422" s="10" t="inlineStr">
        <is>
          <t>20/03/2026</t>
        </is>
      </c>
      <c r="J422" s="10" t="inlineStr">
        <is>
          <t>17/03/2026</t>
        </is>
      </c>
      <c r="K422" s="10" t="inlineStr">
        <is>
          <t>N/A</t>
        </is>
      </c>
      <c r="L422" s="10" t="inlineStr">
        <is>
          <t>Risk Control, Legal Compliance, Kiểm Soát Tuân Thủ, Quản Trị Tuân Thủ, Financial Control</t>
        </is>
      </c>
      <c r="M422" s="10" t="inlineStr">
        <is>
          <t>Healthcare Plan, Paid Leave</t>
        </is>
      </c>
      <c r="N422" s="11">
        <f>HYPERLINK("https://www.vietnamworks.com/ho-aml-transaction-mornitoring--2009318-jv","Xem chi tiết")</f>
        <v/>
      </c>
      <c r="O422" s="10" t="n"/>
    </row>
    <row r="423">
      <c r="B423" s="7" t="n">
        <v>421</v>
      </c>
      <c r="C423" t="inlineStr">
        <is>
          <t>Chuyên Viên Tiếng Anh Phòng Chăm Sóc Khách Hàng</t>
        </is>
      </c>
      <c r="D423" t="inlineStr">
        <is>
          <t>Công Ty TNHH Điện Tử Meiko Việt Nam (MKVC)</t>
        </is>
      </c>
      <c r="E423" t="inlineStr">
        <is>
          <t>Thương lượng</t>
        </is>
      </c>
      <c r="F423" t="inlineStr">
        <is>
          <t>Hà Nội</t>
        </is>
      </c>
      <c r="G423" t="inlineStr">
        <is>
          <t>Nhân viên</t>
        </is>
      </c>
      <c r="H423" t="inlineStr">
        <is>
          <t>03/02/2026</t>
        </is>
      </c>
      <c r="I423" t="inlineStr">
        <is>
          <t>20/03/2026</t>
        </is>
      </c>
      <c r="J423" t="inlineStr">
        <is>
          <t>17/03/2026</t>
        </is>
      </c>
      <c r="K423" t="inlineStr">
        <is>
          <t>N/A</t>
        </is>
      </c>
      <c r="L423" t="inlineStr">
        <is>
          <t>Giải Quyết Vấn Đề, Kỹ năng giao tiếp, Lập Kế Hoạch, Tiếng Anh, Tư Duy Logic</t>
        </is>
      </c>
      <c r="M423" t="inlineStr">
        <is>
          <t>Bonus, Paid Leave, Training, Transportation, Others</t>
        </is>
      </c>
      <c r="N423" s="8">
        <f>HYPERLINK("https://www.vietnamworks.com/chuyen-vien-tieng-anh-phong-cham-soc-khach-hang-2009296-jv","Xem chi tiết")</f>
        <v/>
      </c>
    </row>
    <row r="424">
      <c r="B424" s="9" t="n">
        <v>422</v>
      </c>
      <c r="C424" s="10" t="inlineStr">
        <is>
          <t>Phó Giám Đốc Đầu Tư</t>
        </is>
      </c>
      <c r="D424" s="10" t="inlineStr">
        <is>
          <t>Tổng Công ty Du lịch Sài Gòn - TNHH MTV</t>
        </is>
      </c>
      <c r="E424" s="10" t="inlineStr">
        <is>
          <t>Thương lượng</t>
        </is>
      </c>
      <c r="F424" s="10" t="inlineStr">
        <is>
          <t>Hồ Chí Minh</t>
        </is>
      </c>
      <c r="G424" s="10" t="inlineStr">
        <is>
          <t>Trưởng phòng</t>
        </is>
      </c>
      <c r="H424" s="10" t="inlineStr">
        <is>
          <t>03/02/2026</t>
        </is>
      </c>
      <c r="I424" s="10" t="inlineStr">
        <is>
          <t>20/03/2026</t>
        </is>
      </c>
      <c r="J424" s="10" t="inlineStr">
        <is>
          <t>17/03/2026</t>
        </is>
      </c>
      <c r="K424" s="10" t="inlineStr">
        <is>
          <t>N/A</t>
        </is>
      </c>
      <c r="L424" s="10" t="inlineStr">
        <is>
          <t>Chiến Lược Đầu Tư, Tài Chính</t>
        </is>
      </c>
      <c r="M424" s="10" t="inlineStr">
        <is>
          <t>Healthcare Plan, Paid Leave, Others</t>
        </is>
      </c>
      <c r="N424" s="11">
        <f>HYPERLINK("https://www.vietnamworks.com/pho-giam-djoc-djau-tu-2009316-jv","Xem chi tiết")</f>
        <v/>
      </c>
      <c r="O424" s="10" t="n"/>
    </row>
    <row r="425">
      <c r="B425" s="7" t="n">
        <v>423</v>
      </c>
      <c r="C425" t="inlineStr">
        <is>
          <t>[CT0006] Chuyên Viên Digital Marketing</t>
        </is>
      </c>
      <c r="D425" t="inlineStr">
        <is>
          <t>Công Ty Cổ Phần Chứng Khoán MB</t>
        </is>
      </c>
      <c r="E425" t="inlineStr">
        <is>
          <t>Thương lượng</t>
        </is>
      </c>
      <c r="F425" t="inlineStr">
        <is>
          <t>Hà Nội</t>
        </is>
      </c>
      <c r="G425" t="inlineStr">
        <is>
          <t>Nhân viên</t>
        </is>
      </c>
      <c r="H425" t="inlineStr">
        <is>
          <t>03/02/2026</t>
        </is>
      </c>
      <c r="I425" t="inlineStr">
        <is>
          <t>20/03/2026</t>
        </is>
      </c>
      <c r="J425" t="inlineStr">
        <is>
          <t>17/03/2026</t>
        </is>
      </c>
      <c r="K425" t="inlineStr">
        <is>
          <t>N/A</t>
        </is>
      </c>
      <c r="L425" t="inlineStr">
        <is>
          <t>Tiếng Anh, Excel, Nghiên Cứu Xu Hướng, Quản Lý Trải Nghiệm Khách Hàng, Tài Chính Ngân Hàng</t>
        </is>
      </c>
      <c r="M425" t="inlineStr">
        <is>
          <t>Bonus, Healthcare Plan, Training, Team Activities, Others</t>
        </is>
      </c>
      <c r="N425" s="8">
        <f>HYPERLINK("https://www.vietnamworks.com/ct0006-chuyen-vien-digital-marketing-2009304-jv","Xem chi tiết")</f>
        <v/>
      </c>
    </row>
    <row r="426">
      <c r="B426" s="9" t="n">
        <v>424</v>
      </c>
      <c r="C426" s="10" t="inlineStr">
        <is>
          <t>Chuyên viên Hỗ trợ - CN. Long Thành (CN26.01)</t>
        </is>
      </c>
      <c r="D426" s="10" t="inlineStr">
        <is>
          <t>NGÂN HÀNG TMCP QUÂN ĐỘI – MBBANK</t>
        </is>
      </c>
      <c r="E426" s="10" t="inlineStr">
        <is>
          <t>Thương lượng</t>
        </is>
      </c>
      <c r="F426" s="10" t="inlineStr">
        <is>
          <t>Đồng Nai</t>
        </is>
      </c>
      <c r="G426" s="10" t="inlineStr">
        <is>
          <t>Mới Tốt Nghiệp</t>
        </is>
      </c>
      <c r="H426" s="10" t="inlineStr">
        <is>
          <t>03/02/2026</t>
        </is>
      </c>
      <c r="I426" s="10" t="inlineStr">
        <is>
          <t>20/03/2026</t>
        </is>
      </c>
      <c r="J426" s="10" t="inlineStr">
        <is>
          <t>17/03/2026</t>
        </is>
      </c>
      <c r="K426" s="10" t="inlineStr">
        <is>
          <t>N/A</t>
        </is>
      </c>
      <c r="L426" s="10" t="inlineStr">
        <is>
          <t>Banking, Dịch Vụ Ngân Hàng, Quản Lý Hồ Sơ, Tài Chính, Tín dụng</t>
        </is>
      </c>
      <c r="M426" s="10" t="inlineStr">
        <is>
          <t>Bonus, Healthcare Plan, Paid Leave, Training, Awards, Library, Team Activities</t>
        </is>
      </c>
      <c r="N426" s="11">
        <f>HYPERLINK("https://www.vietnamworks.com/chuyen-vien-ho-tro-cn-long-thanh-cn26-01-2009315-jv","Xem chi tiết")</f>
        <v/>
      </c>
      <c r="O426" s="10" t="n"/>
    </row>
    <row r="427">
      <c r="B427" s="7" t="n">
        <v>425</v>
      </c>
      <c r="C427" t="inlineStr">
        <is>
          <t>Trưởng Phòng Kinh Doanh (Đà Nẵng/ Huế)</t>
        </is>
      </c>
      <c r="D427" t="inlineStr">
        <is>
          <t>Công Ty Cổ Phần Nhựa Thiếu Niên Tiền Phong Phía Nam</t>
        </is>
      </c>
      <c r="E427" t="inlineStr">
        <is>
          <t>Thương lượng</t>
        </is>
      </c>
      <c r="F427" t="inlineStr">
        <is>
          <t>Thừa Thiên Huế, Đà Nẵng</t>
        </is>
      </c>
      <c r="G427" t="inlineStr">
        <is>
          <t>Trưởng phòng</t>
        </is>
      </c>
      <c r="H427" t="inlineStr">
        <is>
          <t>03/02/2026</t>
        </is>
      </c>
      <c r="I427" t="inlineStr">
        <is>
          <t>20/03/2026</t>
        </is>
      </c>
      <c r="J427" t="inlineStr">
        <is>
          <t>17/03/2026</t>
        </is>
      </c>
      <c r="K427" t="inlineStr">
        <is>
          <t>N/A</t>
        </is>
      </c>
      <c r="L427" t="inlineStr">
        <is>
          <t>Kinh Doanh, Giám Sát Kinh Doanh, Giám Sát Thị Trường, Bán hàng &amp; Chăm sóc khách hàng, Vật liệu xây dựng</t>
        </is>
      </c>
      <c r="M427" t="inlineStr">
        <is>
          <t>Bonus, Healthcare Plan, Paid Leave, Training, Mobile, Travel Opportunities, Kindergarten, Others</t>
        </is>
      </c>
      <c r="N427" s="8">
        <f>HYPERLINK("https://www.vietnamworks.com/truong-phong-kinh-doanh-dja-nang-hue-2009317-jv","Xem chi tiết")</f>
        <v/>
      </c>
    </row>
    <row r="428">
      <c r="B428" s="9" t="n">
        <v>426</v>
      </c>
      <c r="C428" s="10" t="inlineStr">
        <is>
          <t>Chuyên Viên Tiếng Anh Phòng Sale</t>
        </is>
      </c>
      <c r="D428" s="10" t="inlineStr">
        <is>
          <t>Công Ty TNHH Điện Tử Meiko Việt Nam (MKVC)</t>
        </is>
      </c>
      <c r="E428" s="10" t="inlineStr">
        <is>
          <t>Thương lượng</t>
        </is>
      </c>
      <c r="F428" s="10" t="inlineStr">
        <is>
          <t>Hà Nội</t>
        </is>
      </c>
      <c r="G428" s="10" t="inlineStr">
        <is>
          <t>Nhân viên</t>
        </is>
      </c>
      <c r="H428" s="10" t="inlineStr">
        <is>
          <t>03/02/2026</t>
        </is>
      </c>
      <c r="I428" s="10" t="inlineStr">
        <is>
          <t>20/03/2026</t>
        </is>
      </c>
      <c r="J428" s="10" t="inlineStr">
        <is>
          <t>17/03/2026</t>
        </is>
      </c>
      <c r="K428" s="10" t="inlineStr">
        <is>
          <t>N/A</t>
        </is>
      </c>
      <c r="L428" s="10" t="inlineStr">
        <is>
          <t>Kinh Tế, Ngoại ngữ</t>
        </is>
      </c>
      <c r="M428" s="10" t="inlineStr">
        <is>
          <t>Healthcare Plan, Paid Leave, Training, Transportation, Others</t>
        </is>
      </c>
      <c r="N428" s="11">
        <f>HYPERLINK("https://www.vietnamworks.com/chuyen-vien-tieng-anh-phong-sale-2009309-jv","Xem chi tiết")</f>
        <v/>
      </c>
      <c r="O428" s="10" t="n"/>
    </row>
    <row r="429">
      <c r="B429" s="7" t="n">
        <v>427</v>
      </c>
      <c r="C429" t="inlineStr">
        <is>
          <t>Phó Giám Đốc Tài Chính Kế Toán (Phụ Trách Đầu Tư Tài Chính)</t>
        </is>
      </c>
      <c r="D429" t="inlineStr">
        <is>
          <t>Tổng Công ty Du lịch Sài Gòn - TNHH MTV</t>
        </is>
      </c>
      <c r="E429" t="inlineStr">
        <is>
          <t>Thương lượng</t>
        </is>
      </c>
      <c r="F429" t="inlineStr">
        <is>
          <t>Hồ Chí Minh</t>
        </is>
      </c>
      <c r="G429" t="inlineStr">
        <is>
          <t>Trưởng phòng</t>
        </is>
      </c>
      <c r="H429" t="inlineStr">
        <is>
          <t>03/02/2026</t>
        </is>
      </c>
      <c r="I429" t="inlineStr">
        <is>
          <t>20/03/2026</t>
        </is>
      </c>
      <c r="J429" t="inlineStr">
        <is>
          <t>17/03/2026</t>
        </is>
      </c>
      <c r="K429" t="inlineStr">
        <is>
          <t>N/A</t>
        </is>
      </c>
      <c r="L429" t="inlineStr">
        <is>
          <t>Kế Toán, Kiểm toán, Luật Doanh Nghiệp, Tài Chính, Thuế</t>
        </is>
      </c>
      <c r="M429" t="inlineStr">
        <is>
          <t>Healthcare Plan, Paid Leave, Others</t>
        </is>
      </c>
      <c r="N429" s="8">
        <f>HYPERLINK("https://www.vietnamworks.com/pho-giam-djoc-tai-chinh-ke-toan-phu-trach-djau-tu-tai-chinh-2009319-jv","Xem chi tiết")</f>
        <v/>
      </c>
    </row>
    <row r="430">
      <c r="B430" s="9" t="n">
        <v>428</v>
      </c>
      <c r="C430" s="10" t="inlineStr">
        <is>
          <t>Software Developer (Fresher and Junior)</t>
        </is>
      </c>
      <c r="D430" s="10" t="inlineStr">
        <is>
          <t>Netcompany</t>
        </is>
      </c>
      <c r="E430" s="10" t="inlineStr">
        <is>
          <t>Thương lượng</t>
        </is>
      </c>
      <c r="F430" s="10" t="inlineStr">
        <is>
          <t>Hồ Chí Minh</t>
        </is>
      </c>
      <c r="G430" s="10" t="inlineStr">
        <is>
          <t>Mới Tốt Nghiệp</t>
        </is>
      </c>
      <c r="H430" s="10" t="inlineStr">
        <is>
          <t>03/02/2026</t>
        </is>
      </c>
      <c r="I430" s="10" t="inlineStr">
        <is>
          <t>20/03/2026</t>
        </is>
      </c>
      <c r="J430" s="10" t="inlineStr">
        <is>
          <t>17/03/2026</t>
        </is>
      </c>
      <c r="K430" s="10" t="inlineStr">
        <is>
          <t>N/A</t>
        </is>
      </c>
      <c r="L430" s="10" t="inlineStr">
        <is>
          <t>Java, .NET, Data Modeling, Software Programming, Architecture Programming</t>
        </is>
      </c>
      <c r="M430" s="10" t="inlineStr">
        <is>
          <t>Healthcare Plan, Paid Leave, Training</t>
        </is>
      </c>
      <c r="N430" s="11">
        <f>HYPERLINK("https://www.vietnamworks.com/software-developer-fresher-and-junior--2009302-jv","Xem chi tiết")</f>
        <v/>
      </c>
      <c r="O430" s="10" t="n"/>
    </row>
    <row r="431">
      <c r="B431" s="7" t="n">
        <v>429</v>
      </c>
      <c r="C431" t="inlineStr">
        <is>
          <t>Chuyên Viên Cấp Cao/ Chuyên Viên Chính Kinh Doanh Số - Khối Giải Trí Nghỉ Dưỡng</t>
        </is>
      </c>
      <c r="D431" t="inlineStr">
        <is>
          <t>Sun Hospitality Group</t>
        </is>
      </c>
      <c r="E431" t="inlineStr">
        <is>
          <t>Thương lượng</t>
        </is>
      </c>
      <c r="F431" t="inlineStr">
        <is>
          <t>Hà Nội</t>
        </is>
      </c>
      <c r="G431" t="inlineStr">
        <is>
          <t>Nhân viên</t>
        </is>
      </c>
      <c r="H431" t="inlineStr">
        <is>
          <t>03/02/2026</t>
        </is>
      </c>
      <c r="I431" t="inlineStr">
        <is>
          <t>20/03/2026</t>
        </is>
      </c>
      <c r="J431" t="inlineStr">
        <is>
          <t>17/03/2026</t>
        </is>
      </c>
      <c r="K431" t="inlineStr">
        <is>
          <t>N/A</t>
        </is>
      </c>
      <c r="L431" t="inlineStr">
        <is>
          <t>Quản Trị Kinh Doanh, Thương Mại Điện Tử, Digital Sales, Marketing, Phân Tích Số Liệu</t>
        </is>
      </c>
      <c r="M431" t="inlineStr">
        <is>
          <t>Bonus, Healthcare Plan, Training, Others</t>
        </is>
      </c>
      <c r="N431" s="8">
        <f>HYPERLINK("https://www.vietnamworks.com/chuyen-vien-cap-cao-chuyen-vien-chinh-kinh-doanh-so-khoi-giai-tri-nghi-duong-2009322-jv","Xem chi tiết")</f>
        <v/>
      </c>
    </row>
    <row r="432">
      <c r="B432" s="9" t="n">
        <v>430</v>
      </c>
      <c r="C432" s="10" t="inlineStr">
        <is>
          <t>Giám Đốc Ngành Hàng Thiết Bị Nhà Bếp</t>
        </is>
      </c>
      <c r="D432" s="10" t="inlineStr">
        <is>
          <t>Công ty Cổ phần Tập đoàn Nagakawa</t>
        </is>
      </c>
      <c r="E432" s="10" t="inlineStr">
        <is>
          <t>Thương lượng</t>
        </is>
      </c>
      <c r="F432" s="10" t="inlineStr">
        <is>
          <t>Hà Nội</t>
        </is>
      </c>
      <c r="G432" s="10" t="inlineStr">
        <is>
          <t>Giám Đốc và Cấp Cao Hơn</t>
        </is>
      </c>
      <c r="H432" s="10" t="inlineStr">
        <is>
          <t>03/02/2026</t>
        </is>
      </c>
      <c r="I432" s="10" t="inlineStr">
        <is>
          <t>20/03/2026</t>
        </is>
      </c>
      <c r="J432" s="10" t="inlineStr">
        <is>
          <t>17/03/2026</t>
        </is>
      </c>
      <c r="K432" s="10" t="inlineStr">
        <is>
          <t>N/A</t>
        </is>
      </c>
      <c r="L432" s="10" t="inlineStr">
        <is>
          <t>Thiết Bị Nhà Bếp, Quản Trị Bán Hàng, Kinh Doanh, Lãnh Đạo, Đàm Phán</t>
        </is>
      </c>
      <c r="M432" s="10" t="inlineStr">
        <is>
          <t>Healthcare Plan, Travel Opportunities, Others</t>
        </is>
      </c>
      <c r="N432" s="11">
        <f>HYPERLINK("https://www.vietnamworks.com/giam-doc-nganh-hang-thiet-bi-nha-bep-2009323-jv","Xem chi tiết")</f>
        <v/>
      </c>
      <c r="O432" s="10" t="n"/>
    </row>
    <row r="433">
      <c r="B433" s="7" t="n">
        <v>431</v>
      </c>
      <c r="C433" t="inlineStr">
        <is>
          <t>Giám Sát Kinh Doanh</t>
        </is>
      </c>
      <c r="D433" t="inlineStr">
        <is>
          <t>Unilever Vietnam</t>
        </is>
      </c>
      <c r="E433" t="inlineStr">
        <is>
          <t>Từ $ 1,000 /tháng</t>
        </is>
      </c>
      <c r="F433" t="inlineStr">
        <is>
          <t>Kiên Giang, An Giang, Cà Mau</t>
        </is>
      </c>
      <c r="G433" t="inlineStr">
        <is>
          <t>Nhân viên</t>
        </is>
      </c>
      <c r="H433" t="inlineStr">
        <is>
          <t>03/02/2026</t>
        </is>
      </c>
      <c r="I433" t="inlineStr">
        <is>
          <t>20/03/2026</t>
        </is>
      </c>
      <c r="J433" t="inlineStr">
        <is>
          <t>17/03/2026</t>
        </is>
      </c>
      <c r="K433" t="inlineStr">
        <is>
          <t>N/A</t>
        </is>
      </c>
      <c r="L433" t="inlineStr">
        <is>
          <t>Giao Tiếp, Kinh Nghiệm Fmcg, Lãnh Đạo, Quản Lý Kinh Doanh, Thương lượng</t>
        </is>
      </c>
      <c r="M433" t="inlineStr">
        <is>
          <t>Bonus, Healthcare Plan, Training, Laptop, Mobile</t>
        </is>
      </c>
      <c r="N433" s="8">
        <f>HYPERLINK("https://www.vietnamworks.com/giam-sat-kinh-doanh--2009337-jv","Xem chi tiết")</f>
        <v/>
      </c>
    </row>
    <row r="434">
      <c r="B434" s="9" t="n">
        <v>432</v>
      </c>
      <c r="C434" s="10" t="inlineStr">
        <is>
          <t>Sample Coordinator (Toy Industry)</t>
        </is>
      </c>
      <c r="D434" s="10" t="inlineStr">
        <is>
          <t>Jazwares LLC - The Representative Officce of Jaz Toys HK Limited In Hanoi City</t>
        </is>
      </c>
      <c r="E434" s="10" t="inlineStr">
        <is>
          <t>Thương lượng</t>
        </is>
      </c>
      <c r="F434" s="10" t="inlineStr">
        <is>
          <t>Hà Nội</t>
        </is>
      </c>
      <c r="G434" s="10" t="inlineStr">
        <is>
          <t>Nhân viên</t>
        </is>
      </c>
      <c r="H434" s="10" t="inlineStr">
        <is>
          <t>03/02/2026</t>
        </is>
      </c>
      <c r="I434" s="10" t="inlineStr">
        <is>
          <t>20/03/2026</t>
        </is>
      </c>
      <c r="J434" s="10" t="inlineStr">
        <is>
          <t>17/03/2026</t>
        </is>
      </c>
      <c r="K434" s="10" t="inlineStr">
        <is>
          <t>N/A</t>
        </is>
      </c>
      <c r="L434" s="10" t="inlineStr">
        <is>
          <t>Sample Management, Product Sample, Material Samples, Delivery Control, English</t>
        </is>
      </c>
      <c r="M434" s="10" t="inlineStr">
        <is>
          <t>Bonus, Healthcare Plan, Laptop</t>
        </is>
      </c>
      <c r="N434" s="11">
        <f>HYPERLINK("https://www.vietnamworks.com/sample-coordinator-toy-industry-2009342-jv","Xem chi tiết")</f>
        <v/>
      </c>
      <c r="O434" s="10" t="n"/>
    </row>
    <row r="435">
      <c r="B435" s="7" t="n">
        <v>433</v>
      </c>
      <c r="C435" t="inlineStr">
        <is>
          <t>Nhân Viên Kinh Doanh - Tuyển Nữ (HCM, Cần Thơ, Dak Lak)</t>
        </is>
      </c>
      <c r="D435" t="inlineStr">
        <is>
          <t>Công Ty TNHH Nidp Dental Biotech Vietnam</t>
        </is>
      </c>
      <c r="E435" t="inlineStr">
        <is>
          <t>10tr-40tr ₫/tháng</t>
        </is>
      </c>
      <c r="F435" t="inlineStr">
        <is>
          <t>Hồ Chí Minh, Cần Thơ, Đắk Lắk</t>
        </is>
      </c>
      <c r="G435" t="inlineStr">
        <is>
          <t>Mới Tốt Nghiệp</t>
        </is>
      </c>
      <c r="H435" t="inlineStr">
        <is>
          <t>03/02/2026</t>
        </is>
      </c>
      <c r="I435" t="inlineStr">
        <is>
          <t>20/03/2026</t>
        </is>
      </c>
      <c r="J435" t="inlineStr">
        <is>
          <t>17/03/2026</t>
        </is>
      </c>
      <c r="K435" t="inlineStr">
        <is>
          <t>N/A</t>
        </is>
      </c>
      <c r="L435" t="inlineStr">
        <is>
          <t>Tìm Kiếm Khách Hàng, Tư Vấn Bán Hàng, Kinh Doanh, Y Tế, Dịch Vụ Nha Khoa</t>
        </is>
      </c>
      <c r="M435" t="inlineStr">
        <is>
          <t>Bonus, Healthcare Plan, Paid Leave, Training, Others</t>
        </is>
      </c>
      <c r="N435" s="8">
        <f>HYPERLINK("https://www.vietnamworks.com/nhan-vien-kinh-doanh-tuyen-nu-hcm-can-tho-dak-lak-2009336-jv","Xem chi tiết")</f>
        <v/>
      </c>
    </row>
    <row r="436">
      <c r="B436" s="9" t="n">
        <v>434</v>
      </c>
      <c r="C436" s="10" t="inlineStr">
        <is>
          <t>Reverse Logistics Manager</t>
        </is>
      </c>
      <c r="D436" s="10" t="inlineStr">
        <is>
          <t>Công Ty TNHH Onpoint</t>
        </is>
      </c>
      <c r="E436" s="10" t="inlineStr">
        <is>
          <t>Thương lượng</t>
        </is>
      </c>
      <c r="F436" s="10" t="inlineStr">
        <is>
          <t>Hồ Chí Minh</t>
        </is>
      </c>
      <c r="G436" s="10" t="inlineStr">
        <is>
          <t>Trưởng phòng</t>
        </is>
      </c>
      <c r="H436" s="10" t="inlineStr">
        <is>
          <t>03/02/2026</t>
        </is>
      </c>
      <c r="I436" s="10" t="inlineStr">
        <is>
          <t>20/03/2026</t>
        </is>
      </c>
      <c r="J436" s="10" t="inlineStr">
        <is>
          <t>17/03/2026</t>
        </is>
      </c>
      <c r="K436" s="10" t="inlineStr">
        <is>
          <t>N/A</t>
        </is>
      </c>
      <c r="L436" s="10" t="inlineStr">
        <is>
          <t>Analytical Skills, E-Commerce Logistics, Inventory Management, Logistics Management, Team Management</t>
        </is>
      </c>
      <c r="M436" s="10" t="inlineStr">
        <is>
          <t>Bonus, Healthcare Plan, Paid Leave, Laptop, Mobile, Others</t>
        </is>
      </c>
      <c r="N436" s="11">
        <f>HYPERLINK("https://www.vietnamworks.com/reverse-logistics-manager-2009357-jv","Xem chi tiết")</f>
        <v/>
      </c>
      <c r="O436" s="10" t="n"/>
    </row>
    <row r="437">
      <c r="B437" s="7" t="n">
        <v>435</v>
      </c>
      <c r="C437" t="inlineStr">
        <is>
          <t>Global Business Associate (Entry Level)</t>
        </is>
      </c>
      <c r="D437" t="inlineStr">
        <is>
          <t>INNORIX VIETNAM</t>
        </is>
      </c>
      <c r="E437" t="inlineStr">
        <is>
          <t>Thương lượng</t>
        </is>
      </c>
      <c r="F437" t="inlineStr">
        <is>
          <t>Hồ Chí Minh</t>
        </is>
      </c>
      <c r="G437" t="inlineStr">
        <is>
          <t>Mới Tốt Nghiệp</t>
        </is>
      </c>
      <c r="H437" t="inlineStr">
        <is>
          <t>03/02/2026</t>
        </is>
      </c>
      <c r="I437" t="inlineStr">
        <is>
          <t>20/03/2026</t>
        </is>
      </c>
      <c r="J437" t="inlineStr">
        <is>
          <t>17/03/2026</t>
        </is>
      </c>
      <c r="K437" t="inlineStr">
        <is>
          <t>N/A</t>
        </is>
      </c>
      <c r="L437" t="inlineStr">
        <is>
          <t>Technical Support, IT Hardware, Hardware Technology</t>
        </is>
      </c>
      <c r="M437" t="inlineStr">
        <is>
          <t>Travel Opportunities</t>
        </is>
      </c>
      <c r="N437" s="8">
        <f>HYPERLINK("https://www.vietnamworks.com/global-business-associate-entry-level-2009339-jv","Xem chi tiết")</f>
        <v/>
      </c>
    </row>
    <row r="438">
      <c r="B438" s="9" t="n">
        <v>436</v>
      </c>
      <c r="C438" s="10" t="inlineStr">
        <is>
          <t>HR cum Administration - Làm Việc Tại Vĩnh Long</t>
        </is>
      </c>
      <c r="D438" s="10" t="inlineStr">
        <is>
          <t>Vietnamworks' Client</t>
        </is>
      </c>
      <c r="E438" s="10" t="inlineStr">
        <is>
          <t>Thương lượng</t>
        </is>
      </c>
      <c r="F438" s="10" t="inlineStr">
        <is>
          <t>Vĩnh Long, Cần Thơ, ĐBSCL</t>
        </is>
      </c>
      <c r="G438" s="10" t="inlineStr">
        <is>
          <t>Nhân viên</t>
        </is>
      </c>
      <c r="H438" s="10" t="inlineStr">
        <is>
          <t>03/02/2026</t>
        </is>
      </c>
      <c r="I438" s="10" t="inlineStr">
        <is>
          <t>20/03/2026</t>
        </is>
      </c>
      <c r="J438" s="10" t="inlineStr">
        <is>
          <t>17/03/2026</t>
        </is>
      </c>
      <c r="K438" s="10" t="inlineStr">
        <is>
          <t>N/A</t>
        </is>
      </c>
      <c r="L438" s="10" t="inlineStr">
        <is>
          <t>Quản Lý Nhân Sự, Hành Chính Nhân Sự, HR &amp; Admin, HR, Human Resources</t>
        </is>
      </c>
      <c r="M438" s="10" t="inlineStr">
        <is>
          <t>Bonus, Training, Team Activities</t>
        </is>
      </c>
      <c r="N438" s="11">
        <f>HYPERLINK("https://www.vietnamworks.com/hr-cum-administration-lam-viec-tai-vinh-long-2009338-jv","Xem chi tiết")</f>
        <v/>
      </c>
      <c r="O438" s="10" t="n"/>
    </row>
    <row r="439">
      <c r="B439" s="7" t="n">
        <v>437</v>
      </c>
      <c r="C439" t="inlineStr">
        <is>
          <t>Center Manager - Quản Lý Chi Nhánh</t>
        </is>
      </c>
      <c r="D439" t="inlineStr">
        <is>
          <t>Apollo Education And Training Organization</t>
        </is>
      </c>
      <c r="E439" t="inlineStr">
        <is>
          <t>27tr-35tr ₫/tháng</t>
        </is>
      </c>
      <c r="F439" t="inlineStr">
        <is>
          <t>Hồ Chí Minh, Hà Nội</t>
        </is>
      </c>
      <c r="G439" t="inlineStr">
        <is>
          <t>Trưởng phòng</t>
        </is>
      </c>
      <c r="H439" t="inlineStr">
        <is>
          <t>03/02/2026</t>
        </is>
      </c>
      <c r="I439" t="inlineStr">
        <is>
          <t>20/03/2026</t>
        </is>
      </c>
      <c r="J439" t="inlineStr">
        <is>
          <t>17/03/2026</t>
        </is>
      </c>
      <c r="K439" t="inlineStr">
        <is>
          <t>N/A</t>
        </is>
      </c>
      <c r="L439" t="inlineStr">
        <is>
          <t>Sales, Customer Experience Management, English, Business Development, Business Operations</t>
        </is>
      </c>
      <c r="M439" t="inlineStr">
        <is>
          <t>Bonus, Healthcare Plan, Paid Leave, Training, Others</t>
        </is>
      </c>
      <c r="N439" s="8">
        <f>HYPERLINK("https://www.vietnamworks.com/center-manager-quan-ly-chi-nhanh-2009348-jv","Xem chi tiết")</f>
        <v/>
      </c>
    </row>
    <row r="440">
      <c r="B440" s="9" t="n">
        <v>438</v>
      </c>
      <c r="C440" s="10" t="inlineStr">
        <is>
          <t>Lắp Ráp Cơ - Điện [Chính Thức/thời Vụ</t>
        </is>
      </c>
      <c r="D440" s="10" t="inlineStr">
        <is>
          <t>Công Ty Cổ phần Công nghiệp TCI</t>
        </is>
      </c>
      <c r="E440" s="10" t="inlineStr">
        <is>
          <t>$$ 300-1,000 /tháng</t>
        </is>
      </c>
      <c r="F440" s="10" t="inlineStr">
        <is>
          <t>Hà Nội</t>
        </is>
      </c>
      <c r="G440" s="10" t="inlineStr">
        <is>
          <t>Nhân viên</t>
        </is>
      </c>
      <c r="H440" s="10" t="inlineStr">
        <is>
          <t>03/02/2026</t>
        </is>
      </c>
      <c r="I440" s="10" t="inlineStr">
        <is>
          <t>20/03/2026</t>
        </is>
      </c>
      <c r="J440" s="10" t="inlineStr">
        <is>
          <t>17/03/2026</t>
        </is>
      </c>
      <c r="K440" s="10" t="inlineStr">
        <is>
          <t>N/A</t>
        </is>
      </c>
      <c r="L440" s="10" t="inlineStr">
        <is>
          <t>Kỹ Thuật Cơ Khí, Thiết Kế Cơ Khí, Cơ Khí Chế Tạo, Mechanical Design, SolidWorks</t>
        </is>
      </c>
      <c r="M440" s="10" t="inlineStr">
        <is>
          <t>Bonus, Paid Leave, Transportation</t>
        </is>
      </c>
      <c r="N440" s="11">
        <f>HYPERLINK("https://www.vietnamworks.com/lap-rap-co-dien-chinh-thuc-thoi-vu-2009330-jv","Xem chi tiết")</f>
        <v/>
      </c>
      <c r="O440" s="10" t="n"/>
    </row>
    <row r="441">
      <c r="B441" s="7" t="n">
        <v>439</v>
      </c>
      <c r="C441" t="inlineStr">
        <is>
          <t>Nhân Viên Kinh Doanh - Tuyển Nữ (Hà Nội, Hải Phòng, Đà Nẵng)</t>
        </is>
      </c>
      <c r="D441" t="inlineStr">
        <is>
          <t>Công Ty TNHH Nidp Dental Biotech Vietnam</t>
        </is>
      </c>
      <c r="E441" t="inlineStr">
        <is>
          <t>10tr-40tr ₫/tháng</t>
        </is>
      </c>
      <c r="F441" t="inlineStr">
        <is>
          <t>Hà Nội, Đà Nẵng, Hải Phòng</t>
        </is>
      </c>
      <c r="G441" t="inlineStr">
        <is>
          <t>Mới Tốt Nghiệp</t>
        </is>
      </c>
      <c r="H441" t="inlineStr">
        <is>
          <t>03/02/2026</t>
        </is>
      </c>
      <c r="I441" t="inlineStr">
        <is>
          <t>20/03/2026</t>
        </is>
      </c>
      <c r="J441" t="inlineStr">
        <is>
          <t>17/03/2026</t>
        </is>
      </c>
      <c r="K441" t="inlineStr">
        <is>
          <t>N/A</t>
        </is>
      </c>
      <c r="L441" t="inlineStr">
        <is>
          <t>Tìm Kiếm Khách Hàng, Tư Vấn Bán Hàng, Kinh Doanh, Y Tế, Dịch Vụ Nha Khoa</t>
        </is>
      </c>
      <c r="M441" t="inlineStr">
        <is>
          <t>Bonus, Healthcare Plan, Paid Leave, Training, Others</t>
        </is>
      </c>
      <c r="N441" s="8">
        <f>HYPERLINK("https://www.vietnamworks.com/nhan-vien-kinh-doanh-tuyen-nu-ha-noi-hai-phong-dja-nang-2009333-jv","Xem chi tiết")</f>
        <v/>
      </c>
    </row>
    <row r="442">
      <c r="B442" s="9" t="n">
        <v>440</v>
      </c>
      <c r="C442" s="10" t="inlineStr">
        <is>
          <t>Billing Staff</t>
        </is>
      </c>
      <c r="D442" s="10" t="inlineStr">
        <is>
          <t>Công Ty TNHH Kintetsu World Express Việt Nam</t>
        </is>
      </c>
      <c r="E442" s="10" t="inlineStr">
        <is>
          <t>Thương lượng</t>
        </is>
      </c>
      <c r="F442" s="10" t="inlineStr">
        <is>
          <t>Hồ Chí Minh</t>
        </is>
      </c>
      <c r="G442" s="10" t="inlineStr">
        <is>
          <t>Nhân viên</t>
        </is>
      </c>
      <c r="H442" s="10" t="inlineStr">
        <is>
          <t>03/02/2026</t>
        </is>
      </c>
      <c r="I442" s="10" t="inlineStr">
        <is>
          <t>20/03/2026</t>
        </is>
      </c>
      <c r="J442" s="10" t="inlineStr">
        <is>
          <t>17/03/2026</t>
        </is>
      </c>
      <c r="K442" s="10" t="inlineStr">
        <is>
          <t>N/A</t>
        </is>
      </c>
      <c r="L442" s="10" t="inlineStr">
        <is>
          <t>Logistics, Billing, Accounting, Transportation, System</t>
        </is>
      </c>
      <c r="M442" s="10" t="inlineStr">
        <is>
          <t>Bonus, Healthcare Plan, Others</t>
        </is>
      </c>
      <c r="N442" s="11">
        <f>HYPERLINK("https://www.vietnamworks.com/billing-staff--2009326-jv","Xem chi tiết")</f>
        <v/>
      </c>
      <c r="O442" s="10" t="n"/>
    </row>
    <row r="443">
      <c r="B443" s="7" t="n">
        <v>441</v>
      </c>
      <c r="C443" t="inlineStr">
        <is>
          <t>Ocean Customer Service Representative - Outbound</t>
        </is>
      </c>
      <c r="D443" t="inlineStr">
        <is>
          <t>OIA GLOBAL Vietnam</t>
        </is>
      </c>
      <c r="E443" t="inlineStr">
        <is>
          <t>Thương lượng</t>
        </is>
      </c>
      <c r="F443" t="inlineStr">
        <is>
          <t>Hồ Chí Minh</t>
        </is>
      </c>
      <c r="G443" t="inlineStr">
        <is>
          <t>Nhân viên</t>
        </is>
      </c>
      <c r="H443" t="inlineStr">
        <is>
          <t>03/02/2026</t>
        </is>
      </c>
      <c r="I443" t="inlineStr">
        <is>
          <t>20/03/2026</t>
        </is>
      </c>
      <c r="J443" t="inlineStr">
        <is>
          <t>17/03/2026</t>
        </is>
      </c>
      <c r="K443" t="inlineStr">
        <is>
          <t>N/A</t>
        </is>
      </c>
      <c r="L443" t="inlineStr">
        <is>
          <t>Communication, Customer Service, Export Documents, Freight Forwarding, Sea Freight</t>
        </is>
      </c>
      <c r="M443" t="inlineStr">
        <is>
          <t>Bonus, Healthcare Plan</t>
        </is>
      </c>
      <c r="N443" s="8">
        <f>HYPERLINK("https://www.vietnamworks.com/ocean-customer-service-representative-outbound-2009335-jv","Xem chi tiết")</f>
        <v/>
      </c>
    </row>
    <row r="444">
      <c r="B444" s="9" t="n">
        <v>442</v>
      </c>
      <c r="C444" s="10" t="inlineStr">
        <is>
          <t>Kế Toán Viên</t>
        </is>
      </c>
      <c r="D444" s="10" t="inlineStr">
        <is>
          <t>Công Ty TNHH Khoa Học Và Công Nghệ Saticus</t>
        </is>
      </c>
      <c r="E444" s="10" t="inlineStr">
        <is>
          <t>Thương lượng</t>
        </is>
      </c>
      <c r="F444" s="10" t="inlineStr">
        <is>
          <t>Hồ Chí Minh</t>
        </is>
      </c>
      <c r="G444" s="10" t="inlineStr">
        <is>
          <t>Nhân viên</t>
        </is>
      </c>
      <c r="H444" s="10" t="inlineStr">
        <is>
          <t>03/02/2026</t>
        </is>
      </c>
      <c r="I444" s="10" t="inlineStr">
        <is>
          <t>20/03/2026</t>
        </is>
      </c>
      <c r="J444" s="10" t="inlineStr">
        <is>
          <t>17/03/2026</t>
        </is>
      </c>
      <c r="K444" s="10" t="inlineStr">
        <is>
          <t>N/A</t>
        </is>
      </c>
      <c r="L444" s="10" t="inlineStr">
        <is>
          <t>Hạch Toán, MISA, Đối Chiếu Công Nợ, Nghiệp Vụ Kế Toán, Tin Học Văn Phòng</t>
        </is>
      </c>
      <c r="M444" s="10" t="inlineStr">
        <is>
          <t>Bonus, Healthcare Plan, Training, Mobile, Travel Opportunities, Others</t>
        </is>
      </c>
      <c r="N444" s="11">
        <f>HYPERLINK("https://www.vietnamworks.com/ke-toan-vien-2009332-jv","Xem chi tiết")</f>
        <v/>
      </c>
      <c r="O444" s="10" t="n"/>
    </row>
    <row r="445">
      <c r="B445" s="7" t="n">
        <v>443</v>
      </c>
      <c r="C445" t="inlineStr">
        <is>
          <t>Nhân Viên Bán Hàng Upto 20 Triệu</t>
        </is>
      </c>
      <c r="D445" t="inlineStr">
        <is>
          <t>Công Ty Cổ Phần Chế Tạo Và Lắp Ráp Thiết Bị Điện Việt Nam</t>
        </is>
      </c>
      <c r="E445" t="inlineStr">
        <is>
          <t>Thương lượng</t>
        </is>
      </c>
      <c r="F445" t="inlineStr">
        <is>
          <t>Hà Nội</t>
        </is>
      </c>
      <c r="G445" t="inlineStr">
        <is>
          <t>Nhân viên</t>
        </is>
      </c>
      <c r="H445" t="inlineStr">
        <is>
          <t>03/02/2026</t>
        </is>
      </c>
      <c r="I445" t="inlineStr">
        <is>
          <t>20/03/2026</t>
        </is>
      </c>
      <c r="J445" t="inlineStr">
        <is>
          <t>17/03/2026</t>
        </is>
      </c>
      <c r="K445" t="inlineStr">
        <is>
          <t>N/A</t>
        </is>
      </c>
      <c r="L445" t="inlineStr">
        <is>
          <t>Giao Hàng, Giao Tiếp, Trung Thực, Khám Sức Khỏe, Làm Việc Nhóm</t>
        </is>
      </c>
      <c r="M445" t="inlineStr">
        <is>
          <t>Bonus, Healthcare Plan, Training, Travel Opportunities, Transportation, Others</t>
        </is>
      </c>
      <c r="N445" s="8">
        <f>HYPERLINK("https://www.vietnamworks.com/nhan-vien-ban-hang-upto-20-trieu-2009341-jv","Xem chi tiết")</f>
        <v/>
      </c>
    </row>
    <row r="446">
      <c r="B446" s="9" t="n">
        <v>444</v>
      </c>
      <c r="C446" s="10" t="inlineStr">
        <is>
          <t>Phó Ban Nhân Sự - Khối Giải Trí Nghỉ Dưỡng</t>
        </is>
      </c>
      <c r="D446" s="10" t="inlineStr">
        <is>
          <t>Sun Hospitality Group</t>
        </is>
      </c>
      <c r="E446" s="10" t="inlineStr">
        <is>
          <t>Thương lượng</t>
        </is>
      </c>
      <c r="F446" s="10" t="inlineStr">
        <is>
          <t>Kiên Giang, An Giang</t>
        </is>
      </c>
      <c r="G446" s="10" t="inlineStr">
        <is>
          <t>Trưởng phòng</t>
        </is>
      </c>
      <c r="H446" s="10" t="inlineStr">
        <is>
          <t>03/02/2026</t>
        </is>
      </c>
      <c r="I446" s="10" t="inlineStr">
        <is>
          <t>20/03/2026</t>
        </is>
      </c>
      <c r="J446" s="10" t="inlineStr">
        <is>
          <t>17/03/2026</t>
        </is>
      </c>
      <c r="K446" s="10" t="inlineStr">
        <is>
          <t>N/A</t>
        </is>
      </c>
      <c r="L446" s="10" t="inlineStr">
        <is>
          <t>Quản Trị Nhân Sự, Lãnh Đạo, Giao Tiếp Đàm Phán, Luật Lao Động, Nhân Sự</t>
        </is>
      </c>
      <c r="M446" s="10" t="inlineStr">
        <is>
          <t>Bonus, Healthcare Plan, Training, Others</t>
        </is>
      </c>
      <c r="N446" s="11">
        <f>HYPERLINK("https://www.vietnamworks.com/pho-ban-nhan-su-khoi-giai-tri-nghi-duong-2009343-jv","Xem chi tiết")</f>
        <v/>
      </c>
      <c r="O446" s="10" t="n"/>
    </row>
    <row r="447">
      <c r="B447" s="7" t="n">
        <v>445</v>
      </c>
      <c r="C447" t="inlineStr">
        <is>
          <t>Trưởng Phòng Đào Tạo - Khối Giải Trí Nghỉ Dưỡng</t>
        </is>
      </c>
      <c r="D447" t="inlineStr">
        <is>
          <t>Sun Hospitality Group</t>
        </is>
      </c>
      <c r="E447" t="inlineStr">
        <is>
          <t>Thương lượng</t>
        </is>
      </c>
      <c r="F447" t="inlineStr">
        <is>
          <t>An Giang, Kiên Giang</t>
        </is>
      </c>
      <c r="G447" t="inlineStr">
        <is>
          <t>Trưởng phòng</t>
        </is>
      </c>
      <c r="H447" t="inlineStr">
        <is>
          <t>03/02/2026</t>
        </is>
      </c>
      <c r="I447" t="inlineStr">
        <is>
          <t>20/03/2026</t>
        </is>
      </c>
      <c r="J447" t="inlineStr">
        <is>
          <t>17/03/2026</t>
        </is>
      </c>
      <c r="K447" t="inlineStr">
        <is>
          <t>N/A</t>
        </is>
      </c>
      <c r="L447" t="inlineStr">
        <is>
          <t>Quản Trị Nhân Sự, Lãnh Đạo, Phát Triển Nhân Tài, Xây Dựng Chương Trình Đào Tạo, Đào Tạo Nhân Sự</t>
        </is>
      </c>
      <c r="M447" t="inlineStr">
        <is>
          <t>Bonus, Healthcare Plan, Training, Others</t>
        </is>
      </c>
      <c r="N447" s="8">
        <f>HYPERLINK("https://www.vietnamworks.com/truong-phong-djao-tao-khoi-giai-tri-nghi-duong-2009340-jv","Xem chi tiết")</f>
        <v/>
      </c>
    </row>
    <row r="448">
      <c r="B448" s="9" t="n">
        <v>446</v>
      </c>
      <c r="C448" s="10" t="inlineStr">
        <is>
          <t>Chuyên Viên Tuyển Dụng và Đào Tạo (Nhận Việc Ngay)</t>
        </is>
      </c>
      <c r="D448" s="10" t="inlineStr">
        <is>
          <t>Công Ty TNHH Thương Mại Và Vận Tải Thái Tân</t>
        </is>
      </c>
      <c r="E448" s="10" t="inlineStr">
        <is>
          <t>18tr-25tr ₫/tháng</t>
        </is>
      </c>
      <c r="F448" s="10" t="inlineStr">
        <is>
          <t>Hà Nội</t>
        </is>
      </c>
      <c r="G448" s="10" t="inlineStr">
        <is>
          <t>Nhân viên</t>
        </is>
      </c>
      <c r="H448" s="10" t="inlineStr">
        <is>
          <t>03/02/2026</t>
        </is>
      </c>
      <c r="I448" s="10" t="inlineStr">
        <is>
          <t>20/03/2026</t>
        </is>
      </c>
      <c r="J448" s="10" t="inlineStr">
        <is>
          <t>17/03/2026</t>
        </is>
      </c>
      <c r="K448" s="10" t="inlineStr">
        <is>
          <t>N/A</t>
        </is>
      </c>
      <c r="L448" s="10" t="inlineStr">
        <is>
          <t>Phân Tích Nghiệp Vụ, Hành Chính Nhân Sự, HRBP, Nhân Sự, Tuyển Dụng Đào Tạo</t>
        </is>
      </c>
      <c r="M448" s="10" t="inlineStr">
        <is>
          <t>Bonus, Training, Travel Opportunities, Others</t>
        </is>
      </c>
      <c r="N448" s="11">
        <f>HYPERLINK("https://www.vietnamworks.com/chuyen-vien-tuyen-dung-va-djao-tao-nhan-viec-ngay-2009353-jv","Xem chi tiết")</f>
        <v/>
      </c>
      <c r="O448" s="10" t="n"/>
    </row>
    <row r="449">
      <c r="B449" s="7" t="n">
        <v>447</v>
      </c>
      <c r="C449" t="inlineStr">
        <is>
          <t>Senior Regulatory Management And Trade Compliance Specialist</t>
        </is>
      </c>
      <c r="D449" t="inlineStr">
        <is>
          <t>Merck Vietnam</t>
        </is>
      </c>
      <c r="E449" t="inlineStr">
        <is>
          <t>Từ $ 2,000 /tháng</t>
        </is>
      </c>
      <c r="F449" t="inlineStr">
        <is>
          <t>Hồ Chí Minh</t>
        </is>
      </c>
      <c r="G449" t="inlineStr">
        <is>
          <t>Nhân viên</t>
        </is>
      </c>
      <c r="H449" t="inlineStr">
        <is>
          <t>03/02/2026</t>
        </is>
      </c>
      <c r="I449" t="inlineStr">
        <is>
          <t>20/03/2026</t>
        </is>
      </c>
      <c r="J449" t="inlineStr">
        <is>
          <t>17/03/2026</t>
        </is>
      </c>
      <c r="K449" t="inlineStr">
        <is>
          <t>N/A</t>
        </is>
      </c>
      <c r="L449" t="inlineStr">
        <is>
          <t>Collaboration, Negotiation Skills, Regulatory Compliance, Risk Assessment, Trade Compliance</t>
        </is>
      </c>
      <c r="M449" t="inlineStr">
        <is>
          <t>Bonus, Healthcare Plan, Laptop</t>
        </is>
      </c>
      <c r="N449" s="8">
        <f>HYPERLINK("https://www.vietnamworks.com/senior-regulatory-management-and-trade-compliance-specialist-2009347-jv","Xem chi tiết")</f>
        <v/>
      </c>
    </row>
    <row r="450">
      <c r="B450" s="9" t="n">
        <v>448</v>
      </c>
      <c r="C450" s="10" t="inlineStr">
        <is>
          <t>Giám Đốc Kinh Doanh (Kinh Nghiệm Ngành Hàng Tiêu Dùng Nhanh, Thực Phẩm)</t>
        </is>
      </c>
      <c r="D450" s="10" t="inlineStr">
        <is>
          <t>Công Ty TNHH Một Thành Viên Thương Mại Và Dịch Vụ Bách Linh</t>
        </is>
      </c>
      <c r="E450" s="10" t="inlineStr">
        <is>
          <t>Thương lượng</t>
        </is>
      </c>
      <c r="F450" s="10" t="inlineStr">
        <is>
          <t>Hà Nội, Hồ Chí Minh</t>
        </is>
      </c>
      <c r="G450" s="10" t="inlineStr">
        <is>
          <t>Giám Đốc và Cấp Cao Hơn</t>
        </is>
      </c>
      <c r="H450" s="10" t="inlineStr">
        <is>
          <t>03/02/2026</t>
        </is>
      </c>
      <c r="I450" s="10" t="inlineStr">
        <is>
          <t>20/03/2026</t>
        </is>
      </c>
      <c r="J450" s="10" t="inlineStr">
        <is>
          <t>17/03/2026</t>
        </is>
      </c>
      <c r="K450" s="10" t="inlineStr">
        <is>
          <t>N/A</t>
        </is>
      </c>
      <c r="L450" s="10" t="inlineStr">
        <is>
          <t>Quản Lý Kinh Doanh, Kinh Doanh Thực Phẩm, Quản Lý Điều Hành, Thiết Lập Mối Quan Hệ, Đàm Phán</t>
        </is>
      </c>
      <c r="M450" s="10" t="inlineStr">
        <is>
          <t>Bonus, Healthcare Plan, Team Activities</t>
        </is>
      </c>
      <c r="N450" s="11">
        <f>HYPERLINK("https://www.vietnamworks.com/giam-doc-kinh-doanh-kinh-nghiem-nganh-hang-tieu-dung-nhanh-thuc-pham--2009325-jv","Xem chi tiết")</f>
        <v/>
      </c>
      <c r="O450" s="10" t="n"/>
    </row>
    <row r="451">
      <c r="B451" s="7" t="n">
        <v>449</v>
      </c>
      <c r="C451" t="inlineStr">
        <is>
          <t>Chuyên Viên Pháp Chế</t>
        </is>
      </c>
      <c r="D451" t="inlineStr">
        <is>
          <t>Công Ty BIM Group Kiên Giang</t>
        </is>
      </c>
      <c r="E451" t="inlineStr">
        <is>
          <t>Thương lượng</t>
        </is>
      </c>
      <c r="F451" t="inlineStr">
        <is>
          <t>Kiên Giang</t>
        </is>
      </c>
      <c r="G451" t="inlineStr">
        <is>
          <t>Nhân viên</t>
        </is>
      </c>
      <c r="H451" t="inlineStr">
        <is>
          <t>03/02/2026</t>
        </is>
      </c>
      <c r="I451" t="inlineStr">
        <is>
          <t>20/03/2026</t>
        </is>
      </c>
      <c r="J451" t="inlineStr">
        <is>
          <t>17/03/2026</t>
        </is>
      </c>
      <c r="K451" t="inlineStr">
        <is>
          <t>N/A</t>
        </is>
      </c>
      <c r="L451" t="inlineStr">
        <is>
          <t>Giải Quyết Tranh Chấp, Luật, Tư Vấn Pháp Lý, Đàm Phán, Đầu Tư</t>
        </is>
      </c>
      <c r="M451" t="inlineStr">
        <is>
          <t>Canteen, Others</t>
        </is>
      </c>
      <c r="N451" s="8">
        <f>HYPERLINK("https://www.vietnamworks.com/chuyen-vien-phap-che-2009356-jv","Xem chi tiết")</f>
        <v/>
      </c>
    </row>
    <row r="452">
      <c r="B452" s="9" t="n">
        <v>450</v>
      </c>
      <c r="C452" s="10" t="inlineStr">
        <is>
          <t>Business Development Team Lead</t>
        </is>
      </c>
      <c r="D452" s="10" t="inlineStr">
        <is>
          <t>Ahamove - Công Ty Cổ Phần Dịch Vụ Tức Thời</t>
        </is>
      </c>
      <c r="E452" s="10" t="inlineStr">
        <is>
          <t>Thương lượng</t>
        </is>
      </c>
      <c r="F452" s="10" t="inlineStr">
        <is>
          <t>Đà Nẵng</t>
        </is>
      </c>
      <c r="G452" s="10" t="inlineStr">
        <is>
          <t>Nhân viên</t>
        </is>
      </c>
      <c r="H452" s="10" t="inlineStr">
        <is>
          <t>03/02/2026</t>
        </is>
      </c>
      <c r="I452" s="10" t="inlineStr">
        <is>
          <t>20/03/2026</t>
        </is>
      </c>
      <c r="J452" s="10" t="inlineStr">
        <is>
          <t>17/03/2026</t>
        </is>
      </c>
      <c r="K452" s="10" t="inlineStr">
        <is>
          <t>N/A</t>
        </is>
      </c>
      <c r="L452" s="10" t="inlineStr">
        <is>
          <t>Data Analysis, Market Development, Negotiation, Team Development, Team Management</t>
        </is>
      </c>
      <c r="M452" s="10" t="inlineStr">
        <is>
          <t>Bonus, Healthcare Plan, Paid Leave, Training, Team Activities</t>
        </is>
      </c>
      <c r="N452" s="11">
        <f>HYPERLINK("https://www.vietnamworks.com/business-development-team-lead-2009351-jv","Xem chi tiết")</f>
        <v/>
      </c>
      <c r="O452" s="10" t="n"/>
    </row>
    <row r="453">
      <c r="B453" s="7" t="n">
        <v>451</v>
      </c>
      <c r="C453" t="inlineStr">
        <is>
          <t>Kế Toán Công Nợ</t>
        </is>
      </c>
      <c r="D453" t="inlineStr">
        <is>
          <t>DKSH Vietnam Co., Ltd.</t>
        </is>
      </c>
      <c r="E453" t="inlineStr">
        <is>
          <t>10tr-12tr ₫/tháng</t>
        </is>
      </c>
      <c r="F453" t="inlineStr">
        <is>
          <t>Hồ Chí Minh</t>
        </is>
      </c>
      <c r="G453" t="inlineStr">
        <is>
          <t>Nhân viên</t>
        </is>
      </c>
      <c r="H453" t="inlineStr">
        <is>
          <t>03/02/2026</t>
        </is>
      </c>
      <c r="I453" t="inlineStr">
        <is>
          <t>20/03/2026</t>
        </is>
      </c>
      <c r="J453" t="inlineStr">
        <is>
          <t>17/03/2026</t>
        </is>
      </c>
      <c r="K453" t="inlineStr">
        <is>
          <t>N/A</t>
        </is>
      </c>
      <c r="L453" t="inlineStr">
        <is>
          <t>Account Receivable, Analytical Skills, Credit Control, Microsoft Excel, SAP</t>
        </is>
      </c>
      <c r="M453" t="inlineStr">
        <is>
          <t>Bonus, Healthcare Plan, Training, Others</t>
        </is>
      </c>
      <c r="N453" s="8">
        <f>HYPERLINK("https://www.vietnamworks.com/ke-toan-cong-no-2009374-jv","Xem chi tiết")</f>
        <v/>
      </c>
    </row>
    <row r="454">
      <c r="B454" s="9" t="n">
        <v>452</v>
      </c>
      <c r="C454" s="10" t="inlineStr">
        <is>
          <t>Reporting Manager (Finance)</t>
        </is>
      </c>
      <c r="D454" s="10" t="inlineStr">
        <is>
          <t>Công Ty TNHH Onpoint</t>
        </is>
      </c>
      <c r="E454" s="10" t="inlineStr">
        <is>
          <t>Thương lượng</t>
        </is>
      </c>
      <c r="F454" s="10" t="inlineStr">
        <is>
          <t>Hồ Chí Minh</t>
        </is>
      </c>
      <c r="G454" s="10" t="inlineStr">
        <is>
          <t>Trưởng phòng</t>
        </is>
      </c>
      <c r="H454" s="10" t="inlineStr">
        <is>
          <t>03/02/2026</t>
        </is>
      </c>
      <c r="I454" s="10" t="inlineStr">
        <is>
          <t>20/03/2026</t>
        </is>
      </c>
      <c r="J454" s="10" t="inlineStr">
        <is>
          <t>17/03/2026</t>
        </is>
      </c>
      <c r="K454" s="10" t="inlineStr">
        <is>
          <t>N/A</t>
        </is>
      </c>
      <c r="L454" s="10" t="inlineStr">
        <is>
          <t>Accounting, CPA, ERP, Financial Accounting, SAP</t>
        </is>
      </c>
      <c r="M454" s="10" t="inlineStr">
        <is>
          <t>Bonus, Healthcare Plan, Paid Leave, Laptop, Others</t>
        </is>
      </c>
      <c r="N454" s="11">
        <f>HYPERLINK("https://www.vietnamworks.com/reporting-manager-finance-2009366-jv","Xem chi tiết")</f>
        <v/>
      </c>
      <c r="O454" s="10" t="n"/>
    </row>
    <row r="455">
      <c r="B455" s="7" t="n">
        <v>453</v>
      </c>
      <c r="C455" t="inlineStr">
        <is>
          <t>Senior Process Modeler (Lead BPM Modeler)</t>
        </is>
      </c>
      <c r="D455" t="inlineStr">
        <is>
          <t>Damen Song Cam Shipyard (Dscs)</t>
        </is>
      </c>
      <c r="E455" t="inlineStr">
        <is>
          <t>Thương lượng</t>
        </is>
      </c>
      <c r="F455" t="inlineStr">
        <is>
          <t>Hải Phòng</t>
        </is>
      </c>
      <c r="G455" t="inlineStr">
        <is>
          <t>Nhân viên</t>
        </is>
      </c>
      <c r="H455" t="inlineStr">
        <is>
          <t>03/02/2026</t>
        </is>
      </c>
      <c r="I455" t="inlineStr">
        <is>
          <t>20/03/2026</t>
        </is>
      </c>
      <c r="J455" t="inlineStr">
        <is>
          <t>17/03/2026</t>
        </is>
      </c>
      <c r="K455" t="inlineStr">
        <is>
          <t>N/A</t>
        </is>
      </c>
      <c r="L455" t="inlineStr">
        <is>
          <t>Business Analysis, Process Modeling, Six Sigma, BPMN Process Analysis, English</t>
        </is>
      </c>
      <c r="M455" t="inlineStr">
        <is>
          <t>Bonus, Training, Travel Opportunities</t>
        </is>
      </c>
      <c r="N455" s="8">
        <f>HYPERLINK("https://www.vietnamworks.com/senior-process-modeler-lead-bpm-modeler-2009373-jv","Xem chi tiết")</f>
        <v/>
      </c>
    </row>
    <row r="456">
      <c r="B456" s="9" t="n">
        <v>454</v>
      </c>
      <c r="C456" s="10" t="inlineStr">
        <is>
          <t>Talent Manager, Vietnam | 6-8 Months Contract</t>
        </is>
      </c>
      <c r="D456" s="10" t="inlineStr">
        <is>
          <t>lululemon Athletica Vietnam</t>
        </is>
      </c>
      <c r="E456" s="10" t="inlineStr">
        <is>
          <t>Thương lượng</t>
        </is>
      </c>
      <c r="F456" s="10" t="inlineStr">
        <is>
          <t>Hồ Chí Minh</t>
        </is>
      </c>
      <c r="G456" s="10" t="inlineStr">
        <is>
          <t>Nhân viên</t>
        </is>
      </c>
      <c r="H456" s="10" t="inlineStr">
        <is>
          <t>03/02/2026</t>
        </is>
      </c>
      <c r="I456" s="10" t="inlineStr">
        <is>
          <t>20/03/2026</t>
        </is>
      </c>
      <c r="J456" s="10" t="inlineStr">
        <is>
          <t>17/03/2026</t>
        </is>
      </c>
      <c r="K456" s="10" t="inlineStr">
        <is>
          <t>N/A</t>
        </is>
      </c>
      <c r="L456" s="10" t="inlineStr">
        <is>
          <t>Vendor Management, Merchandising, Logistics, Supply Chain Management</t>
        </is>
      </c>
      <c r="M456" s="10" t="inlineStr">
        <is>
          <t>Bonus, Healthcare Plan, Paid Leave, Laptop</t>
        </is>
      </c>
      <c r="N456" s="11">
        <f>HYPERLINK("https://www.vietnamworks.com/talent-manager-vietnam-or-6-8-months-contract-2009381-jv","Xem chi tiết")</f>
        <v/>
      </c>
      <c r="O456" s="10" t="n"/>
    </row>
    <row r="457">
      <c r="B457" s="7" t="n">
        <v>455</v>
      </c>
      <c r="C457" t="inlineStr">
        <is>
          <t>Kỹ Sư An Toàn Lao Động</t>
        </is>
      </c>
      <c r="D457" t="inlineStr">
        <is>
          <t>First Quality Management Corporation (FQM Corp.)</t>
        </is>
      </c>
      <c r="E457" t="inlineStr">
        <is>
          <t>Thương lượng</t>
        </is>
      </c>
      <c r="F457" t="inlineStr">
        <is>
          <t>Hồ Chí Minh, Hà Nội</t>
        </is>
      </c>
      <c r="G457" t="inlineStr">
        <is>
          <t>Nhân viên</t>
        </is>
      </c>
      <c r="H457" t="inlineStr">
        <is>
          <t>03/02/2026</t>
        </is>
      </c>
      <c r="I457" t="inlineStr">
        <is>
          <t>20/03/2026</t>
        </is>
      </c>
      <c r="J457" t="inlineStr">
        <is>
          <t>17/03/2026</t>
        </is>
      </c>
      <c r="K457" t="inlineStr">
        <is>
          <t>N/A</t>
        </is>
      </c>
      <c r="L457" t="inlineStr">
        <is>
          <t>Giám Sát Thi Công, Giao Tiếp Tiếng Anh, Quản Lý An Toàn Lao Động, Vi tính văn phòng, Tập Huấn Atvslđ</t>
        </is>
      </c>
      <c r="M457" t="inlineStr">
        <is>
          <t>Bonus, Healthcare Plan, Travel Opportunities</t>
        </is>
      </c>
      <c r="N457" s="8">
        <f>HYPERLINK("https://www.vietnamworks.com/ky-su-an-toan-lao-djong-2009378-jv","Xem chi tiết")</f>
        <v/>
      </c>
    </row>
    <row r="458">
      <c r="B458" s="9" t="n">
        <v>456</v>
      </c>
      <c r="C458" s="10" t="inlineStr">
        <is>
          <t>Tax Accountant</t>
        </is>
      </c>
      <c r="D458" s="10" t="inlineStr">
        <is>
          <t>CMA-CGM Viet Nam JSC</t>
        </is>
      </c>
      <c r="E458" s="10" t="inlineStr">
        <is>
          <t>Từ 1,000 ₫/tháng</t>
        </is>
      </c>
      <c r="F458" s="10" t="inlineStr">
        <is>
          <t>Hồ Chí Minh</t>
        </is>
      </c>
      <c r="G458" s="10" t="inlineStr">
        <is>
          <t>Nhân viên</t>
        </is>
      </c>
      <c r="H458" s="10" t="inlineStr">
        <is>
          <t>03/02/2026</t>
        </is>
      </c>
      <c r="I458" s="10" t="inlineStr">
        <is>
          <t>20/03/2026</t>
        </is>
      </c>
      <c r="J458" s="10" t="inlineStr">
        <is>
          <t>17/03/2026</t>
        </is>
      </c>
      <c r="K458" s="10" t="inlineStr">
        <is>
          <t>N/A</t>
        </is>
      </c>
      <c r="L458" s="10" t="inlineStr">
        <is>
          <t>Tax Compliance, Accounting, Analytical, ERP, Finance</t>
        </is>
      </c>
      <c r="M458" s="10" t="inlineStr">
        <is>
          <t>Bonus, Healthcare Plan</t>
        </is>
      </c>
      <c r="N458" s="11">
        <f>HYPERLINK("https://www.vietnamworks.com/tax-accountant-2009371-jv","Xem chi tiết")</f>
        <v/>
      </c>
      <c r="O458" s="10" t="n"/>
    </row>
    <row r="459">
      <c r="B459" s="7" t="n">
        <v>457</v>
      </c>
      <c r="C459" t="inlineStr">
        <is>
          <t>(Senior) Logistics Manager</t>
        </is>
      </c>
      <c r="D459" t="inlineStr">
        <is>
          <t>Công Ty TNHH Onpoint</t>
        </is>
      </c>
      <c r="E459" t="inlineStr">
        <is>
          <t>Thương lượng</t>
        </is>
      </c>
      <c r="F459" t="inlineStr">
        <is>
          <t>Hồ Chí Minh</t>
        </is>
      </c>
      <c r="G459" t="inlineStr">
        <is>
          <t>Trưởng phòng</t>
        </is>
      </c>
      <c r="H459" t="inlineStr">
        <is>
          <t>03/02/2026</t>
        </is>
      </c>
      <c r="I459" t="inlineStr">
        <is>
          <t>20/03/2026</t>
        </is>
      </c>
      <c r="J459" t="inlineStr">
        <is>
          <t>17/03/2026</t>
        </is>
      </c>
      <c r="K459" t="inlineStr">
        <is>
          <t>N/A</t>
        </is>
      </c>
      <c r="L459" t="inlineStr">
        <is>
          <t>Analytical Skills, Inventory Management, Logistics Management, OMS</t>
        </is>
      </c>
      <c r="M459" t="inlineStr">
        <is>
          <t>Bonus, Healthcare Plan, Paid Leave, Laptop, Mobile, Others</t>
        </is>
      </c>
      <c r="N459" s="8">
        <f>HYPERLINK("https://www.vietnamworks.com/-senior-logistics-manager-2009359-jv","Xem chi tiết")</f>
        <v/>
      </c>
    </row>
    <row r="460">
      <c r="B460" s="9" t="n">
        <v>458</v>
      </c>
      <c r="C460" s="10" t="inlineStr">
        <is>
          <t>Tax Lead</t>
        </is>
      </c>
      <c r="D460" s="10" t="inlineStr">
        <is>
          <t>Công Ty TNHH Onpoint</t>
        </is>
      </c>
      <c r="E460" s="10" t="inlineStr">
        <is>
          <t>Thương lượng</t>
        </is>
      </c>
      <c r="F460" s="10" t="inlineStr">
        <is>
          <t>Hồ Chí Minh</t>
        </is>
      </c>
      <c r="G460" s="10" t="inlineStr">
        <is>
          <t>Nhân viên</t>
        </is>
      </c>
      <c r="H460" s="10" t="inlineStr">
        <is>
          <t>03/02/2026</t>
        </is>
      </c>
      <c r="I460" s="10" t="inlineStr">
        <is>
          <t>20/03/2026</t>
        </is>
      </c>
      <c r="J460" s="10" t="inlineStr">
        <is>
          <t>17/03/2026</t>
        </is>
      </c>
      <c r="K460" s="10" t="inlineStr">
        <is>
          <t>N/A</t>
        </is>
      </c>
      <c r="L460" s="10" t="inlineStr">
        <is>
          <t>Tax Compliance, Accounting, Microsoft Excel, Audit, ACCA</t>
        </is>
      </c>
      <c r="M460" s="10" t="inlineStr">
        <is>
          <t>Bonus, Healthcare Plan, Paid Leave, Laptop, Others</t>
        </is>
      </c>
      <c r="N460" s="11">
        <f>HYPERLINK("https://www.vietnamworks.com/tax-lead-2009364-jv","Xem chi tiết")</f>
        <v/>
      </c>
      <c r="O460" s="10" t="n"/>
    </row>
    <row r="461">
      <c r="B461" s="7" t="n">
        <v>459</v>
      </c>
      <c r="C461" t="inlineStr">
        <is>
          <t>Quản Lý Đào Tạo</t>
        </is>
      </c>
      <c r="D461" t="inlineStr">
        <is>
          <t>Công Ty Cổ Phần Đầu Tư Và Thi Công Hạ Tầng VinAlpha</t>
        </is>
      </c>
      <c r="E461" t="inlineStr">
        <is>
          <t>Thương lượng</t>
        </is>
      </c>
      <c r="F461" t="inlineStr">
        <is>
          <t>Hà Nội</t>
        </is>
      </c>
      <c r="G461" t="inlineStr">
        <is>
          <t>Trưởng phòng</t>
        </is>
      </c>
      <c r="H461" t="inlineStr">
        <is>
          <t>03/02/2026</t>
        </is>
      </c>
      <c r="I461" t="inlineStr">
        <is>
          <t>20/03/2026</t>
        </is>
      </c>
      <c r="J461" t="inlineStr">
        <is>
          <t>17/03/2026</t>
        </is>
      </c>
      <c r="K461" t="inlineStr">
        <is>
          <t>N/A</t>
        </is>
      </c>
      <c r="L461" t="inlineStr">
        <is>
          <t>Đào Tạo, Training Management, Training, Quản Lý Đào Tạo, Coaching</t>
        </is>
      </c>
      <c r="M461" t="inlineStr">
        <is>
          <t>Training, Laptop, Vouchers</t>
        </is>
      </c>
      <c r="N461" s="8">
        <f>HYPERLINK("https://www.vietnamworks.com/quan-ly-dao-tao--2009369-jv","Xem chi tiết")</f>
        <v/>
      </c>
    </row>
    <row r="462">
      <c r="B462" s="9" t="n">
        <v>460</v>
      </c>
      <c r="C462" s="10" t="inlineStr">
        <is>
          <t>Phó Tổng Giám Đốc Công Nghệ</t>
        </is>
      </c>
      <c r="D462" s="10" t="inlineStr">
        <is>
          <t>Vietnamworks' Client</t>
        </is>
      </c>
      <c r="E462" s="10" t="inlineStr">
        <is>
          <t>$$ 4,000-8,000 /tháng</t>
        </is>
      </c>
      <c r="F462" s="10" t="inlineStr">
        <is>
          <t>Hà Nội</t>
        </is>
      </c>
      <c r="G462" s="10" t="inlineStr">
        <is>
          <t>Giám Đốc và Cấp Cao Hơn</t>
        </is>
      </c>
      <c r="H462" s="10" t="inlineStr">
        <is>
          <t>03/02/2026</t>
        </is>
      </c>
      <c r="I462" s="10" t="inlineStr">
        <is>
          <t>20/03/2026</t>
        </is>
      </c>
      <c r="J462" s="10" t="inlineStr">
        <is>
          <t>17/03/2026</t>
        </is>
      </c>
      <c r="K462" s="10" t="inlineStr">
        <is>
          <t>N/A</t>
        </is>
      </c>
      <c r="L462" s="10" t="inlineStr">
        <is>
          <t>Bất Động Sản, Công Nghệ Thông Tin, Smart Home Systems</t>
        </is>
      </c>
      <c r="M462" s="10" t="inlineStr">
        <is>
          <t>Bonus, Healthcare Plan, Paid Leave, Laptop, Travel Opportunities, Canteen, Vouchers</t>
        </is>
      </c>
      <c r="N462" s="11">
        <f>HYPERLINK("https://www.vietnamworks.com/pho-tong-giam-djoc-cong-nghe-2009368-jv","Xem chi tiết")</f>
        <v/>
      </c>
      <c r="O462" s="10" t="n"/>
    </row>
    <row r="463">
      <c r="B463" s="7" t="n">
        <v>461</v>
      </c>
      <c r="C463" t="inlineStr">
        <is>
          <t>Chuyên Viên Phân Tích Nghiệp Vụ</t>
        </is>
      </c>
      <c r="D463" t="inlineStr">
        <is>
          <t>Ahamove - Công Ty Cổ Phần Dịch Vụ Tức Thời</t>
        </is>
      </c>
      <c r="E463" t="inlineStr">
        <is>
          <t>Thương lượng</t>
        </is>
      </c>
      <c r="F463" t="inlineStr">
        <is>
          <t>Hồ Chí Minh</t>
        </is>
      </c>
      <c r="G463" t="inlineStr">
        <is>
          <t>Nhân viên</t>
        </is>
      </c>
      <c r="H463" t="inlineStr">
        <is>
          <t>03/02/2026</t>
        </is>
      </c>
      <c r="I463" t="inlineStr">
        <is>
          <t>20/03/2026</t>
        </is>
      </c>
      <c r="J463" t="inlineStr">
        <is>
          <t>17/03/2026</t>
        </is>
      </c>
      <c r="K463" t="inlineStr">
        <is>
          <t>N/A</t>
        </is>
      </c>
      <c r="L463" t="inlineStr">
        <is>
          <t>Data Analysis, Công Nghệ Thông Tin, Contact Center, Excel, SQL</t>
        </is>
      </c>
      <c r="M463" t="inlineStr">
        <is>
          <t>Bonus, Healthcare Plan, Paid Leave</t>
        </is>
      </c>
      <c r="N463" s="8">
        <f>HYPERLINK("https://www.vietnamworks.com/chuyen-vien-phan-tich-nghiep-vu-2009370-jv","Xem chi tiết")</f>
        <v/>
      </c>
    </row>
    <row r="464">
      <c r="B464" s="9" t="n">
        <v>462</v>
      </c>
      <c r="C464" s="10" t="inlineStr">
        <is>
          <t>Planning Manager (Social Commerce)</t>
        </is>
      </c>
      <c r="D464" s="10" t="inlineStr">
        <is>
          <t>Công Ty TNHH Onpoint</t>
        </is>
      </c>
      <c r="E464" s="10" t="inlineStr">
        <is>
          <t>Thương lượng</t>
        </is>
      </c>
      <c r="F464" s="10" t="inlineStr">
        <is>
          <t>Hồ Chí Minh</t>
        </is>
      </c>
      <c r="G464" s="10" t="inlineStr">
        <is>
          <t>Trưởng phòng</t>
        </is>
      </c>
      <c r="H464" s="10" t="inlineStr">
        <is>
          <t>03/02/2026</t>
        </is>
      </c>
      <c r="I464" s="10" t="inlineStr">
        <is>
          <t>20/03/2026</t>
        </is>
      </c>
      <c r="J464" s="10" t="inlineStr">
        <is>
          <t>17/03/2026</t>
        </is>
      </c>
      <c r="K464" s="10" t="inlineStr">
        <is>
          <t>N/A</t>
        </is>
      </c>
      <c r="L464" s="10" t="inlineStr">
        <is>
          <t>Digital Marketing, Social Media Marketing, Branding, Social Commercial, Strategic Planning</t>
        </is>
      </c>
      <c r="M464" s="10" t="inlineStr">
        <is>
          <t>Bonus, Healthcare Plan, Paid Leave, Laptop, Others</t>
        </is>
      </c>
      <c r="N464" s="11">
        <f>HYPERLINK("https://www.vietnamworks.com/planning-manager-social-commerce-2009363-jv","Xem chi tiết")</f>
        <v/>
      </c>
      <c r="O464" s="10" t="n"/>
    </row>
    <row r="465">
      <c r="B465" s="7" t="n">
        <v>463</v>
      </c>
      <c r="C465" t="inlineStr">
        <is>
          <t>Business Intelligence Intern (Power Bi/Sql Azure)</t>
        </is>
      </c>
      <c r="D465" t="inlineStr">
        <is>
          <t>The Representative Office of Four Hands LLC In Ho Chi Minh City</t>
        </is>
      </c>
      <c r="E465" t="inlineStr">
        <is>
          <t>Từ 5tr ₫/tháng</t>
        </is>
      </c>
      <c r="F465" t="inlineStr">
        <is>
          <t>Hồ Chí Minh</t>
        </is>
      </c>
      <c r="G465" t="inlineStr">
        <is>
          <t>Thực tập sinh/Sinh viên</t>
        </is>
      </c>
      <c r="H465" t="inlineStr">
        <is>
          <t>03/02/2026</t>
        </is>
      </c>
      <c r="I465" t="inlineStr">
        <is>
          <t>20/03/2026</t>
        </is>
      </c>
      <c r="J465" t="inlineStr">
        <is>
          <t>17/03/2026</t>
        </is>
      </c>
      <c r="K465" t="inlineStr">
        <is>
          <t>N/A</t>
        </is>
      </c>
      <c r="L465" t="inlineStr">
        <is>
          <t>Power BI, SQL, Data Analytics, Data Visualization, Analytical Thinking</t>
        </is>
      </c>
      <c r="M465" t="inlineStr">
        <is>
          <t>Bonus, Healthcare Plan, Awards, Others</t>
        </is>
      </c>
      <c r="N465" s="8">
        <f>HYPERLINK("https://www.vietnamworks.com/business-intelligence-intern-power-bisql-azure-2009361-jv","Xem chi tiết")</f>
        <v/>
      </c>
    </row>
    <row r="466">
      <c r="B466" s="9" t="n">
        <v>464</v>
      </c>
      <c r="C466" s="10" t="inlineStr">
        <is>
          <t>Client Services &amp; Credit Assistant for Australian Financial Advice Firm</t>
        </is>
      </c>
      <c r="D466" s="10" t="inlineStr">
        <is>
          <t>Ziku Global LLC</t>
        </is>
      </c>
      <c r="E466" s="10" t="inlineStr">
        <is>
          <t>$$ 450-1,000 /tháng</t>
        </is>
      </c>
      <c r="F466" s="10" t="inlineStr">
        <is>
          <t>Hồ Chí Minh</t>
        </is>
      </c>
      <c r="G466" s="10" t="inlineStr">
        <is>
          <t>Nhân viên</t>
        </is>
      </c>
      <c r="H466" s="10" t="inlineStr">
        <is>
          <t>03/02/2026</t>
        </is>
      </c>
      <c r="I466" s="10" t="inlineStr">
        <is>
          <t>20/03/2026</t>
        </is>
      </c>
      <c r="J466" s="10" t="inlineStr">
        <is>
          <t>17/03/2026</t>
        </is>
      </c>
      <c r="K466" s="10" t="inlineStr">
        <is>
          <t>N/A</t>
        </is>
      </c>
      <c r="L466" s="10" t="inlineStr">
        <is>
          <t>English Fluency, Microsoft Office Proficiency, Finance knowledge, Customer Care &amp; Client Services, Investment Support</t>
        </is>
      </c>
      <c r="M466" s="10" t="inlineStr">
        <is>
          <t>Bonus, Healthcare Plan, Training</t>
        </is>
      </c>
      <c r="N466" s="11">
        <f>HYPERLINK("https://www.vietnamworks.com/client-services-credit-assistant-for-australian-financial-advice-firm-2009376-jv","Xem chi tiết")</f>
        <v/>
      </c>
      <c r="O466" s="10" t="n"/>
    </row>
    <row r="467">
      <c r="B467" s="7" t="n">
        <v>465</v>
      </c>
      <c r="C467" t="inlineStr">
        <is>
          <t>Head of Affiliate</t>
        </is>
      </c>
      <c r="D467" t="inlineStr">
        <is>
          <t>Công Ty TNHH Onpoint</t>
        </is>
      </c>
      <c r="E467" t="inlineStr">
        <is>
          <t>Thương lượng</t>
        </is>
      </c>
      <c r="F467" t="inlineStr">
        <is>
          <t>Hồ Chí Minh</t>
        </is>
      </c>
      <c r="G467" t="inlineStr">
        <is>
          <t>Giám Đốc và Cấp Cao Hơn</t>
        </is>
      </c>
      <c r="H467" t="inlineStr">
        <is>
          <t>03/02/2026</t>
        </is>
      </c>
      <c r="I467" t="inlineStr">
        <is>
          <t>20/03/2026</t>
        </is>
      </c>
      <c r="J467" t="inlineStr">
        <is>
          <t>17/03/2026</t>
        </is>
      </c>
      <c r="K467" t="inlineStr">
        <is>
          <t>N/A</t>
        </is>
      </c>
      <c r="L467" t="inlineStr">
        <is>
          <t>Affiliate Marketing, Branding Marketing, Digital Marketing, Social Media Communication, Social Media Marketing</t>
        </is>
      </c>
      <c r="M467" t="inlineStr">
        <is>
          <t>Bonus, Healthcare Plan, Paid Leave, Laptop, Others</t>
        </is>
      </c>
      <c r="N467" s="8">
        <f>HYPERLINK("https://www.vietnamworks.com/head-of-affiliate-2009367-jv","Xem chi tiết")</f>
        <v/>
      </c>
    </row>
    <row r="468">
      <c r="B468" s="9" t="n">
        <v>466</v>
      </c>
      <c r="C468" s="10" t="inlineStr">
        <is>
          <t>Nam Chuyên Viên Thiết Kế Nội Thất 3D ( Thiết Kế Showroom Trưng Bày)</t>
        </is>
      </c>
      <c r="D468" s="10" t="inlineStr">
        <is>
          <t>Công Ty Cổ Phần Prime Group</t>
        </is>
      </c>
      <c r="E468" s="10" t="inlineStr">
        <is>
          <t>$$ 400-700 /tháng</t>
        </is>
      </c>
      <c r="F468" s="10" t="inlineStr">
        <is>
          <t>Vĩnh Phúc</t>
        </is>
      </c>
      <c r="G468" s="10" t="inlineStr">
        <is>
          <t>Nhân viên</t>
        </is>
      </c>
      <c r="H468" s="10" t="inlineStr">
        <is>
          <t>03/02/2026</t>
        </is>
      </c>
      <c r="I468" s="10" t="inlineStr">
        <is>
          <t>20/03/2026</t>
        </is>
      </c>
      <c r="J468" s="10" t="inlineStr">
        <is>
          <t>17/03/2026</t>
        </is>
      </c>
      <c r="K468" s="10" t="inlineStr">
        <is>
          <t>N/A</t>
        </is>
      </c>
      <c r="L468" s="10" t="inlineStr">
        <is>
          <t>Thiết Kế Nội Thất, 3D Max, Kiến Trúc Xây Dựng, Thiết Kế Showroom, Thiết kế gian hàng</t>
        </is>
      </c>
      <c r="M468" s="10" t="inlineStr">
        <is>
          <t>Bonus, Training, Canteen</t>
        </is>
      </c>
      <c r="N468" s="11">
        <f>HYPERLINK("https://www.vietnamworks.com/nam-chuyen-vien-thiet-ke-noi-that-3d-thiet-ke-showroom-trung-bay-2009384-jv","Xem chi tiết")</f>
        <v/>
      </c>
      <c r="O468" s="10" t="n"/>
    </row>
    <row r="469">
      <c r="B469" s="7" t="n">
        <v>467</v>
      </c>
      <c r="C469" t="inlineStr">
        <is>
          <t>Chief Accountant</t>
        </is>
      </c>
      <c r="D469" t="inlineStr">
        <is>
          <t>Công Ty TNHH Onpoint</t>
        </is>
      </c>
      <c r="E469" t="inlineStr">
        <is>
          <t>Thương lượng</t>
        </is>
      </c>
      <c r="F469" t="inlineStr">
        <is>
          <t>Hồ Chí Minh</t>
        </is>
      </c>
      <c r="G469" t="inlineStr">
        <is>
          <t>Trưởng phòng</t>
        </is>
      </c>
      <c r="H469" t="inlineStr">
        <is>
          <t>03/02/2026</t>
        </is>
      </c>
      <c r="I469" t="inlineStr">
        <is>
          <t>20/03/2026</t>
        </is>
      </c>
      <c r="J469" t="inlineStr">
        <is>
          <t>17/03/2026</t>
        </is>
      </c>
      <c r="K469" t="inlineStr">
        <is>
          <t>N/A</t>
        </is>
      </c>
      <c r="L469" t="inlineStr">
        <is>
          <t>Tax Compliance, Accounting, ACCA, Financial Accounting, IFRS</t>
        </is>
      </c>
      <c r="M469" t="inlineStr">
        <is>
          <t>Bonus, Healthcare Plan, Paid Leave, Training, Laptop, Mobile, Team Activities, Others</t>
        </is>
      </c>
      <c r="N469" s="8">
        <f>HYPERLINK("https://www.vietnamworks.com/chief-accountant-2009365-jv","Xem chi tiết")</f>
        <v/>
      </c>
    </row>
    <row r="470">
      <c r="B470" s="9" t="n">
        <v>468</v>
      </c>
      <c r="C470" s="10" t="inlineStr">
        <is>
          <t>HR &amp; Admin Supervisor (Outsource Contract)</t>
        </is>
      </c>
      <c r="D470" s="10" t="inlineStr">
        <is>
          <t>CMA-CGM Viet Nam JSC</t>
        </is>
      </c>
      <c r="E470" s="10" t="inlineStr">
        <is>
          <t>Từ 500 ₫/tháng</t>
        </is>
      </c>
      <c r="F470" s="10" t="inlineStr">
        <is>
          <t>Hồ Chí Minh</t>
        </is>
      </c>
      <c r="G470" s="10" t="inlineStr">
        <is>
          <t>Nhân viên</t>
        </is>
      </c>
      <c r="H470" s="10" t="inlineStr">
        <is>
          <t>03/02/2026</t>
        </is>
      </c>
      <c r="I470" s="10" t="inlineStr">
        <is>
          <t>20/03/2026</t>
        </is>
      </c>
      <c r="J470" s="10" t="inlineStr">
        <is>
          <t>17/03/2026</t>
        </is>
      </c>
      <c r="K470" s="10" t="inlineStr">
        <is>
          <t>N/A</t>
        </is>
      </c>
      <c r="L470" s="10" t="inlineStr">
        <is>
          <t>Office Administration, Recruitment, Vendor Management, HR Operations</t>
        </is>
      </c>
      <c r="M470" s="10" t="inlineStr">
        <is>
          <t>Bonus, Healthcare Plan</t>
        </is>
      </c>
      <c r="N470" s="11">
        <f>HYPERLINK("https://www.vietnamworks.com/hr-and-admin-supervisor-outsource-contract-2009375-jv","Xem chi tiết")</f>
        <v/>
      </c>
      <c r="O470" s="10" t="n"/>
    </row>
    <row r="471">
      <c r="B471" s="7" t="n">
        <v>469</v>
      </c>
      <c r="C471" t="inlineStr">
        <is>
          <t>Business Development Team Leader</t>
        </is>
      </c>
      <c r="D471" t="inlineStr">
        <is>
          <t>Công Ty TNHH Onpoint</t>
        </is>
      </c>
      <c r="E471" t="inlineStr">
        <is>
          <t>Thương lượng</t>
        </is>
      </c>
      <c r="F471" t="inlineStr">
        <is>
          <t>Hồ Chí Minh</t>
        </is>
      </c>
      <c r="G471" t="inlineStr">
        <is>
          <t>Trưởng phòng</t>
        </is>
      </c>
      <c r="H471" t="inlineStr">
        <is>
          <t>03/02/2026</t>
        </is>
      </c>
      <c r="I471" t="inlineStr">
        <is>
          <t>20/03/2026</t>
        </is>
      </c>
      <c r="J471" t="inlineStr">
        <is>
          <t>17/03/2026</t>
        </is>
      </c>
      <c r="K471" t="inlineStr">
        <is>
          <t>N/A</t>
        </is>
      </c>
      <c r="L471" t="inlineStr">
        <is>
          <t>Ecommerce Background, Team Management, Stakeholder Management, Data Analysis, English Communication</t>
        </is>
      </c>
      <c r="M471" t="inlineStr">
        <is>
          <t>Bonus, Healthcare Plan, Paid Leave, Laptop, Others</t>
        </is>
      </c>
      <c r="N471" s="8">
        <f>HYPERLINK("https://www.vietnamworks.com/business-development-team-leader-2009362-jv","Xem chi tiết")</f>
        <v/>
      </c>
    </row>
    <row r="472">
      <c r="B472" s="9" t="n">
        <v>470</v>
      </c>
      <c r="C472" s="10" t="inlineStr">
        <is>
          <t>Body Plastic Design Lead Engineer</t>
        </is>
      </c>
      <c r="D472" s="10" t="inlineStr">
        <is>
          <t>VINFAST TRADING AND PRODUCTION JSC</t>
        </is>
      </c>
      <c r="E472" s="10" t="inlineStr">
        <is>
          <t>Thương lượng</t>
        </is>
      </c>
      <c r="F472" s="10" t="inlineStr">
        <is>
          <t>Hà Nội</t>
        </is>
      </c>
      <c r="G472" s="10" t="inlineStr">
        <is>
          <t>Nhân viên</t>
        </is>
      </c>
      <c r="H472" s="10" t="inlineStr">
        <is>
          <t>03/02/2026</t>
        </is>
      </c>
      <c r="I472" s="10" t="inlineStr">
        <is>
          <t>20/03/2026</t>
        </is>
      </c>
      <c r="J472" s="10" t="inlineStr">
        <is>
          <t>17/03/2026</t>
        </is>
      </c>
      <c r="K472" s="10" t="inlineStr">
        <is>
          <t>N/A</t>
        </is>
      </c>
      <c r="L472" s="10" t="inlineStr">
        <is>
          <t>English, Mechanical Product Design, CAD, Leadership</t>
        </is>
      </c>
      <c r="M472" s="10" t="inlineStr">
        <is>
          <t>Bonus, Healthcare Plan, Others</t>
        </is>
      </c>
      <c r="N472" s="11">
        <f>HYPERLINK("https://www.vietnamworks.com/body-plastic-design-lead-engineer-2009380-jv","Xem chi tiết")</f>
        <v/>
      </c>
      <c r="O472" s="10" t="n"/>
    </row>
    <row r="473">
      <c r="B473" s="7" t="n">
        <v>471</v>
      </c>
      <c r="C473" t="inlineStr">
        <is>
          <t xml:space="preserve">Chuyên Viên Quản Lý Thiết Kế </t>
        </is>
      </c>
      <c r="D473" t="inlineStr">
        <is>
          <t>Công Ty Cổ Phần Địa Ốc Phú Long</t>
        </is>
      </c>
      <c r="E473" t="inlineStr">
        <is>
          <t>Thương lượng</t>
        </is>
      </c>
      <c r="F473" t="inlineStr">
        <is>
          <t>Hồ Chí Minh</t>
        </is>
      </c>
      <c r="G473" t="inlineStr">
        <is>
          <t>Nhân viên</t>
        </is>
      </c>
      <c r="H473" t="inlineStr">
        <is>
          <t>03/02/2026</t>
        </is>
      </c>
      <c r="I473" t="inlineStr">
        <is>
          <t>20/03/2026</t>
        </is>
      </c>
      <c r="J473" t="inlineStr">
        <is>
          <t>17/03/2026</t>
        </is>
      </c>
      <c r="K473" t="inlineStr">
        <is>
          <t>N/A</t>
        </is>
      </c>
      <c r="L473" t="inlineStr">
        <is>
          <t>Quản Lý Thiết Kế Kết Cấu, Giám Sát Công Trình, Etabs, Kết Cấu Công Trình, Plaxis</t>
        </is>
      </c>
      <c r="M473" t="inlineStr">
        <is>
          <t>Bonus, Healthcare Plan, Training, Awards, Others</t>
        </is>
      </c>
      <c r="N473" s="8">
        <f>HYPERLINK("https://www.vietnamworks.com/chuyen-vien-quan-ly-thiet-ke-2009387-jv","Xem chi tiết")</f>
        <v/>
      </c>
    </row>
    <row r="474">
      <c r="B474" s="9" t="n">
        <v>472</v>
      </c>
      <c r="C474" s="10" t="inlineStr">
        <is>
          <t>Chuyên Viên Đảm Bảo Chất Lượng (QA Specialist – Pharmaceutical Distribution)</t>
        </is>
      </c>
      <c r="D474" s="10" t="inlineStr">
        <is>
          <t>Công Ty TNHH Dược Phẩm New Far East</t>
        </is>
      </c>
      <c r="E474" s="10" t="inlineStr">
        <is>
          <t>Thương lượng</t>
        </is>
      </c>
      <c r="F474" s="10" t="inlineStr">
        <is>
          <t>Hồ Chí Minh</t>
        </is>
      </c>
      <c r="G474" s="10" t="inlineStr">
        <is>
          <t>Nhân viên</t>
        </is>
      </c>
      <c r="H474" s="10" t="inlineStr">
        <is>
          <t>03/02/2026</t>
        </is>
      </c>
      <c r="I474" s="10" t="inlineStr">
        <is>
          <t>20/03/2026</t>
        </is>
      </c>
      <c r="J474" s="10" t="inlineStr">
        <is>
          <t>17/03/2026</t>
        </is>
      </c>
      <c r="K474" s="10" t="inlineStr">
        <is>
          <t>N/A</t>
        </is>
      </c>
      <c r="L474" s="10" t="inlineStr">
        <is>
          <t>Regulatory Affairs, Quality Control, Quality Assurance, Chất Lượng Sản Phẩm, Đảm Bảo Chất Lượng</t>
        </is>
      </c>
      <c r="M474" s="10" t="inlineStr">
        <is>
          <t>Bonus, Healthcare Plan, Paid Leave</t>
        </is>
      </c>
      <c r="N474" s="11">
        <f>HYPERLINK("https://www.vietnamworks.com/chuyen-vien-dam-bao-chat-luong-qa-specialist-pharmaceutical-distribution-2009388-jv","Xem chi tiết")</f>
        <v/>
      </c>
      <c r="O474" s="10" t="n"/>
    </row>
    <row r="475">
      <c r="B475" s="7" t="n">
        <v>473</v>
      </c>
      <c r="C475" t="inlineStr">
        <is>
          <t>Senior HRIS (Contractor 6-Month)</t>
        </is>
      </c>
      <c r="D475" t="inlineStr">
        <is>
          <t>NAB Innovation Centre Vietnam</t>
        </is>
      </c>
      <c r="E475" t="inlineStr">
        <is>
          <t>Thương lượng</t>
        </is>
      </c>
      <c r="F475" t="inlineStr">
        <is>
          <t>Hồ Chí Minh</t>
        </is>
      </c>
      <c r="G475" t="inlineStr">
        <is>
          <t>Nhân viên</t>
        </is>
      </c>
      <c r="H475" t="inlineStr">
        <is>
          <t>03/02/2026</t>
        </is>
      </c>
      <c r="I475" t="inlineStr">
        <is>
          <t>20/03/2026</t>
        </is>
      </c>
      <c r="J475" t="inlineStr">
        <is>
          <t>17/03/2026</t>
        </is>
      </c>
      <c r="K475" t="inlineStr">
        <is>
          <t>N/A</t>
        </is>
      </c>
      <c r="L475" t="inlineStr">
        <is>
          <t>HRIS, SAP SuccessFactors/Workday HCM, WorkDay, SAP, System implementation</t>
        </is>
      </c>
      <c r="M475" t="inlineStr">
        <is>
          <t>Bonus, Healthcare Plan, Team Activities</t>
        </is>
      </c>
      <c r="N475" s="8">
        <f>HYPERLINK("https://www.vietnamworks.com/senior-hris-contractor-6-month-2009386-jv","Xem chi tiết")</f>
        <v/>
      </c>
    </row>
    <row r="476">
      <c r="B476" s="9" t="n">
        <v>474</v>
      </c>
      <c r="C476" s="10" t="inlineStr">
        <is>
          <t>Sales Support Executive</t>
        </is>
      </c>
      <c r="D476" s="10" t="inlineStr">
        <is>
          <t>Uniexport CO., LTD</t>
        </is>
      </c>
      <c r="E476" s="10" t="inlineStr">
        <is>
          <t>Thương lượng</t>
        </is>
      </c>
      <c r="F476" s="10" t="inlineStr">
        <is>
          <t>Hồ Chí Minh</t>
        </is>
      </c>
      <c r="G476" s="10" t="inlineStr">
        <is>
          <t>Nhân viên</t>
        </is>
      </c>
      <c r="H476" s="10" t="inlineStr">
        <is>
          <t>03/02/2026</t>
        </is>
      </c>
      <c r="I476" s="10" t="inlineStr">
        <is>
          <t>20/03/2026</t>
        </is>
      </c>
      <c r="J476" s="10" t="inlineStr">
        <is>
          <t>17/03/2026</t>
        </is>
      </c>
      <c r="K476" s="10" t="inlineStr">
        <is>
          <t>N/A</t>
        </is>
      </c>
      <c r="L476" s="10" t="inlineStr">
        <is>
          <t>Communication Skills, Negotiation Skills, Organizational skills, Sales Administration, Sales Support</t>
        </is>
      </c>
      <c r="M476" s="10" t="inlineStr">
        <is>
          <t>Bonus, Healthcare Plan, Paid Leave, Training, Team Activities, Others</t>
        </is>
      </c>
      <c r="N476" s="11">
        <f>HYPERLINK("https://www.vietnamworks.com/sales-support-executive-2009407-jv","Xem chi tiết")</f>
        <v/>
      </c>
      <c r="O476" s="10" t="n"/>
    </row>
    <row r="477">
      <c r="B477" s="7" t="n">
        <v>475</v>
      </c>
      <c r="C477" t="inlineStr">
        <is>
          <t>Giảng Viên Ngành Thương Mại Điện Tử</t>
        </is>
      </c>
      <c r="D477" t="inlineStr">
        <is>
          <t>Trường Đại Học Kinh Tế - Tài Chính TPHCM</t>
        </is>
      </c>
      <c r="E477" t="inlineStr">
        <is>
          <t>Thương lượng</t>
        </is>
      </c>
      <c r="F477" t="inlineStr">
        <is>
          <t>Hồ Chí Minh</t>
        </is>
      </c>
      <c r="G477" t="inlineStr">
        <is>
          <t>Nhân viên</t>
        </is>
      </c>
      <c r="H477" t="inlineStr">
        <is>
          <t>03/02/2026</t>
        </is>
      </c>
      <c r="I477" t="inlineStr">
        <is>
          <t>20/03/2026</t>
        </is>
      </c>
      <c r="J477" t="inlineStr">
        <is>
          <t>17/03/2026</t>
        </is>
      </c>
      <c r="K477" t="inlineStr">
        <is>
          <t>N/A</t>
        </is>
      </c>
      <c r="L477" t="inlineStr">
        <is>
          <t>Thương Mại Điện Tử, Thiết Kế Bài Giảng, Giảng Dạy, Tiếng Anh, Thanh Toán Điện Tử</t>
        </is>
      </c>
      <c r="M477" t="inlineStr">
        <is>
          <t>Others</t>
        </is>
      </c>
      <c r="N477" s="8">
        <f>HYPERLINK("https://www.vietnamworks.com/giang-vien-nganh-thuong-mai-dien-tu--2009406-jv","Xem chi tiết")</f>
        <v/>
      </c>
    </row>
    <row r="478">
      <c r="B478" s="9" t="n">
        <v>476</v>
      </c>
      <c r="C478" s="10" t="inlineStr">
        <is>
          <t>Sales Engineer – Industrial Electrical Equipment</t>
        </is>
      </c>
      <c r="D478" s="10" t="inlineStr">
        <is>
          <t>Công Ty TNHH Phát Triển Kĩ Thuật Việt Nam(VTD)</t>
        </is>
      </c>
      <c r="E478" s="10" t="inlineStr">
        <is>
          <t>Thương lượng</t>
        </is>
      </c>
      <c r="F478" s="10" t="inlineStr">
        <is>
          <t>Hà Nội</t>
        </is>
      </c>
      <c r="G478" s="10" t="inlineStr">
        <is>
          <t>Nhân viên</t>
        </is>
      </c>
      <c r="H478" s="10" t="inlineStr">
        <is>
          <t>03/02/2026</t>
        </is>
      </c>
      <c r="I478" s="10" t="inlineStr">
        <is>
          <t>20/03/2026</t>
        </is>
      </c>
      <c r="J478" s="10" t="inlineStr">
        <is>
          <t>17/03/2026</t>
        </is>
      </c>
      <c r="K478" s="10" t="inlineStr">
        <is>
          <t>N/A</t>
        </is>
      </c>
      <c r="L478" s="10" t="inlineStr">
        <is>
          <t>AutoCAD, Bản Vẽ Kỹ Thuật, Chuyên Ngành Điện, Sale Support</t>
        </is>
      </c>
      <c r="M478" s="10" t="inlineStr">
        <is>
          <t>Bonus, Training, Others</t>
        </is>
      </c>
      <c r="N478" s="11">
        <f>HYPERLINK("https://www.vietnamworks.com/sales-engineer-industrial-electrical-equipment-2009395-jv","Xem chi tiết")</f>
        <v/>
      </c>
      <c r="O478" s="10" t="n"/>
    </row>
    <row r="479">
      <c r="B479" s="7" t="n">
        <v>477</v>
      </c>
      <c r="C479" t="inlineStr">
        <is>
          <t>Giảng Viên Ngành Luật Kinh Tế</t>
        </is>
      </c>
      <c r="D479" t="inlineStr">
        <is>
          <t>Trường Đại Học Kinh Tế - Tài Chính TPHCM</t>
        </is>
      </c>
      <c r="E479" t="inlineStr">
        <is>
          <t>Thương lượng</t>
        </is>
      </c>
      <c r="F479" t="inlineStr">
        <is>
          <t>Hồ Chí Minh</t>
        </is>
      </c>
      <c r="G479" t="inlineStr">
        <is>
          <t>Nhân viên</t>
        </is>
      </c>
      <c r="H479" t="inlineStr">
        <is>
          <t>03/02/2026</t>
        </is>
      </c>
      <c r="I479" t="inlineStr">
        <is>
          <t>20/03/2026</t>
        </is>
      </c>
      <c r="J479" t="inlineStr">
        <is>
          <t>17/03/2026</t>
        </is>
      </c>
      <c r="K479" t="inlineStr">
        <is>
          <t>N/A</t>
        </is>
      </c>
      <c r="L479" t="inlineStr">
        <is>
          <t>Luật Kinh Tế, Giảng Dạy, Tiếng Anh, Luật Thuế, Thiết Kế Bài Giảng</t>
        </is>
      </c>
      <c r="M479" t="inlineStr">
        <is>
          <t>Others</t>
        </is>
      </c>
      <c r="N479" s="8">
        <f>HYPERLINK("https://www.vietnamworks.com/giang-vien-nganh-luat-kinh-te--2009403-jv","Xem chi tiết")</f>
        <v/>
      </c>
    </row>
    <row r="480">
      <c r="B480" s="9" t="n">
        <v>478</v>
      </c>
      <c r="C480" s="10" t="inlineStr">
        <is>
          <t>Giảng Viên Ngành Kỹ Thuật Phần Mềm</t>
        </is>
      </c>
      <c r="D480" s="10" t="inlineStr">
        <is>
          <t>Trường Đại Học Kinh Tế - Tài Chính TPHCM</t>
        </is>
      </c>
      <c r="E480" s="10" t="inlineStr">
        <is>
          <t>Thương lượng</t>
        </is>
      </c>
      <c r="F480" s="10" t="inlineStr">
        <is>
          <t>Hồ Chí Minh</t>
        </is>
      </c>
      <c r="G480" s="10" t="inlineStr">
        <is>
          <t>Nhân viên</t>
        </is>
      </c>
      <c r="H480" s="10" t="inlineStr">
        <is>
          <t>03/02/2026</t>
        </is>
      </c>
      <c r="I480" s="10" t="inlineStr">
        <is>
          <t>20/03/2026</t>
        </is>
      </c>
      <c r="J480" s="10" t="inlineStr">
        <is>
          <t>17/03/2026</t>
        </is>
      </c>
      <c r="K480" s="10" t="inlineStr">
        <is>
          <t>N/A</t>
        </is>
      </c>
      <c r="L480" s="10" t="inlineStr">
        <is>
          <t>Tiếng Anh, Giảng Dạy, Thiết Kế Bài Giảng, Công Nghệ Thông Tin, Kỹ Thuật Phần Mềm</t>
        </is>
      </c>
      <c r="M480" s="10" t="inlineStr">
        <is>
          <t>Others</t>
        </is>
      </c>
      <c r="N480" s="11">
        <f>HYPERLINK("https://www.vietnamworks.com/giang-vien-nganh-ky-thuat-phan-mem-2009415-jv","Xem chi tiết")</f>
        <v/>
      </c>
      <c r="O480" s="10" t="n"/>
    </row>
    <row r="481">
      <c r="B481" s="7" t="n">
        <v>479</v>
      </c>
      <c r="C481" t="inlineStr">
        <is>
          <t>Giảng Viên Ngành Công Nghệ Thông Tin</t>
        </is>
      </c>
      <c r="D481" t="inlineStr">
        <is>
          <t>Trường Đại Học Kinh Tế - Tài Chính TPHCM</t>
        </is>
      </c>
      <c r="E481" t="inlineStr">
        <is>
          <t>Thương lượng</t>
        </is>
      </c>
      <c r="F481" t="inlineStr">
        <is>
          <t>Hồ Chí Minh</t>
        </is>
      </c>
      <c r="G481" t="inlineStr">
        <is>
          <t>Nhân viên</t>
        </is>
      </c>
      <c r="H481" t="inlineStr">
        <is>
          <t>03/02/2026</t>
        </is>
      </c>
      <c r="I481" t="inlineStr">
        <is>
          <t>20/03/2026</t>
        </is>
      </c>
      <c r="J481" t="inlineStr">
        <is>
          <t>17/03/2026</t>
        </is>
      </c>
      <c r="K481" t="inlineStr">
        <is>
          <t>N/A</t>
        </is>
      </c>
      <c r="L481" t="inlineStr">
        <is>
          <t>Công Nghệ Thông Tin, Giảng Dạy, Giáo Dục Đào Tạo, Tiếng Anh, Biên Soạn Giáo Trình</t>
        </is>
      </c>
      <c r="M481" t="inlineStr">
        <is>
          <t>Others</t>
        </is>
      </c>
      <c r="N481" s="8">
        <f>HYPERLINK("https://www.vietnamworks.com/giang-vien-nganh-cong-nghe-thong-tin--2009412-jv","Xem chi tiết")</f>
        <v/>
      </c>
    </row>
    <row r="482">
      <c r="B482" s="9" t="n">
        <v>480</v>
      </c>
      <c r="C482" s="10" t="inlineStr">
        <is>
          <t>Giảng Viên Ngành Marketing</t>
        </is>
      </c>
      <c r="D482" s="10" t="inlineStr">
        <is>
          <t>Trường Đại Học Kinh Tế - Tài Chính TPHCM</t>
        </is>
      </c>
      <c r="E482" s="10" t="inlineStr">
        <is>
          <t>Thương lượng</t>
        </is>
      </c>
      <c r="F482" s="10" t="inlineStr">
        <is>
          <t>Hồ Chí Minh</t>
        </is>
      </c>
      <c r="G482" s="10" t="inlineStr">
        <is>
          <t>Nhân viên</t>
        </is>
      </c>
      <c r="H482" s="10" t="inlineStr">
        <is>
          <t>03/02/2026</t>
        </is>
      </c>
      <c r="I482" s="10" t="inlineStr">
        <is>
          <t>20/03/2026</t>
        </is>
      </c>
      <c r="J482" s="10" t="inlineStr">
        <is>
          <t>17/03/2026</t>
        </is>
      </c>
      <c r="K482" s="10" t="inlineStr">
        <is>
          <t>N/A</t>
        </is>
      </c>
      <c r="L482" s="10" t="inlineStr">
        <is>
          <t>Giảng Dạy, Tiếng Anh, Marketing, Branding, Thiết Kế Bài Giảng</t>
        </is>
      </c>
      <c r="M482" s="10" t="inlineStr">
        <is>
          <t>Others</t>
        </is>
      </c>
      <c r="N482" s="11">
        <f>HYPERLINK("https://www.vietnamworks.com/giang-vien-nganh-marketing--2009410-jv","Xem chi tiết")</f>
        <v/>
      </c>
      <c r="O482" s="10" t="n"/>
    </row>
    <row r="483">
      <c r="B483" s="7" t="n">
        <v>481</v>
      </c>
      <c r="C483" t="inlineStr">
        <is>
          <t>Nhân Viên Kinh Doanh - Kênh Thị Trường (Thiết Bị Vệ Sinh)</t>
        </is>
      </c>
      <c r="D483" t="inlineStr">
        <is>
          <t>Công Ty Cổ Phần Prime Group</t>
        </is>
      </c>
      <c r="E483" t="inlineStr">
        <is>
          <t>Thương lượng</t>
        </is>
      </c>
      <c r="F483" t="inlineStr">
        <is>
          <t>Hồ Chí Minh</t>
        </is>
      </c>
      <c r="G483" t="inlineStr">
        <is>
          <t>Nhân viên</t>
        </is>
      </c>
      <c r="H483" t="inlineStr">
        <is>
          <t>03/02/2026</t>
        </is>
      </c>
      <c r="I483" t="inlineStr">
        <is>
          <t>20/03/2026</t>
        </is>
      </c>
      <c r="J483" t="inlineStr">
        <is>
          <t>17/03/2026</t>
        </is>
      </c>
      <c r="K483" t="inlineStr">
        <is>
          <t>N/A</t>
        </is>
      </c>
      <c r="L483" t="inlineStr">
        <is>
          <t>Bán Hàng Kỹ Thuật, Bán Hàng, Sales Channel Development, Kinh Doanh, Thiết Bị Vệ Sinh</t>
        </is>
      </c>
      <c r="M483" t="inlineStr">
        <is>
          <t>Bonus, Healthcare Plan, Paid Leave</t>
        </is>
      </c>
      <c r="N483" s="8">
        <f>HYPERLINK("https://www.vietnamworks.com/nhan-vien-kinh-doanh-kenh-thi-truong-thiet-bi-ve-sinh-2009398-jv","Xem chi tiết")</f>
        <v/>
      </c>
    </row>
    <row r="484">
      <c r="B484" s="9" t="n">
        <v>482</v>
      </c>
      <c r="C484" s="10" t="inlineStr">
        <is>
          <t>Key Account Manager (4PL Solution)</t>
        </is>
      </c>
      <c r="D484" s="10" t="inlineStr">
        <is>
          <t>Vietnam Post Logistics</t>
        </is>
      </c>
      <c r="E484" s="10" t="inlineStr">
        <is>
          <t>Tới $ 2,000 /tháng</t>
        </is>
      </c>
      <c r="F484" s="10" t="inlineStr">
        <is>
          <t>Hà Nội</t>
        </is>
      </c>
      <c r="G484" s="10" t="inlineStr">
        <is>
          <t>Trưởng phòng</t>
        </is>
      </c>
      <c r="H484" s="10" t="inlineStr">
        <is>
          <t>03/02/2026</t>
        </is>
      </c>
      <c r="I484" s="10" t="inlineStr">
        <is>
          <t>20/03/2026</t>
        </is>
      </c>
      <c r="J484" s="10" t="inlineStr">
        <is>
          <t>17/03/2026</t>
        </is>
      </c>
      <c r="K484" s="10" t="inlineStr">
        <is>
          <t>N/A</t>
        </is>
      </c>
      <c r="L484" s="10" t="inlineStr">
        <is>
          <t>4PL, solution sale, Business Intelligence, Supply Chain Consulting, Strategic Account Management</t>
        </is>
      </c>
      <c r="M484" s="10" t="inlineStr">
        <is>
          <t>Bonus, Healthcare Plan, Paid Leave, Training, Awards, Team Activities, Canteen, Others</t>
        </is>
      </c>
      <c r="N484" s="11">
        <f>HYPERLINK("https://www.vietnamworks.com/key-account-manager-4pl-solution-2009393-jv","Xem chi tiết")</f>
        <v/>
      </c>
      <c r="O484" s="10" t="n"/>
    </row>
    <row r="485">
      <c r="B485" s="7" t="n">
        <v>483</v>
      </c>
      <c r="C485" t="inlineStr">
        <is>
          <t>Procurement Executive</t>
        </is>
      </c>
      <c r="D485" t="inlineStr">
        <is>
          <t>Uniexport CO., LTD</t>
        </is>
      </c>
      <c r="E485" t="inlineStr">
        <is>
          <t>Thương lượng</t>
        </is>
      </c>
      <c r="F485" t="inlineStr">
        <is>
          <t>Hồ Chí Minh</t>
        </is>
      </c>
      <c r="G485" t="inlineStr">
        <is>
          <t>Nhân viên</t>
        </is>
      </c>
      <c r="H485" t="inlineStr">
        <is>
          <t>03/02/2026</t>
        </is>
      </c>
      <c r="I485" t="inlineStr">
        <is>
          <t>20/03/2026</t>
        </is>
      </c>
      <c r="J485" t="inlineStr">
        <is>
          <t>17/03/2026</t>
        </is>
      </c>
      <c r="K485" t="inlineStr">
        <is>
          <t>N/A</t>
        </is>
      </c>
      <c r="L485" t="inlineStr">
        <is>
          <t>Communication Skills, Microsoft Office 365, Negotiation Skills, Procurement Planning, Supplier Relationship Management</t>
        </is>
      </c>
      <c r="M485" t="inlineStr">
        <is>
          <t>Bonus, Healthcare Plan, Paid Leave, Training, Team Activities, Others</t>
        </is>
      </c>
      <c r="N485" s="8">
        <f>HYPERLINK("https://www.vietnamworks.com/procurement-executive-2009401-jv","Xem chi tiết")</f>
        <v/>
      </c>
    </row>
    <row r="486">
      <c r="B486" s="9" t="n">
        <v>484</v>
      </c>
      <c r="C486" s="10" t="inlineStr">
        <is>
          <t>Kiến Trúc Sư Thiết Kế Quy Hoạch (Hà Nội)</t>
        </is>
      </c>
      <c r="D486" s="10" t="inlineStr">
        <is>
          <t>JC VIETNAM JOINT STOCK COMPANY (JC)</t>
        </is>
      </c>
      <c r="E486" s="10" t="inlineStr">
        <is>
          <t>Từ $ 750 /tháng</t>
        </is>
      </c>
      <c r="F486" s="10" t="inlineStr">
        <is>
          <t>Hà Nội</t>
        </is>
      </c>
      <c r="G486" s="10" t="inlineStr">
        <is>
          <t>Nhân viên</t>
        </is>
      </c>
      <c r="H486" s="10" t="inlineStr">
        <is>
          <t>03/02/2026</t>
        </is>
      </c>
      <c r="I486" s="10" t="inlineStr">
        <is>
          <t>20/03/2026</t>
        </is>
      </c>
      <c r="J486" s="10" t="inlineStr">
        <is>
          <t>17/03/2026</t>
        </is>
      </c>
      <c r="K486" s="10" t="inlineStr">
        <is>
          <t>N/A</t>
        </is>
      </c>
      <c r="L486" s="10" t="inlineStr">
        <is>
          <t>Sketchup, Kiến Trúc Xây Dựng, Kiến Trúc Công Trình, Conceptual Design, AutoCAD</t>
        </is>
      </c>
      <c r="M486" s="10" t="inlineStr">
        <is>
          <t>Bonus, Healthcare Plan, Paid Leave</t>
        </is>
      </c>
      <c r="N486" s="11">
        <f>HYPERLINK("https://www.vietnamworks.com/kien-truc-su-thiet-ke-quy-hoach-ha-noi-2009394-jv","Xem chi tiết")</f>
        <v/>
      </c>
      <c r="O486" s="10" t="n"/>
    </row>
    <row r="487">
      <c r="B487" s="7" t="n">
        <v>485</v>
      </c>
      <c r="C487" t="inlineStr">
        <is>
          <t>Administrator</t>
        </is>
      </c>
      <c r="D487" t="inlineStr">
        <is>
          <t>CMPartners</t>
        </is>
      </c>
      <c r="E487" t="inlineStr">
        <is>
          <t>Thương lượng</t>
        </is>
      </c>
      <c r="F487" t="inlineStr">
        <is>
          <t>Hồ Chí Minh</t>
        </is>
      </c>
      <c r="G487" t="inlineStr">
        <is>
          <t>Mới Tốt Nghiệp</t>
        </is>
      </c>
      <c r="H487" t="inlineStr">
        <is>
          <t>03/02/2026</t>
        </is>
      </c>
      <c r="I487" t="inlineStr">
        <is>
          <t>20/03/2026</t>
        </is>
      </c>
      <c r="J487" t="inlineStr">
        <is>
          <t>17/03/2026</t>
        </is>
      </c>
      <c r="K487" t="inlineStr">
        <is>
          <t>N/A</t>
        </is>
      </c>
      <c r="L487" t="inlineStr">
        <is>
          <t>Client Operation, Data Entry, Effective Communication, MS Excel, MS Word</t>
        </is>
      </c>
      <c r="M487" t="inlineStr">
        <is>
          <t>Bonus, Paid Leave, Training, Team Activities, Others</t>
        </is>
      </c>
      <c r="N487" s="8">
        <f>HYPERLINK("https://www.vietnamworks.com/administrator-2009416-jv","Xem chi tiết")</f>
        <v/>
      </c>
    </row>
    <row r="488">
      <c r="B488" s="9" t="n">
        <v>486</v>
      </c>
      <c r="C488" s="10" t="inlineStr">
        <is>
          <t>Paraplanner</t>
        </is>
      </c>
      <c r="D488" s="10" t="inlineStr">
        <is>
          <t>CMPartners</t>
        </is>
      </c>
      <c r="E488" s="10" t="inlineStr">
        <is>
          <t>Thương lượng</t>
        </is>
      </c>
      <c r="F488" s="10" t="inlineStr">
        <is>
          <t>Hồ Chí Minh</t>
        </is>
      </c>
      <c r="G488" s="10" t="inlineStr">
        <is>
          <t>Nhân viên</t>
        </is>
      </c>
      <c r="H488" s="10" t="inlineStr">
        <is>
          <t>03/02/2026</t>
        </is>
      </c>
      <c r="I488" s="10" t="inlineStr">
        <is>
          <t>20/03/2026</t>
        </is>
      </c>
      <c r="J488" s="10" t="inlineStr">
        <is>
          <t>17/03/2026</t>
        </is>
      </c>
      <c r="K488" s="10" t="inlineStr">
        <is>
          <t>N/A</t>
        </is>
      </c>
      <c r="L488" s="10" t="inlineStr">
        <is>
          <t>Paraplanning, Financial Planning, Investment Strategies, Wealth Management, Planning Tools</t>
        </is>
      </c>
      <c r="M488" s="10" t="inlineStr">
        <is>
          <t>Healthcare Plan, Training, Others</t>
        </is>
      </c>
      <c r="N488" s="11">
        <f>HYPERLINK("https://www.vietnamworks.com/paraplanner--2009408-jv","Xem chi tiết")</f>
        <v/>
      </c>
      <c r="O488" s="10" t="n"/>
    </row>
    <row r="489">
      <c r="B489" s="7" t="n">
        <v>487</v>
      </c>
      <c r="C489" t="inlineStr">
        <is>
          <t>Head Of Business Development (Contract Logistics)</t>
        </is>
      </c>
      <c r="D489" t="inlineStr">
        <is>
          <t>Vietnam Post Logistics</t>
        </is>
      </c>
      <c r="E489" t="inlineStr">
        <is>
          <t>Tới $ 2,500 /tháng</t>
        </is>
      </c>
      <c r="F489" t="inlineStr">
        <is>
          <t>Hà Nội</t>
        </is>
      </c>
      <c r="G489" t="inlineStr">
        <is>
          <t>Giám Đốc và Cấp Cao Hơn</t>
        </is>
      </c>
      <c r="H489" t="inlineStr">
        <is>
          <t>03/02/2026</t>
        </is>
      </c>
      <c r="I489" t="inlineStr">
        <is>
          <t>20/03/2026</t>
        </is>
      </c>
      <c r="J489" t="inlineStr">
        <is>
          <t>17/03/2026</t>
        </is>
      </c>
      <c r="K489" t="inlineStr">
        <is>
          <t>N/A</t>
        </is>
      </c>
      <c r="L489" t="inlineStr">
        <is>
          <t>Business Development, 3PL/4PL Management, Solution Design, Contract Logistics, Key Account Management</t>
        </is>
      </c>
      <c r="M489" t="inlineStr">
        <is>
          <t>Bonus, Healthcare Plan, Training, Awards, Team Activities, Canteen, Kindergarten, Others</t>
        </is>
      </c>
      <c r="N489" s="8">
        <f>HYPERLINK("https://www.vietnamworks.com/head-of-business-development-contract-logistics-2009400-jv","Xem chi tiết")</f>
        <v/>
      </c>
    </row>
    <row r="490">
      <c r="B490" s="9" t="n">
        <v>488</v>
      </c>
      <c r="C490" s="10" t="inlineStr">
        <is>
          <t>Giảng Viên Ngành Truyền Thông Đa Phương Tiện</t>
        </is>
      </c>
      <c r="D490" s="10" t="inlineStr">
        <is>
          <t>Trường Đại Học Kinh Tế - Tài Chính TPHCM</t>
        </is>
      </c>
      <c r="E490" s="10" t="inlineStr">
        <is>
          <t>Thương lượng</t>
        </is>
      </c>
      <c r="F490" s="10" t="inlineStr">
        <is>
          <t>Hồ Chí Minh</t>
        </is>
      </c>
      <c r="G490" s="10" t="inlineStr">
        <is>
          <t>Nhân viên</t>
        </is>
      </c>
      <c r="H490" s="10" t="inlineStr">
        <is>
          <t>03/02/2026</t>
        </is>
      </c>
      <c r="I490" s="10" t="inlineStr">
        <is>
          <t>20/03/2026</t>
        </is>
      </c>
      <c r="J490" s="10" t="inlineStr">
        <is>
          <t>17/03/2026</t>
        </is>
      </c>
      <c r="K490" s="10" t="inlineStr">
        <is>
          <t>N/A</t>
        </is>
      </c>
      <c r="L490" s="10" t="inlineStr">
        <is>
          <t>Giảng Dạy, Tiếng Anh, Quan Hệ Doanh Nghiệp, Multimedia, Thiết Kế Bài Giảng</t>
        </is>
      </c>
      <c r="M490" s="10" t="inlineStr">
        <is>
          <t>Others</t>
        </is>
      </c>
      <c r="N490" s="11">
        <f>HYPERLINK("https://www.vietnamworks.com/giang-vien-nganh-truyen-thong-da-phuong-tien--2009417-jv","Xem chi tiết")</f>
        <v/>
      </c>
      <c r="O490" s="10" t="n"/>
    </row>
    <row r="491">
      <c r="B491" s="7" t="n">
        <v>489</v>
      </c>
      <c r="C491" t="inlineStr">
        <is>
          <t>Nhân Viên Kinh Doanh (Tiếng Trung)</t>
        </is>
      </c>
      <c r="D491" t="inlineStr">
        <is>
          <t>Công Ty TNHH Dịch Vụ Thép NST Hà Nội</t>
        </is>
      </c>
      <c r="E491" t="inlineStr">
        <is>
          <t>Thương lượng</t>
        </is>
      </c>
      <c r="F491" t="inlineStr">
        <is>
          <t>Bắc Ninh, Bắc Giang, Hưng Yên</t>
        </is>
      </c>
      <c r="G491" t="inlineStr">
        <is>
          <t>Nhân viên</t>
        </is>
      </c>
      <c r="H491" t="inlineStr">
        <is>
          <t>03/02/2026</t>
        </is>
      </c>
      <c r="I491" t="inlineStr">
        <is>
          <t>20/03/2026</t>
        </is>
      </c>
      <c r="J491" t="inlineStr">
        <is>
          <t>17/03/2026</t>
        </is>
      </c>
      <c r="K491" t="inlineStr">
        <is>
          <t>N/A</t>
        </is>
      </c>
      <c r="L491" t="inlineStr">
        <is>
          <t>Tìm Kiếm Khách Hàng, Kinh Doanh, Tiếng Trung, Tiếng Nhật, Phát Triển Thị Trường</t>
        </is>
      </c>
      <c r="M491" t="inlineStr">
        <is>
          <t>Healthcare Plan, Transportation, Others</t>
        </is>
      </c>
      <c r="N491" s="8">
        <f>HYPERLINK("https://www.vietnamworks.com/nhan-vien-kinh-doanh-tieng-trung--2009404-jv","Xem chi tiết")</f>
        <v/>
      </c>
    </row>
    <row r="492">
      <c r="B492" s="9" t="n">
        <v>490</v>
      </c>
      <c r="C492" s="10" t="inlineStr">
        <is>
          <t>Civil Field Engineer (Work Location - Ha Noi)</t>
        </is>
      </c>
      <c r="D492" s="10" t="inlineStr">
        <is>
          <t>Hilti Vietnam Company Limited</t>
        </is>
      </c>
      <c r="E492" s="10" t="inlineStr">
        <is>
          <t>Thương lượng</t>
        </is>
      </c>
      <c r="F492" s="10" t="inlineStr">
        <is>
          <t>Hà Nội</t>
        </is>
      </c>
      <c r="G492" s="10" t="inlineStr">
        <is>
          <t>Nhân viên</t>
        </is>
      </c>
      <c r="H492" s="10" t="inlineStr">
        <is>
          <t>03/02/2026</t>
        </is>
      </c>
      <c r="I492" s="10" t="inlineStr">
        <is>
          <t>20/03/2026</t>
        </is>
      </c>
      <c r="J492" s="10" t="inlineStr">
        <is>
          <t>17/03/2026</t>
        </is>
      </c>
      <c r="K492" s="10" t="inlineStr">
        <is>
          <t>N/A</t>
        </is>
      </c>
      <c r="L492" s="10" t="inlineStr">
        <is>
          <t>Civil Engineering, Reinforced Concrete, Steel Structure, Structural, Structural Software</t>
        </is>
      </c>
      <c r="M492" s="10" t="inlineStr">
        <is>
          <t>Training, Travel Opportunities, Others</t>
        </is>
      </c>
      <c r="N492" s="11">
        <f>HYPERLINK("https://www.vietnamworks.com/civil-field-engineer-work-location-ha-noi-2009414-jv","Xem chi tiết")</f>
        <v/>
      </c>
      <c r="O492" s="10" t="n"/>
    </row>
    <row r="493">
      <c r="B493" s="7" t="n">
        <v>491</v>
      </c>
      <c r="C493" t="inlineStr">
        <is>
          <t>Engineer - Process &amp; Improvement</t>
        </is>
      </c>
      <c r="D493" t="inlineStr">
        <is>
          <t>B. Braun</t>
        </is>
      </c>
      <c r="E493" t="inlineStr">
        <is>
          <t>Thương lượng</t>
        </is>
      </c>
      <c r="F493" t="inlineStr">
        <is>
          <t>Hà Nội</t>
        </is>
      </c>
      <c r="G493" t="inlineStr">
        <is>
          <t>Nhân viên</t>
        </is>
      </c>
      <c r="H493" t="inlineStr">
        <is>
          <t>03/02/2026</t>
        </is>
      </c>
      <c r="I493" t="inlineStr">
        <is>
          <t>20/03/2026</t>
        </is>
      </c>
      <c r="J493" t="inlineStr">
        <is>
          <t>17/03/2026</t>
        </is>
      </c>
      <c r="K493" t="inlineStr">
        <is>
          <t>N/A</t>
        </is>
      </c>
      <c r="L493" t="inlineStr">
        <is>
          <t>Equipment Maintenance, ISO 13485, Automation, Electrical, SAP</t>
        </is>
      </c>
      <c r="M493" t="inlineStr">
        <is>
          <t>Bonus, Healthcare Plan, Training</t>
        </is>
      </c>
      <c r="N493" s="8">
        <f>HYPERLINK("https://www.vietnamworks.com/engineer-process-improvement--2009433-jv","Xem chi tiết")</f>
        <v/>
      </c>
    </row>
    <row r="494">
      <c r="B494" s="9" t="n">
        <v>492</v>
      </c>
      <c r="C494" s="10" t="inlineStr">
        <is>
          <t>Nhân Viên Kế Toán Bán Hàng và Công Nợ (Làm Việc Tại TP HCM)</t>
        </is>
      </c>
      <c r="D494" s="10" t="inlineStr">
        <is>
          <t>Công Ty TNHH Dược Phẩm Ích Nhân</t>
        </is>
      </c>
      <c r="E494" s="10" t="inlineStr">
        <is>
          <t>9.5tr-10.5tr ₫/tháng</t>
        </is>
      </c>
      <c r="F494" s="10" t="inlineStr">
        <is>
          <t>Hồ Chí Minh</t>
        </is>
      </c>
      <c r="G494" s="10" t="inlineStr">
        <is>
          <t>Nhân viên</t>
        </is>
      </c>
      <c r="H494" s="10" t="inlineStr">
        <is>
          <t>03/02/2026</t>
        </is>
      </c>
      <c r="I494" s="10" t="inlineStr">
        <is>
          <t>20/03/2026</t>
        </is>
      </c>
      <c r="J494" s="10" t="inlineStr">
        <is>
          <t>17/03/2026</t>
        </is>
      </c>
      <c r="K494" s="10" t="inlineStr">
        <is>
          <t>N/A</t>
        </is>
      </c>
      <c r="L494" s="10" t="inlineStr">
        <is>
          <t>Tài Chính Kế Toán, Quản Lý Công Nợ, Hạch Toán Chi Phí, Kế Toán Bán Hàng, Quản Lý Tồn Kho</t>
        </is>
      </c>
      <c r="M494" s="10" t="inlineStr">
        <is>
          <t>Bonus, Training, Others</t>
        </is>
      </c>
      <c r="N494" s="11">
        <f>HYPERLINK("https://www.vietnamworks.com/nhan-vien-ke-toan-ban-hang-va-cong-no-lam-viec-tai-tp-hcm-2009420-jv","Xem chi tiết")</f>
        <v/>
      </c>
      <c r="O494" s="10" t="n"/>
    </row>
    <row r="495">
      <c r="B495" s="7" t="n">
        <v>493</v>
      </c>
      <c r="C495" t="inlineStr">
        <is>
          <t>Project Legal Executive (Real Estate) | Pháp Lý Dự Án Chủ Đầu Tư</t>
        </is>
      </c>
      <c r="D495" t="inlineStr">
        <is>
          <t>National Housing Organization (N.h.o JSC)</t>
        </is>
      </c>
      <c r="E495" t="inlineStr">
        <is>
          <t>Thương lượng</t>
        </is>
      </c>
      <c r="F495" t="inlineStr">
        <is>
          <t>Hồ Chí Minh</t>
        </is>
      </c>
      <c r="G495" t="inlineStr">
        <is>
          <t>Nhân viên</t>
        </is>
      </c>
      <c r="H495" t="inlineStr">
        <is>
          <t>03/02/2026</t>
        </is>
      </c>
      <c r="I495" t="inlineStr">
        <is>
          <t>20/03/2026</t>
        </is>
      </c>
      <c r="J495" t="inlineStr">
        <is>
          <t>17/03/2026</t>
        </is>
      </c>
      <c r="K495" t="inlineStr">
        <is>
          <t>N/A</t>
        </is>
      </c>
      <c r="L495" t="inlineStr">
        <is>
          <t>Residential Projects, Tư Vấn Pháp Lý, Tư Vấn Luật, Legal Consultancy, Luật pháp dự án</t>
        </is>
      </c>
      <c r="M495" t="inlineStr">
        <is>
          <t>Bonus, Healthcare Plan, Others</t>
        </is>
      </c>
      <c r="N495" s="8">
        <f>HYPERLINK("https://www.vietnamworks.com/project-legal-executive-real-estate-phap-ly-du-an-chu-dau-tu-2009430-jv","Xem chi tiết")</f>
        <v/>
      </c>
    </row>
    <row r="496">
      <c r="B496" s="9" t="n">
        <v>494</v>
      </c>
      <c r="C496" s="10" t="inlineStr">
        <is>
          <t>APAR Officer - Australian Company - WFH</t>
        </is>
      </c>
      <c r="D496" s="10" t="inlineStr">
        <is>
          <t>Rheem Viet Nam LTD.</t>
        </is>
      </c>
      <c r="E496" s="10" t="inlineStr">
        <is>
          <t>Thương lượng</t>
        </is>
      </c>
      <c r="F496" s="10" t="inlineStr">
        <is>
          <t>Hồ Chí Minh</t>
        </is>
      </c>
      <c r="G496" s="10" t="inlineStr">
        <is>
          <t>Nhân viên</t>
        </is>
      </c>
      <c r="H496" s="10" t="inlineStr">
        <is>
          <t>03/02/2026</t>
        </is>
      </c>
      <c r="I496" s="10" t="inlineStr">
        <is>
          <t>20/03/2026</t>
        </is>
      </c>
      <c r="J496" s="10" t="inlineStr">
        <is>
          <t>17/03/2026</t>
        </is>
      </c>
      <c r="K496" s="10" t="inlineStr">
        <is>
          <t>N/A</t>
        </is>
      </c>
      <c r="L496" s="10" t="inlineStr">
        <is>
          <t>Accounting, Finance &amp; Accounting, Finance knowledge, SAP, English fluency</t>
        </is>
      </c>
      <c r="M496" s="10" t="inlineStr">
        <is>
          <t>Bonus, Healthcare Plan, Laptop</t>
        </is>
      </c>
      <c r="N496" s="11">
        <f>HYPERLINK("https://www.vietnamworks.com/apar-officer-australian-company-wfh-2009438-jv","Xem chi tiết")</f>
        <v/>
      </c>
      <c r="O496" s="10" t="n"/>
    </row>
    <row r="497">
      <c r="B497" s="7" t="n">
        <v>495</v>
      </c>
      <c r="C497" t="inlineStr">
        <is>
          <t>Production Supervisor</t>
        </is>
      </c>
      <c r="D497" t="inlineStr">
        <is>
          <t>Avery Dennison Vietnam</t>
        </is>
      </c>
      <c r="E497" t="inlineStr">
        <is>
          <t>Thương lượng</t>
        </is>
      </c>
      <c r="F497" t="inlineStr">
        <is>
          <t>Bắc Ninh</t>
        </is>
      </c>
      <c r="G497" t="inlineStr">
        <is>
          <t>Nhân viên</t>
        </is>
      </c>
      <c r="H497" t="inlineStr">
        <is>
          <t>03/02/2026</t>
        </is>
      </c>
      <c r="I497" t="inlineStr">
        <is>
          <t>20/03/2026</t>
        </is>
      </c>
      <c r="J497" t="inlineStr">
        <is>
          <t>17/03/2026</t>
        </is>
      </c>
      <c r="K497" t="inlineStr">
        <is>
          <t>N/A</t>
        </is>
      </c>
      <c r="L497" t="inlineStr">
        <is>
          <t>Production Management, Leadership Management, Giám Sát Sản Xuất, Production, Continuous Process Improvement</t>
        </is>
      </c>
      <c r="M497" t="inlineStr">
        <is>
          <t>Bonus, Healthcare Plan, Paid Leave</t>
        </is>
      </c>
      <c r="N497" s="8">
        <f>HYPERLINK("https://www.vietnamworks.com/production-supervisor--2009432-jv","Xem chi tiết")</f>
        <v/>
      </c>
    </row>
    <row r="498">
      <c r="B498" s="9" t="n">
        <v>496</v>
      </c>
      <c r="C498" s="10" t="inlineStr">
        <is>
          <t>Accountant (Australian Accountant)</t>
        </is>
      </c>
      <c r="D498" s="10" t="inlineStr">
        <is>
          <t>CMPartners</t>
        </is>
      </c>
      <c r="E498" s="10" t="inlineStr">
        <is>
          <t>Thương lượng</t>
        </is>
      </c>
      <c r="F498" s="10" t="inlineStr">
        <is>
          <t>Hồ Chí Minh</t>
        </is>
      </c>
      <c r="G498" s="10" t="inlineStr">
        <is>
          <t>Nhân viên</t>
        </is>
      </c>
      <c r="H498" s="10" t="inlineStr">
        <is>
          <t>03/02/2026</t>
        </is>
      </c>
      <c r="I498" s="10" t="inlineStr">
        <is>
          <t>20/03/2026</t>
        </is>
      </c>
      <c r="J498" s="10" t="inlineStr">
        <is>
          <t>17/03/2026</t>
        </is>
      </c>
      <c r="K498" s="10" t="inlineStr">
        <is>
          <t>N/A</t>
        </is>
      </c>
      <c r="L498" s="10" t="inlineStr">
        <is>
          <t>Accounting, Australia Accounting, Analytic Data, English, Microsoft</t>
        </is>
      </c>
      <c r="M498" s="10" t="inlineStr">
        <is>
          <t>Bonus, Paid Leave, Training, Team Activities, Others</t>
        </is>
      </c>
      <c r="N498" s="11">
        <f>HYPERLINK("https://www.vietnamworks.com/accountant-australian-accountant--2009422-jv","Xem chi tiết")</f>
        <v/>
      </c>
      <c r="O498" s="10" t="n"/>
    </row>
    <row r="499">
      <c r="B499" s="7" t="n">
        <v>497</v>
      </c>
      <c r="C499" t="inlineStr">
        <is>
          <t>Gấp - Chuyên Viên Đào Tạo Lâm Sàng</t>
        </is>
      </c>
      <c r="D499" t="inlineStr">
        <is>
          <t>Công Ty Trang Thiết Bị Y Tế Inamed</t>
        </is>
      </c>
      <c r="E499" t="inlineStr">
        <is>
          <t>Thương lượng</t>
        </is>
      </c>
      <c r="F499" t="inlineStr">
        <is>
          <t>Hồ Chí Minh</t>
        </is>
      </c>
      <c r="G499" t="inlineStr">
        <is>
          <t>Nhân viên</t>
        </is>
      </c>
      <c r="H499" t="inlineStr">
        <is>
          <t>03/02/2026</t>
        </is>
      </c>
      <c r="I499" t="inlineStr">
        <is>
          <t>20/03/2026</t>
        </is>
      </c>
      <c r="J499" t="inlineStr">
        <is>
          <t>17/03/2026</t>
        </is>
      </c>
      <c r="K499" t="inlineStr">
        <is>
          <t>N/A</t>
        </is>
      </c>
      <c r="L499" t="inlineStr">
        <is>
          <t>Y Khoa, Thẩm Mỹ, Đào Tạo, Kinh Doanh, Y Dược</t>
        </is>
      </c>
      <c r="M499" t="inlineStr">
        <is>
          <t>Bonus, Training, Travel Opportunities</t>
        </is>
      </c>
      <c r="N499" s="8">
        <f>HYPERLINK("https://www.vietnamworks.com/gap-chuyen-vien-dao-tao-lam-sang--2009426-jv","Xem chi tiết")</f>
        <v/>
      </c>
    </row>
    <row r="500">
      <c r="B500" s="9" t="n">
        <v>498</v>
      </c>
      <c r="C500" s="10" t="inlineStr">
        <is>
          <t>Trưởng Phòng Marketing (Chủ Đầu Tư BĐS)</t>
        </is>
      </c>
      <c r="D500" s="10" t="inlineStr">
        <is>
          <t>Công Ty Cổ Phần Bất Động Sản Tập Đoàn Tân Á Đại Thành</t>
        </is>
      </c>
      <c r="E500" s="10" t="inlineStr">
        <is>
          <t>Thương lượng</t>
        </is>
      </c>
      <c r="F500" s="10" t="inlineStr">
        <is>
          <t>Hà Nội</t>
        </is>
      </c>
      <c r="G500" s="10" t="inlineStr">
        <is>
          <t>Trưởng phòng</t>
        </is>
      </c>
      <c r="H500" s="10" t="inlineStr">
        <is>
          <t>03/02/2026</t>
        </is>
      </c>
      <c r="I500" s="10" t="inlineStr">
        <is>
          <t>20/03/2026</t>
        </is>
      </c>
      <c r="J500" s="10" t="inlineStr">
        <is>
          <t>17/03/2026</t>
        </is>
      </c>
      <c r="K500" s="10" t="inlineStr">
        <is>
          <t>N/A</t>
        </is>
      </c>
      <c r="L500" s="10" t="inlineStr">
        <is>
          <t>Marketing manager, Marketing Creation, Marketing Campaigns, Marketing, Bất Động Sản</t>
        </is>
      </c>
      <c r="M500" s="10" t="inlineStr">
        <is>
          <t>Bonus, Canteen, Vouchers</t>
        </is>
      </c>
      <c r="N500" s="11">
        <f>HYPERLINK("https://www.vietnamworks.com/truong-phong-marketing-chu-dau-tu-bds--2009419-jv","Xem chi tiết")</f>
        <v/>
      </c>
      <c r="O500" s="10" t="n"/>
    </row>
    <row r="501">
      <c r="B501" s="7" t="n">
        <v>499</v>
      </c>
      <c r="C501" t="inlineStr">
        <is>
          <t>Nhân Viên Soạn Hàng</t>
        </is>
      </c>
      <c r="D501" t="inlineStr">
        <is>
          <t>Công Ty TNHH Youngin Việt Nam</t>
        </is>
      </c>
      <c r="E501" t="inlineStr">
        <is>
          <t>Thương lượng</t>
        </is>
      </c>
      <c r="F501" t="inlineStr">
        <is>
          <t>Hồ Chí Minh</t>
        </is>
      </c>
      <c r="G501" t="inlineStr">
        <is>
          <t>Nhân viên</t>
        </is>
      </c>
      <c r="H501" t="inlineStr">
        <is>
          <t>03/02/2026</t>
        </is>
      </c>
      <c r="I501" t="inlineStr">
        <is>
          <t>20/03/2026</t>
        </is>
      </c>
      <c r="J501" t="inlineStr">
        <is>
          <t>17/03/2026</t>
        </is>
      </c>
      <c r="K501" t="inlineStr">
        <is>
          <t>N/A</t>
        </is>
      </c>
      <c r="L501" t="inlineStr">
        <is>
          <t>Giao Hàng, Shipping, Logistics</t>
        </is>
      </c>
      <c r="M501" t="inlineStr">
        <is>
          <t>Bonus, Paid Leave, Transportation</t>
        </is>
      </c>
      <c r="N501" s="8">
        <f>HYPERLINK("https://www.vietnamworks.com/nhan-vien-soan-hang-2009445-jv","Xem chi tiết")</f>
        <v/>
      </c>
    </row>
    <row r="502">
      <c r="B502" s="9" t="n">
        <v>500</v>
      </c>
      <c r="C502" s="10" t="inlineStr">
        <is>
          <t>[NovaDreams] Trưởng phòng Nghiên cứu và Phát triển Sản phẩm</t>
        </is>
      </c>
      <c r="D502" s="10" t="inlineStr">
        <is>
          <t>Công Ty Cổ Phần Tổng Công Ty Nova Service</t>
        </is>
      </c>
      <c r="E502" s="10" t="inlineStr">
        <is>
          <t>Thương lượng</t>
        </is>
      </c>
      <c r="F502" s="10" t="inlineStr">
        <is>
          <t>Hồ Chí Minh</t>
        </is>
      </c>
      <c r="G502" s="10" t="inlineStr">
        <is>
          <t>Trưởng phòng</t>
        </is>
      </c>
      <c r="H502" s="10" t="inlineStr">
        <is>
          <t>03/02/2026</t>
        </is>
      </c>
      <c r="I502" s="10" t="inlineStr">
        <is>
          <t>20/03/2026</t>
        </is>
      </c>
      <c r="J502" s="10" t="inlineStr">
        <is>
          <t>17/03/2026</t>
        </is>
      </c>
      <c r="K502" s="10" t="inlineStr">
        <is>
          <t>N/A</t>
        </is>
      </c>
      <c r="L502" s="10" t="inlineStr">
        <is>
          <t>english skill, Leadership Skill, Research, Research skills</t>
        </is>
      </c>
      <c r="M502" s="10" t="inlineStr">
        <is>
          <t>Healthcare Plan, Transportation, Vouchers, Others</t>
        </is>
      </c>
      <c r="N502" s="11">
        <f>HYPERLINK("https://www.vietnamworks.com/novadreams-truong-phong-nghien-cuu-va-phat-trien-san-pham-2009446-jv","Xem chi tiết")</f>
        <v/>
      </c>
      <c r="O502" s="10" t="n"/>
    </row>
    <row r="503">
      <c r="B503" s="7" t="n">
        <v>501</v>
      </c>
      <c r="C503" t="inlineStr">
        <is>
          <t>Chuyên viên Khách hàng lớn - CN. Ninh Bình (CN26.10)</t>
        </is>
      </c>
      <c r="D503" t="inlineStr">
        <is>
          <t>NGÂN HÀNG TMCP QUÂN ĐỘI – MBBANK</t>
        </is>
      </c>
      <c r="E503" t="inlineStr">
        <is>
          <t>Thương lượng</t>
        </is>
      </c>
      <c r="F503" t="inlineStr">
        <is>
          <t>Ninh Bình</t>
        </is>
      </c>
      <c r="G503" t="inlineStr">
        <is>
          <t>Nhân viên</t>
        </is>
      </c>
      <c r="H503" t="inlineStr">
        <is>
          <t>03/02/2026</t>
        </is>
      </c>
      <c r="I503" t="inlineStr">
        <is>
          <t>20/03/2026</t>
        </is>
      </c>
      <c r="J503" t="inlineStr">
        <is>
          <t>17/03/2026</t>
        </is>
      </c>
      <c r="K503" t="inlineStr">
        <is>
          <t>N/A</t>
        </is>
      </c>
      <c r="L503" t="inlineStr">
        <is>
          <t>Financial Analysis, Risk Management, Business Development, Negotiation, Leadership</t>
        </is>
      </c>
      <c r="M503" t="inlineStr">
        <is>
          <t>Bonus, Healthcare Plan, Paid Leave, Training, Awards, Library, Team Activities</t>
        </is>
      </c>
      <c r="N503" s="8">
        <f>HYPERLINK("https://www.vietnamworks.com/chuyen-vien-khach-hang-lon-cn-ninh-binh-cn26-10-2009429-jv","Xem chi tiết")</f>
        <v/>
      </c>
    </row>
    <row r="504">
      <c r="B504" s="9" t="n">
        <v>502</v>
      </c>
      <c r="C504" s="10" t="inlineStr">
        <is>
          <t>Executive Assistant (Trợ Lý Văn Phòng TGĐ)</t>
        </is>
      </c>
      <c r="D504" s="10" t="inlineStr">
        <is>
          <t>Công Ty Cổ Phần Tập Đoàn Masterise</t>
        </is>
      </c>
      <c r="E504" s="10" t="inlineStr">
        <is>
          <t>Thương lượng</t>
        </is>
      </c>
      <c r="F504" s="10" t="inlineStr">
        <is>
          <t>Hà Nội</t>
        </is>
      </c>
      <c r="G504" s="10" t="inlineStr">
        <is>
          <t>Nhân viên</t>
        </is>
      </c>
      <c r="H504" s="10" t="inlineStr">
        <is>
          <t>03/02/2026</t>
        </is>
      </c>
      <c r="I504" s="10" t="inlineStr">
        <is>
          <t>20/03/2026</t>
        </is>
      </c>
      <c r="J504" s="10" t="inlineStr">
        <is>
          <t>17/03/2026</t>
        </is>
      </c>
      <c r="K504" s="10" t="inlineStr">
        <is>
          <t>N/A</t>
        </is>
      </c>
      <c r="L504" s="10" t="inlineStr">
        <is>
          <t>Strategic Analysis, Business English, Stakeholder Management, Executive Assistant, Planning/Organizing</t>
        </is>
      </c>
      <c r="M504" s="10" t="inlineStr">
        <is>
          <t>Bonus, Healthcare Plan, Laptop</t>
        </is>
      </c>
      <c r="N504" s="11">
        <f>HYPERLINK("https://www.vietnamworks.com/executive-assistant-tro-ly-van-phong-tgdj-2009427-jv","Xem chi tiết")</f>
        <v/>
      </c>
      <c r="O504" s="10" t="n"/>
    </row>
    <row r="505">
      <c r="B505" s="7" t="n">
        <v>503</v>
      </c>
      <c r="C505" t="inlineStr">
        <is>
          <t>Hiệu Trưởng Trường Mầm Non Quốc Tế</t>
        </is>
      </c>
      <c r="D505" t="inlineStr">
        <is>
          <t>Hệ thống Giáo Dục Edufit</t>
        </is>
      </c>
      <c r="E505" t="inlineStr">
        <is>
          <t>Tới $ 1,300 /tháng</t>
        </is>
      </c>
      <c r="F505" t="inlineStr">
        <is>
          <t>Hồ Chí Minh</t>
        </is>
      </c>
      <c r="G505" t="inlineStr">
        <is>
          <t>Giám Đốc và Cấp Cao Hơn</t>
        </is>
      </c>
      <c r="H505" t="inlineStr">
        <is>
          <t>03/02/2026</t>
        </is>
      </c>
      <c r="I505" t="inlineStr">
        <is>
          <t>20/03/2026</t>
        </is>
      </c>
      <c r="J505" t="inlineStr">
        <is>
          <t>17/03/2026</t>
        </is>
      </c>
      <c r="K505" t="inlineStr">
        <is>
          <t>N/A</t>
        </is>
      </c>
      <c r="L505" t="inlineStr">
        <is>
          <t>Giáo Dục Mầm Non, Giảng Dạy Ngành Mầm Non, Giao Tiếp, Giáo Dục, Education</t>
        </is>
      </c>
      <c r="M505" t="inlineStr">
        <is>
          <t>Bonus, Paid Leave, Kindergarten</t>
        </is>
      </c>
      <c r="N505" s="8">
        <f>HYPERLINK("https://www.vietnamworks.com/hieu-truong-truong-mam-non-quoc-te--2009444-jv","Xem chi tiết")</f>
        <v/>
      </c>
    </row>
    <row r="506">
      <c r="B506" s="9" t="n">
        <v>504</v>
      </c>
      <c r="C506" s="10" t="inlineStr">
        <is>
          <t>Supply Chain Process Associate (German Speaking)</t>
        </is>
      </c>
      <c r="D506" s="10" t="inlineStr">
        <is>
          <t>Bosch Global Software Technologies Company Limited</t>
        </is>
      </c>
      <c r="E506" s="10" t="inlineStr">
        <is>
          <t>Thương lượng</t>
        </is>
      </c>
      <c r="F506" s="10" t="inlineStr">
        <is>
          <t>Hồ Chí Minh</t>
        </is>
      </c>
      <c r="G506" s="10" t="inlineStr">
        <is>
          <t>Nhân viên</t>
        </is>
      </c>
      <c r="H506" s="10" t="inlineStr">
        <is>
          <t>03/02/2026</t>
        </is>
      </c>
      <c r="I506" s="10" t="inlineStr">
        <is>
          <t>20/03/2026</t>
        </is>
      </c>
      <c r="J506" s="10" t="inlineStr">
        <is>
          <t>17/03/2026</t>
        </is>
      </c>
      <c r="K506" s="10" t="inlineStr">
        <is>
          <t>N/A</t>
        </is>
      </c>
      <c r="L506" s="10" t="inlineStr">
        <is>
          <t>Communication Skills, ERP Systems, German Advanced Level, Logistics, Supply Chain Management</t>
        </is>
      </c>
      <c r="M506" s="10" t="inlineStr">
        <is>
          <t>Bonus, Healthcare Plan, Paid Leave, Training, Team Activities, Transportation, Others</t>
        </is>
      </c>
      <c r="N506" s="11">
        <f>HYPERLINK("https://www.vietnamworks.com/supply-chain-process-associate-german-speaking-2009428-jv","Xem chi tiết")</f>
        <v/>
      </c>
      <c r="O506" s="10" t="n"/>
    </row>
    <row r="507">
      <c r="B507" s="7" t="n">
        <v>505</v>
      </c>
      <c r="C507" t="inlineStr">
        <is>
          <t>Senior Application Engineer</t>
        </is>
      </c>
      <c r="D507" t="inlineStr">
        <is>
          <t>Vietnamworks' Client</t>
        </is>
      </c>
      <c r="E507" t="inlineStr">
        <is>
          <t>Thương lượng</t>
        </is>
      </c>
      <c r="F507" t="inlineStr">
        <is>
          <t>Hồ Chí Minh</t>
        </is>
      </c>
      <c r="G507" t="inlineStr">
        <is>
          <t>Nhân viên</t>
        </is>
      </c>
      <c r="H507" t="inlineStr">
        <is>
          <t>03/02/2026</t>
        </is>
      </c>
      <c r="I507" t="inlineStr">
        <is>
          <t>20/03/2026</t>
        </is>
      </c>
      <c r="J507" t="inlineStr">
        <is>
          <t>17/03/2026</t>
        </is>
      </c>
      <c r="K507" t="inlineStr">
        <is>
          <t>N/A</t>
        </is>
      </c>
      <c r="L507" t="inlineStr">
        <is>
          <t>Analytical Skills, HTML5, JavaScript, SAP BTP, SAP Certificate</t>
        </is>
      </c>
      <c r="M507" t="inlineStr">
        <is>
          <t>Training</t>
        </is>
      </c>
      <c r="N507" s="8">
        <f>HYPERLINK("https://www.vietnamworks.com/senior-application-engineer-2009421-jv","Xem chi tiết")</f>
        <v/>
      </c>
    </row>
    <row r="508">
      <c r="B508" s="9" t="n">
        <v>506</v>
      </c>
      <c r="C508" s="10" t="inlineStr">
        <is>
          <t>Kỹ Sư Kết Cấu Biết Tekla (Structural Engineer With Tekla Knowledge)</t>
        </is>
      </c>
      <c r="D508" s="10" t="inlineStr">
        <is>
          <t>CÔNG TY CỔ PHẦN TƯ VẤN - THIẾT KẾ - XÂY DỰNG BÌNH DOANH</t>
        </is>
      </c>
      <c r="E508" s="10" t="inlineStr">
        <is>
          <t>Thương lượng</t>
        </is>
      </c>
      <c r="F508" s="10" t="inlineStr">
        <is>
          <t>Hồ Chí Minh, Đồng Nai</t>
        </is>
      </c>
      <c r="G508" s="10" t="inlineStr">
        <is>
          <t>Nhân viên</t>
        </is>
      </c>
      <c r="H508" s="10" t="inlineStr">
        <is>
          <t>03/02/2026</t>
        </is>
      </c>
      <c r="I508" s="10" t="inlineStr">
        <is>
          <t>20/03/2026</t>
        </is>
      </c>
      <c r="J508" s="10" t="inlineStr">
        <is>
          <t>17/03/2026</t>
        </is>
      </c>
      <c r="K508" s="10" t="inlineStr">
        <is>
          <t>N/A</t>
        </is>
      </c>
      <c r="L508" s="10" t="inlineStr">
        <is>
          <t>Collaboration, Project Management, Quality Assessment, Structural Design, Tekla Structures</t>
        </is>
      </c>
      <c r="M508" s="10" t="inlineStr">
        <is>
          <t>Bonus, Healthcare Plan, Training, Others</t>
        </is>
      </c>
      <c r="N508" s="11">
        <f>HYPERLINK("https://www.vietnamworks.com/ky-su-ket-cau-biet-tekla-structural-engineer-with-tekla-knowledge-2009439-jv","Xem chi tiết")</f>
        <v/>
      </c>
      <c r="O508" s="10" t="n"/>
    </row>
    <row r="509">
      <c r="B509" s="7" t="n">
        <v>507</v>
      </c>
      <c r="C509" t="inlineStr">
        <is>
          <t>Nhân Viên Phòng Quản Lý Chất Lượng (Làm Việc Ở Hưng Yên)</t>
        </is>
      </c>
      <c r="D509" t="inlineStr">
        <is>
          <t>Công Ty TNHH Điện Tử Canon Việt Nam</t>
        </is>
      </c>
      <c r="E509" t="inlineStr">
        <is>
          <t>Thương lượng</t>
        </is>
      </c>
      <c r="F509" t="inlineStr">
        <is>
          <t>Hưng Yên, Hà Nội, Hải Dương</t>
        </is>
      </c>
      <c r="G509" t="inlineStr">
        <is>
          <t>Nhân viên</t>
        </is>
      </c>
      <c r="H509" t="inlineStr">
        <is>
          <t>03/02/2026</t>
        </is>
      </c>
      <c r="I509" t="inlineStr">
        <is>
          <t>20/03/2026</t>
        </is>
      </c>
      <c r="J509" t="inlineStr">
        <is>
          <t>17/03/2026</t>
        </is>
      </c>
      <c r="K509" t="inlineStr">
        <is>
          <t>N/A</t>
        </is>
      </c>
      <c r="L509" t="inlineStr">
        <is>
          <t>Cải Tiến Chất Lượng, Đánh Giá Chất Lượng, Cơ Khí, Quản Lý Nhân Sự, Quản lý chất lượng</t>
        </is>
      </c>
      <c r="M509" t="inlineStr">
        <is>
          <t>Bonus, Paid Leave, Transportation</t>
        </is>
      </c>
      <c r="N509" s="8">
        <f>HYPERLINK("https://www.vietnamworks.com/nhan-vien-phong-quan-ly-chat-luong-lam-viec-o-hung-yen--2009436-jv","Xem chi tiết")</f>
        <v/>
      </c>
    </row>
    <row r="510">
      <c r="B510" s="9" t="n">
        <v>508</v>
      </c>
      <c r="C510" s="10" t="inlineStr">
        <is>
          <t>Social Outreach &amp; KOL Specialist</t>
        </is>
      </c>
      <c r="D510" s="10" t="inlineStr">
        <is>
          <t>OPPO Vietnam</t>
        </is>
      </c>
      <c r="E510" s="10" t="inlineStr">
        <is>
          <t>Thương lượng</t>
        </is>
      </c>
      <c r="F510" s="10" t="inlineStr">
        <is>
          <t>Hồ Chí Minh</t>
        </is>
      </c>
      <c r="G510" s="10" t="inlineStr">
        <is>
          <t>Nhân viên</t>
        </is>
      </c>
      <c r="H510" s="10" t="inlineStr">
        <is>
          <t>03/02/2026</t>
        </is>
      </c>
      <c r="I510" s="10" t="inlineStr">
        <is>
          <t>20/03/2026</t>
        </is>
      </c>
      <c r="J510" s="10" t="inlineStr">
        <is>
          <t>17/03/2026</t>
        </is>
      </c>
      <c r="K510" s="10" t="inlineStr">
        <is>
          <t>N/A</t>
        </is>
      </c>
      <c r="L510" s="10" t="inlineStr">
        <is>
          <t>Communication, Content Marketing, Digital Marketing, Project Management, Social Media</t>
        </is>
      </c>
      <c r="M510" s="10" t="inlineStr">
        <is>
          <t>Bonus, Healthcare Plan</t>
        </is>
      </c>
      <c r="N510" s="11">
        <f>HYPERLINK("https://www.vietnamworks.com/social-outreach-and-kol-specialist-2009448-jv","Xem chi tiết")</f>
        <v/>
      </c>
      <c r="O510" s="10" t="n"/>
    </row>
    <row r="511">
      <c r="B511" s="7" t="n">
        <v>509</v>
      </c>
      <c r="C511" t="inlineStr">
        <is>
          <t>Nhân Viên Phòng LAB</t>
        </is>
      </c>
      <c r="D511" t="inlineStr">
        <is>
          <t>CÔNG TY TNHH Q P (VIỆT NAM)</t>
        </is>
      </c>
      <c r="E511" t="inlineStr">
        <is>
          <t>Thương lượng</t>
        </is>
      </c>
      <c r="F511" t="inlineStr">
        <is>
          <t>Hà Nam</t>
        </is>
      </c>
      <c r="G511" t="inlineStr">
        <is>
          <t>Trưởng phòng</t>
        </is>
      </c>
      <c r="H511" t="inlineStr">
        <is>
          <t>03/02/2026</t>
        </is>
      </c>
      <c r="I511" t="inlineStr">
        <is>
          <t>20/03/2026</t>
        </is>
      </c>
      <c r="J511" t="inlineStr">
        <is>
          <t>17/03/2026</t>
        </is>
      </c>
      <c r="K511" t="inlineStr">
        <is>
          <t>N/A</t>
        </is>
      </c>
      <c r="L511" t="inlineStr">
        <is>
          <t>Laboratory, English, Chemical Technology, ISO 17025, Leadership</t>
        </is>
      </c>
      <c r="M511" t="inlineStr">
        <is>
          <t>Bonus</t>
        </is>
      </c>
      <c r="N511" s="8">
        <f>HYPERLINK("https://www.vietnamworks.com/nhan-vien-phong-lab--2009425-jv","Xem chi tiết")</f>
        <v/>
      </c>
    </row>
    <row r="512">
      <c r="B512" s="9" t="n">
        <v>510</v>
      </c>
      <c r="C512" s="10" t="inlineStr">
        <is>
          <t>Nhân Viên Kho Hàng</t>
        </is>
      </c>
      <c r="D512" s="10" t="inlineStr">
        <is>
          <t>Công Ty TNHH Japan Pack System Việt Nam</t>
        </is>
      </c>
      <c r="E512" s="10" t="inlineStr">
        <is>
          <t>Thương lượng</t>
        </is>
      </c>
      <c r="F512" s="10" t="inlineStr">
        <is>
          <t>Hồ Chí Minh, Hà Nội</t>
        </is>
      </c>
      <c r="G512" s="10" t="inlineStr">
        <is>
          <t>Nhân viên</t>
        </is>
      </c>
      <c r="H512" s="10" t="inlineStr">
        <is>
          <t>03/02/2026</t>
        </is>
      </c>
      <c r="I512" s="10" t="inlineStr">
        <is>
          <t>20/03/2026</t>
        </is>
      </c>
      <c r="J512" s="10" t="inlineStr">
        <is>
          <t>17/03/2026</t>
        </is>
      </c>
      <c r="K512" s="10" t="inlineStr">
        <is>
          <t>N/A</t>
        </is>
      </c>
      <c r="L512" s="10" t="inlineStr">
        <is>
          <t>Order Picking, Inventory Management, Quản Lý Kho, Warehouse Operation, Xử Lý Đơn Hàng</t>
        </is>
      </c>
      <c r="M512" s="10" t="inlineStr">
        <is>
          <t>Bonus, Healthcare Plan, Paid Leave, Others</t>
        </is>
      </c>
      <c r="N512" s="11">
        <f>HYPERLINK("https://www.vietnamworks.com/nhan-vien-kho-hang-2009424-jv","Xem chi tiết")</f>
        <v/>
      </c>
      <c r="O512" s="10" t="n"/>
    </row>
    <row r="513">
      <c r="B513" s="7" t="n">
        <v>511</v>
      </c>
      <c r="C513" t="inlineStr">
        <is>
          <t>Purchasing Manager (Sourcing)</t>
        </is>
      </c>
      <c r="D513" t="inlineStr">
        <is>
          <t>CÔNG TY TNHH THƯƠNG MẠI MEDLINE VIỆT NAM</t>
        </is>
      </c>
      <c r="E513" t="inlineStr">
        <is>
          <t>Thương lượng</t>
        </is>
      </c>
      <c r="F513" t="inlineStr">
        <is>
          <t>Hồ Chí Minh</t>
        </is>
      </c>
      <c r="G513" t="inlineStr">
        <is>
          <t>Trưởng phòng</t>
        </is>
      </c>
      <c r="H513" t="inlineStr">
        <is>
          <t>03/02/2026</t>
        </is>
      </c>
      <c r="I513" t="inlineStr">
        <is>
          <t>20/03/2026</t>
        </is>
      </c>
      <c r="J513" t="inlineStr">
        <is>
          <t>17/03/2026</t>
        </is>
      </c>
      <c r="K513" t="inlineStr">
        <is>
          <t>N/A</t>
        </is>
      </c>
      <c r="L513" t="inlineStr">
        <is>
          <t>English Fluency, Project Management, Supplier Development, Contract Negotiation, Sourcing Management</t>
        </is>
      </c>
      <c r="M513" t="inlineStr">
        <is>
          <t>Bonus, Travel Opportunities, Team Activities</t>
        </is>
      </c>
      <c r="N513" s="8">
        <f>HYPERLINK("https://www.vietnamworks.com/purchasing-manager-sourcing-2009450-jv","Xem chi tiết")</f>
        <v/>
      </c>
    </row>
    <row r="514">
      <c r="B514" s="9" t="n">
        <v>512</v>
      </c>
      <c r="C514" s="10" t="inlineStr">
        <is>
          <t>[Australia Company] Kỹ Sư Thiết Kế Kết Cấu_Fresher</t>
        </is>
      </c>
      <c r="D514" s="10" t="inlineStr">
        <is>
          <t>CÔNG TY TNHH TƯ VẤN VGS</t>
        </is>
      </c>
      <c r="E514" s="10" t="inlineStr">
        <is>
          <t>Thương lượng</t>
        </is>
      </c>
      <c r="F514" s="10" t="inlineStr">
        <is>
          <t>Đà Nẵng, Hồ Chí Minh</t>
        </is>
      </c>
      <c r="G514" s="10" t="inlineStr">
        <is>
          <t>Mới Tốt Nghiệp</t>
        </is>
      </c>
      <c r="H514" s="10" t="inlineStr">
        <is>
          <t>03/02/2026</t>
        </is>
      </c>
      <c r="I514" s="10" t="inlineStr">
        <is>
          <t>20/03/2026</t>
        </is>
      </c>
      <c r="J514" s="10" t="inlineStr">
        <is>
          <t>17/03/2026</t>
        </is>
      </c>
      <c r="K514" s="10" t="inlineStr">
        <is>
          <t>N/A</t>
        </is>
      </c>
      <c r="L514" s="10" t="inlineStr">
        <is>
          <t>Attention To Detail, CAD Software, Communication, Engineering Design, Structural Design</t>
        </is>
      </c>
      <c r="M514" s="10" t="inlineStr">
        <is>
          <t>Bonus, Healthcare Plan, Paid Leave, Training, Laptop, Team Activities, Canteen</t>
        </is>
      </c>
      <c r="N514" s="11">
        <f>HYPERLINK("https://www.vietnamworks.com/australia-company-ky-su-thiet-ke-ket-cau_fresher-2009451-jv","Xem chi tiết")</f>
        <v/>
      </c>
      <c r="O514" s="10" t="n"/>
    </row>
    <row r="515">
      <c r="B515" s="7" t="n">
        <v>513</v>
      </c>
      <c r="C515" t="inlineStr">
        <is>
          <t>Trợ Lý Chuyên Môn Tiểu Học</t>
        </is>
      </c>
      <c r="D515" t="inlineStr">
        <is>
          <t>Trường Quốc Tế Nam Mỹ</t>
        </is>
      </c>
      <c r="E515" t="inlineStr">
        <is>
          <t>Thương lượng</t>
        </is>
      </c>
      <c r="F515" t="inlineStr">
        <is>
          <t>Hồ Chí Minh</t>
        </is>
      </c>
      <c r="G515" t="inlineStr">
        <is>
          <t>Nhân viên</t>
        </is>
      </c>
      <c r="H515" t="inlineStr">
        <is>
          <t>03/02/2026</t>
        </is>
      </c>
      <c r="I515" t="inlineStr">
        <is>
          <t>20/03/2026</t>
        </is>
      </c>
      <c r="J515" t="inlineStr">
        <is>
          <t>17/03/2026</t>
        </is>
      </c>
      <c r="K515" t="inlineStr">
        <is>
          <t>N/A</t>
        </is>
      </c>
      <c r="L515" t="inlineStr">
        <is>
          <t>Academic Assistance, Teaching, Primary Education, Teacher Management, Communication skill</t>
        </is>
      </c>
      <c r="M515" t="inlineStr">
        <is>
          <t>Bonus, Healthcare Plan, Paid Leave, Laptop, Team Activities, Canteen, Vouchers</t>
        </is>
      </c>
      <c r="N515" s="8">
        <f>HYPERLINK("https://www.vietnamworks.com/tro-ly-chuyen-mon-tieu-hoc--2009449-jv","Xem chi tiết")</f>
        <v/>
      </c>
    </row>
    <row r="516">
      <c r="B516" s="9" t="n">
        <v>514</v>
      </c>
      <c r="C516" s="10" t="inlineStr">
        <is>
          <t>Chuyên Gia Chính Sách và Chiến Lược Thu Hồi Nợ</t>
        </is>
      </c>
      <c r="D516" s="10" t="inlineStr">
        <is>
          <t>Công Ty Tài Chính Trách Nhiệm Hữu Hạn MB Shinsei (Mcredit)</t>
        </is>
      </c>
      <c r="E516" s="10" t="inlineStr">
        <is>
          <t>Thương lượng</t>
        </is>
      </c>
      <c r="F516" s="10" t="inlineStr">
        <is>
          <t>Hà Nội</t>
        </is>
      </c>
      <c r="G516" s="10" t="inlineStr">
        <is>
          <t>Nhân viên</t>
        </is>
      </c>
      <c r="H516" s="10" t="inlineStr">
        <is>
          <t>03/02/2026</t>
        </is>
      </c>
      <c r="I516" s="10" t="inlineStr">
        <is>
          <t>20/03/2026</t>
        </is>
      </c>
      <c r="J516" s="10" t="inlineStr">
        <is>
          <t>17/03/2026</t>
        </is>
      </c>
      <c r="K516" s="10" t="inlineStr">
        <is>
          <t>N/A</t>
        </is>
      </c>
      <c r="L516" s="10" t="inlineStr">
        <is>
          <t>Quản Trị Rủi Ro, Lập Trình SQL Server, Phân Tích Tín Dụng, Banking, Phân Tích Chiến Lược</t>
        </is>
      </c>
      <c r="M516" s="10" t="inlineStr">
        <is>
          <t>Bonus, Healthcare Plan, Travel Opportunities</t>
        </is>
      </c>
      <c r="N516" s="11">
        <f>HYPERLINK("https://www.vietnamworks.com/chuyen-gia-chinh-sach-va-chien-luoc-thu-hoi-no-2009452-jv","Xem chi tiết")</f>
        <v/>
      </c>
      <c r="O516" s="10" t="n"/>
    </row>
    <row r="517">
      <c r="B517" s="7" t="n">
        <v>515</v>
      </c>
      <c r="C517" t="inlineStr">
        <is>
          <t>Nhân Viên Mua Hàng Tiếng Trung</t>
        </is>
      </c>
      <c r="D517" t="inlineStr">
        <is>
          <t>Momentum Industrial (Vietnam) Limited</t>
        </is>
      </c>
      <c r="E517" t="inlineStr">
        <is>
          <t>$$ 500-1,000 /tháng</t>
        </is>
      </c>
      <c r="F517" t="inlineStr">
        <is>
          <t>Hồ Chí Minh</t>
        </is>
      </c>
      <c r="G517" t="inlineStr">
        <is>
          <t>Nhân viên</t>
        </is>
      </c>
      <c r="H517" t="inlineStr">
        <is>
          <t>03/02/2026</t>
        </is>
      </c>
      <c r="I517" t="inlineStr">
        <is>
          <t>20/03/2026</t>
        </is>
      </c>
      <c r="J517" t="inlineStr">
        <is>
          <t>17/03/2026</t>
        </is>
      </c>
      <c r="K517" t="inlineStr">
        <is>
          <t>N/A</t>
        </is>
      </c>
      <c r="L517" t="inlineStr">
        <is>
          <t>Có Óc Tổ Chức, Mua Hàng, Phân Tích Thị Trường, Tiếng Trung, Đàm Phán</t>
        </is>
      </c>
      <c r="M517" t="inlineStr">
        <is>
          <t>Bonus, Healthcare Plan, Paid Leave, Team Activities</t>
        </is>
      </c>
      <c r="N517" s="8">
        <f>HYPERLINK("https://www.vietnamworks.com/nhan-vien-mua-hang-tieng-trung-2009461-jv","Xem chi tiết")</f>
        <v/>
      </c>
    </row>
    <row r="518">
      <c r="B518" s="9" t="n">
        <v>516</v>
      </c>
      <c r="C518" s="10" t="inlineStr">
        <is>
          <t>Technical Solutions Consultant</t>
        </is>
      </c>
      <c r="D518" s="10" t="inlineStr">
        <is>
          <t>Công Ty Tnhh Zoho Corporation</t>
        </is>
      </c>
      <c r="E518" s="10" t="inlineStr">
        <is>
          <t>Thương lượng</t>
        </is>
      </c>
      <c r="F518" s="10" t="inlineStr">
        <is>
          <t>Hồ Chí Minh</t>
        </is>
      </c>
      <c r="G518" s="10" t="inlineStr">
        <is>
          <t>Nhân viên</t>
        </is>
      </c>
      <c r="H518" s="10" t="inlineStr">
        <is>
          <t>03/02/2026</t>
        </is>
      </c>
      <c r="I518" s="10" t="inlineStr">
        <is>
          <t>20/03/2026</t>
        </is>
      </c>
      <c r="J518" s="10" t="inlineStr">
        <is>
          <t>17/03/2026</t>
        </is>
      </c>
      <c r="K518" s="10" t="inlineStr">
        <is>
          <t>N/A</t>
        </is>
      </c>
      <c r="L518" s="10" t="inlineStr">
        <is>
          <t>ITIL4, ServiceNow ITOM/ITAM, Cisco, Helpdesk Systems, Network Solutions</t>
        </is>
      </c>
      <c r="M518" s="10" t="inlineStr">
        <is>
          <t>Paid Leave, Laptop</t>
        </is>
      </c>
      <c r="N518" s="11">
        <f>HYPERLINK("https://www.vietnamworks.com/technical-solutions-consultant-2009458-jv","Xem chi tiết")</f>
        <v/>
      </c>
      <c r="O518" s="10" t="n"/>
    </row>
    <row r="519">
      <c r="B519" s="7" t="n">
        <v>517</v>
      </c>
      <c r="C519" t="inlineStr">
        <is>
          <t>Chuyên Gia Phân Tích và Giải Pháp Thu Hồi Nợ</t>
        </is>
      </c>
      <c r="D519" t="inlineStr">
        <is>
          <t>Công Ty Tài Chính Trách Nhiệm Hữu Hạn MB Shinsei (Mcredit)</t>
        </is>
      </c>
      <c r="E519" t="inlineStr">
        <is>
          <t>Thương lượng</t>
        </is>
      </c>
      <c r="F519" t="inlineStr">
        <is>
          <t>Hà Nội</t>
        </is>
      </c>
      <c r="G519" t="inlineStr">
        <is>
          <t>Nhân viên</t>
        </is>
      </c>
      <c r="H519" t="inlineStr">
        <is>
          <t>03/02/2026</t>
        </is>
      </c>
      <c r="I519" t="inlineStr">
        <is>
          <t>20/03/2026</t>
        </is>
      </c>
      <c r="J519" t="inlineStr">
        <is>
          <t>17/03/2026</t>
        </is>
      </c>
      <c r="K519" t="inlineStr">
        <is>
          <t>N/A</t>
        </is>
      </c>
      <c r="L519" t="inlineStr">
        <is>
          <t>Quản Trị Rủi Ro, Lập Trình SQL Server, Phân Tích Tín Dụng, Banking, Toán Ứng Dụng</t>
        </is>
      </c>
      <c r="M519" t="inlineStr">
        <is>
          <t>Bonus, Healthcare Plan, Travel Opportunities</t>
        </is>
      </c>
      <c r="N519" s="8">
        <f>HYPERLINK("https://www.vietnamworks.com/chuyen-gia-phan-tich-va-giai-phap-thu-hoi-no-2009455-jv","Xem chi tiết")</f>
        <v/>
      </c>
    </row>
    <row r="520">
      <c r="B520" s="9" t="n">
        <v>518</v>
      </c>
      <c r="C520" s="10" t="inlineStr">
        <is>
          <t>Brand Manager - 7UP</t>
        </is>
      </c>
      <c r="D520" s="10" t="inlineStr">
        <is>
          <t>Suntory PepsiCo Vietnam Beverage</t>
        </is>
      </c>
      <c r="E520" s="10" t="inlineStr">
        <is>
          <t>Thương lượng</t>
        </is>
      </c>
      <c r="F520" s="10" t="inlineStr">
        <is>
          <t>Hồ Chí Minh</t>
        </is>
      </c>
      <c r="G520" s="10" t="inlineStr">
        <is>
          <t>Trưởng phòng</t>
        </is>
      </c>
      <c r="H520" s="10" t="inlineStr">
        <is>
          <t>03/02/2026</t>
        </is>
      </c>
      <c r="I520" s="10" t="inlineStr">
        <is>
          <t>20/03/2026</t>
        </is>
      </c>
      <c r="J520" s="10" t="inlineStr">
        <is>
          <t>17/03/2026</t>
        </is>
      </c>
      <c r="K520" s="10" t="inlineStr">
        <is>
          <t>N/A</t>
        </is>
      </c>
      <c r="L520" s="10" t="inlineStr">
        <is>
          <t>Brand Management</t>
        </is>
      </c>
      <c r="M520" s="10" t="inlineStr">
        <is>
          <t>Bonus, Healthcare Plan, Paid Leave</t>
        </is>
      </c>
      <c r="N520" s="11">
        <f>HYPERLINK("https://www.vietnamworks.com/brand-manager-7up--2009474-jv","Xem chi tiết")</f>
        <v/>
      </c>
      <c r="O520" s="10" t="n"/>
    </row>
    <row r="521">
      <c r="B521" s="7" t="n">
        <v>519</v>
      </c>
      <c r="C521" t="inlineStr">
        <is>
          <t>Trợ Lý Giám Đốc kiêm Phiên Dịch Viên Tiếng Trung Cho Sếp Đài</t>
        </is>
      </c>
      <c r="D521" t="inlineStr">
        <is>
          <t>Công Ty TNHH Atai Fuji Electric Việt Nam</t>
        </is>
      </c>
      <c r="E521" t="inlineStr">
        <is>
          <t>Thương lượng</t>
        </is>
      </c>
      <c r="F521" t="inlineStr">
        <is>
          <t>Đồng Nai</t>
        </is>
      </c>
      <c r="G521" t="inlineStr">
        <is>
          <t>Nhân viên</t>
        </is>
      </c>
      <c r="H521" t="inlineStr">
        <is>
          <t>03/02/2026</t>
        </is>
      </c>
      <c r="I521" t="inlineStr">
        <is>
          <t>20/03/2026</t>
        </is>
      </c>
      <c r="J521" t="inlineStr">
        <is>
          <t>17/03/2026</t>
        </is>
      </c>
      <c r="K521" t="inlineStr">
        <is>
          <t>N/A</t>
        </is>
      </c>
      <c r="L521" t="inlineStr">
        <is>
          <t>Assistant CEO, Translate</t>
        </is>
      </c>
      <c r="M521" t="inlineStr">
        <is>
          <t>Healthcare Plan, Training, Canteen</t>
        </is>
      </c>
      <c r="N521" s="8">
        <f>HYPERLINK("https://www.vietnamworks.com/tro-ly-giam-doc-kiem-phien-dich-vien-tieng-trung-cho-sep-dai-2009460-jv","Xem chi tiết")</f>
        <v/>
      </c>
    </row>
    <row r="522">
      <c r="B522" s="9" t="n">
        <v>520</v>
      </c>
      <c r="C522" s="10" t="inlineStr">
        <is>
          <t>HR Executive – C&amp;B</t>
        </is>
      </c>
      <c r="D522" s="10" t="inlineStr">
        <is>
          <t>Busy Bees Vietnam</t>
        </is>
      </c>
      <c r="E522" s="10" t="inlineStr">
        <is>
          <t>Thương lượng</t>
        </is>
      </c>
      <c r="F522" s="10" t="inlineStr">
        <is>
          <t>Hồ Chí Minh</t>
        </is>
      </c>
      <c r="G522" s="10" t="inlineStr">
        <is>
          <t>Nhân viên</t>
        </is>
      </c>
      <c r="H522" s="10" t="inlineStr">
        <is>
          <t>03/02/2026</t>
        </is>
      </c>
      <c r="I522" s="10" t="inlineStr">
        <is>
          <t>20/03/2026</t>
        </is>
      </c>
      <c r="J522" s="10" t="inlineStr">
        <is>
          <t>17/03/2026</t>
        </is>
      </c>
      <c r="K522" s="10" t="inlineStr">
        <is>
          <t>N/A</t>
        </is>
      </c>
      <c r="L522" s="10" t="inlineStr">
        <is>
          <t>Compensation &amp; Benefits Management</t>
        </is>
      </c>
      <c r="M522" s="10" t="inlineStr">
        <is>
          <t>Bonus, Healthcare Plan, Training</t>
        </is>
      </c>
      <c r="N522" s="11">
        <f>HYPERLINK("https://www.vietnamworks.com/hr-executive-candb-2009470-jv","Xem chi tiết")</f>
        <v/>
      </c>
      <c r="O522" s="10" t="n"/>
    </row>
    <row r="523">
      <c r="B523" s="7" t="n">
        <v>521</v>
      </c>
      <c r="C523" t="inlineStr">
        <is>
          <t>Giám Đốc/ Phó Giám Đốc - CN Quảng Ninh</t>
        </is>
      </c>
      <c r="D523" t="inlineStr">
        <is>
          <t>Ngân Hàng TMCP Việt Nam Thương Tín (Vietbank)</t>
        </is>
      </c>
      <c r="E523" t="inlineStr">
        <is>
          <t>$$ 1,500-2,000 /tháng</t>
        </is>
      </c>
      <c r="F523" t="inlineStr">
        <is>
          <t>Quảng Ninh</t>
        </is>
      </c>
      <c r="G523" t="inlineStr">
        <is>
          <t>Giám Đốc và Cấp Cao Hơn</t>
        </is>
      </c>
      <c r="H523" t="inlineStr">
        <is>
          <t>03/02/2026</t>
        </is>
      </c>
      <c r="I523" t="inlineStr">
        <is>
          <t>20/03/2026</t>
        </is>
      </c>
      <c r="J523" t="inlineStr">
        <is>
          <t>17/03/2026</t>
        </is>
      </c>
      <c r="K523" t="inlineStr">
        <is>
          <t>N/A</t>
        </is>
      </c>
      <c r="L523" t="inlineStr">
        <is>
          <t>Thương Mại, Tài Chính Ngân Hàng, Tài Chính Kế Toán, Giao Dịch Ngân Hàng, Kinh Doanh</t>
        </is>
      </c>
      <c r="M523" t="inlineStr">
        <is>
          <t>Bonus, Healthcare Plan, Training</t>
        </is>
      </c>
      <c r="N523" s="8">
        <f>HYPERLINK("https://www.vietnamworks.com/giam-doc-pho-giam-doc-cn-quang-ninh-2009456-jv","Xem chi tiết")</f>
        <v/>
      </c>
    </row>
    <row r="524">
      <c r="B524" s="9" t="n">
        <v>522</v>
      </c>
      <c r="C524" s="10" t="inlineStr">
        <is>
          <t>Quản Lý Trung Tâm - Center Manager (Đồng Nai/ Tây Ninh/ Kiên Giang)</t>
        </is>
      </c>
      <c r="D524" s="10" t="inlineStr">
        <is>
          <t>VUS - The English Center</t>
        </is>
      </c>
      <c r="E524" s="10" t="inlineStr">
        <is>
          <t>$$ 1,000-1,500 /tháng</t>
        </is>
      </c>
      <c r="F524" s="10" t="inlineStr">
        <is>
          <t>Đồng Nai, Tây Ninh, Kiên Giang</t>
        </is>
      </c>
      <c r="G524" s="10" t="inlineStr">
        <is>
          <t>Trưởng phòng</t>
        </is>
      </c>
      <c r="H524" s="10" t="inlineStr">
        <is>
          <t>03/02/2026</t>
        </is>
      </c>
      <c r="I524" s="10" t="inlineStr">
        <is>
          <t>20/03/2026</t>
        </is>
      </c>
      <c r="J524" s="10" t="inlineStr">
        <is>
          <t>17/03/2026</t>
        </is>
      </c>
      <c r="K524" s="10" t="inlineStr">
        <is>
          <t>N/A</t>
        </is>
      </c>
      <c r="L524" s="10" t="inlineStr">
        <is>
          <t>Giao Tiếp Tiếng Anh, Quản Lý Vận Hành, Kỹ năng bán hàng, Kỹ Năng Thương Lượng</t>
        </is>
      </c>
      <c r="M524" s="10" t="inlineStr">
        <is>
          <t>Bonus, Healthcare Plan, Training, Awards, Laptop, Team Activities</t>
        </is>
      </c>
      <c r="N524" s="11">
        <f>HYPERLINK("https://www.vietnamworks.com/quan-ly-trung-tam-center-manager-dong-nai-tay-ninh-kien-giang-2009469-jv","Xem chi tiết")</f>
        <v/>
      </c>
      <c r="O524" s="10" t="n"/>
    </row>
    <row r="525">
      <c r="B525" s="7" t="n">
        <v>523</v>
      </c>
      <c r="C525" t="inlineStr">
        <is>
          <t>Trợ Lý Tài Chính</t>
        </is>
      </c>
      <c r="D525" t="inlineStr">
        <is>
          <t>Novaland</t>
        </is>
      </c>
      <c r="E525" t="inlineStr">
        <is>
          <t>Thương lượng</t>
        </is>
      </c>
      <c r="F525" t="inlineStr">
        <is>
          <t>Hồ Chí Minh</t>
        </is>
      </c>
      <c r="G525" t="inlineStr">
        <is>
          <t>Trưởng phòng</t>
        </is>
      </c>
      <c r="H525" t="inlineStr">
        <is>
          <t>03/02/2026</t>
        </is>
      </c>
      <c r="I525" t="inlineStr">
        <is>
          <t>20/03/2026</t>
        </is>
      </c>
      <c r="J525" t="inlineStr">
        <is>
          <t>17/03/2026</t>
        </is>
      </c>
      <c r="K525" t="inlineStr">
        <is>
          <t>N/A</t>
        </is>
      </c>
      <c r="L525" t="inlineStr">
        <is>
          <t>Tài Chính, Kiểm Toán, Kế Toán, Financial Planning, Financial Analysis</t>
        </is>
      </c>
      <c r="M525" t="inlineStr">
        <is>
          <t>Bonus, Healthcare Plan, Awards</t>
        </is>
      </c>
      <c r="N525" s="8">
        <f>HYPERLINK("https://www.vietnamworks.com/tro-ly-tai-chinh--2009462-jv","Xem chi tiết")</f>
        <v/>
      </c>
    </row>
    <row r="526">
      <c r="B526" s="9" t="n">
        <v>524</v>
      </c>
      <c r="C526" s="10" t="inlineStr">
        <is>
          <t>Trưởng Phòng Kinh Doanh và Tạo Nguồn Trưởng Phòng Kinh Doanh Leasing TTTM và Vincom Collection</t>
        </is>
      </c>
      <c r="D526" s="10" t="inlineStr">
        <is>
          <t>Tập Đoàn Vingroup - Công Ty Cổ phần Vincom Retail</t>
        </is>
      </c>
      <c r="E526" s="10" t="inlineStr">
        <is>
          <t>Thương lượng</t>
        </is>
      </c>
      <c r="F526" s="10" t="inlineStr">
        <is>
          <t>Hồ Chí Minh, Hà Nội</t>
        </is>
      </c>
      <c r="G526" s="10" t="inlineStr">
        <is>
          <t>Trưởng phòng</t>
        </is>
      </c>
      <c r="H526" s="10" t="inlineStr">
        <is>
          <t>03/02/2026</t>
        </is>
      </c>
      <c r="I526" s="10" t="inlineStr">
        <is>
          <t>20/03/2026</t>
        </is>
      </c>
      <c r="J526" s="10" t="inlineStr">
        <is>
          <t>17/03/2026</t>
        </is>
      </c>
      <c r="K526" s="10" t="inlineStr">
        <is>
          <t>N/A</t>
        </is>
      </c>
      <c r="L526" s="10" t="inlineStr">
        <is>
          <t>Sales, Leasing, Trưởng phòng kinh doanh, Cho Thuê Mặt Bằng Thương Mại, Môi Giới Cho Thuê</t>
        </is>
      </c>
      <c r="M526" s="10" t="inlineStr">
        <is>
          <t>Bonus, Canteen, Others</t>
        </is>
      </c>
      <c r="N526" s="11">
        <f>HYPERLINK("https://www.vietnamworks.com/truong-phong-kinh-doanh-va-tao-nguon-truong-phong-kinh-doanh-leasing-tttm-va-vincom-collection-2009465-jv","Xem chi tiết")</f>
        <v/>
      </c>
      <c r="O526" s="10" t="n"/>
    </row>
    <row r="527">
      <c r="B527" s="7" t="n">
        <v>525</v>
      </c>
      <c r="C527" t="inlineStr">
        <is>
          <t>Chuyên Viên Kinh Doanh (Key Account Manager)</t>
        </is>
      </c>
      <c r="D527" t="inlineStr">
        <is>
          <t>Công ty Cổ phần An ninh Mạng Việt Nam(VSEC)</t>
        </is>
      </c>
      <c r="E527" t="inlineStr">
        <is>
          <t>Thương lượng</t>
        </is>
      </c>
      <c r="F527" t="inlineStr">
        <is>
          <t>Hồ Chí Minh, Hà Nội</t>
        </is>
      </c>
      <c r="G527" t="inlineStr">
        <is>
          <t>Nhân viên</t>
        </is>
      </c>
      <c r="H527" t="inlineStr">
        <is>
          <t>03/02/2026</t>
        </is>
      </c>
      <c r="I527" t="inlineStr">
        <is>
          <t>20/03/2026</t>
        </is>
      </c>
      <c r="J527" t="inlineStr">
        <is>
          <t>17/03/2026</t>
        </is>
      </c>
      <c r="K527" t="inlineStr">
        <is>
          <t>N/A</t>
        </is>
      </c>
      <c r="L527" t="inlineStr">
        <is>
          <t>Account Management, An Toàn Thông Tin, Chăm Sóc Khách Hàng, Giải Pháp Công Nghệ, Quản Trị Kinh Doanh</t>
        </is>
      </c>
      <c r="M527" t="inlineStr">
        <is>
          <t>Bonus, Healthcare Plan, Paid Leave, Training, Laptop, Team Activities, Others</t>
        </is>
      </c>
      <c r="N527" s="8">
        <f>HYPERLINK("https://www.vietnamworks.com/chuyen-vien-kinh-doanh-key-account-manager-2009457-jv","Xem chi tiết")</f>
        <v/>
      </c>
    </row>
    <row r="528">
      <c r="B528" s="9" t="n">
        <v>526</v>
      </c>
      <c r="C528" s="10" t="inlineStr">
        <is>
          <t>Senior Executive, Marketing and Communications</t>
        </is>
      </c>
      <c r="D528" s="10" t="inlineStr">
        <is>
          <t>Trường Quốc Tế Nam Mỹ</t>
        </is>
      </c>
      <c r="E528" s="10" t="inlineStr">
        <is>
          <t>Thương lượng</t>
        </is>
      </c>
      <c r="F528" s="10" t="inlineStr">
        <is>
          <t>Hồ Chí Minh</t>
        </is>
      </c>
      <c r="G528" s="10" t="inlineStr">
        <is>
          <t>Nhân viên</t>
        </is>
      </c>
      <c r="H528" s="10" t="inlineStr">
        <is>
          <t>03/02/2026</t>
        </is>
      </c>
      <c r="I528" s="10" t="inlineStr">
        <is>
          <t>20/03/2026</t>
        </is>
      </c>
      <c r="J528" s="10" t="inlineStr">
        <is>
          <t>17/03/2026</t>
        </is>
      </c>
      <c r="K528" s="10" t="inlineStr">
        <is>
          <t>N/A</t>
        </is>
      </c>
      <c r="L528" s="10" t="inlineStr">
        <is>
          <t>Brand Management, Digital Platforms, Education, Market Research, Marketing</t>
        </is>
      </c>
      <c r="M528" s="10" t="inlineStr">
        <is>
          <t>Bonus, Healthcare Plan, Paid Leave, Laptop, Team Activities, Canteen, Vouchers</t>
        </is>
      </c>
      <c r="N528" s="11">
        <f>HYPERLINK("https://www.vietnamworks.com/senior-executive-marketing-and-communications-2009453-jv","Xem chi tiết")</f>
        <v/>
      </c>
      <c r="O528" s="10" t="n"/>
    </row>
    <row r="529">
      <c r="B529" s="7" t="n">
        <v>527</v>
      </c>
      <c r="C529" t="inlineStr">
        <is>
          <t>Trưởng Phòng Dự Toán</t>
        </is>
      </c>
      <c r="D529" t="inlineStr">
        <is>
          <t>Công Ty Cổ Phần Kiến Trúc Tư Vấn Quản Lý Đông Dương</t>
        </is>
      </c>
      <c r="E529" t="inlineStr">
        <is>
          <t>Thương lượng</t>
        </is>
      </c>
      <c r="F529" t="inlineStr">
        <is>
          <t>Hồ Chí Minh</t>
        </is>
      </c>
      <c r="G529" t="inlineStr">
        <is>
          <t>Trưởng phòng</t>
        </is>
      </c>
      <c r="H529" t="inlineStr">
        <is>
          <t>03/02/2026</t>
        </is>
      </c>
      <c r="I529" t="inlineStr">
        <is>
          <t>20/03/2026</t>
        </is>
      </c>
      <c r="J529" t="inlineStr">
        <is>
          <t>17/03/2026</t>
        </is>
      </c>
      <c r="K529" t="inlineStr">
        <is>
          <t>N/A</t>
        </is>
      </c>
      <c r="L529" t="inlineStr">
        <is>
          <t>Dự Toán, Cost Control Management, Quantity Surveying &amp; Estimation, Dự Toán Xây Dựng, Qs Manager</t>
        </is>
      </c>
      <c r="M529" t="inlineStr">
        <is>
          <t>Bonus, Healthcare Plan, Training, Laptop, Travel Opportunities</t>
        </is>
      </c>
      <c r="N529" s="8">
        <f>HYPERLINK("https://www.vietnamworks.com/truong-phong-du-toan-2009468-jv","Xem chi tiết")</f>
        <v/>
      </c>
    </row>
    <row r="530">
      <c r="B530" s="9" t="n">
        <v>528</v>
      </c>
      <c r="C530" s="10" t="inlineStr">
        <is>
          <t>Production Industrialization Quality Specialist For Footwear Team</t>
        </is>
      </c>
      <c r="D530" s="10" t="inlineStr">
        <is>
          <t>Decathlon Vietnam</t>
        </is>
      </c>
      <c r="E530" s="10" t="inlineStr">
        <is>
          <t>Thương lượng</t>
        </is>
      </c>
      <c r="F530" s="10" t="inlineStr">
        <is>
          <t>Thanh Hóa</t>
        </is>
      </c>
      <c r="G530" s="10" t="inlineStr">
        <is>
          <t>Nhân viên</t>
        </is>
      </c>
      <c r="H530" s="10" t="inlineStr">
        <is>
          <t>03/02/2026</t>
        </is>
      </c>
      <c r="I530" s="10" t="inlineStr">
        <is>
          <t>20/03/2026</t>
        </is>
      </c>
      <c r="J530" s="10" t="inlineStr">
        <is>
          <t>17/03/2026</t>
        </is>
      </c>
      <c r="K530" s="10" t="inlineStr">
        <is>
          <t>N/A</t>
        </is>
      </c>
      <c r="L530" s="10" t="inlineStr">
        <is>
          <t>Quality Management, Commercialization Process, Mass Production, Quality System Management</t>
        </is>
      </c>
      <c r="M530" s="10" t="inlineStr">
        <is>
          <t>Bonus, Healthcare Plan, Paid Leave</t>
        </is>
      </c>
      <c r="N530" s="11">
        <f>HYPERLINK("https://www.vietnamworks.com/production-industrialization-quality-specialist-for-footwear-team-2009471-jv","Xem chi tiết")</f>
        <v/>
      </c>
      <c r="O530" s="10" t="n"/>
    </row>
    <row r="531">
      <c r="B531" s="7" t="n">
        <v>529</v>
      </c>
      <c r="C531" t="inlineStr">
        <is>
          <t>Giám Đốc Ban Điều Hành Dự Án</t>
        </is>
      </c>
      <c r="D531" t="inlineStr">
        <is>
          <t>Novaland</t>
        </is>
      </c>
      <c r="E531" t="inlineStr">
        <is>
          <t>Thương lượng</t>
        </is>
      </c>
      <c r="F531" t="inlineStr">
        <is>
          <t>Hồ Chí Minh</t>
        </is>
      </c>
      <c r="G531" t="inlineStr">
        <is>
          <t>Giám Đốc và Cấp Cao Hơn</t>
        </is>
      </c>
      <c r="H531" t="inlineStr">
        <is>
          <t>03/02/2026</t>
        </is>
      </c>
      <c r="I531" t="inlineStr">
        <is>
          <t>20/03/2026</t>
        </is>
      </c>
      <c r="J531" t="inlineStr">
        <is>
          <t>17/03/2026</t>
        </is>
      </c>
      <c r="K531" t="inlineStr">
        <is>
          <t>N/A</t>
        </is>
      </c>
      <c r="L531" t="inlineStr">
        <is>
          <t>Bất Động Sản, Quản Lý Dự Án, Construction Management, Finance/Investment/Business Development</t>
        </is>
      </c>
      <c r="M531" t="inlineStr">
        <is>
          <t>Bonus, Healthcare Plan, Awards</t>
        </is>
      </c>
      <c r="N531" s="8">
        <f>HYPERLINK("https://www.vietnamworks.com/giam-doc-ban-dieu-hanh-du-an--2009476-jv","Xem chi tiết")</f>
        <v/>
      </c>
    </row>
    <row r="532">
      <c r="B532" s="9" t="n">
        <v>530</v>
      </c>
      <c r="C532" s="10" t="inlineStr">
        <is>
          <t>Trưởng Phòng Đấu Thầu</t>
        </is>
      </c>
      <c r="D532" s="10" t="inlineStr">
        <is>
          <t>Công Ty Cổ Phần Kiến Trúc Tư Vấn Quản Lý Đông Dương</t>
        </is>
      </c>
      <c r="E532" s="10" t="inlineStr">
        <is>
          <t>Thương lượng</t>
        </is>
      </c>
      <c r="F532" s="10" t="inlineStr">
        <is>
          <t>Hồ Chí Minh</t>
        </is>
      </c>
      <c r="G532" s="10" t="inlineStr">
        <is>
          <t>Trưởng phòng</t>
        </is>
      </c>
      <c r="H532" s="10" t="inlineStr">
        <is>
          <t>03/02/2026</t>
        </is>
      </c>
      <c r="I532" s="10" t="inlineStr">
        <is>
          <t>20/03/2026</t>
        </is>
      </c>
      <c r="J532" s="10" t="inlineStr">
        <is>
          <t>17/03/2026</t>
        </is>
      </c>
      <c r="K532" s="10" t="inlineStr">
        <is>
          <t>N/A</t>
        </is>
      </c>
      <c r="L532" s="10" t="inlineStr">
        <is>
          <t>Quản Lý Hợp Đồng, Quản Lý Đấu Thầu, AutoCAD, Kiểm Soát Chi Phí, Luật Xây Dựng</t>
        </is>
      </c>
      <c r="M532" s="10" t="inlineStr">
        <is>
          <t>Bonus, Healthcare Plan, Training, Laptop, Travel Opportunities</t>
        </is>
      </c>
      <c r="N532" s="11">
        <f>HYPERLINK("https://www.vietnamworks.com/truong-phong-djau-thau-2009467-jv","Xem chi tiết")</f>
        <v/>
      </c>
      <c r="O532" s="10" t="n"/>
    </row>
    <row r="533">
      <c r="B533" s="7" t="n">
        <v>531</v>
      </c>
      <c r="C533" t="inlineStr">
        <is>
          <t>Senior Global Supply Planner</t>
        </is>
      </c>
      <c r="D533" t="inlineStr">
        <is>
          <t>Columbia Sportswear Company</t>
        </is>
      </c>
      <c r="E533" t="inlineStr">
        <is>
          <t>Thương lượng</t>
        </is>
      </c>
      <c r="F533" t="inlineStr">
        <is>
          <t>Hồ Chí Minh</t>
        </is>
      </c>
      <c r="G533" t="inlineStr">
        <is>
          <t>Nhân viên</t>
        </is>
      </c>
      <c r="H533" t="inlineStr">
        <is>
          <t>03/02/2026</t>
        </is>
      </c>
      <c r="I533" t="inlineStr">
        <is>
          <t>20/03/2026</t>
        </is>
      </c>
      <c r="J533" t="inlineStr">
        <is>
          <t>17/03/2026</t>
        </is>
      </c>
      <c r="K533" t="inlineStr">
        <is>
          <t>N/A</t>
        </is>
      </c>
      <c r="L533" t="inlineStr">
        <is>
          <t>Analytical Skills, Communication, Microsoft Excel, Project Management, Supply Chain Management</t>
        </is>
      </c>
      <c r="M533" t="inlineStr">
        <is>
          <t>Bonus, Laptop, Team Activities</t>
        </is>
      </c>
      <c r="N533" s="8">
        <f>HYPERLINK("https://www.vietnamworks.com/senior-global-supply-planner-2009478-jv","Xem chi tiết")</f>
        <v/>
      </c>
    </row>
    <row r="534">
      <c r="B534" s="9" t="n">
        <v>532</v>
      </c>
      <c r="C534" s="10" t="inlineStr">
        <is>
          <t>Pre-sales Specialist (Mandarin)</t>
        </is>
      </c>
      <c r="D534" s="10" t="inlineStr">
        <is>
          <t>ITECHWX COMPANY LIMITED</t>
        </is>
      </c>
      <c r="E534" s="10" t="inlineStr">
        <is>
          <t>18tr-21tr ₫/tháng</t>
        </is>
      </c>
      <c r="F534" s="10" t="inlineStr">
        <is>
          <t>Hà Nội</t>
        </is>
      </c>
      <c r="G534" s="10" t="inlineStr">
        <is>
          <t>Nhân viên</t>
        </is>
      </c>
      <c r="H534" s="10" t="inlineStr">
        <is>
          <t>03/02/2026</t>
        </is>
      </c>
      <c r="I534" s="10" t="inlineStr">
        <is>
          <t>20/03/2026</t>
        </is>
      </c>
      <c r="J534" s="10" t="inlineStr">
        <is>
          <t>17/03/2026</t>
        </is>
      </c>
      <c r="K534" s="10" t="inlineStr">
        <is>
          <t>N/A</t>
        </is>
      </c>
      <c r="L534" s="10" t="inlineStr">
        <is>
          <t>Chinese, Customer Service, English Reading, Mandarin, Sales Experience</t>
        </is>
      </c>
      <c r="M534" s="10" t="inlineStr">
        <is>
          <t>Healthcare Plan, Paid Leave, Laptop</t>
        </is>
      </c>
      <c r="N534" s="11">
        <f>HYPERLINK("https://www.vietnamworks.com/pre-sales-specialist-mandarin-2009507-jv","Xem chi tiết")</f>
        <v/>
      </c>
      <c r="O534" s="10" t="n"/>
    </row>
    <row r="535">
      <c r="B535" s="7" t="n">
        <v>533</v>
      </c>
      <c r="C535" t="inlineStr">
        <is>
          <t>Kỹ Thuật May</t>
        </is>
      </c>
      <c r="D535" t="inlineStr">
        <is>
          <t>CÔNG TY TNHH HI-TECH VIỆT NAM APPAREL</t>
        </is>
      </c>
      <c r="E535" t="inlineStr">
        <is>
          <t>Thương lượng</t>
        </is>
      </c>
      <c r="F535" t="inlineStr">
        <is>
          <t>Quảng Nam</t>
        </is>
      </c>
      <c r="G535" t="inlineStr">
        <is>
          <t>Nhân viên</t>
        </is>
      </c>
      <c r="H535" t="inlineStr">
        <is>
          <t>08/12/2025</t>
        </is>
      </c>
      <c r="I535" t="inlineStr">
        <is>
          <t>21/03/2026</t>
        </is>
      </c>
      <c r="J535" t="inlineStr">
        <is>
          <t>17/03/2026</t>
        </is>
      </c>
      <c r="K535" t="inlineStr">
        <is>
          <t>N/A</t>
        </is>
      </c>
      <c r="L535" t="inlineStr">
        <is>
          <t>Cải Thiện Cách May, Kỹ Thuật May Mẫu, Lean, PDCA</t>
        </is>
      </c>
      <c r="M535" t="inlineStr">
        <is>
          <t>Bonus, Healthcare Plan, Paid Leave</t>
        </is>
      </c>
      <c r="N535" s="8">
        <f>HYPERLINK("https://www.vietnamworks.com/ky-thuat-may-1990581-jv","Xem chi tiết")</f>
        <v/>
      </c>
    </row>
    <row r="536">
      <c r="B536" s="9" t="n">
        <v>534</v>
      </c>
      <c r="C536" s="10" t="inlineStr">
        <is>
          <t>Kế Toán</t>
        </is>
      </c>
      <c r="D536" s="10" t="inlineStr">
        <is>
          <t>Công ty thương mại và dịch vụ phát triển F&amp;B quốc tế</t>
        </is>
      </c>
      <c r="E536" s="10" t="inlineStr">
        <is>
          <t>Thương lượng</t>
        </is>
      </c>
      <c r="F536" s="10" t="inlineStr">
        <is>
          <t>Bắc Ninh, Hà Nội</t>
        </is>
      </c>
      <c r="G536" s="10" t="inlineStr">
        <is>
          <t>Nhân viên</t>
        </is>
      </c>
      <c r="H536" s="10" t="inlineStr">
        <is>
          <t>23/12/2025</t>
        </is>
      </c>
      <c r="I536" s="10" t="inlineStr">
        <is>
          <t>21/03/2026</t>
        </is>
      </c>
      <c r="J536" s="10" t="inlineStr">
        <is>
          <t>17/03/2026</t>
        </is>
      </c>
      <c r="K536" s="10" t="inlineStr">
        <is>
          <t>N/A</t>
        </is>
      </c>
      <c r="L536" s="10" t="inlineStr">
        <is>
          <t>Kế Toán, Tài Chính, Kế Toán Tổng Hợp, Kế Toán Tài Chính, Quản Lý Chứng Từ</t>
        </is>
      </c>
      <c r="M536" s="10" t="inlineStr">
        <is>
          <t>Bonus, Healthcare Plan, Training, Others</t>
        </is>
      </c>
      <c r="N536" s="11">
        <f>HYPERLINK("https://www.vietnamworks.com/ke-toan-1995764-jv","Xem chi tiết")</f>
        <v/>
      </c>
      <c r="O536" s="10" t="n"/>
    </row>
    <row r="537">
      <c r="B537" s="7" t="n">
        <v>535</v>
      </c>
      <c r="C537" t="inlineStr">
        <is>
          <t>Giám đốc Phát triển Giải pháp Quản trị rủi ro Tín dụng KHDN</t>
        </is>
      </c>
      <c r="D537" t="inlineStr">
        <is>
          <t>Ngân Hàng TMCP Quốc Tế Việt Nam (VIB)</t>
        </is>
      </c>
      <c r="E537" t="inlineStr">
        <is>
          <t>Thương lượng</t>
        </is>
      </c>
      <c r="F537" t="inlineStr">
        <is>
          <t>Hồ Chí Minh</t>
        </is>
      </c>
      <c r="G537" t="inlineStr">
        <is>
          <t>Giám Đốc và Cấp Cao Hơn</t>
        </is>
      </c>
      <c r="H537" t="inlineStr">
        <is>
          <t>03/02/2026</t>
        </is>
      </c>
      <c r="I537" t="inlineStr">
        <is>
          <t>20/03/2026</t>
        </is>
      </c>
      <c r="J537" t="inlineStr">
        <is>
          <t>17/03/2026</t>
        </is>
      </c>
      <c r="K537" t="inlineStr">
        <is>
          <t>N/A</t>
        </is>
      </c>
      <c r="L537" t="inlineStr">
        <is>
          <t>Kỹ năng Tiếng Anh, MS Office, Phân Tích Tín Dụng, Quản Lý Rủi Ro Tín Dụng, Soạn Thảo Văn Bản</t>
        </is>
      </c>
      <c r="M537" t="inlineStr">
        <is>
          <t>Bonus</t>
        </is>
      </c>
      <c r="N537" s="8">
        <f>HYPERLINK("https://www.vietnamworks.com/giam-djoc-phat-trien-giai-phap-quan-tri-rui-ro-tin-dung-khdn-2009480-jv","Xem chi tiết")</f>
        <v/>
      </c>
    </row>
    <row r="538">
      <c r="B538" s="9" t="n">
        <v>536</v>
      </c>
      <c r="C538" s="10" t="inlineStr">
        <is>
          <t>Chuyên Viên Đào Tạo</t>
        </is>
      </c>
      <c r="D538" s="10" t="inlineStr">
        <is>
          <t>Công Ty Cổ Phần Đầu Tư Và Thi Công Hạ Tầng VinAlpha</t>
        </is>
      </c>
      <c r="E538" s="10" t="inlineStr">
        <is>
          <t>Thương lượng</t>
        </is>
      </c>
      <c r="F538" s="10" t="inlineStr">
        <is>
          <t>Hà Nội</t>
        </is>
      </c>
      <c r="G538" s="10" t="inlineStr">
        <is>
          <t>Nhân viên</t>
        </is>
      </c>
      <c r="H538" s="10" t="inlineStr">
        <is>
          <t>03/02/2026</t>
        </is>
      </c>
      <c r="I538" s="10" t="inlineStr">
        <is>
          <t>20/03/2026</t>
        </is>
      </c>
      <c r="J538" s="10" t="inlineStr">
        <is>
          <t>17/03/2026</t>
        </is>
      </c>
      <c r="K538" s="10" t="inlineStr">
        <is>
          <t>N/A</t>
        </is>
      </c>
      <c r="L538" s="10" t="inlineStr">
        <is>
          <t>Đào Tạo, Training</t>
        </is>
      </c>
      <c r="M538" s="10" t="inlineStr">
        <is>
          <t>Training, Laptop, Vouchers</t>
        </is>
      </c>
      <c r="N538" s="11">
        <f>HYPERLINK("https://www.vietnamworks.com/chuyen-vien-dao-tao--2009479-jv","Xem chi tiết")</f>
        <v/>
      </c>
      <c r="O538" s="10" t="n"/>
    </row>
    <row r="539">
      <c r="B539" s="7" t="n">
        <v>537</v>
      </c>
      <c r="C539" t="inlineStr">
        <is>
          <t>Quản Lý Vùng - Làm Việc Tại Trung Tâm Bắc Ninh (Cũ)</t>
        </is>
      </c>
      <c r="D539" t="inlineStr">
        <is>
          <t>Công ty thương mại và dịch vụ phát triển F&amp;B quốc tế</t>
        </is>
      </c>
      <c r="E539" t="inlineStr">
        <is>
          <t>Thương lượng</t>
        </is>
      </c>
      <c r="F539" t="inlineStr">
        <is>
          <t>Bắc Ninh</t>
        </is>
      </c>
      <c r="G539" t="inlineStr">
        <is>
          <t>Trưởng phòng</t>
        </is>
      </c>
      <c r="H539" t="inlineStr">
        <is>
          <t>23/12/2025</t>
        </is>
      </c>
      <c r="I539" t="inlineStr">
        <is>
          <t>21/03/2026</t>
        </is>
      </c>
      <c r="J539" t="inlineStr">
        <is>
          <t>17/03/2026</t>
        </is>
      </c>
      <c r="K539" t="inlineStr">
        <is>
          <t>N/A</t>
        </is>
      </c>
      <c r="L539" t="inlineStr">
        <is>
          <t>Quản Trị Kinh Doanh, Xây Dựng Chuỗi Cửa Hàng, Quản Trị Chi Phí, Lãnh Đạo, Đào Tạo Khách Hàng</t>
        </is>
      </c>
      <c r="M539" t="inlineStr">
        <is>
          <t>Bonus, Healthcare Plan, Awards, Others</t>
        </is>
      </c>
      <c r="N539" s="8">
        <f>HYPERLINK("https://www.vietnamworks.com/quan-ly-vung-lam-viec-tai-trung-tam-bac-ninh-cu-1995765-jv","Xem chi tiết")</f>
        <v/>
      </c>
    </row>
    <row r="540">
      <c r="B540" s="9" t="n">
        <v>538</v>
      </c>
      <c r="C540" s="10" t="inlineStr">
        <is>
          <t>Kỹ Sư Phân Tích CAE Cabin Máy Xúc (NX Simcenter Engineering Desktop, Simcenter Structures)</t>
        </is>
      </c>
      <c r="D540" s="10" t="inlineStr">
        <is>
          <t>Công Ty TNHH R Techno Việt Nam</t>
        </is>
      </c>
      <c r="E540" s="10" t="inlineStr">
        <is>
          <t>Từ 34.5tr ₫/tháng</t>
        </is>
      </c>
      <c r="F540" s="10" t="inlineStr">
        <is>
          <t>Hồ Chí Minh</t>
        </is>
      </c>
      <c r="G540" s="10" t="inlineStr">
        <is>
          <t>Nhân viên</t>
        </is>
      </c>
      <c r="H540" s="10" t="inlineStr">
        <is>
          <t>03/02/2026</t>
        </is>
      </c>
      <c r="I540" s="10" t="inlineStr">
        <is>
          <t>20/03/2026</t>
        </is>
      </c>
      <c r="J540" s="10" t="inlineStr">
        <is>
          <t>17/03/2026</t>
        </is>
      </c>
      <c r="K540" s="10" t="inlineStr">
        <is>
          <t>N/A</t>
        </is>
      </c>
      <c r="L540" s="10" t="inlineStr">
        <is>
          <t>Giao Tiếp, Phân Tích Định Lượng, Sức Bền Vật Liệu, Nx Simcenter Engineering Desktop</t>
        </is>
      </c>
      <c r="M540" s="10" t="inlineStr">
        <is>
          <t>Bonus, Healthcare Plan, Paid Leave</t>
        </is>
      </c>
      <c r="N540" s="11">
        <f>HYPERLINK("https://www.vietnamworks.com/ky-su-phan-tich-cae-cabin-may-xuc-nx-simcenter-engineering-desktop-simcenter-structures-2009497-jv","Xem chi tiết")</f>
        <v/>
      </c>
      <c r="O540" s="10" t="n"/>
    </row>
    <row r="541">
      <c r="B541" s="7" t="n">
        <v>539</v>
      </c>
      <c r="C541" t="inlineStr">
        <is>
          <t>Division Manager</t>
        </is>
      </c>
      <c r="D541" t="inlineStr">
        <is>
          <t>gbc engineers Vietnam LLC</t>
        </is>
      </c>
      <c r="E541" t="inlineStr">
        <is>
          <t>Thương lượng</t>
        </is>
      </c>
      <c r="F541" t="inlineStr">
        <is>
          <t>Hồ Chí Minh</t>
        </is>
      </c>
      <c r="G541" t="inlineStr">
        <is>
          <t>Trưởng phòng</t>
        </is>
      </c>
      <c r="H541" t="inlineStr">
        <is>
          <t>03/02/2026</t>
        </is>
      </c>
      <c r="I541" t="inlineStr">
        <is>
          <t>20/03/2026</t>
        </is>
      </c>
      <c r="J541" t="inlineStr">
        <is>
          <t>17/03/2026</t>
        </is>
      </c>
      <c r="K541" t="inlineStr">
        <is>
          <t>N/A</t>
        </is>
      </c>
      <c r="L541" t="inlineStr">
        <is>
          <t>3D Modeling, Communication, Leadership, Project Management, Structural Design</t>
        </is>
      </c>
      <c r="M541" t="inlineStr">
        <is>
          <t>Bonus, Training, Others</t>
        </is>
      </c>
      <c r="N541" s="8">
        <f>HYPERLINK("https://www.vietnamworks.com/division-manager-2009510-jv","Xem chi tiết")</f>
        <v/>
      </c>
    </row>
    <row r="542">
      <c r="B542" s="9" t="n">
        <v>540</v>
      </c>
      <c r="C542" s="10" t="inlineStr">
        <is>
          <t>Marketing Innovation Manager (Content Strategy Focus)</t>
        </is>
      </c>
      <c r="D542" s="10" t="inlineStr">
        <is>
          <t>Abbott</t>
        </is>
      </c>
      <c r="E542" s="10" t="inlineStr">
        <is>
          <t>Thương lượng</t>
        </is>
      </c>
      <c r="F542" s="10" t="inlineStr">
        <is>
          <t>Hồ Chí Minh</t>
        </is>
      </c>
      <c r="G542" s="10" t="inlineStr">
        <is>
          <t>Trưởng phòng</t>
        </is>
      </c>
      <c r="H542" s="10" t="inlineStr">
        <is>
          <t>03/02/2026</t>
        </is>
      </c>
      <c r="I542" s="10" t="inlineStr">
        <is>
          <t>20/03/2026</t>
        </is>
      </c>
      <c r="J542" s="10" t="inlineStr">
        <is>
          <t>17/03/2026</t>
        </is>
      </c>
      <c r="K542" s="10" t="inlineStr">
        <is>
          <t>N/A</t>
        </is>
      </c>
      <c r="L542" s="10" t="inlineStr">
        <is>
          <t>Branding Marketing, Content Development, Digital Marketing, Performance Marketing</t>
        </is>
      </c>
      <c r="M542" s="10" t="inlineStr">
        <is>
          <t>Bonus, Healthcare Plan, Training</t>
        </is>
      </c>
      <c r="N542" s="11">
        <f>HYPERLINK("https://www.vietnamworks.com/marketing-innovation-manager-content-strategy-focus-2009513-jv","Xem chi tiết")</f>
        <v/>
      </c>
      <c r="O542" s="10" t="n"/>
    </row>
    <row r="543">
      <c r="B543" s="7" t="n">
        <v>541</v>
      </c>
      <c r="C543" t="inlineStr">
        <is>
          <t>SAP Senior Consultant - SAP FICO Implementation</t>
        </is>
      </c>
      <c r="D543" t="inlineStr">
        <is>
          <t>Deloitte Consulting SEA</t>
        </is>
      </c>
      <c r="E543" t="inlineStr">
        <is>
          <t>Thương lượng</t>
        </is>
      </c>
      <c r="F543" t="inlineStr">
        <is>
          <t>Hồ Chí Minh, Hà Nội</t>
        </is>
      </c>
      <c r="G543" t="inlineStr">
        <is>
          <t>Nhân viên</t>
        </is>
      </c>
      <c r="H543" t="inlineStr">
        <is>
          <t>03/02/2026</t>
        </is>
      </c>
      <c r="I543" t="inlineStr">
        <is>
          <t>20/03/2026</t>
        </is>
      </c>
      <c r="J543" t="inlineStr">
        <is>
          <t>17/03/2026</t>
        </is>
      </c>
      <c r="K543" t="inlineStr">
        <is>
          <t>N/A</t>
        </is>
      </c>
      <c r="L543" t="inlineStr">
        <is>
          <t>SAP, Consulting, Information Technology, SAP Consulting, Manufacturing Operations</t>
        </is>
      </c>
      <c r="M543" t="inlineStr">
        <is>
          <t>Bonus, Healthcare Plan, Travel Opportunities</t>
        </is>
      </c>
      <c r="N543" s="8">
        <f>HYPERLINK("https://www.vietnamworks.com/sap-senior-consultant-sap-fico-implementation-2009516-jv","Xem chi tiết")</f>
        <v/>
      </c>
    </row>
    <row r="544">
      <c r="B544" s="9" t="n">
        <v>542</v>
      </c>
      <c r="C544" s="10" t="inlineStr">
        <is>
          <t>Supply Chain Manager</t>
        </is>
      </c>
      <c r="D544" s="10" t="inlineStr">
        <is>
          <t>Save the Children International (SCI)</t>
        </is>
      </c>
      <c r="E544" s="10" t="inlineStr">
        <is>
          <t>Thương lượng</t>
        </is>
      </c>
      <c r="F544" s="10" t="inlineStr">
        <is>
          <t>Hà Nội</t>
        </is>
      </c>
      <c r="G544" s="10" t="inlineStr">
        <is>
          <t>Trưởng phòng</t>
        </is>
      </c>
      <c r="H544" s="10" t="inlineStr">
        <is>
          <t>23/12/2025</t>
        </is>
      </c>
      <c r="I544" s="10" t="inlineStr">
        <is>
          <t>21/03/2026</t>
        </is>
      </c>
      <c r="J544" s="10" t="inlineStr">
        <is>
          <t>17/03/2026</t>
        </is>
      </c>
      <c r="K544" s="10" t="inlineStr">
        <is>
          <t>N/A</t>
        </is>
      </c>
      <c r="L544" s="10" t="inlineStr">
        <is>
          <t>Supply Chain Management, Procurement, Logistics, Staff Management, Problem Solving</t>
        </is>
      </c>
      <c r="M544" s="10" t="inlineStr">
        <is>
          <t>Healthcare Plan</t>
        </is>
      </c>
      <c r="N544" s="11">
        <f>HYPERLINK("https://www.vietnamworks.com/supply-chain-manager-1995716-jv","Xem chi tiết")</f>
        <v/>
      </c>
      <c r="O544" s="10" t="n"/>
    </row>
    <row r="545">
      <c r="B545" s="7" t="n">
        <v>543</v>
      </c>
      <c r="C545" t="inlineStr">
        <is>
          <t>Trưởng Phòng Marketing - Làm Việc Tại Trung Tâm Bắc Ninh (Cũ)</t>
        </is>
      </c>
      <c r="D545" t="inlineStr">
        <is>
          <t>Công ty thương mại và dịch vụ phát triển F&amp;B quốc tế</t>
        </is>
      </c>
      <c r="E545" t="inlineStr">
        <is>
          <t>Thương lượng</t>
        </is>
      </c>
      <c r="F545" t="inlineStr">
        <is>
          <t>Bắc Ninh</t>
        </is>
      </c>
      <c r="G545" t="inlineStr">
        <is>
          <t>Trưởng phòng</t>
        </is>
      </c>
      <c r="H545" t="inlineStr">
        <is>
          <t>23/12/2025</t>
        </is>
      </c>
      <c r="I545" t="inlineStr">
        <is>
          <t>21/03/2026</t>
        </is>
      </c>
      <c r="J545" t="inlineStr">
        <is>
          <t>17/03/2026</t>
        </is>
      </c>
      <c r="K545" t="inlineStr">
        <is>
          <t>N/A</t>
        </is>
      </c>
      <c r="L545" t="inlineStr">
        <is>
          <t>Marketing Management, Content Management, Design Management, Marketing Planning, Social Media Management</t>
        </is>
      </c>
      <c r="M545" t="inlineStr">
        <is>
          <t>Bonus, Healthcare Plan, Training, Others</t>
        </is>
      </c>
      <c r="N545" s="8">
        <f>HYPERLINK("https://www.vietnamworks.com/truong-phong-marketing-lam-viec-tai-trung-tam-bac-ninh-cu-1995763-jv","Xem chi tiết")</f>
        <v/>
      </c>
    </row>
    <row r="546">
      <c r="B546" s="9" t="n">
        <v>544</v>
      </c>
      <c r="C546" s="10" t="inlineStr">
        <is>
          <t>Kế Toán Tổng Hợp</t>
        </is>
      </c>
      <c r="D546" s="10" t="inlineStr">
        <is>
          <t>VinaQS Company Limited (Http://vinaqs.com)</t>
        </is>
      </c>
      <c r="E546" s="10" t="inlineStr">
        <is>
          <t>Thương lượng</t>
        </is>
      </c>
      <c r="F546" s="10" t="inlineStr">
        <is>
          <t>Hồ Chí Minh</t>
        </is>
      </c>
      <c r="G546" s="10" t="inlineStr">
        <is>
          <t>Nhân viên</t>
        </is>
      </c>
      <c r="H546" s="10" t="inlineStr">
        <is>
          <t>03/02/2026</t>
        </is>
      </c>
      <c r="I546" s="10" t="inlineStr">
        <is>
          <t>20/03/2026</t>
        </is>
      </c>
      <c r="J546" s="10" t="inlineStr">
        <is>
          <t>17/03/2026</t>
        </is>
      </c>
      <c r="K546" s="10" t="inlineStr">
        <is>
          <t>N/A</t>
        </is>
      </c>
      <c r="L546" s="10" t="inlineStr">
        <is>
          <t>Kế Toán Tổng Hợp, Kế Toán, Tài Chính, Báo Cáo Tài Chính, Kiểm Toán</t>
        </is>
      </c>
      <c r="M546" s="10" t="inlineStr">
        <is>
          <t>Bonus, Healthcare Plan, Training</t>
        </is>
      </c>
      <c r="N546" s="11">
        <f>HYPERLINK("https://www.vietnamworks.com/ke-toan-tong-hop--2009519-jv","Xem chi tiết")</f>
        <v/>
      </c>
      <c r="O546" s="10" t="n"/>
    </row>
    <row r="547">
      <c r="B547" s="7" t="n">
        <v>545</v>
      </c>
      <c r="C547" t="inlineStr">
        <is>
          <t>Kỹ Sư Thiết Kế Cơ Điện, PCCC</t>
        </is>
      </c>
      <c r="D547" t="inlineStr">
        <is>
          <t>CÔNG TY CỔ PHẦN CƠ ĐIỆN THỦ ĐÔ</t>
        </is>
      </c>
      <c r="E547" t="inlineStr">
        <is>
          <t>15tr-25tr ₫/tháng</t>
        </is>
      </c>
      <c r="F547" t="inlineStr">
        <is>
          <t>Hà Nội</t>
        </is>
      </c>
      <c r="G547" t="inlineStr">
        <is>
          <t>Nhân viên</t>
        </is>
      </c>
      <c r="H547" t="inlineStr">
        <is>
          <t>23/12/2025</t>
        </is>
      </c>
      <c r="I547" t="inlineStr">
        <is>
          <t>21/03/2026</t>
        </is>
      </c>
      <c r="J547" t="inlineStr">
        <is>
          <t>17/03/2026</t>
        </is>
      </c>
      <c r="K547" t="inlineStr">
        <is>
          <t>N/A</t>
        </is>
      </c>
      <c r="L547" t="inlineStr">
        <is>
          <t>Thiết Kế Hệ Thống Cơ Điện, PCCC, AutoCAD, Office Support, Giao Tiếp Chủ Động</t>
        </is>
      </c>
      <c r="M547" t="inlineStr">
        <is>
          <t>Others</t>
        </is>
      </c>
      <c r="N547" s="8">
        <f>HYPERLINK("https://www.vietnamworks.com/ky-su-thiet-ke-co-djien-pccc-1995705-jv","Xem chi tiết")</f>
        <v/>
      </c>
    </row>
    <row r="548">
      <c r="B548" s="9" t="n">
        <v>546</v>
      </c>
      <c r="C548" s="10" t="inlineStr">
        <is>
          <t>Revenue Manager I Trưởng Bộ Phận Doanh Thu</t>
        </is>
      </c>
      <c r="D548" s="10" t="inlineStr">
        <is>
          <t>Pandanus Resort Mũi Né</t>
        </is>
      </c>
      <c r="E548" s="10" t="inlineStr">
        <is>
          <t>Thương lượng</t>
        </is>
      </c>
      <c r="F548" s="10" t="inlineStr">
        <is>
          <t>Lâm Đồng</t>
        </is>
      </c>
      <c r="G548" s="10" t="inlineStr">
        <is>
          <t>Trưởng phòng</t>
        </is>
      </c>
      <c r="H548" s="10" t="inlineStr">
        <is>
          <t>22/11/2025</t>
        </is>
      </c>
      <c r="I548" s="10" t="inlineStr">
        <is>
          <t>21/03/2026</t>
        </is>
      </c>
      <c r="J548" s="10" t="inlineStr">
        <is>
          <t>17/03/2026</t>
        </is>
      </c>
      <c r="K548" s="10" t="inlineStr">
        <is>
          <t>N/A</t>
        </is>
      </c>
      <c r="L548" s="10" t="inlineStr">
        <is>
          <t>eCommerce Management, Ecommerce Operations, Ecommerce Optimization, Hotel Revenue Management, Revenue Management</t>
        </is>
      </c>
      <c r="M548" s="10" t="inlineStr">
        <is>
          <t>Bonus, Healthcare Plan, Training, Transportation, Canteen, Others</t>
        </is>
      </c>
      <c r="N548" s="11">
        <f>HYPERLINK("https://www.vietnamworks.com/revenue-manager-i-truong-bo-phan-doanh-thu-1984686-jv","Xem chi tiết")</f>
        <v/>
      </c>
      <c r="O548" s="10" t="n"/>
    </row>
    <row r="549">
      <c r="B549" s="7" t="n">
        <v>547</v>
      </c>
      <c r="C549" t="inlineStr">
        <is>
          <t>Kiểm Soát Viên Dịch Vụ Khách Hàng Hội Sở - Khối Vận Hành</t>
        </is>
      </c>
      <c r="D549" t="inlineStr">
        <is>
          <t>Ngân hàng TMCP Tiên Phong (TPBank)</t>
        </is>
      </c>
      <c r="E549" t="inlineStr">
        <is>
          <t>Thương lượng</t>
        </is>
      </c>
      <c r="F549" t="inlineStr">
        <is>
          <t>Hà Nội, Hồ Chí Minh</t>
        </is>
      </c>
      <c r="G549" t="inlineStr">
        <is>
          <t>Nhân viên</t>
        </is>
      </c>
      <c r="H549" t="inlineStr">
        <is>
          <t>22/12/2025</t>
        </is>
      </c>
      <c r="I549" t="inlineStr">
        <is>
          <t>21/03/2026</t>
        </is>
      </c>
      <c r="J549" t="inlineStr">
        <is>
          <t>17/03/2026</t>
        </is>
      </c>
      <c r="K549" t="inlineStr">
        <is>
          <t>N/A</t>
        </is>
      </c>
      <c r="L549" t="inlineStr">
        <is>
          <t>Dịch Vụ Khách Hàng, Nhận Diện Rủi Ro, Giải Trình Ngân Hàng, Kỹ năng giao tiêp</t>
        </is>
      </c>
      <c r="M549" t="inlineStr">
        <is>
          <t>Bonus, Awards, Others</t>
        </is>
      </c>
      <c r="N549" s="8">
        <f>HYPERLINK("https://www.vietnamworks.com/kiem-soat-vien-dich-vu-khach-hang-hoi-so-khoi-van-hanh-1995199-jv","Xem chi tiết")</f>
        <v/>
      </c>
    </row>
    <row r="550">
      <c r="B550" s="9" t="n">
        <v>548</v>
      </c>
      <c r="C550" s="10" t="inlineStr">
        <is>
          <t>CV Phân Tích Kinh Doanh - Khối Ngân Hàng Doanh Nghiệp/phòng Quản Lý Kinh Doanh</t>
        </is>
      </c>
      <c r="D550" s="10" t="inlineStr">
        <is>
          <t>Ngân hàng TMCP Tiên Phong (TPBank)</t>
        </is>
      </c>
      <c r="E550" s="10" t="inlineStr">
        <is>
          <t>Thương lượng</t>
        </is>
      </c>
      <c r="F550" s="10" t="inlineStr">
        <is>
          <t>Hà Nội, Hồ Chí Minh</t>
        </is>
      </c>
      <c r="G550" s="10" t="inlineStr">
        <is>
          <t>Nhân viên</t>
        </is>
      </c>
      <c r="H550" s="10" t="inlineStr">
        <is>
          <t>23/12/2025</t>
        </is>
      </c>
      <c r="I550" s="10" t="inlineStr">
        <is>
          <t>21/03/2026</t>
        </is>
      </c>
      <c r="J550" s="10" t="inlineStr">
        <is>
          <t>17/03/2026</t>
        </is>
      </c>
      <c r="K550" s="10" t="inlineStr">
        <is>
          <t>N/A</t>
        </is>
      </c>
      <c r="L550" s="10" t="inlineStr">
        <is>
          <t>Phân tích dữ liệu, Phân Tích Quy Trình, SQL, Oracle, Phân Tích Kinh Doanh</t>
        </is>
      </c>
      <c r="M550" s="10" t="inlineStr">
        <is>
          <t>Bonus, Healthcare Plan, Training, Awards, Team Activities, Others</t>
        </is>
      </c>
      <c r="N550" s="11">
        <f>HYPERLINK("https://www.vietnamworks.com/cv-phan-tich-kinh-doanh-khoi-ngan-hang-doanh-nghiep-phong-quan-ly-kinh-doanh-1995696-jv","Xem chi tiết")</f>
        <v/>
      </c>
      <c r="O550" s="10" t="n"/>
    </row>
    <row r="551">
      <c r="B551" s="7" t="n">
        <v>549</v>
      </c>
      <c r="C551" t="inlineStr">
        <is>
          <t>Nhân Viên Kinh Doanh (Biết Tiếng Anh/ Tiếng Hàn/ Tiếng Trung) - Làm Tại Bắc Giang</t>
        </is>
      </c>
      <c r="D551" t="inlineStr">
        <is>
          <t>Công ty Cổ phần QNK Bắc Giang</t>
        </is>
      </c>
      <c r="E551" t="inlineStr">
        <is>
          <t>15tr-18tr ₫/tháng</t>
        </is>
      </c>
      <c r="F551" t="inlineStr">
        <is>
          <t>Hà Nội, Bắc Giang</t>
        </is>
      </c>
      <c r="G551" t="inlineStr">
        <is>
          <t>Nhân viên</t>
        </is>
      </c>
      <c r="H551" t="inlineStr">
        <is>
          <t>23/12/2025</t>
        </is>
      </c>
      <c r="I551" t="inlineStr">
        <is>
          <t>21/03/2026</t>
        </is>
      </c>
      <c r="J551" t="inlineStr">
        <is>
          <t>17/03/2026</t>
        </is>
      </c>
      <c r="K551" t="inlineStr">
        <is>
          <t>N/A</t>
        </is>
      </c>
      <c r="L551" t="inlineStr">
        <is>
          <t>Kinh Doanh, Lập Kế Hoạch Kinh Doanh, Tìm Kiếm Khách Hàng, Chăm Sóc Khách Hàng, English</t>
        </is>
      </c>
      <c r="M551" t="inlineStr">
        <is>
          <t>Bonus, Healthcare Plan, Paid Leave</t>
        </is>
      </c>
      <c r="N551" s="8">
        <f>HYPERLINK("https://www.vietnamworks.com/nhan-vien-kinh-doanh-biet-tieng-anh-tieng-han-tieng-trung-lam-tai-bac-giang-1995809-jv","Xem chi tiết")</f>
        <v/>
      </c>
    </row>
    <row r="552">
      <c r="B552" s="9" t="n">
        <v>550</v>
      </c>
      <c r="C552" s="10" t="inlineStr">
        <is>
          <t>[ Tuyển Gấp] Nhân Viên Chứng Từ 2 Năm Kinh Nghiệm</t>
        </is>
      </c>
      <c r="D552" s="10" t="inlineStr">
        <is>
          <t>Công Ty TNHH Giao Nhận Vận Tải Biển Và Thương Mại M&amp;t</t>
        </is>
      </c>
      <c r="E552" s="10" t="inlineStr">
        <is>
          <t>Thương lượng</t>
        </is>
      </c>
      <c r="F552" s="10" t="inlineStr">
        <is>
          <t>Hải Phòng</t>
        </is>
      </c>
      <c r="G552" s="10" t="inlineStr">
        <is>
          <t>Nhân viên</t>
        </is>
      </c>
      <c r="H552" s="10" t="inlineStr">
        <is>
          <t>23/12/2025</t>
        </is>
      </c>
      <c r="I552" s="10" t="inlineStr">
        <is>
          <t>21/03/2026</t>
        </is>
      </c>
      <c r="J552" s="10" t="inlineStr">
        <is>
          <t>17/03/2026</t>
        </is>
      </c>
      <c r="K552" s="10" t="inlineStr">
        <is>
          <t>N/A</t>
        </is>
      </c>
      <c r="L552" s="10" t="inlineStr">
        <is>
          <t>Thủ Tục Hải Quan, Chứng Từ Xuất Nhập Khẩu, Chứng Từ Nhập Khẩu, Logistics, Vận Tải</t>
        </is>
      </c>
      <c r="M552" s="10" t="inlineStr">
        <is>
          <t>Bonus, Healthcare Plan, Travel Opportunities</t>
        </is>
      </c>
      <c r="N552" s="11">
        <f>HYPERLINK("https://www.vietnamworks.com/tuyen-gap-nhan-vien-chung-tu-2-nam-kinh-nghiem--1995830-jv","Xem chi tiết")</f>
        <v/>
      </c>
      <c r="O552" s="10" t="n"/>
    </row>
    <row r="553">
      <c r="B553" s="7" t="n">
        <v>551</v>
      </c>
      <c r="C553" t="inlineStr">
        <is>
          <t>Kỹ Sư Điện</t>
        </is>
      </c>
      <c r="D553" t="inlineStr">
        <is>
          <t>Công Ty TNHH Kyokujitsu Việt Nam</t>
        </is>
      </c>
      <c r="E553" t="inlineStr">
        <is>
          <t>Thương lượng</t>
        </is>
      </c>
      <c r="F553" t="inlineStr">
        <is>
          <t>Hà Nội, Hồ Chí Minh</t>
        </is>
      </c>
      <c r="G553" t="inlineStr">
        <is>
          <t>Mới Tốt Nghiệp</t>
        </is>
      </c>
      <c r="H553" t="inlineStr">
        <is>
          <t>26/12/2025</t>
        </is>
      </c>
      <c r="I553" t="inlineStr">
        <is>
          <t>21/03/2026</t>
        </is>
      </c>
      <c r="J553" t="inlineStr">
        <is>
          <t>17/03/2026</t>
        </is>
      </c>
      <c r="K553" t="inlineStr">
        <is>
          <t>N/A</t>
        </is>
      </c>
      <c r="L553" t="inlineStr">
        <is>
          <t>Kĩ Thuật Điện, Kiến Trúc Công Trình, Tiếng Nhật, Autocad, Tfas</t>
        </is>
      </c>
      <c r="M553" t="inlineStr">
        <is>
          <t>Bonus, Healthcare Plan, Others</t>
        </is>
      </c>
      <c r="N553" s="8">
        <f>HYPERLINK("https://www.vietnamworks.com/ky-su-djien-1996879-jv","Xem chi tiết")</f>
        <v/>
      </c>
    </row>
    <row r="554">
      <c r="B554" s="9" t="n">
        <v>552</v>
      </c>
      <c r="C554" s="10" t="inlineStr">
        <is>
          <t>Recruitment Executive</t>
        </is>
      </c>
      <c r="D554" s="10" t="inlineStr">
        <is>
          <t>Fountain Head Co Ltd.,</t>
        </is>
      </c>
      <c r="E554" s="10" t="inlineStr">
        <is>
          <t>$$ 500-800 /tháng</t>
        </is>
      </c>
      <c r="F554" s="10" t="inlineStr">
        <is>
          <t>Quốc tế</t>
        </is>
      </c>
      <c r="G554" s="10" t="inlineStr">
        <is>
          <t>Nhân viên</t>
        </is>
      </c>
      <c r="H554" s="10" t="inlineStr">
        <is>
          <t>31/12/2025</t>
        </is>
      </c>
      <c r="I554" s="10" t="inlineStr">
        <is>
          <t>21/03/2026</t>
        </is>
      </c>
      <c r="J554" s="10" t="inlineStr">
        <is>
          <t>17/03/2026</t>
        </is>
      </c>
      <c r="K554" s="10" t="inlineStr">
        <is>
          <t>N/A</t>
        </is>
      </c>
      <c r="L554" s="10" t="inlineStr">
        <is>
          <t>Human Resources, Recruitment, Talent Acquisition</t>
        </is>
      </c>
      <c r="M554" s="10" t="inlineStr">
        <is>
          <t>Travel Opportunities</t>
        </is>
      </c>
      <c r="N554" s="11">
        <f>HYPERLINK("https://www.vietnamworks.com/recruitment-executive--1998253-jv","Xem chi tiết")</f>
        <v/>
      </c>
      <c r="O554" s="10" t="n"/>
    </row>
    <row r="555">
      <c r="B555" s="7" t="n">
        <v>553</v>
      </c>
      <c r="C555" t="inlineStr">
        <is>
          <t>Kế Toán Tổng Hợp</t>
        </is>
      </c>
      <c r="D555" t="inlineStr">
        <is>
          <t>CÔNG TY CỔ PHẦN THƯƠNG MẠI XÂY DỰNG GIAO THÔNG THÁI BÌNH</t>
        </is>
      </c>
      <c r="E555" t="inlineStr">
        <is>
          <t>Từ 15tr ₫/tháng</t>
        </is>
      </c>
      <c r="F555" t="inlineStr">
        <is>
          <t>Hồ Chí Minh</t>
        </is>
      </c>
      <c r="G555" t="inlineStr">
        <is>
          <t>Nhân viên</t>
        </is>
      </c>
      <c r="H555" t="inlineStr">
        <is>
          <t>25/12/2025</t>
        </is>
      </c>
      <c r="I555" t="inlineStr">
        <is>
          <t>21/03/2026</t>
        </is>
      </c>
      <c r="J555" t="inlineStr">
        <is>
          <t>17/03/2026</t>
        </is>
      </c>
      <c r="K555" t="inlineStr">
        <is>
          <t>N/A</t>
        </is>
      </c>
      <c r="L555" t="inlineStr">
        <is>
          <t>Kế Toán Tổng Hợp, Nghiệp Vụ Kế Toán, Kế Toán Dự Án, Dự án xây dựng, MISA</t>
        </is>
      </c>
      <c r="M555" t="inlineStr">
        <is>
          <t>Bonus, Training, Team Activities, Others</t>
        </is>
      </c>
      <c r="N555" s="8">
        <f>HYPERLINK("https://www.vietnamworks.com/ke-toan-tong-hop-1996436-jv","Xem chi tiết")</f>
        <v/>
      </c>
    </row>
    <row r="556">
      <c r="B556" s="9" t="n">
        <v>554</v>
      </c>
      <c r="C556" s="10" t="inlineStr">
        <is>
          <t>Treasury Manager</t>
        </is>
      </c>
      <c r="D556" s="10" t="inlineStr">
        <is>
          <t>Asia Chemical Corporation</t>
        </is>
      </c>
      <c r="E556" s="10" t="inlineStr">
        <is>
          <t>Thương lượng</t>
        </is>
      </c>
      <c r="F556" s="10" t="inlineStr">
        <is>
          <t>Hồ Chí Minh</t>
        </is>
      </c>
      <c r="G556" s="10" t="inlineStr">
        <is>
          <t>Trưởng phòng</t>
        </is>
      </c>
      <c r="H556" s="10" t="inlineStr">
        <is>
          <t>24/12/2025</t>
        </is>
      </c>
      <c r="I556" s="10" t="inlineStr">
        <is>
          <t>21/03/2026</t>
        </is>
      </c>
      <c r="J556" s="10" t="inlineStr">
        <is>
          <t>17/03/2026</t>
        </is>
      </c>
      <c r="K556" s="10" t="inlineStr">
        <is>
          <t>N/A</t>
        </is>
      </c>
      <c r="L556" s="10" t="inlineStr">
        <is>
          <t>Treasury, Cash Flow, Corporate Treasury, Investment Banking, FX Dealing</t>
        </is>
      </c>
      <c r="M556" s="10" t="inlineStr">
        <is>
          <t>Bonus, Healthcare Plan, Training</t>
        </is>
      </c>
      <c r="N556" s="11">
        <f>HYPERLINK("https://www.vietnamworks.com/treasury-manager--1995942-jv","Xem chi tiết")</f>
        <v/>
      </c>
      <c r="O556" s="10" t="n"/>
    </row>
    <row r="557">
      <c r="B557" s="7" t="n">
        <v>555</v>
      </c>
      <c r="C557" t="inlineStr">
        <is>
          <t>Utility Staff (Nhân Viên Hệ Thống Phụ Trợ)</t>
        </is>
      </c>
      <c r="D557" t="inlineStr">
        <is>
          <t>Otsuka Nutraceutical Vietnam Co.,ltd.</t>
        </is>
      </c>
      <c r="E557" t="inlineStr">
        <is>
          <t>13tr-15tr ₫/tháng</t>
        </is>
      </c>
      <c r="F557" t="inlineStr">
        <is>
          <t>Bà Rịa - Vũng Tàu</t>
        </is>
      </c>
      <c r="G557" t="inlineStr">
        <is>
          <t>Nhân viên</t>
        </is>
      </c>
      <c r="H557" t="inlineStr">
        <is>
          <t>28/01/2026</t>
        </is>
      </c>
      <c r="I557" t="inlineStr">
        <is>
          <t>21/03/2026</t>
        </is>
      </c>
      <c r="J557" t="inlineStr">
        <is>
          <t>17/03/2026</t>
        </is>
      </c>
      <c r="K557" t="inlineStr">
        <is>
          <t>N/A</t>
        </is>
      </c>
      <c r="L557" t="inlineStr">
        <is>
          <t>Bảo Trì Hệ Thống, Giao Tiếp Tiếng Anh, Hệ Thống Hỗ Trợ, Teamwork, Tin Học Văn Phòng</t>
        </is>
      </c>
      <c r="M557" t="inlineStr">
        <is>
          <t>Bonus, Healthcare Plan, Paid Leave, Transportation, Canteen, Others</t>
        </is>
      </c>
      <c r="N557" s="8">
        <f>HYPERLINK("https://www.vietnamworks.com/utility-staff-nhan-vien-he-thong-phu-tro-2007299-jv","Xem chi tiết")</f>
        <v/>
      </c>
    </row>
    <row r="558">
      <c r="B558" s="9" t="n">
        <v>556</v>
      </c>
      <c r="C558" s="10" t="inlineStr">
        <is>
          <t>CV Nghiên Cứu và Phát Triển Sản Phẩm Đông Y Dược (Thông thạo Tiếng Trung) - Thu Nhập 30 Triệu +++</t>
        </is>
      </c>
      <c r="D558" s="10" t="inlineStr">
        <is>
          <t>TẬP ĐOÀN ĐÔNG Y DƯỢC VIỆT NAM</t>
        </is>
      </c>
      <c r="E558" s="10" t="inlineStr">
        <is>
          <t>$$ 1,000-2,000 /tháng</t>
        </is>
      </c>
      <c r="F558" s="10" t="inlineStr">
        <is>
          <t>Hà Nội</t>
        </is>
      </c>
      <c r="G558" s="10" t="inlineStr">
        <is>
          <t>Nhân viên</t>
        </is>
      </c>
      <c r="H558" s="10" t="inlineStr">
        <is>
          <t>29/12/2025</t>
        </is>
      </c>
      <c r="I558" s="10" t="inlineStr">
        <is>
          <t>21/03/2026</t>
        </is>
      </c>
      <c r="J558" s="10" t="inlineStr">
        <is>
          <t>17/03/2026</t>
        </is>
      </c>
      <c r="K558" s="10" t="inlineStr">
        <is>
          <t>N/A</t>
        </is>
      </c>
      <c r="L558" s="10" t="inlineStr">
        <is>
          <t>Tiếng Trung Thành Thạo, R&amp;D Dược Phẩm, Sản Xuất Dược, Nghiên Cứu Dược Phẩm</t>
        </is>
      </c>
      <c r="M558" s="10" t="inlineStr">
        <is>
          <t>Bonus, Healthcare Plan, Laptop</t>
        </is>
      </c>
      <c r="N558" s="11">
        <f>HYPERLINK("https://www.vietnamworks.com/cv-nghien-cuu-va-phat-trien-san-pham-dong-y-duoc-thong-thao-tieng-trung-thu-nhap-30-trieu-1997371-jv","Xem chi tiết")</f>
        <v/>
      </c>
      <c r="O558" s="10" t="n"/>
    </row>
    <row r="559">
      <c r="B559" s="7" t="n">
        <v>557</v>
      </c>
      <c r="C559" t="inlineStr">
        <is>
          <t>Trưởng Phòng Trade Marketing Yêu Cầu Kinh Nghiệm FMCG, Mạnh Kênh GT (Upto $2500) - Hà Nội</t>
        </is>
      </c>
      <c r="D559" t="inlineStr">
        <is>
          <t>Công Ty Cổ phần Richy Group</t>
        </is>
      </c>
      <c r="E559" t="inlineStr">
        <is>
          <t>$$ 2,000-2,500 /tháng</t>
        </is>
      </c>
      <c r="F559" t="inlineStr">
        <is>
          <t>Hà Nội</t>
        </is>
      </c>
      <c r="G559" t="inlineStr">
        <is>
          <t>Trưởng phòng</t>
        </is>
      </c>
      <c r="H559" t="inlineStr">
        <is>
          <t>31/12/2025</t>
        </is>
      </c>
      <c r="I559" t="inlineStr">
        <is>
          <t>21/03/2026</t>
        </is>
      </c>
      <c r="J559" t="inlineStr">
        <is>
          <t>17/03/2026</t>
        </is>
      </c>
      <c r="K559" t="inlineStr">
        <is>
          <t>N/A</t>
        </is>
      </c>
      <c r="L559" t="inlineStr">
        <is>
          <t>Trade Marketing, Strategic Marketing Management, Food Research, Business Management, Quản Lý Ngân Sách</t>
        </is>
      </c>
      <c r="M559" t="inlineStr">
        <is>
          <t>Bonus, Healthcare Plan, Paid Leave</t>
        </is>
      </c>
      <c r="N559" s="8">
        <f>HYPERLINK("https://www.vietnamworks.com/truong-phong-trade-marketing-yeu-cau-kinh-nghiem-fmcg-manh-kenh-gt-upto-2500-ha-noi-1998728-jv","Xem chi tiết")</f>
        <v/>
      </c>
    </row>
    <row r="560">
      <c r="B560" s="9" t="n">
        <v>558</v>
      </c>
      <c r="C560" s="10" t="inlineStr">
        <is>
          <t>Giám đốc Phòng Quản lý Rủi ro, Quy trình và Tuân thủ</t>
        </is>
      </c>
      <c r="D560" s="10" t="inlineStr">
        <is>
          <t>Novaland</t>
        </is>
      </c>
      <c r="E560" s="10" t="inlineStr">
        <is>
          <t>Thương lượng</t>
        </is>
      </c>
      <c r="F560" s="10" t="inlineStr">
        <is>
          <t>Hồ Chí Minh</t>
        </is>
      </c>
      <c r="G560" s="10" t="inlineStr">
        <is>
          <t>Giám Đốc và Cấp Cao Hơn</t>
        </is>
      </c>
      <c r="H560" s="10" t="inlineStr">
        <is>
          <t>27/12/2025</t>
        </is>
      </c>
      <c r="I560" s="10" t="inlineStr">
        <is>
          <t>21/03/2026</t>
        </is>
      </c>
      <c r="J560" s="10" t="inlineStr">
        <is>
          <t>17/03/2026</t>
        </is>
      </c>
      <c r="K560" s="10" t="inlineStr">
        <is>
          <t>N/A</t>
        </is>
      </c>
      <c r="L560" s="10" t="inlineStr">
        <is>
          <t>Kiểm Soát Nội Bộ, Kiểm Toán Nội Bộ, Quản Lý Rủi Ro, Tổng Hợp Phân Tích, Tư Duy Logic</t>
        </is>
      </c>
      <c r="M560" s="10" t="inlineStr">
        <is>
          <t>Healthcare Plan, Laptop, Vouchers</t>
        </is>
      </c>
      <c r="N560" s="11">
        <f>HYPERLINK("https://www.vietnamworks.com/giam-djoc-phong-quan-ly-rui-ro-quy-trinh-va-tuan-thu-1997094-jv","Xem chi tiết")</f>
        <v/>
      </c>
      <c r="O560" s="10" t="n"/>
    </row>
    <row r="561">
      <c r="B561" s="7" t="n">
        <v>559</v>
      </c>
      <c r="C561" t="inlineStr">
        <is>
          <t>Chuyên Viên Kinh Doanh - Telecom [ Lương Cứng Từ 16-23Tr ]</t>
        </is>
      </c>
      <c r="D561" t="inlineStr">
        <is>
          <t>Tập Đoàn APEC (APEC GROUP)</t>
        </is>
      </c>
      <c r="E561" t="inlineStr">
        <is>
          <t>$$ 700-1,000 /tháng</t>
        </is>
      </c>
      <c r="F561" t="inlineStr">
        <is>
          <t>Hà Nội</t>
        </is>
      </c>
      <c r="G561" t="inlineStr">
        <is>
          <t>Nhân viên</t>
        </is>
      </c>
      <c r="H561" t="inlineStr">
        <is>
          <t>30/12/2025</t>
        </is>
      </c>
      <c r="I561" t="inlineStr">
        <is>
          <t>21/03/2026</t>
        </is>
      </c>
      <c r="J561" t="inlineStr">
        <is>
          <t>17/03/2026</t>
        </is>
      </c>
      <c r="K561" t="inlineStr">
        <is>
          <t>N/A</t>
        </is>
      </c>
      <c r="L561" t="inlineStr">
        <is>
          <t>Kinh Doanh, Sales B2B, International Sales Skill, Mobile Telecom, Bán hàng</t>
        </is>
      </c>
      <c r="M561" t="inlineStr">
        <is>
          <t>Bonus, Travel Opportunities, Others</t>
        </is>
      </c>
      <c r="N561" s="8">
        <f>HYPERLINK("https://www.vietnamworks.com/chuyen-vien-kinh-doanh-telecom-luong-cung-tu-16-23tr-1997922-jv","Xem chi tiết")</f>
        <v/>
      </c>
    </row>
    <row r="562">
      <c r="B562" s="9" t="n">
        <v>560</v>
      </c>
      <c r="C562" s="10" t="inlineStr">
        <is>
          <t>Giám Sát Hậu Cần (Logistics Supervisor)</t>
        </is>
      </c>
      <c r="D562" s="10" t="inlineStr">
        <is>
          <t>Văn Phòng Phú Thái Group</t>
        </is>
      </c>
      <c r="E562" s="10" t="inlineStr">
        <is>
          <t>Từ 22tr ₫/tháng</t>
        </is>
      </c>
      <c r="F562" s="10" t="inlineStr">
        <is>
          <t>Hà Nội</t>
        </is>
      </c>
      <c r="G562" s="10" t="inlineStr">
        <is>
          <t>Trưởng phòng</t>
        </is>
      </c>
      <c r="H562" s="10" t="inlineStr">
        <is>
          <t>31/12/2025</t>
        </is>
      </c>
      <c r="I562" s="10" t="inlineStr">
        <is>
          <t>21/03/2026</t>
        </is>
      </c>
      <c r="J562" s="10" t="inlineStr">
        <is>
          <t>17/03/2026</t>
        </is>
      </c>
      <c r="K562" s="10" t="inlineStr">
        <is>
          <t>N/A</t>
        </is>
      </c>
      <c r="L562" s="10" t="inlineStr">
        <is>
          <t>Quản Lý Vận Hành, Quản Lý Kho, Sử Dụng Phần Mềm, Kỹ năng giao tiếp</t>
        </is>
      </c>
      <c r="M562" s="10" t="inlineStr">
        <is>
          <t>Healthcare Plan, Team Activities, Others</t>
        </is>
      </c>
      <c r="N562" s="11">
        <f>HYPERLINK("https://www.vietnamworks.com/giam-sat-hau-can-logistics-supervisor-1998801-jv","Xem chi tiết")</f>
        <v/>
      </c>
      <c r="O562" s="10" t="n"/>
    </row>
    <row r="563">
      <c r="B563" s="7" t="n">
        <v>561</v>
      </c>
      <c r="C563" t="inlineStr">
        <is>
          <t>Supplier Quality Engineer/SQE</t>
        </is>
      </c>
      <c r="D563" t="inlineStr">
        <is>
          <t>Molex Vietnam Co., Ltd.</t>
        </is>
      </c>
      <c r="E563" t="inlineStr">
        <is>
          <t>Thương lượng</t>
        </is>
      </c>
      <c r="F563" t="inlineStr">
        <is>
          <t>Hà Nội</t>
        </is>
      </c>
      <c r="G563" t="inlineStr">
        <is>
          <t>Nhân viên</t>
        </is>
      </c>
      <c r="H563" t="inlineStr">
        <is>
          <t>04/01/2026</t>
        </is>
      </c>
      <c r="I563" t="inlineStr">
        <is>
          <t>21/03/2026</t>
        </is>
      </c>
      <c r="J563" t="inlineStr">
        <is>
          <t>17/03/2026</t>
        </is>
      </c>
      <c r="K563" t="inlineStr">
        <is>
          <t>N/A</t>
        </is>
      </c>
      <c r="L563" t="inlineStr">
        <is>
          <t>Continuous Improvement, Quality Control Principles, Root Cause Analysis, Statistical Analysis, Training Development</t>
        </is>
      </c>
      <c r="M563" t="inlineStr">
        <is>
          <t>Bonus, Healthcare Plan, Transportation, Others</t>
        </is>
      </c>
      <c r="N563" s="8">
        <f>HYPERLINK("https://www.vietnamworks.com/supplier-quality-engineersqe-1999227-jv","Xem chi tiết")</f>
        <v/>
      </c>
    </row>
    <row r="564">
      <c r="B564" s="9" t="n">
        <v>562</v>
      </c>
      <c r="C564" s="10" t="inlineStr">
        <is>
          <t>Nhân Viên Kinh Doanh - Sales Executive</t>
        </is>
      </c>
      <c r="D564" s="10" t="inlineStr">
        <is>
          <t>CÔNG TY TNHH CÔNG NGHIỆP PTS</t>
        </is>
      </c>
      <c r="E564" s="10" t="inlineStr">
        <is>
          <t>Thương lượng</t>
        </is>
      </c>
      <c r="F564" s="10" t="inlineStr">
        <is>
          <t>Hồ Chí Minh, Bắc Ninh, Hà Nội</t>
        </is>
      </c>
      <c r="G564" s="10" t="inlineStr">
        <is>
          <t>Nhân viên</t>
        </is>
      </c>
      <c r="H564" s="10" t="inlineStr">
        <is>
          <t>30/12/2025</t>
        </is>
      </c>
      <c r="I564" s="10" t="inlineStr">
        <is>
          <t>21/03/2026</t>
        </is>
      </c>
      <c r="J564" s="10" t="inlineStr">
        <is>
          <t>17/03/2026</t>
        </is>
      </c>
      <c r="K564" s="10" t="inlineStr">
        <is>
          <t>N/A</t>
        </is>
      </c>
      <c r="L564" s="10" t="inlineStr">
        <is>
          <t>Kinh Doanh, Microsoft Office, AutoCAD, Giao Tiếp, Tìm Kiếm Khách Hàng</t>
        </is>
      </c>
      <c r="M564" s="10" t="inlineStr">
        <is>
          <t>Bonus, Healthcare Plan, Training, Travel Opportunities, Others</t>
        </is>
      </c>
      <c r="N564" s="11">
        <f>HYPERLINK("https://www.vietnamworks.com/nhan-vien-kinh-doanh-sales-executive-1997858-jv","Xem chi tiết")</f>
        <v/>
      </c>
      <c r="O564" s="10" t="n"/>
    </row>
    <row r="565">
      <c r="B565" s="7" t="n">
        <v>563</v>
      </c>
      <c r="C565" t="inlineStr">
        <is>
          <t>Chuyên Viên Kinh Doanh - Lương Cơ Bản Đến 33 Triệu/tháng + Hoa Hồng</t>
        </is>
      </c>
      <c r="D565" t="inlineStr">
        <is>
          <t>Tập Đoàn Vingroup - Công Ty Cổ phần Vincom Retail</t>
        </is>
      </c>
      <c r="E565" t="inlineStr">
        <is>
          <t>$$ 1,000-1,500 /tháng</t>
        </is>
      </c>
      <c r="F565" t="inlineStr">
        <is>
          <t>Hà Nội, Hồ Chí Minh, Kiên Giang</t>
        </is>
      </c>
      <c r="G565" t="inlineStr">
        <is>
          <t>Nhân viên</t>
        </is>
      </c>
      <c r="H565" t="inlineStr">
        <is>
          <t>02/02/2026</t>
        </is>
      </c>
      <c r="I565" t="inlineStr">
        <is>
          <t>21/03/2026</t>
        </is>
      </c>
      <c r="J565" t="inlineStr">
        <is>
          <t>17/03/2026</t>
        </is>
      </c>
      <c r="K565" t="inlineStr">
        <is>
          <t>N/A</t>
        </is>
      </c>
      <c r="L565" t="inlineStr">
        <is>
          <t>Tìm Kiếm Khách Hàng, Kinh Doanh, Phát Triển Thị Trường, Leasing</t>
        </is>
      </c>
      <c r="M565" t="inlineStr">
        <is>
          <t>Bonus, Canteen, Others</t>
        </is>
      </c>
      <c r="N565" s="8">
        <f>HYPERLINK("https://www.vietnamworks.com/chuyen-vien-kinh-doanh-luong-co-ban-den-33-trieu-thang-hoa-hong-2008907-jv","Xem chi tiết")</f>
        <v/>
      </c>
    </row>
    <row r="566">
      <c r="B566" s="9" t="n">
        <v>564</v>
      </c>
      <c r="C566" s="10" t="inlineStr">
        <is>
          <t>Chuyên Viên Thúc Đẩy Kinh Doanh - Chứng khoán</t>
        </is>
      </c>
      <c r="D566" s="10" t="inlineStr">
        <is>
          <t>Công Ty Cổ Phần Chứng Khoán Up</t>
        </is>
      </c>
      <c r="E566" s="10" t="inlineStr">
        <is>
          <t>$$ 1,000-2,000 /tháng</t>
        </is>
      </c>
      <c r="F566" s="10" t="inlineStr">
        <is>
          <t>Hà Nội</t>
        </is>
      </c>
      <c r="G566" s="10" t="inlineStr">
        <is>
          <t>Nhân viên</t>
        </is>
      </c>
      <c r="H566" s="10" t="inlineStr">
        <is>
          <t>29/12/2025</t>
        </is>
      </c>
      <c r="I566" s="10" t="inlineStr">
        <is>
          <t>21/03/2026</t>
        </is>
      </c>
      <c r="J566" s="10" t="inlineStr">
        <is>
          <t>17/03/2026</t>
        </is>
      </c>
      <c r="K566" s="10" t="inlineStr">
        <is>
          <t>N/A</t>
        </is>
      </c>
      <c r="L566" s="10" t="inlineStr">
        <is>
          <t>Chứng Khoán Đầu Tư, Giải Pháp Bán Hàng, Giải Quyết Vấn Đề, Phát Triển Kinh Doanh</t>
        </is>
      </c>
      <c r="M566" s="10" t="inlineStr">
        <is>
          <t>Bonus, Healthcare Plan, Paid Leave, Training, Mobile</t>
        </is>
      </c>
      <c r="N566" s="11">
        <f>HYPERLINK("https://www.vietnamworks.com/chuyen-vien-thuc-djay-kinh-doanh-chung-khoan-1997637-jv","Xem chi tiết")</f>
        <v/>
      </c>
      <c r="O566" s="10" t="n"/>
    </row>
    <row r="567">
      <c r="B567" s="7" t="n">
        <v>565</v>
      </c>
      <c r="C567" t="inlineStr">
        <is>
          <t>Preschool Principal - Hiệu Trưởng Trường Mầm Non</t>
        </is>
      </c>
      <c r="D567" t="inlineStr">
        <is>
          <t>Busy Bees Vietnam</t>
        </is>
      </c>
      <c r="E567" t="inlineStr">
        <is>
          <t>Thương lượng</t>
        </is>
      </c>
      <c r="F567" t="inlineStr">
        <is>
          <t>Hồ Chí Minh</t>
        </is>
      </c>
      <c r="G567" t="inlineStr">
        <is>
          <t>Trưởng phòng</t>
        </is>
      </c>
      <c r="H567" t="inlineStr">
        <is>
          <t>29/12/2025</t>
        </is>
      </c>
      <c r="I567" t="inlineStr">
        <is>
          <t>21/03/2026</t>
        </is>
      </c>
      <c r="J567" t="inlineStr">
        <is>
          <t>17/03/2026</t>
        </is>
      </c>
      <c r="K567" t="inlineStr">
        <is>
          <t>N/A</t>
        </is>
      </c>
      <c r="L567" t="inlineStr">
        <is>
          <t>Early Childhood Education\r\r, English Language Proficiency, Leadership Skills, Office Software, Organizational skills</t>
        </is>
      </c>
      <c r="M567" t="inlineStr">
        <is>
          <t>Bonus, Healthcare Plan, Others</t>
        </is>
      </c>
      <c r="N567" s="8">
        <f>HYPERLINK("https://www.vietnamworks.com/preschool-principal-hieu-truong-truong-mam-non-1997423-jv","Xem chi tiết")</f>
        <v/>
      </c>
    </row>
    <row r="568">
      <c r="B568" s="9" t="n">
        <v>566</v>
      </c>
      <c r="C568" s="10" t="inlineStr">
        <is>
          <t>Kỹ Sư Cơ Khí/ Mechanical Engineer</t>
        </is>
      </c>
      <c r="D568" s="10" t="inlineStr">
        <is>
          <t>Công Ty TNHH Backer Heating Technologies Việt Nam</t>
        </is>
      </c>
      <c r="E568" s="10" t="inlineStr">
        <is>
          <t>Thương lượng</t>
        </is>
      </c>
      <c r="F568" s="10" t="inlineStr">
        <is>
          <t>Tây Ninh</t>
        </is>
      </c>
      <c r="G568" s="10" t="inlineStr">
        <is>
          <t>Nhân viên</t>
        </is>
      </c>
      <c r="H568" s="10" t="inlineStr">
        <is>
          <t>02/02/2026</t>
        </is>
      </c>
      <c r="I568" s="10" t="inlineStr">
        <is>
          <t>21/03/2026</t>
        </is>
      </c>
      <c r="J568" s="10" t="inlineStr">
        <is>
          <t>17/03/2026</t>
        </is>
      </c>
      <c r="K568" s="10" t="inlineStr">
        <is>
          <t>N/A</t>
        </is>
      </c>
      <c r="L568" s="10" t="inlineStr">
        <is>
          <t>AutoCAD, Chế Tạo Máy, Triển Khai Bản Vẽ Cơ Khí, Lập Dự Toán, SolidWorks</t>
        </is>
      </c>
      <c r="M568" s="10" t="inlineStr">
        <is>
          <t>Bonus, Training, Transportation</t>
        </is>
      </c>
      <c r="N568" s="11">
        <f>HYPERLINK("https://www.vietnamworks.com/ky-su-co-khi-mechanical-engineer--2009106-jv","Xem chi tiết")</f>
        <v/>
      </c>
      <c r="O568" s="10" t="n"/>
    </row>
    <row r="569">
      <c r="B569" s="7" t="n">
        <v>567</v>
      </c>
      <c r="C569" t="inlineStr">
        <is>
          <t>Customer Service Online Coordinator - Chuyên Viên Chăm Sóc Khách Hàng</t>
        </is>
      </c>
      <c r="D569" t="inlineStr">
        <is>
          <t>TPF Group</t>
        </is>
      </c>
      <c r="E569" t="inlineStr">
        <is>
          <t>$$ 100-1,000 /tháng</t>
        </is>
      </c>
      <c r="F569" t="inlineStr">
        <is>
          <t>Hồ Chí Minh</t>
        </is>
      </c>
      <c r="G569" t="inlineStr">
        <is>
          <t>Nhân viên</t>
        </is>
      </c>
      <c r="H569" t="inlineStr">
        <is>
          <t>03/02/2026</t>
        </is>
      </c>
      <c r="I569" t="inlineStr">
        <is>
          <t>21/03/2026</t>
        </is>
      </c>
      <c r="J569" t="inlineStr">
        <is>
          <t>17/03/2026</t>
        </is>
      </c>
      <c r="K569" t="inlineStr">
        <is>
          <t>N/A</t>
        </is>
      </c>
      <c r="L569" t="inlineStr">
        <is>
          <t>Customer Service, Sales Support, Customer-Oriented, Problem Solving</t>
        </is>
      </c>
      <c r="M569" t="inlineStr">
        <is>
          <t>Healthcare Plan, Paid Leave, Canteen</t>
        </is>
      </c>
      <c r="N569" s="8">
        <f>HYPERLINK("https://www.vietnamworks.com/customer-service-online-coordinator-chuyen-vien-cham-soc-khach-hang-2009305-jv","Xem chi tiết")</f>
        <v/>
      </c>
    </row>
    <row r="570">
      <c r="B570" s="9" t="n">
        <v>568</v>
      </c>
      <c r="C570" s="10" t="inlineStr">
        <is>
          <t>Mechanical Design Engineer</t>
        </is>
      </c>
      <c r="D570" s="10" t="inlineStr">
        <is>
          <t>Công Ty TNHH Standard Units Supply Việt Nam</t>
        </is>
      </c>
      <c r="E570" s="10" t="inlineStr">
        <is>
          <t>Tới 12tr ₫/tháng</t>
        </is>
      </c>
      <c r="F570" s="10" t="inlineStr">
        <is>
          <t>Hải Phòng</t>
        </is>
      </c>
      <c r="G570" s="10" t="inlineStr">
        <is>
          <t>Nhân viên</t>
        </is>
      </c>
      <c r="H570" s="10" t="inlineStr">
        <is>
          <t>31/12/2025</t>
        </is>
      </c>
      <c r="I570" s="10" t="inlineStr">
        <is>
          <t>21/03/2026</t>
        </is>
      </c>
      <c r="J570" s="10" t="inlineStr">
        <is>
          <t>17/03/2026</t>
        </is>
      </c>
      <c r="K570" s="10" t="inlineStr">
        <is>
          <t>N/A</t>
        </is>
      </c>
      <c r="L570" s="10" t="inlineStr">
        <is>
          <t>3D Design, Communication, Mechanical Design, Mechanical Processing, SolidWorks</t>
        </is>
      </c>
      <c r="M570" s="10" t="inlineStr">
        <is>
          <t>Bonus, Healthcare Plan, Team Activities, Others</t>
        </is>
      </c>
      <c r="N570" s="11">
        <f>HYPERLINK("https://www.vietnamworks.com/mechanical-design-engineer--1998814-jv","Xem chi tiết")</f>
        <v/>
      </c>
      <c r="O570" s="10" t="n"/>
    </row>
    <row r="571">
      <c r="B571" s="7" t="n">
        <v>569</v>
      </c>
      <c r="C571" t="inlineStr">
        <is>
          <t>Giám Đốc Vùng Khách Hàng Cá Nhân - RB - MSB - 1O280</t>
        </is>
      </c>
      <c r="D571" t="inlineStr">
        <is>
          <t>Ngân Hàng Thương Mại Cổ Phần Hàng Hải Việt Nam (MSB)</t>
        </is>
      </c>
      <c r="E571" t="inlineStr">
        <is>
          <t>Thương lượng</t>
        </is>
      </c>
      <c r="F571" t="inlineStr">
        <is>
          <t>Cần Thơ, Hải Phòng, Quảng Ninh</t>
        </is>
      </c>
      <c r="G571" t="inlineStr">
        <is>
          <t>Giám Đốc và Cấp Cao Hơn</t>
        </is>
      </c>
      <c r="H571" t="inlineStr">
        <is>
          <t>29/12/2025</t>
        </is>
      </c>
      <c r="I571" t="inlineStr">
        <is>
          <t>21/03/2026</t>
        </is>
      </c>
      <c r="J571" t="inlineStr">
        <is>
          <t>17/03/2026</t>
        </is>
      </c>
      <c r="K571" t="inlineStr">
        <is>
          <t>N/A</t>
        </is>
      </c>
      <c r="L571" t="inlineStr">
        <is>
          <t>Đảm Bảo Chất Lượng, Kế Hoạch Kinh Doanh, Quản Lý Vùng, Phát Triển Khách Hàng, Tài Chính Ngân Hàng</t>
        </is>
      </c>
      <c r="M571" t="inlineStr">
        <is>
          <t>Bonus, Healthcare Plan, Team Activities</t>
        </is>
      </c>
      <c r="N571" s="8">
        <f>HYPERLINK("https://www.vietnamworks.com/giam-doc-vung-khach-hang-ca-nhan-rb-msb-1o280-1997582-jv","Xem chi tiết")</f>
        <v/>
      </c>
    </row>
    <row r="572">
      <c r="B572" s="9" t="n">
        <v>570</v>
      </c>
      <c r="C572" s="10" t="inlineStr">
        <is>
          <t>Manager, Internal Audit</t>
        </is>
      </c>
      <c r="D572" s="10" t="inlineStr">
        <is>
          <t>United Overseas Bank (Vietnam) Limited (UOB)</t>
        </is>
      </c>
      <c r="E572" s="10" t="inlineStr">
        <is>
          <t>Thương lượng</t>
        </is>
      </c>
      <c r="F572" s="10" t="inlineStr">
        <is>
          <t>Hồ Chí Minh</t>
        </is>
      </c>
      <c r="G572" s="10" t="inlineStr">
        <is>
          <t>Trưởng phòng</t>
        </is>
      </c>
      <c r="H572" s="10" t="inlineStr">
        <is>
          <t>26/12/2025</t>
        </is>
      </c>
      <c r="I572" s="10" t="inlineStr">
        <is>
          <t>21/03/2026</t>
        </is>
      </c>
      <c r="J572" s="10" t="inlineStr">
        <is>
          <t>17/03/2026</t>
        </is>
      </c>
      <c r="K572" s="10" t="inlineStr">
        <is>
          <t>N/A</t>
        </is>
      </c>
      <c r="L572" s="10" t="inlineStr">
        <is>
          <t>Analytical Skills, Cybersecurity, Data Analysis, Data Visualization, SQL</t>
        </is>
      </c>
      <c r="M572" s="10" t="inlineStr">
        <is>
          <t>Bonus, Healthcare Plan, Paid Leave, Others</t>
        </is>
      </c>
      <c r="N572" s="11">
        <f>HYPERLINK("https://www.vietnamworks.com/manager-internal-audit-1997052-jv","Xem chi tiết")</f>
        <v/>
      </c>
      <c r="O572" s="10" t="n"/>
    </row>
    <row r="573">
      <c r="B573" s="7" t="n">
        <v>571</v>
      </c>
      <c r="C573" t="inlineStr">
        <is>
          <t>Import/Export Supervisor</t>
        </is>
      </c>
      <c r="D573" t="inlineStr">
        <is>
          <t>TNHH EPK GOOD DAY CO LTD</t>
        </is>
      </c>
      <c r="E573" t="inlineStr">
        <is>
          <t>Thương lượng</t>
        </is>
      </c>
      <c r="F573" t="inlineStr">
        <is>
          <t>Hồ Chí Minh</t>
        </is>
      </c>
      <c r="G573" t="inlineStr">
        <is>
          <t>Nhân viên</t>
        </is>
      </c>
      <c r="H573" t="inlineStr">
        <is>
          <t>03/02/2026</t>
        </is>
      </c>
      <c r="I573" t="inlineStr">
        <is>
          <t>21/03/2026</t>
        </is>
      </c>
      <c r="J573" t="inlineStr">
        <is>
          <t>17/03/2026</t>
        </is>
      </c>
      <c r="K573" t="inlineStr">
        <is>
          <t>N/A</t>
        </is>
      </c>
      <c r="L573" t="inlineStr">
        <is>
          <t>Logistics Management, Customs Procedures, Negotiation Skills, Problem-solving, General Communication English</t>
        </is>
      </c>
      <c r="M573" t="inlineStr">
        <is>
          <t>Bonus, Others</t>
        </is>
      </c>
      <c r="N573" s="8">
        <f>HYPERLINK("https://www.vietnamworks.com/importexport-supervisor-2009413-jv","Xem chi tiết")</f>
        <v/>
      </c>
    </row>
    <row r="574">
      <c r="B574" s="9" t="n">
        <v>572</v>
      </c>
      <c r="C574" s="10" t="inlineStr">
        <is>
          <t>Nhân Viên Kế Toán Tổng Hợp</t>
        </is>
      </c>
      <c r="D574" s="10" t="inlineStr">
        <is>
          <t>CÔNG TY CỔ PHẦN BÊ TÔNG SƠN ĐÔNG</t>
        </is>
      </c>
      <c r="E574" s="10" t="inlineStr">
        <is>
          <t>13tr-18tr ₫/tháng</t>
        </is>
      </c>
      <c r="F574" s="10" t="inlineStr">
        <is>
          <t>Phú Thọ</t>
        </is>
      </c>
      <c r="G574" s="10" t="inlineStr">
        <is>
          <t>Nhân viên</t>
        </is>
      </c>
      <c r="H574" s="10" t="inlineStr">
        <is>
          <t>03/02/2026</t>
        </is>
      </c>
      <c r="I574" s="10" t="inlineStr">
        <is>
          <t>21/03/2026</t>
        </is>
      </c>
      <c r="J574" s="10" t="inlineStr">
        <is>
          <t>17/03/2026</t>
        </is>
      </c>
      <c r="K574" s="10" t="inlineStr">
        <is>
          <t>N/A</t>
        </is>
      </c>
      <c r="L574" s="10" t="inlineStr">
        <is>
          <t>Kế Toán Tổng Hợp, Phần mềm kế toán, Giao Tiếp Tiếng Anh, Hạch Toán, Tin Học Văn Phòng</t>
        </is>
      </c>
      <c r="M574" s="10" t="inlineStr">
        <is>
          <t>Bonus, Healthcare Plan, Team Activities, Others</t>
        </is>
      </c>
      <c r="N574" s="11">
        <f>HYPERLINK("https://www.vietnamworks.com/nhan-vien-ke-toan-tong-hop-2009506-jv","Xem chi tiết")</f>
        <v/>
      </c>
      <c r="O574" s="10" t="n"/>
    </row>
    <row r="575">
      <c r="B575" s="7" t="n">
        <v>573</v>
      </c>
      <c r="C575" t="inlineStr">
        <is>
          <t>Sales Representative - Remote Job (Prefer Foreigner Or Việt Kiều)</t>
        </is>
      </c>
      <c r="D575" t="inlineStr">
        <is>
          <t>Công Ty TNHH Carter &amp; Font Outsourcing</t>
        </is>
      </c>
      <c r="E575" t="inlineStr">
        <is>
          <t>Thương lượng</t>
        </is>
      </c>
      <c r="F575" t="inlineStr">
        <is>
          <t>Hà Nội</t>
        </is>
      </c>
      <c r="G575" t="inlineStr">
        <is>
          <t>Nhân viên</t>
        </is>
      </c>
      <c r="H575" t="inlineStr">
        <is>
          <t>04/02/2026</t>
        </is>
      </c>
      <c r="I575" t="inlineStr">
        <is>
          <t>21/03/2026</t>
        </is>
      </c>
      <c r="J575" t="inlineStr">
        <is>
          <t>17/03/2026</t>
        </is>
      </c>
      <c r="K575" t="inlineStr">
        <is>
          <t>N/A</t>
        </is>
      </c>
      <c r="L575" t="inlineStr">
        <is>
          <t>CRM System, Data Analytics, Telesales Coaching, Revenue Management, Sales Management</t>
        </is>
      </c>
      <c r="M575" t="inlineStr">
        <is>
          <t>Bonus, Training, Others</t>
        </is>
      </c>
      <c r="N575" s="8">
        <f>HYPERLINK("https://www.vietnamworks.com/sales-representative-remote-job-prefer-foreigner-or-viet-kieu-2009529-jv","Xem chi tiết")</f>
        <v/>
      </c>
    </row>
    <row r="576">
      <c r="B576" s="9" t="n">
        <v>574</v>
      </c>
      <c r="C576" s="10" t="inlineStr">
        <is>
          <t>Chuyên Viên Pháp Chế</t>
        </is>
      </c>
      <c r="D576" s="10" t="inlineStr">
        <is>
          <t>Công Ty TNHH Chăn Nuôi Việt Nhật - Công Ty Thành Viên Của Vinamilk</t>
        </is>
      </c>
      <c r="E576" s="10" t="inlineStr">
        <is>
          <t>Thương lượng</t>
        </is>
      </c>
      <c r="F576" s="10" t="inlineStr">
        <is>
          <t>Hà Nội</t>
        </is>
      </c>
      <c r="G576" s="10" t="inlineStr">
        <is>
          <t>Nhân viên</t>
        </is>
      </c>
      <c r="H576" s="10" t="inlineStr">
        <is>
          <t>03/02/2026</t>
        </is>
      </c>
      <c r="I576" s="10" t="inlineStr">
        <is>
          <t>21/03/2026</t>
        </is>
      </c>
      <c r="J576" s="10" t="inlineStr">
        <is>
          <t>17/03/2026</t>
        </is>
      </c>
      <c r="K576" s="10" t="inlineStr">
        <is>
          <t>N/A</t>
        </is>
      </c>
      <c r="L576" s="10" t="inlineStr">
        <is>
          <t>Legal Advise, Civil Law, Drafting Documents, Reporting Skills, English</t>
        </is>
      </c>
      <c r="M576" s="10" t="inlineStr">
        <is>
          <t>Bonus, Healthcare Plan, Team Activities</t>
        </is>
      </c>
      <c r="N576" s="11">
        <f>HYPERLINK("https://www.vietnamworks.com/chuyen-vien-phap-che--2009498-jv","Xem chi tiết")</f>
        <v/>
      </c>
      <c r="O576" s="10" t="n"/>
    </row>
    <row r="577">
      <c r="B577" s="7" t="n">
        <v>575</v>
      </c>
      <c r="C577" t="inlineStr">
        <is>
          <t>KT Tổng Hợp Cum Tax</t>
        </is>
      </c>
      <c r="D577" t="inlineStr">
        <is>
          <t>TNHH EPK GOOD DAY CO LTD</t>
        </is>
      </c>
      <c r="E577" t="inlineStr">
        <is>
          <t>Thương lượng</t>
        </is>
      </c>
      <c r="F577" t="inlineStr">
        <is>
          <t>Hồ Chí Minh</t>
        </is>
      </c>
      <c r="G577" t="inlineStr">
        <is>
          <t>Nhân viên</t>
        </is>
      </c>
      <c r="H577" t="inlineStr">
        <is>
          <t>03/02/2026</t>
        </is>
      </c>
      <c r="I577" t="inlineStr">
        <is>
          <t>21/03/2026</t>
        </is>
      </c>
      <c r="J577" t="inlineStr">
        <is>
          <t>17/03/2026</t>
        </is>
      </c>
      <c r="K577" t="inlineStr">
        <is>
          <t>N/A</t>
        </is>
      </c>
      <c r="L577" t="inlineStr">
        <is>
          <t>Theo Dõi Doanh Thu, Xử Lý Chứng Từ, Nhập Liệu, Giao Tiếp, Kế Toán Tổng Hợp</t>
        </is>
      </c>
      <c r="M577" t="inlineStr">
        <is>
          <t>Others</t>
        </is>
      </c>
      <c r="N577" s="8">
        <f>HYPERLINK("https://www.vietnamworks.com/kt-tong-hop-cum-tax-2009402-jv","Xem chi tiết")</f>
        <v/>
      </c>
    </row>
    <row r="578">
      <c r="B578" s="9" t="n">
        <v>576</v>
      </c>
      <c r="C578" s="10" t="inlineStr">
        <is>
          <t>Kế Toán Tổng Hợp</t>
        </is>
      </c>
      <c r="D578" s="10" t="inlineStr">
        <is>
          <t>Tonkin Travel</t>
        </is>
      </c>
      <c r="E578" s="10" t="inlineStr">
        <is>
          <t>15tr-30tr ₫/tháng</t>
        </is>
      </c>
      <c r="F578" s="10" t="inlineStr">
        <is>
          <t>Hà Nội</t>
        </is>
      </c>
      <c r="G578" s="10" t="inlineStr">
        <is>
          <t>Nhân viên</t>
        </is>
      </c>
      <c r="H578" s="10" t="inlineStr">
        <is>
          <t>04/02/2026</t>
        </is>
      </c>
      <c r="I578" s="10" t="inlineStr">
        <is>
          <t>21/03/2026</t>
        </is>
      </c>
      <c r="J578" s="10" t="inlineStr">
        <is>
          <t>17/03/2026</t>
        </is>
      </c>
      <c r="K578" s="10" t="inlineStr">
        <is>
          <t>N/A</t>
        </is>
      </c>
      <c r="L578" s="10" t="inlineStr">
        <is>
          <t>Kế Toán Tổng Hợp, Quy Định Thuế, Báo Cáo Thu Chi, Du Lịch Inbound, Quản Lý Ngoại Tệ</t>
        </is>
      </c>
      <c r="M578" s="10" t="inlineStr">
        <is>
          <t>Bonus, Healthcare Plan, Travel Opportunities, Canteen</t>
        </is>
      </c>
      <c r="N578" s="11">
        <f>HYPERLINK("https://www.vietnamworks.com/ke-toan-tong-hop-2009543-jv","Xem chi tiết")</f>
        <v/>
      </c>
      <c r="O578" s="10" t="n"/>
    </row>
    <row r="579">
      <c r="B579" s="7" t="n">
        <v>577</v>
      </c>
      <c r="C579" t="inlineStr">
        <is>
          <t>Expert/ Senior Officer, Claims (Non-Life Insurance) - Tcgi</t>
        </is>
      </c>
      <c r="D579" t="inlineStr">
        <is>
          <t>Techcombank</t>
        </is>
      </c>
      <c r="E579" t="inlineStr">
        <is>
          <t>Thương lượng</t>
        </is>
      </c>
      <c r="F579" t="inlineStr">
        <is>
          <t>Hà Nội</t>
        </is>
      </c>
      <c r="G579" t="inlineStr">
        <is>
          <t>Nhân viên</t>
        </is>
      </c>
      <c r="H579" t="inlineStr">
        <is>
          <t>03/02/2026</t>
        </is>
      </c>
      <c r="I579" t="inlineStr">
        <is>
          <t>21/03/2026</t>
        </is>
      </c>
      <c r="J579" t="inlineStr">
        <is>
          <t>17/03/2026</t>
        </is>
      </c>
      <c r="K579" t="inlineStr">
        <is>
          <t>N/A</t>
        </is>
      </c>
      <c r="L579" t="inlineStr">
        <is>
          <t>Non-life Insurance, Claims Processing, Communication Skills, Insurance Policies, Process Improvement</t>
        </is>
      </c>
      <c r="M579" t="inlineStr">
        <is>
          <t>Bonus, Training, Others</t>
        </is>
      </c>
      <c r="N579" s="8">
        <f>HYPERLINK("https://www.vietnamworks.com/expert-senior-officer-claims-non-life-insurance-tcgi-2009505-jv","Xem chi tiết")</f>
        <v/>
      </c>
    </row>
    <row r="580">
      <c r="B580" s="9" t="n">
        <v>578</v>
      </c>
      <c r="C580" s="10" t="inlineStr">
        <is>
          <t>Treasury Accountant</t>
        </is>
      </c>
      <c r="D580" s="10" t="inlineStr">
        <is>
          <t>Lotte Mall West Lake Hanoi</t>
        </is>
      </c>
      <c r="E580" s="10" t="inlineStr">
        <is>
          <t>Thương lượng</t>
        </is>
      </c>
      <c r="F580" s="10" t="inlineStr">
        <is>
          <t>Hà Nội</t>
        </is>
      </c>
      <c r="G580" s="10" t="inlineStr">
        <is>
          <t>Nhân viên</t>
        </is>
      </c>
      <c r="H580" s="10" t="inlineStr">
        <is>
          <t>04/02/2026</t>
        </is>
      </c>
      <c r="I580" s="10" t="inlineStr">
        <is>
          <t>21/03/2026</t>
        </is>
      </c>
      <c r="J580" s="10" t="inlineStr">
        <is>
          <t>17/03/2026</t>
        </is>
      </c>
      <c r="K580" s="10" t="inlineStr">
        <is>
          <t>N/A</t>
        </is>
      </c>
      <c r="L580" s="10" t="inlineStr">
        <is>
          <t>Kế Toán, Kế Toán Ngân Hàng, Thanh Toán, Dòng tiền</t>
        </is>
      </c>
      <c r="M580" s="10" t="inlineStr">
        <is>
          <t>Bonus, Healthcare Plan, Paid Leave</t>
        </is>
      </c>
      <c r="N580" s="11">
        <f>HYPERLINK("https://www.vietnamworks.com/treasury-accountant--2009533-jv","Xem chi tiết")</f>
        <v/>
      </c>
      <c r="O580" s="10" t="n"/>
    </row>
    <row r="581">
      <c r="B581" s="7" t="n">
        <v>579</v>
      </c>
      <c r="C581" t="inlineStr">
        <is>
          <t>[Gấp] Accounting Staff – Nhân Viên Kế Toán – Tiếng Anh Khá (Xe Đưa Đón Hà Nội - Hưng Yên - Hải Dương)</t>
        </is>
      </c>
      <c r="D581" t="inlineStr">
        <is>
          <t>NIKKISO VIETNAM, INC.</t>
        </is>
      </c>
      <c r="E581" t="inlineStr">
        <is>
          <t>$$ 400-700 /tháng</t>
        </is>
      </c>
      <c r="F581" t="inlineStr">
        <is>
          <t>Hưng Yên, Hải Dương, Hà Nội</t>
        </is>
      </c>
      <c r="G581" t="inlineStr">
        <is>
          <t>Nhân viên</t>
        </is>
      </c>
      <c r="H581" t="inlineStr">
        <is>
          <t>03/02/2026</t>
        </is>
      </c>
      <c r="I581" t="inlineStr">
        <is>
          <t>21/03/2026</t>
        </is>
      </c>
      <c r="J581" t="inlineStr">
        <is>
          <t>17/03/2026</t>
        </is>
      </c>
      <c r="K581" t="inlineStr">
        <is>
          <t>N/A</t>
        </is>
      </c>
      <c r="L581" t="inlineStr">
        <is>
          <t>Tài Chính, Kế Toán, Finance, English, Banking Transaction</t>
        </is>
      </c>
      <c r="M581" t="inlineStr">
        <is>
          <t>Bonus, Healthcare Plan, Paid Leave</t>
        </is>
      </c>
      <c r="N581" s="8">
        <f>HYPERLINK("https://www.vietnamworks.com/gap-accounting-staff-nhan-vien-ke-toan-tieng-anh-kha-xe-dua-don-ha-noi-hung-yen-hai-duong--2009481-jv","Xem chi tiết")</f>
        <v/>
      </c>
    </row>
    <row r="582">
      <c r="B582" s="9" t="n">
        <v>580</v>
      </c>
      <c r="C582" s="10" t="inlineStr">
        <is>
          <t>Kế Toán Nội Bộ</t>
        </is>
      </c>
      <c r="D582" s="10" t="inlineStr">
        <is>
          <t>TNHH EPK GOOD DAY CO LTD</t>
        </is>
      </c>
      <c r="E582" s="10" t="inlineStr">
        <is>
          <t>Thương lượng</t>
        </is>
      </c>
      <c r="F582" s="10" t="inlineStr">
        <is>
          <t>Hồ Chí Minh</t>
        </is>
      </c>
      <c r="G582" s="10" t="inlineStr">
        <is>
          <t>Nhân viên</t>
        </is>
      </c>
      <c r="H582" s="10" t="inlineStr">
        <is>
          <t>03/02/2026</t>
        </is>
      </c>
      <c r="I582" s="10" t="inlineStr">
        <is>
          <t>21/03/2026</t>
        </is>
      </c>
      <c r="J582" s="10" t="inlineStr">
        <is>
          <t>17/03/2026</t>
        </is>
      </c>
      <c r="K582" s="10" t="inlineStr">
        <is>
          <t>N/A</t>
        </is>
      </c>
      <c r="L582" s="10" t="inlineStr">
        <is>
          <t>Quản Lý Dòng Tiền, xuất hóa đơn, Theo Dõi Công Nợ, Hạch Toán, Hỗ Trợ Sự Kiện</t>
        </is>
      </c>
      <c r="M582" s="10" t="inlineStr">
        <is>
          <t>Bonus</t>
        </is>
      </c>
      <c r="N582" s="11">
        <f>HYPERLINK("https://www.vietnamworks.com/ke-toan-noi-bo-2009390-jv","Xem chi tiết")</f>
        <v/>
      </c>
      <c r="O582" s="10" t="n"/>
    </row>
    <row r="583">
      <c r="B583" s="7" t="n">
        <v>581</v>
      </c>
      <c r="C583" t="inlineStr">
        <is>
          <t>QA Manager</t>
        </is>
      </c>
      <c r="D583" t="inlineStr">
        <is>
          <t>Spartronics Vietnam</t>
        </is>
      </c>
      <c r="E583" t="inlineStr">
        <is>
          <t>Thương lượng</t>
        </is>
      </c>
      <c r="F583" t="inlineStr">
        <is>
          <t>Bình Dương</t>
        </is>
      </c>
      <c r="G583" t="inlineStr">
        <is>
          <t>Trưởng phòng</t>
        </is>
      </c>
      <c r="H583" t="inlineStr">
        <is>
          <t>03/02/2026</t>
        </is>
      </c>
      <c r="I583" t="inlineStr">
        <is>
          <t>21/03/2026</t>
        </is>
      </c>
      <c r="J583" t="inlineStr">
        <is>
          <t>17/03/2026</t>
        </is>
      </c>
      <c r="K583" t="inlineStr">
        <is>
          <t>N/A</t>
        </is>
      </c>
      <c r="L583" t="inlineStr">
        <is>
          <t>Quality Control &amp; Assurance, Quản Lý QA/QC, Quality Management, PCBA, QMS Implementation</t>
        </is>
      </c>
      <c r="M583" t="inlineStr">
        <is>
          <t>Bonus, Healthcare Plan, Team Activities</t>
        </is>
      </c>
      <c r="N583" s="8">
        <f>HYPERLINK("https://www.vietnamworks.com/qa-manager--2009508-jv","Xem chi tiết")</f>
        <v/>
      </c>
    </row>
    <row r="584">
      <c r="B584" s="9" t="n">
        <v>582</v>
      </c>
      <c r="C584" s="10" t="inlineStr">
        <is>
          <t>Hành Chính Nhân Sự - Ưu Tiên Phụ Trách Lao Động Nước Ngoài</t>
        </is>
      </c>
      <c r="D584" s="10" t="inlineStr">
        <is>
          <t>Công ty CP Giáo dục Thế Hệ Trẻ</t>
        </is>
      </c>
      <c r="E584" s="10" t="inlineStr">
        <is>
          <t>Từ 12tr ₫/tháng</t>
        </is>
      </c>
      <c r="F584" s="10" t="inlineStr">
        <is>
          <t>Hà Nội</t>
        </is>
      </c>
      <c r="G584" s="10" t="inlineStr">
        <is>
          <t>Nhân viên</t>
        </is>
      </c>
      <c r="H584" s="10" t="inlineStr">
        <is>
          <t>04/02/2026</t>
        </is>
      </c>
      <c r="I584" s="10" t="inlineStr">
        <is>
          <t>21/03/2026</t>
        </is>
      </c>
      <c r="J584" s="10" t="inlineStr">
        <is>
          <t>17/03/2026</t>
        </is>
      </c>
      <c r="K584" s="10" t="inlineStr">
        <is>
          <t>N/A</t>
        </is>
      </c>
      <c r="L584" s="10" t="inlineStr">
        <is>
          <t>Tuyển Dụng Lao Động Nước Ngoài, Luật Lao Động, General Human Resources, Human Resources (HR), International Recruitment</t>
        </is>
      </c>
      <c r="M584" s="10" t="inlineStr">
        <is>
          <t>Bonus, Healthcare Plan, Paid Leave, Others</t>
        </is>
      </c>
      <c r="N584" s="11">
        <f>HYPERLINK("https://www.vietnamworks.com/hanh-chinh-nhan-su-uu-tien-phu-trach-lao-dong-nuoc-ngoai-2009544-jv","Xem chi tiết")</f>
        <v/>
      </c>
      <c r="O584" s="10" t="n"/>
    </row>
    <row r="585">
      <c r="B585" s="7" t="n">
        <v>583</v>
      </c>
      <c r="C585" t="inlineStr">
        <is>
          <t>Corporate Legal Specialist</t>
        </is>
      </c>
      <c r="D585" t="inlineStr">
        <is>
          <t>Maison Retail Management International</t>
        </is>
      </c>
      <c r="E585" t="inlineStr">
        <is>
          <t>Thương lượng</t>
        </is>
      </c>
      <c r="F585" t="inlineStr">
        <is>
          <t>Hồ Chí Minh</t>
        </is>
      </c>
      <c r="G585" t="inlineStr">
        <is>
          <t>Trưởng phòng</t>
        </is>
      </c>
      <c r="H585" t="inlineStr">
        <is>
          <t>04/02/2026</t>
        </is>
      </c>
      <c r="I585" t="inlineStr">
        <is>
          <t>21/03/2026</t>
        </is>
      </c>
      <c r="J585" t="inlineStr">
        <is>
          <t>17/03/2026</t>
        </is>
      </c>
      <c r="K585" t="inlineStr">
        <is>
          <t>N/A</t>
        </is>
      </c>
      <c r="L585" t="inlineStr">
        <is>
          <t>Ethical Decision Making, Corporate Law, Chứng Chỉ Hành Nghề Luật Sư, Investment Law, Luật Lao Động</t>
        </is>
      </c>
      <c r="M585" t="inlineStr">
        <is>
          <t>Bonus, Awards, Laptop</t>
        </is>
      </c>
      <c r="N585" s="8">
        <f>HYPERLINK("https://www.vietnamworks.com/corporate-legal-specialist--2009532-jv","Xem chi tiết")</f>
        <v/>
      </c>
    </row>
    <row r="586">
      <c r="B586" s="9" t="n">
        <v>584</v>
      </c>
      <c r="C586" s="10" t="inlineStr">
        <is>
          <t>Tuyển Internship Kỹ Sư Nhiệt Lạnh - HVAC Engineer</t>
        </is>
      </c>
      <c r="D586" s="10" t="inlineStr">
        <is>
          <t>CÔNG TY TNHH SẢN PHẨM TIÊU DÙNG TOSHIBA VIỆT NAM</t>
        </is>
      </c>
      <c r="E586" s="10" t="inlineStr">
        <is>
          <t>Thương lượng</t>
        </is>
      </c>
      <c r="F586" s="10" t="inlineStr">
        <is>
          <t>Hồ Chí Minh</t>
        </is>
      </c>
      <c r="G586" s="10" t="inlineStr">
        <is>
          <t>Thực tập sinh/Sinh viên</t>
        </is>
      </c>
      <c r="H586" s="10" t="inlineStr">
        <is>
          <t>04/02/2026</t>
        </is>
      </c>
      <c r="I586" s="10" t="inlineStr">
        <is>
          <t>21/03/2026</t>
        </is>
      </c>
      <c r="J586" s="10" t="inlineStr">
        <is>
          <t>17/03/2026</t>
        </is>
      </c>
      <c r="K586" s="10" t="inlineStr">
        <is>
          <t>N/A</t>
        </is>
      </c>
      <c r="L586" s="10" t="inlineStr">
        <is>
          <t>HVAC Maintenance, HVAC System, Repairing Equipment, Technical Diagnostics, Technical Support</t>
        </is>
      </c>
      <c r="M586" s="10" t="inlineStr">
        <is>
          <t>Bonus, Healthcare Plan, Training</t>
        </is>
      </c>
      <c r="N586" s="11">
        <f>HYPERLINK("https://www.vietnamworks.com/tuyen-internship-ky-su-nhiet-lanh-hvac-engineer-2009535-jv","Xem chi tiết")</f>
        <v/>
      </c>
      <c r="O586" s="10" t="n"/>
    </row>
    <row r="587">
      <c r="B587" s="7" t="n">
        <v>585</v>
      </c>
      <c r="C587" t="inlineStr">
        <is>
          <t>Nhân Viên Vận Hành Bưu Cục Express Tại Đà Nẵng (Làm Việc Cho Công Ty Cổ Phần Swift 247)</t>
        </is>
      </c>
      <c r="D587" t="inlineStr">
        <is>
          <t>Vietjetair Cargo JSC</t>
        </is>
      </c>
      <c r="E587" t="inlineStr">
        <is>
          <t>Thương lượng</t>
        </is>
      </c>
      <c r="F587" t="inlineStr">
        <is>
          <t>Hà Nội, Đà Nẵng</t>
        </is>
      </c>
      <c r="G587" t="inlineStr">
        <is>
          <t>Nhân viên</t>
        </is>
      </c>
      <c r="H587" t="inlineStr">
        <is>
          <t>04/02/2026</t>
        </is>
      </c>
      <c r="I587" t="inlineStr">
        <is>
          <t>21/03/2026</t>
        </is>
      </c>
      <c r="J587" t="inlineStr">
        <is>
          <t>17/03/2026</t>
        </is>
      </c>
      <c r="K587" t="inlineStr">
        <is>
          <t>N/A</t>
        </is>
      </c>
      <c r="L587" t="inlineStr">
        <is>
          <t>Tin Học Văn Phòng, Giao Nhận Vận Chuyển</t>
        </is>
      </c>
      <c r="M587" t="inlineStr">
        <is>
          <t>Bonus, Travel Opportunities</t>
        </is>
      </c>
      <c r="N587" s="8">
        <f>HYPERLINK("https://www.vietnamworks.com/nhan-vien-van-hanh-buu-cuc-express-tai-da-nang-lam-viec-cho-cong-ty-co-phan-swift-247-2009541-jv","Xem chi tiết")</f>
        <v/>
      </c>
    </row>
    <row r="588">
      <c r="B588" s="9" t="n">
        <v>586</v>
      </c>
      <c r="C588" s="10" t="inlineStr">
        <is>
          <t>E-Commerce Marketing Intern - Lương 3-6 Triệu</t>
        </is>
      </c>
      <c r="D588" s="10" t="inlineStr">
        <is>
          <t>Công Ty TNHH Một Thành Viên Party Inc VN</t>
        </is>
      </c>
      <c r="E588" s="10" t="inlineStr">
        <is>
          <t>Tới 6tr ₫/tháng</t>
        </is>
      </c>
      <c r="F588" s="10" t="inlineStr">
        <is>
          <t>Hồ Chí Minh</t>
        </is>
      </c>
      <c r="G588" s="10" t="inlineStr">
        <is>
          <t>Thực tập sinh/Sinh viên</t>
        </is>
      </c>
      <c r="H588" s="10" t="inlineStr">
        <is>
          <t>04/02/2026</t>
        </is>
      </c>
      <c r="I588" s="10" t="inlineStr">
        <is>
          <t>21/03/2026</t>
        </is>
      </c>
      <c r="J588" s="10" t="inlineStr">
        <is>
          <t>17/03/2026</t>
        </is>
      </c>
      <c r="K588" s="10" t="inlineStr">
        <is>
          <t>N/A</t>
        </is>
      </c>
      <c r="L588" s="10" t="inlineStr">
        <is>
          <t>SEO, Marketing, Social Media Platforms, Commercial Transaction, Customer Service</t>
        </is>
      </c>
      <c r="M588" s="10" t="inlineStr">
        <is>
          <t>Bonus, Healthcare Plan</t>
        </is>
      </c>
      <c r="N588" s="11">
        <f>HYPERLINK("https://www.vietnamworks.com/e-commerce-marketing-intern-luong-3-6-trieu-2009534-jv","Xem chi tiết")</f>
        <v/>
      </c>
      <c r="O588" s="10" t="n"/>
    </row>
    <row r="589">
      <c r="B589" s="7" t="n">
        <v>587</v>
      </c>
      <c r="C589" t="inlineStr">
        <is>
          <t>Brand Leader In Health &amp; Beauty (Sức khoẻ Làm đẹp) (Ecommerce Enabler)</t>
        </is>
      </c>
      <c r="D589" t="inlineStr">
        <is>
          <t>Vietnamworks' Client</t>
        </is>
      </c>
      <c r="E589" t="inlineStr">
        <is>
          <t>$$ 1,000-2,000 /tháng</t>
        </is>
      </c>
      <c r="F589" t="inlineStr">
        <is>
          <t>Hà Nội</t>
        </is>
      </c>
      <c r="G589" t="inlineStr">
        <is>
          <t>Trưởng phòng</t>
        </is>
      </c>
      <c r="H589" t="inlineStr">
        <is>
          <t>04/02/2026</t>
        </is>
      </c>
      <c r="I589" t="inlineStr">
        <is>
          <t>21/03/2026</t>
        </is>
      </c>
      <c r="J589" t="inlineStr">
        <is>
          <t>17/03/2026</t>
        </is>
      </c>
      <c r="K589" t="inlineStr">
        <is>
          <t>N/A</t>
        </is>
      </c>
      <c r="L589" t="inlineStr">
        <is>
          <t>Analytical Skills, Brand Management, Communication Skills, Creative Thinking, Ecommerce Optimization</t>
        </is>
      </c>
      <c r="M589" t="inlineStr">
        <is>
          <t>Bonus, Healthcare Plan, Training, Travel Opportunities</t>
        </is>
      </c>
      <c r="N589" s="8">
        <f>HYPERLINK("https://www.vietnamworks.com/brand-leader-in-health-and-beauty-suc-khoe-lam-djep-ecommerce-enabler-2009547-jv","Xem chi tiết")</f>
        <v/>
      </c>
    </row>
    <row r="590">
      <c r="B590" s="9" t="n">
        <v>588</v>
      </c>
      <c r="C590" s="10" t="inlineStr">
        <is>
          <t>Chuyên Viên Pháp Luật Quản Trị Ngân Hàng</t>
        </is>
      </c>
      <c r="D590" s="10" t="inlineStr">
        <is>
          <t>Bắc Á Bank - Https://tuyendung.baca-Bank.vn/</t>
        </is>
      </c>
      <c r="E590" s="10" t="inlineStr">
        <is>
          <t>Thương lượng</t>
        </is>
      </c>
      <c r="F590" s="10" t="inlineStr">
        <is>
          <t>Hà Nội</t>
        </is>
      </c>
      <c r="G590" s="10" t="inlineStr">
        <is>
          <t>Nhân viên</t>
        </is>
      </c>
      <c r="H590" s="10" t="inlineStr">
        <is>
          <t>04/02/2026</t>
        </is>
      </c>
      <c r="I590" s="10" t="inlineStr">
        <is>
          <t>21/03/2026</t>
        </is>
      </c>
      <c r="J590" s="10" t="inlineStr">
        <is>
          <t>17/03/2026</t>
        </is>
      </c>
      <c r="K590" s="10" t="inlineStr">
        <is>
          <t>N/A</t>
        </is>
      </c>
      <c r="L590" s="10" t="inlineStr">
        <is>
          <t>Luật Doanh Nghiệp, Luật Đầu Tư, Luật Ngân Hàng, Soạn Thảo Văn Bản, Pháp Chế</t>
        </is>
      </c>
      <c r="M590" s="10" t="inlineStr">
        <is>
          <t>Bonus, Healthcare Plan, Others</t>
        </is>
      </c>
      <c r="N590" s="11">
        <f>HYPERLINK("https://www.vietnamworks.com/chuyen-vien-phap-luat-quan-tri-ngan-hang-2009538-jv","Xem chi tiết")</f>
        <v/>
      </c>
      <c r="O590" s="10" t="n"/>
    </row>
    <row r="591">
      <c r="B591" s="7" t="n">
        <v>589</v>
      </c>
      <c r="C591" t="inlineStr">
        <is>
          <t>[Hai Phong] Nhân Viên Kinh Doanh - Sales Executive</t>
        </is>
      </c>
      <c r="D591" t="inlineStr">
        <is>
          <t>CÔNG TY CỔ PHẦN TRUNG TÂM GIA CÔNG POSCO VIỆT NAM - CHI NHÁNH HẢI PHÒNG</t>
        </is>
      </c>
      <c r="E591" t="inlineStr">
        <is>
          <t>Thương lượng</t>
        </is>
      </c>
      <c r="F591" t="inlineStr">
        <is>
          <t>Hải Phòng, Hải Dương</t>
        </is>
      </c>
      <c r="G591" t="inlineStr">
        <is>
          <t>Nhân viên</t>
        </is>
      </c>
      <c r="H591" t="inlineStr">
        <is>
          <t>04/02/2026</t>
        </is>
      </c>
      <c r="I591" t="inlineStr">
        <is>
          <t>21/03/2026</t>
        </is>
      </c>
      <c r="J591" t="inlineStr">
        <is>
          <t>17/03/2026</t>
        </is>
      </c>
      <c r="K591" t="inlineStr">
        <is>
          <t>N/A</t>
        </is>
      </c>
      <c r="L591" t="inlineStr">
        <is>
          <t>Kinh Doanh, Báo Cáo Kinh Doanh, Phát Triển Khách Hàng, Thu Hồi Công Nợ, Sales Executive</t>
        </is>
      </c>
      <c r="M591" t="inlineStr">
        <is>
          <t>Bonus, Healthcare Plan, Transportation</t>
        </is>
      </c>
      <c r="N591" s="8">
        <f>HYPERLINK("https://www.vietnamworks.com/hai-phong-nhan-vien-kinh-doanh-sales-executive--2009530-jv","Xem chi tiết")</f>
        <v/>
      </c>
    </row>
    <row r="592">
      <c r="B592" s="9" t="n">
        <v>590</v>
      </c>
      <c r="C592" s="10" t="inlineStr">
        <is>
          <t>New Product Introduction (NPI) Manager</t>
        </is>
      </c>
      <c r="D592" s="10" t="inlineStr">
        <is>
          <t>Wanek Furniture CO., LTD.</t>
        </is>
      </c>
      <c r="E592" s="10" t="inlineStr">
        <is>
          <t>Thương lượng</t>
        </is>
      </c>
      <c r="F592" s="10" t="inlineStr">
        <is>
          <t>Bình Dương</t>
        </is>
      </c>
      <c r="G592" s="10" t="inlineStr">
        <is>
          <t>Trưởng phòng</t>
        </is>
      </c>
      <c r="H592" s="10" t="inlineStr">
        <is>
          <t>04/02/2026</t>
        </is>
      </c>
      <c r="I592" s="10" t="inlineStr">
        <is>
          <t>21/03/2026</t>
        </is>
      </c>
      <c r="J592" s="10" t="inlineStr">
        <is>
          <t>17/03/2026</t>
        </is>
      </c>
      <c r="K592" s="10" t="inlineStr">
        <is>
          <t>N/A</t>
        </is>
      </c>
      <c r="L592" s="10" t="inlineStr">
        <is>
          <t>3D Modeling, Electronics, Leadership, NPI Management, Project Management</t>
        </is>
      </c>
      <c r="M592" s="10" t="inlineStr">
        <is>
          <t>Others</t>
        </is>
      </c>
      <c r="N592" s="11">
        <f>HYPERLINK("https://www.vietnamworks.com/new-product-introduction-npi-manager-2009539-jv","Xem chi tiết")</f>
        <v/>
      </c>
      <c r="O592" s="10" t="n"/>
    </row>
    <row r="593">
      <c r="B593" s="7" t="n">
        <v>591</v>
      </c>
      <c r="C593" t="inlineStr">
        <is>
          <t>Aftersales Business Strategy &amp; Planning Staff (6-Month contract)</t>
        </is>
      </c>
      <c r="D593" t="inlineStr">
        <is>
          <t>Công Ty TNHH Ô Tô Mitsubishi Việt Nam</t>
        </is>
      </c>
      <c r="E593" t="inlineStr">
        <is>
          <t>Thương lượng</t>
        </is>
      </c>
      <c r="F593" t="inlineStr">
        <is>
          <t>Hồ Chí Minh</t>
        </is>
      </c>
      <c r="G593" t="inlineStr">
        <is>
          <t>Nhân viên</t>
        </is>
      </c>
      <c r="H593" t="inlineStr">
        <is>
          <t>04/02/2026</t>
        </is>
      </c>
      <c r="I593" t="inlineStr">
        <is>
          <t>21/03/2026</t>
        </is>
      </c>
      <c r="J593" t="inlineStr">
        <is>
          <t>17/03/2026</t>
        </is>
      </c>
      <c r="K593" t="inlineStr">
        <is>
          <t>N/A</t>
        </is>
      </c>
      <c r="L593" t="inlineStr">
        <is>
          <t>Market Research, Data Analysis, Inventory Management, Marketing, Automotive</t>
        </is>
      </c>
      <c r="M593" t="inlineStr">
        <is>
          <t>Bonus, Healthcare Plan, Transportation</t>
        </is>
      </c>
      <c r="N593" s="8">
        <f>HYPERLINK("https://www.vietnamworks.com/aftersales-business-strategy-planning-staff-6-month-contract-2009550-jv","Xem chi tiết")</f>
        <v/>
      </c>
    </row>
    <row r="594">
      <c r="B594" s="9" t="n">
        <v>592</v>
      </c>
      <c r="C594" s="10" t="inlineStr">
        <is>
          <t>Kế Toán - Accountant</t>
        </is>
      </c>
      <c r="D594" s="10" t="inlineStr">
        <is>
          <t>KLN Integrated Logistics (Viet Nam) Company Limited</t>
        </is>
      </c>
      <c r="E594" s="10" t="inlineStr">
        <is>
          <t>Thương lượng</t>
        </is>
      </c>
      <c r="F594" s="10" t="inlineStr">
        <is>
          <t>Hồ Chí Minh</t>
        </is>
      </c>
      <c r="G594" s="10" t="inlineStr">
        <is>
          <t>Nhân viên</t>
        </is>
      </c>
      <c r="H594" s="10" t="inlineStr">
        <is>
          <t>04/02/2026</t>
        </is>
      </c>
      <c r="I594" s="10" t="inlineStr">
        <is>
          <t>21/03/2026</t>
        </is>
      </c>
      <c r="J594" s="10" t="inlineStr">
        <is>
          <t>17/03/2026</t>
        </is>
      </c>
      <c r="K594" s="10" t="inlineStr">
        <is>
          <t>N/A</t>
        </is>
      </c>
      <c r="L594" s="10" t="inlineStr">
        <is>
          <t>Payable Accounting, Accounting, Accounting Payment, General Accounting Principals, Management Accounting</t>
        </is>
      </c>
      <c r="M594" s="10" t="inlineStr">
        <is>
          <t>Bonus, Awards, Transportation</t>
        </is>
      </c>
      <c r="N594" s="11">
        <f>HYPERLINK("https://www.vietnamworks.com/ke-toan-accountant--2009566-jv","Xem chi tiết")</f>
        <v/>
      </c>
      <c r="O594" s="10" t="n"/>
    </row>
    <row r="595">
      <c r="B595" s="7" t="n">
        <v>593</v>
      </c>
      <c r="C595" t="inlineStr">
        <is>
          <t>Sales Logistics</t>
        </is>
      </c>
      <c r="D595" t="inlineStr">
        <is>
          <t>Công Ty TNHH Dịch Vụ Tối Ưu (Maxservice)</t>
        </is>
      </c>
      <c r="E595" t="inlineStr">
        <is>
          <t>15tr-60tr ₫/tháng</t>
        </is>
      </c>
      <c r="F595" t="inlineStr">
        <is>
          <t>Hải Phòng</t>
        </is>
      </c>
      <c r="G595" t="inlineStr">
        <is>
          <t>Nhân viên</t>
        </is>
      </c>
      <c r="H595" t="inlineStr">
        <is>
          <t>04/02/2026</t>
        </is>
      </c>
      <c r="I595" t="inlineStr">
        <is>
          <t>21/03/2026</t>
        </is>
      </c>
      <c r="J595" t="inlineStr">
        <is>
          <t>17/03/2026</t>
        </is>
      </c>
      <c r="K595" t="inlineStr">
        <is>
          <t>N/A</t>
        </is>
      </c>
      <c r="L595" t="inlineStr">
        <is>
          <t>Giao Tiếp Tiếng Anh, Kinh nghiệm ngoại thương, Kiến thức logistic, Chăm Sóc Khách Hàng, Đàm Phán Khách Hàng</t>
        </is>
      </c>
      <c r="M595" t="inlineStr">
        <is>
          <t>Bonus, Healthcare Plan, Training, Travel Opportunities</t>
        </is>
      </c>
      <c r="N595" s="8">
        <f>HYPERLINK("https://www.vietnamworks.com/sales-logistics-2009570-jv","Xem chi tiết")</f>
        <v/>
      </c>
    </row>
    <row r="596">
      <c r="B596" s="9" t="n">
        <v>594</v>
      </c>
      <c r="C596" s="10" t="inlineStr">
        <is>
          <t>Senior KOL Livestream Specialist</t>
        </is>
      </c>
      <c r="D596" s="10" t="inlineStr">
        <is>
          <t>Meishang Cosmetics Vietnam (Colorkey BRAND)</t>
        </is>
      </c>
      <c r="E596" s="10" t="inlineStr">
        <is>
          <t>Thương lượng</t>
        </is>
      </c>
      <c r="F596" s="10" t="inlineStr">
        <is>
          <t>Hồ Chí Minh</t>
        </is>
      </c>
      <c r="G596" s="10" t="inlineStr">
        <is>
          <t>Nhân viên</t>
        </is>
      </c>
      <c r="H596" s="10" t="inlineStr">
        <is>
          <t>04/02/2026</t>
        </is>
      </c>
      <c r="I596" s="10" t="inlineStr">
        <is>
          <t>21/03/2026</t>
        </is>
      </c>
      <c r="J596" s="10" t="inlineStr">
        <is>
          <t>17/03/2026</t>
        </is>
      </c>
      <c r="K596" s="10" t="inlineStr">
        <is>
          <t>N/A</t>
        </is>
      </c>
      <c r="L596" s="10" t="inlineStr">
        <is>
          <t>Tiếng Anh lưu loát, Tư Duy Thẩm Mỹ, Livestream Management</t>
        </is>
      </c>
      <c r="M596" s="10" t="inlineStr">
        <is>
          <t>Others</t>
        </is>
      </c>
      <c r="N596" s="11">
        <f>HYPERLINK("https://www.vietnamworks.com/senior-kol-livestream-specialist-2009575-jv","Xem chi tiết")</f>
        <v/>
      </c>
      <c r="O596" s="10" t="n"/>
    </row>
    <row r="597">
      <c r="B597" s="7" t="n">
        <v>595</v>
      </c>
      <c r="C597" t="inlineStr">
        <is>
          <t>Quản Lý Dự Án - 2 Người</t>
        </is>
      </c>
      <c r="D597" t="inlineStr">
        <is>
          <t>Ban Quản lý Dự án Đầu tư Hạ tầng xã Phúc Thịnh</t>
        </is>
      </c>
      <c r="E597" t="inlineStr">
        <is>
          <t>Thương lượng</t>
        </is>
      </c>
      <c r="F597" t="inlineStr">
        <is>
          <t>Hà Nội</t>
        </is>
      </c>
      <c r="G597" t="inlineStr">
        <is>
          <t>Nhân viên</t>
        </is>
      </c>
      <c r="H597" t="inlineStr">
        <is>
          <t>04/02/2026</t>
        </is>
      </c>
      <c r="I597" t="inlineStr">
        <is>
          <t>21/03/2026</t>
        </is>
      </c>
      <c r="J597" t="inlineStr">
        <is>
          <t>17/03/2026</t>
        </is>
      </c>
      <c r="K597" t="inlineStr">
        <is>
          <t>N/A</t>
        </is>
      </c>
      <c r="L597" t="inlineStr">
        <is>
          <t>Dự Toán, Quản Lý Dự Án, Thẩm Định Hồ Sơ, Hạ Tầng Kỹ Thuật, Xây Dựng Dân Dụng</t>
        </is>
      </c>
      <c r="M597" t="inlineStr">
        <is>
          <t>Bonus, Healthcare Plan, Others</t>
        </is>
      </c>
      <c r="N597" s="8">
        <f>HYPERLINK("https://www.vietnamworks.com/quan-ly-du-an-2-nguoi-2009569-jv","Xem chi tiết")</f>
        <v/>
      </c>
    </row>
    <row r="598">
      <c r="B598" s="9" t="n">
        <v>596</v>
      </c>
      <c r="C598" s="10" t="inlineStr">
        <is>
          <t>Nhân Viên Hướng Nghiệp Và Đại Học</t>
        </is>
      </c>
      <c r="D598" s="10" t="inlineStr">
        <is>
          <t>Hệ thống Giáo Dục Edufit</t>
        </is>
      </c>
      <c r="E598" s="10" t="inlineStr">
        <is>
          <t>Thương lượng</t>
        </is>
      </c>
      <c r="F598" s="10" t="inlineStr">
        <is>
          <t>Hà Nội, Hải Phòng</t>
        </is>
      </c>
      <c r="G598" s="10" t="inlineStr">
        <is>
          <t>Nhân viên</t>
        </is>
      </c>
      <c r="H598" s="10" t="inlineStr">
        <is>
          <t>04/02/2026</t>
        </is>
      </c>
      <c r="I598" s="10" t="inlineStr">
        <is>
          <t>21/03/2026</t>
        </is>
      </c>
      <c r="J598" s="10" t="inlineStr">
        <is>
          <t>17/03/2026</t>
        </is>
      </c>
      <c r="K598" s="10" t="inlineStr">
        <is>
          <t>N/A</t>
        </is>
      </c>
      <c r="L598" s="10" t="inlineStr">
        <is>
          <t>Giải Quyết Vấn Đề, Hướng Nghiệp, Kỹ năng giao tiếp, Kỹ năng tổ chức, Quản Lý Hồ Sơ</t>
        </is>
      </c>
      <c r="M598" s="10" t="inlineStr">
        <is>
          <t>Bonus, Paid Leave, Training, Laptop, Travel Opportunities, Canteen</t>
        </is>
      </c>
      <c r="N598" s="11">
        <f>HYPERLINK("https://www.vietnamworks.com/nhan-vien-huong-nghiep-va-djai-hoc-2009571-jv","Xem chi tiết")</f>
        <v/>
      </c>
      <c r="O598" s="10" t="n"/>
    </row>
    <row r="599">
      <c r="B599" s="7" t="n">
        <v>597</v>
      </c>
      <c r="C599" t="inlineStr">
        <is>
          <t>Quality Management Staff (Automotive Aftersales Technical Support)</t>
        </is>
      </c>
      <c r="D599" t="inlineStr">
        <is>
          <t>Công Ty TNHH Ô Tô Mitsubishi Việt Nam</t>
        </is>
      </c>
      <c r="E599" t="inlineStr">
        <is>
          <t>Thương lượng</t>
        </is>
      </c>
      <c r="F599" t="inlineStr">
        <is>
          <t>Hồ Chí Minh</t>
        </is>
      </c>
      <c r="G599" t="inlineStr">
        <is>
          <t>Nhân viên</t>
        </is>
      </c>
      <c r="H599" t="inlineStr">
        <is>
          <t>04/02/2026</t>
        </is>
      </c>
      <c r="I599" t="inlineStr">
        <is>
          <t>21/03/2026</t>
        </is>
      </c>
      <c r="J599" t="inlineStr">
        <is>
          <t>17/03/2026</t>
        </is>
      </c>
      <c r="K599" t="inlineStr">
        <is>
          <t>N/A</t>
        </is>
      </c>
      <c r="L599" t="inlineStr">
        <is>
          <t>Automotive Engineering, Automotive Repair, After Sales Management, Technical Support</t>
        </is>
      </c>
      <c r="M599" t="inlineStr">
        <is>
          <t>Bonus, Healthcare Plan, Transportation</t>
        </is>
      </c>
      <c r="N599" s="8">
        <f>HYPERLINK("https://www.vietnamworks.com/quality-management-staff-automotive-aftersales-technical-support--2009551-jv","Xem chi tiết")</f>
        <v/>
      </c>
    </row>
    <row r="600">
      <c r="B600" s="9" t="n">
        <v>598</v>
      </c>
      <c r="C600" s="10" t="inlineStr">
        <is>
          <t>Quality Technician</t>
        </is>
      </c>
      <c r="D600" s="10" t="inlineStr">
        <is>
          <t>Công Ty TNHH LEGO Manufacturing Việt Nam</t>
        </is>
      </c>
      <c r="E600" s="10" t="inlineStr">
        <is>
          <t>Thương lượng</t>
        </is>
      </c>
      <c r="F600" s="10" t="inlineStr">
        <is>
          <t>Hồ Chí Minh</t>
        </is>
      </c>
      <c r="G600" s="10" t="inlineStr">
        <is>
          <t>Nhân viên</t>
        </is>
      </c>
      <c r="H600" s="10" t="inlineStr">
        <is>
          <t>04/02/2026</t>
        </is>
      </c>
      <c r="I600" s="10" t="inlineStr">
        <is>
          <t>21/03/2026</t>
        </is>
      </c>
      <c r="J600" s="10" t="inlineStr">
        <is>
          <t>17/03/2026</t>
        </is>
      </c>
      <c r="K600" s="10" t="inlineStr">
        <is>
          <t>N/A</t>
        </is>
      </c>
      <c r="L600" s="10" t="inlineStr">
        <is>
          <t>Quality Tools, Quality Control</t>
        </is>
      </c>
      <c r="M600" s="10" t="inlineStr">
        <is>
          <t>Bonus, Healthcare Plan, Paid Leave</t>
        </is>
      </c>
      <c r="N600" s="11">
        <f>HYPERLINK("https://www.vietnamworks.com/quality-technician--2009559-jv","Xem chi tiết")</f>
        <v/>
      </c>
      <c r="O600" s="10" t="n"/>
    </row>
    <row r="601">
      <c r="B601" s="7" t="n">
        <v>599</v>
      </c>
      <c r="C601" t="inlineStr">
        <is>
          <t>Social Content Marketing / Chuyên Viên Sáng Tạo Nội Dung Truyền Thông (Only Accdept English CV)</t>
        </is>
      </c>
      <c r="D601" t="inlineStr">
        <is>
          <t>Công Ty TNHH Digimall</t>
        </is>
      </c>
      <c r="E601" t="inlineStr">
        <is>
          <t>Thương lượng</t>
        </is>
      </c>
      <c r="F601" t="inlineStr">
        <is>
          <t>Hồ Chí Minh</t>
        </is>
      </c>
      <c r="G601" t="inlineStr">
        <is>
          <t>Nhân viên</t>
        </is>
      </c>
      <c r="H601" t="inlineStr">
        <is>
          <t>04/02/2026</t>
        </is>
      </c>
      <c r="I601" t="inlineStr">
        <is>
          <t>21/03/2026</t>
        </is>
      </c>
      <c r="J601" t="inlineStr">
        <is>
          <t>17/03/2026</t>
        </is>
      </c>
      <c r="K601" t="inlineStr">
        <is>
          <t>N/A</t>
        </is>
      </c>
      <c r="L601" t="inlineStr">
        <is>
          <t>Thương Mại Điện Tử, Content Marketing, Marketing Planning, Truyền Thông, Sáng Tạo Nội Dung</t>
        </is>
      </c>
      <c r="M601" t="inlineStr">
        <is>
          <t>Bonus, Healthcare Plan, Training</t>
        </is>
      </c>
      <c r="N601" s="8">
        <f>HYPERLINK("https://www.vietnamworks.com/social-content-marketing-chuyen-vien-sang-tao-noi-dung-truyen-thong-only-accdept-english-cv-2009568-jv","Xem chi tiết")</f>
        <v/>
      </c>
    </row>
    <row r="602">
      <c r="B602" s="9" t="n">
        <v>600</v>
      </c>
      <c r="C602" s="10" t="inlineStr">
        <is>
          <t>Trưởng Ban Quản Lý Dự Án Mạnh Mảng Hạ Tầng Kỹ Thuật (Dự Án Thấp Tầng Và Khu Đô Thị)</t>
        </is>
      </c>
      <c r="D602" s="10" t="inlineStr">
        <is>
          <t>Công Ty Cổ Phần TMS Bất Động Sản</t>
        </is>
      </c>
      <c r="E602" s="10" t="inlineStr">
        <is>
          <t>45tr-55tr ₫/tháng</t>
        </is>
      </c>
      <c r="F602" s="10" t="inlineStr">
        <is>
          <t>Vĩnh Phúc</t>
        </is>
      </c>
      <c r="G602" s="10" t="inlineStr">
        <is>
          <t>Trưởng phòng</t>
        </is>
      </c>
      <c r="H602" s="10" t="inlineStr">
        <is>
          <t>04/02/2026</t>
        </is>
      </c>
      <c r="I602" s="10" t="inlineStr">
        <is>
          <t>21/03/2026</t>
        </is>
      </c>
      <c r="J602" s="10" t="inlineStr">
        <is>
          <t>17/03/2026</t>
        </is>
      </c>
      <c r="K602" s="10" t="inlineStr">
        <is>
          <t>N/A</t>
        </is>
      </c>
      <c r="L602" s="10" t="inlineStr">
        <is>
          <t>Kỹ năng tổ chức, Pháp Lý, Quản Lý Dự Án, Xây Dựng Dân Dụng</t>
        </is>
      </c>
      <c r="M602" s="10" t="inlineStr">
        <is>
          <t>Bonus, Healthcare Plan, Others</t>
        </is>
      </c>
      <c r="N602" s="11">
        <f>HYPERLINK("https://www.vietnamworks.com/truong-ban-quan-ly-du-an-manh-mang-ha-tang-ky-thuat-du-an-thap-tang-va-khu-do-thi--2009576-jv","Xem chi tiết")</f>
        <v/>
      </c>
      <c r="O602" s="10" t="n"/>
    </row>
    <row r="603">
      <c r="B603" s="7" t="n">
        <v>601</v>
      </c>
      <c r="C603" t="inlineStr">
        <is>
          <t>Chef - Bếp Trưởng</t>
        </is>
      </c>
      <c r="D603" t="inlineStr">
        <is>
          <t>Công ty TNHH Aden Services (Việt Nam)</t>
        </is>
      </c>
      <c r="E603" t="inlineStr">
        <is>
          <t>Thương lượng</t>
        </is>
      </c>
      <c r="F603" t="inlineStr">
        <is>
          <t>Hồ Chí Minh, Bình Dương, Tây Ninh</t>
        </is>
      </c>
      <c r="G603" t="inlineStr">
        <is>
          <t>Trưởng phòng</t>
        </is>
      </c>
      <c r="H603" t="inlineStr">
        <is>
          <t>04/02/2026</t>
        </is>
      </c>
      <c r="I603" t="inlineStr">
        <is>
          <t>21/03/2026</t>
        </is>
      </c>
      <c r="J603" t="inlineStr">
        <is>
          <t>17/03/2026</t>
        </is>
      </c>
      <c r="K603" t="inlineStr">
        <is>
          <t>N/A</t>
        </is>
      </c>
      <c r="L603" t="inlineStr">
        <is>
          <t>BẾP TRƯỞNG, Quản lý bếp, Catering &amp; Vendor Negotiations, Food &amp; Beverage Catering Service, Cost Management</t>
        </is>
      </c>
      <c r="M603" t="inlineStr">
        <is>
          <t>Training, Others</t>
        </is>
      </c>
      <c r="N603" s="8">
        <f>HYPERLINK("https://www.vietnamworks.com/chef-bep-truong-2009563-jv","Xem chi tiết")</f>
        <v/>
      </c>
    </row>
    <row r="604">
      <c r="B604" s="9" t="n">
        <v>602</v>
      </c>
      <c r="C604" s="10" t="inlineStr">
        <is>
          <t>Packing Production Supervisor (Shift Leader)</t>
        </is>
      </c>
      <c r="D604" s="10" t="inlineStr">
        <is>
          <t>Công Ty TNHH LEGO Manufacturing Việt Nam</t>
        </is>
      </c>
      <c r="E604" s="10" t="inlineStr">
        <is>
          <t>Thương lượng</t>
        </is>
      </c>
      <c r="F604" s="10" t="inlineStr">
        <is>
          <t>Bình Dương</t>
        </is>
      </c>
      <c r="G604" s="10" t="inlineStr">
        <is>
          <t>Nhân viên</t>
        </is>
      </c>
      <c r="H604" s="10" t="inlineStr">
        <is>
          <t>04/02/2026</t>
        </is>
      </c>
      <c r="I604" s="10" t="inlineStr">
        <is>
          <t>21/03/2026</t>
        </is>
      </c>
      <c r="J604" s="10" t="inlineStr">
        <is>
          <t>17/03/2026</t>
        </is>
      </c>
      <c r="K604" s="10" t="inlineStr">
        <is>
          <t>N/A</t>
        </is>
      </c>
      <c r="L604" s="10" t="inlineStr">
        <is>
          <t>English, Production Management, Shift Management, Leadership</t>
        </is>
      </c>
      <c r="M604" s="10" t="inlineStr">
        <is>
          <t>Bonus, Healthcare Plan, Paid Leave</t>
        </is>
      </c>
      <c r="N604" s="11">
        <f>HYPERLINK("https://www.vietnamworks.com/packing-production-supervisor-shift-leader--2009558-jv","Xem chi tiết")</f>
        <v/>
      </c>
      <c r="O604" s="10" t="n"/>
    </row>
    <row r="605">
      <c r="B605" s="7" t="n">
        <v>603</v>
      </c>
      <c r="C605" t="inlineStr">
        <is>
          <t>South Sales Manager (Gbi)</t>
        </is>
      </c>
      <c r="D605" t="inlineStr">
        <is>
          <t>ROCKWOOL VIETNAM COMPANY LIMITED</t>
        </is>
      </c>
      <c r="E605" t="inlineStr">
        <is>
          <t>Thương lượng</t>
        </is>
      </c>
      <c r="F605" t="inlineStr">
        <is>
          <t>Hồ Chí Minh</t>
        </is>
      </c>
      <c r="G605" t="inlineStr">
        <is>
          <t>Trưởng phòng</t>
        </is>
      </c>
      <c r="H605" t="inlineStr">
        <is>
          <t>04/02/2026</t>
        </is>
      </c>
      <c r="I605" t="inlineStr">
        <is>
          <t>21/03/2026</t>
        </is>
      </c>
      <c r="J605" t="inlineStr">
        <is>
          <t>17/03/2026</t>
        </is>
      </c>
      <c r="K605" t="inlineStr">
        <is>
          <t>N/A</t>
        </is>
      </c>
      <c r="L605" t="inlineStr">
        <is>
          <t>Customer Relation, Marketing Strategy, Negotiation Skills, Sales Management, Team Management</t>
        </is>
      </c>
      <c r="M605" t="inlineStr">
        <is>
          <t>Bonus, Healthcare Plan, Paid Leave, Library, Laptop, Travel Opportunities, Others</t>
        </is>
      </c>
      <c r="N605" s="8">
        <f>HYPERLINK("https://www.vietnamworks.com/south-sales-manager-gbi-2009572-jv","Xem chi tiết")</f>
        <v/>
      </c>
    </row>
    <row r="606">
      <c r="B606" s="9" t="n">
        <v>604</v>
      </c>
      <c r="C606" s="10" t="inlineStr">
        <is>
          <t>Assistant Brand Manager (Friso brand)</t>
        </is>
      </c>
      <c r="D606" s="10" t="inlineStr">
        <is>
          <t>FrieslandCampina Vietnam</t>
        </is>
      </c>
      <c r="E606" s="10" t="inlineStr">
        <is>
          <t>Thương lượng</t>
        </is>
      </c>
      <c r="F606" s="10" t="inlineStr">
        <is>
          <t>Hồ Chí Minh</t>
        </is>
      </c>
      <c r="G606" s="10" t="inlineStr">
        <is>
          <t>Nhân viên</t>
        </is>
      </c>
      <c r="H606" s="10" t="inlineStr">
        <is>
          <t>04/02/2026</t>
        </is>
      </c>
      <c r="I606" s="10" t="inlineStr">
        <is>
          <t>21/03/2026</t>
        </is>
      </c>
      <c r="J606" s="10" t="inlineStr">
        <is>
          <t>17/03/2026</t>
        </is>
      </c>
      <c r="K606" s="10" t="inlineStr">
        <is>
          <t>N/A</t>
        </is>
      </c>
      <c r="L606" s="10" t="inlineStr">
        <is>
          <t>Brand Awareness, Collaboration, Digital Activation, Event Marketing, In-Store Marketing</t>
        </is>
      </c>
      <c r="M606" s="10" t="inlineStr">
        <is>
          <t>Healthcare Plan, Paid Leave, Laptop, Mobile</t>
        </is>
      </c>
      <c r="N606" s="11">
        <f>HYPERLINK("https://www.vietnamworks.com/assistant-brand-manager-friso-brand-2009552-jv","Xem chi tiết")</f>
        <v/>
      </c>
      <c r="O606" s="10" t="n"/>
    </row>
    <row r="607">
      <c r="B607" s="7" t="n">
        <v>605</v>
      </c>
      <c r="C607" t="inlineStr">
        <is>
          <t>QA Assistant Manager</t>
        </is>
      </c>
      <c r="D607" t="inlineStr">
        <is>
          <t>Otsuka Nutraceutical Vietnam Co.,ltd.</t>
        </is>
      </c>
      <c r="E607" t="inlineStr">
        <is>
          <t>35tr-40tr ₫/tháng</t>
        </is>
      </c>
      <c r="F607" t="inlineStr">
        <is>
          <t>Bà Rịa - Vũng Tàu</t>
        </is>
      </c>
      <c r="G607" t="inlineStr">
        <is>
          <t>Trưởng phòng</t>
        </is>
      </c>
      <c r="H607" t="inlineStr">
        <is>
          <t>04/02/2026</t>
        </is>
      </c>
      <c r="I607" t="inlineStr">
        <is>
          <t>21/03/2026</t>
        </is>
      </c>
      <c r="J607" t="inlineStr">
        <is>
          <t>17/03/2026</t>
        </is>
      </c>
      <c r="K607" t="inlineStr">
        <is>
          <t>N/A</t>
        </is>
      </c>
      <c r="L607" t="inlineStr">
        <is>
          <t>Analytical Thinking, Complaint Handling, Compliance Assessment, Quality Management, Training Development</t>
        </is>
      </c>
      <c r="M607" t="inlineStr">
        <is>
          <t>Bonus, Healthcare Plan, Paid Leave, Laptop, Transportation, Canteen</t>
        </is>
      </c>
      <c r="N607" s="8">
        <f>HYPERLINK("https://www.vietnamworks.com/qa-assistant-manager-2009561-jv","Xem chi tiết")</f>
        <v/>
      </c>
    </row>
    <row r="608">
      <c r="B608" s="9" t="n">
        <v>606</v>
      </c>
      <c r="C608" s="10" t="inlineStr">
        <is>
          <t>Giải Phóng Mặt Bằng: 10 Người</t>
        </is>
      </c>
      <c r="D608" s="10" t="inlineStr">
        <is>
          <t>Ban Quản lý Dự án Đầu tư Hạ tầng xã Phúc Thịnh</t>
        </is>
      </c>
      <c r="E608" s="10" t="inlineStr">
        <is>
          <t>Thương lượng</t>
        </is>
      </c>
      <c r="F608" s="10" t="inlineStr">
        <is>
          <t>Hà Nội</t>
        </is>
      </c>
      <c r="G608" s="10" t="inlineStr">
        <is>
          <t>Nhân viên</t>
        </is>
      </c>
      <c r="H608" s="10" t="inlineStr">
        <is>
          <t>04/02/2026</t>
        </is>
      </c>
      <c r="I608" s="10" t="inlineStr">
        <is>
          <t>21/03/2026</t>
        </is>
      </c>
      <c r="J608" s="10" t="inlineStr">
        <is>
          <t>17/03/2026</t>
        </is>
      </c>
      <c r="K608" s="10" t="inlineStr">
        <is>
          <t>N/A</t>
        </is>
      </c>
      <c r="L608" s="10" t="inlineStr">
        <is>
          <t>Giải Phóng Mặt Bằng, Quản Lý Đất Đai, Xây Dựng, Thu hồi đất đai</t>
        </is>
      </c>
      <c r="M608" s="10" t="inlineStr">
        <is>
          <t>Bonus, Healthcare Plan, Others</t>
        </is>
      </c>
      <c r="N608" s="11">
        <f>HYPERLINK("https://www.vietnamworks.com/giai-phong-mat-bang-10-nguoi-2009565-jv","Xem chi tiết")</f>
        <v/>
      </c>
      <c r="O608" s="10" t="n"/>
    </row>
    <row r="609">
      <c r="B609" s="7" t="n">
        <v>607</v>
      </c>
      <c r="C609" t="inlineStr">
        <is>
          <t>Ecommerce Operation</t>
        </is>
      </c>
      <c r="D609" t="inlineStr">
        <is>
          <t>Lucky Power Vietnam Co., Ltd</t>
        </is>
      </c>
      <c r="E609" t="inlineStr">
        <is>
          <t>10tr-12tr ₫/tháng</t>
        </is>
      </c>
      <c r="F609" t="inlineStr">
        <is>
          <t>Hồ Chí Minh</t>
        </is>
      </c>
      <c r="G609" t="inlineStr">
        <is>
          <t>Nhân viên</t>
        </is>
      </c>
      <c r="H609" t="inlineStr">
        <is>
          <t>04/02/2026</t>
        </is>
      </c>
      <c r="I609" t="inlineStr">
        <is>
          <t>21/03/2026</t>
        </is>
      </c>
      <c r="J609" t="inlineStr">
        <is>
          <t>17/03/2026</t>
        </is>
      </c>
      <c r="K609" t="inlineStr">
        <is>
          <t>N/A</t>
        </is>
      </c>
      <c r="L609" t="inlineStr">
        <is>
          <t>Digital Marketing, E-commerce Operation, English, Advertising &amp; Brand Management, Marketing strategies</t>
        </is>
      </c>
      <c r="M609" t="inlineStr">
        <is>
          <t>Bonus, Healthcare Plan, Training</t>
        </is>
      </c>
      <c r="N609" s="8">
        <f>HYPERLINK("https://www.vietnamworks.com/ecommerce-operation-2009577-jv","Xem chi tiết")</f>
        <v/>
      </c>
    </row>
    <row r="610">
      <c r="B610" s="9" t="n">
        <v>608</v>
      </c>
      <c r="C610" s="10" t="inlineStr">
        <is>
          <t>Trưởng Phòng Phụ Trách Quản Lý Rủi Ro</t>
        </is>
      </c>
      <c r="D610" s="10" t="inlineStr">
        <is>
          <t>Novaland</t>
        </is>
      </c>
      <c r="E610" s="10" t="inlineStr">
        <is>
          <t>Thương lượng</t>
        </is>
      </c>
      <c r="F610" s="10" t="inlineStr">
        <is>
          <t>Hồ Chí Minh</t>
        </is>
      </c>
      <c r="G610" s="10" t="inlineStr">
        <is>
          <t>Trưởng phòng</t>
        </is>
      </c>
      <c r="H610" s="10" t="inlineStr">
        <is>
          <t>04/02/2026</t>
        </is>
      </c>
      <c r="I610" s="10" t="inlineStr">
        <is>
          <t>21/03/2026</t>
        </is>
      </c>
      <c r="J610" s="10" t="inlineStr">
        <is>
          <t>17/03/2026</t>
        </is>
      </c>
      <c r="K610" s="10" t="inlineStr">
        <is>
          <t>N/A</t>
        </is>
      </c>
      <c r="L610" s="10" t="inlineStr">
        <is>
          <t>Quản Trị Rủi Ro, Tài Chính, Quản Trị Kinh Doanh, Compliance, Risk Management</t>
        </is>
      </c>
      <c r="M610" s="10" t="inlineStr">
        <is>
          <t>Healthcare Plan, Laptop, Vouchers</t>
        </is>
      </c>
      <c r="N610" s="11">
        <f>HYPERLINK("https://www.vietnamworks.com/truong-phong-phu-trach-quan-ly-rui-ro-2009574-jv","Xem chi tiết")</f>
        <v/>
      </c>
      <c r="O610" s="10" t="n"/>
    </row>
    <row r="611">
      <c r="B611" s="7" t="n">
        <v>609</v>
      </c>
      <c r="C611" t="inlineStr">
        <is>
          <t>Chuyên Viên Tư Vấn Tuyển Sinh</t>
        </is>
      </c>
      <c r="D611" t="inlineStr">
        <is>
          <t>Vietnam Australia International School (Vas)</t>
        </is>
      </c>
      <c r="E611" t="inlineStr">
        <is>
          <t>Thương lượng</t>
        </is>
      </c>
      <c r="F611" t="inlineStr">
        <is>
          <t>Hồ Chí Minh</t>
        </is>
      </c>
      <c r="G611" t="inlineStr">
        <is>
          <t>Nhân viên</t>
        </is>
      </c>
      <c r="H611" t="inlineStr">
        <is>
          <t>04/02/2026</t>
        </is>
      </c>
      <c r="I611" t="inlineStr">
        <is>
          <t>21/03/2026</t>
        </is>
      </c>
      <c r="J611" t="inlineStr">
        <is>
          <t>17/03/2026</t>
        </is>
      </c>
      <c r="K611" t="inlineStr">
        <is>
          <t>N/A</t>
        </is>
      </c>
      <c r="L611" t="inlineStr">
        <is>
          <t>Tư Vấn Tuyển Sinh, Tiếng Anh, Giáo dục, Tin Học Văn Phòng, Bán hàng</t>
        </is>
      </c>
      <c r="M611" t="inlineStr">
        <is>
          <t>Bonus, Healthcare Plan, Travel Opportunities</t>
        </is>
      </c>
      <c r="N611" s="8">
        <f>HYPERLINK("https://www.vietnamworks.com/chuyen-vien-tu-van-tuyen-sinh--2009564-jv","Xem chi tiết")</f>
        <v/>
      </c>
    </row>
    <row r="612">
      <c r="B612" s="9" t="n">
        <v>610</v>
      </c>
      <c r="C612" s="10" t="inlineStr">
        <is>
          <t>Senior F&amp;B Executive</t>
        </is>
      </c>
      <c r="D612" s="10" t="inlineStr">
        <is>
          <t>Công Ty Cổ Phần Phim Thiên Ngân (GALAXY STUDIO)</t>
        </is>
      </c>
      <c r="E612" s="10" t="inlineStr">
        <is>
          <t>Thương lượng</t>
        </is>
      </c>
      <c r="F612" s="10" t="inlineStr">
        <is>
          <t>Hồ Chí Minh</t>
        </is>
      </c>
      <c r="G612" s="10" t="inlineStr">
        <is>
          <t>Nhân viên</t>
        </is>
      </c>
      <c r="H612" s="10" t="inlineStr">
        <is>
          <t>04/02/2026</t>
        </is>
      </c>
      <c r="I612" s="10" t="inlineStr">
        <is>
          <t>21/03/2026</t>
        </is>
      </c>
      <c r="J612" s="10" t="inlineStr">
        <is>
          <t>17/03/2026</t>
        </is>
      </c>
      <c r="K612" s="10" t="inlineStr">
        <is>
          <t>N/A</t>
        </is>
      </c>
      <c r="L612" s="10" t="inlineStr">
        <is>
          <t>Vệ Sinh An Toàn Thực Phẩm, F&amp;B Management, F&amp;B Operations, F&amp;B Concept</t>
        </is>
      </c>
      <c r="M612" s="10" t="inlineStr">
        <is>
          <t>Bonus, Healthcare Plan, Paid Leave</t>
        </is>
      </c>
      <c r="N612" s="11">
        <f>HYPERLINK("https://www.vietnamworks.com/senior-f-b-executive-2009567-jv","Xem chi tiết")</f>
        <v/>
      </c>
      <c r="O612" s="10" t="n"/>
    </row>
    <row r="613">
      <c r="B613" s="7" t="n">
        <v>611</v>
      </c>
      <c r="C613" t="inlineStr">
        <is>
          <t>Air Import Staff/ Urgent</t>
        </is>
      </c>
      <c r="D613" t="inlineStr">
        <is>
          <t>KGL Vietnam Co., Ltd</t>
        </is>
      </c>
      <c r="E613" t="inlineStr">
        <is>
          <t>Thương lượng</t>
        </is>
      </c>
      <c r="F613" t="inlineStr">
        <is>
          <t>Hà Nội</t>
        </is>
      </c>
      <c r="G613" t="inlineStr">
        <is>
          <t>Nhân viên</t>
        </is>
      </c>
      <c r="H613" t="inlineStr">
        <is>
          <t>04/02/2026</t>
        </is>
      </c>
      <c r="I613" t="inlineStr">
        <is>
          <t>21/03/2026</t>
        </is>
      </c>
      <c r="J613" t="inlineStr">
        <is>
          <t>17/03/2026</t>
        </is>
      </c>
      <c r="K613" t="inlineStr">
        <is>
          <t>N/A</t>
        </is>
      </c>
      <c r="L613" t="inlineStr">
        <is>
          <t>Freight, Logistics, Import-Export, Customs Clearance, Air Freight Forwarding</t>
        </is>
      </c>
      <c r="M613" t="inlineStr">
        <is>
          <t>Bonus, Healthcare Plan, Training, Others</t>
        </is>
      </c>
      <c r="N613" s="8">
        <f>HYPERLINK("https://www.vietnamworks.com/air-import-staff-urgent-2009578-jv","Xem chi tiết")</f>
        <v/>
      </c>
    </row>
    <row r="614">
      <c r="B614" s="9" t="n">
        <v>612</v>
      </c>
      <c r="C614" s="10" t="inlineStr">
        <is>
          <t>Kỹ Sư Địa Chất Mỏ (Mỏ Khai Thác Khoáng Sản)</t>
        </is>
      </c>
      <c r="D614" s="10" t="inlineStr">
        <is>
          <t>CÔNG TY CỔ PHẦN KHOÁNG SẢN THUẬN PHONG</t>
        </is>
      </c>
      <c r="E614" s="10" t="inlineStr">
        <is>
          <t>10tr-30tr ₫/tháng</t>
        </is>
      </c>
      <c r="F614" s="10" t="inlineStr">
        <is>
          <t>Hồ Chí Minh</t>
        </is>
      </c>
      <c r="G614" s="10" t="inlineStr">
        <is>
          <t>Nhân viên</t>
        </is>
      </c>
      <c r="H614" s="10" t="inlineStr">
        <is>
          <t>04/02/2026</t>
        </is>
      </c>
      <c r="I614" s="10" t="inlineStr">
        <is>
          <t>21/03/2026</t>
        </is>
      </c>
      <c r="J614" s="10" t="inlineStr">
        <is>
          <t>17/03/2026</t>
        </is>
      </c>
      <c r="K614" s="10" t="inlineStr">
        <is>
          <t>N/A</t>
        </is>
      </c>
      <c r="L614" s="10" t="inlineStr">
        <is>
          <t>Địa Chất Công Trình, Khai Thác Mỏ, Giám Sát Khai Thác Mỏ, Quản Lý Dự Án, Khai Thác Khoáng Sản</t>
        </is>
      </c>
      <c r="M614" s="10" t="inlineStr">
        <is>
          <t>Bonus, Transportation, Others</t>
        </is>
      </c>
      <c r="N614" s="11">
        <f>HYPERLINK("https://www.vietnamworks.com/ky-su-dia-chat-mo-mo-khai-thac-khoang-san--2009585-jv","Xem chi tiết")</f>
        <v/>
      </c>
      <c r="O614" s="10" t="n"/>
    </row>
    <row r="615">
      <c r="B615" s="7" t="n">
        <v>613</v>
      </c>
      <c r="C615" t="inlineStr">
        <is>
          <t>Trưởng Phòng Tuyển Sinh</t>
        </is>
      </c>
      <c r="D615" t="inlineStr">
        <is>
          <t>CÔNG TY CỔ PHẦN TẬP ĐOÀN ĐẦU TƯ HOÀNG GIA VIỆT NAM</t>
        </is>
      </c>
      <c r="E615" t="inlineStr">
        <is>
          <t>Thương lượng</t>
        </is>
      </c>
      <c r="F615" t="inlineStr">
        <is>
          <t>Hồ Chí Minh</t>
        </is>
      </c>
      <c r="G615" t="inlineStr">
        <is>
          <t>Trưởng phòng</t>
        </is>
      </c>
      <c r="H615" t="inlineStr">
        <is>
          <t>04/02/2026</t>
        </is>
      </c>
      <c r="I615" t="inlineStr">
        <is>
          <t>21/03/2026</t>
        </is>
      </c>
      <c r="J615" t="inlineStr">
        <is>
          <t>17/03/2026</t>
        </is>
      </c>
      <c r="K615" t="inlineStr">
        <is>
          <t>N/A</t>
        </is>
      </c>
      <c r="L615" t="inlineStr">
        <is>
          <t>Giáo Dục, Giao Tiếp, Kinh Tế, Quản Trị Kinh Doanh</t>
        </is>
      </c>
      <c r="M615" t="inlineStr">
        <is>
          <t>Bonus, Healthcare Plan, Laptop, Travel Opportunities</t>
        </is>
      </c>
      <c r="N615" s="8">
        <f>HYPERLINK("https://www.vietnamworks.com/truong-phong-tuyen-sinh-2009588-jv","Xem chi tiết")</f>
        <v/>
      </c>
    </row>
    <row r="616">
      <c r="B616" s="9" t="n">
        <v>614</v>
      </c>
      <c r="C616" s="10" t="inlineStr">
        <is>
          <t>Nhân Viên Kiểm Soát Chất Lượng Sản Phẩm (Đồ Gỗ Nội Thất)</t>
        </is>
      </c>
      <c r="D616" s="10" t="inlineStr">
        <is>
          <t>Living Spaces</t>
        </is>
      </c>
      <c r="E616" s="10" t="inlineStr">
        <is>
          <t>Thương lượng</t>
        </is>
      </c>
      <c r="F616" s="10" t="inlineStr">
        <is>
          <t>Bình Dương, Đồng Nai, Hồ Chí Minh</t>
        </is>
      </c>
      <c r="G616" s="10" t="inlineStr">
        <is>
          <t>Nhân viên</t>
        </is>
      </c>
      <c r="H616" s="10" t="inlineStr">
        <is>
          <t>04/02/2026</t>
        </is>
      </c>
      <c r="I616" s="10" t="inlineStr">
        <is>
          <t>21/03/2026</t>
        </is>
      </c>
      <c r="J616" s="10" t="inlineStr">
        <is>
          <t>17/03/2026</t>
        </is>
      </c>
      <c r="K616" s="10" t="inlineStr">
        <is>
          <t>N/A</t>
        </is>
      </c>
      <c r="L616" s="10" t="inlineStr">
        <is>
          <t>Kiểm Tra Hàng Tồn, Đánh giá màu sắc, Kiểm Tra Chứng Từ, Sử dụng vi tính Văn Phòng, Giao Tiếp</t>
        </is>
      </c>
      <c r="M616" s="10" t="inlineStr">
        <is>
          <t>Bonus, Paid Leave, Team Activities</t>
        </is>
      </c>
      <c r="N616" s="11">
        <f>HYPERLINK("https://www.vietnamworks.com/nhan-vien-kiem-soat-chat-luong-san-pham-djo-go-noi-that-2009604-jv","Xem chi tiết")</f>
        <v/>
      </c>
      <c r="O616" s="10" t="n"/>
    </row>
    <row r="617">
      <c r="B617" s="7" t="n">
        <v>615</v>
      </c>
      <c r="C617" t="inlineStr">
        <is>
          <t>Nhân Viên Kế Toán (Công Ty Logistics)</t>
        </is>
      </c>
      <c r="D617" t="inlineStr">
        <is>
          <t>BR INERNATIONAL</t>
        </is>
      </c>
      <c r="E617" t="inlineStr">
        <is>
          <t>Thương lượng</t>
        </is>
      </c>
      <c r="F617" t="inlineStr">
        <is>
          <t>Hà Nội</t>
        </is>
      </c>
      <c r="G617" t="inlineStr">
        <is>
          <t>Nhân viên</t>
        </is>
      </c>
      <c r="H617" t="inlineStr">
        <is>
          <t>04/02/2026</t>
        </is>
      </c>
      <c r="I617" t="inlineStr">
        <is>
          <t>21/03/2026</t>
        </is>
      </c>
      <c r="J617" t="inlineStr">
        <is>
          <t>17/03/2026</t>
        </is>
      </c>
      <c r="K617" t="inlineStr">
        <is>
          <t>N/A</t>
        </is>
      </c>
      <c r="L617" t="inlineStr">
        <is>
          <t>Quản Lý Giao Dịch, Kê Khai Thuế, Lưu Trữ Chứng Từ, Quản Lý Dòng Tiền, Quản Lý Nguồn Vốn</t>
        </is>
      </c>
      <c r="M617" t="inlineStr">
        <is>
          <t>Bonus</t>
        </is>
      </c>
      <c r="N617" s="8">
        <f>HYPERLINK("https://www.vietnamworks.com/nhan-vien-ke-toan-cong-ty-logistics-2009584-jv","Xem chi tiết")</f>
        <v/>
      </c>
    </row>
    <row r="618">
      <c r="B618" s="9" t="n">
        <v>616</v>
      </c>
      <c r="C618" s="10" t="inlineStr">
        <is>
          <t>Nhân Viên Lập Trình PLC [Mức Lương Từ 20 Triệu - 30 Triệu VND]</t>
        </is>
      </c>
      <c r="D618" s="10" t="inlineStr">
        <is>
          <t>Công Ty TNHH Cova TEC Việt Nam</t>
        </is>
      </c>
      <c r="E618" s="10" t="inlineStr">
        <is>
          <t>20tr-30tr ₫/tháng</t>
        </is>
      </c>
      <c r="F618" s="10" t="inlineStr">
        <is>
          <t>Bắc Ninh</t>
        </is>
      </c>
      <c r="G618" s="10" t="inlineStr">
        <is>
          <t>Nhân viên</t>
        </is>
      </c>
      <c r="H618" s="10" t="inlineStr">
        <is>
          <t>04/02/2026</t>
        </is>
      </c>
      <c r="I618" s="10" t="inlineStr">
        <is>
          <t>21/03/2026</t>
        </is>
      </c>
      <c r="J618" s="10" t="inlineStr">
        <is>
          <t>17/03/2026</t>
        </is>
      </c>
      <c r="K618" s="10" t="inlineStr">
        <is>
          <t>N/A</t>
        </is>
      </c>
      <c r="L618" s="10" t="inlineStr">
        <is>
          <t>Automation Mechanical, Đọc Hiểu Bản Vẽ Kỹ Thuật, Tự Động Hóa, Lập Trình PLC, PLC</t>
        </is>
      </c>
      <c r="M618" s="10" t="inlineStr">
        <is>
          <t>Bonus, Healthcare Plan, Paid Leave</t>
        </is>
      </c>
      <c r="N618" s="11">
        <f>HYPERLINK("https://www.vietnamworks.com/nhan-vien-lap-trinh-plc-muc-luong-tu-20-trieu-30-trieu-vnd-2009581-jv","Xem chi tiết")</f>
        <v/>
      </c>
      <c r="O618" s="10" t="n"/>
    </row>
    <row r="619">
      <c r="B619" s="7" t="n">
        <v>617</v>
      </c>
      <c r="C619" t="inlineStr">
        <is>
          <t>Advisory Senior - [HCM &amp; Đà Nẵng]</t>
        </is>
      </c>
      <c r="D619" t="inlineStr">
        <is>
          <t>Crowe Vietnam Co., Ltd</t>
        </is>
      </c>
      <c r="E619" t="inlineStr">
        <is>
          <t>Thương lượng</t>
        </is>
      </c>
      <c r="F619" t="inlineStr">
        <is>
          <t>Hồ Chí Minh, Đà Nẵng</t>
        </is>
      </c>
      <c r="G619" t="inlineStr">
        <is>
          <t>Nhân viên</t>
        </is>
      </c>
      <c r="H619" t="inlineStr">
        <is>
          <t>04/02/2026</t>
        </is>
      </c>
      <c r="I619" t="inlineStr">
        <is>
          <t>21/03/2026</t>
        </is>
      </c>
      <c r="J619" t="inlineStr">
        <is>
          <t>17/03/2026</t>
        </is>
      </c>
      <c r="K619" t="inlineStr">
        <is>
          <t>N/A</t>
        </is>
      </c>
      <c r="L619" t="inlineStr">
        <is>
          <t>Accounting, Auditing, Payroll, Taxation</t>
        </is>
      </c>
      <c r="M619" t="inlineStr">
        <is>
          <t>Bonus, Training, Team Activities, Others</t>
        </is>
      </c>
      <c r="N619" s="8">
        <f>HYPERLINK("https://www.vietnamworks.com/advisory-senior-hcm-da-nang-2009595-jv","Xem chi tiết")</f>
        <v/>
      </c>
    </row>
    <row r="620">
      <c r="B620" s="9" t="n">
        <v>618</v>
      </c>
      <c r="C620" s="10" t="inlineStr">
        <is>
          <t>Product Developer - Work At Cu Chi District</t>
        </is>
      </c>
      <c r="D620" s="10" t="inlineStr">
        <is>
          <t>Prym Fashion Vietnam Company Limited</t>
        </is>
      </c>
      <c r="E620" s="10" t="inlineStr">
        <is>
          <t>Thương lượng</t>
        </is>
      </c>
      <c r="F620" s="10" t="inlineStr">
        <is>
          <t>Hồ Chí Minh, Bình Dương, Đồng Nai</t>
        </is>
      </c>
      <c r="G620" s="10" t="inlineStr">
        <is>
          <t>Nhân viên</t>
        </is>
      </c>
      <c r="H620" s="10" t="inlineStr">
        <is>
          <t>04/02/2026</t>
        </is>
      </c>
      <c r="I620" s="10" t="inlineStr">
        <is>
          <t>21/03/2026</t>
        </is>
      </c>
      <c r="J620" s="10" t="inlineStr">
        <is>
          <t>17/03/2026</t>
        </is>
      </c>
      <c r="K620" s="10" t="inlineStr">
        <is>
          <t>N/A</t>
        </is>
      </c>
      <c r="L620" s="10" t="inlineStr">
        <is>
          <t>Adobe Illustrator, Garment Trims, Merchandising, Sampling Design, SAP</t>
        </is>
      </c>
      <c r="M620" s="10" t="inlineStr">
        <is>
          <t>Healthcare Plan, Paid Leave, Others</t>
        </is>
      </c>
      <c r="N620" s="11">
        <f>HYPERLINK("https://www.vietnamworks.com/product-developer-work-at-cu-chi-district-2009602-jv","Xem chi tiết")</f>
        <v/>
      </c>
      <c r="O620" s="10" t="n"/>
    </row>
    <row r="621">
      <c r="B621" s="7" t="n">
        <v>619</v>
      </c>
      <c r="C621" t="inlineStr">
        <is>
          <t>Nhân Viên Quản Lý Sản Phẩm Nhóm Chuyển Giao Công Nghệ</t>
        </is>
      </c>
      <c r="D621" t="inlineStr">
        <is>
          <t>Công Ty Cổ Phần Traphaco</t>
        </is>
      </c>
      <c r="E621" t="inlineStr">
        <is>
          <t>Thương lượng</t>
        </is>
      </c>
      <c r="F621" t="inlineStr">
        <is>
          <t>Hà Nội</t>
        </is>
      </c>
      <c r="G621" t="inlineStr">
        <is>
          <t>Nhân viên</t>
        </is>
      </c>
      <c r="H621" t="inlineStr">
        <is>
          <t>04/02/2026</t>
        </is>
      </c>
      <c r="I621" t="inlineStr">
        <is>
          <t>21/03/2026</t>
        </is>
      </c>
      <c r="J621" t="inlineStr">
        <is>
          <t>17/03/2026</t>
        </is>
      </c>
      <c r="K621" t="inlineStr">
        <is>
          <t>N/A</t>
        </is>
      </c>
      <c r="L621" t="inlineStr">
        <is>
          <t>Quản Lý Danh Mục, Nghiên Cứu Thị Trường, Phân Tích Thị Trường, Kinh Doanh Dược Mỹ Phẩm, Quản Lý Doanh Số</t>
        </is>
      </c>
      <c r="M621" t="inlineStr">
        <is>
          <t>Bonus, Healthcare Plan</t>
        </is>
      </c>
      <c r="N621" s="8">
        <f>HYPERLINK("https://www.vietnamworks.com/nhan-vien-quan-ly-san-pham-nhom-chuyen-giao-cong-nghe-2009593-jv","Xem chi tiết")</f>
        <v/>
      </c>
    </row>
    <row r="622">
      <c r="B622" s="9" t="n">
        <v>620</v>
      </c>
      <c r="C622" s="10" t="inlineStr">
        <is>
          <t>Trưởng Phòng Tuyển Sinh (Trường bơi)</t>
        </is>
      </c>
      <c r="D622" s="10" t="inlineStr">
        <is>
          <t>Hệ thống Giáo Dục Edufit</t>
        </is>
      </c>
      <c r="E622" s="10" t="inlineStr">
        <is>
          <t>Thương lượng</t>
        </is>
      </c>
      <c r="F622" s="10" t="inlineStr">
        <is>
          <t>Hà Nội</t>
        </is>
      </c>
      <c r="G622" s="10" t="inlineStr">
        <is>
          <t>Trưởng phòng</t>
        </is>
      </c>
      <c r="H622" s="10" t="inlineStr">
        <is>
          <t>04/02/2026</t>
        </is>
      </c>
      <c r="I622" s="10" t="inlineStr">
        <is>
          <t>21/03/2026</t>
        </is>
      </c>
      <c r="J622" s="10" t="inlineStr">
        <is>
          <t>17/03/2026</t>
        </is>
      </c>
      <c r="K622" s="10" t="inlineStr">
        <is>
          <t>N/A</t>
        </is>
      </c>
      <c r="L622" s="10" t="inlineStr">
        <is>
          <t>Kỹ năng quản lý nhân sự, Kỹ Năng Tư Duy Chiến Lược, Kỹ năng đào tạo</t>
        </is>
      </c>
      <c r="M622" s="10" t="inlineStr">
        <is>
          <t>Healthcare Plan, Paid Leave, Training, Canteen, Others</t>
        </is>
      </c>
      <c r="N622" s="11">
        <f>HYPERLINK("https://www.vietnamworks.com/truong-phong-tuyen-sinh-truong-boi-2009582-jv","Xem chi tiết")</f>
        <v/>
      </c>
      <c r="O622" s="10" t="n"/>
    </row>
    <row r="623">
      <c r="B623" s="7" t="n">
        <v>621</v>
      </c>
      <c r="C623" t="inlineStr">
        <is>
          <t>Pháp Lý Dự Án Chủ Đầu Tư_Project Legal (Real Estate) - Ưu Tiên Nữ</t>
        </is>
      </c>
      <c r="D623" t="inlineStr">
        <is>
          <t>Công Ty Cổ Phần Bất Động Sản Bản Việt</t>
        </is>
      </c>
      <c r="E623" t="inlineStr">
        <is>
          <t>Thương lượng</t>
        </is>
      </c>
      <c r="F623" t="inlineStr">
        <is>
          <t>Hồ Chí Minh</t>
        </is>
      </c>
      <c r="G623" t="inlineStr">
        <is>
          <t>Trưởng phòng</t>
        </is>
      </c>
      <c r="H623" t="inlineStr">
        <is>
          <t>04/02/2026</t>
        </is>
      </c>
      <c r="I623" t="inlineStr">
        <is>
          <t>21/03/2026</t>
        </is>
      </c>
      <c r="J623" t="inlineStr">
        <is>
          <t>17/03/2026</t>
        </is>
      </c>
      <c r="K623" t="inlineStr">
        <is>
          <t>N/A</t>
        </is>
      </c>
      <c r="L623" t="inlineStr">
        <is>
          <t>Real Estate Laws, Pháp Lý, Pháp Lý Dự Án, Bất Động Sản, Legal</t>
        </is>
      </c>
      <c r="M623" t="inlineStr">
        <is>
          <t>Bonus, Healthcare Plan, Team Activities</t>
        </is>
      </c>
      <c r="N623" s="8">
        <f>HYPERLINK("https://www.vietnamworks.com/phap-ly-du-an-chu-dau-tu-project-legal-real-estate-uu-tien-nu-2009601-jv","Xem chi tiết")</f>
        <v/>
      </c>
    </row>
    <row r="624">
      <c r="B624" s="9" t="n">
        <v>622</v>
      </c>
      <c r="C624" s="10" t="inlineStr">
        <is>
          <t>Giám Sát Kinh Doanh (Distributor Account Supervisor/Manager) GT - Gia Lai &amp; Komtum</t>
        </is>
      </c>
      <c r="D624" s="10" t="inlineStr">
        <is>
          <t>Marico South East Asia Corporation</t>
        </is>
      </c>
      <c r="E624" s="10" t="inlineStr">
        <is>
          <t>Thương lượng</t>
        </is>
      </c>
      <c r="F624" s="10" t="inlineStr">
        <is>
          <t>Gia Lai</t>
        </is>
      </c>
      <c r="G624" s="10" t="inlineStr">
        <is>
          <t>Nhân viên</t>
        </is>
      </c>
      <c r="H624" s="10" t="inlineStr">
        <is>
          <t>04/02/2026</t>
        </is>
      </c>
      <c r="I624" s="10" t="inlineStr">
        <is>
          <t>21/03/2026</t>
        </is>
      </c>
      <c r="J624" s="10" t="inlineStr">
        <is>
          <t>17/03/2026</t>
        </is>
      </c>
      <c r="K624" s="10" t="inlineStr">
        <is>
          <t>N/A</t>
        </is>
      </c>
      <c r="L624" s="10" t="inlineStr">
        <is>
          <t>Analytical Data, communication, FMCG, Leadership, Sales</t>
        </is>
      </c>
      <c r="M624" s="10" t="inlineStr">
        <is>
          <t>Others</t>
        </is>
      </c>
      <c r="N624" s="11">
        <f>HYPERLINK("https://www.vietnamworks.com/giam-sat-kinh-doanh-distributor-account-supervisor-manager-gt-gia-lai-komtum-2009597-jv","Xem chi tiết")</f>
        <v/>
      </c>
      <c r="O624" s="10" t="n"/>
    </row>
    <row r="625">
      <c r="B625" s="7" t="n">
        <v>623</v>
      </c>
      <c r="C625" t="inlineStr">
        <is>
          <t>Sales Manager - Industrial Food Machinery (Ha Noi Based)</t>
        </is>
      </c>
      <c r="D625" t="inlineStr">
        <is>
          <t>Rieckermann Vietnam Ltd., Co.</t>
        </is>
      </c>
      <c r="E625" t="inlineStr">
        <is>
          <t>Thương lượng</t>
        </is>
      </c>
      <c r="F625" t="inlineStr">
        <is>
          <t>Hà Nội</t>
        </is>
      </c>
      <c r="G625" t="inlineStr">
        <is>
          <t>Trưởng phòng</t>
        </is>
      </c>
      <c r="H625" t="inlineStr">
        <is>
          <t>04/02/2026</t>
        </is>
      </c>
      <c r="I625" t="inlineStr">
        <is>
          <t>21/03/2026</t>
        </is>
      </c>
      <c r="J625" t="inlineStr">
        <is>
          <t>17/03/2026</t>
        </is>
      </c>
      <c r="K625" t="inlineStr">
        <is>
          <t>N/A</t>
        </is>
      </c>
      <c r="L625" t="inlineStr">
        <is>
          <t>Sales &amp; Business Development, Customer Relationship Management skills, Machinery, Solution Orientation</t>
        </is>
      </c>
      <c r="M625" t="inlineStr">
        <is>
          <t>Bonus, Healthcare Plan, Awards</t>
        </is>
      </c>
      <c r="N625" s="8">
        <f>HYPERLINK("https://www.vietnamworks.com/sales-manager-industrial-food-machinery-ha-noi-based-2009579-jv","Xem chi tiết")</f>
        <v/>
      </c>
    </row>
    <row r="626">
      <c r="B626" s="9" t="n">
        <v>624</v>
      </c>
      <c r="C626" s="10" t="inlineStr">
        <is>
          <t>Manager, Assembly Operations (High-Speed Cables)</t>
        </is>
      </c>
      <c r="D626" s="10" t="inlineStr">
        <is>
          <t>Molex Vietnam Co., Ltd.</t>
        </is>
      </c>
      <c r="E626" s="10" t="inlineStr">
        <is>
          <t>Thương lượng</t>
        </is>
      </c>
      <c r="F626" s="10" t="inlineStr">
        <is>
          <t>Hưng Yên, Hà Nội, Bắc Ninh</t>
        </is>
      </c>
      <c r="G626" s="10" t="inlineStr">
        <is>
          <t>Trưởng phòng</t>
        </is>
      </c>
      <c r="H626" s="10" t="inlineStr">
        <is>
          <t>04/02/2026</t>
        </is>
      </c>
      <c r="I626" s="10" t="inlineStr">
        <is>
          <t>21/03/2026</t>
        </is>
      </c>
      <c r="J626" s="10" t="inlineStr">
        <is>
          <t>17/03/2026</t>
        </is>
      </c>
      <c r="K626" s="10" t="inlineStr">
        <is>
          <t>N/A</t>
        </is>
      </c>
      <c r="L626" s="10" t="inlineStr">
        <is>
          <t>Kaizen, Leadership, Lean Six Sigma, Manufacturing Operations Management, SAP</t>
        </is>
      </c>
      <c r="M626" s="10" t="inlineStr">
        <is>
          <t>Bonus, Healthcare Plan, Paid Leave, Team Activities, Transportation, Canteen, Others</t>
        </is>
      </c>
      <c r="N626" s="11">
        <f>HYPERLINK("https://www.vietnamworks.com/manager-assembly-operations-high-speed-cables-2009590-jv","Xem chi tiết")</f>
        <v/>
      </c>
      <c r="O626" s="10" t="n"/>
    </row>
    <row r="627">
      <c r="B627" s="7" t="n">
        <v>625</v>
      </c>
      <c r="C627" t="inlineStr">
        <is>
          <t>Kỹ Sư Thiết Kế Giao Thông San Nền</t>
        </is>
      </c>
      <c r="D627" t="inlineStr">
        <is>
          <t>Công ty Cổ phần Tập đoàn Xây dựng SCG</t>
        </is>
      </c>
      <c r="E627" t="inlineStr">
        <is>
          <t>27tr-30tr ₫/tháng</t>
        </is>
      </c>
      <c r="F627" t="inlineStr">
        <is>
          <t>Hà Nội</t>
        </is>
      </c>
      <c r="G627" t="inlineStr">
        <is>
          <t>Nhân viên</t>
        </is>
      </c>
      <c r="H627" t="inlineStr">
        <is>
          <t>04/02/2026</t>
        </is>
      </c>
      <c r="I627" t="inlineStr">
        <is>
          <t>21/03/2026</t>
        </is>
      </c>
      <c r="J627" t="inlineStr">
        <is>
          <t>17/03/2026</t>
        </is>
      </c>
      <c r="K627" t="inlineStr">
        <is>
          <t>N/A</t>
        </is>
      </c>
      <c r="L627" t="inlineStr">
        <is>
          <t>San nền, AutoCAD, Thiết kế giao thông, Xây Dựng, Hạ Tầng Kỹ Thuật</t>
        </is>
      </c>
      <c r="M627" t="inlineStr">
        <is>
          <t>Bonus, Healthcare Plan, Paid Leave, Training, Canteen</t>
        </is>
      </c>
      <c r="N627" s="8">
        <f>HYPERLINK("https://www.vietnamworks.com/ky-su-thiet-ke-giao-thong-san-nen-2009586-jv","Xem chi tiết")</f>
        <v/>
      </c>
    </row>
    <row r="628">
      <c r="B628" s="9" t="n">
        <v>626</v>
      </c>
      <c r="C628" s="10" t="inlineStr">
        <is>
          <t>P&amp;L Analytics Specialist - XSTU</t>
        </is>
      </c>
      <c r="D628" s="10" t="inlineStr">
        <is>
          <t>FE CREDIT</t>
        </is>
      </c>
      <c r="E628" s="10" t="inlineStr">
        <is>
          <t>Thương lượng</t>
        </is>
      </c>
      <c r="F628" s="10" t="inlineStr">
        <is>
          <t>Hồ Chí Minh</t>
        </is>
      </c>
      <c r="G628" s="10" t="inlineStr">
        <is>
          <t>Nhân viên</t>
        </is>
      </c>
      <c r="H628" s="10" t="inlineStr">
        <is>
          <t>04/02/2026</t>
        </is>
      </c>
      <c r="I628" s="10" t="inlineStr">
        <is>
          <t>21/03/2026</t>
        </is>
      </c>
      <c r="J628" s="10" t="inlineStr">
        <is>
          <t>17/03/2026</t>
        </is>
      </c>
      <c r="K628" s="10" t="inlineStr">
        <is>
          <t>N/A</t>
        </is>
      </c>
      <c r="L628" s="10" t="inlineStr">
        <is>
          <t>Cost Management, English Language Proficiency, Financial Analysis, MS Office, Profitability Management</t>
        </is>
      </c>
      <c r="M628" s="10" t="inlineStr">
        <is>
          <t>Bonus</t>
        </is>
      </c>
      <c r="N628" s="11">
        <f>HYPERLINK("https://www.vietnamworks.com/pandl-analytics-specialist-xstu-2009589-jv","Xem chi tiết")</f>
        <v/>
      </c>
      <c r="O628" s="10" t="n"/>
    </row>
    <row r="629">
      <c r="B629" s="7" t="n">
        <v>627</v>
      </c>
      <c r="C629" t="inlineStr">
        <is>
          <t>Manager, Product Proposition</t>
        </is>
      </c>
      <c r="D629" t="inlineStr">
        <is>
          <t>FWD Vietnam Life Insurance Company Limited</t>
        </is>
      </c>
      <c r="E629" t="inlineStr">
        <is>
          <t>Thương lượng</t>
        </is>
      </c>
      <c r="F629" t="inlineStr">
        <is>
          <t>Hồ Chí Minh</t>
        </is>
      </c>
      <c r="G629" t="inlineStr">
        <is>
          <t>Trưởng phòng</t>
        </is>
      </c>
      <c r="H629" t="inlineStr">
        <is>
          <t>04/02/2026</t>
        </is>
      </c>
      <c r="I629" t="inlineStr">
        <is>
          <t>21/03/2026</t>
        </is>
      </c>
      <c r="J629" t="inlineStr">
        <is>
          <t>17/03/2026</t>
        </is>
      </c>
      <c r="K629" t="inlineStr">
        <is>
          <t>N/A</t>
        </is>
      </c>
      <c r="L629" t="inlineStr">
        <is>
          <t>Analytical Skills, English, Product Development, Product Maketing, Project Management</t>
        </is>
      </c>
      <c r="M629" t="inlineStr">
        <is>
          <t>Healthcare Plan, Training, Awards</t>
        </is>
      </c>
      <c r="N629" s="8">
        <f>HYPERLINK("https://www.vietnamworks.com/manager-product-proposition-2009603-jv","Xem chi tiết")</f>
        <v/>
      </c>
    </row>
    <row r="630">
      <c r="B630" s="9" t="n">
        <v>628</v>
      </c>
      <c r="C630" s="10" t="inlineStr">
        <is>
          <t>Nhân Viên Kế Toán (Accountant)</t>
        </is>
      </c>
      <c r="D630" s="10" t="inlineStr">
        <is>
          <t>Công Ty TNHH Một Thành Viên Relats Viêt Nam</t>
        </is>
      </c>
      <c r="E630" s="10" t="inlineStr">
        <is>
          <t>Thương lượng</t>
        </is>
      </c>
      <c r="F630" s="10" t="inlineStr">
        <is>
          <t>Đà Nẵng</t>
        </is>
      </c>
      <c r="G630" s="10" t="inlineStr">
        <is>
          <t>Nhân viên</t>
        </is>
      </c>
      <c r="H630" s="10" t="inlineStr">
        <is>
          <t>04/02/2026</t>
        </is>
      </c>
      <c r="I630" s="10" t="inlineStr">
        <is>
          <t>21/03/2026</t>
        </is>
      </c>
      <c r="J630" s="10" t="inlineStr">
        <is>
          <t>17/03/2026</t>
        </is>
      </c>
      <c r="K630" s="10" t="inlineStr">
        <is>
          <t>N/A</t>
        </is>
      </c>
      <c r="L630" s="10" t="inlineStr">
        <is>
          <t>Accounts Payable, Cash Management, Excel, Kế Toán, SAP</t>
        </is>
      </c>
      <c r="M630" s="10" t="inlineStr">
        <is>
          <t>Bonus, Healthcare Plan, Training, Laptop, Team Activities, Transportation</t>
        </is>
      </c>
      <c r="N630" s="11">
        <f>HYPERLINK("https://www.vietnamworks.com/nhan-vien-ke-toan-accountant--2009592-jv","Xem chi tiết")</f>
        <v/>
      </c>
      <c r="O630" s="10" t="n"/>
    </row>
    <row r="631">
      <c r="B631" s="7" t="n">
        <v>629</v>
      </c>
      <c r="C631" t="inlineStr">
        <is>
          <t>Key Account Manager</t>
        </is>
      </c>
      <c r="D631" t="inlineStr">
        <is>
          <t>Công ty Cổ Phần Tập Đoàn Merap</t>
        </is>
      </c>
      <c r="E631" t="inlineStr">
        <is>
          <t>Thương lượng</t>
        </is>
      </c>
      <c r="F631" t="inlineStr">
        <is>
          <t>Hồ Chí Minh</t>
        </is>
      </c>
      <c r="G631" t="inlineStr">
        <is>
          <t>Nhân viên</t>
        </is>
      </c>
      <c r="H631" t="inlineStr">
        <is>
          <t>04/02/2026</t>
        </is>
      </c>
      <c r="I631" t="inlineStr">
        <is>
          <t>21/03/2026</t>
        </is>
      </c>
      <c r="J631" t="inlineStr">
        <is>
          <t>17/03/2026</t>
        </is>
      </c>
      <c r="K631" t="inlineStr">
        <is>
          <t>N/A</t>
        </is>
      </c>
      <c r="L631" t="inlineStr">
        <is>
          <t>Bán Hàng Dược Phẩm, Phát Triển Sản Phẩm, Phát Triển Thị Trường, Qualitative Market Research, Key Account Management</t>
        </is>
      </c>
      <c r="M631" t="inlineStr">
        <is>
          <t>Bonus, Paid Leave, Travel Opportunities</t>
        </is>
      </c>
      <c r="N631" s="8">
        <f>HYPERLINK("https://www.vietnamworks.com/key-account-manager--2009594-jv","Xem chi tiết")</f>
        <v/>
      </c>
    </row>
    <row r="632">
      <c r="B632" s="9" t="n">
        <v>630</v>
      </c>
      <c r="C632" s="10" t="inlineStr">
        <is>
          <t>HR Training Executive (Korean Speaking)</t>
        </is>
      </c>
      <c r="D632" s="10" t="inlineStr">
        <is>
          <t>Orion Food Vina Co,. Ltd - Head Office</t>
        </is>
      </c>
      <c r="E632" s="10" t="inlineStr">
        <is>
          <t>Thương lượng</t>
        </is>
      </c>
      <c r="F632" s="10" t="inlineStr">
        <is>
          <t>Hồ Chí Minh</t>
        </is>
      </c>
      <c r="G632" s="10" t="inlineStr">
        <is>
          <t>Nhân viên</t>
        </is>
      </c>
      <c r="H632" s="10" t="inlineStr">
        <is>
          <t>04/02/2026</t>
        </is>
      </c>
      <c r="I632" s="10" t="inlineStr">
        <is>
          <t>21/03/2026</t>
        </is>
      </c>
      <c r="J632" s="10" t="inlineStr">
        <is>
          <t>17/03/2026</t>
        </is>
      </c>
      <c r="K632" s="10" t="inlineStr">
        <is>
          <t>N/A</t>
        </is>
      </c>
      <c r="L632" s="10" t="inlineStr">
        <is>
          <t>Korean Speaking Skill, Tiếng Hàn, Đào Tạo Nội Bộ, HR, Learning and Development</t>
        </is>
      </c>
      <c r="M632" s="10" t="inlineStr">
        <is>
          <t>Bonus, Healthcare Plan, Paid Leave</t>
        </is>
      </c>
      <c r="N632" s="11">
        <f>HYPERLINK("https://www.vietnamworks.com/hr-training-executive-korean-speaking--2009599-jv","Xem chi tiết")</f>
        <v/>
      </c>
      <c r="O632" s="10" t="n"/>
    </row>
    <row r="633">
      <c r="B633" s="7" t="n">
        <v>631</v>
      </c>
      <c r="C633" t="inlineStr">
        <is>
          <t>Manager, Leasing / Asset Management, Logistics (Warehouse)</t>
        </is>
      </c>
      <c r="D633" t="inlineStr">
        <is>
          <t>Mapletree Vietnam Management Consultancy Co., Ltd</t>
        </is>
      </c>
      <c r="E633" t="inlineStr">
        <is>
          <t>Thương lượng</t>
        </is>
      </c>
      <c r="F633" t="inlineStr">
        <is>
          <t>Hà Nội</t>
        </is>
      </c>
      <c r="G633" t="inlineStr">
        <is>
          <t>Trưởng phòng</t>
        </is>
      </c>
      <c r="H633" t="inlineStr">
        <is>
          <t>04/02/2026</t>
        </is>
      </c>
      <c r="I633" t="inlineStr">
        <is>
          <t>21/03/2026</t>
        </is>
      </c>
      <c r="J633" t="inlineStr">
        <is>
          <t>17/03/2026</t>
        </is>
      </c>
      <c r="K633" t="inlineStr">
        <is>
          <t>N/A</t>
        </is>
      </c>
      <c r="L633" t="inlineStr">
        <is>
          <t>Asset Management, Industrial Real Estate, Leasing Industrial Properties, Warehouse</t>
        </is>
      </c>
      <c r="M633" t="inlineStr">
        <is>
          <t>Healthcare Plan, Paid Leave, Awards</t>
        </is>
      </c>
      <c r="N633" s="8">
        <f>HYPERLINK("https://www.vietnamworks.com/manager-leasing-asset-management-logistics-warehouse--2009605-jv","Xem chi tiết")</f>
        <v/>
      </c>
    </row>
    <row r="634">
      <c r="B634" s="9" t="n">
        <v>632</v>
      </c>
      <c r="C634" s="10" t="inlineStr">
        <is>
          <t>Quản Lý Kho</t>
        </is>
      </c>
      <c r="D634" s="10" t="inlineStr">
        <is>
          <t>Công Ty TNHH YKK AP Việt Nam</t>
        </is>
      </c>
      <c r="E634" s="10" t="inlineStr">
        <is>
          <t>17tr-20tr ₫/tháng</t>
        </is>
      </c>
      <c r="F634" s="10" t="inlineStr">
        <is>
          <t>Hà Nội</t>
        </is>
      </c>
      <c r="G634" s="10" t="inlineStr">
        <is>
          <t>Nhân viên</t>
        </is>
      </c>
      <c r="H634" s="10" t="inlineStr">
        <is>
          <t>04/02/2026</t>
        </is>
      </c>
      <c r="I634" s="10" t="inlineStr">
        <is>
          <t>21/03/2026</t>
        </is>
      </c>
      <c r="J634" s="10" t="inlineStr">
        <is>
          <t>17/03/2026</t>
        </is>
      </c>
      <c r="K634" s="10" t="inlineStr">
        <is>
          <t>N/A</t>
        </is>
      </c>
      <c r="L634" s="10" t="inlineStr">
        <is>
          <t>Excel, Inventory Control, Inventory Management, Quản Lý Kho, Supply Chain</t>
        </is>
      </c>
      <c r="M634" s="10" t="inlineStr">
        <is>
          <t>Bonus, Healthcare Plan, Training, Others</t>
        </is>
      </c>
      <c r="N634" s="11">
        <f>HYPERLINK("https://www.vietnamworks.com/quan-ly-kho-2009606-jv","Xem chi tiết")</f>
        <v/>
      </c>
      <c r="O634" s="10" t="n"/>
    </row>
    <row r="635">
      <c r="B635" s="7" t="n">
        <v>633</v>
      </c>
      <c r="C635" t="inlineStr">
        <is>
          <t>Kế Toán Tổng Hợp (Công Ty Chuyển Phát Nhanh Hàn Quốc) - Urgent</t>
        </is>
      </c>
      <c r="D635" t="inlineStr">
        <is>
          <t>CÔNG TY TNHH ABLE EXPRESS</t>
        </is>
      </c>
      <c r="E635" t="inlineStr">
        <is>
          <t>13tr-20tr ₫/tháng</t>
        </is>
      </c>
      <c r="F635" t="inlineStr">
        <is>
          <t>Hà Nội</t>
        </is>
      </c>
      <c r="G635" t="inlineStr">
        <is>
          <t>Nhân viên</t>
        </is>
      </c>
      <c r="H635" t="inlineStr">
        <is>
          <t>04/02/2026</t>
        </is>
      </c>
      <c r="I635" t="inlineStr">
        <is>
          <t>21/03/2026</t>
        </is>
      </c>
      <c r="J635" t="inlineStr">
        <is>
          <t>17/03/2026</t>
        </is>
      </c>
      <c r="K635" t="inlineStr">
        <is>
          <t>N/A</t>
        </is>
      </c>
      <c r="L635" t="inlineStr">
        <is>
          <t>Kế Toán, Kiểm Toán, Tài Chính, Tiếng Anh, Kế Toán Tổng Hợp</t>
        </is>
      </c>
      <c r="M635" t="inlineStr">
        <is>
          <t>Bonus, Healthcare Plan, Others</t>
        </is>
      </c>
      <c r="N635" s="8">
        <f>HYPERLINK("https://www.vietnamworks.com/ke-toan-tong-hop-cong-ty-chuyen-phat-nhanh-han-quoc-urgent-2009622-jv","Xem chi tiết")</f>
        <v/>
      </c>
    </row>
    <row r="636">
      <c r="B636" s="9" t="n">
        <v>634</v>
      </c>
      <c r="C636" s="10" t="inlineStr">
        <is>
          <t>Nhân Viên Kế Toán</t>
        </is>
      </c>
      <c r="D636" s="10" t="inlineStr">
        <is>
          <t>Công Ty TNHH Thép Hòa Phát Hưng Yên</t>
        </is>
      </c>
      <c r="E636" s="10" t="inlineStr">
        <is>
          <t>Thương lượng</t>
        </is>
      </c>
      <c r="F636" s="10" t="inlineStr">
        <is>
          <t>Hà Nội</t>
        </is>
      </c>
      <c r="G636" s="10" t="inlineStr">
        <is>
          <t>Nhân viên</t>
        </is>
      </c>
      <c r="H636" s="10" t="inlineStr">
        <is>
          <t>04/02/2026</t>
        </is>
      </c>
      <c r="I636" s="10" t="inlineStr">
        <is>
          <t>21/03/2026</t>
        </is>
      </c>
      <c r="J636" s="10" t="inlineStr">
        <is>
          <t>17/03/2026</t>
        </is>
      </c>
      <c r="K636" s="10" t="inlineStr">
        <is>
          <t>N/A</t>
        </is>
      </c>
      <c r="L636" s="10" t="inlineStr">
        <is>
          <t>Kế Toán Công Nợ, Kế toán, Kiểm toán, Thanh Toán, Kế Toán Tổng Hợp</t>
        </is>
      </c>
      <c r="M636" s="10" t="inlineStr">
        <is>
          <t>Healthcare Plan, Travel Opportunities, Others</t>
        </is>
      </c>
      <c r="N636" s="11">
        <f>HYPERLINK("https://www.vietnamworks.com/nhan-vien-ke-toan--2009608-jv","Xem chi tiết")</f>
        <v/>
      </c>
      <c r="O636" s="10" t="n"/>
    </row>
    <row r="637">
      <c r="B637" s="7" t="n">
        <v>635</v>
      </c>
      <c r="C637" t="inlineStr">
        <is>
          <t>Trưởng Ban Quản Lý Dự Án</t>
        </is>
      </c>
      <c r="D637" t="inlineStr">
        <is>
          <t>Vietnamworks' Client</t>
        </is>
      </c>
      <c r="E637" t="inlineStr">
        <is>
          <t>$$ 2,000-3,000 /tháng</t>
        </is>
      </c>
      <c r="F637" t="inlineStr">
        <is>
          <t>Hà Nội</t>
        </is>
      </c>
      <c r="G637" t="inlineStr">
        <is>
          <t>Giám Đốc và Cấp Cao Hơn</t>
        </is>
      </c>
      <c r="H637" t="inlineStr">
        <is>
          <t>04/02/2026</t>
        </is>
      </c>
      <c r="I637" t="inlineStr">
        <is>
          <t>21/03/2026</t>
        </is>
      </c>
      <c r="J637" t="inlineStr">
        <is>
          <t>17/03/2026</t>
        </is>
      </c>
      <c r="K637" t="inlineStr">
        <is>
          <t>N/A</t>
        </is>
      </c>
      <c r="L637" t="inlineStr">
        <is>
          <t>Quản Lý Dự Án, Xây Dựng Dân Dụng, Giám Sát Thi Công, Quản Lý Xây Dựng, Tư Vấn Giám Sát</t>
        </is>
      </c>
      <c r="M637" t="inlineStr">
        <is>
          <t>Healthcare Plan, Training, Laptop, Team Activities, Others</t>
        </is>
      </c>
      <c r="N637" s="8">
        <f>HYPERLINK("https://www.vietnamworks.com/truong-ban-quan-ly-du-an-2009610-jv","Xem chi tiết")</f>
        <v/>
      </c>
    </row>
    <row r="638">
      <c r="B638" s="9" t="n">
        <v>636</v>
      </c>
      <c r="C638" s="10" t="inlineStr">
        <is>
          <t>IT Service Desk Specialist Chinese (Mandarin) &amp; English Speaking</t>
        </is>
      </c>
      <c r="D638" s="10" t="inlineStr">
        <is>
          <t>Wide Viet Nam CO., LTD.</t>
        </is>
      </c>
      <c r="E638" s="10" t="inlineStr">
        <is>
          <t>Thương lượng</t>
        </is>
      </c>
      <c r="F638" s="10" t="inlineStr">
        <is>
          <t>Hồ Chí Minh</t>
        </is>
      </c>
      <c r="G638" s="10" t="inlineStr">
        <is>
          <t>Nhân viên</t>
        </is>
      </c>
      <c r="H638" s="10" t="inlineStr">
        <is>
          <t>04/02/2026</t>
        </is>
      </c>
      <c r="I638" s="10" t="inlineStr">
        <is>
          <t>21/03/2026</t>
        </is>
      </c>
      <c r="J638" s="10" t="inlineStr">
        <is>
          <t>17/03/2026</t>
        </is>
      </c>
      <c r="K638" s="10" t="inlineStr">
        <is>
          <t>N/A</t>
        </is>
      </c>
      <c r="L638" s="10" t="inlineStr">
        <is>
          <t>N/A</t>
        </is>
      </c>
      <c r="M638" s="10" t="inlineStr">
        <is>
          <t>Others</t>
        </is>
      </c>
      <c r="N638" s="11">
        <f>HYPERLINK("https://www.vietnamworks.com/it-service-desk-specialist-chinese-mandarin-and-english-speaking-2009614-jv","Xem chi tiết")</f>
        <v/>
      </c>
      <c r="O638" s="10" t="n"/>
    </row>
    <row r="639">
      <c r="B639" s="7" t="n">
        <v>637</v>
      </c>
      <c r="C639" t="inlineStr">
        <is>
          <t>Kỹ Sư Giám Sát Xây Dựng</t>
        </is>
      </c>
      <c r="D639" t="inlineStr">
        <is>
          <t>Công Ty Cổ Phần Tập Đoàn BRG</t>
        </is>
      </c>
      <c r="E639" t="inlineStr">
        <is>
          <t>Thương lượng</t>
        </is>
      </c>
      <c r="F639" t="inlineStr">
        <is>
          <t>Hà Nội, Hòa Bình</t>
        </is>
      </c>
      <c r="G639" t="inlineStr">
        <is>
          <t>Nhân viên</t>
        </is>
      </c>
      <c r="H639" t="inlineStr">
        <is>
          <t>04/02/2026</t>
        </is>
      </c>
      <c r="I639" t="inlineStr">
        <is>
          <t>21/03/2026</t>
        </is>
      </c>
      <c r="J639" t="inlineStr">
        <is>
          <t>17/03/2026</t>
        </is>
      </c>
      <c r="K639" t="inlineStr">
        <is>
          <t>N/A</t>
        </is>
      </c>
      <c r="L639" t="inlineStr">
        <is>
          <t>MEP, HVAC, Giám Sát Thi Công, Giám Sát Công Trường, AutoCAD</t>
        </is>
      </c>
      <c r="M639" t="inlineStr">
        <is>
          <t>Bonus, Healthcare Plan, Travel Opportunities</t>
        </is>
      </c>
      <c r="N639" s="8">
        <f>HYPERLINK("https://www.vietnamworks.com/ky-su-giam-sat-xay-dung--2009625-jv","Xem chi tiết")</f>
        <v/>
      </c>
    </row>
    <row r="640">
      <c r="B640" s="9" t="n">
        <v>638</v>
      </c>
      <c r="C640" s="10" t="inlineStr">
        <is>
          <t>Giám Đốc Nhà Máy Cán Thép</t>
        </is>
      </c>
      <c r="D640" s="10" t="inlineStr">
        <is>
          <t>Công ty Cổ phần Sản xuất và Kinh doanh VinMetal</t>
        </is>
      </c>
      <c r="E640" s="10" t="inlineStr">
        <is>
          <t>Thương lượng</t>
        </is>
      </c>
      <c r="F640" s="10" t="inlineStr">
        <is>
          <t>Hà Tĩnh, Hà Nội</t>
        </is>
      </c>
      <c r="G640" s="10" t="inlineStr">
        <is>
          <t>Giám Đốc và Cấp Cao Hơn</t>
        </is>
      </c>
      <c r="H640" s="10" t="inlineStr">
        <is>
          <t>04/02/2026</t>
        </is>
      </c>
      <c r="I640" s="10" t="inlineStr">
        <is>
          <t>21/03/2026</t>
        </is>
      </c>
      <c r="J640" s="10" t="inlineStr">
        <is>
          <t>17/03/2026</t>
        </is>
      </c>
      <c r="K640" s="10" t="inlineStr">
        <is>
          <t>N/A</t>
        </is>
      </c>
      <c r="L640" s="10" t="inlineStr">
        <is>
          <t>Quản Trị Sản Xuất, Quản Trị Nhân Sự, Quản Trị An Toàn &amp; Rủi Ro, Quản Trị Lãnh Đạo, Phân Tích Và Tài Chính Sản Xuất</t>
        </is>
      </c>
      <c r="M640" s="10" t="inlineStr">
        <is>
          <t>Bonus, Healthcare Plan, Training</t>
        </is>
      </c>
      <c r="N640" s="11">
        <f>HYPERLINK("https://www.vietnamworks.com/giam-djoc-nha-may-can-thep-2009623-jv","Xem chi tiết")</f>
        <v/>
      </c>
      <c r="O640" s="10" t="n"/>
    </row>
    <row r="641">
      <c r="B641" s="7" t="n">
        <v>639</v>
      </c>
      <c r="C641" t="inlineStr">
        <is>
          <t>R&amp;D Operations Coordinator</t>
        </is>
      </c>
      <c r="D641" t="inlineStr">
        <is>
          <t>Pizza 4P's</t>
        </is>
      </c>
      <c r="E641" t="inlineStr">
        <is>
          <t>Thương lượng</t>
        </is>
      </c>
      <c r="F641" t="inlineStr">
        <is>
          <t>Hồ Chí Minh</t>
        </is>
      </c>
      <c r="G641" t="inlineStr">
        <is>
          <t>Nhân viên</t>
        </is>
      </c>
      <c r="H641" t="inlineStr">
        <is>
          <t>04/02/2026</t>
        </is>
      </c>
      <c r="I641" t="inlineStr">
        <is>
          <t>21/03/2026</t>
        </is>
      </c>
      <c r="J641" t="inlineStr">
        <is>
          <t>17/03/2026</t>
        </is>
      </c>
      <c r="K641" t="inlineStr">
        <is>
          <t>N/A</t>
        </is>
      </c>
      <c r="L641" t="inlineStr">
        <is>
          <t>R&amp;D Environment, Cost Management, Scm Coordination, Project Management, Multilingualism</t>
        </is>
      </c>
      <c r="M641" t="inlineStr">
        <is>
          <t>Bonus, Healthcare Plan, Vouchers</t>
        </is>
      </c>
      <c r="N641" s="8">
        <f>HYPERLINK("https://www.vietnamworks.com/randampd-operations-coordinator-2009612-jv","Xem chi tiết")</f>
        <v/>
      </c>
    </row>
    <row r="642">
      <c r="B642" s="9" t="n">
        <v>640</v>
      </c>
      <c r="C642" s="10" t="inlineStr">
        <is>
          <t>[Hot Job] Giám Đốc Kinh Doanh Dịch Vụ Điều Dưỡng (Yêu Cầu Bắt Buộc Có Kinh Nghiệm Trong Lĩnh Vực Y Tế, Điều Dưỡng)</t>
        </is>
      </c>
      <c r="D642" s="10" t="inlineStr">
        <is>
          <t>Cen Group</t>
        </is>
      </c>
      <c r="E642" s="10" t="inlineStr">
        <is>
          <t>Thương lượng</t>
        </is>
      </c>
      <c r="F642" s="10" t="inlineStr">
        <is>
          <t>Hà Nội, Phú Thọ</t>
        </is>
      </c>
      <c r="G642" s="10" t="inlineStr">
        <is>
          <t>Trưởng phòng</t>
        </is>
      </c>
      <c r="H642" s="10" t="inlineStr">
        <is>
          <t>04/02/2026</t>
        </is>
      </c>
      <c r="I642" s="10" t="inlineStr">
        <is>
          <t>21/03/2026</t>
        </is>
      </c>
      <c r="J642" s="10" t="inlineStr">
        <is>
          <t>17/03/2026</t>
        </is>
      </c>
      <c r="K642" s="10" t="inlineStr">
        <is>
          <t>N/A</t>
        </is>
      </c>
      <c r="L642" s="10" t="inlineStr">
        <is>
          <t>Kinh Doanh Dịch Vụ, Chăm Sóc Sức Khỏe, Quản Lý Đội Ngũ Kinh Doanh, Lập Kế Hoạch Kinh Doanh, Quản Lý Trải Nghiệm Khách Hàng</t>
        </is>
      </c>
      <c r="M642" s="10" t="inlineStr">
        <is>
          <t>Bonus, Healthcare Plan, Paid Leave</t>
        </is>
      </c>
      <c r="N642" s="11">
        <f>HYPERLINK("https://www.vietnamworks.com/hot-job-giam-doc-kinh-doanh-dich-vu-dieu-duong-yeu-cau-bat-buoc-co-kinh-nghiem-trong-linh-vuc-y-te-dieu-duong-2009615-jv","Xem chi tiết")</f>
        <v/>
      </c>
      <c r="O642" s="10" t="n"/>
    </row>
    <row r="643">
      <c r="B643" s="7" t="n">
        <v>641</v>
      </c>
      <c r="C643" t="inlineStr">
        <is>
          <t>Senior Sourcing Specialist – Food</t>
        </is>
      </c>
      <c r="D643" t="inlineStr">
        <is>
          <t>Công Ty TNHH Dịch Vụ Lidl &amp; Kaufland (Việt Nam)</t>
        </is>
      </c>
      <c r="E643" t="inlineStr">
        <is>
          <t>Thương lượng</t>
        </is>
      </c>
      <c r="F643" t="inlineStr">
        <is>
          <t>Hồ Chí Minh</t>
        </is>
      </c>
      <c r="G643" t="inlineStr">
        <is>
          <t>Nhân viên</t>
        </is>
      </c>
      <c r="H643" t="inlineStr">
        <is>
          <t>04/02/2026</t>
        </is>
      </c>
      <c r="I643" t="inlineStr">
        <is>
          <t>21/03/2026</t>
        </is>
      </c>
      <c r="J643" t="inlineStr">
        <is>
          <t>17/03/2026</t>
        </is>
      </c>
      <c r="K643" t="inlineStr">
        <is>
          <t>N/A</t>
        </is>
      </c>
      <c r="L643" t="inlineStr">
        <is>
          <t>Vendor Relationship Management, Sourcing Management, Project Management, Apparel Merchandising, Vendor Management</t>
        </is>
      </c>
      <c r="M643" t="inlineStr">
        <is>
          <t>Bonus, Others</t>
        </is>
      </c>
      <c r="N643" s="8">
        <f>HYPERLINK("https://www.vietnamworks.com/senior-sourcing-specialist-food-2009624-jv","Xem chi tiết")</f>
        <v/>
      </c>
    </row>
    <row r="644">
      <c r="B644" s="9" t="n">
        <v>642</v>
      </c>
      <c r="C644" s="10" t="inlineStr">
        <is>
          <t>Giám Sát Vận Hành Giao Nhận &amp; E-Commerce/ Delivery &amp; E-Commerce Operations Supervisor</t>
        </is>
      </c>
      <c r="D644" s="10" t="inlineStr">
        <is>
          <t>Công Ty TNHH Thực Phẩm Trung Minh Thành</t>
        </is>
      </c>
      <c r="E644" s="10" t="inlineStr">
        <is>
          <t>Thương lượng</t>
        </is>
      </c>
      <c r="F644" s="10" t="inlineStr">
        <is>
          <t>Hồ Chí Minh</t>
        </is>
      </c>
      <c r="G644" s="10" t="inlineStr">
        <is>
          <t>Trưởng phòng</t>
        </is>
      </c>
      <c r="H644" s="10" t="inlineStr">
        <is>
          <t>04/02/2026</t>
        </is>
      </c>
      <c r="I644" s="10" t="inlineStr">
        <is>
          <t>21/03/2026</t>
        </is>
      </c>
      <c r="J644" s="10" t="inlineStr">
        <is>
          <t>17/03/2026</t>
        </is>
      </c>
      <c r="K644" s="10" t="inlineStr">
        <is>
          <t>N/A</t>
        </is>
      </c>
      <c r="L644" s="10" t="inlineStr">
        <is>
          <t>E-commerce Management, Logistics, Team Management, Inventory Control, Pressure Handling</t>
        </is>
      </c>
      <c r="M644" s="10" t="inlineStr">
        <is>
          <t>Bonus, Paid Leave</t>
        </is>
      </c>
      <c r="N644" s="11">
        <f>HYPERLINK("https://www.vietnamworks.com/giam-sat-van-hanh-giao-nhan-and-e-commerce-delivery-and-e-commerce-operations-supervisor-2009613-jv","Xem chi tiết")</f>
        <v/>
      </c>
      <c r="O644" s="10" t="n"/>
    </row>
    <row r="645">
      <c r="B645" s="7" t="n">
        <v>643</v>
      </c>
      <c r="C645" t="inlineStr">
        <is>
          <t>Recruitment Consultant</t>
        </is>
      </c>
      <c r="D645" t="inlineStr">
        <is>
          <t>Navigos Group</t>
        </is>
      </c>
      <c r="E645" t="inlineStr">
        <is>
          <t>$$ 600-800 /tháng</t>
        </is>
      </c>
      <c r="F645" t="inlineStr">
        <is>
          <t>Hồ Chí Minh</t>
        </is>
      </c>
      <c r="G645" t="inlineStr">
        <is>
          <t>Nhân viên</t>
        </is>
      </c>
      <c r="H645" t="inlineStr">
        <is>
          <t>04/02/2026</t>
        </is>
      </c>
      <c r="I645" t="inlineStr">
        <is>
          <t>21/03/2026</t>
        </is>
      </c>
      <c r="J645" t="inlineStr">
        <is>
          <t>17/03/2026</t>
        </is>
      </c>
      <c r="K645" t="inlineStr">
        <is>
          <t>N/A</t>
        </is>
      </c>
      <c r="L645" t="inlineStr">
        <is>
          <t>Business Development, English Pronunciation, Negotiation Skills, Recruitment</t>
        </is>
      </c>
      <c r="M645" t="inlineStr">
        <is>
          <t>Healthcare Plan, Paid Leave, Travel Opportunities</t>
        </is>
      </c>
      <c r="N645" s="8">
        <f>HYPERLINK("https://www.vietnamworks.com/recruitment-consultant-2009609-jv","Xem chi tiết")</f>
        <v/>
      </c>
    </row>
    <row r="646">
      <c r="B646" s="9" t="n">
        <v>644</v>
      </c>
      <c r="C646" s="10" t="inlineStr">
        <is>
          <t>Kỹ Sư Cơ Khí (Lương Upto 20 Triệu)</t>
        </is>
      </c>
      <c r="D646" s="10" t="inlineStr">
        <is>
          <t>CTY CP TMDV THÉP HÒA PHÁT LONG AN</t>
        </is>
      </c>
      <c r="E646" s="10" t="inlineStr">
        <is>
          <t>13tr-20tr ₫/tháng</t>
        </is>
      </c>
      <c r="F646" s="10" t="inlineStr">
        <is>
          <t>Tây Ninh, Long An, Hồ Chí Minh</t>
        </is>
      </c>
      <c r="G646" s="10" t="inlineStr">
        <is>
          <t>Nhân viên</t>
        </is>
      </c>
      <c r="H646" s="10" t="inlineStr">
        <is>
          <t>04/02/2026</t>
        </is>
      </c>
      <c r="I646" s="10" t="inlineStr">
        <is>
          <t>21/03/2026</t>
        </is>
      </c>
      <c r="J646" s="10" t="inlineStr">
        <is>
          <t>17/03/2026</t>
        </is>
      </c>
      <c r="K646" s="10" t="inlineStr">
        <is>
          <t>N/A</t>
        </is>
      </c>
      <c r="L646" s="10" t="inlineStr">
        <is>
          <t>Cơ khí chế tạo máy, Cơ Khí Chính Xác, Cơ Điện Tử, Bảo Trì Công Nghiệp, Luyện Kim</t>
        </is>
      </c>
      <c r="M646" s="10" t="inlineStr">
        <is>
          <t>Bonus, Healthcare Plan, Paid Leave</t>
        </is>
      </c>
      <c r="N646" s="11">
        <f>HYPERLINK("https://www.vietnamworks.com/ky-su-co-khi-luong-upto-20-trieu-2009626-jv","Xem chi tiết")</f>
        <v/>
      </c>
      <c r="O646" s="10" t="n"/>
    </row>
    <row r="647">
      <c r="B647" s="7" t="n">
        <v>645</v>
      </c>
      <c r="C647" t="inlineStr">
        <is>
          <t>General Accountant</t>
        </is>
      </c>
      <c r="D647" t="inlineStr">
        <is>
          <t>Vietnamworks' Client</t>
        </is>
      </c>
      <c r="E647" t="inlineStr">
        <is>
          <t>Thương lượng</t>
        </is>
      </c>
      <c r="F647" t="inlineStr">
        <is>
          <t>Hồ Chí Minh</t>
        </is>
      </c>
      <c r="G647" t="inlineStr">
        <is>
          <t>Nhân viên</t>
        </is>
      </c>
      <c r="H647" t="inlineStr">
        <is>
          <t>04/02/2026</t>
        </is>
      </c>
      <c r="I647" t="inlineStr">
        <is>
          <t>21/03/2026</t>
        </is>
      </c>
      <c r="J647" t="inlineStr">
        <is>
          <t>17/03/2026</t>
        </is>
      </c>
      <c r="K647" t="inlineStr">
        <is>
          <t>N/A</t>
        </is>
      </c>
      <c r="L647" t="inlineStr">
        <is>
          <t>ACCA, Báo Cáo Tài Chính, Cash Flow Management, Project Accounting, Tax Compliance</t>
        </is>
      </c>
      <c r="M647" t="inlineStr">
        <is>
          <t>Bonus, Healthcare Plan, Others</t>
        </is>
      </c>
      <c r="N647" s="8">
        <f>HYPERLINK("https://www.vietnamworks.com/general-accountant-2009611-jv","Xem chi tiết")</f>
        <v/>
      </c>
    </row>
    <row r="648">
      <c r="B648" s="9" t="n">
        <v>646</v>
      </c>
      <c r="C648" s="10" t="inlineStr">
        <is>
          <t>Maintenance Manager</t>
        </is>
      </c>
      <c r="D648" s="10" t="inlineStr">
        <is>
          <t>Wanek Furniture CO., LTD.</t>
        </is>
      </c>
      <c r="E648" s="10" t="inlineStr">
        <is>
          <t>Thương lượng</t>
        </is>
      </c>
      <c r="F648" s="10" t="inlineStr">
        <is>
          <t>Bình Dương</t>
        </is>
      </c>
      <c r="G648" s="10" t="inlineStr">
        <is>
          <t>Trưởng phòng</t>
        </is>
      </c>
      <c r="H648" s="10" t="inlineStr">
        <is>
          <t>04/02/2026</t>
        </is>
      </c>
      <c r="I648" s="10" t="inlineStr">
        <is>
          <t>21/03/2026</t>
        </is>
      </c>
      <c r="J648" s="10" t="inlineStr">
        <is>
          <t>17/03/2026</t>
        </is>
      </c>
      <c r="K648" s="10" t="inlineStr">
        <is>
          <t>N/A</t>
        </is>
      </c>
      <c r="L648" s="10" t="inlineStr">
        <is>
          <t>CNC Machine, Electrical Systems, Leadership, Maintenance Management, Mechanical System</t>
        </is>
      </c>
      <c r="M648" s="10" t="inlineStr">
        <is>
          <t>Healthcare Plan, Paid Leave, Training, Laptop, Team Activities, Transportation, Canteen</t>
        </is>
      </c>
      <c r="N648" s="11">
        <f>HYPERLINK("https://www.vietnamworks.com/maintenance-manager-2009629-jv","Xem chi tiết")</f>
        <v/>
      </c>
      <c r="O648" s="10" t="n"/>
    </row>
    <row r="649">
      <c r="B649" s="7" t="n">
        <v>647</v>
      </c>
      <c r="C649" t="inlineStr">
        <is>
          <t>Lecturer in Multimedia Design (Vietnamese/foreigner)</t>
        </is>
      </c>
      <c r="D649" t="inlineStr">
        <is>
          <t>Đại Học FPT TP.HCM</t>
        </is>
      </c>
      <c r="E649" t="inlineStr">
        <is>
          <t>Thương lượng</t>
        </is>
      </c>
      <c r="F649" t="inlineStr">
        <is>
          <t>Hồ Chí Minh</t>
        </is>
      </c>
      <c r="G649" t="inlineStr">
        <is>
          <t>Nhân viên</t>
        </is>
      </c>
      <c r="H649" t="inlineStr">
        <is>
          <t>04/02/2026</t>
        </is>
      </c>
      <c r="I649" t="inlineStr">
        <is>
          <t>21/03/2026</t>
        </is>
      </c>
      <c r="J649" t="inlineStr">
        <is>
          <t>17/03/2026</t>
        </is>
      </c>
      <c r="K649" t="inlineStr">
        <is>
          <t>N/A</t>
        </is>
      </c>
      <c r="L649" t="inlineStr">
        <is>
          <t>Multimedia Design, Design, Digital Media, Digital Design, Animation</t>
        </is>
      </c>
      <c r="M649" t="inlineStr">
        <is>
          <t>Bonus, Healthcare Plan, Training</t>
        </is>
      </c>
      <c r="N649" s="8">
        <f>HYPERLINK("https://www.vietnamworks.com/lecturer-in-multimedia-design-vietnamese-foreigner-2009619-jv","Xem chi tiết")</f>
        <v/>
      </c>
    </row>
    <row r="650">
      <c r="B650" s="9" t="n">
        <v>648</v>
      </c>
      <c r="C650" s="10" t="inlineStr">
        <is>
          <t>Kỹ Sư Cải Tiến Điện, Tự Động Hóa (Chấp Nhận Ứng Viên Chưa Có Kinh Nghiệm)</t>
        </is>
      </c>
      <c r="D650" s="10" t="inlineStr">
        <is>
          <t>Asahi Intecc Hanoi Co., Ltd.</t>
        </is>
      </c>
      <c r="E650" s="10" t="inlineStr">
        <is>
          <t>Thương lượng</t>
        </is>
      </c>
      <c r="F650" s="10" t="inlineStr">
        <is>
          <t>Hà Nội</t>
        </is>
      </c>
      <c r="G650" s="10" t="inlineStr">
        <is>
          <t>Mới Tốt Nghiệp</t>
        </is>
      </c>
      <c r="H650" s="10" t="inlineStr">
        <is>
          <t>04/02/2026</t>
        </is>
      </c>
      <c r="I650" s="10" t="inlineStr">
        <is>
          <t>21/03/2026</t>
        </is>
      </c>
      <c r="J650" s="10" t="inlineStr">
        <is>
          <t>17/03/2026</t>
        </is>
      </c>
      <c r="K650" s="10" t="inlineStr">
        <is>
          <t>N/A</t>
        </is>
      </c>
      <c r="L650" s="10" t="inlineStr">
        <is>
          <t>Thiết Kế Tủ Điện, Lập Trình PLC, Phân Tích Lỗi, Cải Tiến Quy Trình Sản Xuất, Giao Tiếp Tiếng Anh</t>
        </is>
      </c>
      <c r="M650" s="10" t="inlineStr">
        <is>
          <t>Bonus, Healthcare Plan, Paid Leave, Training, Travel Opportunities, Team Activities, Transportation, Others</t>
        </is>
      </c>
      <c r="N650" s="11">
        <f>HYPERLINK("https://www.vietnamworks.com/ky-su-cai-tien-djien-tu-djong-hoa-chap-nhan-ung-vien-chua-co-kinh-nghiem-2009618-jv","Xem chi tiết")</f>
        <v/>
      </c>
      <c r="O650" s="10" t="n"/>
    </row>
    <row r="651">
      <c r="B651" s="7" t="n">
        <v>649</v>
      </c>
      <c r="C651" t="inlineStr">
        <is>
          <t>Chuyên Viên Mua Hàng Gia Công (Outsourcing Specialist) - (Có Xe Đưa Đón Hưng Yên - Hà Nội)</t>
        </is>
      </c>
      <c r="D651" t="inlineStr">
        <is>
          <t>ALUKO Group</t>
        </is>
      </c>
      <c r="E651" t="inlineStr">
        <is>
          <t>Thương lượng</t>
        </is>
      </c>
      <c r="F651" t="inlineStr">
        <is>
          <t>Hưng Yên, Hà Nội</t>
        </is>
      </c>
      <c r="G651" t="inlineStr">
        <is>
          <t>Nhân viên</t>
        </is>
      </c>
      <c r="H651" t="inlineStr">
        <is>
          <t>04/02/2026</t>
        </is>
      </c>
      <c r="I651" t="inlineStr">
        <is>
          <t>21/03/2026</t>
        </is>
      </c>
      <c r="J651" t="inlineStr">
        <is>
          <t>17/03/2026</t>
        </is>
      </c>
      <c r="K651" t="inlineStr">
        <is>
          <t>N/A</t>
        </is>
      </c>
      <c r="L651" t="inlineStr">
        <is>
          <t>Outsourcing Management, Excel, Gia Công Kim Loại, Mua Hàng Kỹ Thuật, Quản lý chất lượng</t>
        </is>
      </c>
      <c r="M651" t="inlineStr">
        <is>
          <t>Healthcare Plan, Paid Leave, Transportation</t>
        </is>
      </c>
      <c r="N651" s="8">
        <f>HYPERLINK("https://www.vietnamworks.com/chuyen-vien-mua-hang-gia-cong-outsourcing-specialist-co-xe-dua-don-hung-yen-ha-noi-2009628-jv","Xem chi tiết")</f>
        <v/>
      </c>
    </row>
    <row r="652">
      <c r="B652" s="9" t="n">
        <v>650</v>
      </c>
      <c r="C652" s="10" t="inlineStr">
        <is>
          <t>Nhân Viên Kinh Doanh Thiết Bị Thi Công (Sales B2B - Sales Engineer) Tại HN - Phỏng Vấn Đi Làm Ngay (Ưu Tiên)</t>
        </is>
      </c>
      <c r="D652" s="10" t="inlineStr">
        <is>
          <t>Hệ thống Công ty Nguyễn Vinh – VMPC – Nguyễn Vinh EP</t>
        </is>
      </c>
      <c r="E652" s="10" t="inlineStr">
        <is>
          <t>9tr-15tr ₫/tháng</t>
        </is>
      </c>
      <c r="F652" s="10" t="inlineStr">
        <is>
          <t>Hà Nội</t>
        </is>
      </c>
      <c r="G652" s="10" t="inlineStr">
        <is>
          <t>Nhân viên</t>
        </is>
      </c>
      <c r="H652" s="10" t="inlineStr">
        <is>
          <t>04/02/2026</t>
        </is>
      </c>
      <c r="I652" s="10" t="inlineStr">
        <is>
          <t>21/03/2026</t>
        </is>
      </c>
      <c r="J652" s="10" t="inlineStr">
        <is>
          <t>17/03/2026</t>
        </is>
      </c>
      <c r="K652" s="10" t="inlineStr">
        <is>
          <t>N/A</t>
        </is>
      </c>
      <c r="L652" s="10" t="inlineStr">
        <is>
          <t>Kinh Doanh B2B, Tư Vấn Kỹ Thuật, Đàm Phán, Phát Triển Kinh Doanh, Tìm Kiếm Khách Hàng</t>
        </is>
      </c>
      <c r="M652" s="10" t="inlineStr">
        <is>
          <t>Bonus, Healthcare Plan, Paid Leave, Training, Awards, Team Activities, Others</t>
        </is>
      </c>
      <c r="N652" s="11">
        <f>HYPERLINK("https://www.vietnamworks.com/nhan-vien-kinh-doanh-thiet-bi-thi-cong-sales-b2b-sales-engineer-tai-hn-phong-van-di-lam-ngay-uu-tien-2009620-jv","Xem chi tiết")</f>
        <v/>
      </c>
      <c r="O652" s="10" t="n"/>
    </row>
    <row r="653">
      <c r="B653" s="7" t="n">
        <v>651</v>
      </c>
      <c r="C653" t="inlineStr">
        <is>
          <t>English Teacher (Foreigner)</t>
        </is>
      </c>
      <c r="D653" t="inlineStr">
        <is>
          <t>Đại Học FPT TP.HCM</t>
        </is>
      </c>
      <c r="E653" t="inlineStr">
        <is>
          <t>$$ 950-1,160 /tháng</t>
        </is>
      </c>
      <c r="F653" t="inlineStr">
        <is>
          <t>Tây Ninh</t>
        </is>
      </c>
      <c r="G653" t="inlineStr">
        <is>
          <t>Nhân viên</t>
        </is>
      </c>
      <c r="H653" t="inlineStr">
        <is>
          <t>04/02/2026</t>
        </is>
      </c>
      <c r="I653" t="inlineStr">
        <is>
          <t>21/03/2026</t>
        </is>
      </c>
      <c r="J653" t="inlineStr">
        <is>
          <t>17/03/2026</t>
        </is>
      </c>
      <c r="K653" t="inlineStr">
        <is>
          <t>N/A</t>
        </is>
      </c>
      <c r="L653" t="inlineStr">
        <is>
          <t>English Education, Proactive Work, Teaching Experience, Teamwork, Dedication To Education</t>
        </is>
      </c>
      <c r="M653" t="inlineStr">
        <is>
          <t>Bonus, Healthcare Plan, Paid Leave, Others</t>
        </is>
      </c>
      <c r="N653" s="8">
        <f>HYPERLINK("https://www.vietnamworks.com/english-teacher-foreigner-2009641-jv","Xem chi tiết")</f>
        <v/>
      </c>
    </row>
    <row r="654">
      <c r="B654" s="9" t="n">
        <v>652</v>
      </c>
      <c r="C654" s="10" t="inlineStr">
        <is>
          <t>Chief Accountant</t>
        </is>
      </c>
      <c r="D654" s="10" t="inlineStr">
        <is>
          <t>V-PROBES HOLDINGS Co., Ltd.</t>
        </is>
      </c>
      <c r="E654" s="10" t="inlineStr">
        <is>
          <t>Thương lượng</t>
        </is>
      </c>
      <c r="F654" s="10" t="inlineStr">
        <is>
          <t>Hồ Chí Minh</t>
        </is>
      </c>
      <c r="G654" s="10" t="inlineStr">
        <is>
          <t>Giám Đốc và Cấp Cao Hơn</t>
        </is>
      </c>
      <c r="H654" s="10" t="inlineStr">
        <is>
          <t>04/02/2026</t>
        </is>
      </c>
      <c r="I654" s="10" t="inlineStr">
        <is>
          <t>21/03/2026</t>
        </is>
      </c>
      <c r="J654" s="10" t="inlineStr">
        <is>
          <t>17/03/2026</t>
        </is>
      </c>
      <c r="K654" s="10" t="inlineStr">
        <is>
          <t>N/A</t>
        </is>
      </c>
      <c r="L654" s="10" t="inlineStr">
        <is>
          <t>English, Financial Report, Financial Statement, MISA Accounting Software, Tax Declaration</t>
        </is>
      </c>
      <c r="M654" s="10" t="inlineStr">
        <is>
          <t>Bonus, Healthcare Plan, Paid Leave, Awards</t>
        </is>
      </c>
      <c r="N654" s="11">
        <f>HYPERLINK("https://www.vietnamworks.com/chief-accountant-2009634-jv","Xem chi tiết")</f>
        <v/>
      </c>
      <c r="O654" s="10" t="n"/>
    </row>
    <row r="655">
      <c r="B655" s="7" t="n">
        <v>653</v>
      </c>
      <c r="C655" t="inlineStr">
        <is>
          <t>Cán Bộ HSE ( An Toàn )</t>
        </is>
      </c>
      <c r="D655" t="inlineStr">
        <is>
          <t>CÔNG TY CỔ PHẦN TIẾN TRIỂN 9</t>
        </is>
      </c>
      <c r="E655" t="inlineStr">
        <is>
          <t>16tr-18tr ₫/tháng</t>
        </is>
      </c>
      <c r="F655" t="inlineStr">
        <is>
          <t>Ninh Bình, Nam Định, Thái Bình</t>
        </is>
      </c>
      <c r="G655" t="inlineStr">
        <is>
          <t>Nhân viên</t>
        </is>
      </c>
      <c r="H655" t="inlineStr">
        <is>
          <t>04/02/2026</t>
        </is>
      </c>
      <c r="I655" t="inlineStr">
        <is>
          <t>21/03/2026</t>
        </is>
      </c>
      <c r="J655" t="inlineStr">
        <is>
          <t>17/03/2026</t>
        </is>
      </c>
      <c r="K655" t="inlineStr">
        <is>
          <t>N/A</t>
        </is>
      </c>
      <c r="L655" t="inlineStr">
        <is>
          <t>An Toàn Lao Động, Giám Sát Kỹ Thuật, Bảo Hộ Lao Động, An Toàn Công Trường, Quản Lý An Toàn Thi Công</t>
        </is>
      </c>
      <c r="M655" t="inlineStr">
        <is>
          <t>Bonus, Healthcare Plan, Training, Travel Opportunities, Others</t>
        </is>
      </c>
      <c r="N655" s="8">
        <f>HYPERLINK("https://www.vietnamworks.com/can-bo-hse-an-toan-2009655-jv","Xem chi tiết")</f>
        <v/>
      </c>
    </row>
    <row r="656">
      <c r="B656" s="9" t="n">
        <v>654</v>
      </c>
      <c r="C656" s="10" t="inlineStr">
        <is>
          <t>Chuyên Viên Khách Hàng Doanh Nghiệp (Quận 1, Quận 11, Quận 2)</t>
        </is>
      </c>
      <c r="D656" s="10" t="inlineStr">
        <is>
          <t>Ngân Hàng TMCP Việt Nam Thương Tín (Vietbank)</t>
        </is>
      </c>
      <c r="E656" s="10" t="inlineStr">
        <is>
          <t>$$ 500-1,500 /tháng</t>
        </is>
      </c>
      <c r="F656" s="10" t="inlineStr">
        <is>
          <t>Hồ Chí Minh</t>
        </is>
      </c>
      <c r="G656" s="10" t="inlineStr">
        <is>
          <t>Nhân viên</t>
        </is>
      </c>
      <c r="H656" s="10" t="inlineStr">
        <is>
          <t>04/02/2026</t>
        </is>
      </c>
      <c r="I656" s="10" t="inlineStr">
        <is>
          <t>21/03/2026</t>
        </is>
      </c>
      <c r="J656" s="10" t="inlineStr">
        <is>
          <t>17/03/2026</t>
        </is>
      </c>
      <c r="K656" s="10" t="inlineStr">
        <is>
          <t>N/A</t>
        </is>
      </c>
      <c r="L656" s="10" t="inlineStr">
        <is>
          <t>Tín Dụng Doanh Nghiệp, Tài Chính Ngân Hàng, Quan Hệ Khách Hàng, Giao Tiếp, Bán Hàng</t>
        </is>
      </c>
      <c r="M656" s="10" t="inlineStr">
        <is>
          <t>Bonus, Healthcare Plan, Training</t>
        </is>
      </c>
      <c r="N656" s="11">
        <f>HYPERLINK("https://www.vietnamworks.com/chuyen-vien-khach-hang-doanh-nghiep-quan-1-quan-11-quan-2-2009648-jv","Xem chi tiết")</f>
        <v/>
      </c>
      <c r="O656" s="10" t="n"/>
    </row>
    <row r="657">
      <c r="B657" s="7" t="n">
        <v>655</v>
      </c>
      <c r="C657" t="inlineStr">
        <is>
          <t>Project Manager</t>
        </is>
      </c>
      <c r="D657" t="inlineStr">
        <is>
          <t>DSV - Contract Logistics</t>
        </is>
      </c>
      <c r="E657" t="inlineStr">
        <is>
          <t>Thương lượng</t>
        </is>
      </c>
      <c r="F657" t="inlineStr">
        <is>
          <t>Hồ Chí Minh</t>
        </is>
      </c>
      <c r="G657" t="inlineStr">
        <is>
          <t>Trưởng phòng</t>
        </is>
      </c>
      <c r="H657" t="inlineStr">
        <is>
          <t>04/02/2026</t>
        </is>
      </c>
      <c r="I657" t="inlineStr">
        <is>
          <t>21/03/2026</t>
        </is>
      </c>
      <c r="J657" t="inlineStr">
        <is>
          <t>17/03/2026</t>
        </is>
      </c>
      <c r="K657" t="inlineStr">
        <is>
          <t>N/A</t>
        </is>
      </c>
      <c r="L657" t="inlineStr">
        <is>
          <t>Data Analysis, Friendly Communication, Project Management, Risk Management, Stakeholder Management</t>
        </is>
      </c>
      <c r="M657" t="inlineStr">
        <is>
          <t>Bonus, Healthcare Plan, Others</t>
        </is>
      </c>
      <c r="N657" s="8">
        <f>HYPERLINK("https://www.vietnamworks.com/project-manager-2009630-jv","Xem chi tiết")</f>
        <v/>
      </c>
    </row>
    <row r="658">
      <c r="B658" s="9" t="n">
        <v>656</v>
      </c>
      <c r="C658" s="10" t="inlineStr">
        <is>
          <t>C&amp;B Executive (Middle/Senior)</t>
        </is>
      </c>
      <c r="D658" s="10" t="inlineStr">
        <is>
          <t>CyberLogitec Vietnam Co., Ltd.</t>
        </is>
      </c>
      <c r="E658" s="10" t="inlineStr">
        <is>
          <t>Thương lượng</t>
        </is>
      </c>
      <c r="F658" s="10" t="inlineStr">
        <is>
          <t>Hồ Chí Minh</t>
        </is>
      </c>
      <c r="G658" s="10" t="inlineStr">
        <is>
          <t>Nhân viên</t>
        </is>
      </c>
      <c r="H658" s="10" t="inlineStr">
        <is>
          <t>04/02/2026</t>
        </is>
      </c>
      <c r="I658" s="10" t="inlineStr">
        <is>
          <t>21/03/2026</t>
        </is>
      </c>
      <c r="J658" s="10" t="inlineStr">
        <is>
          <t>17/03/2026</t>
        </is>
      </c>
      <c r="K658" s="10" t="inlineStr">
        <is>
          <t>N/A</t>
        </is>
      </c>
      <c r="L658" s="10" t="inlineStr">
        <is>
          <t>C&amp;B, English, Excel, Labor Code, Personal Income Tax</t>
        </is>
      </c>
      <c r="M658" s="10" t="inlineStr">
        <is>
          <t>Bonus, Healthcare Plan, Travel Opportunities, Team Activities, Others</t>
        </is>
      </c>
      <c r="N658" s="11">
        <f>HYPERLINK("https://www.vietnamworks.com/candb-executive-middlesenior-2009635-jv","Xem chi tiết")</f>
        <v/>
      </c>
      <c r="O658" s="10" t="n"/>
    </row>
    <row r="659">
      <c r="B659" s="7" t="n">
        <v>657</v>
      </c>
      <c r="C659" t="inlineStr">
        <is>
          <t>Kỹ Sư Điện Tự Động Hóa (Làm Việc Tại Hưng Yên, Không Yc Kinh Nghiệm, 12-20Tr)</t>
        </is>
      </c>
      <c r="D659" t="inlineStr">
        <is>
          <t>Công Ty TNHH Thép Hòa Phát Hưng Yên</t>
        </is>
      </c>
      <c r="E659" t="inlineStr">
        <is>
          <t>$$ 500-1,000 /tháng</t>
        </is>
      </c>
      <c r="F659" t="inlineStr">
        <is>
          <t>Ninh Bình, Bắc Ninh, Hà Nội</t>
        </is>
      </c>
      <c r="G659" t="inlineStr">
        <is>
          <t>Nhân viên</t>
        </is>
      </c>
      <c r="H659" t="inlineStr">
        <is>
          <t>04/02/2026</t>
        </is>
      </c>
      <c r="I659" t="inlineStr">
        <is>
          <t>21/03/2026</t>
        </is>
      </c>
      <c r="J659" t="inlineStr">
        <is>
          <t>17/03/2026</t>
        </is>
      </c>
      <c r="K659" t="inlineStr">
        <is>
          <t>N/A</t>
        </is>
      </c>
      <c r="L659" t="inlineStr">
        <is>
          <t>Điện Công Nghiệp, Điện, Tự Động Hóa, Điện điện tử, Điện Dân Dụng</t>
        </is>
      </c>
      <c r="M659" t="inlineStr">
        <is>
          <t>Healthcare Plan, Travel Opportunities, Others</t>
        </is>
      </c>
      <c r="N659" s="8">
        <f>HYPERLINK("https://www.vietnamworks.com/ky-su-dien-tu-dong-hoa-lam-viec-tai-hung-yen-khong-yc-kinh-nghiem-12-20tr--2009643-jv","Xem chi tiết")</f>
        <v/>
      </c>
    </row>
    <row r="660">
      <c r="B660" s="9" t="n">
        <v>658</v>
      </c>
      <c r="C660" s="10" t="inlineStr">
        <is>
          <t>Nhân Viên Quan Hệ Khách Hàng (Có Kinh Nghiệm)</t>
        </is>
      </c>
      <c r="D660" s="10" t="inlineStr">
        <is>
          <t>CÔNG TY TNHH MỘT THÀNH VIÊN CHO THUÊ TÀI CHÍNH NGÂN HÀNG SÀI GÒN THƯƠNG TÍN-CHI NHÁNH ĐÀ NẴNG</t>
        </is>
      </c>
      <c r="E660" s="10" t="inlineStr">
        <is>
          <t>15tr-30tr ₫/tháng</t>
        </is>
      </c>
      <c r="F660" s="10" t="inlineStr">
        <is>
          <t>Đà Nẵng</t>
        </is>
      </c>
      <c r="G660" s="10" t="inlineStr">
        <is>
          <t>Nhân viên</t>
        </is>
      </c>
      <c r="H660" s="10" t="inlineStr">
        <is>
          <t>04/02/2026</t>
        </is>
      </c>
      <c r="I660" s="10" t="inlineStr">
        <is>
          <t>21/03/2026</t>
        </is>
      </c>
      <c r="J660" s="10" t="inlineStr">
        <is>
          <t>17/03/2026</t>
        </is>
      </c>
      <c r="K660" s="10" t="inlineStr">
        <is>
          <t>N/A</t>
        </is>
      </c>
      <c r="L660" s="10" t="inlineStr">
        <is>
          <t>Phát Triển Khách Hàng, Đánh Giá Thị Trường, Tài Chính, Thẩm Định Hồ Sơ, Tư Vấn Dịch Vụ</t>
        </is>
      </c>
      <c r="M660" s="10" t="inlineStr">
        <is>
          <t>Bonus, Healthcare Plan, Travel Opportunities, Transportation</t>
        </is>
      </c>
      <c r="N660" s="11">
        <f>HYPERLINK("https://www.vietnamworks.com/nhan-vien-quan-he-khach-hang-co-kinh-nghiem-2009633-jv","Xem chi tiết")</f>
        <v/>
      </c>
      <c r="O660" s="10" t="n"/>
    </row>
    <row r="661">
      <c r="B661" s="7" t="n">
        <v>659</v>
      </c>
      <c r="C661" t="inlineStr">
        <is>
          <t>Financial Controller (Costing Specialist)</t>
        </is>
      </c>
      <c r="D661" t="inlineStr">
        <is>
          <t>Công Ty TNHH Framas Việt Nam</t>
        </is>
      </c>
      <c r="E661" t="inlineStr">
        <is>
          <t>Thương lượng</t>
        </is>
      </c>
      <c r="F661" t="inlineStr">
        <is>
          <t>Bình Dương</t>
        </is>
      </c>
      <c r="G661" t="inlineStr">
        <is>
          <t>Nhân viên</t>
        </is>
      </c>
      <c r="H661" t="inlineStr">
        <is>
          <t>04/02/2026</t>
        </is>
      </c>
      <c r="I661" t="inlineStr">
        <is>
          <t>21/03/2026</t>
        </is>
      </c>
      <c r="J661" t="inlineStr">
        <is>
          <t>17/03/2026</t>
        </is>
      </c>
      <c r="K661" t="inlineStr">
        <is>
          <t>N/A</t>
        </is>
      </c>
      <c r="L661" t="inlineStr">
        <is>
          <t>Financial Analysis, Costing, Interpersonal skills, Financial Audit, Financial Control</t>
        </is>
      </c>
      <c r="M661" t="inlineStr">
        <is>
          <t>Bonus, Healthcare Plan, Training, Transportation, Others</t>
        </is>
      </c>
      <c r="N661" s="8">
        <f>HYPERLINK("https://www.vietnamworks.com/financial-controller-costing-specialist-2009638-jv","Xem chi tiết")</f>
        <v/>
      </c>
    </row>
    <row r="662">
      <c r="B662" s="9" t="n">
        <v>660</v>
      </c>
      <c r="C662" s="10" t="inlineStr">
        <is>
          <t>Sales Shipping Line</t>
        </is>
      </c>
      <c r="D662" s="10" t="inlineStr">
        <is>
          <t>OOCL (Vietnam) Co.,ltd</t>
        </is>
      </c>
      <c r="E662" s="10" t="inlineStr">
        <is>
          <t>Thương lượng</t>
        </is>
      </c>
      <c r="F662" s="10" t="inlineStr">
        <is>
          <t>Hồ Chí Minh</t>
        </is>
      </c>
      <c r="G662" s="10" t="inlineStr">
        <is>
          <t>Nhân viên</t>
        </is>
      </c>
      <c r="H662" s="10" t="inlineStr">
        <is>
          <t>04/02/2026</t>
        </is>
      </c>
      <c r="I662" s="10" t="inlineStr">
        <is>
          <t>21/03/2026</t>
        </is>
      </c>
      <c r="J662" s="10" t="inlineStr">
        <is>
          <t>17/03/2026</t>
        </is>
      </c>
      <c r="K662" s="10" t="inlineStr">
        <is>
          <t>N/A</t>
        </is>
      </c>
      <c r="L662" s="10" t="inlineStr">
        <is>
          <t>Chinese, English, Sales Logistics, Sales xuất khẩu, Shipping Lines</t>
        </is>
      </c>
      <c r="M662" s="10" t="inlineStr">
        <is>
          <t>Bonus, Healthcare Plan, Team Activities</t>
        </is>
      </c>
      <c r="N662" s="11">
        <f>HYPERLINK("https://www.vietnamworks.com/sales-shipping-line-2009631-jv","Xem chi tiết")</f>
        <v/>
      </c>
      <c r="O662" s="10" t="n"/>
    </row>
    <row r="663">
      <c r="B663" s="7" t="n">
        <v>661</v>
      </c>
      <c r="C663" t="inlineStr">
        <is>
          <t>[Hưng Yên] 05 Kỹ Sư Tự Động Hóa Plc, Hmi, C# (Nghỉ Thứ 7 và Chủ Nhật)</t>
        </is>
      </c>
      <c r="D663" t="inlineStr">
        <is>
          <t>Mektec Manufacturing Corporation (Vietnam) Ltd.</t>
        </is>
      </c>
      <c r="E663" t="inlineStr">
        <is>
          <t>$$ 630-850 /tháng</t>
        </is>
      </c>
      <c r="F663" t="inlineStr">
        <is>
          <t>Hưng Yên, Hà Nội, Hải Dương</t>
        </is>
      </c>
      <c r="G663" t="inlineStr">
        <is>
          <t>Nhân viên</t>
        </is>
      </c>
      <c r="H663" t="inlineStr">
        <is>
          <t>04/02/2026</t>
        </is>
      </c>
      <c r="I663" t="inlineStr">
        <is>
          <t>21/03/2026</t>
        </is>
      </c>
      <c r="J663" t="inlineStr">
        <is>
          <t>17/03/2026</t>
        </is>
      </c>
      <c r="K663" t="inlineStr">
        <is>
          <t>N/A</t>
        </is>
      </c>
      <c r="L663" t="inlineStr">
        <is>
          <t>PLC, HMI, C#, Japanese</t>
        </is>
      </c>
      <c r="M663" t="inlineStr">
        <is>
          <t>Bonus</t>
        </is>
      </c>
      <c r="N663" s="8">
        <f>HYPERLINK("https://www.vietnamworks.com/hung-yen-05-ky-su-tu-dong-hoa-plc-hmi-c-sharp-nghi-thu-7-va-chu-nhat-2009645-jv","Xem chi tiết")</f>
        <v/>
      </c>
    </row>
    <row r="664">
      <c r="B664" s="9" t="n">
        <v>662</v>
      </c>
      <c r="C664" s="10" t="inlineStr">
        <is>
          <t>Kỹ Sư Xây Dựng (Chỉ Huy Trưởng/ Kỹ Thuật Hiện Trường/ Trắc Đạc; QS / QA / Qc; Kỹ Thuật)</t>
        </is>
      </c>
      <c r="D664" s="10" t="inlineStr">
        <is>
          <t>CÔNG TY CỔ PHẦN TIẾN TRIỂN 9</t>
        </is>
      </c>
      <c r="E664" s="10" t="inlineStr">
        <is>
          <t>Tới 28tr ₫/tháng</t>
        </is>
      </c>
      <c r="F664" s="10" t="inlineStr">
        <is>
          <t>Ninh Bình, Nam Định, Thái Bình</t>
        </is>
      </c>
      <c r="G664" s="10" t="inlineStr">
        <is>
          <t>Nhân viên</t>
        </is>
      </c>
      <c r="H664" s="10" t="inlineStr">
        <is>
          <t>04/02/2026</t>
        </is>
      </c>
      <c r="I664" s="10" t="inlineStr">
        <is>
          <t>21/03/2026</t>
        </is>
      </c>
      <c r="J664" s="10" t="inlineStr">
        <is>
          <t>17/03/2026</t>
        </is>
      </c>
      <c r="K664" s="10" t="inlineStr">
        <is>
          <t>N/A</t>
        </is>
      </c>
      <c r="L664" s="10" t="inlineStr">
        <is>
          <t>Kỹ Thuật Xây Dựng, Kỹ Thuật Hiện Trường, QS, Quản Lý Công Trường, Trắc Đạc</t>
        </is>
      </c>
      <c r="M664" s="10" t="inlineStr">
        <is>
          <t>Bonus, Healthcare Plan, Others</t>
        </is>
      </c>
      <c r="N664" s="11">
        <f>HYPERLINK("https://www.vietnamworks.com/ky-su-xay-dung-chi-huy-truong-ky-thuat-hien-truong-trac-djac-qs-qa-qc-ky-thuat-2009647-jv","Xem chi tiết")</f>
        <v/>
      </c>
      <c r="O664" s="10" t="n"/>
    </row>
    <row r="665">
      <c r="B665" s="7" t="n">
        <v>663</v>
      </c>
      <c r="C665" t="inlineStr">
        <is>
          <t>C&amp;B Staff (Contract 11 Months)</t>
        </is>
      </c>
      <c r="D665" t="inlineStr">
        <is>
          <t>Công Ty TNHH Kintetsu World Express Việt Nam</t>
        </is>
      </c>
      <c r="E665" t="inlineStr">
        <is>
          <t>Thương lượng</t>
        </is>
      </c>
      <c r="F665" t="inlineStr">
        <is>
          <t>Hồ Chí Minh</t>
        </is>
      </c>
      <c r="G665" t="inlineStr">
        <is>
          <t>Nhân viên</t>
        </is>
      </c>
      <c r="H665" t="inlineStr">
        <is>
          <t>04/02/2026</t>
        </is>
      </c>
      <c r="I665" t="inlineStr">
        <is>
          <t>21/03/2026</t>
        </is>
      </c>
      <c r="J665" t="inlineStr">
        <is>
          <t>17/03/2026</t>
        </is>
      </c>
      <c r="K665" t="inlineStr">
        <is>
          <t>N/A</t>
        </is>
      </c>
      <c r="L665" t="inlineStr">
        <is>
          <t>Total Rewards, Compensation &amp; Benefits Management, HR, English, HR Operations</t>
        </is>
      </c>
      <c r="M665" t="inlineStr">
        <is>
          <t>Bonus, Healthcare Plan, Others</t>
        </is>
      </c>
      <c r="N665" s="8">
        <f>HYPERLINK("https://www.vietnamworks.com/c-b-staff-contract-11-months-2009649-jv","Xem chi tiết")</f>
        <v/>
      </c>
    </row>
    <row r="666">
      <c r="B666" s="9" t="n">
        <v>664</v>
      </c>
      <c r="C666" s="10" t="inlineStr">
        <is>
          <t>[NovaDreams] Chuyên viên cao cấp Sản xuất Hình ảnh</t>
        </is>
      </c>
      <c r="D666" s="10" t="inlineStr">
        <is>
          <t>Công Ty Cổ Phần Tổng Công Ty Nova Service</t>
        </is>
      </c>
      <c r="E666" s="10" t="inlineStr">
        <is>
          <t>Thương lượng</t>
        </is>
      </c>
      <c r="F666" s="10" t="inlineStr">
        <is>
          <t>Hồ Chí Minh</t>
        </is>
      </c>
      <c r="G666" s="10" t="inlineStr">
        <is>
          <t>Nhân viên</t>
        </is>
      </c>
      <c r="H666" s="10" t="inlineStr">
        <is>
          <t>04/02/2026</t>
        </is>
      </c>
      <c r="I666" s="10" t="inlineStr">
        <is>
          <t>21/03/2026</t>
        </is>
      </c>
      <c r="J666" s="10" t="inlineStr">
        <is>
          <t>17/03/2026</t>
        </is>
      </c>
      <c r="K666" s="10" t="inlineStr">
        <is>
          <t>N/A</t>
        </is>
      </c>
      <c r="L666" s="10" t="inlineStr">
        <is>
          <t>Digital Marketing, Giám Sát Chất Lượng, Giao Tiếp, Quản Lý Dự Án, Thiết Kế Đồ Họa</t>
        </is>
      </c>
      <c r="M666" s="10" t="inlineStr">
        <is>
          <t>Bonus, Healthcare Plan, Vouchers, Others</t>
        </is>
      </c>
      <c r="N666" s="11">
        <f>HYPERLINK("https://www.vietnamworks.com/novadreams-chuyen-vien-cao-cap-san-xuat-hinh-anh-2009642-jv","Xem chi tiết")</f>
        <v/>
      </c>
      <c r="O666" s="10" t="n"/>
    </row>
    <row r="667">
      <c r="B667" s="7" t="n">
        <v>665</v>
      </c>
      <c r="C667" t="inlineStr">
        <is>
          <t>Chuyên Viên Chính Dự Toán Ngân Sách</t>
        </is>
      </c>
      <c r="D667" t="inlineStr">
        <is>
          <t>Công Ty Cổ Phần Tập Đoàn BRG</t>
        </is>
      </c>
      <c r="E667" t="inlineStr">
        <is>
          <t>Thương lượng</t>
        </is>
      </c>
      <c r="F667" t="inlineStr">
        <is>
          <t>Hà Nội</t>
        </is>
      </c>
      <c r="G667" t="inlineStr">
        <is>
          <t>Nhân viên</t>
        </is>
      </c>
      <c r="H667" t="inlineStr">
        <is>
          <t>04/02/2026</t>
        </is>
      </c>
      <c r="I667" t="inlineStr">
        <is>
          <t>21/03/2026</t>
        </is>
      </c>
      <c r="J667" t="inlineStr">
        <is>
          <t>17/03/2026</t>
        </is>
      </c>
      <c r="K667" t="inlineStr">
        <is>
          <t>N/A</t>
        </is>
      </c>
      <c r="L667" t="inlineStr">
        <is>
          <t>Xây Dựng, Dự Toán Ngân Sách, Dự Toán, Thẩm Tra Dự Toán, Kinh Tế Xây Dựng</t>
        </is>
      </c>
      <c r="M667" t="inlineStr">
        <is>
          <t>Bonus, Healthcare Plan, Travel Opportunities</t>
        </is>
      </c>
      <c r="N667" s="8">
        <f>HYPERLINK("https://www.vietnamworks.com/chuyen-vien-chinh-du-toan-ngan-sach--2009654-jv","Xem chi tiết")</f>
        <v/>
      </c>
    </row>
    <row r="668">
      <c r="B668" s="9" t="n">
        <v>666</v>
      </c>
      <c r="C668" s="10" t="inlineStr">
        <is>
          <t>Sales Supervisor – DA NANG</t>
        </is>
      </c>
      <c r="D668" s="10" t="inlineStr">
        <is>
          <t>Công Ty TNHH Cuckoovina</t>
        </is>
      </c>
      <c r="E668" s="10" t="inlineStr">
        <is>
          <t>Thương lượng</t>
        </is>
      </c>
      <c r="F668" s="10" t="inlineStr">
        <is>
          <t>Đà Nẵng</t>
        </is>
      </c>
      <c r="G668" s="10" t="inlineStr">
        <is>
          <t>Nhân viên</t>
        </is>
      </c>
      <c r="H668" s="10" t="inlineStr">
        <is>
          <t>04/02/2026</t>
        </is>
      </c>
      <c r="I668" s="10" t="inlineStr">
        <is>
          <t>21/03/2026</t>
        </is>
      </c>
      <c r="J668" s="10" t="inlineStr">
        <is>
          <t>17/03/2026</t>
        </is>
      </c>
      <c r="K668" s="10" t="inlineStr">
        <is>
          <t>N/A</t>
        </is>
      </c>
      <c r="L668" s="10" t="inlineStr">
        <is>
          <t>Xây Dựng Mối Quan Hệ, Kinh Doanh Gia Dụng, Kênh Gt, Kinh Doanh, Sale</t>
        </is>
      </c>
      <c r="M668" s="10" t="inlineStr">
        <is>
          <t>Healthcare Plan, Training, Others</t>
        </is>
      </c>
      <c r="N668" s="11">
        <f>HYPERLINK("https://www.vietnamworks.com/sales-supervisor-da-nang-2009653-jv","Xem chi tiết")</f>
        <v/>
      </c>
      <c r="O668" s="10" t="n"/>
    </row>
    <row r="669">
      <c r="B669" s="7" t="n">
        <v>667</v>
      </c>
      <c r="C669" t="inlineStr">
        <is>
          <t>Quản Lý Kỹ Thuật Sản Xuất Cấp Cao (1800$ - 6000$) Tại Hưng Yên, Long An</t>
        </is>
      </c>
      <c r="D669" t="inlineStr">
        <is>
          <t>Vietnamworks' Client</t>
        </is>
      </c>
      <c r="E669" t="inlineStr">
        <is>
          <t>$$ 1,800-6,000 /tháng</t>
        </is>
      </c>
      <c r="F669" t="inlineStr">
        <is>
          <t>Hà Nội, Hưng Yên, Long An</t>
        </is>
      </c>
      <c r="G669" t="inlineStr">
        <is>
          <t>Giám Đốc và Cấp Cao Hơn</t>
        </is>
      </c>
      <c r="H669" t="inlineStr">
        <is>
          <t>04/02/2026</t>
        </is>
      </c>
      <c r="I669" t="inlineStr">
        <is>
          <t>21/03/2026</t>
        </is>
      </c>
      <c r="J669" t="inlineStr">
        <is>
          <t>17/03/2026</t>
        </is>
      </c>
      <c r="K669" t="inlineStr">
        <is>
          <t>N/A</t>
        </is>
      </c>
      <c r="L669" t="inlineStr">
        <is>
          <t>4M Management, Technical, Production, Quality Management, Engineering</t>
        </is>
      </c>
      <c r="M669" t="inlineStr">
        <is>
          <t>Bonus, Healthcare Plan, Laptop</t>
        </is>
      </c>
      <c r="N669" s="8">
        <f>HYPERLINK("https://www.vietnamworks.com/quan-ly-ky-thuat-san-xuat-cap-cao-1800-6000-tai-hung-yen-long-an--2009646-jv","Xem chi tiết")</f>
        <v/>
      </c>
    </row>
    <row r="670">
      <c r="B670" s="9" t="n">
        <v>668</v>
      </c>
      <c r="C670" s="10" t="inlineStr">
        <is>
          <t>Project Developer</t>
        </is>
      </c>
      <c r="D670" s="10" t="inlineStr">
        <is>
          <t>Công Ty TNHH Framas Việt Nam</t>
        </is>
      </c>
      <c r="E670" s="10" t="inlineStr">
        <is>
          <t>Thương lượng</t>
        </is>
      </c>
      <c r="F670" s="10" t="inlineStr">
        <is>
          <t>Bình Dương</t>
        </is>
      </c>
      <c r="G670" s="10" t="inlineStr">
        <is>
          <t>Nhân viên</t>
        </is>
      </c>
      <c r="H670" s="10" t="inlineStr">
        <is>
          <t>04/02/2026</t>
        </is>
      </c>
      <c r="I670" s="10" t="inlineStr">
        <is>
          <t>21/03/2026</t>
        </is>
      </c>
      <c r="J670" s="10" t="inlineStr">
        <is>
          <t>17/03/2026</t>
        </is>
      </c>
      <c r="K670" s="10" t="inlineStr">
        <is>
          <t>N/A</t>
        </is>
      </c>
      <c r="L670" s="10" t="inlineStr">
        <is>
          <t>Project Management, Footwear Industry, Microsoft Office, Problem-solving, Effective Communication</t>
        </is>
      </c>
      <c r="M670" s="10" t="inlineStr">
        <is>
          <t>Bonus, Healthcare Plan, Transportation</t>
        </is>
      </c>
      <c r="N670" s="11">
        <f>HYPERLINK("https://www.vietnamworks.com/project-developer-2009637-jv","Xem chi tiết")</f>
        <v/>
      </c>
      <c r="O670" s="10" t="n"/>
    </row>
    <row r="671">
      <c r="B671" s="7" t="n">
        <v>669</v>
      </c>
      <c r="C671" t="inlineStr">
        <is>
          <t>Kỹ Sư Phòng Quản Lý Chất Lượng</t>
        </is>
      </c>
      <c r="D671" t="inlineStr">
        <is>
          <t>Công ty TNHH khuôn đúc Tsukuba Việt Nam</t>
        </is>
      </c>
      <c r="E671" t="inlineStr">
        <is>
          <t>Thương lượng</t>
        </is>
      </c>
      <c r="F671" t="inlineStr">
        <is>
          <t>Hưng Yên</t>
        </is>
      </c>
      <c r="G671" t="inlineStr">
        <is>
          <t>Nhân viên</t>
        </is>
      </c>
      <c r="H671" t="inlineStr">
        <is>
          <t>04/02/2026</t>
        </is>
      </c>
      <c r="I671" t="inlineStr">
        <is>
          <t>21/03/2026</t>
        </is>
      </c>
      <c r="J671" t="inlineStr">
        <is>
          <t>17/03/2026</t>
        </is>
      </c>
      <c r="K671" t="inlineStr">
        <is>
          <t>N/A</t>
        </is>
      </c>
      <c r="L671" t="inlineStr">
        <is>
          <t>Kỹ Thuật Cơ Khí, AutoCAD, SolidWorks, Đọc Bản Vẽ Kỹ Thuật, ham học hỏi</t>
        </is>
      </c>
      <c r="M671" t="inlineStr">
        <is>
          <t>Bonus, Healthcare Plan, Paid Leave, Training, Transportation, Others</t>
        </is>
      </c>
      <c r="N671" s="8">
        <f>HYPERLINK("https://www.vietnamworks.com/ky-su-phong-quan-ly-chat-luong-2009656-jv","Xem chi tiết")</f>
        <v/>
      </c>
    </row>
    <row r="672">
      <c r="B672" s="9" t="n">
        <v>670</v>
      </c>
      <c r="C672" s="10" t="inlineStr">
        <is>
          <t>Chuyên Viên Vận Hành Máy Chủ và Nền Tảng</t>
        </is>
      </c>
      <c r="D672" s="10" t="inlineStr">
        <is>
          <t>Ngân Hàng TMCP Việt Nam Thương Tín (Vietbank)</t>
        </is>
      </c>
      <c r="E672" s="10" t="inlineStr">
        <is>
          <t>$$ 500-800 /tháng</t>
        </is>
      </c>
      <c r="F672" s="10" t="inlineStr">
        <is>
          <t>Hồ Chí Minh</t>
        </is>
      </c>
      <c r="G672" s="10" t="inlineStr">
        <is>
          <t>Nhân viên</t>
        </is>
      </c>
      <c r="H672" s="10" t="inlineStr">
        <is>
          <t>04/02/2026</t>
        </is>
      </c>
      <c r="I672" s="10" t="inlineStr">
        <is>
          <t>21/03/2026</t>
        </is>
      </c>
      <c r="J672" s="10" t="inlineStr">
        <is>
          <t>17/03/2026</t>
        </is>
      </c>
      <c r="K672" s="10" t="inlineStr">
        <is>
          <t>N/A</t>
        </is>
      </c>
      <c r="L672" s="10" t="inlineStr">
        <is>
          <t>ServerSQL, Storage Software, Corebanking, Helpdesk Management, Bank</t>
        </is>
      </c>
      <c r="M672" s="10" t="inlineStr">
        <is>
          <t>Bonus, Healthcare Plan, Training</t>
        </is>
      </c>
      <c r="N672" s="11">
        <f>HYPERLINK("https://www.vietnamworks.com/chuyen-vien-van-hanh-may-chu-va-nen-tang-2009636-jv","Xem chi tiết")</f>
        <v/>
      </c>
      <c r="O672" s="10" t="n"/>
    </row>
    <row r="673">
      <c r="B673" s="7" t="n">
        <v>671</v>
      </c>
      <c r="C673" t="inlineStr">
        <is>
          <t>Senior Business Compliance Executive</t>
        </is>
      </c>
      <c r="D673" t="inlineStr">
        <is>
          <t>NEYU</t>
        </is>
      </c>
      <c r="E673" t="inlineStr">
        <is>
          <t>Thương lượng</t>
        </is>
      </c>
      <c r="F673" t="inlineStr">
        <is>
          <t>Hà Nội</t>
        </is>
      </c>
      <c r="G673" t="inlineStr">
        <is>
          <t>Nhân viên</t>
        </is>
      </c>
      <c r="H673" t="inlineStr">
        <is>
          <t>04/02/2026</t>
        </is>
      </c>
      <c r="I673" t="inlineStr">
        <is>
          <t>21/03/2026</t>
        </is>
      </c>
      <c r="J673" t="inlineStr">
        <is>
          <t>17/03/2026</t>
        </is>
      </c>
      <c r="K673" t="inlineStr">
        <is>
          <t>N/A</t>
        </is>
      </c>
      <c r="L673" t="inlineStr">
        <is>
          <t>Business Compliance, Compliance Standards, Legal &amp; Law, Risk Management</t>
        </is>
      </c>
      <c r="M673" t="inlineStr">
        <is>
          <t>Bonus, Healthcare Plan, Team Activities, Others</t>
        </is>
      </c>
      <c r="N673" s="8">
        <f>HYPERLINK("https://www.vietnamworks.com/senior-business-compliance-executive-2009675-jv","Xem chi tiết")</f>
        <v/>
      </c>
    </row>
    <row r="674">
      <c r="B674" s="9" t="n">
        <v>672</v>
      </c>
      <c r="C674" s="10" t="inlineStr">
        <is>
          <t>[Hà Nội] CV/CVC/CVCC Kiểm Thử</t>
        </is>
      </c>
      <c r="D674" s="10" t="inlineStr">
        <is>
          <t>Ngân hàng Lộc Phát Việt Nam LPBank</t>
        </is>
      </c>
      <c r="E674" s="10" t="inlineStr">
        <is>
          <t>Thương lượng</t>
        </is>
      </c>
      <c r="F674" s="10" t="inlineStr">
        <is>
          <t>Hà Nội</t>
        </is>
      </c>
      <c r="G674" s="10" t="inlineStr">
        <is>
          <t>Nhân viên</t>
        </is>
      </c>
      <c r="H674" s="10" t="inlineStr">
        <is>
          <t>04/02/2026</t>
        </is>
      </c>
      <c r="I674" s="10" t="inlineStr">
        <is>
          <t>21/03/2026</t>
        </is>
      </c>
      <c r="J674" s="10" t="inlineStr">
        <is>
          <t>17/03/2026</t>
        </is>
      </c>
      <c r="K674" s="10" t="inlineStr">
        <is>
          <t>N/A</t>
        </is>
      </c>
      <c r="L674" s="10" t="inlineStr">
        <is>
          <t>Automation Testing, Kiểm Thử Phần Mềm, Manual Testing</t>
        </is>
      </c>
      <c r="M674" s="10" t="inlineStr">
        <is>
          <t>Bonus, Healthcare Plan, Paid Leave, Training, Travel Opportunities, Others</t>
        </is>
      </c>
      <c r="N674" s="11">
        <f>HYPERLINK("https://www.vietnamworks.com/ha-noi-cvcvccvcc-kiem-thu-2009663-jv","Xem chi tiết")</f>
        <v/>
      </c>
      <c r="O674" s="10" t="n"/>
    </row>
    <row r="675">
      <c r="B675" s="7" t="n">
        <v>673</v>
      </c>
      <c r="C675" t="inlineStr">
        <is>
          <t>Senior Financial Accountant (US Market Experience - CPA Preferred)</t>
        </is>
      </c>
      <c r="D675" t="inlineStr">
        <is>
          <t>Trusting Social</t>
        </is>
      </c>
      <c r="E675" t="inlineStr">
        <is>
          <t>Thương lượng</t>
        </is>
      </c>
      <c r="F675" t="inlineStr">
        <is>
          <t>Hồ Chí Minh</t>
        </is>
      </c>
      <c r="G675" t="inlineStr">
        <is>
          <t>Nhân viên</t>
        </is>
      </c>
      <c r="H675" t="inlineStr">
        <is>
          <t>04/02/2026</t>
        </is>
      </c>
      <c r="I675" t="inlineStr">
        <is>
          <t>21/03/2026</t>
        </is>
      </c>
      <c r="J675" t="inlineStr">
        <is>
          <t>17/03/2026</t>
        </is>
      </c>
      <c r="K675" t="inlineStr">
        <is>
          <t>N/A</t>
        </is>
      </c>
      <c r="L675" t="inlineStr">
        <is>
          <t>English proficiency, Negotiation, Excel, ERP, Accounting finance</t>
        </is>
      </c>
      <c r="M675" t="inlineStr">
        <is>
          <t>Healthcare Plan, Canteen, Others</t>
        </is>
      </c>
      <c r="N675" s="8">
        <f>HYPERLINK("https://www.vietnamworks.com/senior-financial-accountant-us-market-experience-cpa-preferred-2009660-jv","Xem chi tiết")</f>
        <v/>
      </c>
    </row>
    <row r="676">
      <c r="B676" s="9" t="n">
        <v>674</v>
      </c>
      <c r="C676" s="10" t="inlineStr">
        <is>
          <t>People Coe Senior Specialist</t>
        </is>
      </c>
      <c r="D676" s="10" t="inlineStr">
        <is>
          <t>Samsung Vina Electronics (savina-s)</t>
        </is>
      </c>
      <c r="E676" s="10" t="inlineStr">
        <is>
          <t>Thương lượng</t>
        </is>
      </c>
      <c r="F676" s="10" t="inlineStr">
        <is>
          <t>Hồ Chí Minh</t>
        </is>
      </c>
      <c r="G676" s="10" t="inlineStr">
        <is>
          <t>Nhân viên</t>
        </is>
      </c>
      <c r="H676" s="10" t="inlineStr">
        <is>
          <t>04/02/2026</t>
        </is>
      </c>
      <c r="I676" s="10" t="inlineStr">
        <is>
          <t>21/03/2026</t>
        </is>
      </c>
      <c r="J676" s="10" t="inlineStr">
        <is>
          <t>17/03/2026</t>
        </is>
      </c>
      <c r="K676" s="10" t="inlineStr">
        <is>
          <t>N/A</t>
        </is>
      </c>
      <c r="L676" s="10" t="inlineStr">
        <is>
          <t>Tiếng Anh, HR Operation, Social Insurance, Contract Management, Visa Processing</t>
        </is>
      </c>
      <c r="M676" s="10" t="inlineStr">
        <is>
          <t>Bonus, Healthcare Plan</t>
        </is>
      </c>
      <c r="N676" s="11">
        <f>HYPERLINK("https://www.vietnamworks.com/people-coe-senior-specialist-2009681-jv","Xem chi tiết")</f>
        <v/>
      </c>
      <c r="O676" s="10" t="n"/>
    </row>
    <row r="677">
      <c r="B677" s="7" t="n">
        <v>675</v>
      </c>
      <c r="C677" t="inlineStr">
        <is>
          <t>Legal Specialist (Up to 26M)</t>
        </is>
      </c>
      <c r="D677" t="inlineStr">
        <is>
          <t>Dym Medical Center Vietnam Company Limited (Japanese Company)</t>
        </is>
      </c>
      <c r="E677" t="inlineStr">
        <is>
          <t>Thương lượng</t>
        </is>
      </c>
      <c r="F677" t="inlineStr">
        <is>
          <t>Hồ Chí Minh</t>
        </is>
      </c>
      <c r="G677" t="inlineStr">
        <is>
          <t>Nhân viên</t>
        </is>
      </c>
      <c r="H677" t="inlineStr">
        <is>
          <t>04/02/2026</t>
        </is>
      </c>
      <c r="I677" t="inlineStr">
        <is>
          <t>21/03/2026</t>
        </is>
      </c>
      <c r="J677" t="inlineStr">
        <is>
          <t>17/03/2026</t>
        </is>
      </c>
      <c r="K677" t="inlineStr">
        <is>
          <t>N/A</t>
        </is>
      </c>
      <c r="L677" t="inlineStr">
        <is>
          <t>Legal Affairs, Law, Legal Regulations, Commercial Law, Legal Document</t>
        </is>
      </c>
      <c r="M677" t="inlineStr">
        <is>
          <t>Bonus, Healthcare Plan, Laptop</t>
        </is>
      </c>
      <c r="N677" s="8">
        <f>HYPERLINK("https://www.vietnamworks.com/legal-specialist-up-to-26m-2009665-jv","Xem chi tiết")</f>
        <v/>
      </c>
    </row>
    <row r="678">
      <c r="B678" s="9" t="n">
        <v>676</v>
      </c>
      <c r="C678" s="10" t="inlineStr">
        <is>
          <t>E-Commerce Specialist - HCM (Ngành Hàng Điện Gia Dụng, Urgent)</t>
        </is>
      </c>
      <c r="D678" s="10" t="inlineStr">
        <is>
          <t>Công Ty TNHH Cuckoovina</t>
        </is>
      </c>
      <c r="E678" s="10" t="inlineStr">
        <is>
          <t>Thương lượng</t>
        </is>
      </c>
      <c r="F678" s="10" t="inlineStr">
        <is>
          <t>Hồ Chí Minh</t>
        </is>
      </c>
      <c r="G678" s="10" t="inlineStr">
        <is>
          <t>Nhân viên</t>
        </is>
      </c>
      <c r="H678" s="10" t="inlineStr">
        <is>
          <t>04/02/2026</t>
        </is>
      </c>
      <c r="I678" s="10" t="inlineStr">
        <is>
          <t>21/03/2026</t>
        </is>
      </c>
      <c r="J678" s="10" t="inlineStr">
        <is>
          <t>17/03/2026</t>
        </is>
      </c>
      <c r="K678" s="10" t="inlineStr">
        <is>
          <t>N/A</t>
        </is>
      </c>
      <c r="L678" s="10" t="inlineStr">
        <is>
          <t>Digital Marketing, Data Analysis, Campaign Management, Market Research, Analytical Thinking</t>
        </is>
      </c>
      <c r="M678" s="10" t="inlineStr">
        <is>
          <t>Healthcare Plan, Awards, Others</t>
        </is>
      </c>
      <c r="N678" s="11">
        <f>HYPERLINK("https://www.vietnamworks.com/e-commerce-specialist-hcm-nganh-hang-djien-gia-dung-urgent-2009666-jv","Xem chi tiết")</f>
        <v/>
      </c>
      <c r="O678" s="10" t="n"/>
    </row>
    <row r="679">
      <c r="B679" s="7" t="n">
        <v>677</v>
      </c>
      <c r="C679" t="inlineStr">
        <is>
          <t>[Hưng Yên] 02 Nhân Viên Kế Toán (Công Ty Sản Xuất, Nghỉ Thứ 7 và Chủ Nhật)</t>
        </is>
      </c>
      <c r="D679" t="inlineStr">
        <is>
          <t>Mektec Manufacturing Corporation (Vietnam) Ltd.</t>
        </is>
      </c>
      <c r="E679" t="inlineStr">
        <is>
          <t>$$ 360-600 /tháng</t>
        </is>
      </c>
      <c r="F679" t="inlineStr">
        <is>
          <t>Hưng Yên, Hà Nội, Hải Dương</t>
        </is>
      </c>
      <c r="G679" t="inlineStr">
        <is>
          <t>Nhân viên</t>
        </is>
      </c>
      <c r="H679" t="inlineStr">
        <is>
          <t>04/02/2026</t>
        </is>
      </c>
      <c r="I679" t="inlineStr">
        <is>
          <t>21/03/2026</t>
        </is>
      </c>
      <c r="J679" t="inlineStr">
        <is>
          <t>17/03/2026</t>
        </is>
      </c>
      <c r="K679" t="inlineStr">
        <is>
          <t>N/A</t>
        </is>
      </c>
      <c r="L679" t="inlineStr">
        <is>
          <t>Accounting, Finance, English, Excel</t>
        </is>
      </c>
      <c r="M679" t="inlineStr">
        <is>
          <t>Bonus</t>
        </is>
      </c>
      <c r="N679" s="8">
        <f>HYPERLINK("https://www.vietnamworks.com/hung-yen-02-nhan-vien-ke-toan-cong-ty-san-xuat-nghi-thu-7-va-chu-nhat-2009657-jv","Xem chi tiết")</f>
        <v/>
      </c>
    </row>
    <row r="680">
      <c r="B680" s="9" t="n">
        <v>678</v>
      </c>
      <c r="C680" s="10" t="inlineStr">
        <is>
          <t>Phó Phòng Hành Chính</t>
        </is>
      </c>
      <c r="D680" s="10" t="inlineStr">
        <is>
          <t>Công Ty Cổ Phần Tập Đoàn BRG</t>
        </is>
      </c>
      <c r="E680" s="10" t="inlineStr">
        <is>
          <t>Thương lượng</t>
        </is>
      </c>
      <c r="F680" s="10" t="inlineStr">
        <is>
          <t>Hà Nội</t>
        </is>
      </c>
      <c r="G680" s="10" t="inlineStr">
        <is>
          <t>Trưởng phòng</t>
        </is>
      </c>
      <c r="H680" s="10" t="inlineStr">
        <is>
          <t>04/02/2026</t>
        </is>
      </c>
      <c r="I680" s="10" t="inlineStr">
        <is>
          <t>21/03/2026</t>
        </is>
      </c>
      <c r="J680" s="10" t="inlineStr">
        <is>
          <t>17/03/2026</t>
        </is>
      </c>
      <c r="K680" s="10" t="inlineStr">
        <is>
          <t>N/A</t>
        </is>
      </c>
      <c r="L680" s="10" t="inlineStr">
        <is>
          <t>Hành Chính, Quản Lý Tài Sản, Hành Chính Nhân Sự</t>
        </is>
      </c>
      <c r="M680" s="10" t="inlineStr">
        <is>
          <t>Bonus, Healthcare Plan, Travel Opportunities</t>
        </is>
      </c>
      <c r="N680" s="11">
        <f>HYPERLINK("https://www.vietnamworks.com/pho-phong-hanh-chinh--2009691-jv","Xem chi tiết")</f>
        <v/>
      </c>
      <c r="O680" s="10" t="n"/>
    </row>
    <row r="681">
      <c r="B681" s="7" t="n">
        <v>679</v>
      </c>
      <c r="C681" t="inlineStr">
        <is>
          <t>Supervisor/Manager, Customer Service and Support</t>
        </is>
      </c>
      <c r="D681" t="inlineStr">
        <is>
          <t>APL Logistics Vietnam Company Limited</t>
        </is>
      </c>
      <c r="E681" t="inlineStr">
        <is>
          <t>Thương lượng</t>
        </is>
      </c>
      <c r="F681" t="inlineStr">
        <is>
          <t>Hồ Chí Minh</t>
        </is>
      </c>
      <c r="G681" t="inlineStr">
        <is>
          <t>Trưởng phòng</t>
        </is>
      </c>
      <c r="H681" t="inlineStr">
        <is>
          <t>04/02/2026</t>
        </is>
      </c>
      <c r="I681" t="inlineStr">
        <is>
          <t>21/03/2026</t>
        </is>
      </c>
      <c r="J681" t="inlineStr">
        <is>
          <t>17/03/2026</t>
        </is>
      </c>
      <c r="K681" t="inlineStr">
        <is>
          <t>N/A</t>
        </is>
      </c>
      <c r="L681" t="inlineStr">
        <is>
          <t>Cargo Handling, Logistics, People Management, Process Improvement, Sea Transport</t>
        </is>
      </c>
      <c r="M681" t="inlineStr">
        <is>
          <t>Bonus, Healthcare Plan, Paid Leave, Training</t>
        </is>
      </c>
      <c r="N681" s="8">
        <f>HYPERLINK("https://www.vietnamworks.com/supervisormanager-customer-service-and-support-2009676-jv","Xem chi tiết")</f>
        <v/>
      </c>
    </row>
    <row r="682">
      <c r="B682" s="9" t="n">
        <v>680</v>
      </c>
      <c r="C682" s="10" t="inlineStr">
        <is>
          <t>Nhân Viên Media – Editor (Quay Dựng &amp; Setup Live)</t>
        </is>
      </c>
      <c r="D682" s="10" t="inlineStr">
        <is>
          <t>CÔNG TY CỔ PHẦN K-BEAUTY WORLDWIDE VIỆT NAM</t>
        </is>
      </c>
      <c r="E682" s="10" t="inlineStr">
        <is>
          <t>Thương lượng</t>
        </is>
      </c>
      <c r="F682" s="10" t="inlineStr">
        <is>
          <t>Hồ Chí Minh</t>
        </is>
      </c>
      <c r="G682" s="10" t="inlineStr">
        <is>
          <t>Nhân viên</t>
        </is>
      </c>
      <c r="H682" s="10" t="inlineStr">
        <is>
          <t>04/02/2026</t>
        </is>
      </c>
      <c r="I682" s="10" t="inlineStr">
        <is>
          <t>21/03/2026</t>
        </is>
      </c>
      <c r="J682" s="10" t="inlineStr">
        <is>
          <t>17/03/2026</t>
        </is>
      </c>
      <c r="K682" s="10" t="inlineStr">
        <is>
          <t>N/A</t>
        </is>
      </c>
      <c r="L682" s="10" t="inlineStr">
        <is>
          <t>Capcut Editing, Setup Ánh Sáng, Video Editor, Quay Video, Livestream Support</t>
        </is>
      </c>
      <c r="M682" s="10" t="inlineStr">
        <is>
          <t>Paid Leave, Training, Laptop</t>
        </is>
      </c>
      <c r="N682" s="11">
        <f>HYPERLINK("https://www.vietnamworks.com/nhan-vien-media-editor-quay-dung-setup-live-2009686-jv","Xem chi tiết")</f>
        <v/>
      </c>
      <c r="O682" s="10" t="n"/>
    </row>
    <row r="683">
      <c r="B683" s="7" t="n">
        <v>681</v>
      </c>
      <c r="C683" t="inlineStr">
        <is>
          <t>Business Operation Specialist / Chuyên Viên Vận Hành</t>
        </is>
      </c>
      <c r="D683" t="inlineStr">
        <is>
          <t>Công Ty TNHH Phát Triển Phú Mỹ Hưng</t>
        </is>
      </c>
      <c r="E683" t="inlineStr">
        <is>
          <t>Thương lượng</t>
        </is>
      </c>
      <c r="F683" t="inlineStr">
        <is>
          <t>Hồ Chí Minh</t>
        </is>
      </c>
      <c r="G683" t="inlineStr">
        <is>
          <t>Nhân viên</t>
        </is>
      </c>
      <c r="H683" t="inlineStr">
        <is>
          <t>04/02/2026</t>
        </is>
      </c>
      <c r="I683" t="inlineStr">
        <is>
          <t>21/03/2026</t>
        </is>
      </c>
      <c r="J683" t="inlineStr">
        <is>
          <t>17/03/2026</t>
        </is>
      </c>
      <c r="K683" t="inlineStr">
        <is>
          <t>N/A</t>
        </is>
      </c>
      <c r="L683" t="inlineStr">
        <is>
          <t>Car Parking System, Operation</t>
        </is>
      </c>
      <c r="M683" t="inlineStr">
        <is>
          <t>Healthcare Plan, Paid Leave, Training</t>
        </is>
      </c>
      <c r="N683" s="8">
        <f>HYPERLINK("https://www.vietnamworks.com/business-operation-specialist-chuyen-vien-van-hanh-2009684-jv","Xem chi tiết")</f>
        <v/>
      </c>
    </row>
    <row r="684">
      <c r="B684" s="9" t="n">
        <v>682</v>
      </c>
      <c r="C684" s="10" t="inlineStr">
        <is>
          <t>C&amp;B Supervisor</t>
        </is>
      </c>
      <c r="D684" s="10" t="inlineStr">
        <is>
          <t>Dym Medical Center Vietnam Company Limited (Japanese Company)</t>
        </is>
      </c>
      <c r="E684" s="10" t="inlineStr">
        <is>
          <t>Thương lượng</t>
        </is>
      </c>
      <c r="F684" s="10" t="inlineStr">
        <is>
          <t>Hồ Chí Minh</t>
        </is>
      </c>
      <c r="G684" s="10" t="inlineStr">
        <is>
          <t>Nhân viên</t>
        </is>
      </c>
      <c r="H684" s="10" t="inlineStr">
        <is>
          <t>04/02/2026</t>
        </is>
      </c>
      <c r="I684" s="10" t="inlineStr">
        <is>
          <t>21/03/2026</t>
        </is>
      </c>
      <c r="J684" s="10" t="inlineStr">
        <is>
          <t>17/03/2026</t>
        </is>
      </c>
      <c r="K684" s="10" t="inlineStr">
        <is>
          <t>N/A</t>
        </is>
      </c>
      <c r="L684" s="10" t="inlineStr">
        <is>
          <t>C&amp;B, English, Employee Relation, Procedure Improvement, HR Systems</t>
        </is>
      </c>
      <c r="M684" s="10" t="inlineStr">
        <is>
          <t>Bonus, Healthcare Plan, Laptop</t>
        </is>
      </c>
      <c r="N684" s="11">
        <f>HYPERLINK("https://www.vietnamworks.com/c-b-supervisor--2009661-jv","Xem chi tiết")</f>
        <v/>
      </c>
      <c r="O684" s="10" t="n"/>
    </row>
    <row r="685">
      <c r="B685" s="7" t="n">
        <v>683</v>
      </c>
      <c r="C685" t="inlineStr">
        <is>
          <t>Nhân Viên Kế Toán Vật Tư</t>
        </is>
      </c>
      <c r="D685" t="inlineStr">
        <is>
          <t>CÔNG TY CỔ PHẦN TIẾN TRIỂN 9</t>
        </is>
      </c>
      <c r="E685" t="inlineStr">
        <is>
          <t>12tr-15tr ₫/tháng</t>
        </is>
      </c>
      <c r="F685" t="inlineStr">
        <is>
          <t>Ninh Bình, Nam Định, Thái Bình</t>
        </is>
      </c>
      <c r="G685" t="inlineStr">
        <is>
          <t>Nhân viên</t>
        </is>
      </c>
      <c r="H685" t="inlineStr">
        <is>
          <t>04/02/2026</t>
        </is>
      </c>
      <c r="I685" t="inlineStr">
        <is>
          <t>21/03/2026</t>
        </is>
      </c>
      <c r="J685" t="inlineStr">
        <is>
          <t>17/03/2026</t>
        </is>
      </c>
      <c r="K685" t="inlineStr">
        <is>
          <t>N/A</t>
        </is>
      </c>
      <c r="L685" t="inlineStr">
        <is>
          <t>Excel, Kế Toán Vật Tư Công Trình, Phần Mềm Kế Toán, Quản Lý Kho, Theo Dõi Công Nợ</t>
        </is>
      </c>
      <c r="M685" t="inlineStr">
        <is>
          <t>Bonus, Healthcare Plan, Training, Travel Opportunities, Others</t>
        </is>
      </c>
      <c r="N685" s="8">
        <f>HYPERLINK("https://www.vietnamworks.com/nhan-vien-ke-toan-vat-tu-2009662-jv","Xem chi tiết")</f>
        <v/>
      </c>
    </row>
    <row r="686">
      <c r="B686" s="9" t="n">
        <v>684</v>
      </c>
      <c r="C686" s="10" t="inlineStr">
        <is>
          <t>Warehouse Lead</t>
        </is>
      </c>
      <c r="D686" s="10" t="inlineStr">
        <is>
          <t>CÔNG TY TNHH AJAX SYSTEMS VIỆT NAM</t>
        </is>
      </c>
      <c r="E686" s="10" t="inlineStr">
        <is>
          <t>Thương lượng</t>
        </is>
      </c>
      <c r="F686" s="10" t="inlineStr">
        <is>
          <t>Hưng Yên, Hải Dương, Hà Nội</t>
        </is>
      </c>
      <c r="G686" s="10" t="inlineStr">
        <is>
          <t>Nhân viên</t>
        </is>
      </c>
      <c r="H686" s="10" t="inlineStr">
        <is>
          <t>04/02/2026</t>
        </is>
      </c>
      <c r="I686" s="10" t="inlineStr">
        <is>
          <t>21/03/2026</t>
        </is>
      </c>
      <c r="J686" s="10" t="inlineStr">
        <is>
          <t>17/03/2026</t>
        </is>
      </c>
      <c r="K686" s="10" t="inlineStr">
        <is>
          <t>N/A</t>
        </is>
      </c>
      <c r="L686" s="10" t="inlineStr">
        <is>
          <t>Warehouse Operation, Warehouse Management, Warehouse Inventory, Warehouse, Data Warehouse Systems</t>
        </is>
      </c>
      <c r="M686" s="10" t="inlineStr">
        <is>
          <t>Bonus, Laptop, Transportation</t>
        </is>
      </c>
      <c r="N686" s="11">
        <f>HYPERLINK("https://www.vietnamworks.com/warehouse-lead--2009664-jv","Xem chi tiết")</f>
        <v/>
      </c>
      <c r="O686" s="10" t="n"/>
    </row>
    <row r="687">
      <c r="B687" s="7" t="n">
        <v>685</v>
      </c>
      <c r="C687" t="inlineStr">
        <is>
          <t>International Business Development Manager (Food Testing)</t>
        </is>
      </c>
      <c r="D687" t="inlineStr">
        <is>
          <t>Eurofins Vietnam</t>
        </is>
      </c>
      <c r="E687" t="inlineStr">
        <is>
          <t>Thương lượng</t>
        </is>
      </c>
      <c r="F687" t="inlineStr">
        <is>
          <t>Hồ Chí Minh</t>
        </is>
      </c>
      <c r="G687" t="inlineStr">
        <is>
          <t>Trưởng phòng</t>
        </is>
      </c>
      <c r="H687" t="inlineStr">
        <is>
          <t>04/02/2026</t>
        </is>
      </c>
      <c r="I687" t="inlineStr">
        <is>
          <t>21/03/2026</t>
        </is>
      </c>
      <c r="J687" t="inlineStr">
        <is>
          <t>17/03/2026</t>
        </is>
      </c>
      <c r="K687" t="inlineStr">
        <is>
          <t>N/A</t>
        </is>
      </c>
      <c r="L687" t="inlineStr">
        <is>
          <t>Food or chemistry knowledge, Laboratory, Business Development, Food Industry</t>
        </is>
      </c>
      <c r="M687" t="inlineStr">
        <is>
          <t>Bonus, Healthcare Plan, Others</t>
        </is>
      </c>
      <c r="N687" s="8">
        <f>HYPERLINK("https://www.vietnamworks.com/international-business-development-manager-food-testing-2009672-jv","Xem chi tiết")</f>
        <v/>
      </c>
    </row>
    <row r="688">
      <c r="B688" s="9" t="n">
        <v>686</v>
      </c>
      <c r="C688" s="10" t="inlineStr">
        <is>
          <t>MT Key Account - Hà Nội (Ngành Hàng Gia Dụng)</t>
        </is>
      </c>
      <c r="D688" s="10" t="inlineStr">
        <is>
          <t>Công Ty TNHH Cuckoovina</t>
        </is>
      </c>
      <c r="E688" s="10" t="inlineStr">
        <is>
          <t>Thương lượng</t>
        </is>
      </c>
      <c r="F688" s="10" t="inlineStr">
        <is>
          <t>Hà Nội</t>
        </is>
      </c>
      <c r="G688" s="10" t="inlineStr">
        <is>
          <t>Nhân viên</t>
        </is>
      </c>
      <c r="H688" s="10" t="inlineStr">
        <is>
          <t>04/02/2026</t>
        </is>
      </c>
      <c r="I688" s="10" t="inlineStr">
        <is>
          <t>21/03/2026</t>
        </is>
      </c>
      <c r="J688" s="10" t="inlineStr">
        <is>
          <t>17/03/2026</t>
        </is>
      </c>
      <c r="K688" s="10" t="inlineStr">
        <is>
          <t>N/A</t>
        </is>
      </c>
      <c r="L688" s="10" t="inlineStr">
        <is>
          <t>Key Account Management, Sales Forecast, Market Research, Communication, Excel</t>
        </is>
      </c>
      <c r="M688" s="10" t="inlineStr">
        <is>
          <t>Bonus, Healthcare Plan, Others</t>
        </is>
      </c>
      <c r="N688" s="11">
        <f>HYPERLINK("https://www.vietnamworks.com/mt-key-account-ha-noi-nganh-hang-gia-dung-2009658-jv","Xem chi tiết")</f>
        <v/>
      </c>
      <c r="O688" s="10" t="n"/>
    </row>
    <row r="689">
      <c r="B689" s="7" t="n">
        <v>687</v>
      </c>
      <c r="C689" t="inlineStr">
        <is>
          <t>Key Account Manager (E-Commerce)</t>
        </is>
      </c>
      <c r="D689" t="inlineStr">
        <is>
          <t>Abbott</t>
        </is>
      </c>
      <c r="E689" t="inlineStr">
        <is>
          <t>Thương lượng</t>
        </is>
      </c>
      <c r="F689" t="inlineStr">
        <is>
          <t>Hồ Chí Minh</t>
        </is>
      </c>
      <c r="G689" t="inlineStr">
        <is>
          <t>Trưởng phòng</t>
        </is>
      </c>
      <c r="H689" t="inlineStr">
        <is>
          <t>04/02/2026</t>
        </is>
      </c>
      <c r="I689" t="inlineStr">
        <is>
          <t>21/03/2026</t>
        </is>
      </c>
      <c r="J689" t="inlineStr">
        <is>
          <t>17/03/2026</t>
        </is>
      </c>
      <c r="K689" t="inlineStr">
        <is>
          <t>N/A</t>
        </is>
      </c>
      <c r="L689" t="inlineStr">
        <is>
          <t>Relationship Building, E-commerce, Key Account Management, Digital Sales</t>
        </is>
      </c>
      <c r="M689" t="inlineStr">
        <is>
          <t>Bonus, Healthcare Plan, Training</t>
        </is>
      </c>
      <c r="N689" s="8">
        <f>HYPERLINK("https://www.vietnamworks.com/key-account-manager-e-commerce-4--2009687-jv","Xem chi tiết")</f>
        <v/>
      </c>
    </row>
    <row r="690">
      <c r="B690" s="9" t="n">
        <v>688</v>
      </c>
      <c r="C690" s="10" t="inlineStr">
        <is>
          <t>Chuyên Viên Phát Triển Phần Mềm IT</t>
        </is>
      </c>
      <c r="D690" s="10" t="inlineStr">
        <is>
          <t>Ngân Hàng Thương Mại Cổ Phần Bảo Việt</t>
        </is>
      </c>
      <c r="E690" s="10" t="inlineStr">
        <is>
          <t>$$ 500-1,000 /tháng</t>
        </is>
      </c>
      <c r="F690" s="10" t="inlineStr">
        <is>
          <t>Hà Nội</t>
        </is>
      </c>
      <c r="G690" s="10" t="inlineStr">
        <is>
          <t>Nhân viên</t>
        </is>
      </c>
      <c r="H690" s="10" t="inlineStr">
        <is>
          <t>04/02/2026</t>
        </is>
      </c>
      <c r="I690" s="10" t="inlineStr">
        <is>
          <t>21/03/2026</t>
        </is>
      </c>
      <c r="J690" s="10" t="inlineStr">
        <is>
          <t>17/03/2026</t>
        </is>
      </c>
      <c r="K690" s="10" t="inlineStr">
        <is>
          <t>N/A</t>
        </is>
      </c>
      <c r="L690" s="10" t="inlineStr">
        <is>
          <t>C#, Core Banking, Data Warehouse, OOP, Oracle</t>
        </is>
      </c>
      <c r="M690" s="10" t="inlineStr">
        <is>
          <t>Bonus, Healthcare Plan, Awards, Travel Opportunities, Others</t>
        </is>
      </c>
      <c r="N690" s="11">
        <f>HYPERLINK("https://www.vietnamworks.com/chuyen-vien-phat-trien-phan-mem-it-2009671-jv","Xem chi tiết")</f>
        <v/>
      </c>
      <c r="O690" s="10" t="n"/>
    </row>
    <row r="691">
      <c r="B691" s="7" t="n">
        <v>689</v>
      </c>
      <c r="C691" t="inlineStr">
        <is>
          <t>Senior Legal Executive</t>
        </is>
      </c>
      <c r="D691" t="inlineStr">
        <is>
          <t>NEYU</t>
        </is>
      </c>
      <c r="E691" t="inlineStr">
        <is>
          <t>Thương lượng</t>
        </is>
      </c>
      <c r="F691" t="inlineStr">
        <is>
          <t>Hà Nội</t>
        </is>
      </c>
      <c r="G691" t="inlineStr">
        <is>
          <t>Nhân viên</t>
        </is>
      </c>
      <c r="H691" t="inlineStr">
        <is>
          <t>04/02/2026</t>
        </is>
      </c>
      <c r="I691" t="inlineStr">
        <is>
          <t>21/03/2026</t>
        </is>
      </c>
      <c r="J691" t="inlineStr">
        <is>
          <t>17/03/2026</t>
        </is>
      </c>
      <c r="K691" t="inlineStr">
        <is>
          <t>N/A</t>
        </is>
      </c>
      <c r="L691" t="inlineStr">
        <is>
          <t>Compliance, Compliance Standards, Corporate Law, International Transaction, Legal &amp; Law</t>
        </is>
      </c>
      <c r="M691" t="inlineStr">
        <is>
          <t>Bonus, Healthcare Plan, Team Activities, Others</t>
        </is>
      </c>
      <c r="N691" s="8">
        <f>HYPERLINK("https://www.vietnamworks.com/senior-legal-executive-2009673-jv","Xem chi tiết")</f>
        <v/>
      </c>
    </row>
    <row r="692">
      <c r="B692" s="9" t="n">
        <v>690</v>
      </c>
      <c r="C692" s="10" t="inlineStr">
        <is>
          <t>[NovaDreams] Chuyên viên cao cấp Dựng phim</t>
        </is>
      </c>
      <c r="D692" s="10" t="inlineStr">
        <is>
          <t>Công Ty Cổ Phần Tổng Công Ty Nova Service</t>
        </is>
      </c>
      <c r="E692" s="10" t="inlineStr">
        <is>
          <t>Thương lượng</t>
        </is>
      </c>
      <c r="F692" s="10" t="inlineStr">
        <is>
          <t>Hồ Chí Minh</t>
        </is>
      </c>
      <c r="G692" s="10" t="inlineStr">
        <is>
          <t>Nhân viên</t>
        </is>
      </c>
      <c r="H692" s="10" t="inlineStr">
        <is>
          <t>04/02/2026</t>
        </is>
      </c>
      <c r="I692" s="10" t="inlineStr">
        <is>
          <t>21/03/2026</t>
        </is>
      </c>
      <c r="J692" s="10" t="inlineStr">
        <is>
          <t>17/03/2026</t>
        </is>
      </c>
      <c r="K692" s="10" t="inlineStr">
        <is>
          <t>N/A</t>
        </is>
      </c>
      <c r="L692" s="10" t="inlineStr">
        <is>
          <t>Adobe After Effects, Adobe Premiere, Creative Thinking, Photography, Video Editing</t>
        </is>
      </c>
      <c r="M692" s="10" t="inlineStr">
        <is>
          <t>Bonus, Healthcare Plan, Vouchers, Others</t>
        </is>
      </c>
      <c r="N692" s="11">
        <f>HYPERLINK("https://www.vietnamworks.com/novadreams-chuyen-vien-cao-cap-dung-phim-2009683-jv","Xem chi tiết")</f>
        <v/>
      </c>
      <c r="O692" s="10" t="n"/>
    </row>
    <row r="693">
      <c r="B693" s="7" t="n">
        <v>691</v>
      </c>
      <c r="C693" t="inlineStr">
        <is>
          <t>QC Specialist</t>
        </is>
      </c>
      <c r="D693" t="inlineStr">
        <is>
          <t>Shinhuei International Industrial Corporation Limited</t>
        </is>
      </c>
      <c r="E693" t="inlineStr">
        <is>
          <t>$$ 800-1,200 /tháng</t>
        </is>
      </c>
      <c r="F693" t="inlineStr">
        <is>
          <t>Hồ Chí Minh, Long An</t>
        </is>
      </c>
      <c r="G693" t="inlineStr">
        <is>
          <t>Nhân viên</t>
        </is>
      </c>
      <c r="H693" t="inlineStr">
        <is>
          <t>04/02/2026</t>
        </is>
      </c>
      <c r="I693" t="inlineStr">
        <is>
          <t>21/03/2026</t>
        </is>
      </c>
      <c r="J693" t="inlineStr">
        <is>
          <t>17/03/2026</t>
        </is>
      </c>
      <c r="K693" t="inlineStr">
        <is>
          <t>N/A</t>
        </is>
      </c>
      <c r="L693" t="inlineStr">
        <is>
          <t>Steel Shelving Expertise, Quality Standards, English Fluency, QC, Production Process</t>
        </is>
      </c>
      <c r="M693" t="inlineStr">
        <is>
          <t>Transportation, Others</t>
        </is>
      </c>
      <c r="N693" s="8">
        <f>HYPERLINK("https://www.vietnamworks.com/qc-specialist-2009694-jv","Xem chi tiết")</f>
        <v/>
      </c>
    </row>
    <row r="694">
      <c r="B694" s="9" t="n">
        <v>692</v>
      </c>
      <c r="C694" s="10" t="inlineStr">
        <is>
          <t>Business Finance Supervisor</t>
        </is>
      </c>
      <c r="D694" s="10" t="inlineStr">
        <is>
          <t>Marico South East Asia Corporation</t>
        </is>
      </c>
      <c r="E694" s="10" t="inlineStr">
        <is>
          <t>Thương lượng</t>
        </is>
      </c>
      <c r="F694" s="10" t="inlineStr">
        <is>
          <t>Hồ Chí Minh</t>
        </is>
      </c>
      <c r="G694" s="10" t="inlineStr">
        <is>
          <t>Nhân viên</t>
        </is>
      </c>
      <c r="H694" s="10" t="inlineStr">
        <is>
          <t>04/02/2026</t>
        </is>
      </c>
      <c r="I694" s="10" t="inlineStr">
        <is>
          <t>21/03/2026</t>
        </is>
      </c>
      <c r="J694" s="10" t="inlineStr">
        <is>
          <t>17/03/2026</t>
        </is>
      </c>
      <c r="K694" s="10" t="inlineStr">
        <is>
          <t>N/A</t>
        </is>
      </c>
      <c r="L694" s="10" t="inlineStr">
        <is>
          <t>Analytical Skills, Excel, Finance, Finance Management, SAP</t>
        </is>
      </c>
      <c r="M694" s="10" t="inlineStr">
        <is>
          <t>Others</t>
        </is>
      </c>
      <c r="N694" s="11">
        <f>HYPERLINK("https://www.vietnamworks.com/business-finance-supervisor-2009692-jv","Xem chi tiết")</f>
        <v/>
      </c>
      <c r="O694" s="10" t="n"/>
    </row>
    <row r="695">
      <c r="B695" s="7" t="n">
        <v>693</v>
      </c>
      <c r="C695" t="inlineStr">
        <is>
          <t>Chemical Sales Manager, Hospitality</t>
        </is>
      </c>
      <c r="D695" t="inlineStr">
        <is>
          <t>Michael Page Vietnam</t>
        </is>
      </c>
      <c r="E695" t="inlineStr">
        <is>
          <t>Thương lượng</t>
        </is>
      </c>
      <c r="F695" t="inlineStr">
        <is>
          <t>Hồ Chí Minh</t>
        </is>
      </c>
      <c r="G695" t="inlineStr">
        <is>
          <t>Trưởng phòng</t>
        </is>
      </c>
      <c r="H695" t="inlineStr">
        <is>
          <t>04/02/2026</t>
        </is>
      </c>
      <c r="I695" t="inlineStr">
        <is>
          <t>21/03/2026</t>
        </is>
      </c>
      <c r="J695" t="inlineStr">
        <is>
          <t>17/03/2026</t>
        </is>
      </c>
      <c r="K695" t="inlineStr">
        <is>
          <t>N/A</t>
        </is>
      </c>
      <c r="L695" t="inlineStr">
        <is>
          <t>Sales, Customer Relationship Management, Chemical, Service Sales, English</t>
        </is>
      </c>
      <c r="M695" t="inlineStr">
        <is>
          <t>Bonus</t>
        </is>
      </c>
      <c r="N695" s="8">
        <f>HYPERLINK("https://www.vietnamworks.com/chemical-sales-manager-hospitality-2009693-jv","Xem chi tiết")</f>
        <v/>
      </c>
    </row>
    <row r="696">
      <c r="B696" s="9" t="n">
        <v>694</v>
      </c>
      <c r="C696" s="10" t="inlineStr">
        <is>
          <t>Nhân Viên Bán Hàng Kênh Food Service</t>
        </is>
      </c>
      <c r="D696" s="10" t="inlineStr">
        <is>
          <t>Công Ty TNHH Thực Phẩm Trung Minh Thành</t>
        </is>
      </c>
      <c r="E696" s="10" t="inlineStr">
        <is>
          <t>Thương lượng</t>
        </is>
      </c>
      <c r="F696" s="10" t="inlineStr">
        <is>
          <t>Hồ Chí Minh</t>
        </is>
      </c>
      <c r="G696" s="10" t="inlineStr">
        <is>
          <t>Nhân viên</t>
        </is>
      </c>
      <c r="H696" s="10" t="inlineStr">
        <is>
          <t>04/02/2026</t>
        </is>
      </c>
      <c r="I696" s="10" t="inlineStr">
        <is>
          <t>21/03/2026</t>
        </is>
      </c>
      <c r="J696" s="10" t="inlineStr">
        <is>
          <t>17/03/2026</t>
        </is>
      </c>
      <c r="K696" s="10" t="inlineStr">
        <is>
          <t>N/A</t>
        </is>
      </c>
      <c r="L696" s="10" t="inlineStr">
        <is>
          <t>Bán Hàng, Phát Triển Khách Hàng, Nghiên Cứu Thị Trường, Đàm Phán, Giao Tiếp</t>
        </is>
      </c>
      <c r="M696" s="10" t="inlineStr">
        <is>
          <t>Bonus, Paid Leave</t>
        </is>
      </c>
      <c r="N696" s="11">
        <f>HYPERLINK("https://www.vietnamworks.com/nhan-vien-ban-hang-kenh-food-service-2009717-jv","Xem chi tiết")</f>
        <v/>
      </c>
      <c r="O696" s="10" t="n"/>
    </row>
    <row r="697">
      <c r="B697" s="7" t="n">
        <v>695</v>
      </c>
      <c r="C697" t="inlineStr">
        <is>
          <t>Kiến Trúc Sư (Architects) - Revit Or Archicad Experience</t>
        </is>
      </c>
      <c r="D697" t="inlineStr">
        <is>
          <t>Atlas Industries (Vietnam) Limited</t>
        </is>
      </c>
      <c r="E697" t="inlineStr">
        <is>
          <t>Thương lượng</t>
        </is>
      </c>
      <c r="F697" t="inlineStr">
        <is>
          <t>Hồ Chí Minh</t>
        </is>
      </c>
      <c r="G697" t="inlineStr">
        <is>
          <t>Nhân viên</t>
        </is>
      </c>
      <c r="H697" t="inlineStr">
        <is>
          <t>04/02/2026</t>
        </is>
      </c>
      <c r="I697" t="inlineStr">
        <is>
          <t>21/03/2026</t>
        </is>
      </c>
      <c r="J697" t="inlineStr">
        <is>
          <t>17/03/2026</t>
        </is>
      </c>
      <c r="K697" t="inlineStr">
        <is>
          <t>N/A</t>
        </is>
      </c>
      <c r="L697" t="inlineStr">
        <is>
          <t>Revit, Documentation, 3D Model, Revit Drafter, English</t>
        </is>
      </c>
      <c r="M697" t="inlineStr">
        <is>
          <t>Bonus, Healthcare Plan, Paid Leave</t>
        </is>
      </c>
      <c r="N697" s="8">
        <f>HYPERLINK("https://www.vietnamworks.com/kien-truc-su-architects-revit-or-archicad-experience-2009697-jv","Xem chi tiết")</f>
        <v/>
      </c>
    </row>
    <row r="698">
      <c r="B698" s="9" t="n">
        <v>696</v>
      </c>
      <c r="C698" s="10" t="inlineStr">
        <is>
          <t>Senior Account Executive</t>
        </is>
      </c>
      <c r="D698" s="10" t="inlineStr">
        <is>
          <t>CÔNG TY CỔ PHẦN ADTEK TECHNOLOGY</t>
        </is>
      </c>
      <c r="E698" s="10" t="inlineStr">
        <is>
          <t>Thương lượng</t>
        </is>
      </c>
      <c r="F698" s="10" t="inlineStr">
        <is>
          <t>Hồ Chí Minh</t>
        </is>
      </c>
      <c r="G698" s="10" t="inlineStr">
        <is>
          <t>Trưởng phòng</t>
        </is>
      </c>
      <c r="H698" s="10" t="inlineStr">
        <is>
          <t>04/02/2026</t>
        </is>
      </c>
      <c r="I698" s="10" t="inlineStr">
        <is>
          <t>21/03/2026</t>
        </is>
      </c>
      <c r="J698" s="10" t="inlineStr">
        <is>
          <t>17/03/2026</t>
        </is>
      </c>
      <c r="K698" s="10" t="inlineStr">
        <is>
          <t>N/A</t>
        </is>
      </c>
      <c r="L698" s="10" t="inlineStr">
        <is>
          <t>Account Management, Digital Marketing, Marketing Agency, Client Management, Project Planning</t>
        </is>
      </c>
      <c r="M698" s="10" t="inlineStr">
        <is>
          <t>Bonus, Team Activities</t>
        </is>
      </c>
      <c r="N698" s="11">
        <f>HYPERLINK("https://www.vietnamworks.com/senior-account-executive-2009713-jv","Xem chi tiết")</f>
        <v/>
      </c>
      <c r="O698" s="10" t="n"/>
    </row>
    <row r="699">
      <c r="B699" s="7" t="n">
        <v>697</v>
      </c>
      <c r="C699" t="inlineStr">
        <is>
          <t>Senior Demand &amp; Supply Planning</t>
        </is>
      </c>
      <c r="D699" t="inlineStr">
        <is>
          <t>Häfele Vietnam LLC</t>
        </is>
      </c>
      <c r="E699" t="inlineStr">
        <is>
          <t>Thương lượng</t>
        </is>
      </c>
      <c r="F699" t="inlineStr">
        <is>
          <t>Hồ Chí Minh</t>
        </is>
      </c>
      <c r="G699" t="inlineStr">
        <is>
          <t>Nhân viên</t>
        </is>
      </c>
      <c r="H699" t="inlineStr">
        <is>
          <t>04/02/2026</t>
        </is>
      </c>
      <c r="I699" t="inlineStr">
        <is>
          <t>21/03/2026</t>
        </is>
      </c>
      <c r="J699" t="inlineStr">
        <is>
          <t>17/03/2026</t>
        </is>
      </c>
      <c r="K699" t="inlineStr">
        <is>
          <t>N/A</t>
        </is>
      </c>
      <c r="L699" t="inlineStr">
        <is>
          <t>Forecast Demand Planning, Supply Planning, Sales Forecast, FMCG, SAP Master Data</t>
        </is>
      </c>
      <c r="M699" t="inlineStr">
        <is>
          <t>Bonus, Healthcare Plan, Paid Leave</t>
        </is>
      </c>
      <c r="N699" s="8">
        <f>HYPERLINK("https://www.vietnamworks.com/senior-demand-supply-planning-1--2009702-jv","Xem chi tiết")</f>
        <v/>
      </c>
    </row>
    <row r="700">
      <c r="B700" s="9" t="n">
        <v>698</v>
      </c>
      <c r="C700" s="10" t="inlineStr">
        <is>
          <t xml:space="preserve">Nhân viên Thu Mua </t>
        </is>
      </c>
      <c r="D700" s="10" t="inlineStr">
        <is>
          <t>Olam Global Agri Việt Nam</t>
        </is>
      </c>
      <c r="E700" s="10" t="inlineStr">
        <is>
          <t>8tr-12tr ₫/tháng</t>
        </is>
      </c>
      <c r="F700" s="10" t="inlineStr">
        <is>
          <t>Tây Ninh</t>
        </is>
      </c>
      <c r="G700" s="10" t="inlineStr">
        <is>
          <t>Nhân viên</t>
        </is>
      </c>
      <c r="H700" s="10" t="inlineStr">
        <is>
          <t>04/02/2026</t>
        </is>
      </c>
      <c r="I700" s="10" t="inlineStr">
        <is>
          <t>21/03/2026</t>
        </is>
      </c>
      <c r="J700" s="10" t="inlineStr">
        <is>
          <t>17/03/2026</t>
        </is>
      </c>
      <c r="K700" s="10" t="inlineStr">
        <is>
          <t>N/A</t>
        </is>
      </c>
      <c r="L700" s="10" t="inlineStr">
        <is>
          <t>Communication Skills, Data Analysis, Excel Skills, Procurement Planning, Supply Chain Management</t>
        </is>
      </c>
      <c r="M700" s="10" t="inlineStr">
        <is>
          <t>Bonus, Healthcare Plan, Paid Leave, Laptop, Canteen</t>
        </is>
      </c>
      <c r="N700" s="11">
        <f>HYPERLINK("https://www.vietnamworks.com/nhan-vien-thu-mua-2009712-jv","Xem chi tiết")</f>
        <v/>
      </c>
      <c r="O700" s="10" t="n"/>
    </row>
    <row r="701">
      <c r="B701" s="7" t="n">
        <v>699</v>
      </c>
      <c r="C701" t="inlineStr">
        <is>
          <t>SHBP Production Manager/ Giám đốc nhà máy sản xuất SH Bình Phước</t>
        </is>
      </c>
      <c r="D701" t="inlineStr">
        <is>
          <t>Japfa Comfeed Vietnam Ltd</t>
        </is>
      </c>
      <c r="E701" t="inlineStr">
        <is>
          <t>Thương lượng</t>
        </is>
      </c>
      <c r="F701" t="inlineStr">
        <is>
          <t>Bình Phước</t>
        </is>
      </c>
      <c r="G701" t="inlineStr">
        <is>
          <t>Trưởng phòng</t>
        </is>
      </c>
      <c r="H701" t="inlineStr">
        <is>
          <t>04/02/2026</t>
        </is>
      </c>
      <c r="I701" t="inlineStr">
        <is>
          <t>21/03/2026</t>
        </is>
      </c>
      <c r="J701" t="inlineStr">
        <is>
          <t>17/03/2026</t>
        </is>
      </c>
      <c r="K701" t="inlineStr">
        <is>
          <t>N/A</t>
        </is>
      </c>
      <c r="L701" t="inlineStr">
        <is>
          <t>Leadership, Analytical Thinking, People Management, Food Technology, Production</t>
        </is>
      </c>
      <c r="M701" t="inlineStr">
        <is>
          <t>Bonus, Healthcare Plan, Laptop</t>
        </is>
      </c>
      <c r="N701" s="8">
        <f>HYPERLINK("https://www.vietnamworks.com/shbp-production-manager-giam-djoc-nha-may-san-xuat-sh-binh-phuoc-2009716-jv","Xem chi tiết")</f>
        <v/>
      </c>
    </row>
    <row r="702">
      <c r="B702" s="9" t="n">
        <v>700</v>
      </c>
      <c r="C702" s="10" t="inlineStr">
        <is>
          <t>Market Insights and Analytics Lead</t>
        </is>
      </c>
      <c r="D702" s="10" t="inlineStr">
        <is>
          <t>Amway Vietnam Co., Ltd.</t>
        </is>
      </c>
      <c r="E702" s="10" t="inlineStr">
        <is>
          <t>Thương lượng</t>
        </is>
      </c>
      <c r="F702" s="10" t="inlineStr">
        <is>
          <t>Hồ Chí Minh</t>
        </is>
      </c>
      <c r="G702" s="10" t="inlineStr">
        <is>
          <t>Trưởng phòng</t>
        </is>
      </c>
      <c r="H702" s="10" t="inlineStr">
        <is>
          <t>04/02/2026</t>
        </is>
      </c>
      <c r="I702" s="10" t="inlineStr">
        <is>
          <t>21/03/2026</t>
        </is>
      </c>
      <c r="J702" s="10" t="inlineStr">
        <is>
          <t>17/03/2026</t>
        </is>
      </c>
      <c r="K702" s="10" t="inlineStr">
        <is>
          <t>N/A</t>
        </is>
      </c>
      <c r="L702" s="10" t="inlineStr">
        <is>
          <t>Market Insight, Consumer Insight, Business Intelligence, Market Research, Nghiên Cứu Thị Trường</t>
        </is>
      </c>
      <c r="M702" s="10" t="inlineStr">
        <is>
          <t>Bonus, Healthcare Plan, Team Activities</t>
        </is>
      </c>
      <c r="N702" s="11">
        <f>HYPERLINK("https://www.vietnamworks.com/market-insights-and-analytics-lead--2009718-jv","Xem chi tiết")</f>
        <v/>
      </c>
      <c r="O702" s="10" t="n"/>
    </row>
    <row r="703">
      <c r="B703" s="7" t="n">
        <v>701</v>
      </c>
      <c r="C703" t="inlineStr">
        <is>
          <t>Quản Lý Đào Tạo Và Phát Triển Tổ Chức</t>
        </is>
      </c>
      <c r="D703" t="inlineStr">
        <is>
          <t>VUS - The English Center</t>
        </is>
      </c>
      <c r="E703" t="inlineStr">
        <is>
          <t>$$ 1,500-2,000 /tháng</t>
        </is>
      </c>
      <c r="F703" t="inlineStr">
        <is>
          <t>Hồ Chí Minh</t>
        </is>
      </c>
      <c r="G703" t="inlineStr">
        <is>
          <t>Trưởng phòng</t>
        </is>
      </c>
      <c r="H703" t="inlineStr">
        <is>
          <t>04/02/2026</t>
        </is>
      </c>
      <c r="I703" t="inlineStr">
        <is>
          <t>21/03/2026</t>
        </is>
      </c>
      <c r="J703" t="inlineStr">
        <is>
          <t>17/03/2026</t>
        </is>
      </c>
      <c r="K703" t="inlineStr">
        <is>
          <t>N/A</t>
        </is>
      </c>
      <c r="L703" t="inlineStr">
        <is>
          <t>Kỹ Năng Xây Dựng Nội Dung, Phát Triển Tư Duy, Quản Lý, Thiết Kế Giáo Trình, Xây Dựng Hệ Thống Đánh Giá</t>
        </is>
      </c>
      <c r="M703" t="inlineStr">
        <is>
          <t>Bonus, Healthcare Plan, Paid Leave, Training, Laptop, Mobile</t>
        </is>
      </c>
      <c r="N703" s="8">
        <f>HYPERLINK("https://www.vietnamworks.com/quan-ly-djao-tao-va-phat-trien-to-chuc-2009698-jv","Xem chi tiết")</f>
        <v/>
      </c>
    </row>
    <row r="704">
      <c r="B704" s="9" t="n">
        <v>702</v>
      </c>
      <c r="C704" s="10" t="inlineStr">
        <is>
          <t>Assistant Import-Export Manager</t>
        </is>
      </c>
      <c r="D704" s="10" t="inlineStr">
        <is>
          <t>CÔNG TY TNHH HI-TECH VIỆT NAM APPAREL</t>
        </is>
      </c>
      <c r="E704" s="10" t="inlineStr">
        <is>
          <t>Thương lượng</t>
        </is>
      </c>
      <c r="F704" s="10" t="inlineStr">
        <is>
          <t>Quảng Nam</t>
        </is>
      </c>
      <c r="G704" s="10" t="inlineStr">
        <is>
          <t>Nhân viên</t>
        </is>
      </c>
      <c r="H704" s="10" t="inlineStr">
        <is>
          <t>04/02/2026</t>
        </is>
      </c>
      <c r="I704" s="10" t="inlineStr">
        <is>
          <t>21/03/2026</t>
        </is>
      </c>
      <c r="J704" s="10" t="inlineStr">
        <is>
          <t>17/03/2026</t>
        </is>
      </c>
      <c r="K704" s="10" t="inlineStr">
        <is>
          <t>N/A</t>
        </is>
      </c>
      <c r="L704" s="10" t="inlineStr">
        <is>
          <t>Documentation, Import-Export, International Trade, Transportation, Management</t>
        </is>
      </c>
      <c r="M704" s="10" t="inlineStr">
        <is>
          <t>Bonus, Healthcare Plan, Paid Leave</t>
        </is>
      </c>
      <c r="N704" s="11">
        <f>HYPERLINK("https://www.vietnamworks.com/assistant-import-export-manager-2009705-jv","Xem chi tiết")</f>
        <v/>
      </c>
      <c r="O704" s="10" t="n"/>
    </row>
    <row r="705">
      <c r="B705" s="7" t="n">
        <v>703</v>
      </c>
      <c r="C705" t="inlineStr">
        <is>
          <t>Nhân Viên Kế Hoạch Biết Tiếng Thái Lan</t>
        </is>
      </c>
      <c r="D705" t="inlineStr">
        <is>
          <t>CÔNG TY TNHH HI-TECH VIỆT NAM APPAREL</t>
        </is>
      </c>
      <c r="E705" t="inlineStr">
        <is>
          <t>Thương lượng</t>
        </is>
      </c>
      <c r="F705" t="inlineStr">
        <is>
          <t>Quảng Nam</t>
        </is>
      </c>
      <c r="G705" t="inlineStr">
        <is>
          <t>Nhân viên</t>
        </is>
      </c>
      <c r="H705" t="inlineStr">
        <is>
          <t>04/02/2026</t>
        </is>
      </c>
      <c r="I705" t="inlineStr">
        <is>
          <t>21/03/2026</t>
        </is>
      </c>
      <c r="J705" t="inlineStr">
        <is>
          <t>17/03/2026</t>
        </is>
      </c>
      <c r="K705" t="inlineStr">
        <is>
          <t>N/A</t>
        </is>
      </c>
      <c r="L705" t="inlineStr">
        <is>
          <t>Kế Hoạch Sản Xuất, Làm Báo Cáo Nội Bộ, Master Plan, Theo Dõi Đơn Hàng, Tracking Progress</t>
        </is>
      </c>
      <c r="M705" t="inlineStr">
        <is>
          <t>Bonus, Training, Team Activities</t>
        </is>
      </c>
      <c r="N705" s="8">
        <f>HYPERLINK("https://www.vietnamworks.com/nhan-vien-ke-hoach-biet-tieng-thai-lan-2009706-jv","Xem chi tiết")</f>
        <v/>
      </c>
    </row>
    <row r="706">
      <c r="B706" s="9" t="n">
        <v>704</v>
      </c>
      <c r="C706" s="10" t="inlineStr">
        <is>
          <t>Business Development Manager (Field Sales Manager)</t>
        </is>
      </c>
      <c r="D706" s="10" t="inlineStr">
        <is>
          <t>DHL Global Forwarding (Vietnam) Corporation</t>
        </is>
      </c>
      <c r="E706" s="10" t="inlineStr">
        <is>
          <t>Thương lượng</t>
        </is>
      </c>
      <c r="F706" s="10" t="inlineStr">
        <is>
          <t>Hồ Chí Minh</t>
        </is>
      </c>
      <c r="G706" s="10" t="inlineStr">
        <is>
          <t>Trưởng phòng</t>
        </is>
      </c>
      <c r="H706" s="10" t="inlineStr">
        <is>
          <t>04/02/2026</t>
        </is>
      </c>
      <c r="I706" s="10" t="inlineStr">
        <is>
          <t>21/03/2026</t>
        </is>
      </c>
      <c r="J706" s="10" t="inlineStr">
        <is>
          <t>17/03/2026</t>
        </is>
      </c>
      <c r="K706" s="10" t="inlineStr">
        <is>
          <t>N/A</t>
        </is>
      </c>
      <c r="L706" s="10" t="inlineStr">
        <is>
          <t>Knowledge Of Ocean/Air Freight, Logistics Industry Knowledge, B2B Sales Executive, Field Sales, Business Development</t>
        </is>
      </c>
      <c r="M706" s="10" t="inlineStr">
        <is>
          <t>Bonus, Healthcare Plan, Paid Leave</t>
        </is>
      </c>
      <c r="N706" s="11">
        <f>HYPERLINK("https://www.vietnamworks.com/business-development-manager-field-sales-manager--2009721-jv","Xem chi tiết")</f>
        <v/>
      </c>
      <c r="O706" s="10" t="n"/>
    </row>
    <row r="707">
      <c r="B707" s="7" t="n">
        <v>705</v>
      </c>
      <c r="C707" t="inlineStr">
        <is>
          <t>Sales Capabilities Manager (Nationwide)</t>
        </is>
      </c>
      <c r="D707" t="inlineStr">
        <is>
          <t>Công Ty Cổ Phần Sữa Việt Nam (Vinamilk)</t>
        </is>
      </c>
      <c r="E707" t="inlineStr">
        <is>
          <t>Thương lượng</t>
        </is>
      </c>
      <c r="F707" t="inlineStr">
        <is>
          <t>N/A</t>
        </is>
      </c>
      <c r="G707" t="inlineStr">
        <is>
          <t>Trưởng phòng</t>
        </is>
      </c>
      <c r="H707" t="inlineStr">
        <is>
          <t>04/02/2026</t>
        </is>
      </c>
      <c r="I707" t="inlineStr">
        <is>
          <t>21/03/2026</t>
        </is>
      </c>
      <c r="J707" t="inlineStr">
        <is>
          <t>17/03/2026</t>
        </is>
      </c>
      <c r="K707" t="inlineStr">
        <is>
          <t>N/A</t>
        </is>
      </c>
      <c r="L707" t="inlineStr">
        <is>
          <t>Training Development, Đào Tạo Nhân Lực, Capability Development, Capability Management, Sales Capability</t>
        </is>
      </c>
      <c r="M707" t="inlineStr">
        <is>
          <t>Bonus, Healthcare Plan, Training</t>
        </is>
      </c>
      <c r="N707" s="8">
        <f>HYPERLINK("https://www.vietnamworks.com/sales-capabilities-manager-nationwide-2009711-jv","Xem chi tiết")</f>
        <v/>
      </c>
    </row>
    <row r="708">
      <c r="B708" s="9" t="n">
        <v>706</v>
      </c>
      <c r="C708" s="10" t="inlineStr">
        <is>
          <t>CVCC Quản Lý Hiệu Suất - Quản Lý Tài Chính - QLTC - MSB - 3K036</t>
        </is>
      </c>
      <c r="D708" s="10" t="inlineStr">
        <is>
          <t>Ngân Hàng Thương Mại Cổ Phần Hàng Hải Việt Nam (MSB)</t>
        </is>
      </c>
      <c r="E708" s="10" t="inlineStr">
        <is>
          <t>$$ 1,000-1,500 /tháng</t>
        </is>
      </c>
      <c r="F708" s="10" t="inlineStr">
        <is>
          <t>Hà Nội</t>
        </is>
      </c>
      <c r="G708" s="10" t="inlineStr">
        <is>
          <t>Nhân viên</t>
        </is>
      </c>
      <c r="H708" s="10" t="inlineStr">
        <is>
          <t>04/02/2026</t>
        </is>
      </c>
      <c r="I708" s="10" t="inlineStr">
        <is>
          <t>21/03/2026</t>
        </is>
      </c>
      <c r="J708" s="10" t="inlineStr">
        <is>
          <t>17/03/2026</t>
        </is>
      </c>
      <c r="K708" s="10" t="inlineStr">
        <is>
          <t>N/A</t>
        </is>
      </c>
      <c r="L708" s="10" t="inlineStr">
        <is>
          <t>Tin Học Ứng Dụng, Power BI, SQL</t>
        </is>
      </c>
      <c r="M708" s="10" t="inlineStr">
        <is>
          <t>Bonus, Healthcare Plan, Team Activities</t>
        </is>
      </c>
      <c r="N708" s="11">
        <f>HYPERLINK("https://www.vietnamworks.com/cvcc-quan-ly-hieu-suat-quan-ly-tai-chinh-qltc-msb-3k036--2009707-jv","Xem chi tiết")</f>
        <v/>
      </c>
      <c r="O708" s="10" t="n"/>
    </row>
    <row r="709">
      <c r="B709" s="7" t="n">
        <v>707</v>
      </c>
      <c r="C709" t="inlineStr">
        <is>
          <t>Embedded Software Engineer (Chinese Speaking)</t>
        </is>
      </c>
      <c r="D709" t="inlineStr">
        <is>
          <t>Bosch Global Software Technologies Company Limited</t>
        </is>
      </c>
      <c r="E709" t="inlineStr">
        <is>
          <t>Thương lượng</t>
        </is>
      </c>
      <c r="F709" t="inlineStr">
        <is>
          <t>Hồ Chí Minh</t>
        </is>
      </c>
      <c r="G709" t="inlineStr">
        <is>
          <t>Nhân viên</t>
        </is>
      </c>
      <c r="H709" t="inlineStr">
        <is>
          <t>04/02/2026</t>
        </is>
      </c>
      <c r="I709" t="inlineStr">
        <is>
          <t>21/03/2026</t>
        </is>
      </c>
      <c r="J709" t="inlineStr">
        <is>
          <t>17/03/2026</t>
        </is>
      </c>
      <c r="K709" t="inlineStr">
        <is>
          <t>N/A</t>
        </is>
      </c>
      <c r="L709" t="inlineStr">
        <is>
          <t>C/C++ Programming, Chinese Speaking, Embedded Software, Mandarin Chinese, Microcontroller Programming</t>
        </is>
      </c>
      <c r="M709" t="inlineStr">
        <is>
          <t>Bonus, Healthcare Plan, Paid Leave, Training, Team Activities, Others</t>
        </is>
      </c>
      <c r="N709" s="8">
        <f>HYPERLINK("https://www.vietnamworks.com/embedded-software-engineer-chinese-speaking-2009699-jv","Xem chi tiết")</f>
        <v/>
      </c>
    </row>
    <row r="710">
      <c r="B710" s="9" t="n">
        <v>708</v>
      </c>
      <c r="C710" s="10" t="inlineStr">
        <is>
          <t>Accountant and Admin Executive</t>
        </is>
      </c>
      <c r="D710" s="10" t="inlineStr">
        <is>
          <t>Công ty TNHH Năng lượng JERA Việt Nam</t>
        </is>
      </c>
      <c r="E710" s="10" t="inlineStr">
        <is>
          <t>$$ 500-1,300 /tháng</t>
        </is>
      </c>
      <c r="F710" s="10" t="inlineStr">
        <is>
          <t>Hà Nội</t>
        </is>
      </c>
      <c r="G710" s="10" t="inlineStr">
        <is>
          <t>Nhân viên</t>
        </is>
      </c>
      <c r="H710" s="10" t="inlineStr">
        <is>
          <t>04/02/2026</t>
        </is>
      </c>
      <c r="I710" s="10" t="inlineStr">
        <is>
          <t>21/03/2026</t>
        </is>
      </c>
      <c r="J710" s="10" t="inlineStr">
        <is>
          <t>17/03/2026</t>
        </is>
      </c>
      <c r="K710" s="10" t="inlineStr">
        <is>
          <t>N/A</t>
        </is>
      </c>
      <c r="L710" s="10" t="inlineStr">
        <is>
          <t>Accounting, Tax Declaration, MS Excel, Administrative</t>
        </is>
      </c>
      <c r="M710" s="10" t="inlineStr">
        <is>
          <t>Bonus, Healthcare Plan, Paid Leave, Training, Others</t>
        </is>
      </c>
      <c r="N710" s="11">
        <f>HYPERLINK("https://www.vietnamworks.com/accountant-and-admin-executive-2009727-jv","Xem chi tiết")</f>
        <v/>
      </c>
      <c r="O710" s="10" t="n"/>
    </row>
    <row r="711">
      <c r="B711" s="7" t="n">
        <v>709</v>
      </c>
      <c r="C711" t="inlineStr">
        <is>
          <t>Project Manager (Giám Đốc Dự Án)</t>
        </is>
      </c>
      <c r="D711" t="inlineStr">
        <is>
          <t>Công Ty TNHH Xây Dựng Tuấn Lê</t>
        </is>
      </c>
      <c r="E711" t="inlineStr">
        <is>
          <t>Thương lượng</t>
        </is>
      </c>
      <c r="F711" t="inlineStr">
        <is>
          <t>Hồ Chí Minh</t>
        </is>
      </c>
      <c r="G711" t="inlineStr">
        <is>
          <t>Trưởng phòng</t>
        </is>
      </c>
      <c r="H711" t="inlineStr">
        <is>
          <t>04/02/2026</t>
        </is>
      </c>
      <c r="I711" t="inlineStr">
        <is>
          <t>21/03/2026</t>
        </is>
      </c>
      <c r="J711" t="inlineStr">
        <is>
          <t>17/03/2026</t>
        </is>
      </c>
      <c r="K711" t="inlineStr">
        <is>
          <t>N/A</t>
        </is>
      </c>
      <c r="L711" t="inlineStr">
        <is>
          <t>Xây Dựng, Tiếng Anh, Quản Lý Dự Án, Project Management, AutoCAD</t>
        </is>
      </c>
      <c r="M711" t="inlineStr">
        <is>
          <t>Bonus, Healthcare Plan, Canteen</t>
        </is>
      </c>
      <c r="N711" s="8">
        <f>HYPERLINK("https://www.vietnamworks.com/project-manager-giam-doc-du-an--2009722-jv","Xem chi tiết")</f>
        <v/>
      </c>
    </row>
    <row r="712">
      <c r="B712" s="9" t="n">
        <v>710</v>
      </c>
      <c r="C712" s="10" t="inlineStr">
        <is>
          <t>Seller Growth Manager (Omnichannel)</t>
        </is>
      </c>
      <c r="D712" s="10" t="inlineStr">
        <is>
          <t>Abbott</t>
        </is>
      </c>
      <c r="E712" s="10" t="inlineStr">
        <is>
          <t>Thương lượng</t>
        </is>
      </c>
      <c r="F712" s="10" t="inlineStr">
        <is>
          <t>Hồ Chí Minh</t>
        </is>
      </c>
      <c r="G712" s="10" t="inlineStr">
        <is>
          <t>Trưởng phòng</t>
        </is>
      </c>
      <c r="H712" s="10" t="inlineStr">
        <is>
          <t>04/02/2026</t>
        </is>
      </c>
      <c r="I712" s="10" t="inlineStr">
        <is>
          <t>21/03/2026</t>
        </is>
      </c>
      <c r="J712" s="10" t="inlineStr">
        <is>
          <t>17/03/2026</t>
        </is>
      </c>
      <c r="K712" s="10" t="inlineStr">
        <is>
          <t>N/A</t>
        </is>
      </c>
      <c r="L712" s="10" t="inlineStr">
        <is>
          <t>Communication Skills, Data Analysis, Digital Performance, Ecommerce Solution, Revenue Growth</t>
        </is>
      </c>
      <c r="M712" s="10" t="inlineStr">
        <is>
          <t>Bonus, Training</t>
        </is>
      </c>
      <c r="N712" s="11">
        <f>HYPERLINK("https://www.vietnamworks.com/seller-growth-manager-omnichannel-2009720-jv","Xem chi tiết")</f>
        <v/>
      </c>
      <c r="O712" s="10" t="n"/>
    </row>
    <row r="713">
      <c r="B713" s="7" t="n">
        <v>711</v>
      </c>
      <c r="C713" t="inlineStr">
        <is>
          <t>Expert, Product And Solution</t>
        </is>
      </c>
      <c r="D713" t="inlineStr">
        <is>
          <t>Techcombank</t>
        </is>
      </c>
      <c r="E713" t="inlineStr">
        <is>
          <t>Thương lượng</t>
        </is>
      </c>
      <c r="F713" t="inlineStr">
        <is>
          <t>Hà Nội</t>
        </is>
      </c>
      <c r="G713" t="inlineStr">
        <is>
          <t>Nhân viên</t>
        </is>
      </c>
      <c r="H713" t="inlineStr">
        <is>
          <t>04/02/2026</t>
        </is>
      </c>
      <c r="I713" t="inlineStr">
        <is>
          <t>21/03/2026</t>
        </is>
      </c>
      <c r="J713" t="inlineStr">
        <is>
          <t>17/03/2026</t>
        </is>
      </c>
      <c r="K713" t="inlineStr">
        <is>
          <t>N/A</t>
        </is>
      </c>
      <c r="L713" t="inlineStr">
        <is>
          <t>Banking Regulation, Corporate Banking, Customer Insights, Product Development</t>
        </is>
      </c>
      <c r="M713" t="inlineStr">
        <is>
          <t>Bonus, Training, Others</t>
        </is>
      </c>
      <c r="N713" s="8">
        <f>HYPERLINK("https://www.vietnamworks.com/expert-product-and-solution-2009725-jv","Xem chi tiết")</f>
        <v/>
      </c>
    </row>
    <row r="714">
      <c r="B714" s="9" t="n">
        <v>712</v>
      </c>
      <c r="C714" s="10" t="inlineStr">
        <is>
          <t>Tiếng Trung - Nhân Viên Chăm Sóc Khách Hàng Ngành Logistics</t>
        </is>
      </c>
      <c r="D714" s="10" t="inlineStr">
        <is>
          <t>SITC LOGISTICS VIETNAM CO .,Ltd.</t>
        </is>
      </c>
      <c r="E714" s="10" t="inlineStr">
        <is>
          <t>Thương lượng</t>
        </is>
      </c>
      <c r="F714" s="10" t="inlineStr">
        <is>
          <t>Hải Phòng</t>
        </is>
      </c>
      <c r="G714" s="10" t="inlineStr">
        <is>
          <t>Nhân viên</t>
        </is>
      </c>
      <c r="H714" s="10" t="inlineStr">
        <is>
          <t>04/02/2026</t>
        </is>
      </c>
      <c r="I714" s="10" t="inlineStr">
        <is>
          <t>21/03/2026</t>
        </is>
      </c>
      <c r="J714" s="10" t="inlineStr">
        <is>
          <t>17/03/2026</t>
        </is>
      </c>
      <c r="K714" s="10" t="inlineStr">
        <is>
          <t>N/A</t>
        </is>
      </c>
      <c r="L714" s="10" t="inlineStr">
        <is>
          <t>Tiếng Trung, Shipping Logistics, Chăm Sóc Khách Hàng, Giải Quyết Vấn Đề, Giao Tiếp</t>
        </is>
      </c>
      <c r="M714" s="10" t="inlineStr">
        <is>
          <t>Bonus, Healthcare Plan, Paid Leave, Others</t>
        </is>
      </c>
      <c r="N714" s="11">
        <f>HYPERLINK("https://www.vietnamworks.com/tieng-trung-nhan-vien-cham-soc-khach-hang-nganh-logistics-2009743-jv","Xem chi tiết")</f>
        <v/>
      </c>
      <c r="O714" s="10" t="n"/>
    </row>
    <row r="715">
      <c r="B715" s="7" t="n">
        <v>713</v>
      </c>
      <c r="C715" t="inlineStr">
        <is>
          <t>Air Import Staff (Temporary 8 Months)</t>
        </is>
      </c>
      <c r="D715" t="inlineStr">
        <is>
          <t>Công Ty TNHH Kintetsu World Express Việt Nam</t>
        </is>
      </c>
      <c r="E715" t="inlineStr">
        <is>
          <t>Thương lượng</t>
        </is>
      </c>
      <c r="F715" t="inlineStr">
        <is>
          <t>Hà Nội</t>
        </is>
      </c>
      <c r="G715" t="inlineStr">
        <is>
          <t>Nhân viên</t>
        </is>
      </c>
      <c r="H715" t="inlineStr">
        <is>
          <t>04/02/2026</t>
        </is>
      </c>
      <c r="I715" t="inlineStr">
        <is>
          <t>21/03/2026</t>
        </is>
      </c>
      <c r="J715" t="inlineStr">
        <is>
          <t>17/03/2026</t>
        </is>
      </c>
      <c r="K715" t="inlineStr">
        <is>
          <t>N/A</t>
        </is>
      </c>
      <c r="L715" t="inlineStr">
        <is>
          <t>Air Import, Basic English, Freight Forwarder, MS Office, Problem-solving</t>
        </is>
      </c>
      <c r="M715" t="inlineStr">
        <is>
          <t>Bonus, Healthcare Plan, Others</t>
        </is>
      </c>
      <c r="N715" s="8">
        <f>HYPERLINK("https://www.vietnamworks.com/air-import-staff-temporary-8-months-2009744-jv","Xem chi tiết")</f>
        <v/>
      </c>
    </row>
    <row r="716">
      <c r="B716" s="9" t="n">
        <v>714</v>
      </c>
      <c r="C716" s="10" t="inlineStr">
        <is>
          <t>Academic Manager</t>
        </is>
      </c>
      <c r="D716" s="10" t="inlineStr">
        <is>
          <t>CÔNG TY TNHH THƯƠNG MẠI VÀ TƯ VẤN JOY VIỆT NAM</t>
        </is>
      </c>
      <c r="E716" s="10" t="inlineStr">
        <is>
          <t>Từ 25tr ₫/tháng</t>
        </is>
      </c>
      <c r="F716" s="10" t="inlineStr">
        <is>
          <t>Hà Nội</t>
        </is>
      </c>
      <c r="G716" s="10" t="inlineStr">
        <is>
          <t>Nhân viên</t>
        </is>
      </c>
      <c r="H716" s="10" t="inlineStr">
        <is>
          <t>04/02/2026</t>
        </is>
      </c>
      <c r="I716" s="10" t="inlineStr">
        <is>
          <t>21/03/2026</t>
        </is>
      </c>
      <c r="J716" s="10" t="inlineStr">
        <is>
          <t>17/03/2026</t>
        </is>
      </c>
      <c r="K716" s="10" t="inlineStr">
        <is>
          <t>N/A</t>
        </is>
      </c>
      <c r="L716" s="10" t="inlineStr">
        <is>
          <t>Teacher Recruitment, Student Supervision, Academic Management, Education, Training</t>
        </is>
      </c>
      <c r="M716" s="10" t="inlineStr">
        <is>
          <t>Bonus, Healthcare Plan, Paid Leave, Others</t>
        </is>
      </c>
      <c r="N716" s="11">
        <f>HYPERLINK("https://www.vietnamworks.com/academic-manager-2009730-jv","Xem chi tiết")</f>
        <v/>
      </c>
      <c r="O716" s="10" t="n"/>
    </row>
    <row r="717">
      <c r="B717" s="7" t="n">
        <v>715</v>
      </c>
      <c r="C717" t="inlineStr">
        <is>
          <t>Nhân Viên Chăm Sóc Khách Hàng Qua Điện Thoại</t>
        </is>
      </c>
      <c r="D717" t="inlineStr">
        <is>
          <t>Công Ty Cổ Phần Orotech</t>
        </is>
      </c>
      <c r="E717" t="inlineStr">
        <is>
          <t>Thương lượng</t>
        </is>
      </c>
      <c r="F717" t="inlineStr">
        <is>
          <t>Hồ Chí Minh</t>
        </is>
      </c>
      <c r="G717" t="inlineStr">
        <is>
          <t>Nhân viên</t>
        </is>
      </c>
      <c r="H717" t="inlineStr">
        <is>
          <t>04/02/2026</t>
        </is>
      </c>
      <c r="I717" t="inlineStr">
        <is>
          <t>21/03/2026</t>
        </is>
      </c>
      <c r="J717" t="inlineStr">
        <is>
          <t>17/03/2026</t>
        </is>
      </c>
      <c r="K717" t="inlineStr">
        <is>
          <t>N/A</t>
        </is>
      </c>
      <c r="L717" t="inlineStr">
        <is>
          <t>Quản Lý Dữ Liệu, Dịch Vụ Khách Hàng, Chăm Sóc Khách Hàng, Customer Care, Tư Vấn</t>
        </is>
      </c>
      <c r="M717" t="inlineStr">
        <is>
          <t>Others</t>
        </is>
      </c>
      <c r="N717" s="8">
        <f>HYPERLINK("https://www.vietnamworks.com/nhan-vien-cham-soc-khach-hang-qua-dien-thoai--2009754-jv","Xem chi tiết")</f>
        <v/>
      </c>
    </row>
    <row r="718">
      <c r="B718" s="9" t="n">
        <v>716</v>
      </c>
      <c r="C718" s="10" t="inlineStr">
        <is>
          <t>Giám Sát Bán Hàng (Đại Lý, Tạp Hóa) - District Sales Manager (GT)</t>
        </is>
      </c>
      <c r="D718" s="10" t="inlineStr">
        <is>
          <t>Abbott</t>
        </is>
      </c>
      <c r="E718" s="10" t="inlineStr">
        <is>
          <t>Thương lượng</t>
        </is>
      </c>
      <c r="F718" s="10" t="inlineStr">
        <is>
          <t>Cà Mau, Trà Vinh</t>
        </is>
      </c>
      <c r="G718" s="10" t="inlineStr">
        <is>
          <t>Trưởng phòng</t>
        </is>
      </c>
      <c r="H718" s="10" t="inlineStr">
        <is>
          <t>04/02/2026</t>
        </is>
      </c>
      <c r="I718" s="10" t="inlineStr">
        <is>
          <t>21/03/2026</t>
        </is>
      </c>
      <c r="J718" s="10" t="inlineStr">
        <is>
          <t>17/03/2026</t>
        </is>
      </c>
      <c r="K718" s="10" t="inlineStr">
        <is>
          <t>N/A</t>
        </is>
      </c>
      <c r="L718" s="10" t="inlineStr">
        <is>
          <t>Bán Hàng, Quản Lý, FMCG, Sales Management</t>
        </is>
      </c>
      <c r="M718" s="10" t="inlineStr">
        <is>
          <t>Bonus, Healthcare Plan, Training</t>
        </is>
      </c>
      <c r="N718" s="11">
        <f>HYPERLINK("https://www.vietnamworks.com/giam-sat-ban-hang-dai-ly-tap-hoa-district-sales-manager-gt--2009745-jv","Xem chi tiết")</f>
        <v/>
      </c>
      <c r="O718" s="10" t="n"/>
    </row>
    <row r="719">
      <c r="B719" s="7" t="n">
        <v>717</v>
      </c>
      <c r="C719" t="inlineStr">
        <is>
          <t>Trưởng Bộ Phận Kho (Warehouse Leader)</t>
        </is>
      </c>
      <c r="D719" t="inlineStr">
        <is>
          <t>Công ty TNHH Fuji Seal Việt Nam</t>
        </is>
      </c>
      <c r="E719" t="inlineStr">
        <is>
          <t>Thương lượng</t>
        </is>
      </c>
      <c r="F719" t="inlineStr">
        <is>
          <t>Bình Dương</t>
        </is>
      </c>
      <c r="G719" t="inlineStr">
        <is>
          <t>Trưởng phòng</t>
        </is>
      </c>
      <c r="H719" t="inlineStr">
        <is>
          <t>04/02/2026</t>
        </is>
      </c>
      <c r="I719" t="inlineStr">
        <is>
          <t>21/03/2026</t>
        </is>
      </c>
      <c r="J719" t="inlineStr">
        <is>
          <t>17/03/2026</t>
        </is>
      </c>
      <c r="K719" t="inlineStr">
        <is>
          <t>N/A</t>
        </is>
      </c>
      <c r="L719" t="inlineStr">
        <is>
          <t>Giao Tiếp, Lãnh Đạo, Quản Lý Kho, Tài Chính Kế Toán, Tiếng Anh</t>
        </is>
      </c>
      <c r="M719" t="inlineStr">
        <is>
          <t>Bonus, Healthcare Plan, Laptop, Mobile, Travel Opportunities, Transportation, Canteen, Others</t>
        </is>
      </c>
      <c r="N719" s="8">
        <f>HYPERLINK("https://www.vietnamworks.com/truong-bo-phan-kho-warehouse-leader-2009757-jv","Xem chi tiết")</f>
        <v/>
      </c>
    </row>
    <row r="720">
      <c r="B720" s="9" t="n">
        <v>718</v>
      </c>
      <c r="C720" s="10" t="inlineStr">
        <is>
          <t>Chuyên Viên Dịch Vụ Khách Hàng</t>
        </is>
      </c>
      <c r="D720" s="10" t="inlineStr">
        <is>
          <t>Công Ty Cổ Phần Địa Ốc Thăng Long</t>
        </is>
      </c>
      <c r="E720" s="10" t="inlineStr">
        <is>
          <t>15tr-20tr ₫/tháng</t>
        </is>
      </c>
      <c r="F720" s="10" t="inlineStr">
        <is>
          <t>Hồ Chí Minh</t>
        </is>
      </c>
      <c r="G720" s="10" t="inlineStr">
        <is>
          <t>Nhân viên</t>
        </is>
      </c>
      <c r="H720" s="10" t="inlineStr">
        <is>
          <t>04/02/2026</t>
        </is>
      </c>
      <c r="I720" s="10" t="inlineStr">
        <is>
          <t>21/03/2026</t>
        </is>
      </c>
      <c r="J720" s="10" t="inlineStr">
        <is>
          <t>17/03/2026</t>
        </is>
      </c>
      <c r="K720" s="10" t="inlineStr">
        <is>
          <t>N/A</t>
        </is>
      </c>
      <c r="L720" s="10" t="inlineStr">
        <is>
          <t>Customer Support, Chăm Sóc Khách Hàng, Lưu Trữ Giấy Tờ, Soạn Thảo Hồ Sơ</t>
        </is>
      </c>
      <c r="M720" s="10" t="inlineStr">
        <is>
          <t>Bonus, Healthcare Plan, Others</t>
        </is>
      </c>
      <c r="N720" s="11">
        <f>HYPERLINK("https://www.vietnamworks.com/chuyen-vien-dich-vu-khach-hang-2009762-jv","Xem chi tiết")</f>
        <v/>
      </c>
      <c r="O720" s="10" t="n"/>
    </row>
    <row r="721">
      <c r="B721" s="7" t="n">
        <v>719</v>
      </c>
      <c r="C721" t="inlineStr">
        <is>
          <t>Senior Talent Acquisition Specialist</t>
        </is>
      </c>
      <c r="D721" t="inlineStr">
        <is>
          <t>ERASLAND</t>
        </is>
      </c>
      <c r="E721" t="inlineStr">
        <is>
          <t>Thương lượng</t>
        </is>
      </c>
      <c r="F721" t="inlineStr">
        <is>
          <t>Hồ Chí Minh</t>
        </is>
      </c>
      <c r="G721" t="inlineStr">
        <is>
          <t>Nhân viên</t>
        </is>
      </c>
      <c r="H721" t="inlineStr">
        <is>
          <t>04/02/2026</t>
        </is>
      </c>
      <c r="I721" t="inlineStr">
        <is>
          <t>21/03/2026</t>
        </is>
      </c>
      <c r="J721" t="inlineStr">
        <is>
          <t>17/03/2026</t>
        </is>
      </c>
      <c r="K721" t="inlineStr">
        <is>
          <t>N/A</t>
        </is>
      </c>
      <c r="L721" t="inlineStr">
        <is>
          <t>Talent Acquisition, Tuyển Dụng, Nhân Sự, Recruitment</t>
        </is>
      </c>
      <c r="M721" t="inlineStr">
        <is>
          <t>Bonus, Healthcare Plan, Training, Travel Opportunities, Others</t>
        </is>
      </c>
      <c r="N721" s="8">
        <f>HYPERLINK("https://www.vietnamworks.com/senior-talent-acquisition-specialist-2009741-jv","Xem chi tiết")</f>
        <v/>
      </c>
    </row>
    <row r="722">
      <c r="B722" s="9" t="n">
        <v>720</v>
      </c>
      <c r="C722" s="10" t="inlineStr">
        <is>
          <t>Chuyên Viên Dịch Vụ Khách Hàng Tiếng Trung</t>
        </is>
      </c>
      <c r="D722" s="10" t="inlineStr">
        <is>
          <t>CÔNG TY TNHH KIỂM TOÁN U&amp;I</t>
        </is>
      </c>
      <c r="E722" s="10" t="inlineStr">
        <is>
          <t>Từ 22,000 ₫/tháng</t>
        </is>
      </c>
      <c r="F722" s="10" t="inlineStr">
        <is>
          <t>Hồ Chí Minh</t>
        </is>
      </c>
      <c r="G722" s="10" t="inlineStr">
        <is>
          <t>Nhân viên</t>
        </is>
      </c>
      <c r="H722" s="10" t="inlineStr">
        <is>
          <t>04/02/2026</t>
        </is>
      </c>
      <c r="I722" s="10" t="inlineStr">
        <is>
          <t>21/03/2026</t>
        </is>
      </c>
      <c r="J722" s="10" t="inlineStr">
        <is>
          <t>17/03/2026</t>
        </is>
      </c>
      <c r="K722" s="10" t="inlineStr">
        <is>
          <t>N/A</t>
        </is>
      </c>
      <c r="L722" s="10" t="inlineStr">
        <is>
          <t>Biên Phiên Dịch, Chăm Sóc Khách Hàng, Tiếng Trung, Soạn Thảo Hợp Đồng, Hỗ Trợ Khách Hàng</t>
        </is>
      </c>
      <c r="M722" s="10" t="inlineStr">
        <is>
          <t>Healthcare Plan, Awards, Others</t>
        </is>
      </c>
      <c r="N722" s="11">
        <f>HYPERLINK("https://www.vietnamworks.com/chuyen-vien-dich-vu-khach-hang-tieng-trung-2009758-jv","Xem chi tiết")</f>
        <v/>
      </c>
      <c r="O722" s="10" t="n"/>
    </row>
    <row r="723">
      <c r="B723" s="7" t="n">
        <v>721</v>
      </c>
      <c r="C723" t="inlineStr">
        <is>
          <t>Senior Product Owner - Investment Solutions</t>
        </is>
      </c>
      <c r="D723" t="inlineStr">
        <is>
          <t>Techcombank</t>
        </is>
      </c>
      <c r="E723" t="inlineStr">
        <is>
          <t>Thương lượng</t>
        </is>
      </c>
      <c r="F723" t="inlineStr">
        <is>
          <t>Hà Nội</t>
        </is>
      </c>
      <c r="G723" t="inlineStr">
        <is>
          <t>Nhân viên</t>
        </is>
      </c>
      <c r="H723" t="inlineStr">
        <is>
          <t>04/02/2026</t>
        </is>
      </c>
      <c r="I723" t="inlineStr">
        <is>
          <t>21/03/2026</t>
        </is>
      </c>
      <c r="J723" t="inlineStr">
        <is>
          <t>17/03/2026</t>
        </is>
      </c>
      <c r="K723" t="inlineStr">
        <is>
          <t>N/A</t>
        </is>
      </c>
      <c r="L723" t="inlineStr">
        <is>
          <t>Fintech, Investment solutions, Partnership Negotiation, Product Management, Wealthtech</t>
        </is>
      </c>
      <c r="M723" t="inlineStr">
        <is>
          <t>Bonus, Training, Others</t>
        </is>
      </c>
      <c r="N723" s="8">
        <f>HYPERLINK("https://www.vietnamworks.com/senior-product-owner-investment-solutions-2009739-jv","Xem chi tiết")</f>
        <v/>
      </c>
    </row>
    <row r="724">
      <c r="B724" s="9" t="n">
        <v>722</v>
      </c>
      <c r="C724" s="10" t="inlineStr">
        <is>
          <t>Trưởng Nhóm Marketing</t>
        </is>
      </c>
      <c r="D724" s="10" t="inlineStr">
        <is>
          <t>Công Ty TNHH Dược Phẩm Pro Cuộc Sống Xanh</t>
        </is>
      </c>
      <c r="E724" s="10" t="inlineStr">
        <is>
          <t>Từ 15,000 ₫/tháng</t>
        </is>
      </c>
      <c r="F724" s="10" t="inlineStr">
        <is>
          <t>Hà Nội</t>
        </is>
      </c>
      <c r="G724" s="10" t="inlineStr">
        <is>
          <t>Nhân viên</t>
        </is>
      </c>
      <c r="H724" s="10" t="inlineStr">
        <is>
          <t>04/02/2026</t>
        </is>
      </c>
      <c r="I724" s="10" t="inlineStr">
        <is>
          <t>21/03/2026</t>
        </is>
      </c>
      <c r="J724" s="10" t="inlineStr">
        <is>
          <t>17/03/2026</t>
        </is>
      </c>
      <c r="K724" s="10" t="inlineStr">
        <is>
          <t>N/A</t>
        </is>
      </c>
      <c r="L724" s="10" t="inlineStr">
        <is>
          <t>Social Media Development, SEO, Online Marketing, Google Ads, Digital Marketing</t>
        </is>
      </c>
      <c r="M724" s="10" t="inlineStr">
        <is>
          <t>Bonus, Healthcare Plan, Paid Leave</t>
        </is>
      </c>
      <c r="N724" s="11">
        <f>HYPERLINK("https://www.vietnamworks.com/truong-nhom-marketing--2009731-jv","Xem chi tiết")</f>
        <v/>
      </c>
      <c r="O724" s="10" t="n"/>
    </row>
    <row r="725">
      <c r="B725" s="7" t="n">
        <v>723</v>
      </c>
      <c r="C725" t="inlineStr">
        <is>
          <t>Senior Business Intelligence (BI) - Mảng Đầu Tư</t>
        </is>
      </c>
      <c r="D725" t="inlineStr">
        <is>
          <t>Techcombank</t>
        </is>
      </c>
      <c r="E725" t="inlineStr">
        <is>
          <t>Thương lượng</t>
        </is>
      </c>
      <c r="F725" t="inlineStr">
        <is>
          <t>Hà Nội</t>
        </is>
      </c>
      <c r="G725" t="inlineStr">
        <is>
          <t>Nhân viên</t>
        </is>
      </c>
      <c r="H725" t="inlineStr">
        <is>
          <t>04/02/2026</t>
        </is>
      </c>
      <c r="I725" t="inlineStr">
        <is>
          <t>21/03/2026</t>
        </is>
      </c>
      <c r="J725" t="inlineStr">
        <is>
          <t>17/03/2026</t>
        </is>
      </c>
      <c r="K725" t="inlineStr">
        <is>
          <t>N/A</t>
        </is>
      </c>
      <c r="L725" t="inlineStr">
        <is>
          <t>Data Storytelling, Databrick, Nghiệp Vụ Đầu Tư, Power BI</t>
        </is>
      </c>
      <c r="M725" t="inlineStr">
        <is>
          <t>Bonus, Training, Others</t>
        </is>
      </c>
      <c r="N725" s="8">
        <f>HYPERLINK("https://www.vietnamworks.com/senior-business-intelligence-bi-mang-djau-tu-2009732-jv","Xem chi tiết")</f>
        <v/>
      </c>
    </row>
    <row r="726">
      <c r="B726" s="9" t="n">
        <v>724</v>
      </c>
      <c r="C726" s="10" t="inlineStr">
        <is>
          <t>Kỹ Sư Cơ Khí (Làm Việc Tại KCN Nam Thăng Long - Hà Nội)</t>
        </is>
      </c>
      <c r="D726" s="10" t="inlineStr">
        <is>
          <t>Công Ty Cổ Phần Đầu Tư Minh Hòa</t>
        </is>
      </c>
      <c r="E726" s="10" t="inlineStr">
        <is>
          <t>15tr-20tr ₫/tháng</t>
        </is>
      </c>
      <c r="F726" s="10" t="inlineStr">
        <is>
          <t>Hà Nội</t>
        </is>
      </c>
      <c r="G726" s="10" t="inlineStr">
        <is>
          <t>Nhân viên</t>
        </is>
      </c>
      <c r="H726" s="10" t="inlineStr">
        <is>
          <t>04/02/2026</t>
        </is>
      </c>
      <c r="I726" s="10" t="inlineStr">
        <is>
          <t>21/03/2026</t>
        </is>
      </c>
      <c r="J726" s="10" t="inlineStr">
        <is>
          <t>17/03/2026</t>
        </is>
      </c>
      <c r="K726" s="10" t="inlineStr">
        <is>
          <t>N/A</t>
        </is>
      </c>
      <c r="L726" s="10" t="inlineStr">
        <is>
          <t>SolidWorks, AutoCAD, Inventor, Thiết Kế Cơ Khí, Chủ động trong công việc</t>
        </is>
      </c>
      <c r="M726" s="10" t="inlineStr">
        <is>
          <t>Bonus, Healthcare Plan, Training, Awards, Canteen, Others</t>
        </is>
      </c>
      <c r="N726" s="11">
        <f>HYPERLINK("https://www.vietnamworks.com/ky-su-co-khi-lam-viec-tai-kcn-nam-thang-long-ha-noi-2009749-jv","Xem chi tiết")</f>
        <v/>
      </c>
      <c r="O726" s="10" t="n"/>
    </row>
    <row r="727">
      <c r="B727" s="7" t="n">
        <v>725</v>
      </c>
      <c r="C727" t="inlineStr">
        <is>
          <t>Quality Technician</t>
        </is>
      </c>
      <c r="D727" t="inlineStr">
        <is>
          <t>BAT Vietnam</t>
        </is>
      </c>
      <c r="E727" t="inlineStr">
        <is>
          <t>Từ $ 500 /tháng</t>
        </is>
      </c>
      <c r="F727" t="inlineStr">
        <is>
          <t>Hồ Chí Minh</t>
        </is>
      </c>
      <c r="G727" t="inlineStr">
        <is>
          <t>Nhân viên</t>
        </is>
      </c>
      <c r="H727" t="inlineStr">
        <is>
          <t>04/02/2026</t>
        </is>
      </c>
      <c r="I727" t="inlineStr">
        <is>
          <t>21/03/2026</t>
        </is>
      </c>
      <c r="J727" t="inlineStr">
        <is>
          <t>17/03/2026</t>
        </is>
      </c>
      <c r="K727" t="inlineStr">
        <is>
          <t>N/A</t>
        </is>
      </c>
      <c r="L727" t="inlineStr">
        <is>
          <t>QA, Qc / Qa</t>
        </is>
      </c>
      <c r="M727" t="inlineStr">
        <is>
          <t>Bonus, Healthcare Plan, Paid Leave</t>
        </is>
      </c>
      <c r="N727" s="8">
        <f>HYPERLINK("https://www.vietnamworks.com/quality-technician--2009734-jv","Xem chi tiết")</f>
        <v/>
      </c>
    </row>
    <row r="728">
      <c r="B728" s="9" t="n">
        <v>726</v>
      </c>
      <c r="C728" s="10" t="inlineStr">
        <is>
          <t>Korean IT Comtor / Interpreter (3 Months contract) - Bắc Ninh Factory</t>
        </is>
      </c>
      <c r="D728" s="10" t="inlineStr">
        <is>
          <t>Orion Food Vina Co,. Ltd - Head Office</t>
        </is>
      </c>
      <c r="E728" s="10" t="inlineStr">
        <is>
          <t>Thương lượng</t>
        </is>
      </c>
      <c r="F728" s="10" t="inlineStr">
        <is>
          <t>Hà Nội</t>
        </is>
      </c>
      <c r="G728" s="10" t="inlineStr">
        <is>
          <t>Nhân viên</t>
        </is>
      </c>
      <c r="H728" s="10" t="inlineStr">
        <is>
          <t>04/02/2026</t>
        </is>
      </c>
      <c r="I728" s="10" t="inlineStr">
        <is>
          <t>21/03/2026</t>
        </is>
      </c>
      <c r="J728" s="10" t="inlineStr">
        <is>
          <t>17/03/2026</t>
        </is>
      </c>
      <c r="K728" s="10" t="inlineStr">
        <is>
          <t>N/A</t>
        </is>
      </c>
      <c r="L728" s="10" t="inlineStr">
        <is>
          <t>Korean Interpretation, IT Comtor, Thông Dịch Sản Xuất, Biên Dịch Tiếng Hàn, Tiếng Hàn Thành thạo</t>
        </is>
      </c>
      <c r="M728" s="10" t="inlineStr">
        <is>
          <t>Bonus, Healthcare Plan, Team Activities</t>
        </is>
      </c>
      <c r="N728" s="11">
        <f>HYPERLINK("https://www.vietnamworks.com/korean-it-comtor-interpreter-3-months-contract-bac-ninh-factory-2009740-jv","Xem chi tiết")</f>
        <v/>
      </c>
      <c r="O728" s="10" t="n"/>
    </row>
    <row r="729">
      <c r="B729" s="7" t="n">
        <v>727</v>
      </c>
      <c r="C729" t="inlineStr">
        <is>
          <t>Senior Backend Developer (Nodejs)</t>
        </is>
      </c>
      <c r="D729" t="inlineStr">
        <is>
          <t>GoCode Pte Ltd</t>
        </is>
      </c>
      <c r="E729" t="inlineStr">
        <is>
          <t>32tr-37tr ₫/tháng</t>
        </is>
      </c>
      <c r="F729" t="inlineStr">
        <is>
          <t>Quốc tế, Hà Nội, Hồ Chí Minh</t>
        </is>
      </c>
      <c r="G729" t="inlineStr">
        <is>
          <t>Nhân viên</t>
        </is>
      </c>
      <c r="H729" t="inlineStr">
        <is>
          <t>04/02/2026</t>
        </is>
      </c>
      <c r="I729" t="inlineStr">
        <is>
          <t>21/03/2026</t>
        </is>
      </c>
      <c r="J729" t="inlineStr">
        <is>
          <t>17/03/2026</t>
        </is>
      </c>
      <c r="K729" t="inlineStr">
        <is>
          <t>N/A</t>
        </is>
      </c>
      <c r="L729" t="inlineStr">
        <is>
          <t>AWS, Azure, CI/CD, Golang, Node.js</t>
        </is>
      </c>
      <c r="M729" t="inlineStr">
        <is>
          <t>Bonus</t>
        </is>
      </c>
      <c r="N729" s="8">
        <f>HYPERLINK("https://www.vietnamworks.com/senior-backend-developer-nodejs-2009728-jv","Xem chi tiết")</f>
        <v/>
      </c>
    </row>
    <row r="730">
      <c r="B730" s="9" t="n">
        <v>728</v>
      </c>
      <c r="C730" s="10" t="inlineStr">
        <is>
          <t>Chuyên Viên ISO (Chuyên Viên Quản Lý Chất Lượng)</t>
        </is>
      </c>
      <c r="D730" s="10" t="inlineStr">
        <is>
          <t>Công Ty Cổ Phần Western Pacific</t>
        </is>
      </c>
      <c r="E730" s="10" t="inlineStr">
        <is>
          <t>20tr-30tr ₫/tháng</t>
        </is>
      </c>
      <c r="F730" s="10" t="inlineStr">
        <is>
          <t>Hà Nội</t>
        </is>
      </c>
      <c r="G730" s="10" t="inlineStr">
        <is>
          <t>Nhân viên</t>
        </is>
      </c>
      <c r="H730" s="10" t="inlineStr">
        <is>
          <t>04/02/2026</t>
        </is>
      </c>
      <c r="I730" s="10" t="inlineStr">
        <is>
          <t>21/03/2026</t>
        </is>
      </c>
      <c r="J730" s="10" t="inlineStr">
        <is>
          <t>17/03/2026</t>
        </is>
      </c>
      <c r="K730" s="10" t="inlineStr">
        <is>
          <t>N/A</t>
        </is>
      </c>
      <c r="L730" s="10" t="inlineStr">
        <is>
          <t>Analytical Skills, Compliance Management, ISO Standards, Quality Management, Training Development</t>
        </is>
      </c>
      <c r="M730" s="10" t="inlineStr">
        <is>
          <t>Bonus, Healthcare Plan, Paid Leave, Training, Others</t>
        </is>
      </c>
      <c r="N730" s="11">
        <f>HYPERLINK("https://www.vietnamworks.com/chuyen-vien-iso-chuyen-vien-quan-ly-chat-luong-2009751-jv","Xem chi tiết")</f>
        <v/>
      </c>
      <c r="O730" s="10" t="n"/>
    </row>
    <row r="731">
      <c r="B731" s="7" t="n">
        <v>729</v>
      </c>
      <c r="C731" t="inlineStr">
        <is>
          <t>Product Owner</t>
        </is>
      </c>
      <c r="D731" t="inlineStr">
        <is>
          <t>Công Ty Cổ Phần Sữa Việt Nam (Vinamilk)</t>
        </is>
      </c>
      <c r="E731" t="inlineStr">
        <is>
          <t>Thương lượng</t>
        </is>
      </c>
      <c r="F731" t="inlineStr">
        <is>
          <t>Hồ Chí Minh</t>
        </is>
      </c>
      <c r="G731" t="inlineStr">
        <is>
          <t>Nhân viên</t>
        </is>
      </c>
      <c r="H731" t="inlineStr">
        <is>
          <t>04/02/2026</t>
        </is>
      </c>
      <c r="I731" t="inlineStr">
        <is>
          <t>21/03/2026</t>
        </is>
      </c>
      <c r="J731" t="inlineStr">
        <is>
          <t>17/03/2026</t>
        </is>
      </c>
      <c r="K731" t="inlineStr">
        <is>
          <t>N/A</t>
        </is>
      </c>
      <c r="L731" t="inlineStr">
        <is>
          <t>Product Management</t>
        </is>
      </c>
      <c r="M731" t="inlineStr">
        <is>
          <t>Bonus, Healthcare Plan, Training</t>
        </is>
      </c>
      <c r="N731" s="8">
        <f>HYPERLINK("https://www.vietnamworks.com/product-owner--2009750-jv","Xem chi tiết")</f>
        <v/>
      </c>
    </row>
    <row r="732">
      <c r="B732" s="9" t="n">
        <v>730</v>
      </c>
      <c r="C732" s="10" t="inlineStr">
        <is>
          <t>Chuyên Viên Cao Cấp Khách Hàng Doanh Nghiệp</t>
        </is>
      </c>
      <c r="D732" s="10" t="inlineStr">
        <is>
          <t>Ngân hàng TNHH MTV Việt Nam Hiện Đại (Modern Bank of Vietnam - MBV)</t>
        </is>
      </c>
      <c r="E732" s="10" t="inlineStr">
        <is>
          <t>Thương lượng</t>
        </is>
      </c>
      <c r="F732" s="10" t="inlineStr">
        <is>
          <t>Hồ Chí Minh, Hà Nội, Hà Tĩnh</t>
        </is>
      </c>
      <c r="G732" s="10" t="inlineStr">
        <is>
          <t>Nhân viên</t>
        </is>
      </c>
      <c r="H732" s="10" t="inlineStr">
        <is>
          <t>04/02/2026</t>
        </is>
      </c>
      <c r="I732" s="10" t="inlineStr">
        <is>
          <t>21/03/2026</t>
        </is>
      </c>
      <c r="J732" s="10" t="inlineStr">
        <is>
          <t>17/03/2026</t>
        </is>
      </c>
      <c r="K732" s="10" t="inlineStr">
        <is>
          <t>N/A</t>
        </is>
      </c>
      <c r="L732" s="10" t="inlineStr">
        <is>
          <t>Tín Dụng Cá Nhân, Tài Chính Ngân Hàng, Quan Hệ Khách Hàng Cá Nhân, Tài Chính, Khách Hàng Doanh Nghiệp</t>
        </is>
      </c>
      <c r="M732" s="10" t="inlineStr">
        <is>
          <t>Bonus, Healthcare Plan, Paid Leave</t>
        </is>
      </c>
      <c r="N732" s="11">
        <f>HYPERLINK("https://www.vietnamworks.com/chuyen-vien-cao-cap-khach-hang-doanh-nghiep--2009753-jv","Xem chi tiết")</f>
        <v/>
      </c>
      <c r="O732" s="10" t="n"/>
    </row>
    <row r="733">
      <c r="B733" s="7" t="n">
        <v>731</v>
      </c>
      <c r="C733" t="inlineStr">
        <is>
          <t>C/C++ Software Engineer - Salary Up to 2,500$ Hybrid Working</t>
        </is>
      </c>
      <c r="D733" t="inlineStr">
        <is>
          <t>LG Electronics Development Vietnam Company Limited</t>
        </is>
      </c>
      <c r="E733" t="inlineStr">
        <is>
          <t>$$ 700-2,500 /tháng</t>
        </is>
      </c>
      <c r="F733" t="inlineStr">
        <is>
          <t>Hà Nội</t>
        </is>
      </c>
      <c r="G733" t="inlineStr">
        <is>
          <t>Nhân viên</t>
        </is>
      </c>
      <c r="H733" t="inlineStr">
        <is>
          <t>04/02/2026</t>
        </is>
      </c>
      <c r="I733" t="inlineStr">
        <is>
          <t>21/03/2026</t>
        </is>
      </c>
      <c r="J733" t="inlineStr">
        <is>
          <t>17/03/2026</t>
        </is>
      </c>
      <c r="K733" t="inlineStr">
        <is>
          <t>N/A</t>
        </is>
      </c>
      <c r="L733" t="inlineStr">
        <is>
          <t>C++, C/C++ Programming, Embedded C programming, Embedded, MCU</t>
        </is>
      </c>
      <c r="M733" t="inlineStr">
        <is>
          <t>Bonus, Awards, Laptop</t>
        </is>
      </c>
      <c r="N733" s="8">
        <f>HYPERLINK("https://www.vietnamworks.com/c-c-plus-plus-software-engineer-salary-up-to-2-500-hybrid-working--2009747-jv","Xem chi tiết")</f>
        <v/>
      </c>
    </row>
    <row r="734">
      <c r="B734" s="9" t="n">
        <v>732</v>
      </c>
      <c r="C734" s="10" t="inlineStr">
        <is>
          <t>MEP Site Manager</t>
        </is>
      </c>
      <c r="D734" s="10" t="inlineStr">
        <is>
          <t>Công ty Cổ phần Xây dựng Vilai Việt</t>
        </is>
      </c>
      <c r="E734" s="10" t="inlineStr">
        <is>
          <t>Từ $ 1,200 /tháng</t>
        </is>
      </c>
      <c r="F734" s="10" t="inlineStr">
        <is>
          <t>Quảng Ninh, Hà Nội, Bắc Ninh</t>
        </is>
      </c>
      <c r="G734" s="10" t="inlineStr">
        <is>
          <t>Nhân viên</t>
        </is>
      </c>
      <c r="H734" s="10" t="inlineStr">
        <is>
          <t>04/02/2026</t>
        </is>
      </c>
      <c r="I734" s="10" t="inlineStr">
        <is>
          <t>21/03/2026</t>
        </is>
      </c>
      <c r="J734" s="10" t="inlineStr">
        <is>
          <t>17/03/2026</t>
        </is>
      </c>
      <c r="K734" s="10" t="inlineStr">
        <is>
          <t>N/A</t>
        </is>
      </c>
      <c r="L734" s="10" t="inlineStr">
        <is>
          <t>Mep System Knowledge, AutoCAD Pro, Revit MEP, Leadership Skills, Problem-solving</t>
        </is>
      </c>
      <c r="M734" s="10" t="inlineStr">
        <is>
          <t>Bonus, Healthcare Plan, Paid Leave, Training, Team Activities, Others</t>
        </is>
      </c>
      <c r="N734" s="11">
        <f>HYPERLINK("https://www.vietnamworks.com/mep-site-manager-2009763-jv","Xem chi tiết")</f>
        <v/>
      </c>
      <c r="O734" s="10" t="n"/>
    </row>
    <row r="735">
      <c r="B735" s="7" t="n">
        <v>733</v>
      </c>
      <c r="C735" t="inlineStr">
        <is>
          <t>Giám Sát An Toàn Lao Động</t>
        </is>
      </c>
      <c r="D735" t="inlineStr">
        <is>
          <t>Công ty Cổ phần Xây dựng An Phong</t>
        </is>
      </c>
      <c r="E735" t="inlineStr">
        <is>
          <t>Thương lượng</t>
        </is>
      </c>
      <c r="F735" t="inlineStr">
        <is>
          <t>Hồ Chí Minh</t>
        </is>
      </c>
      <c r="G735" t="inlineStr">
        <is>
          <t>Nhân viên</t>
        </is>
      </c>
      <c r="H735" t="inlineStr">
        <is>
          <t>04/02/2026</t>
        </is>
      </c>
      <c r="I735" t="inlineStr">
        <is>
          <t>21/03/2026</t>
        </is>
      </c>
      <c r="J735" t="inlineStr">
        <is>
          <t>17/03/2026</t>
        </is>
      </c>
      <c r="K735" t="inlineStr">
        <is>
          <t>N/A</t>
        </is>
      </c>
      <c r="L735" t="inlineStr">
        <is>
          <t>HSE, Bảo Hộ Lao Động, Xây Dựng, An Toàn Lao Động, Microsoft Office</t>
        </is>
      </c>
      <c r="M735" t="inlineStr">
        <is>
          <t>Bonus, Library, Mobile</t>
        </is>
      </c>
      <c r="N735" s="8">
        <f>HYPERLINK("https://www.vietnamworks.com/giam-sat-an-toan-lao-dong--2009766-jv","Xem chi tiết")</f>
        <v/>
      </c>
    </row>
    <row r="736">
      <c r="B736" s="9" t="n">
        <v>734</v>
      </c>
      <c r="C736" s="10" t="inlineStr">
        <is>
          <t>Hiring Automation Tester (m/f/d) Remote/ Vietnam-based | Full-Time, Permanent</t>
        </is>
      </c>
      <c r="D736" s="10" t="inlineStr">
        <is>
          <t>CÔNG TY TNHH TƯ VẤN VÀ PHÁT TRIỂN PHẦN MỀM DEVILINK</t>
        </is>
      </c>
      <c r="E736" s="10" t="inlineStr">
        <is>
          <t>Thương lượng</t>
        </is>
      </c>
      <c r="F736" s="10" t="inlineStr">
        <is>
          <t>Hà Nội, Hồ Chí Minh, Đà Nẵng</t>
        </is>
      </c>
      <c r="G736" s="10" t="inlineStr">
        <is>
          <t>Nhân viên</t>
        </is>
      </c>
      <c r="H736" s="10" t="inlineStr">
        <is>
          <t>04/02/2026</t>
        </is>
      </c>
      <c r="I736" s="10" t="inlineStr">
        <is>
          <t>21/03/2026</t>
        </is>
      </c>
      <c r="J736" s="10" t="inlineStr">
        <is>
          <t>17/03/2026</t>
        </is>
      </c>
      <c r="K736" s="10" t="inlineStr">
        <is>
          <t>N/A</t>
        </is>
      </c>
      <c r="L736" s="10" t="inlineStr">
        <is>
          <t>N/A</t>
        </is>
      </c>
      <c r="M736" s="10" t="inlineStr">
        <is>
          <t>Paid Leave, Training, Laptop, Others</t>
        </is>
      </c>
      <c r="N736" s="11">
        <f>HYPERLINK("https://www.vietnamworks.com/hiring-automation-tester-mfd-remote-vietnam-based-or-full-time-permanent-2009792-jv","Xem chi tiết")</f>
        <v/>
      </c>
      <c r="O736" s="10" t="n"/>
    </row>
    <row r="737">
      <c r="B737" s="7" t="n">
        <v>735</v>
      </c>
      <c r="C737" t="inlineStr">
        <is>
          <t>Nhân Viên Dịch Vụ Khách Hàng Tiếng Trung</t>
        </is>
      </c>
      <c r="D737" t="inlineStr">
        <is>
          <t>CÔNG TY TNHH KIỂM TOÁN U&amp;I</t>
        </is>
      </c>
      <c r="E737" t="inlineStr">
        <is>
          <t>Từ 15,000 ₫/tháng</t>
        </is>
      </c>
      <c r="F737" t="inlineStr">
        <is>
          <t>Hồ Chí Minh</t>
        </is>
      </c>
      <c r="G737" t="inlineStr">
        <is>
          <t>Mới Tốt Nghiệp</t>
        </is>
      </c>
      <c r="H737" t="inlineStr">
        <is>
          <t>04/02/2026</t>
        </is>
      </c>
      <c r="I737" t="inlineStr">
        <is>
          <t>21/03/2026</t>
        </is>
      </c>
      <c r="J737" t="inlineStr">
        <is>
          <t>17/03/2026</t>
        </is>
      </c>
      <c r="K737" t="inlineStr">
        <is>
          <t>N/A</t>
        </is>
      </c>
      <c r="L737" t="inlineStr">
        <is>
          <t>Biên Phiên Dịch, Chăm Sóc Khách Hàng, Tiếng Trung, Soạn Thảo Hợp Đồng, Giải Đáp Thắc Mắc</t>
        </is>
      </c>
      <c r="M737" t="inlineStr">
        <is>
          <t>Healthcare Plan, Awards, Others</t>
        </is>
      </c>
      <c r="N737" s="8">
        <f>HYPERLINK("https://www.vietnamworks.com/nhan-vien-dich-vu-khach-hang-tieng-trung--2009773-jv","Xem chi tiết")</f>
        <v/>
      </c>
    </row>
    <row r="738">
      <c r="B738" s="9" t="n">
        <v>736</v>
      </c>
      <c r="C738" s="10" t="inlineStr">
        <is>
          <t>Nhân Viên Kỹ Thuật Trên Chuyền Sản Xuất (Production Line Technician)</t>
        </is>
      </c>
      <c r="D738" s="10" t="inlineStr">
        <is>
          <t>Tohoku Pioneer Vietnam Co., Ltd</t>
        </is>
      </c>
      <c r="E738" s="10" t="inlineStr">
        <is>
          <t>Thương lượng</t>
        </is>
      </c>
      <c r="F738" s="10" t="inlineStr">
        <is>
          <t>Hải Phòng</t>
        </is>
      </c>
      <c r="G738" s="10" t="inlineStr">
        <is>
          <t>Mới Tốt Nghiệp</t>
        </is>
      </c>
      <c r="H738" s="10" t="inlineStr">
        <is>
          <t>04/02/2026</t>
        </is>
      </c>
      <c r="I738" s="10" t="inlineStr">
        <is>
          <t>21/03/2026</t>
        </is>
      </c>
      <c r="J738" s="10" t="inlineStr">
        <is>
          <t>17/03/2026</t>
        </is>
      </c>
      <c r="K738" s="10" t="inlineStr">
        <is>
          <t>N/A</t>
        </is>
      </c>
      <c r="L738" s="10" t="inlineStr">
        <is>
          <t>Bảo Dưỡng Máy Móc, Bảo Trì, PLC, Sửa Chữa Máy Móc, Vận Hành Dây Chuyền</t>
        </is>
      </c>
      <c r="M738" s="10" t="inlineStr">
        <is>
          <t>Bonus, Healthcare Plan, Travel Opportunities, Canteen, Others</t>
        </is>
      </c>
      <c r="N738" s="11">
        <f>HYPERLINK("https://www.vietnamworks.com/nhan-vien-ky-thuat-tren-chuyen-san-xuat-production-line-technician-2009781-jv","Xem chi tiết")</f>
        <v/>
      </c>
      <c r="O738" s="10" t="n"/>
    </row>
    <row r="739">
      <c r="B739" s="7" t="n">
        <v>737</v>
      </c>
      <c r="C739" t="inlineStr">
        <is>
          <t>Logistics Customer Service Executive (Korean Speaking)</t>
        </is>
      </c>
      <c r="D739" t="inlineStr">
        <is>
          <t>CÔNG TY TNHH DP WORLD VIETNAM</t>
        </is>
      </c>
      <c r="E739" t="inlineStr">
        <is>
          <t>Thương lượng</t>
        </is>
      </c>
      <c r="F739" t="inlineStr">
        <is>
          <t>Hà Nội</t>
        </is>
      </c>
      <c r="G739" t="inlineStr">
        <is>
          <t>Nhân viên</t>
        </is>
      </c>
      <c r="H739" t="inlineStr">
        <is>
          <t>04/02/2026</t>
        </is>
      </c>
      <c r="I739" t="inlineStr">
        <is>
          <t>21/03/2026</t>
        </is>
      </c>
      <c r="J739" t="inlineStr">
        <is>
          <t>17/03/2026</t>
        </is>
      </c>
      <c r="K739" t="inlineStr">
        <is>
          <t>N/A</t>
        </is>
      </c>
      <c r="L739" t="inlineStr">
        <is>
          <t>Korean Language, English, Forwarding, Customer Service</t>
        </is>
      </c>
      <c r="M739" t="inlineStr">
        <is>
          <t>Bonus, Healthcare Plan, Team Activities</t>
        </is>
      </c>
      <c r="N739" s="8">
        <f>HYPERLINK("https://www.vietnamworks.com/logistics-customer-service-executive-korean-speaking-2009794-jv","Xem chi tiết")</f>
        <v/>
      </c>
    </row>
    <row r="740">
      <c r="B740" s="9" t="n">
        <v>738</v>
      </c>
      <c r="C740" s="10" t="inlineStr">
        <is>
          <t>Nhân Viên Lập Trình Và Thiết Kế Điện Tự Động Hóa (PD)</t>
        </is>
      </c>
      <c r="D740" s="10" t="inlineStr">
        <is>
          <t>Tohoku Pioneer Vietnam Co., Ltd</t>
        </is>
      </c>
      <c r="E740" s="10" t="inlineStr">
        <is>
          <t>Thương lượng</t>
        </is>
      </c>
      <c r="F740" s="10" t="inlineStr">
        <is>
          <t>Hải Phòng</t>
        </is>
      </c>
      <c r="G740" s="10" t="inlineStr">
        <is>
          <t>Nhân viên</t>
        </is>
      </c>
      <c r="H740" s="10" t="inlineStr">
        <is>
          <t>04/02/2026</t>
        </is>
      </c>
      <c r="I740" s="10" t="inlineStr">
        <is>
          <t>21/03/2026</t>
        </is>
      </c>
      <c r="J740" s="10" t="inlineStr">
        <is>
          <t>17/03/2026</t>
        </is>
      </c>
      <c r="K740" s="10" t="inlineStr">
        <is>
          <t>N/A</t>
        </is>
      </c>
      <c r="L740" s="10" t="inlineStr">
        <is>
          <t>Lập Trình PLC, Thiết Kế Điện, Tiếng Anh, Tự Động Hóa Thiết Bị, Đọc Bản Vẽ Cơ Điện</t>
        </is>
      </c>
      <c r="M740" s="10" t="inlineStr">
        <is>
          <t>Bonus, Healthcare Plan, Travel Opportunities, Canteen</t>
        </is>
      </c>
      <c r="N740" s="11">
        <f>HYPERLINK("https://www.vietnamworks.com/nhan-vien-lap-trinh-va-thiet-ke-djien-tu-djong-hoa-pd-2009784-jv","Xem chi tiết")</f>
        <v/>
      </c>
      <c r="O740" s="10" t="n"/>
    </row>
    <row r="741">
      <c r="B741" s="7" t="n">
        <v>739</v>
      </c>
      <c r="C741" t="inlineStr">
        <is>
          <t>QA/QC Manager</t>
        </is>
      </c>
      <c r="D741" t="inlineStr">
        <is>
          <t>Công ty Cổ phần Xây dựng Vilai Việt</t>
        </is>
      </c>
      <c r="E741" t="inlineStr">
        <is>
          <t>$$ 1,200-1,500 /tháng</t>
        </is>
      </c>
      <c r="F741" t="inlineStr">
        <is>
          <t>Hà Nội, Hải Phòng, Bắc Ninh</t>
        </is>
      </c>
      <c r="G741" t="inlineStr">
        <is>
          <t>Trưởng phòng</t>
        </is>
      </c>
      <c r="H741" t="inlineStr">
        <is>
          <t>04/02/2026</t>
        </is>
      </c>
      <c r="I741" t="inlineStr">
        <is>
          <t>21/03/2026</t>
        </is>
      </c>
      <c r="J741" t="inlineStr">
        <is>
          <t>17/03/2026</t>
        </is>
      </c>
      <c r="K741" t="inlineStr">
        <is>
          <t>N/A</t>
        </is>
      </c>
      <c r="L741" t="inlineStr">
        <is>
          <t>QMS Management, Construction Quality Management, Construction Management, Material Testing, Quality Assurance</t>
        </is>
      </c>
      <c r="M741" t="inlineStr">
        <is>
          <t>Bonus, Healthcare Plan, Others</t>
        </is>
      </c>
      <c r="N741" s="8">
        <f>HYPERLINK("https://www.vietnamworks.com/qaqc-manager-2009787-jv","Xem chi tiết")</f>
        <v/>
      </c>
    </row>
    <row r="742">
      <c r="B742" s="9" t="n">
        <v>740</v>
      </c>
      <c r="C742" s="10" t="inlineStr">
        <is>
          <t>Mechandiser</t>
        </is>
      </c>
      <c r="D742" s="10" t="inlineStr">
        <is>
          <t>CÔNG TY TNHH MAISA WORLD (VIỆT NAM)</t>
        </is>
      </c>
      <c r="E742" s="10" t="inlineStr">
        <is>
          <t>Thương lượng</t>
        </is>
      </c>
      <c r="F742" s="10" t="inlineStr">
        <is>
          <t>Hồ Chí Minh</t>
        </is>
      </c>
      <c r="G742" s="10" t="inlineStr">
        <is>
          <t>Nhân viên</t>
        </is>
      </c>
      <c r="H742" s="10" t="inlineStr">
        <is>
          <t>04/02/2026</t>
        </is>
      </c>
      <c r="I742" s="10" t="inlineStr">
        <is>
          <t>21/03/2026</t>
        </is>
      </c>
      <c r="J742" s="10" t="inlineStr">
        <is>
          <t>17/03/2026</t>
        </is>
      </c>
      <c r="K742" s="10" t="inlineStr">
        <is>
          <t>N/A</t>
        </is>
      </c>
      <c r="L742" s="10" t="inlineStr">
        <is>
          <t>Giải Quyết Vấn Đề, Giao Tiếp Thiện Cảm, Khả năng đa nhiệm, chịu được áp lực cao, Kỹ năng điều phối</t>
        </is>
      </c>
      <c r="M742" s="10" t="inlineStr">
        <is>
          <t>Healthcare Plan, Paid Leave, Others</t>
        </is>
      </c>
      <c r="N742" s="11">
        <f>HYPERLINK("https://www.vietnamworks.com/mechandiser-2009771-jv","Xem chi tiết")</f>
        <v/>
      </c>
      <c r="O742" s="10" t="n"/>
    </row>
    <row r="743">
      <c r="B743" s="7" t="n">
        <v>741</v>
      </c>
      <c r="C743" t="inlineStr">
        <is>
          <t>Energy &amp; Utility Development Lead</t>
        </is>
      </c>
      <c r="D743" t="inlineStr">
        <is>
          <t>Michael Page Vietnam</t>
        </is>
      </c>
      <c r="E743" t="inlineStr">
        <is>
          <t>$$ 4,000-5,000 /tháng</t>
        </is>
      </c>
      <c r="F743" t="inlineStr">
        <is>
          <t>Hồ Chí Minh</t>
        </is>
      </c>
      <c r="G743" t="inlineStr">
        <is>
          <t>Trưởng phòng</t>
        </is>
      </c>
      <c r="H743" t="inlineStr">
        <is>
          <t>04/02/2026</t>
        </is>
      </c>
      <c r="I743" t="inlineStr">
        <is>
          <t>21/03/2026</t>
        </is>
      </c>
      <c r="J743" t="inlineStr">
        <is>
          <t>17/03/2026</t>
        </is>
      </c>
      <c r="K743" t="inlineStr">
        <is>
          <t>N/A</t>
        </is>
      </c>
      <c r="L743" t="inlineStr">
        <is>
          <t>Energy management, Renewable Energy Projects, Manufacturing, Electrical Engineering, Utility Management</t>
        </is>
      </c>
      <c r="M743" t="inlineStr">
        <is>
          <t>Awards</t>
        </is>
      </c>
      <c r="N743" s="8">
        <f>HYPERLINK("https://www.vietnamworks.com/energy-amp-utility-development-lead-2009790-jv","Xem chi tiết")</f>
        <v/>
      </c>
    </row>
    <row r="744">
      <c r="B744" s="9" t="n">
        <v>742</v>
      </c>
      <c r="C744" s="10" t="inlineStr">
        <is>
          <t>FA Engineer (Chemical Analysis)</t>
        </is>
      </c>
      <c r="D744" s="10" t="inlineStr">
        <is>
          <t>Công Ty TNHH ON Semiconductor Việt Nam</t>
        </is>
      </c>
      <c r="E744" s="10" t="inlineStr">
        <is>
          <t>Thương lượng</t>
        </is>
      </c>
      <c r="F744" s="10" t="inlineStr">
        <is>
          <t>Đồng Nai</t>
        </is>
      </c>
      <c r="G744" s="10" t="inlineStr">
        <is>
          <t>Nhân viên</t>
        </is>
      </c>
      <c r="H744" s="10" t="inlineStr">
        <is>
          <t>04/02/2026</t>
        </is>
      </c>
      <c r="I744" s="10" t="inlineStr">
        <is>
          <t>21/03/2026</t>
        </is>
      </c>
      <c r="J744" s="10" t="inlineStr">
        <is>
          <t>17/03/2026</t>
        </is>
      </c>
      <c r="K744" s="10" t="inlineStr">
        <is>
          <t>N/A</t>
        </is>
      </c>
      <c r="L744" s="10" t="inlineStr">
        <is>
          <t>Chemical Analysis, 8D Problem Solving, Failure Analysis, 5S, Product Analysis</t>
        </is>
      </c>
      <c r="M744" s="10" t="inlineStr">
        <is>
          <t>Bonus, Healthcare Plan, Transportation</t>
        </is>
      </c>
      <c r="N744" s="11">
        <f>HYPERLINK("https://www.vietnamworks.com/fa-engineer-chemical-analysis--2009769-jv","Xem chi tiết")</f>
        <v/>
      </c>
      <c r="O744" s="10" t="n"/>
    </row>
    <row r="745">
      <c r="B745" s="7" t="n">
        <v>743</v>
      </c>
      <c r="C745" t="inlineStr">
        <is>
          <t>Mekong Cross-Border Transport Manager</t>
        </is>
      </c>
      <c r="D745" t="inlineStr">
        <is>
          <t>Maersk Vietnam Ltd.</t>
        </is>
      </c>
      <c r="E745" t="inlineStr">
        <is>
          <t>Thương lượng</t>
        </is>
      </c>
      <c r="F745" t="inlineStr">
        <is>
          <t>Hồ Chí Minh</t>
        </is>
      </c>
      <c r="G745" t="inlineStr">
        <is>
          <t>Trưởng phòng</t>
        </is>
      </c>
      <c r="H745" t="inlineStr">
        <is>
          <t>04/02/2026</t>
        </is>
      </c>
      <c r="I745" t="inlineStr">
        <is>
          <t>21/03/2026</t>
        </is>
      </c>
      <c r="J745" t="inlineStr">
        <is>
          <t>17/03/2026</t>
        </is>
      </c>
      <c r="K745" t="inlineStr">
        <is>
          <t>N/A</t>
        </is>
      </c>
      <c r="L745" t="inlineStr">
        <is>
          <t>Cross-border management, Cross-Border Collaboration, Customs Clearance, Cross Border Trucking, Cross Border Banking</t>
        </is>
      </c>
      <c r="M745" t="inlineStr">
        <is>
          <t>Bonus, Healthcare Plan, Training</t>
        </is>
      </c>
      <c r="N745" s="8">
        <f>HYPERLINK("https://www.vietnamworks.com/mekong-cross-border-transport-manager--2009788-jv","Xem chi tiết")</f>
        <v/>
      </c>
    </row>
    <row r="746">
      <c r="B746" s="9" t="n">
        <v>744</v>
      </c>
      <c r="C746" s="10" t="inlineStr">
        <is>
          <t>General Manager - Manufacturing (Bag &amp; Backpack Manufacturing) Working in Vĩnh Long</t>
        </is>
      </c>
      <c r="D746" s="10" t="inlineStr">
        <is>
          <t>Case Concepts International Group</t>
        </is>
      </c>
      <c r="E746" s="10" t="inlineStr">
        <is>
          <t>$$ 2,000-3,000 /tháng</t>
        </is>
      </c>
      <c r="F746" s="10" t="inlineStr">
        <is>
          <t>Vĩnh Long, ĐBSCL, Hồ Chí Minh</t>
        </is>
      </c>
      <c r="G746" s="10" t="inlineStr">
        <is>
          <t>Trưởng phòng</t>
        </is>
      </c>
      <c r="H746" s="10" t="inlineStr">
        <is>
          <t>04/02/2026</t>
        </is>
      </c>
      <c r="I746" s="10" t="inlineStr">
        <is>
          <t>21/03/2026</t>
        </is>
      </c>
      <c r="J746" s="10" t="inlineStr">
        <is>
          <t>17/03/2026</t>
        </is>
      </c>
      <c r="K746" s="10" t="inlineStr">
        <is>
          <t>N/A</t>
        </is>
      </c>
      <c r="L746" s="10" t="inlineStr">
        <is>
          <t>Textile Design, General Management, Manufacturing Control, Production Planning, Quality Control</t>
        </is>
      </c>
      <c r="M746" s="10" t="inlineStr">
        <is>
          <t>Bonus, Training, Team Activities</t>
        </is>
      </c>
      <c r="N746" s="11">
        <f>HYPERLINK("https://www.vietnamworks.com/general-manager-manufacturing-bag-backpack-manufacturing-working-in-vinh-long-2009786-jv","Xem chi tiết")</f>
        <v/>
      </c>
      <c r="O746" s="10" t="n"/>
    </row>
    <row r="747">
      <c r="B747" s="7" t="n">
        <v>745</v>
      </c>
      <c r="C747" t="inlineStr">
        <is>
          <t>[Tuyển Gấp] Kỹ Sư Bán Hàng (Lương Cứng Upto 15 Triệu + % Hoa Hồng Cao)</t>
        </is>
      </c>
      <c r="D747" t="inlineStr">
        <is>
          <t>Công Ty TNHH Sao Đỏ Việt Nam ( Red Star Vietnam Co., Ltd.)</t>
        </is>
      </c>
      <c r="E747" t="inlineStr">
        <is>
          <t>Từ 15tr ₫/tháng</t>
        </is>
      </c>
      <c r="F747" t="inlineStr">
        <is>
          <t>Hà Nội, Hồ Chí Minh</t>
        </is>
      </c>
      <c r="G747" t="inlineStr">
        <is>
          <t>Nhân viên</t>
        </is>
      </c>
      <c r="H747" t="inlineStr">
        <is>
          <t>04/02/2026</t>
        </is>
      </c>
      <c r="I747" t="inlineStr">
        <is>
          <t>21/03/2026</t>
        </is>
      </c>
      <c r="J747" t="inlineStr">
        <is>
          <t>17/03/2026</t>
        </is>
      </c>
      <c r="K747" t="inlineStr">
        <is>
          <t>N/A</t>
        </is>
      </c>
      <c r="L747" t="inlineStr">
        <is>
          <t>Tư Vấn Bán Hàng, Xây Dựng Kế Hoạch Bán Hàng, Nghiên Cứu Sản Phẩm, Soạn Thảo Hợp Đồng, Theo Dõi Đơn Hàng</t>
        </is>
      </c>
      <c r="M747" t="inlineStr">
        <is>
          <t>Bonus, Training, Awards</t>
        </is>
      </c>
      <c r="N747" s="8">
        <f>HYPERLINK("https://www.vietnamworks.com/tuyen-gap-ky-su-ban-hang-luong-cung-upto-15-trieu-hoa-hong-cao--2009783-jv","Xem chi tiết")</f>
        <v/>
      </c>
    </row>
    <row r="748">
      <c r="B748" s="9" t="n">
        <v>746</v>
      </c>
      <c r="C748" s="10" t="inlineStr">
        <is>
          <t>Chuyên Viên Khách Hàng Cá Nhân (Ngân hàng)</t>
        </is>
      </c>
      <c r="D748" s="10" t="inlineStr">
        <is>
          <t>Công Ty Cổ Phần Tập Đoàn BRG</t>
        </is>
      </c>
      <c r="E748" s="10" t="inlineStr">
        <is>
          <t>Thương lượng</t>
        </is>
      </c>
      <c r="F748" s="10" t="inlineStr">
        <is>
          <t>Hà Nội, Hồ Chí Minh, Đà Nẵng</t>
        </is>
      </c>
      <c r="G748" s="10" t="inlineStr">
        <is>
          <t>Nhân viên</t>
        </is>
      </c>
      <c r="H748" s="10" t="inlineStr">
        <is>
          <t>04/02/2026</t>
        </is>
      </c>
      <c r="I748" s="10" t="inlineStr">
        <is>
          <t>21/03/2026</t>
        </is>
      </c>
      <c r="J748" s="10" t="inlineStr">
        <is>
          <t>17/03/2026</t>
        </is>
      </c>
      <c r="K748" s="10" t="inlineStr">
        <is>
          <t>N/A</t>
        </is>
      </c>
      <c r="L748" s="10" t="inlineStr">
        <is>
          <t>Bảo Hiểm Tài Chính, Huy Động Vốn, Quan Hệ Khách Hàng Cá Nhân, Tín Dụng Ngân Hàng, Vay vốn ngân hàng</t>
        </is>
      </c>
      <c r="M748" s="10" t="inlineStr">
        <is>
          <t>Bonus, Healthcare Plan, Paid Leave</t>
        </is>
      </c>
      <c r="N748" s="11">
        <f>HYPERLINK("https://www.vietnamworks.com/chuyen-vien-khach-hang-ca-nhan-ngan-hang-2009772-jv","Xem chi tiết")</f>
        <v/>
      </c>
      <c r="O748" s="10" t="n"/>
    </row>
    <row r="749">
      <c r="B749" s="7" t="n">
        <v>747</v>
      </c>
      <c r="C749" t="inlineStr">
        <is>
          <t>Giám Sát Xây Dựng</t>
        </is>
      </c>
      <c r="D749" t="inlineStr">
        <is>
          <t>Công ty Cổ phần Xây dựng An Phong</t>
        </is>
      </c>
      <c r="E749" t="inlineStr">
        <is>
          <t>Thương lượng</t>
        </is>
      </c>
      <c r="F749" t="inlineStr">
        <is>
          <t>Hồ Chí Minh</t>
        </is>
      </c>
      <c r="G749" t="inlineStr">
        <is>
          <t>Nhân viên</t>
        </is>
      </c>
      <c r="H749" t="inlineStr">
        <is>
          <t>04/02/2026</t>
        </is>
      </c>
      <c r="I749" t="inlineStr">
        <is>
          <t>21/03/2026</t>
        </is>
      </c>
      <c r="J749" t="inlineStr">
        <is>
          <t>17/03/2026</t>
        </is>
      </c>
      <c r="K749" t="inlineStr">
        <is>
          <t>N/A</t>
        </is>
      </c>
      <c r="L749" t="inlineStr">
        <is>
          <t>Triển Khai Bản Vẽ, Shop Drawing, Kiến Trúc Xây Dựng, Tư Vấn Giám Sát, Giám Sát Thi Công</t>
        </is>
      </c>
      <c r="M749" t="inlineStr">
        <is>
          <t>Bonus, Library, Mobile</t>
        </is>
      </c>
      <c r="N749" s="8">
        <f>HYPERLINK("https://www.vietnamworks.com/giam-sat-xay-dung--2009770-jv","Xem chi tiết")</f>
        <v/>
      </c>
    </row>
    <row r="750">
      <c r="B750" s="9" t="n">
        <v>748</v>
      </c>
      <c r="C750" s="10" t="inlineStr">
        <is>
          <t>Kỹ Sư QS (Mảng Cơ Điện)</t>
        </is>
      </c>
      <c r="D750" s="10" t="inlineStr">
        <is>
          <t>Công ty Cổ phần Xây dựng Vilai Việt</t>
        </is>
      </c>
      <c r="E750" s="10" t="inlineStr">
        <is>
          <t>Thương lượng</t>
        </is>
      </c>
      <c r="F750" s="10" t="inlineStr">
        <is>
          <t>Hải Phòng, Quảng Ninh, Hà Nội</t>
        </is>
      </c>
      <c r="G750" s="10" t="inlineStr">
        <is>
          <t>Nhân viên</t>
        </is>
      </c>
      <c r="H750" s="10" t="inlineStr">
        <is>
          <t>04/02/2026</t>
        </is>
      </c>
      <c r="I750" s="10" t="inlineStr">
        <is>
          <t>21/03/2026</t>
        </is>
      </c>
      <c r="J750" s="10" t="inlineStr">
        <is>
          <t>17/03/2026</t>
        </is>
      </c>
      <c r="K750" s="10" t="inlineStr">
        <is>
          <t>N/A</t>
        </is>
      </c>
      <c r="L750" s="10" t="inlineStr">
        <is>
          <t>Kỹ Thuật Điện, Kỹ Thuật Cơ Khí, Dự Toán Xây Dựng, AutoCAD, Tiếng Anh</t>
        </is>
      </c>
      <c r="M750" s="10" t="inlineStr">
        <is>
          <t>Bonus, Healthcare Plan, Awards</t>
        </is>
      </c>
      <c r="N750" s="11">
        <f>HYPERLINK("https://www.vietnamworks.com/ky-su-qs-mang-co-djien-2009782-jv","Xem chi tiết")</f>
        <v/>
      </c>
      <c r="O750" s="10" t="n"/>
    </row>
    <row r="751">
      <c r="B751" s="7" t="n">
        <v>749</v>
      </c>
      <c r="C751" t="inlineStr">
        <is>
          <t>Nhân Viên Phòng Kỹ Thuật (Ve) KCN VSIP - Hải Phòng</t>
        </is>
      </c>
      <c r="D751" t="inlineStr">
        <is>
          <t>Tohoku Pioneer Vietnam Co., Ltd</t>
        </is>
      </c>
      <c r="E751" t="inlineStr">
        <is>
          <t>Thương lượng</t>
        </is>
      </c>
      <c r="F751" t="inlineStr">
        <is>
          <t>Hải Phòng</t>
        </is>
      </c>
      <c r="G751" t="inlineStr">
        <is>
          <t>Nhân viên</t>
        </is>
      </c>
      <c r="H751" t="inlineStr">
        <is>
          <t>04/02/2026</t>
        </is>
      </c>
      <c r="I751" t="inlineStr">
        <is>
          <t>21/03/2026</t>
        </is>
      </c>
      <c r="J751" t="inlineStr">
        <is>
          <t>17/03/2026</t>
        </is>
      </c>
      <c r="K751" t="inlineStr">
        <is>
          <t>N/A</t>
        </is>
      </c>
      <c r="L751" t="inlineStr">
        <is>
          <t>Bảo Dưỡng Khuôn Mẫu, Phần Mềm 3D, SolidWorks, Thiết Kế Jig, Thiết Kế Khuôn</t>
        </is>
      </c>
      <c r="M751" t="inlineStr">
        <is>
          <t>Bonus, Healthcare Plan, Travel Opportunities, Canteen, Others</t>
        </is>
      </c>
      <c r="N751" s="8">
        <f>HYPERLINK("https://www.vietnamworks.com/nhan-vien-phong-ky-thuat-ve-kcn-vsip-hai-phong-2009779-jv","Xem chi tiết")</f>
        <v/>
      </c>
    </row>
    <row r="752">
      <c r="B752" s="9" t="n">
        <v>750</v>
      </c>
      <c r="C752" s="10" t="inlineStr">
        <is>
          <t>Electrical Automation Engineer</t>
        </is>
      </c>
      <c r="D752" s="10" t="inlineStr">
        <is>
          <t>Hayat Việt Nam</t>
        </is>
      </c>
      <c r="E752" s="10" t="inlineStr">
        <is>
          <t>Thương lượng</t>
        </is>
      </c>
      <c r="F752" s="10" t="inlineStr">
        <is>
          <t>Bình Phước, Bình Dương</t>
        </is>
      </c>
      <c r="G752" s="10" t="inlineStr">
        <is>
          <t>Nhân viên</t>
        </is>
      </c>
      <c r="H752" s="10" t="inlineStr">
        <is>
          <t>04/02/2026</t>
        </is>
      </c>
      <c r="I752" s="10" t="inlineStr">
        <is>
          <t>21/03/2026</t>
        </is>
      </c>
      <c r="J752" s="10" t="inlineStr">
        <is>
          <t>17/03/2026</t>
        </is>
      </c>
      <c r="K752" s="10" t="inlineStr">
        <is>
          <t>N/A</t>
        </is>
      </c>
      <c r="L752" s="10" t="inlineStr">
        <is>
          <t>Tiếng Anh, Điện, Tự Động Hóa, PLC, Kỹ Thuật</t>
        </is>
      </c>
      <c r="M752" s="10" t="inlineStr">
        <is>
          <t>Bonus, Healthcare Plan, Laptop</t>
        </is>
      </c>
      <c r="N752" s="11">
        <f>HYPERLINK("https://www.vietnamworks.com/electrical-automation-engineer--2009795-jv","Xem chi tiết")</f>
        <v/>
      </c>
      <c r="O752" s="10" t="n"/>
    </row>
    <row r="753">
      <c r="B753" s="7" t="n">
        <v>751</v>
      </c>
      <c r="C753" t="inlineStr">
        <is>
          <t>Đại Diện Kinh Doanh Khu Vực Miền Bắc</t>
        </is>
      </c>
      <c r="D753" t="inlineStr">
        <is>
          <t>Tập đoàn Hateco</t>
        </is>
      </c>
      <c r="E753" t="inlineStr">
        <is>
          <t>$$ 550-1,000 /tháng</t>
        </is>
      </c>
      <c r="F753" t="inlineStr">
        <is>
          <t>Hà Nội</t>
        </is>
      </c>
      <c r="G753" t="inlineStr">
        <is>
          <t>Nhân viên</t>
        </is>
      </c>
      <c r="H753" t="inlineStr">
        <is>
          <t>04/02/2026</t>
        </is>
      </c>
      <c r="I753" t="inlineStr">
        <is>
          <t>21/03/2026</t>
        </is>
      </c>
      <c r="J753" t="inlineStr">
        <is>
          <t>17/03/2026</t>
        </is>
      </c>
      <c r="K753" t="inlineStr">
        <is>
          <t>N/A</t>
        </is>
      </c>
      <c r="L753" t="inlineStr">
        <is>
          <t>B2B Sale, Điện Gia Dụng, Thiết Bị Nhà Bếp, ASM</t>
        </is>
      </c>
      <c r="M753" t="inlineStr">
        <is>
          <t>Bonus, Team Activities, Canteen</t>
        </is>
      </c>
      <c r="N753" s="8">
        <f>HYPERLINK("https://www.vietnamworks.com/dai-dien-kinh-doanh-khu-vuc-mien-bac--2009796-jv","Xem chi tiết")</f>
        <v/>
      </c>
    </row>
    <row r="754">
      <c r="B754" s="9" t="n">
        <v>752</v>
      </c>
      <c r="C754" s="10" t="inlineStr">
        <is>
          <t>SAP Senior Consultant - SAP FICO with Treasury Focus</t>
        </is>
      </c>
      <c r="D754" s="10" t="inlineStr">
        <is>
          <t>Deloitte Consulting SEA</t>
        </is>
      </c>
      <c r="E754" s="10" t="inlineStr">
        <is>
          <t>Thương lượng</t>
        </is>
      </c>
      <c r="F754" s="10" t="inlineStr">
        <is>
          <t>Hồ Chí Minh, Hà Nội</t>
        </is>
      </c>
      <c r="G754" s="10" t="inlineStr">
        <is>
          <t>Nhân viên</t>
        </is>
      </c>
      <c r="H754" s="10" t="inlineStr">
        <is>
          <t>04/02/2026</t>
        </is>
      </c>
      <c r="I754" s="10" t="inlineStr">
        <is>
          <t>21/03/2026</t>
        </is>
      </c>
      <c r="J754" s="10" t="inlineStr">
        <is>
          <t>17/03/2026</t>
        </is>
      </c>
      <c r="K754" s="10" t="inlineStr">
        <is>
          <t>N/A</t>
        </is>
      </c>
      <c r="L754" s="10" t="inlineStr">
        <is>
          <t>SAP, Consulting, Information Technology, SAP Consulting, Manufacturing Operations</t>
        </is>
      </c>
      <c r="M754" s="10" t="inlineStr">
        <is>
          <t>Bonus, Healthcare Plan, Travel Opportunities</t>
        </is>
      </c>
      <c r="N754" s="11">
        <f>HYPERLINK("https://www.vietnamworks.com/sap-senior-consultant-sap-fico-with-treasury-focus-2009801-jv","Xem chi tiết")</f>
        <v/>
      </c>
      <c r="O754" s="10" t="n"/>
    </row>
    <row r="755">
      <c r="B755" s="7" t="n">
        <v>753</v>
      </c>
      <c r="C755" t="inlineStr">
        <is>
          <t>Kỹ Sư QS Công Trình</t>
        </is>
      </c>
      <c r="D755" t="inlineStr">
        <is>
          <t>Công ty Cổ phần Xây dựng An Phong</t>
        </is>
      </c>
      <c r="E755" t="inlineStr">
        <is>
          <t>Thương lượng</t>
        </is>
      </c>
      <c r="F755" t="inlineStr">
        <is>
          <t>Hồ Chí Minh</t>
        </is>
      </c>
      <c r="G755" t="inlineStr">
        <is>
          <t>Nhân viên</t>
        </is>
      </c>
      <c r="H755" t="inlineStr">
        <is>
          <t>04/02/2026</t>
        </is>
      </c>
      <c r="I755" t="inlineStr">
        <is>
          <t>21/03/2026</t>
        </is>
      </c>
      <c r="J755" t="inlineStr">
        <is>
          <t>17/03/2026</t>
        </is>
      </c>
      <c r="K755" t="inlineStr">
        <is>
          <t>N/A</t>
        </is>
      </c>
      <c r="L755" t="inlineStr">
        <is>
          <t>Kiểm Soát Khối Lượng, Phân Tích Số Liệu, QS, Bóc Tách Khối Lượng, Thanh Quyết Toán</t>
        </is>
      </c>
      <c r="M755" t="inlineStr">
        <is>
          <t>Bonus, Library, Mobile</t>
        </is>
      </c>
      <c r="N755" s="8">
        <f>HYPERLINK("https://www.vietnamworks.com/ky-su-qs-cong-trinh--2009765-jv","Xem chi tiết")</f>
        <v/>
      </c>
    </row>
    <row r="756">
      <c r="B756" s="9" t="n">
        <v>754</v>
      </c>
      <c r="C756" s="10" t="inlineStr">
        <is>
          <t>Creative Manager</t>
        </is>
      </c>
      <c r="D756" s="10" t="inlineStr">
        <is>
          <t>Slimcase</t>
        </is>
      </c>
      <c r="E756" s="10" t="inlineStr">
        <is>
          <t>$$ 1,000-1,500 /tháng</t>
        </is>
      </c>
      <c r="F756" s="10" t="inlineStr">
        <is>
          <t>Hồ Chí Minh</t>
        </is>
      </c>
      <c r="G756" s="10" t="inlineStr">
        <is>
          <t>Trưởng phòng</t>
        </is>
      </c>
      <c r="H756" s="10" t="inlineStr">
        <is>
          <t>04/02/2026</t>
        </is>
      </c>
      <c r="I756" s="10" t="inlineStr">
        <is>
          <t>21/03/2026</t>
        </is>
      </c>
      <c r="J756" s="10" t="inlineStr">
        <is>
          <t>17/03/2026</t>
        </is>
      </c>
      <c r="K756" s="10" t="inlineStr">
        <is>
          <t>N/A</t>
        </is>
      </c>
      <c r="L756" s="10" t="inlineStr">
        <is>
          <t>Creative Direction, Graphic Design, Leadership, Art Direction, Thiết Kế Đồ Họa</t>
        </is>
      </c>
      <c r="M756" s="10" t="inlineStr">
        <is>
          <t>Bonus, Healthcare Plan, Team Activities</t>
        </is>
      </c>
      <c r="N756" s="11">
        <f>HYPERLINK("https://www.vietnamworks.com/creative-manager--2009800-jv","Xem chi tiết")</f>
        <v/>
      </c>
      <c r="O756" s="10" t="n"/>
    </row>
    <row r="757">
      <c r="B757" s="7" t="n">
        <v>755</v>
      </c>
      <c r="C757" t="inlineStr">
        <is>
          <t>HR Business Partner Expert (Manufacturing)</t>
        </is>
      </c>
      <c r="D757" t="inlineStr">
        <is>
          <t>Công Ty CP Xuất Nhập Khẩu Bến Tre</t>
        </is>
      </c>
      <c r="E757" t="inlineStr">
        <is>
          <t>Thương lượng</t>
        </is>
      </c>
      <c r="F757" t="inlineStr">
        <is>
          <t>Bến Tre, Hồ Chí Minh</t>
        </is>
      </c>
      <c r="G757" t="inlineStr">
        <is>
          <t>Nhân viên</t>
        </is>
      </c>
      <c r="H757" t="inlineStr">
        <is>
          <t>04/02/2026</t>
        </is>
      </c>
      <c r="I757" t="inlineStr">
        <is>
          <t>21/03/2026</t>
        </is>
      </c>
      <c r="J757" t="inlineStr">
        <is>
          <t>17/03/2026</t>
        </is>
      </c>
      <c r="K757" t="inlineStr">
        <is>
          <t>N/A</t>
        </is>
      </c>
      <c r="L757" t="inlineStr">
        <is>
          <t>Consulting, Employee Development, Hrbp Experience, Labor Management, Performance Management</t>
        </is>
      </c>
      <c r="M757" t="inlineStr">
        <is>
          <t>Healthcare Plan, Paid Leave, Laptop, Others</t>
        </is>
      </c>
      <c r="N757" s="8">
        <f>HYPERLINK("https://www.vietnamworks.com/hr-business-partner-expert-manufacturing-2009797-jv","Xem chi tiết")</f>
        <v/>
      </c>
    </row>
    <row r="758">
      <c r="B758" s="9" t="n">
        <v>756</v>
      </c>
      <c r="C758" s="10" t="inlineStr">
        <is>
          <t xml:space="preserve">Examinations Officer </t>
        </is>
      </c>
      <c r="D758" s="10" t="inlineStr">
        <is>
          <t>EMASI Nam Long - EMASI International Bilingual Schools</t>
        </is>
      </c>
      <c r="E758" s="10" t="inlineStr">
        <is>
          <t>Thương lượng</t>
        </is>
      </c>
      <c r="F758" s="10" t="inlineStr">
        <is>
          <t>Hồ Chí Minh</t>
        </is>
      </c>
      <c r="G758" s="10" t="inlineStr">
        <is>
          <t>Nhân viên</t>
        </is>
      </c>
      <c r="H758" s="10" t="inlineStr">
        <is>
          <t>04/02/2026</t>
        </is>
      </c>
      <c r="I758" s="10" t="inlineStr">
        <is>
          <t>21/03/2026</t>
        </is>
      </c>
      <c r="J758" s="10" t="inlineStr">
        <is>
          <t>17/03/2026</t>
        </is>
      </c>
      <c r="K758" s="10" t="inlineStr">
        <is>
          <t>N/A</t>
        </is>
      </c>
      <c r="L758" s="10" t="inlineStr">
        <is>
          <t>Attention To Detail, Fluent Communication Skills, Problem Solving, Teamwork, Time Management</t>
        </is>
      </c>
      <c r="M758" s="10" t="inlineStr">
        <is>
          <t>Healthcare Plan, Paid Leave, Canteen</t>
        </is>
      </c>
      <c r="N758" s="11">
        <f>HYPERLINK("https://www.vietnamworks.com/examinations-officer-2009804-jv","Xem chi tiết")</f>
        <v/>
      </c>
      <c r="O758" s="10" t="n"/>
    </row>
    <row r="759">
      <c r="B759" s="7" t="n">
        <v>757</v>
      </c>
      <c r="C759" t="inlineStr">
        <is>
          <t>Performance Marketing Specialist</t>
        </is>
      </c>
      <c r="D759" t="inlineStr">
        <is>
          <t>CÔNG TY CỔ PHẦN YOUPASS</t>
        </is>
      </c>
      <c r="E759" t="inlineStr">
        <is>
          <t>15tr-25tr ₫/tháng</t>
        </is>
      </c>
      <c r="F759" t="inlineStr">
        <is>
          <t>Hồ Chí Minh</t>
        </is>
      </c>
      <c r="G759" t="inlineStr">
        <is>
          <t>Nhân viên</t>
        </is>
      </c>
      <c r="H759" t="inlineStr">
        <is>
          <t>04/02/2026</t>
        </is>
      </c>
      <c r="I759" t="inlineStr">
        <is>
          <t>21/03/2026</t>
        </is>
      </c>
      <c r="J759" t="inlineStr">
        <is>
          <t>17/03/2026</t>
        </is>
      </c>
      <c r="K759" t="inlineStr">
        <is>
          <t>N/A</t>
        </is>
      </c>
      <c r="L759" t="inlineStr">
        <is>
          <t>Banner Ads, Google Ads, GA4, Analytical Thinking</t>
        </is>
      </c>
      <c r="M759" t="inlineStr">
        <is>
          <t>Training, Others</t>
        </is>
      </c>
      <c r="N759" s="8">
        <f>HYPERLINK("https://www.vietnamworks.com/performance-marketing-specialist-2009774-jv","Xem chi tiết")</f>
        <v/>
      </c>
    </row>
    <row r="760">
      <c r="B760" s="9" t="n">
        <v>758</v>
      </c>
      <c r="C760" s="10" t="inlineStr">
        <is>
          <t>Branding Officer</t>
        </is>
      </c>
      <c r="D760" s="10" t="inlineStr">
        <is>
          <t>VARD Vung Tau Limited</t>
        </is>
      </c>
      <c r="E760" s="10" t="inlineStr">
        <is>
          <t>Thương lượng</t>
        </is>
      </c>
      <c r="F760" s="10" t="inlineStr">
        <is>
          <t>Hồ Chí Minh</t>
        </is>
      </c>
      <c r="G760" s="10" t="inlineStr">
        <is>
          <t>Nhân viên</t>
        </is>
      </c>
      <c r="H760" s="10" t="inlineStr">
        <is>
          <t>04/02/2026</t>
        </is>
      </c>
      <c r="I760" s="10" t="inlineStr">
        <is>
          <t>21/03/2026</t>
        </is>
      </c>
      <c r="J760" s="10" t="inlineStr">
        <is>
          <t>17/03/2026</t>
        </is>
      </c>
      <c r="K760" s="10" t="inlineStr">
        <is>
          <t>N/A</t>
        </is>
      </c>
      <c r="L760" s="10" t="inlineStr">
        <is>
          <t>Branding, Branding Marketing, Marketing Planning, Social Media Branding, Truyền Thông Thương Hiệu</t>
        </is>
      </c>
      <c r="M760" s="10" t="inlineStr">
        <is>
          <t>Bonus, Training, Laptop</t>
        </is>
      </c>
      <c r="N760" s="11">
        <f>HYPERLINK("https://www.vietnamworks.com/branding-officer-2009767-jv","Xem chi tiết")</f>
        <v/>
      </c>
      <c r="O760" s="10" t="n"/>
    </row>
    <row r="761">
      <c r="B761" s="7" t="n">
        <v>759</v>
      </c>
      <c r="C761" t="inlineStr">
        <is>
          <t>[Thanh Hóa] Nhân Viên Cơ Điện</t>
        </is>
      </c>
      <c r="D761" t="inlineStr">
        <is>
          <t>Công ty Cổ phần dược TH Pharma</t>
        </is>
      </c>
      <c r="E761" t="inlineStr">
        <is>
          <t>8tr-12tr ₫/tháng</t>
        </is>
      </c>
      <c r="F761" t="inlineStr">
        <is>
          <t>Thanh Hóa</t>
        </is>
      </c>
      <c r="G761" t="inlineStr">
        <is>
          <t>Nhân viên</t>
        </is>
      </c>
      <c r="H761" t="inlineStr">
        <is>
          <t>04/02/2026</t>
        </is>
      </c>
      <c r="I761" t="inlineStr">
        <is>
          <t>21/03/2026</t>
        </is>
      </c>
      <c r="J761" t="inlineStr">
        <is>
          <t>17/03/2026</t>
        </is>
      </c>
      <c r="K761" t="inlineStr">
        <is>
          <t>N/A</t>
        </is>
      </c>
      <c r="L761" t="inlineStr">
        <is>
          <t>Cơ Điện, Điện Công Nghiệp, Tự Động Hóa, Đảm Bảo Chất Lượng, Nhiệt tình</t>
        </is>
      </c>
      <c r="M761" t="inlineStr">
        <is>
          <t>Bonus, Others</t>
        </is>
      </c>
      <c r="N761" s="8">
        <f>HYPERLINK("https://www.vietnamworks.com/thanh-hoa-nhan-vien-co-dien-2009812-jv","Xem chi tiết")</f>
        <v/>
      </c>
    </row>
    <row r="762">
      <c r="B762" s="9" t="n">
        <v>760</v>
      </c>
      <c r="C762" s="10" t="inlineStr">
        <is>
          <t>Nhân Viên Sản Xuất</t>
        </is>
      </c>
      <c r="D762" s="10" t="inlineStr">
        <is>
          <t>CÔNG TY TNHH SẢN PHẨM SHOFU VIỆT NAM</t>
        </is>
      </c>
      <c r="E762" s="10" t="inlineStr">
        <is>
          <t>Từ 10tr ₫/tháng</t>
        </is>
      </c>
      <c r="F762" s="10" t="inlineStr">
        <is>
          <t>Ninh Bình</t>
        </is>
      </c>
      <c r="G762" s="10" t="inlineStr">
        <is>
          <t>Nhân viên</t>
        </is>
      </c>
      <c r="H762" s="10" t="inlineStr">
        <is>
          <t>04/02/2026</t>
        </is>
      </c>
      <c r="I762" s="10" t="inlineStr">
        <is>
          <t>21/03/2026</t>
        </is>
      </c>
      <c r="J762" s="10" t="inlineStr">
        <is>
          <t>17/03/2026</t>
        </is>
      </c>
      <c r="K762" s="10" t="inlineStr">
        <is>
          <t>N/A</t>
        </is>
      </c>
      <c r="L762" s="10" t="inlineStr">
        <is>
          <t>Kế Hoạch Sản Xuất, Kỹ Thuật, Sản xuất</t>
        </is>
      </c>
      <c r="M762" s="10" t="inlineStr">
        <is>
          <t>Others</t>
        </is>
      </c>
      <c r="N762" s="11">
        <f>HYPERLINK("https://www.vietnamworks.com/nhan-vien-san-xuat--2009810-jv","Xem chi tiết")</f>
        <v/>
      </c>
      <c r="O762" s="10" t="n"/>
    </row>
    <row r="763">
      <c r="B763" s="7" t="n">
        <v>761</v>
      </c>
      <c r="C763" t="inlineStr">
        <is>
          <t>Nhân Viên Đảm Bảo Chất Lượng (QA/QC) - Mảng Dược</t>
        </is>
      </c>
      <c r="D763" t="inlineStr">
        <is>
          <t>Công ty Cổ phần dược TH Pharma</t>
        </is>
      </c>
      <c r="E763" t="inlineStr">
        <is>
          <t>7.1tr-9tr ₫/tháng</t>
        </is>
      </c>
      <c r="F763" t="inlineStr">
        <is>
          <t>Thanh Hóa</t>
        </is>
      </c>
      <c r="G763" t="inlineStr">
        <is>
          <t>Nhân viên</t>
        </is>
      </c>
      <c r="H763" t="inlineStr">
        <is>
          <t>04/02/2026</t>
        </is>
      </c>
      <c r="I763" t="inlineStr">
        <is>
          <t>21/03/2026</t>
        </is>
      </c>
      <c r="J763" t="inlineStr">
        <is>
          <t>17/03/2026</t>
        </is>
      </c>
      <c r="K763" t="inlineStr">
        <is>
          <t>N/A</t>
        </is>
      </c>
      <c r="L763" t="inlineStr">
        <is>
          <t>Đảm Bảo Chất Lượng, Kiểm Tra Quy Trình, Kiểm Soát Hồ Sơ, Dược, IPC Standards</t>
        </is>
      </c>
      <c r="M763" t="inlineStr">
        <is>
          <t>Bonus, Healthcare Plan, Others</t>
        </is>
      </c>
      <c r="N763" s="8">
        <f>HYPERLINK("https://www.vietnamworks.com/nhan-vien-djam-bao-chat-luong-qaqc-mang-duoc-2009816-jv","Xem chi tiết")</f>
        <v/>
      </c>
    </row>
    <row r="764">
      <c r="B764" s="9" t="n">
        <v>762</v>
      </c>
      <c r="C764" s="10" t="inlineStr">
        <is>
          <t>Chuyên Viên Kinh Doanh/ Sales Executive</t>
        </is>
      </c>
      <c r="D764" s="10" t="inlineStr">
        <is>
          <t>CÔNG TY TNHH BẢO HIỂM SHINHAN LIFE VIỆT NAMLife VN - Ms Thu</t>
        </is>
      </c>
      <c r="E764" s="10" t="inlineStr">
        <is>
          <t>Từ 6tr ₫/tháng</t>
        </is>
      </c>
      <c r="F764" s="10" t="inlineStr">
        <is>
          <t>Hồ Chí Minh</t>
        </is>
      </c>
      <c r="G764" s="10" t="inlineStr">
        <is>
          <t>Mới Tốt Nghiệp</t>
        </is>
      </c>
      <c r="H764" s="10" t="inlineStr">
        <is>
          <t>04/02/2026</t>
        </is>
      </c>
      <c r="I764" s="10" t="inlineStr">
        <is>
          <t>21/03/2026</t>
        </is>
      </c>
      <c r="J764" s="10" t="inlineStr">
        <is>
          <t>17/03/2026</t>
        </is>
      </c>
      <c r="K764" s="10" t="inlineStr">
        <is>
          <t>N/A</t>
        </is>
      </c>
      <c r="L764" s="10" t="inlineStr">
        <is>
          <t>Sales, Chăm Sóc Khách Hàng, ngân hàng, Tài chính Ngân hàng</t>
        </is>
      </c>
      <c r="M764" s="10" t="inlineStr">
        <is>
          <t>Bonus, Training, Others</t>
        </is>
      </c>
      <c r="N764" s="11">
        <f>HYPERLINK("https://www.vietnamworks.com/chuyen-vien-kinh-doanh-sales-executive-2009814-jv","Xem chi tiết")</f>
        <v/>
      </c>
      <c r="O764" s="10" t="n"/>
    </row>
    <row r="765">
      <c r="B765" s="7" t="n">
        <v>763</v>
      </c>
      <c r="C765" t="inlineStr">
        <is>
          <t>Nhân Viên Kĩ Thuật</t>
        </is>
      </c>
      <c r="D765" t="inlineStr">
        <is>
          <t>CÔNG TY TNHH SẢN PHẨM SHOFU VIỆT NAM</t>
        </is>
      </c>
      <c r="E765" t="inlineStr">
        <is>
          <t>Từ 10tr ₫/tháng</t>
        </is>
      </c>
      <c r="F765" t="inlineStr">
        <is>
          <t>Ninh Bình</t>
        </is>
      </c>
      <c r="G765" t="inlineStr">
        <is>
          <t>Nhân viên</t>
        </is>
      </c>
      <c r="H765" t="inlineStr">
        <is>
          <t>04/02/2026</t>
        </is>
      </c>
      <c r="I765" t="inlineStr">
        <is>
          <t>21/03/2026</t>
        </is>
      </c>
      <c r="J765" t="inlineStr">
        <is>
          <t>17/03/2026</t>
        </is>
      </c>
      <c r="K765" t="inlineStr">
        <is>
          <t>N/A</t>
        </is>
      </c>
      <c r="L765" t="inlineStr">
        <is>
          <t>Cải Tiến Sản Phẩm, Kỹ Thuật Sản Xuất, Lập Kế Hoạch Bảo Trì, QMS, Quản Lý Vật Tư</t>
        </is>
      </c>
      <c r="M765" t="inlineStr">
        <is>
          <t>Others</t>
        </is>
      </c>
      <c r="N765" s="8">
        <f>HYPERLINK("https://www.vietnamworks.com/nhan-vien-ki-thuat--2009815-jv","Xem chi tiết")</f>
        <v/>
      </c>
    </row>
    <row r="766">
      <c r="B766" s="9" t="n">
        <v>764</v>
      </c>
      <c r="C766" s="10" t="inlineStr">
        <is>
          <t>Country Transport Manager</t>
        </is>
      </c>
      <c r="D766" s="10" t="inlineStr">
        <is>
          <t>Maersk Vietnam Ltd.</t>
        </is>
      </c>
      <c r="E766" s="10" t="inlineStr">
        <is>
          <t>Thương lượng</t>
        </is>
      </c>
      <c r="F766" s="10" t="inlineStr">
        <is>
          <t>Hồ Chí Minh</t>
        </is>
      </c>
      <c r="G766" s="10" t="inlineStr">
        <is>
          <t>Trưởng phòng</t>
        </is>
      </c>
      <c r="H766" s="10" t="inlineStr">
        <is>
          <t>04/02/2026</t>
        </is>
      </c>
      <c r="I766" s="10" t="inlineStr">
        <is>
          <t>21/03/2026</t>
        </is>
      </c>
      <c r="J766" s="10" t="inlineStr">
        <is>
          <t>17/03/2026</t>
        </is>
      </c>
      <c r="K766" s="10" t="inlineStr">
        <is>
          <t>N/A</t>
        </is>
      </c>
      <c r="L766" s="10" t="inlineStr">
        <is>
          <t>Customs Brokerage, Cross Border Trucking, Trucking, Domestics Transportation, Incoterms</t>
        </is>
      </c>
      <c r="M766" s="10" t="inlineStr">
        <is>
          <t>Bonus, Healthcare Plan, Training</t>
        </is>
      </c>
      <c r="N766" s="11">
        <f>HYPERLINK("https://www.vietnamworks.com/country-transport-manager--2009803-jv","Xem chi tiết")</f>
        <v/>
      </c>
      <c r="O766" s="10" t="n"/>
    </row>
    <row r="767">
      <c r="B767" s="7" t="n">
        <v>765</v>
      </c>
      <c r="C767" t="inlineStr">
        <is>
          <t>PPC-Sales Assistant Manager</t>
        </is>
      </c>
      <c r="D767" t="inlineStr">
        <is>
          <t>Vietnamworks' Client</t>
        </is>
      </c>
      <c r="E767" t="inlineStr">
        <is>
          <t>25tr-30tr ₫/tháng</t>
        </is>
      </c>
      <c r="F767" t="inlineStr">
        <is>
          <t>Ninh Bình</t>
        </is>
      </c>
      <c r="G767" t="inlineStr">
        <is>
          <t>Nhân viên</t>
        </is>
      </c>
      <c r="H767" t="inlineStr">
        <is>
          <t>04/02/2026</t>
        </is>
      </c>
      <c r="I767" t="inlineStr">
        <is>
          <t>21/03/2026</t>
        </is>
      </c>
      <c r="J767" t="inlineStr">
        <is>
          <t>17/03/2026</t>
        </is>
      </c>
      <c r="K767" t="inlineStr">
        <is>
          <t>N/A</t>
        </is>
      </c>
      <c r="L767" t="inlineStr">
        <is>
          <t>Quản Trị Đội Ngũ, Hiểu Biết Về Vải Dệt Kim, Dệt May, Tiếng Trung, Tìm Kiếm Khách Hàng</t>
        </is>
      </c>
      <c r="M767" t="inlineStr">
        <is>
          <t>Bonus, Training, Canteen</t>
        </is>
      </c>
      <c r="N767" s="8">
        <f>HYPERLINK("https://www.vietnamworks.com/ppc-sales-assistant-manager-2009817-jv","Xem chi tiết")</f>
        <v/>
      </c>
    </row>
    <row r="768">
      <c r="B768" s="9" t="n">
        <v>766</v>
      </c>
      <c r="C768" s="10" t="inlineStr">
        <is>
          <t>Field Trade Marketing - PG Supervisor</t>
        </is>
      </c>
      <c r="D768" s="10" t="inlineStr">
        <is>
          <t>Abbott</t>
        </is>
      </c>
      <c r="E768" s="10" t="inlineStr">
        <is>
          <t>20tr-30tr ₫/tháng</t>
        </is>
      </c>
      <c r="F768" s="10" t="inlineStr">
        <is>
          <t>Hà Nội, Thanh Hóa, Thái Nguyên</t>
        </is>
      </c>
      <c r="G768" s="10" t="inlineStr">
        <is>
          <t>Trưởng phòng</t>
        </is>
      </c>
      <c r="H768" s="10" t="inlineStr">
        <is>
          <t>04/02/2026</t>
        </is>
      </c>
      <c r="I768" s="10" t="inlineStr">
        <is>
          <t>21/03/2026</t>
        </is>
      </c>
      <c r="J768" s="10" t="inlineStr">
        <is>
          <t>17/03/2026</t>
        </is>
      </c>
      <c r="K768" s="10" t="inlineStr">
        <is>
          <t>N/A</t>
        </is>
      </c>
      <c r="L768" s="10" t="inlineStr">
        <is>
          <t>Giải Quyết Vấn Đề, Kỹ Năng Excel, Kỹ năng giao tiếp, Phân Tích Dữ Liệu</t>
        </is>
      </c>
      <c r="M768" s="10" t="inlineStr">
        <is>
          <t>Bonus, Healthcare Plan, Training, Laptop, Team Activities, Transportation</t>
        </is>
      </c>
      <c r="N768" s="11">
        <f>HYPERLINK("https://www.vietnamworks.com/field-trade-marketing-pg-supervisor-2009809-jv","Xem chi tiết")</f>
        <v/>
      </c>
      <c r="O768" s="10" t="n"/>
    </row>
    <row r="769">
      <c r="B769" s="7" t="n">
        <v>767</v>
      </c>
      <c r="C769" t="inlineStr">
        <is>
          <t>Giám Đốc Dự Án (Dự Án Khu Vực Miền Bắc và Miền Nam)</t>
        </is>
      </c>
      <c r="D769" t="inlineStr">
        <is>
          <t>Công Ty Cổ phần Ứng Dụng Và Chuyển Giao Công Nghệ Xây Dựng (CJSC)</t>
        </is>
      </c>
      <c r="E769" t="inlineStr">
        <is>
          <t>Thương lượng</t>
        </is>
      </c>
      <c r="F769" t="inlineStr">
        <is>
          <t>Hà Nội, Hồ Chí Minh</t>
        </is>
      </c>
      <c r="G769" t="inlineStr">
        <is>
          <t>Giám Đốc và Cấp Cao Hơn</t>
        </is>
      </c>
      <c r="H769" t="inlineStr">
        <is>
          <t>04/02/2026</t>
        </is>
      </c>
      <c r="I769" t="inlineStr">
        <is>
          <t>21/03/2026</t>
        </is>
      </c>
      <c r="J769" t="inlineStr">
        <is>
          <t>17/03/2026</t>
        </is>
      </c>
      <c r="K769" t="inlineStr">
        <is>
          <t>N/A</t>
        </is>
      </c>
      <c r="L769" t="inlineStr">
        <is>
          <t>Quản Lý Dự Án, Giám Sát Ngân Sách, Quản lý chất lượng, Quản Lý Rủi Ro, Kỹ năng điều phối</t>
        </is>
      </c>
      <c r="M769" t="inlineStr">
        <is>
          <t>Bonus, Healthcare Plan, Travel Opportunities, Team Activities, Others</t>
        </is>
      </c>
      <c r="N769" s="8">
        <f>HYPERLINK("https://www.vietnamworks.com/giam-djoc-du-an-du-an-khu-vuc-mien-bac-va-mien-nam-2009811-jv","Xem chi tiết")</f>
        <v/>
      </c>
    </row>
    <row r="770">
      <c r="B770" s="9" t="n">
        <v>768</v>
      </c>
      <c r="C770" s="10" t="inlineStr">
        <is>
          <t>Nhân Viên Mua Hàng (Purchasing)/ Xuất Nhập Khẩu – Không Kinh Nghiệm Sẽ Được Đào Tạo</t>
        </is>
      </c>
      <c r="D770" s="10" t="inlineStr">
        <is>
          <t>Công Ty TNHH Tds Việt Nam</t>
        </is>
      </c>
      <c r="E770" s="10" t="inlineStr">
        <is>
          <t>$$ 400-550 /tháng</t>
        </is>
      </c>
      <c r="F770" s="10" t="inlineStr">
        <is>
          <t>Ninh Bình, Hà Nam</t>
        </is>
      </c>
      <c r="G770" s="10" t="inlineStr">
        <is>
          <t>Nhân viên</t>
        </is>
      </c>
      <c r="H770" s="10" t="inlineStr">
        <is>
          <t>04/02/2026</t>
        </is>
      </c>
      <c r="I770" s="10" t="inlineStr">
        <is>
          <t>21/03/2026</t>
        </is>
      </c>
      <c r="J770" s="10" t="inlineStr">
        <is>
          <t>17/03/2026</t>
        </is>
      </c>
      <c r="K770" s="10" t="inlineStr">
        <is>
          <t>N/A</t>
        </is>
      </c>
      <c r="L770" s="10" t="inlineStr">
        <is>
          <t>Xuất Nhập Khẩu, Mua Hàng, Tiếng Nhật, Purchasing, Purchasing &amp; Sourcing Management</t>
        </is>
      </c>
      <c r="M770" s="10" t="inlineStr">
        <is>
          <t>Bonus, Healthcare Plan, Transportation</t>
        </is>
      </c>
      <c r="N770" s="11">
        <f>HYPERLINK("https://www.vietnamworks.com/nhan-vien-mua-hang-purchasing-xuat-nhap-khau-khong-kinh-nghiem-se-duoc-dao-tao--2009799-jv","Xem chi tiết")</f>
        <v/>
      </c>
      <c r="O770" s="10" t="n"/>
    </row>
    <row r="771">
      <c r="B771" s="7" t="n">
        <v>769</v>
      </c>
      <c r="C771" t="inlineStr">
        <is>
          <t>[Tuyển Gấp] Chuyên Viên Kinh Doanh Logistics</t>
        </is>
      </c>
      <c r="D771" t="inlineStr">
        <is>
          <t>Xuân Cầu Holdings</t>
        </is>
      </c>
      <c r="E771" t="inlineStr">
        <is>
          <t>Thương lượng</t>
        </is>
      </c>
      <c r="F771" t="inlineStr">
        <is>
          <t>Hà Nội</t>
        </is>
      </c>
      <c r="G771" t="inlineStr">
        <is>
          <t>Nhân viên</t>
        </is>
      </c>
      <c r="H771" t="inlineStr">
        <is>
          <t>04/02/2026</t>
        </is>
      </c>
      <c r="I771" t="inlineStr">
        <is>
          <t>21/03/2026</t>
        </is>
      </c>
      <c r="J771" t="inlineStr">
        <is>
          <t>17/03/2026</t>
        </is>
      </c>
      <c r="K771" t="inlineStr">
        <is>
          <t>N/A</t>
        </is>
      </c>
      <c r="L771" t="inlineStr">
        <is>
          <t>Xuất Nhập Khẩu, Kinh Doanh, Kinh Doanh Kho Bãi, Logistics</t>
        </is>
      </c>
      <c r="M771" t="inlineStr">
        <is>
          <t>Bonus, Healthcare Plan, Paid Leave</t>
        </is>
      </c>
      <c r="N771" s="8">
        <f>HYPERLINK("https://www.vietnamworks.com/tuyen-gap-chuyen-vien-kinh-doanh-logistics-2009827-jv","Xem chi tiết")</f>
        <v/>
      </c>
    </row>
    <row r="772">
      <c r="B772" s="9" t="n">
        <v>770</v>
      </c>
      <c r="C772" s="10" t="inlineStr">
        <is>
          <t>Nhân Viên Kế Toán</t>
        </is>
      </c>
      <c r="D772" s="10" t="inlineStr">
        <is>
          <t>Công Ty Cổ Phần Đầu Tư Xây Dựng SOL E&amp;C</t>
        </is>
      </c>
      <c r="E772" s="10" t="inlineStr">
        <is>
          <t>Thương lượng</t>
        </is>
      </c>
      <c r="F772" s="10" t="inlineStr">
        <is>
          <t>Hồ Chí Minh</t>
        </is>
      </c>
      <c r="G772" s="10" t="inlineStr">
        <is>
          <t>Nhân viên</t>
        </is>
      </c>
      <c r="H772" s="10" t="inlineStr">
        <is>
          <t>04/02/2026</t>
        </is>
      </c>
      <c r="I772" s="10" t="inlineStr">
        <is>
          <t>21/03/2026</t>
        </is>
      </c>
      <c r="J772" s="10" t="inlineStr">
        <is>
          <t>17/03/2026</t>
        </is>
      </c>
      <c r="K772" s="10" t="inlineStr">
        <is>
          <t>N/A</t>
        </is>
      </c>
      <c r="L772" s="10" t="inlineStr">
        <is>
          <t>Kế Toán, Kế Toán Ngân Hàng, Kế Toán Thanh Toán, Kế Toán Công Nợ, Accountant</t>
        </is>
      </c>
      <c r="M772" s="10" t="inlineStr">
        <is>
          <t>Bonus, Healthcare Plan, Others</t>
        </is>
      </c>
      <c r="N772" s="11">
        <f>HYPERLINK("https://www.vietnamworks.com/nhan-vien-ke-toan--2009826-jv","Xem chi tiết")</f>
        <v/>
      </c>
      <c r="O772" s="10" t="n"/>
    </row>
    <row r="773">
      <c r="B773" s="7" t="n">
        <v>771</v>
      </c>
      <c r="C773" t="inlineStr">
        <is>
          <t>Chuyên Viên Quản Trị Vận Hành Oms</t>
        </is>
      </c>
      <c r="D773" t="inlineStr">
        <is>
          <t>Vietnamworks' Client</t>
        </is>
      </c>
      <c r="E773" t="inlineStr">
        <is>
          <t>15tr-25tr ₫/tháng</t>
        </is>
      </c>
      <c r="F773" t="inlineStr">
        <is>
          <t>Hà Nội</t>
        </is>
      </c>
      <c r="G773" t="inlineStr">
        <is>
          <t>Nhân viên</t>
        </is>
      </c>
      <c r="H773" t="inlineStr">
        <is>
          <t>04/02/2026</t>
        </is>
      </c>
      <c r="I773" t="inlineStr">
        <is>
          <t>21/03/2026</t>
        </is>
      </c>
      <c r="J773" t="inlineStr">
        <is>
          <t>17/03/2026</t>
        </is>
      </c>
      <c r="K773" t="inlineStr">
        <is>
          <t>N/A</t>
        </is>
      </c>
      <c r="L773" t="inlineStr">
        <is>
          <t>kho, Logistics, Phân Tích Dữ Liệu, Quản Lý Dự Án, Vận Tải</t>
        </is>
      </c>
      <c r="M773" t="inlineStr">
        <is>
          <t>Bonus, Healthcare Plan, Others</t>
        </is>
      </c>
      <c r="N773" s="8">
        <f>HYPERLINK("https://www.vietnamworks.com/chuyen-vien-quan-tri-van-hanh-oms-2009808-jv","Xem chi tiết")</f>
        <v/>
      </c>
    </row>
    <row r="774">
      <c r="B774" s="9" t="n">
        <v>772</v>
      </c>
      <c r="C774" s="10" t="inlineStr">
        <is>
          <t>Sales Tour Inbound (English/German/French Speaking)</t>
        </is>
      </c>
      <c r="D774" s="10" t="inlineStr">
        <is>
          <t>Công Ty Easia Travel</t>
        </is>
      </c>
      <c r="E774" s="10" t="inlineStr">
        <is>
          <t>Thương lượng</t>
        </is>
      </c>
      <c r="F774" s="10" t="inlineStr">
        <is>
          <t>Hà Nội</t>
        </is>
      </c>
      <c r="G774" s="10" t="inlineStr">
        <is>
          <t>Nhân viên</t>
        </is>
      </c>
      <c r="H774" s="10" t="inlineStr">
        <is>
          <t>04/02/2026</t>
        </is>
      </c>
      <c r="I774" s="10" t="inlineStr">
        <is>
          <t>21/03/2026</t>
        </is>
      </c>
      <c r="J774" s="10" t="inlineStr">
        <is>
          <t>17/03/2026</t>
        </is>
      </c>
      <c r="K774" s="10" t="inlineStr">
        <is>
          <t>N/A</t>
        </is>
      </c>
      <c r="L774" s="10" t="inlineStr">
        <is>
          <t>Inbound Tour, Inbound Sales, Tourism, B2B Sales, Du Lịch Lữ Hành</t>
        </is>
      </c>
      <c r="M774" s="10" t="inlineStr">
        <is>
          <t>Bonus, Healthcare Plan, Travel Opportunities</t>
        </is>
      </c>
      <c r="N774" s="11">
        <f>HYPERLINK("https://www.vietnamworks.com/sales-tour-inbound-english-german-french-speaking--2009813-jv","Xem chi tiết")</f>
        <v/>
      </c>
      <c r="O774" s="10" t="n"/>
    </row>
    <row r="775">
      <c r="B775" s="7" t="n">
        <v>773</v>
      </c>
      <c r="C775" t="inlineStr">
        <is>
          <t>Specialist, Chemical Management</t>
        </is>
      </c>
      <c r="D775" t="inlineStr">
        <is>
          <t>Công Ty TNHH Pandora Production Việt Nam</t>
        </is>
      </c>
      <c r="E775" t="inlineStr">
        <is>
          <t>Thương lượng</t>
        </is>
      </c>
      <c r="F775" t="inlineStr">
        <is>
          <t>Bình Dương</t>
        </is>
      </c>
      <c r="G775" t="inlineStr">
        <is>
          <t>Nhân viên</t>
        </is>
      </c>
      <c r="H775" t="inlineStr">
        <is>
          <t>04/02/2026</t>
        </is>
      </c>
      <c r="I775" t="inlineStr">
        <is>
          <t>21/03/2026</t>
        </is>
      </c>
      <c r="J775" t="inlineStr">
        <is>
          <t>17/03/2026</t>
        </is>
      </c>
      <c r="K775" t="inlineStr">
        <is>
          <t>N/A</t>
        </is>
      </c>
      <c r="L775" t="inlineStr">
        <is>
          <t>Chemical, Communication, OHS Compliance, Safety Management, Spill Response</t>
        </is>
      </c>
      <c r="M775" t="inlineStr">
        <is>
          <t>Bonus, Healthcare Plan, Laptop, Transportation</t>
        </is>
      </c>
      <c r="N775" s="8">
        <f>HYPERLINK("https://www.vietnamworks.com/specialist-chemical-management-2009821-jv","Xem chi tiết")</f>
        <v/>
      </c>
    </row>
    <row r="776">
      <c r="B776" s="9" t="n">
        <v>774</v>
      </c>
      <c r="C776" s="10" t="inlineStr">
        <is>
          <t>Trưởng Phòng Sản Xuất / 生産マネジャー</t>
        </is>
      </c>
      <c r="D776" s="10" t="inlineStr">
        <is>
          <t>CÔNG TY TNHH SẢN PHẨM SHOFU VIỆT NAM</t>
        </is>
      </c>
      <c r="E776" s="10" t="inlineStr">
        <is>
          <t>30tr-35tr ₫/tháng</t>
        </is>
      </c>
      <c r="F776" s="10" t="inlineStr">
        <is>
          <t>Ninh Bình</t>
        </is>
      </c>
      <c r="G776" s="10" t="inlineStr">
        <is>
          <t>Trưởng phòng</t>
        </is>
      </c>
      <c r="H776" s="10" t="inlineStr">
        <is>
          <t>04/02/2026</t>
        </is>
      </c>
      <c r="I776" s="10" t="inlineStr">
        <is>
          <t>21/03/2026</t>
        </is>
      </c>
      <c r="J776" s="10" t="inlineStr">
        <is>
          <t>17/03/2026</t>
        </is>
      </c>
      <c r="K776" s="10" t="inlineStr">
        <is>
          <t>N/A</t>
        </is>
      </c>
      <c r="L776" s="10" t="inlineStr">
        <is>
          <t>Quản Lý Chất Lượng, Quản Lý Chi Phí, Quản Lý Nhân Lực, Quản Lý Sản Xuất, Tiếng Nhật N3</t>
        </is>
      </c>
      <c r="M776" s="10" t="inlineStr">
        <is>
          <t>Others</t>
        </is>
      </c>
      <c r="N776" s="11">
        <f>HYPERLINK("https://www.vietnamworks.com/truong-phong-san-xuat-2009806-jv","Xem chi tiết")</f>
        <v/>
      </c>
      <c r="O776" s="10" t="n"/>
    </row>
    <row r="777">
      <c r="B777" s="7" t="n">
        <v>775</v>
      </c>
      <c r="C777" t="inlineStr">
        <is>
          <t>[Đà Nẵng] Technical Support Engineer /Kỹ Sư Hỗ Trợ Kỹ Thuật HVAC</t>
        </is>
      </c>
      <c r="D777" t="inlineStr">
        <is>
          <t>Daikin Air Conditioning (Vietnam) Joint Stock Company</t>
        </is>
      </c>
      <c r="E777" t="inlineStr">
        <is>
          <t>Thương lượng</t>
        </is>
      </c>
      <c r="F777" t="inlineStr">
        <is>
          <t>Đà Nẵng</t>
        </is>
      </c>
      <c r="G777" t="inlineStr">
        <is>
          <t>Nhân viên</t>
        </is>
      </c>
      <c r="H777" t="inlineStr">
        <is>
          <t>04/02/2026</t>
        </is>
      </c>
      <c r="I777" t="inlineStr">
        <is>
          <t>21/03/2026</t>
        </is>
      </c>
      <c r="J777" t="inlineStr">
        <is>
          <t>17/03/2026</t>
        </is>
      </c>
      <c r="K777" t="inlineStr">
        <is>
          <t>N/A</t>
        </is>
      </c>
      <c r="L777" t="inlineStr">
        <is>
          <t>Equipment Installation, HVAC, HVAC Design, Mechanical Engineering, Technical Support</t>
        </is>
      </c>
      <c r="M777" t="inlineStr">
        <is>
          <t>Bonus, Healthcare Plan, Travel Opportunities</t>
        </is>
      </c>
      <c r="N777" s="8">
        <f>HYPERLINK("https://www.vietnamworks.com/dja-nang-technical-support-engineer-ky-su-ho-tro-ky-thuat-hvac-2009830-jv","Xem chi tiết")</f>
        <v/>
      </c>
    </row>
    <row r="778">
      <c r="B778" s="9" t="n">
        <v>776</v>
      </c>
      <c r="C778" s="10" t="inlineStr">
        <is>
          <t>Chuyên Viên Quản Lý Hợp Đồng</t>
        </is>
      </c>
      <c r="D778" s="10" t="inlineStr">
        <is>
          <t>Cairncross Martin Vietnam Co. Ltd</t>
        </is>
      </c>
      <c r="E778" s="10" t="inlineStr">
        <is>
          <t>Thương lượng</t>
        </is>
      </c>
      <c r="F778" s="10" t="inlineStr">
        <is>
          <t>Hồ Chí Minh</t>
        </is>
      </c>
      <c r="G778" s="10" t="inlineStr">
        <is>
          <t>Nhân viên</t>
        </is>
      </c>
      <c r="H778" s="10" t="inlineStr">
        <is>
          <t>04/02/2026</t>
        </is>
      </c>
      <c r="I778" s="10" t="inlineStr">
        <is>
          <t>21/03/2026</t>
        </is>
      </c>
      <c r="J778" s="10" t="inlineStr">
        <is>
          <t>17/03/2026</t>
        </is>
      </c>
      <c r="K778" s="10" t="inlineStr">
        <is>
          <t>N/A</t>
        </is>
      </c>
      <c r="L778" s="10" t="inlineStr">
        <is>
          <t>Đàm Phán Hợp Đồng</t>
        </is>
      </c>
      <c r="M778" s="10" t="inlineStr">
        <is>
          <t>Bonus</t>
        </is>
      </c>
      <c r="N778" s="11">
        <f>HYPERLINK("https://www.vietnamworks.com/chuyen-vien-quan-ly-hop-djong-2009836-jv","Xem chi tiết")</f>
        <v/>
      </c>
      <c r="O778" s="10" t="n"/>
    </row>
    <row r="779">
      <c r="B779" s="7" t="n">
        <v>777</v>
      </c>
      <c r="C779" t="inlineStr">
        <is>
          <t>Chuyên Gia Xử Lý Nước Thải (Environmental Specialist)</t>
        </is>
      </c>
      <c r="D779" t="inlineStr">
        <is>
          <t>Công ty Cổ phần Vinhomes</t>
        </is>
      </c>
      <c r="E779" t="inlineStr">
        <is>
          <t>Thương lượng</t>
        </is>
      </c>
      <c r="F779" t="inlineStr">
        <is>
          <t>Hà Nội, Hồ Chí Minh</t>
        </is>
      </c>
      <c r="G779" t="inlineStr">
        <is>
          <t>Trưởng phòng</t>
        </is>
      </c>
      <c r="H779" t="inlineStr">
        <is>
          <t>04/02/2026</t>
        </is>
      </c>
      <c r="I779" t="inlineStr">
        <is>
          <t>21/03/2026</t>
        </is>
      </c>
      <c r="J779" t="inlineStr">
        <is>
          <t>17/03/2026</t>
        </is>
      </c>
      <c r="K779" t="inlineStr">
        <is>
          <t>N/A</t>
        </is>
      </c>
      <c r="L779" t="inlineStr">
        <is>
          <t>Môi Trường, sinh học, Hóa Sinh</t>
        </is>
      </c>
      <c r="M779" t="inlineStr">
        <is>
          <t>Bonus, Healthcare Plan, Training</t>
        </is>
      </c>
      <c r="N779" s="8">
        <f>HYPERLINK("https://www.vietnamworks.com/chuyen-gia-xu-ly-nuoc-thai-environmental-specialist-2009854-jv","Xem chi tiết")</f>
        <v/>
      </c>
    </row>
    <row r="780">
      <c r="B780" s="9" t="n">
        <v>778</v>
      </c>
      <c r="C780" s="10" t="inlineStr">
        <is>
          <t>Kỹ Sư Hạ Tầng IT</t>
        </is>
      </c>
      <c r="D780" s="10" t="inlineStr">
        <is>
          <t>Sunjin Vina Co., Ltd</t>
        </is>
      </c>
      <c r="E780" s="10" t="inlineStr">
        <is>
          <t>$$ 400-600 /tháng</t>
        </is>
      </c>
      <c r="F780" s="10" t="inlineStr">
        <is>
          <t>Hồ Chí Minh, Đồng Nai</t>
        </is>
      </c>
      <c r="G780" s="10" t="inlineStr">
        <is>
          <t>Nhân viên</t>
        </is>
      </c>
      <c r="H780" s="10" t="inlineStr">
        <is>
          <t>04/02/2026</t>
        </is>
      </c>
      <c r="I780" s="10" t="inlineStr">
        <is>
          <t>21/03/2026</t>
        </is>
      </c>
      <c r="J780" s="10" t="inlineStr">
        <is>
          <t>17/03/2026</t>
        </is>
      </c>
      <c r="K780" s="10" t="inlineStr">
        <is>
          <t>N/A</t>
        </is>
      </c>
      <c r="L780" s="10" t="inlineStr">
        <is>
          <t>Tuyển Dụng, Nhân Sự, Human Resources, HR, Employee Relation</t>
        </is>
      </c>
      <c r="M780" s="10" t="inlineStr">
        <is>
          <t>Laptop, Transportation, Others</t>
        </is>
      </c>
      <c r="N780" s="11">
        <f>HYPERLINK("https://www.vietnamworks.com/ky-su-ha-tang-it-2009833-jv","Xem chi tiết")</f>
        <v/>
      </c>
      <c r="O780" s="10" t="n"/>
    </row>
    <row r="781">
      <c r="B781" s="7" t="n">
        <v>779</v>
      </c>
      <c r="C781" t="inlineStr">
        <is>
          <t>Cán Bộ Kỹ Thuật Phòng Dự Án</t>
        </is>
      </c>
      <c r="D781" t="inlineStr">
        <is>
          <t>Ban Quản lý dự án đầu tư - hạ tầng xã Thiên Lộc</t>
        </is>
      </c>
      <c r="E781" t="inlineStr">
        <is>
          <t>Thương lượng</t>
        </is>
      </c>
      <c r="F781" t="inlineStr">
        <is>
          <t>Hà Nội</t>
        </is>
      </c>
      <c r="G781" t="inlineStr">
        <is>
          <t>Nhân viên</t>
        </is>
      </c>
      <c r="H781" t="inlineStr">
        <is>
          <t>04/02/2026</t>
        </is>
      </c>
      <c r="I781" t="inlineStr">
        <is>
          <t>21/03/2026</t>
        </is>
      </c>
      <c r="J781" t="inlineStr">
        <is>
          <t>17/03/2026</t>
        </is>
      </c>
      <c r="K781" t="inlineStr">
        <is>
          <t>N/A</t>
        </is>
      </c>
      <c r="L781" t="inlineStr">
        <is>
          <t>Xây Dựng, Auto Cad, Kinh Tế Xây Dựng, Lập Hồ Sơ Thanh Toán, Nghiệm Thu</t>
        </is>
      </c>
      <c r="M781" t="inlineStr">
        <is>
          <t>Bonus</t>
        </is>
      </c>
      <c r="N781" s="8">
        <f>HYPERLINK("https://www.vietnamworks.com/can-bo-ky-thuat-phong-du-an-2009831-jv","Xem chi tiết")</f>
        <v/>
      </c>
    </row>
    <row r="782">
      <c r="B782" s="9" t="n">
        <v>780</v>
      </c>
      <c r="C782" s="10" t="inlineStr">
        <is>
          <t>Channel Development Manager (Trade Marketing) - GT Channel</t>
        </is>
      </c>
      <c r="D782" s="10" t="inlineStr">
        <is>
          <t>Abbott</t>
        </is>
      </c>
      <c r="E782" s="10" t="inlineStr">
        <is>
          <t>Thương lượng</t>
        </is>
      </c>
      <c r="F782" s="10" t="inlineStr">
        <is>
          <t>Hồ Chí Minh</t>
        </is>
      </c>
      <c r="G782" s="10" t="inlineStr">
        <is>
          <t>Trưởng phòng</t>
        </is>
      </c>
      <c r="H782" s="10" t="inlineStr">
        <is>
          <t>04/02/2026</t>
        </is>
      </c>
      <c r="I782" s="10" t="inlineStr">
        <is>
          <t>21/03/2026</t>
        </is>
      </c>
      <c r="J782" s="10" t="inlineStr">
        <is>
          <t>17/03/2026</t>
        </is>
      </c>
      <c r="K782" s="10" t="inlineStr">
        <is>
          <t>N/A</t>
        </is>
      </c>
      <c r="L782" s="10" t="inlineStr">
        <is>
          <t>Channel Development, Channel Development and Management, Channel Strategy, Trade Marketing</t>
        </is>
      </c>
      <c r="M782" s="10" t="inlineStr">
        <is>
          <t>Bonus, Healthcare Plan, Training</t>
        </is>
      </c>
      <c r="N782" s="11">
        <f>HYPERLINK("https://www.vietnamworks.com/channel-development-manager-trade-marketing-gt-channel-2009859-jv","Xem chi tiết")</f>
        <v/>
      </c>
      <c r="O782" s="10" t="n"/>
    </row>
    <row r="783">
      <c r="B783" s="7" t="n">
        <v>781</v>
      </c>
      <c r="C783" t="inlineStr">
        <is>
          <t>Cán Bộ Giải Phóng Mặt Bằng</t>
        </is>
      </c>
      <c r="D783" t="inlineStr">
        <is>
          <t>Ban Quản lý dự án đầu tư - hạ tầng xã Thiên Lộc</t>
        </is>
      </c>
      <c r="E783" t="inlineStr">
        <is>
          <t>Thương lượng</t>
        </is>
      </c>
      <c r="F783" t="inlineStr">
        <is>
          <t>Hà Nội</t>
        </is>
      </c>
      <c r="G783" t="inlineStr">
        <is>
          <t>Nhân viên</t>
        </is>
      </c>
      <c r="H783" t="inlineStr">
        <is>
          <t>04/02/2026</t>
        </is>
      </c>
      <c r="I783" t="inlineStr">
        <is>
          <t>21/03/2026</t>
        </is>
      </c>
      <c r="J783" t="inlineStr">
        <is>
          <t>17/03/2026</t>
        </is>
      </c>
      <c r="K783" t="inlineStr">
        <is>
          <t>N/A</t>
        </is>
      </c>
      <c r="L783" t="inlineStr">
        <is>
          <t>Autocad, Xây Dựng, Giải Phóng Mặt Bằng, Luật, Quản Lý Đất Đai</t>
        </is>
      </c>
      <c r="M783" t="inlineStr">
        <is>
          <t>Bonus, Healthcare Plan</t>
        </is>
      </c>
      <c r="N783" s="8">
        <f>HYPERLINK("https://www.vietnamworks.com/can-bo-giai-phong-mat-bang-2009832-jv","Xem chi tiết")</f>
        <v/>
      </c>
    </row>
    <row r="784">
      <c r="B784" s="9" t="n">
        <v>782</v>
      </c>
      <c r="C784" s="10" t="inlineStr">
        <is>
          <t>Clubhouse Manager</t>
        </is>
      </c>
      <c r="D784" s="10" t="inlineStr">
        <is>
          <t>Công Ty Cổ Phần Tập Đoàn BRG</t>
        </is>
      </c>
      <c r="E784" s="10" t="inlineStr">
        <is>
          <t>Thương lượng</t>
        </is>
      </c>
      <c r="F784" s="10" t="inlineStr">
        <is>
          <t>Hà Nội</t>
        </is>
      </c>
      <c r="G784" s="10" t="inlineStr">
        <is>
          <t>Trưởng phòng</t>
        </is>
      </c>
      <c r="H784" s="10" t="inlineStr">
        <is>
          <t>04/02/2026</t>
        </is>
      </c>
      <c r="I784" s="10" t="inlineStr">
        <is>
          <t>21/03/2026</t>
        </is>
      </c>
      <c r="J784" s="10" t="inlineStr">
        <is>
          <t>17/03/2026</t>
        </is>
      </c>
      <c r="K784" s="10" t="inlineStr">
        <is>
          <t>N/A</t>
        </is>
      </c>
      <c r="L784" s="10" t="inlineStr">
        <is>
          <t>Analytical Skills, Communication Skills, Human Resources Management, Leadership Skills, Training Capabilities</t>
        </is>
      </c>
      <c r="M784" s="10" t="inlineStr">
        <is>
          <t>Travel Opportunities</t>
        </is>
      </c>
      <c r="N784" s="11">
        <f>HYPERLINK("https://www.vietnamworks.com/clubhouse-manager-2009848-jv","Xem chi tiết")</f>
        <v/>
      </c>
      <c r="O784" s="10" t="n"/>
    </row>
    <row r="785">
      <c r="B785" s="7" t="n">
        <v>783</v>
      </c>
      <c r="C785" t="inlineStr">
        <is>
          <t>Chuyên Viên Cao Cấp An Ninh, Cứu Hộ Cứu Nạn</t>
        </is>
      </c>
      <c r="D785" t="inlineStr">
        <is>
          <t>Công Ty Cổ Phần Tổng Công Ty Nova Service</t>
        </is>
      </c>
      <c r="E785" t="inlineStr">
        <is>
          <t>Thương lượng</t>
        </is>
      </c>
      <c r="F785" t="inlineStr">
        <is>
          <t>Hồ Chí Minh</t>
        </is>
      </c>
      <c r="G785" t="inlineStr">
        <is>
          <t>Nhân viên</t>
        </is>
      </c>
      <c r="H785" t="inlineStr">
        <is>
          <t>04/02/2026</t>
        </is>
      </c>
      <c r="I785" t="inlineStr">
        <is>
          <t>21/03/2026</t>
        </is>
      </c>
      <c r="J785" t="inlineStr">
        <is>
          <t>17/03/2026</t>
        </is>
      </c>
      <c r="K785" t="inlineStr">
        <is>
          <t>N/A</t>
        </is>
      </c>
      <c r="L785" t="inlineStr">
        <is>
          <t>An Ninh Điều Tra, Cứu Hộ, Kiểm Tra An Ninh, Quản Trị Hệ Thống An Ninh, Bảo Vệ An Ninh</t>
        </is>
      </c>
      <c r="M785" t="inlineStr">
        <is>
          <t>Bonus, Paid Leave, Training</t>
        </is>
      </c>
      <c r="N785" s="8">
        <f>HYPERLINK("https://www.vietnamworks.com/chuyen-vien-cao-cap-an-ninh-cuu-ho-cuu-nan-2009840-jv","Xem chi tiết")</f>
        <v/>
      </c>
    </row>
    <row r="786">
      <c r="B786" s="9" t="n">
        <v>784</v>
      </c>
      <c r="C786" s="10" t="inlineStr">
        <is>
          <t>Market &amp; Liquidity Risk (Senior Officer/ Manager)</t>
        </is>
      </c>
      <c r="D786" s="10" t="inlineStr">
        <is>
          <t>United Overseas Bank (Vietnam) Limited (UOB)</t>
        </is>
      </c>
      <c r="E786" s="10" t="inlineStr">
        <is>
          <t>Thương lượng</t>
        </is>
      </c>
      <c r="F786" s="10" t="inlineStr">
        <is>
          <t>Hồ Chí Minh</t>
        </is>
      </c>
      <c r="G786" s="10" t="inlineStr">
        <is>
          <t>Nhân viên</t>
        </is>
      </c>
      <c r="H786" s="10" t="inlineStr">
        <is>
          <t>04/02/2026</t>
        </is>
      </c>
      <c r="I786" s="10" t="inlineStr">
        <is>
          <t>21/03/2026</t>
        </is>
      </c>
      <c r="J786" s="10" t="inlineStr">
        <is>
          <t>17/03/2026</t>
        </is>
      </c>
      <c r="K786" s="10" t="inlineStr">
        <is>
          <t>N/A</t>
        </is>
      </c>
      <c r="L786" s="10" t="inlineStr">
        <is>
          <t>Analytical Skills, Liquidity Risk Management, Market Risk Management, Sql Proficiency, VBA Excel</t>
        </is>
      </c>
      <c r="M786" s="10" t="inlineStr">
        <is>
          <t>Bonus, Healthcare Plan, Paid Leave, Others</t>
        </is>
      </c>
      <c r="N786" s="11">
        <f>HYPERLINK("https://www.vietnamworks.com/market-and-liquidity-risk-senior-officer-manager-2009866-jv","Xem chi tiết")</f>
        <v/>
      </c>
      <c r="O786" s="10" t="n"/>
    </row>
    <row r="787">
      <c r="B787" s="7" t="n">
        <v>785</v>
      </c>
      <c r="C787" t="inlineStr">
        <is>
          <t>Chief Accountant</t>
        </is>
      </c>
      <c r="D787" t="inlineStr">
        <is>
          <t>THE COCOA PROJECT</t>
        </is>
      </c>
      <c r="E787" t="inlineStr">
        <is>
          <t>Thương lượng</t>
        </is>
      </c>
      <c r="F787" t="inlineStr">
        <is>
          <t>Hồ Chí Minh</t>
        </is>
      </c>
      <c r="G787" t="inlineStr">
        <is>
          <t>Trưởng phòng</t>
        </is>
      </c>
      <c r="H787" t="inlineStr">
        <is>
          <t>04/02/2026</t>
        </is>
      </c>
      <c r="I787" t="inlineStr">
        <is>
          <t>21/03/2026</t>
        </is>
      </c>
      <c r="J787" t="inlineStr">
        <is>
          <t>17/03/2026</t>
        </is>
      </c>
      <c r="K787" t="inlineStr">
        <is>
          <t>N/A</t>
        </is>
      </c>
      <c r="L787" t="inlineStr">
        <is>
          <t>Chief Accountant Certificate, General Communication English, Tax Knowledge, Bachelor’S Degree In Finance, 8+ Years Of Accounting Experience</t>
        </is>
      </c>
      <c r="M787" t="inlineStr">
        <is>
          <t>Paid Leave, Training, Others</t>
        </is>
      </c>
      <c r="N787" s="8">
        <f>HYPERLINK("https://www.vietnamworks.com/chief-accountant-2009868-jv","Xem chi tiết")</f>
        <v/>
      </c>
    </row>
    <row r="788">
      <c r="B788" s="9" t="n">
        <v>786</v>
      </c>
      <c r="C788" s="10" t="inlineStr">
        <is>
          <t>Assistant Manager, Safety</t>
        </is>
      </c>
      <c r="D788" s="10" t="inlineStr">
        <is>
          <t>CapitaLand Development (Vietnam)</t>
        </is>
      </c>
      <c r="E788" s="10" t="inlineStr">
        <is>
          <t>Thương lượng</t>
        </is>
      </c>
      <c r="F788" s="10" t="inlineStr">
        <is>
          <t>Hà Nội</t>
        </is>
      </c>
      <c r="G788" s="10" t="inlineStr">
        <is>
          <t>Nhân viên</t>
        </is>
      </c>
      <c r="H788" s="10" t="inlineStr">
        <is>
          <t>04/02/2026</t>
        </is>
      </c>
      <c r="I788" s="10" t="inlineStr">
        <is>
          <t>21/03/2026</t>
        </is>
      </c>
      <c r="J788" s="10" t="inlineStr">
        <is>
          <t>17/03/2026</t>
        </is>
      </c>
      <c r="K788" s="10" t="inlineStr">
        <is>
          <t>N/A</t>
        </is>
      </c>
      <c r="L788" s="10" t="inlineStr">
        <is>
          <t>Environmental Technology, HSE, ISO 45001, Safety Management, Safety Works</t>
        </is>
      </c>
      <c r="M788" s="10" t="inlineStr">
        <is>
          <t>Bonus, Healthcare Plan, Laptop, Mobile, Travel Opportunities</t>
        </is>
      </c>
      <c r="N788" s="11">
        <f>HYPERLINK("https://www.vietnamworks.com/assistant-manager-safety-2009835-jv","Xem chi tiết")</f>
        <v/>
      </c>
      <c r="O788" s="10" t="n"/>
    </row>
    <row r="789">
      <c r="B789" s="7" t="n">
        <v>787</v>
      </c>
      <c r="C789" t="inlineStr">
        <is>
          <t>Planning Assistant Manager/Manager (Chinese speaking)</t>
        </is>
      </c>
      <c r="D789" t="inlineStr">
        <is>
          <t>Sharkninja Vietnam</t>
        </is>
      </c>
      <c r="E789" t="inlineStr">
        <is>
          <t>Thương lượng</t>
        </is>
      </c>
      <c r="F789" t="inlineStr">
        <is>
          <t>Hồ Chí Minh</t>
        </is>
      </c>
      <c r="G789" t="inlineStr">
        <is>
          <t>Nhân viên</t>
        </is>
      </c>
      <c r="H789" t="inlineStr">
        <is>
          <t>04/02/2026</t>
        </is>
      </c>
      <c r="I789" t="inlineStr">
        <is>
          <t>21/03/2026</t>
        </is>
      </c>
      <c r="J789" t="inlineStr">
        <is>
          <t>17/03/2026</t>
        </is>
      </c>
      <c r="K789" t="inlineStr">
        <is>
          <t>N/A</t>
        </is>
      </c>
      <c r="L789" t="inlineStr">
        <is>
          <t>Capacity Planning, Demand Management, English Communication, Inventory Control, Supply Chain Management</t>
        </is>
      </c>
      <c r="M789" t="inlineStr">
        <is>
          <t>Bonus, Healthcare Plan, Training</t>
        </is>
      </c>
      <c r="N789" s="8">
        <f>HYPERLINK("https://www.vietnamworks.com/planning-assistant-managermanager-chinese-speaking-2009851-jv","Xem chi tiết")</f>
        <v/>
      </c>
    </row>
    <row r="790">
      <c r="B790" s="9" t="n">
        <v>788</v>
      </c>
      <c r="C790" s="10" t="inlineStr">
        <is>
          <t>Senior Digital Product Manager (Tms, Dms, Ecommerce)</t>
        </is>
      </c>
      <c r="D790" s="10" t="inlineStr">
        <is>
          <t>HEINEKEN Vietnam</t>
        </is>
      </c>
      <c r="E790" s="10" t="inlineStr">
        <is>
          <t>Thương lượng</t>
        </is>
      </c>
      <c r="F790" s="10" t="inlineStr">
        <is>
          <t>Hồ Chí Minh</t>
        </is>
      </c>
      <c r="G790" s="10" t="inlineStr">
        <is>
          <t>Trưởng phòng</t>
        </is>
      </c>
      <c r="H790" s="10" t="inlineStr">
        <is>
          <t>04/02/2026</t>
        </is>
      </c>
      <c r="I790" s="10" t="inlineStr">
        <is>
          <t>21/03/2026</t>
        </is>
      </c>
      <c r="J790" s="10" t="inlineStr">
        <is>
          <t>17/03/2026</t>
        </is>
      </c>
      <c r="K790" s="10" t="inlineStr">
        <is>
          <t>N/A</t>
        </is>
      </c>
      <c r="L790" s="10" t="inlineStr">
        <is>
          <t>Product Management, English, TMS, DMS System management, Product Owner</t>
        </is>
      </c>
      <c r="M790" s="10" t="inlineStr">
        <is>
          <t>Healthcare Plan, Paid Leave, Canteen</t>
        </is>
      </c>
      <c r="N790" s="11">
        <f>HYPERLINK("https://www.vietnamworks.com/senior-digital-product-manager-tms-dms-ecommerce-2009844-jv","Xem chi tiết")</f>
        <v/>
      </c>
      <c r="O790" s="10" t="n"/>
    </row>
    <row r="791">
      <c r="B791" s="7" t="n">
        <v>789</v>
      </c>
      <c r="C791" t="inlineStr">
        <is>
          <t>[Hà Nội] Sales Planning Officer/ Cán Bộ Kế Hoạch Bán Hàng (Ecommerce)</t>
        </is>
      </c>
      <c r="D791" t="inlineStr">
        <is>
          <t>Diana Unicharm JSC</t>
        </is>
      </c>
      <c r="E791" t="inlineStr">
        <is>
          <t>$$ 800-1,100 /tháng</t>
        </is>
      </c>
      <c r="F791" t="inlineStr">
        <is>
          <t>Hà Nội</t>
        </is>
      </c>
      <c r="G791" t="inlineStr">
        <is>
          <t>Nhân viên</t>
        </is>
      </c>
      <c r="H791" t="inlineStr">
        <is>
          <t>04/02/2026</t>
        </is>
      </c>
      <c r="I791" t="inlineStr">
        <is>
          <t>21/03/2026</t>
        </is>
      </c>
      <c r="J791" t="inlineStr">
        <is>
          <t>17/03/2026</t>
        </is>
      </c>
      <c r="K791" t="inlineStr">
        <is>
          <t>N/A</t>
        </is>
      </c>
      <c r="L791" t="inlineStr">
        <is>
          <t>FMCG, Sales Planning, Sales, Planning Data Analysis, Sales Analysis</t>
        </is>
      </c>
      <c r="M791" t="inlineStr">
        <is>
          <t>Bonus, Healthcare Plan, Others</t>
        </is>
      </c>
      <c r="N791" s="8">
        <f>HYPERLINK("https://www.vietnamworks.com/ha-noi-sales-planning-officer-can-bo-ke-hoach-ban-hang-ecommerce-2009839-jv","Xem chi tiết")</f>
        <v/>
      </c>
    </row>
    <row r="792">
      <c r="B792" s="9" t="n">
        <v>790</v>
      </c>
      <c r="C792" s="10" t="inlineStr">
        <is>
          <t>Advisory Analyst</t>
        </is>
      </c>
      <c r="D792" s="10" t="inlineStr">
        <is>
          <t>Grant Thornton (Vietnam) Limited</t>
        </is>
      </c>
      <c r="E792" s="10" t="inlineStr">
        <is>
          <t>Thương lượng</t>
        </is>
      </c>
      <c r="F792" s="10" t="inlineStr">
        <is>
          <t>Hồ Chí Minh</t>
        </is>
      </c>
      <c r="G792" s="10" t="inlineStr">
        <is>
          <t>Nhân viên</t>
        </is>
      </c>
      <c r="H792" s="10" t="inlineStr">
        <is>
          <t>23/12/2025</t>
        </is>
      </c>
      <c r="I792" s="10" t="inlineStr">
        <is>
          <t>22/03/2026</t>
        </is>
      </c>
      <c r="J792" s="10" t="inlineStr">
        <is>
          <t>17/03/2026</t>
        </is>
      </c>
      <c r="K792" s="10" t="inlineStr">
        <is>
          <t>N/A</t>
        </is>
      </c>
      <c r="L792" s="10" t="inlineStr">
        <is>
          <t>Financial Due Diligence, M&amp;A Consulting, Business Valuation, Financial Analysis, Investment Planning</t>
        </is>
      </c>
      <c r="M792" s="10" t="inlineStr">
        <is>
          <t>Healthcare Plan, Training, Travel Opportunities</t>
        </is>
      </c>
      <c r="N792" s="11">
        <f>HYPERLINK("https://www.vietnamworks.com/advisory-analyst--1995605-jv","Xem chi tiết")</f>
        <v/>
      </c>
      <c r="O792" s="10" t="n"/>
    </row>
    <row r="793">
      <c r="B793" s="7" t="n">
        <v>791</v>
      </c>
      <c r="C793" t="inlineStr">
        <is>
          <t>Digital Performance Senior Officer</t>
        </is>
      </c>
      <c r="D793" t="inlineStr">
        <is>
          <t>United Overseas Bank (Vietnam) Limited (UOB)</t>
        </is>
      </c>
      <c r="E793" t="inlineStr">
        <is>
          <t>Thương lượng</t>
        </is>
      </c>
      <c r="F793" t="inlineStr">
        <is>
          <t>Hồ Chí Minh</t>
        </is>
      </c>
      <c r="G793" t="inlineStr">
        <is>
          <t>Nhân viên</t>
        </is>
      </c>
      <c r="H793" t="inlineStr">
        <is>
          <t>04/02/2026</t>
        </is>
      </c>
      <c r="I793" t="inlineStr">
        <is>
          <t>21/03/2026</t>
        </is>
      </c>
      <c r="J793" t="inlineStr">
        <is>
          <t>17/03/2026</t>
        </is>
      </c>
      <c r="K793" t="inlineStr">
        <is>
          <t>N/A</t>
        </is>
      </c>
      <c r="L793" t="inlineStr">
        <is>
          <t>Communication Skills, Data Analysis, Patent Portfolio Analysis, Product Management, Vendor Management</t>
        </is>
      </c>
      <c r="M793" t="inlineStr">
        <is>
          <t>Bonus, Healthcare Plan, Paid Leave, Others</t>
        </is>
      </c>
      <c r="N793" s="8">
        <f>HYPERLINK("https://www.vietnamworks.com/digital-performance-senior-officer-2009867-jv","Xem chi tiết")</f>
        <v/>
      </c>
    </row>
    <row r="794">
      <c r="B794" s="9" t="n">
        <v>792</v>
      </c>
      <c r="C794" s="10" t="inlineStr">
        <is>
          <t>Chuyên Viên Nghiệp Vụ Hải Quan</t>
        </is>
      </c>
      <c r="D794" s="10" t="inlineStr">
        <is>
          <t>Xuân Cầu Holdings</t>
        </is>
      </c>
      <c r="E794" s="10" t="inlineStr">
        <is>
          <t>Thương lượng</t>
        </is>
      </c>
      <c r="F794" s="10" t="inlineStr">
        <is>
          <t>Hà Nội</t>
        </is>
      </c>
      <c r="G794" s="10" t="inlineStr">
        <is>
          <t>Nhân viên</t>
        </is>
      </c>
      <c r="H794" s="10" t="inlineStr">
        <is>
          <t>04/02/2026</t>
        </is>
      </c>
      <c r="I794" s="10" t="inlineStr">
        <is>
          <t>21/03/2026</t>
        </is>
      </c>
      <c r="J794" s="10" t="inlineStr">
        <is>
          <t>17/03/2026</t>
        </is>
      </c>
      <c r="K794" s="10" t="inlineStr">
        <is>
          <t>N/A</t>
        </is>
      </c>
      <c r="L794" s="10" t="inlineStr">
        <is>
          <t>Xuất Nhập Khẩu, Giao Nhận Hàng Hóa, Khai Báo Hải Quan, Thủ Tục Hải Quan</t>
        </is>
      </c>
      <c r="M794" s="10" t="inlineStr">
        <is>
          <t>Bonus, Healthcare Plan, Paid Leave</t>
        </is>
      </c>
      <c r="N794" s="11">
        <f>HYPERLINK("https://www.vietnamworks.com/chuyen-vien-nghiep-vu-hai-quan-2009829-jv","Xem chi tiết")</f>
        <v/>
      </c>
      <c r="O794" s="10" t="n"/>
    </row>
    <row r="795">
      <c r="B795" s="7" t="n">
        <v>793</v>
      </c>
      <c r="C795" t="inlineStr">
        <is>
          <t>IE Staff (Entry-Level)</t>
        </is>
      </c>
      <c r="D795" t="inlineStr">
        <is>
          <t>CÔNG TY TNHH YIC ONE</t>
        </is>
      </c>
      <c r="E795" t="inlineStr">
        <is>
          <t>Thương lượng</t>
        </is>
      </c>
      <c r="F795" t="inlineStr">
        <is>
          <t>Hà Nội</t>
        </is>
      </c>
      <c r="G795" t="inlineStr">
        <is>
          <t>Mới Tốt Nghiệp</t>
        </is>
      </c>
      <c r="H795" t="inlineStr">
        <is>
          <t>04/02/2026</t>
        </is>
      </c>
      <c r="I795" t="inlineStr">
        <is>
          <t>21/03/2026</t>
        </is>
      </c>
      <c r="J795" t="inlineStr">
        <is>
          <t>17/03/2026</t>
        </is>
      </c>
      <c r="K795" t="inlineStr">
        <is>
          <t>N/A</t>
        </is>
      </c>
      <c r="L795" t="inlineStr">
        <is>
          <t>Garment Manufacturing, Business Analysis, IT Optimization, Factory Automation, Problem-solving</t>
        </is>
      </c>
      <c r="M795" t="inlineStr">
        <is>
          <t>Bonus, Healthcare Plan, Paid Leave, Training, Laptop, Team Activities, Others</t>
        </is>
      </c>
      <c r="N795" s="8">
        <f>HYPERLINK("https://www.vietnamworks.com/ie-staff-entry-level-2009819-jv","Xem chi tiết")</f>
        <v/>
      </c>
    </row>
    <row r="796">
      <c r="B796" s="9" t="n">
        <v>794</v>
      </c>
      <c r="C796" s="10" t="inlineStr">
        <is>
          <t>Chuyên Gia Đánh Giá</t>
        </is>
      </c>
      <c r="D796" s="10" t="inlineStr">
        <is>
          <t>TRUNG TÂM ỨNG DỤNG TIÊU CHUẨN CHẤT LƯỢNG</t>
        </is>
      </c>
      <c r="E796" s="10" t="inlineStr">
        <is>
          <t>7tr-15tr ₫/tháng</t>
        </is>
      </c>
      <c r="F796" s="10" t="inlineStr">
        <is>
          <t>Hà Nội</t>
        </is>
      </c>
      <c r="G796" s="10" t="inlineStr">
        <is>
          <t>Nhân viên</t>
        </is>
      </c>
      <c r="H796" s="10" t="inlineStr">
        <is>
          <t>15/09/2025</t>
        </is>
      </c>
      <c r="I796" s="10" t="inlineStr">
        <is>
          <t>22/03/2026</t>
        </is>
      </c>
      <c r="J796" s="10" t="inlineStr">
        <is>
          <t>17/03/2026</t>
        </is>
      </c>
      <c r="K796" s="10" t="inlineStr">
        <is>
          <t>N/A</t>
        </is>
      </c>
      <c r="L796" s="10" t="inlineStr">
        <is>
          <t>Công Nghệ Thực Phẩm, Đánh Giá Hệ Thống, QA/ QC, Hệ Thống Quản Lý Sản Xuất, Cơ Khí</t>
        </is>
      </c>
      <c r="M796" s="10" t="inlineStr">
        <is>
          <t>Others</t>
        </is>
      </c>
      <c r="N796" s="11">
        <f>HYPERLINK("https://www.vietnamworks.com/chuyen-gia-danh-gia--1957768-jv","Xem chi tiết")</f>
        <v/>
      </c>
      <c r="O796" s="10" t="n"/>
    </row>
    <row r="797">
      <c r="B797" s="7" t="n">
        <v>795</v>
      </c>
      <c r="C797" t="inlineStr">
        <is>
          <t>Credit Control Manager</t>
        </is>
      </c>
      <c r="D797" t="inlineStr">
        <is>
          <t>United Overseas Bank (Vietnam) Limited (UOB)</t>
        </is>
      </c>
      <c r="E797" t="inlineStr">
        <is>
          <t>Thương lượng</t>
        </is>
      </c>
      <c r="F797" t="inlineStr">
        <is>
          <t>Hồ Chí Minh</t>
        </is>
      </c>
      <c r="G797" t="inlineStr">
        <is>
          <t>Nhân viên</t>
        </is>
      </c>
      <c r="H797" t="inlineStr">
        <is>
          <t>04/02/2026</t>
        </is>
      </c>
      <c r="I797" t="inlineStr">
        <is>
          <t>21/03/2026</t>
        </is>
      </c>
      <c r="J797" t="inlineStr">
        <is>
          <t>17/03/2026</t>
        </is>
      </c>
      <c r="K797" t="inlineStr">
        <is>
          <t>N/A</t>
        </is>
      </c>
      <c r="L797" t="inlineStr">
        <is>
          <t>Attention To Detail, Credit Control, Microsoft Excel, Regulatory Compliance, Wholesale Banking</t>
        </is>
      </c>
      <c r="M797" t="inlineStr">
        <is>
          <t>Bonus, Healthcare Plan, Paid Leave, Others</t>
        </is>
      </c>
      <c r="N797" s="8">
        <f>HYPERLINK("https://www.vietnamworks.com/credit-control-manager-2009869-jv","Xem chi tiết")</f>
        <v/>
      </c>
    </row>
    <row r="798">
      <c r="B798" s="9" t="n">
        <v>796</v>
      </c>
      <c r="C798" s="10" t="inlineStr">
        <is>
          <t>Creative Strategist (Up-To $5,000)</t>
        </is>
      </c>
      <c r="D798" s="10" t="inlineStr">
        <is>
          <t>Crossian Việt Nam</t>
        </is>
      </c>
      <c r="E798" s="10" t="inlineStr">
        <is>
          <t>Tới $ 5,000 /tháng</t>
        </is>
      </c>
      <c r="F798" s="10" t="inlineStr">
        <is>
          <t>Hà Nội</t>
        </is>
      </c>
      <c r="G798" s="10" t="inlineStr">
        <is>
          <t>Nhân viên</t>
        </is>
      </c>
      <c r="H798" s="10" t="inlineStr">
        <is>
          <t>04/02/2026</t>
        </is>
      </c>
      <c r="I798" s="10" t="inlineStr">
        <is>
          <t>21/03/2026</t>
        </is>
      </c>
      <c r="J798" s="10" t="inlineStr">
        <is>
          <t>17/03/2026</t>
        </is>
      </c>
      <c r="K798" s="10" t="inlineStr">
        <is>
          <t>N/A</t>
        </is>
      </c>
      <c r="L798" s="10" t="inlineStr">
        <is>
          <t>Data Analysis, Communication Skills, Digital Marketing, Market Research, Product Marketing</t>
        </is>
      </c>
      <c r="M798" s="10" t="inlineStr">
        <is>
          <t>Bonus, Healthcare Plan, Paid Leave, Training, Team Activities, Transportation</t>
        </is>
      </c>
      <c r="N798" s="11">
        <f>HYPERLINK("https://www.vietnamworks.com/creative-strategist-up-to-5-000-2009828-jv","Xem chi tiết")</f>
        <v/>
      </c>
      <c r="O798" s="10" t="n"/>
    </row>
    <row r="799">
      <c r="B799" s="7" t="n">
        <v>797</v>
      </c>
      <c r="C799" t="inlineStr">
        <is>
          <t>Precision Machining Department (Pmd) Process Engineer</t>
        </is>
      </c>
      <c r="D799" t="inlineStr">
        <is>
          <t>VDL ETG VIETNAM COMPANY LIMITED</t>
        </is>
      </c>
      <c r="E799" t="inlineStr">
        <is>
          <t>Thương lượng</t>
        </is>
      </c>
      <c r="F799" t="inlineStr">
        <is>
          <t>Quảng Ninh, Hải Phòng</t>
        </is>
      </c>
      <c r="G799" t="inlineStr">
        <is>
          <t>Nhân viên</t>
        </is>
      </c>
      <c r="H799" t="inlineStr">
        <is>
          <t>22/12/2025</t>
        </is>
      </c>
      <c r="I799" t="inlineStr">
        <is>
          <t>22/03/2026</t>
        </is>
      </c>
      <c r="J799" t="inlineStr">
        <is>
          <t>17/03/2026</t>
        </is>
      </c>
      <c r="K799" t="inlineStr">
        <is>
          <t>N/A</t>
        </is>
      </c>
      <c r="L799" t="inlineStr">
        <is>
          <t>Cutting Tool Design, Mass Production, Mechanical Engineering, Process Engineering, CNC Machine</t>
        </is>
      </c>
      <c r="M799" t="inlineStr">
        <is>
          <t>Bonus, Healthcare Plan, Paid Leave, Laptop, Transportation</t>
        </is>
      </c>
      <c r="N799" s="8">
        <f>HYPERLINK("https://www.vietnamworks.com/precision-machining-department-pmd-process-engineer-1995343-jv","Xem chi tiết")</f>
        <v/>
      </c>
    </row>
    <row r="800">
      <c r="B800" s="9" t="n">
        <v>798</v>
      </c>
      <c r="C800" s="10" t="inlineStr">
        <is>
          <t>Plant Vehicle Team (PVT) Engineer – Underbody System (Kỹ Sư - Phòng Kỹ Thuật Ô Tô)</t>
        </is>
      </c>
      <c r="D800" s="10" t="inlineStr">
        <is>
          <t>FORD VIETNAM LIMITED</t>
        </is>
      </c>
      <c r="E800" s="10" t="inlineStr">
        <is>
          <t>Thương lượng</t>
        </is>
      </c>
      <c r="F800" s="10" t="inlineStr">
        <is>
          <t>Hải Phòng</t>
        </is>
      </c>
      <c r="G800" s="10" t="inlineStr">
        <is>
          <t>Nhân viên</t>
        </is>
      </c>
      <c r="H800" s="10" t="inlineStr">
        <is>
          <t>15/01/2024</t>
        </is>
      </c>
      <c r="I800" s="10" t="inlineStr">
        <is>
          <t>22/03/2026</t>
        </is>
      </c>
      <c r="J800" s="10" t="inlineStr">
        <is>
          <t>17/03/2026</t>
        </is>
      </c>
      <c r="K800" s="10" t="inlineStr">
        <is>
          <t>N/A</t>
        </is>
      </c>
      <c r="L800" s="10" t="inlineStr">
        <is>
          <t>6 Sigma, Cải Tiến Chất Lượng, Công Nghệ Ô Tô, Mechanical, Automation</t>
        </is>
      </c>
      <c r="M800" s="10" t="inlineStr">
        <is>
          <t>Bonus, Paid Leave, Awards</t>
        </is>
      </c>
      <c r="N800" s="11">
        <f>HYPERLINK("https://www.vietnamworks.com/plant-vehicle-team-pvt-engineer-underbody-system-ky-su-phong-ky-thuat-o-to-1734987-jv","Xem chi tiết")</f>
        <v/>
      </c>
      <c r="O800" s="10" t="n"/>
    </row>
    <row r="801">
      <c r="B801" s="7" t="n">
        <v>799</v>
      </c>
      <c r="C801" t="inlineStr">
        <is>
          <t>Trưởng Nhóm Kinh Doanh (Sales Manager)</t>
        </is>
      </c>
      <c r="D801" t="inlineStr">
        <is>
          <t>Bros Cargo VietNam</t>
        </is>
      </c>
      <c r="E801" t="inlineStr">
        <is>
          <t>20tr-100tr ₫/tháng</t>
        </is>
      </c>
      <c r="F801" t="inlineStr">
        <is>
          <t>Hà Nội</t>
        </is>
      </c>
      <c r="G801" t="inlineStr">
        <is>
          <t>Trưởng phòng</t>
        </is>
      </c>
      <c r="H801" t="inlineStr">
        <is>
          <t>26/12/2025</t>
        </is>
      </c>
      <c r="I801" t="inlineStr">
        <is>
          <t>22/03/2026</t>
        </is>
      </c>
      <c r="J801" t="inlineStr">
        <is>
          <t>17/03/2026</t>
        </is>
      </c>
      <c r="K801" t="inlineStr">
        <is>
          <t>N/A</t>
        </is>
      </c>
      <c r="L801" t="inlineStr">
        <is>
          <t>Shipping Logistics, Clients Networking, Chiến Lược Kinh Doanh, Phát Triển Khách Hàng, Quản Lý Đội Ngũ Kinh Doanh</t>
        </is>
      </c>
      <c r="M801" t="inlineStr">
        <is>
          <t>Bonus, Healthcare Plan, Others</t>
        </is>
      </c>
      <c r="N801" s="8">
        <f>HYPERLINK("https://www.vietnamworks.com/truong-nhom-kinh-doanh-sales-manager-1996850-jv","Xem chi tiết")</f>
        <v/>
      </c>
    </row>
    <row r="802">
      <c r="B802" s="9" t="n">
        <v>800</v>
      </c>
      <c r="C802" s="10" t="inlineStr">
        <is>
          <t>Kỹ Sư Xây Dựng (Salary Upto 25 Triệu/ Tháng)</t>
        </is>
      </c>
      <c r="D802" s="10" t="inlineStr">
        <is>
          <t>Công Ty TNHH Hòa Quần</t>
        </is>
      </c>
      <c r="E802" s="10" t="inlineStr">
        <is>
          <t>20tr-25tr ₫/tháng</t>
        </is>
      </c>
      <c r="F802" s="10" t="inlineStr">
        <is>
          <t>Hà Nội, Hải Dương</t>
        </is>
      </c>
      <c r="G802" s="10" t="inlineStr">
        <is>
          <t>Nhân viên</t>
        </is>
      </c>
      <c r="H802" s="10" t="inlineStr">
        <is>
          <t>24/12/2025</t>
        </is>
      </c>
      <c r="I802" s="10" t="inlineStr">
        <is>
          <t>22/03/2026</t>
        </is>
      </c>
      <c r="J802" s="10" t="inlineStr">
        <is>
          <t>17/03/2026</t>
        </is>
      </c>
      <c r="K802" s="10" t="inlineStr">
        <is>
          <t>N/A</t>
        </is>
      </c>
      <c r="L802" s="10" t="inlineStr">
        <is>
          <t>Triển Khai Bản Vẽ, Kỹ Sư Xây Dựng, Xây Dựng, Giám Sát Công Trình, Xây Dựng Dân Dụng</t>
        </is>
      </c>
      <c r="M802" s="10" t="inlineStr">
        <is>
          <t>Healthcare Plan, Paid Leave, Training, Others</t>
        </is>
      </c>
      <c r="N802" s="11">
        <f>HYPERLINK("https://www.vietnamworks.com/ky-su-xay-dung-salary-upto-25-trieu-thang-1995967-jv","Xem chi tiết")</f>
        <v/>
      </c>
      <c r="O802" s="10" t="n"/>
    </row>
    <row r="803">
      <c r="B803" s="7" t="n">
        <v>801</v>
      </c>
      <c r="C803" t="inlineStr">
        <is>
          <t>Kế Toán Trưởng</t>
        </is>
      </c>
      <c r="D803" t="inlineStr">
        <is>
          <t>CÔNG TY TNHH DỊCH VỤ THƯƠNG MẠI TRƯỜNG AN SÀI GÒN</t>
        </is>
      </c>
      <c r="E803" t="inlineStr">
        <is>
          <t>20tr-30tr ₫/tháng</t>
        </is>
      </c>
      <c r="F803" t="inlineStr">
        <is>
          <t>Hồ Chí Minh</t>
        </is>
      </c>
      <c r="G803" t="inlineStr">
        <is>
          <t>Nhân viên</t>
        </is>
      </c>
      <c r="H803" t="inlineStr">
        <is>
          <t>24/12/2025</t>
        </is>
      </c>
      <c r="I803" t="inlineStr">
        <is>
          <t>22/03/2026</t>
        </is>
      </c>
      <c r="J803" t="inlineStr">
        <is>
          <t>17/03/2026</t>
        </is>
      </c>
      <c r="K803" t="inlineStr">
        <is>
          <t>N/A</t>
        </is>
      </c>
      <c r="L803" t="inlineStr">
        <is>
          <t>Kiểm Toán, Báo Cáo Tài Chính, Hạch Toán Doanh Thu, Quyết Toán Thuế, Kế toán &amp; Tài chính</t>
        </is>
      </c>
      <c r="M803" t="inlineStr">
        <is>
          <t>Bonus, Healthcare Plan</t>
        </is>
      </c>
      <c r="N803" s="8">
        <f>HYPERLINK("https://www.vietnamworks.com/ke-toan-truong--1996047-jv","Xem chi tiết")</f>
        <v/>
      </c>
    </row>
    <row r="804">
      <c r="B804" s="9" t="n">
        <v>802</v>
      </c>
      <c r="C804" s="10" t="inlineStr">
        <is>
          <t>Kế Toán Tổng Hợp</t>
        </is>
      </c>
      <c r="D804" s="10" t="inlineStr">
        <is>
          <t>Công ty TNHH DK BUILD</t>
        </is>
      </c>
      <c r="E804" s="10" t="inlineStr">
        <is>
          <t>Thương lượng</t>
        </is>
      </c>
      <c r="F804" s="10" t="inlineStr">
        <is>
          <t>Hồ Chí Minh</t>
        </is>
      </c>
      <c r="G804" s="10" t="inlineStr">
        <is>
          <t>Nhân viên</t>
        </is>
      </c>
      <c r="H804" s="10" t="inlineStr">
        <is>
          <t>30/12/2025</t>
        </is>
      </c>
      <c r="I804" s="10" t="inlineStr">
        <is>
          <t>22/03/2026</t>
        </is>
      </c>
      <c r="J804" s="10" t="inlineStr">
        <is>
          <t>17/03/2026</t>
        </is>
      </c>
      <c r="K804" s="10" t="inlineStr">
        <is>
          <t>N/A</t>
        </is>
      </c>
      <c r="L804" s="10" t="inlineStr">
        <is>
          <t>Kế Toán Tổng Hợp, Báo Cáo Tài Chính, Kê Khai Thuế, Kế Toán, Kiểm Toán</t>
        </is>
      </c>
      <c r="M804" s="10" t="inlineStr">
        <is>
          <t>Bonus, Healthcare Plan, Team Activities, Others</t>
        </is>
      </c>
      <c r="N804" s="11">
        <f>HYPERLINK("https://www.vietnamworks.com/ke-toan-tong-hop-1997873-jv","Xem chi tiết")</f>
        <v/>
      </c>
      <c r="O804" s="10" t="n"/>
    </row>
    <row r="805">
      <c r="B805" s="7" t="n">
        <v>803</v>
      </c>
      <c r="C805" t="inlineStr">
        <is>
          <t>Nhân Viên Lái Xe Cho Lãnh Đạo</t>
        </is>
      </c>
      <c r="D805" t="inlineStr">
        <is>
          <t>Vietnamworks' Client</t>
        </is>
      </c>
      <c r="E805" t="inlineStr">
        <is>
          <t>Thương lượng</t>
        </is>
      </c>
      <c r="F805" t="inlineStr">
        <is>
          <t>Hà Nội</t>
        </is>
      </c>
      <c r="G805" t="inlineStr">
        <is>
          <t>Nhân viên</t>
        </is>
      </c>
      <c r="H805" t="inlineStr">
        <is>
          <t>25/12/2025</t>
        </is>
      </c>
      <c r="I805" t="inlineStr">
        <is>
          <t>22/03/2026</t>
        </is>
      </c>
      <c r="J805" t="inlineStr">
        <is>
          <t>17/03/2026</t>
        </is>
      </c>
      <c r="K805" t="inlineStr">
        <is>
          <t>N/A</t>
        </is>
      </c>
      <c r="L805" t="inlineStr">
        <is>
          <t>Lái Xe Văn Phòng, Lái Xe Hàng B2, Lái Xe, Bảo Dưỡng Xe, Bằng Lái Xe B2</t>
        </is>
      </c>
      <c r="M805" t="inlineStr">
        <is>
          <t>Bonus, Healthcare Plan, Team Activities</t>
        </is>
      </c>
      <c r="N805" s="8">
        <f>HYPERLINK("https://www.vietnamworks.com/nhan-vien-lai-xe-cho-lanh-dao--1996571-jv","Xem chi tiết")</f>
        <v/>
      </c>
    </row>
    <row r="806">
      <c r="B806" s="9" t="n">
        <v>804</v>
      </c>
      <c r="C806" s="10" t="inlineStr">
        <is>
          <t>Nhân Viên CAD - Có Thể Đi Làm Sau Tết</t>
        </is>
      </c>
      <c r="D806" s="10" t="inlineStr">
        <is>
          <t>Elite GROUP Ha Noi Co.,ltd.</t>
        </is>
      </c>
      <c r="E806" s="10" t="inlineStr">
        <is>
          <t>Thương lượng</t>
        </is>
      </c>
      <c r="F806" s="10" t="inlineStr">
        <is>
          <t>Hà Nam</t>
        </is>
      </c>
      <c r="G806" s="10" t="inlineStr">
        <is>
          <t>Nhân viên</t>
        </is>
      </c>
      <c r="H806" s="10" t="inlineStr">
        <is>
          <t>23/12/2025</t>
        </is>
      </c>
      <c r="I806" s="10" t="inlineStr">
        <is>
          <t>22/03/2026</t>
        </is>
      </c>
      <c r="J806" s="10" t="inlineStr">
        <is>
          <t>17/03/2026</t>
        </is>
      </c>
      <c r="K806" s="10" t="inlineStr">
        <is>
          <t>N/A</t>
        </is>
      </c>
      <c r="L806" s="10" t="inlineStr">
        <is>
          <t>CAD, Rhinoceros 3D, Thiết Kế Trang Sức, JewelCAD, Thiết Kế Đồ Họa</t>
        </is>
      </c>
      <c r="M806" s="10" t="inlineStr">
        <is>
          <t>Bonus, Library, Team Activities</t>
        </is>
      </c>
      <c r="N806" s="11">
        <f>HYPERLINK("https://www.vietnamworks.com/nhan-vien-cad-co-the-di-lam-sau-tet-1995688-jv","Xem chi tiết")</f>
        <v/>
      </c>
      <c r="O806" s="10" t="n"/>
    </row>
    <row r="807">
      <c r="B807" s="7" t="n">
        <v>805</v>
      </c>
      <c r="C807" t="inlineStr">
        <is>
          <t>Kỹ Sư Dự Toán Xây Dựng (QS Xây Dựng)</t>
        </is>
      </c>
      <c r="D807" t="inlineStr">
        <is>
          <t>Công ty TNHH DK BUILD</t>
        </is>
      </c>
      <c r="E807" t="inlineStr">
        <is>
          <t>Thương lượng</t>
        </is>
      </c>
      <c r="F807" t="inlineStr">
        <is>
          <t>Hồ Chí Minh</t>
        </is>
      </c>
      <c r="G807" t="inlineStr">
        <is>
          <t>Nhân viên</t>
        </is>
      </c>
      <c r="H807" t="inlineStr">
        <is>
          <t>24/12/2025</t>
        </is>
      </c>
      <c r="I807" t="inlineStr">
        <is>
          <t>22/03/2026</t>
        </is>
      </c>
      <c r="J807" t="inlineStr">
        <is>
          <t>17/03/2026</t>
        </is>
      </c>
      <c r="K807" t="inlineStr">
        <is>
          <t>N/A</t>
        </is>
      </c>
      <c r="L807" t="inlineStr">
        <is>
          <t>AutoCAD, Dự Toán Dự Án, Xây Dựng Dân Dụng, Đấu Thầu, Quantity Surveyor</t>
        </is>
      </c>
      <c r="M807" t="inlineStr">
        <is>
          <t>Bonus, Healthcare Plan, Team Activities, Transportation</t>
        </is>
      </c>
      <c r="N807" s="8">
        <f>HYPERLINK("https://www.vietnamworks.com/ky-su-du-toan-xay-dung-qs-xay-dung-1995981-jv","Xem chi tiết")</f>
        <v/>
      </c>
    </row>
    <row r="808">
      <c r="B808" s="9" t="n">
        <v>806</v>
      </c>
      <c r="C808" s="10" t="inlineStr">
        <is>
          <t>Quan Hệ Khách Hàng Cá Nhân (Khu Vực Miền Nam)</t>
        </is>
      </c>
      <c r="D808" s="10" t="inlineStr">
        <is>
          <t>Ngân Hàng TNHH MTV Woori Việt Nam</t>
        </is>
      </c>
      <c r="E808" s="10" t="inlineStr">
        <is>
          <t>500-1,000 ₫/tháng</t>
        </is>
      </c>
      <c r="F808" s="10" t="inlineStr">
        <is>
          <t>Đà Nẵng, Cần Thơ</t>
        </is>
      </c>
      <c r="G808" s="10" t="inlineStr">
        <is>
          <t>Nhân viên</t>
        </is>
      </c>
      <c r="H808" s="10" t="inlineStr">
        <is>
          <t>30/12/2025</t>
        </is>
      </c>
      <c r="I808" s="10" t="inlineStr">
        <is>
          <t>22/03/2026</t>
        </is>
      </c>
      <c r="J808" s="10" t="inlineStr">
        <is>
          <t>17/03/2026</t>
        </is>
      </c>
      <c r="K808" s="10" t="inlineStr">
        <is>
          <t>N/A</t>
        </is>
      </c>
      <c r="L808" s="10" t="inlineStr">
        <is>
          <t>Nhiệt tình, Tìm Kiếm Khách Hàng</t>
        </is>
      </c>
      <c r="M808" s="10" t="inlineStr">
        <is>
          <t>Bonus, Healthcare Plan, Training, Travel Opportunities</t>
        </is>
      </c>
      <c r="N808" s="11">
        <f>HYPERLINK("https://www.vietnamworks.com/quan-he-khach-hang-ca-nhan-khu-vuc-mien-nam-1997745-jv","Xem chi tiết")</f>
        <v/>
      </c>
      <c r="O808" s="10" t="n"/>
    </row>
    <row r="809">
      <c r="B809" s="7" t="n">
        <v>807</v>
      </c>
      <c r="C809" t="inlineStr">
        <is>
          <t>Giám Đốc Tài Chính</t>
        </is>
      </c>
      <c r="D809" t="inlineStr">
        <is>
          <t>Tổng Công Ty Mbland - Mbland Holdings</t>
        </is>
      </c>
      <c r="E809" t="inlineStr">
        <is>
          <t>Thương lượng</t>
        </is>
      </c>
      <c r="F809" t="inlineStr">
        <is>
          <t>Hà Nội</t>
        </is>
      </c>
      <c r="G809" t="inlineStr">
        <is>
          <t>Giám Đốc và Cấp Cao Hơn</t>
        </is>
      </c>
      <c r="H809" t="inlineStr">
        <is>
          <t>31/12/2025</t>
        </is>
      </c>
      <c r="I809" t="inlineStr">
        <is>
          <t>22/03/2026</t>
        </is>
      </c>
      <c r="J809" t="inlineStr">
        <is>
          <t>17/03/2026</t>
        </is>
      </c>
      <c r="K809" t="inlineStr">
        <is>
          <t>N/A</t>
        </is>
      </c>
      <c r="L809" t="inlineStr">
        <is>
          <t>Kế Toán, Lãnh Đạo, Phân Tích Tài Chính, Quản Trị Rủi Ro, Tài Chính</t>
        </is>
      </c>
      <c r="M809" t="inlineStr">
        <is>
          <t>Bonus, Travel Opportunities, Canteen, Others</t>
        </is>
      </c>
      <c r="N809" s="8">
        <f>HYPERLINK("https://www.vietnamworks.com/giam-doc-tai-chinh--1998190-jv","Xem chi tiết")</f>
        <v/>
      </c>
    </row>
    <row r="810">
      <c r="B810" s="9" t="n">
        <v>808</v>
      </c>
      <c r="C810" s="10" t="inlineStr">
        <is>
          <t>Deputy Head of PR &amp; Branding Development Department, Head Office</t>
        </is>
      </c>
      <c r="D810" s="10" t="inlineStr">
        <is>
          <t>Ngân Hàng TNHH Indovina – Hội Sở</t>
        </is>
      </c>
      <c r="E810" s="10" t="inlineStr">
        <is>
          <t>Thương lượng</t>
        </is>
      </c>
      <c r="F810" s="10" t="inlineStr">
        <is>
          <t>Hồ Chí Minh</t>
        </is>
      </c>
      <c r="G810" s="10" t="inlineStr">
        <is>
          <t>Trưởng phòng</t>
        </is>
      </c>
      <c r="H810" s="10" t="inlineStr">
        <is>
          <t>31/12/2025</t>
        </is>
      </c>
      <c r="I810" s="10" t="inlineStr">
        <is>
          <t>22/03/2026</t>
        </is>
      </c>
      <c r="J810" s="10" t="inlineStr">
        <is>
          <t>17/03/2026</t>
        </is>
      </c>
      <c r="K810" s="10" t="inlineStr">
        <is>
          <t>N/A</t>
        </is>
      </c>
      <c r="L810" s="10" t="inlineStr">
        <is>
          <t>Banking Solution, Strategic Public Relations Planning, Marketing Budget Management, Branding Development, Digital Content Marketing</t>
        </is>
      </c>
      <c r="M810" s="10" t="inlineStr">
        <is>
          <t>Bonus, Healthcare Plan, Others</t>
        </is>
      </c>
      <c r="N810" s="11">
        <f>HYPERLINK("https://www.vietnamworks.com/deputy-head-of-pr-branding-development-department-head-office-1998639-jv","Xem chi tiết")</f>
        <v/>
      </c>
      <c r="O810" s="10" t="n"/>
    </row>
    <row r="811">
      <c r="B811" s="7" t="n">
        <v>809</v>
      </c>
      <c r="C811" t="inlineStr">
        <is>
          <t>Trưởng Nhóm QC (Giày Dép, Thể Thao, Thời Trang)</t>
        </is>
      </c>
      <c r="D811" t="inlineStr">
        <is>
          <t>Công ty cổ phần Midomax Việt Nam</t>
        </is>
      </c>
      <c r="E811" t="inlineStr">
        <is>
          <t>15tr-20tr ₫/tháng</t>
        </is>
      </c>
      <c r="F811" t="inlineStr">
        <is>
          <t>Hà Nội</t>
        </is>
      </c>
      <c r="G811" t="inlineStr">
        <is>
          <t>Nhân viên</t>
        </is>
      </c>
      <c r="H811" t="inlineStr">
        <is>
          <t>30/12/2025</t>
        </is>
      </c>
      <c r="I811" t="inlineStr">
        <is>
          <t>22/03/2026</t>
        </is>
      </c>
      <c r="J811" t="inlineStr">
        <is>
          <t>17/03/2026</t>
        </is>
      </c>
      <c r="K811" t="inlineStr">
        <is>
          <t>N/A</t>
        </is>
      </c>
      <c r="L811" t="inlineStr">
        <is>
          <t>Kiểm Soát Chất Lượng, Qa Dày Dép, Tin Học Văn Phòng, Tiếng Anh, Tiếng Trung</t>
        </is>
      </c>
      <c r="M811" t="inlineStr">
        <is>
          <t>Bonus, Healthcare Plan, Training, Laptop, Travel Opportunities, Team Activities, Others</t>
        </is>
      </c>
      <c r="N811" s="8">
        <f>HYPERLINK("https://www.vietnamworks.com/truong-nhom-qc-giay-dep-the-thao-thoi-trang-1998031-jv","Xem chi tiết")</f>
        <v/>
      </c>
    </row>
    <row r="812">
      <c r="B812" s="9" t="n">
        <v>810</v>
      </c>
      <c r="C812" s="10" t="inlineStr">
        <is>
          <t>Assistant Sourcing Manager</t>
        </is>
      </c>
      <c r="D812" s="10" t="inlineStr">
        <is>
          <t>Olympia Tools International INC</t>
        </is>
      </c>
      <c r="E812" s="10" t="inlineStr">
        <is>
          <t>$$ 600-800 /tháng</t>
        </is>
      </c>
      <c r="F812" s="10" t="inlineStr">
        <is>
          <t>Hà Nội</t>
        </is>
      </c>
      <c r="G812" s="10" t="inlineStr">
        <is>
          <t>Nhân viên</t>
        </is>
      </c>
      <c r="H812" s="10" t="inlineStr">
        <is>
          <t>26/12/2025</t>
        </is>
      </c>
      <c r="I812" s="10" t="inlineStr">
        <is>
          <t>22/03/2026</t>
        </is>
      </c>
      <c r="J812" s="10" t="inlineStr">
        <is>
          <t>17/03/2026</t>
        </is>
      </c>
      <c r="K812" s="10" t="inlineStr">
        <is>
          <t>N/A</t>
        </is>
      </c>
      <c r="L812" s="10" t="inlineStr">
        <is>
          <t>Factory communications, Document Management, Purchasing Coordination</t>
        </is>
      </c>
      <c r="M812" s="10" t="inlineStr">
        <is>
          <t>Bonus, Training, Laptop, Others</t>
        </is>
      </c>
      <c r="N812" s="11">
        <f>HYPERLINK("https://www.vietnamworks.com/assistant-sourcing-manager-1996791-jv","Xem chi tiết")</f>
        <v/>
      </c>
      <c r="O812" s="10" t="n"/>
    </row>
    <row r="813">
      <c r="B813" s="7" t="n">
        <v>811</v>
      </c>
      <c r="C813" t="inlineStr">
        <is>
          <t>Nhân Viên Kinh Doanh (HCM và Hà Nội)</t>
        </is>
      </c>
      <c r="D813" t="inlineStr">
        <is>
          <t>Công Ty TNHH Vật Tư Và Trang Thiết Bị Y Tế HAT-MED Việt Nam</t>
        </is>
      </c>
      <c r="E813" t="inlineStr">
        <is>
          <t>Thương lượng</t>
        </is>
      </c>
      <c r="F813" t="inlineStr">
        <is>
          <t>Hồ Chí Minh, Hà Nội</t>
        </is>
      </c>
      <c r="G813" t="inlineStr">
        <is>
          <t>Nhân viên</t>
        </is>
      </c>
      <c r="H813" t="inlineStr">
        <is>
          <t>26/12/2025</t>
        </is>
      </c>
      <c r="I813" t="inlineStr">
        <is>
          <t>22/03/2026</t>
        </is>
      </c>
      <c r="J813" t="inlineStr">
        <is>
          <t>17/03/2026</t>
        </is>
      </c>
      <c r="K813" t="inlineStr">
        <is>
          <t>N/A</t>
        </is>
      </c>
      <c r="L813" t="inlineStr">
        <is>
          <t>Tiếng Anh, Phát Triển Thị Trường, Sales Technical, Thiết Bị Y Tế, Nhân viên kinh doanh</t>
        </is>
      </c>
      <c r="M813" t="inlineStr">
        <is>
          <t>Bonus, Healthcare Plan, Paid Leave, Travel Opportunities, Others</t>
        </is>
      </c>
      <c r="N813" s="8">
        <f>HYPERLINK("https://www.vietnamworks.com/nhan-vien-kinh-doanh-hcm-va-ha-noi-1996933-jv","Xem chi tiết")</f>
        <v/>
      </c>
    </row>
    <row r="814">
      <c r="B814" s="9" t="n">
        <v>812</v>
      </c>
      <c r="C814" s="10" t="inlineStr">
        <is>
          <t>Chuyên Viên Hành Chính Nhân Sự Tổng Hợp (Nghỉ Thứ 7 &amp; Chủ Nhật)</t>
        </is>
      </c>
      <c r="D814" s="10" t="inlineStr">
        <is>
          <t>TẬP ĐOÀN ĐÔNG Y DƯỢC VIỆT NAM</t>
        </is>
      </c>
      <c r="E814" s="10" t="inlineStr">
        <is>
          <t>$$ 800-1,000 /tháng</t>
        </is>
      </c>
      <c r="F814" s="10" t="inlineStr">
        <is>
          <t>Hà Nội</t>
        </is>
      </c>
      <c r="G814" s="10" t="inlineStr">
        <is>
          <t>Nhân viên</t>
        </is>
      </c>
      <c r="H814" s="10" t="inlineStr">
        <is>
          <t>29/12/2025</t>
        </is>
      </c>
      <c r="I814" s="10" t="inlineStr">
        <is>
          <t>22/03/2026</t>
        </is>
      </c>
      <c r="J814" s="10" t="inlineStr">
        <is>
          <t>17/03/2026</t>
        </is>
      </c>
      <c r="K814" s="10" t="inlineStr">
        <is>
          <t>N/A</t>
        </is>
      </c>
      <c r="L814" s="10" t="inlineStr">
        <is>
          <t>Quản Trị Nhân Sự, Quản Lý Hành Chính Nhân Sự, Lương &amp; Phúc lợi, Thực Hiện Chế Độ Phúc Lợi, Tuyển Dụng</t>
        </is>
      </c>
      <c r="M814" s="10" t="inlineStr">
        <is>
          <t>Bonus, Healthcare Plan, Laptop</t>
        </is>
      </c>
      <c r="N814" s="11">
        <f>HYPERLINK("https://www.vietnamworks.com/chuyen-vien-hanh-chinh-nhan-su-tong-hop-nghi-thu-7-chu-nhat-1997317-jv","Xem chi tiết")</f>
        <v/>
      </c>
      <c r="O814" s="10" t="n"/>
    </row>
    <row r="815">
      <c r="B815" s="7" t="n">
        <v>813</v>
      </c>
      <c r="C815" t="inlineStr">
        <is>
          <t>Financial Planning and Analysis Manager</t>
        </is>
      </c>
      <c r="D815" t="inlineStr">
        <is>
          <t>Asia Chemical Corporation</t>
        </is>
      </c>
      <c r="E815" t="inlineStr">
        <is>
          <t>Thương lượng</t>
        </is>
      </c>
      <c r="F815" t="inlineStr">
        <is>
          <t>Hồ Chí Minh</t>
        </is>
      </c>
      <c r="G815" t="inlineStr">
        <is>
          <t>Trưởng phòng</t>
        </is>
      </c>
      <c r="H815" t="inlineStr">
        <is>
          <t>29/12/2025</t>
        </is>
      </c>
      <c r="I815" t="inlineStr">
        <is>
          <t>22/03/2026</t>
        </is>
      </c>
      <c r="J815" t="inlineStr">
        <is>
          <t>17/03/2026</t>
        </is>
      </c>
      <c r="K815" t="inlineStr">
        <is>
          <t>N/A</t>
        </is>
      </c>
      <c r="L815" t="inlineStr">
        <is>
          <t>Financial Report, Budgeting, Financial Analysis</t>
        </is>
      </c>
      <c r="M815" t="inlineStr">
        <is>
          <t>Bonus, Healthcare Plan, Training</t>
        </is>
      </c>
      <c r="N815" s="8">
        <f>HYPERLINK("https://www.vietnamworks.com/financial-planning-and-analysis-manager--1997645-jv","Xem chi tiết")</f>
        <v/>
      </c>
    </row>
    <row r="816">
      <c r="B816" s="9" t="n">
        <v>814</v>
      </c>
      <c r="C816" s="10" t="inlineStr">
        <is>
          <t>Nhân Viên Kế Toán Nội Bộ (Công Nợ/bán Hàng)</t>
        </is>
      </c>
      <c r="D816" s="10" t="inlineStr">
        <is>
          <t>Công Ty CP Nghiên Cứu Và Phát Triển Y Tế Việt Nam</t>
        </is>
      </c>
      <c r="E816" s="10" t="inlineStr">
        <is>
          <t>Thương lượng</t>
        </is>
      </c>
      <c r="F816" s="10" t="inlineStr">
        <is>
          <t>Hà Nội</t>
        </is>
      </c>
      <c r="G816" s="10" t="inlineStr">
        <is>
          <t>Nhân viên</t>
        </is>
      </c>
      <c r="H816" s="10" t="inlineStr">
        <is>
          <t>25/12/2025</t>
        </is>
      </c>
      <c r="I816" s="10" t="inlineStr">
        <is>
          <t>22/03/2026</t>
        </is>
      </c>
      <c r="J816" s="10" t="inlineStr">
        <is>
          <t>17/03/2026</t>
        </is>
      </c>
      <c r="K816" s="10" t="inlineStr">
        <is>
          <t>N/A</t>
        </is>
      </c>
      <c r="L816" s="10" t="inlineStr">
        <is>
          <t>Chứng Từ Xuất Nhập Kho, Dự Toán Báo Giá, Quản Lý Công Nợ, Thu Hồi Công Nợ, Xử Lý Công Nợ</t>
        </is>
      </c>
      <c r="M816" s="10" t="inlineStr">
        <is>
          <t>Bonus, Healthcare Plan, Paid Leave, Travel Opportunities, Others</t>
        </is>
      </c>
      <c r="N816" s="11">
        <f>HYPERLINK("https://www.vietnamworks.com/nhan-vien-ke-toan-noi-bo-cong-no-ban-hang-1996568-jv","Xem chi tiết")</f>
        <v/>
      </c>
      <c r="O816" s="10" t="n"/>
    </row>
    <row r="817">
      <c r="B817" s="7" t="n">
        <v>815</v>
      </c>
      <c r="C817" t="inlineStr">
        <is>
          <t>Trưởng Phòng Hành Chính – Nhân Sự (Head of Human Resources)</t>
        </is>
      </c>
      <c r="D817" t="inlineStr">
        <is>
          <t>Công Ty Cổ Phần UV</t>
        </is>
      </c>
      <c r="E817" t="inlineStr">
        <is>
          <t>Tới 40tr ₫/tháng</t>
        </is>
      </c>
      <c r="F817" t="inlineStr">
        <is>
          <t>Hồ Chí Minh</t>
        </is>
      </c>
      <c r="G817" t="inlineStr">
        <is>
          <t>Trưởng phòng</t>
        </is>
      </c>
      <c r="H817" t="inlineStr">
        <is>
          <t>25/12/2025</t>
        </is>
      </c>
      <c r="I817" t="inlineStr">
        <is>
          <t>22/03/2026</t>
        </is>
      </c>
      <c r="J817" t="inlineStr">
        <is>
          <t>17/03/2026</t>
        </is>
      </c>
      <c r="K817" t="inlineStr">
        <is>
          <t>N/A</t>
        </is>
      </c>
      <c r="L817" t="inlineStr">
        <is>
          <t>Human Resources, Quản Trị Nhân Lực, HRM, Sản xuất, Quản Lý Hành Chính</t>
        </is>
      </c>
      <c r="M817" t="inlineStr">
        <is>
          <t>Bonus, Healthcare Plan, Awards, Team Activities, Canteen, Others</t>
        </is>
      </c>
      <c r="N817" s="8">
        <f>HYPERLINK("https://www.vietnamworks.com/truong-phong-hanh-chinh-nhan-su-head-of-human-resources-1996482-jv","Xem chi tiết")</f>
        <v/>
      </c>
    </row>
    <row r="818">
      <c r="B818" s="9" t="n">
        <v>816</v>
      </c>
      <c r="C818" s="10" t="inlineStr">
        <is>
          <t>Senior Category Manager (Homeline, Hardline, Electronics)</t>
        </is>
      </c>
      <c r="D818" s="10" t="inlineStr">
        <is>
          <t>Central Retail in Vietnam</t>
        </is>
      </c>
      <c r="E818" s="10" t="inlineStr">
        <is>
          <t>Thương lượng</t>
        </is>
      </c>
      <c r="F818" s="10" t="inlineStr">
        <is>
          <t>Hồ Chí Minh</t>
        </is>
      </c>
      <c r="G818" s="10" t="inlineStr">
        <is>
          <t>Trưởng phòng</t>
        </is>
      </c>
      <c r="H818" s="10" t="inlineStr">
        <is>
          <t>31/12/2025</t>
        </is>
      </c>
      <c r="I818" s="10" t="inlineStr">
        <is>
          <t>22/03/2026</t>
        </is>
      </c>
      <c r="J818" s="10" t="inlineStr">
        <is>
          <t>17/03/2026</t>
        </is>
      </c>
      <c r="K818" s="10" t="inlineStr">
        <is>
          <t>N/A</t>
        </is>
      </c>
      <c r="L818" s="10" t="inlineStr">
        <is>
          <t>Category Management, Supplier Development, Cost Optimization, Buying, Sourcing</t>
        </is>
      </c>
      <c r="M818" s="10" t="inlineStr">
        <is>
          <t>Bonus, Healthcare Plan, Paid Leave</t>
        </is>
      </c>
      <c r="N818" s="11">
        <f>HYPERLINK("https://www.vietnamworks.com/senior-category-manager-homeline-hardline-electronics-1998454-jv","Xem chi tiết")</f>
        <v/>
      </c>
      <c r="O818" s="10" t="n"/>
    </row>
    <row r="819">
      <c r="B819" s="7" t="n">
        <v>817</v>
      </c>
      <c r="C819" t="inlineStr">
        <is>
          <t>Business Development Admin - Cash Van Admin (English Required, F&amp;B/ FMCG)</t>
        </is>
      </c>
      <c r="D819" t="inlineStr">
        <is>
          <t>Saigon Beer - Alcohol - Beverage Corporation (Sabeco)</t>
        </is>
      </c>
      <c r="E819" t="inlineStr">
        <is>
          <t>Thương lượng</t>
        </is>
      </c>
      <c r="F819" t="inlineStr">
        <is>
          <t>Hồ Chí Minh</t>
        </is>
      </c>
      <c r="G819" t="inlineStr">
        <is>
          <t>Nhân viên</t>
        </is>
      </c>
      <c r="H819" t="inlineStr">
        <is>
          <t>05/01/2026</t>
        </is>
      </c>
      <c r="I819" t="inlineStr">
        <is>
          <t>22/03/2026</t>
        </is>
      </c>
      <c r="J819" t="inlineStr">
        <is>
          <t>17/03/2026</t>
        </is>
      </c>
      <c r="K819" t="inlineStr">
        <is>
          <t>N/A</t>
        </is>
      </c>
      <c r="L819" t="inlineStr">
        <is>
          <t>Distribution Management, General Communication English, Sales Reporting, Hỗ trợ bán hàng</t>
        </is>
      </c>
      <c r="M819" t="inlineStr">
        <is>
          <t>Bonus, Healthcare Plan, Paid Leave, Laptop</t>
        </is>
      </c>
      <c r="N819" s="8">
        <f>HYPERLINK("https://www.vietnamworks.com/business-development-admin-cash-van-admin-english-required-f-b-fmcg-1999371-jv","Xem chi tiết")</f>
        <v/>
      </c>
    </row>
    <row r="820">
      <c r="B820" s="9" t="n">
        <v>818</v>
      </c>
      <c r="C820" s="10" t="inlineStr">
        <is>
          <t>Site Engineer</t>
        </is>
      </c>
      <c r="D820" s="10" t="inlineStr">
        <is>
          <t>Daewoo E&amp;C VINA</t>
        </is>
      </c>
      <c r="E820" s="10" t="inlineStr">
        <is>
          <t>$$ 800-1,300 /tháng</t>
        </is>
      </c>
      <c r="F820" s="10" t="inlineStr">
        <is>
          <t>Hà Nội</t>
        </is>
      </c>
      <c r="G820" s="10" t="inlineStr">
        <is>
          <t>Nhân viên</t>
        </is>
      </c>
      <c r="H820" s="10" t="inlineStr">
        <is>
          <t>05/01/2026</t>
        </is>
      </c>
      <c r="I820" s="10" t="inlineStr">
        <is>
          <t>22/03/2026</t>
        </is>
      </c>
      <c r="J820" s="10" t="inlineStr">
        <is>
          <t>17/03/2026</t>
        </is>
      </c>
      <c r="K820" s="10" t="inlineStr">
        <is>
          <t>N/A</t>
        </is>
      </c>
      <c r="L820" s="10" t="inlineStr">
        <is>
          <t>Civil Engineering, Industrial Engineering, AutoCAD, MS Project, English</t>
        </is>
      </c>
      <c r="M820" s="10" t="inlineStr">
        <is>
          <t>Bonus, Healthcare Plan, Paid Leave, Training, Others</t>
        </is>
      </c>
      <c r="N820" s="11">
        <f>HYPERLINK("https://www.vietnamworks.com/site-engineer-1999513-jv","Xem chi tiết")</f>
        <v/>
      </c>
      <c r="O820" s="10" t="n"/>
    </row>
    <row r="821">
      <c r="B821" s="7" t="n">
        <v>819</v>
      </c>
      <c r="C821" t="inlineStr">
        <is>
          <t>Site Safety Engineer</t>
        </is>
      </c>
      <c r="D821" t="inlineStr">
        <is>
          <t>Daewoo E&amp;C VINA</t>
        </is>
      </c>
      <c r="E821" t="inlineStr">
        <is>
          <t>$$ 800-1,300 /tháng</t>
        </is>
      </c>
      <c r="F821" t="inlineStr">
        <is>
          <t>Hà Nội</t>
        </is>
      </c>
      <c r="G821" t="inlineStr">
        <is>
          <t>Nhân viên</t>
        </is>
      </c>
      <c r="H821" t="inlineStr">
        <is>
          <t>05/01/2026</t>
        </is>
      </c>
      <c r="I821" t="inlineStr">
        <is>
          <t>22/03/2026</t>
        </is>
      </c>
      <c r="J821" t="inlineStr">
        <is>
          <t>17/03/2026</t>
        </is>
      </c>
      <c r="K821" t="inlineStr">
        <is>
          <t>N/A</t>
        </is>
      </c>
      <c r="L821" t="inlineStr">
        <is>
          <t>Leadership, Operational Analysis, Safety Procedures, Train And Motivate Others</t>
        </is>
      </c>
      <c r="M821" t="inlineStr">
        <is>
          <t>Bonus, Healthcare Plan, Paid Leave, Training, Others</t>
        </is>
      </c>
      <c r="N821" s="8">
        <f>HYPERLINK("https://www.vietnamworks.com/site-safety-engineer-1999514-jv","Xem chi tiết")</f>
        <v/>
      </c>
    </row>
    <row r="822">
      <c r="B822" s="9" t="n">
        <v>820</v>
      </c>
      <c r="C822" s="10" t="inlineStr">
        <is>
          <t>Trưởng Nhóm Kinh Doanh (Giải Pháp Xét Nghiệm)</t>
        </is>
      </c>
      <c r="D822" s="10" t="inlineStr">
        <is>
          <t>Onelab</t>
        </is>
      </c>
      <c r="E822" s="10" t="inlineStr">
        <is>
          <t>Thương lượng</t>
        </is>
      </c>
      <c r="F822" s="10" t="inlineStr">
        <is>
          <t>Hồ Chí Minh</t>
        </is>
      </c>
      <c r="G822" s="10" t="inlineStr">
        <is>
          <t>Nhân viên</t>
        </is>
      </c>
      <c r="H822" s="10" t="inlineStr">
        <is>
          <t>31/12/2025</t>
        </is>
      </c>
      <c r="I822" s="10" t="inlineStr">
        <is>
          <t>22/03/2026</t>
        </is>
      </c>
      <c r="J822" s="10" t="inlineStr">
        <is>
          <t>17/03/2026</t>
        </is>
      </c>
      <c r="K822" s="10" t="inlineStr">
        <is>
          <t>N/A</t>
        </is>
      </c>
      <c r="L822" s="10" t="inlineStr">
        <is>
          <t>Kinh Doanh, Quản Lý Kinh Doanh, Xét Nghiệm Y Tế, Business Development, Sales Management</t>
        </is>
      </c>
      <c r="M822" s="10" t="inlineStr">
        <is>
          <t>Bonus, Healthcare Plan, Paid Leave</t>
        </is>
      </c>
      <c r="N822" s="11">
        <f>HYPERLINK("https://www.vietnamworks.com/truong-nhom-kinh-doanh-giai-phap-xet-nghiem-1998721-jv","Xem chi tiết")</f>
        <v/>
      </c>
      <c r="O822" s="10" t="n"/>
    </row>
    <row r="823">
      <c r="B823" s="7" t="n">
        <v>821</v>
      </c>
      <c r="C823" t="inlineStr">
        <is>
          <t>Sales Manager (Ophthalmology)</t>
        </is>
      </c>
      <c r="D823" t="inlineStr">
        <is>
          <t>Vietnamworks' Client</t>
        </is>
      </c>
      <c r="E823" t="inlineStr">
        <is>
          <t>$$ 1,000-1,500 /tháng</t>
        </is>
      </c>
      <c r="F823" t="inlineStr">
        <is>
          <t>Hồ Chí Minh</t>
        </is>
      </c>
      <c r="G823" t="inlineStr">
        <is>
          <t>Nhân viên</t>
        </is>
      </c>
      <c r="H823" t="inlineStr">
        <is>
          <t>29/01/2026</t>
        </is>
      </c>
      <c r="I823" t="inlineStr">
        <is>
          <t>22/03/2026</t>
        </is>
      </c>
      <c r="J823" t="inlineStr">
        <is>
          <t>17/03/2026</t>
        </is>
      </c>
      <c r="K823" t="inlineStr">
        <is>
          <t>N/A</t>
        </is>
      </c>
      <c r="L823" t="inlineStr">
        <is>
          <t>english skill</t>
        </is>
      </c>
      <c r="M823" t="inlineStr">
        <is>
          <t>Laptop</t>
        </is>
      </c>
      <c r="N823" s="8">
        <f>HYPERLINK("https://www.vietnamworks.com/sales-manager-ophthalmology-2007821-jv","Xem chi tiết")</f>
        <v/>
      </c>
    </row>
    <row r="824">
      <c r="B824" s="9" t="n">
        <v>822</v>
      </c>
      <c r="C824" s="10" t="inlineStr">
        <is>
          <t>Senior Accounting Associate</t>
        </is>
      </c>
      <c r="D824" s="10" t="inlineStr">
        <is>
          <t>Grant Thornton (Vietnam) Limited</t>
        </is>
      </c>
      <c r="E824" s="10" t="inlineStr">
        <is>
          <t>Thương lượng</t>
        </is>
      </c>
      <c r="F824" s="10" t="inlineStr">
        <is>
          <t>Hồ Chí Minh</t>
        </is>
      </c>
      <c r="G824" s="10" t="inlineStr">
        <is>
          <t>Nhân viên</t>
        </is>
      </c>
      <c r="H824" s="10" t="inlineStr">
        <is>
          <t>05/01/2026</t>
        </is>
      </c>
      <c r="I824" s="10" t="inlineStr">
        <is>
          <t>22/03/2026</t>
        </is>
      </c>
      <c r="J824" s="10" t="inlineStr">
        <is>
          <t>17/03/2026</t>
        </is>
      </c>
      <c r="K824" s="10" t="inlineStr">
        <is>
          <t>N/A</t>
        </is>
      </c>
      <c r="L824" s="10" t="inlineStr">
        <is>
          <t>Accounting Software, Bookkeeping, Interpersonal Skills, Payroll, Tax Filing</t>
        </is>
      </c>
      <c r="M824" s="10" t="inlineStr">
        <is>
          <t>Healthcare Plan, Training, Team Activities</t>
        </is>
      </c>
      <c r="N824" s="11">
        <f>HYPERLINK("https://www.vietnamworks.com/senior-accounting-associate-1999553-jv","Xem chi tiết")</f>
        <v/>
      </c>
      <c r="O824" s="10" t="n"/>
    </row>
    <row r="825">
      <c r="B825" s="7" t="n">
        <v>823</v>
      </c>
      <c r="C825" t="inlineStr">
        <is>
          <t>E-Learning Specialist</t>
        </is>
      </c>
      <c r="D825" t="inlineStr">
        <is>
          <t>Japfa Comfeed Vietnam Ltd</t>
        </is>
      </c>
      <c r="E825" t="inlineStr">
        <is>
          <t>Thương lượng</t>
        </is>
      </c>
      <c r="F825" t="inlineStr">
        <is>
          <t>Vĩnh Phúc, Đồng Nai</t>
        </is>
      </c>
      <c r="G825" t="inlineStr">
        <is>
          <t>Nhân viên</t>
        </is>
      </c>
      <c r="H825" t="inlineStr">
        <is>
          <t>05/01/2026</t>
        </is>
      </c>
      <c r="I825" t="inlineStr">
        <is>
          <t>22/03/2026</t>
        </is>
      </c>
      <c r="J825" t="inlineStr">
        <is>
          <t>17/03/2026</t>
        </is>
      </c>
      <c r="K825" t="inlineStr">
        <is>
          <t>N/A</t>
        </is>
      </c>
      <c r="L825" t="inlineStr">
        <is>
          <t>E-Learning, Digital Learning, LMS Development, Instructional Design, English Communicate</t>
        </is>
      </c>
      <c r="M825" t="inlineStr">
        <is>
          <t>Bonus, Healthcare Plan, Transportation</t>
        </is>
      </c>
      <c r="N825" s="8">
        <f>HYPERLINK("https://www.vietnamworks.com/e-learning-specialist--1999441-jv","Xem chi tiết")</f>
        <v/>
      </c>
    </row>
    <row r="826">
      <c r="B826" s="9" t="n">
        <v>824</v>
      </c>
      <c r="C826" s="10" t="inlineStr">
        <is>
          <t>Giám Đốc Kinh Doanh Bán Lẻ (Sales Director)</t>
        </is>
      </c>
      <c r="D826" s="10" t="inlineStr">
        <is>
          <t>EUROSTYLE</t>
        </is>
      </c>
      <c r="E826" s="10" t="inlineStr">
        <is>
          <t>Thương lượng</t>
        </is>
      </c>
      <c r="F826" s="10" t="inlineStr">
        <is>
          <t>Hồ Chí Minh</t>
        </is>
      </c>
      <c r="G826" s="10" t="inlineStr">
        <is>
          <t>Giám Đốc và Cấp Cao Hơn</t>
        </is>
      </c>
      <c r="H826" s="10" t="inlineStr">
        <is>
          <t>05/01/2026</t>
        </is>
      </c>
      <c r="I826" s="10" t="inlineStr">
        <is>
          <t>22/03/2026</t>
        </is>
      </c>
      <c r="J826" s="10" t="inlineStr">
        <is>
          <t>17/03/2026</t>
        </is>
      </c>
      <c r="K826" s="10" t="inlineStr">
        <is>
          <t>N/A</t>
        </is>
      </c>
      <c r="L826" s="10" t="inlineStr">
        <is>
          <t>Kinh Tế, Tài Chính, Kinh Doanh, Nội Thất, Thiết kế</t>
        </is>
      </c>
      <c r="M826" s="10" t="inlineStr">
        <is>
          <t>Bonus, Healthcare Plan, Paid Leave, Laptop, Travel Opportunities</t>
        </is>
      </c>
      <c r="N826" s="11">
        <f>HYPERLINK("https://www.vietnamworks.com/giam-djoc-kinh-doanh-ban-le-sales-director-1999500-jv","Xem chi tiết")</f>
        <v/>
      </c>
      <c r="O826" s="10" t="n"/>
    </row>
    <row r="827">
      <c r="B827" s="7" t="n">
        <v>825</v>
      </c>
      <c r="C827" t="inlineStr">
        <is>
          <t>Chuyên Viên Phát Triển Dự Án (Làm Việc Tại TP.HCM)</t>
        </is>
      </c>
      <c r="D827" t="inlineStr">
        <is>
          <t>Công Ty Cổ Phần Thaiholdings</t>
        </is>
      </c>
      <c r="E827" t="inlineStr">
        <is>
          <t>Thương lượng</t>
        </is>
      </c>
      <c r="F827" t="inlineStr">
        <is>
          <t>Hồ Chí Minh</t>
        </is>
      </c>
      <c r="G827" t="inlineStr">
        <is>
          <t>Nhân viên</t>
        </is>
      </c>
      <c r="H827" t="inlineStr">
        <is>
          <t>05/01/2026</t>
        </is>
      </c>
      <c r="I827" t="inlineStr">
        <is>
          <t>22/03/2026</t>
        </is>
      </c>
      <c r="J827" t="inlineStr">
        <is>
          <t>17/03/2026</t>
        </is>
      </c>
      <c r="K827" t="inlineStr">
        <is>
          <t>N/A</t>
        </is>
      </c>
      <c r="L827" t="inlineStr">
        <is>
          <t>Phát Triển Dự Án</t>
        </is>
      </c>
      <c r="M827" t="inlineStr">
        <is>
          <t>Bonus, Healthcare Plan, Team Activities</t>
        </is>
      </c>
      <c r="N827" s="8">
        <f>HYPERLINK("https://www.vietnamworks.com/chuyen-vien-phat-trien-du-an-lam-viec-tai-tp-hcm--1999476-jv","Xem chi tiết")</f>
        <v/>
      </c>
    </row>
    <row r="828">
      <c r="B828" s="9" t="n">
        <v>826</v>
      </c>
      <c r="C828" s="10" t="inlineStr">
        <is>
          <t>Trưởng Bộ Phận Phát Triển Dự Án (Làm Việc Tại TP.HCM)</t>
        </is>
      </c>
      <c r="D828" s="10" t="inlineStr">
        <is>
          <t>Công Ty Cổ Phần Thaiholdings</t>
        </is>
      </c>
      <c r="E828" s="10" t="inlineStr">
        <is>
          <t>Thương lượng</t>
        </is>
      </c>
      <c r="F828" s="10" t="inlineStr">
        <is>
          <t>Hồ Chí Minh</t>
        </is>
      </c>
      <c r="G828" s="10" t="inlineStr">
        <is>
          <t>Nhân viên</t>
        </is>
      </c>
      <c r="H828" s="10" t="inlineStr">
        <is>
          <t>05/01/2026</t>
        </is>
      </c>
      <c r="I828" s="10" t="inlineStr">
        <is>
          <t>22/03/2026</t>
        </is>
      </c>
      <c r="J828" s="10" t="inlineStr">
        <is>
          <t>17/03/2026</t>
        </is>
      </c>
      <c r="K828" s="10" t="inlineStr">
        <is>
          <t>N/A</t>
        </is>
      </c>
      <c r="L828" s="10" t="inlineStr">
        <is>
          <t>Phát Triển Dự Án</t>
        </is>
      </c>
      <c r="M828" s="10" t="inlineStr">
        <is>
          <t>Bonus, Healthcare Plan, Team Activities</t>
        </is>
      </c>
      <c r="N828" s="11">
        <f>HYPERLINK("https://www.vietnamworks.com/truong-bo-phan-phat-trien-du-an-lam-viec-tai-tp-hcm--1999477-jv","Xem chi tiết")</f>
        <v/>
      </c>
      <c r="O828" s="10" t="n"/>
    </row>
    <row r="829">
      <c r="B829" s="7" t="n">
        <v>827</v>
      </c>
      <c r="C829" t="inlineStr">
        <is>
          <t>Senior Customer Service Executive/ Merchandiser (English Or Bilingual Chinese-English Speaking)</t>
        </is>
      </c>
      <c r="D829" t="inlineStr">
        <is>
          <t>Avery Dennison Vietnam</t>
        </is>
      </c>
      <c r="E829" t="inlineStr">
        <is>
          <t>Thương lượng</t>
        </is>
      </c>
      <c r="F829" t="inlineStr">
        <is>
          <t>Hồ Chí Minh</t>
        </is>
      </c>
      <c r="G829" t="inlineStr">
        <is>
          <t>Nhân viên</t>
        </is>
      </c>
      <c r="H829" t="inlineStr">
        <is>
          <t>05/01/2026</t>
        </is>
      </c>
      <c r="I829" t="inlineStr">
        <is>
          <t>22/03/2026</t>
        </is>
      </c>
      <c r="J829" t="inlineStr">
        <is>
          <t>17/03/2026</t>
        </is>
      </c>
      <c r="K829" t="inlineStr">
        <is>
          <t>N/A</t>
        </is>
      </c>
      <c r="L829" t="inlineStr">
        <is>
          <t>Merchandise, Customer Service, Order Management, Manufacturing, Customers Centric</t>
        </is>
      </c>
      <c r="M829" t="inlineStr">
        <is>
          <t>Bonus, Healthcare Plan, Paid Leave</t>
        </is>
      </c>
      <c r="N829" s="8">
        <f>HYPERLINK("https://www.vietnamworks.com/senior-customer-service-executive-merchandiser-english-or-bilingual-chinese-english-speaking-1999410-jv","Xem chi tiết")</f>
        <v/>
      </c>
    </row>
    <row r="830">
      <c r="B830" s="9" t="n">
        <v>828</v>
      </c>
      <c r="C830" s="10" t="inlineStr">
        <is>
          <t>Finance Officer</t>
        </is>
      </c>
      <c r="D830" s="10" t="inlineStr">
        <is>
          <t>ACTION ON POVERTY IN VIETNAM</t>
        </is>
      </c>
      <c r="E830" s="10" t="inlineStr">
        <is>
          <t>Thương lượng</t>
        </is>
      </c>
      <c r="F830" s="10" t="inlineStr">
        <is>
          <t>Hà Nội</t>
        </is>
      </c>
      <c r="G830" s="10" t="inlineStr">
        <is>
          <t>Nhân viên</t>
        </is>
      </c>
      <c r="H830" s="10" t="inlineStr">
        <is>
          <t>05/01/2026</t>
        </is>
      </c>
      <c r="I830" s="10" t="inlineStr">
        <is>
          <t>22/03/2026</t>
        </is>
      </c>
      <c r="J830" s="10" t="inlineStr">
        <is>
          <t>17/03/2026</t>
        </is>
      </c>
      <c r="K830" s="10" t="inlineStr">
        <is>
          <t>N/A</t>
        </is>
      </c>
      <c r="L830" s="10" t="inlineStr">
        <is>
          <t>Accounting Software, Budget Development, Financial Management, Solution Oriented, Pit Declaration</t>
        </is>
      </c>
      <c r="M830" s="10" t="inlineStr">
        <is>
          <t>Healthcare Plan, Paid Leave, Training, Laptop, Others</t>
        </is>
      </c>
      <c r="N830" s="11">
        <f>HYPERLINK("https://www.vietnamworks.com/finance-officer-1999348-jv","Xem chi tiết")</f>
        <v/>
      </c>
      <c r="O830" s="10" t="n"/>
    </row>
    <row r="831">
      <c r="B831" s="7" t="n">
        <v>829</v>
      </c>
      <c r="C831" t="inlineStr">
        <is>
          <t>Safety Manager</t>
        </is>
      </c>
      <c r="D831" t="inlineStr">
        <is>
          <t>Fujitec Vietnam Co., Ltd.</t>
        </is>
      </c>
      <c r="E831" t="inlineStr">
        <is>
          <t>$$ 500-1,000 /tháng</t>
        </is>
      </c>
      <c r="F831" t="inlineStr">
        <is>
          <t>Hà Nội</t>
        </is>
      </c>
      <c r="G831" t="inlineStr">
        <is>
          <t>Trưởng phòng</t>
        </is>
      </c>
      <c r="H831" t="inlineStr">
        <is>
          <t>05/01/2026</t>
        </is>
      </c>
      <c r="I831" t="inlineStr">
        <is>
          <t>22/03/2026</t>
        </is>
      </c>
      <c r="J831" t="inlineStr">
        <is>
          <t>17/03/2026</t>
        </is>
      </c>
      <c r="K831" t="inlineStr">
        <is>
          <t>N/A</t>
        </is>
      </c>
      <c r="L831" t="inlineStr">
        <is>
          <t>Labor Safety, Site Inspection, ISO 45001, HSE Management, Safety Awareness</t>
        </is>
      </c>
      <c r="M831" t="inlineStr">
        <is>
          <t>Bonus, Healthcare Plan, Paid Leave</t>
        </is>
      </c>
      <c r="N831" s="8">
        <f>HYPERLINK("https://www.vietnamworks.com/safety-manager-1999428-jv","Xem chi tiết")</f>
        <v/>
      </c>
    </row>
    <row r="832">
      <c r="B832" s="9" t="n">
        <v>830</v>
      </c>
      <c r="C832" s="10" t="inlineStr">
        <is>
          <t>Thư Ký Dự Án Tổng Hợp</t>
        </is>
      </c>
      <c r="D832" s="10" t="inlineStr">
        <is>
          <t>Công Ty TNHH Kinh Doanh Dịch Vụ Thông Tin &amp; Chuyển Giao Công Nghệ</t>
        </is>
      </c>
      <c r="E832" s="10" t="inlineStr">
        <is>
          <t>Thương lượng</t>
        </is>
      </c>
      <c r="F832" s="10" t="inlineStr">
        <is>
          <t>Hà Nội</t>
        </is>
      </c>
      <c r="G832" s="10" t="inlineStr">
        <is>
          <t>Nhân viên</t>
        </is>
      </c>
      <c r="H832" s="10" t="inlineStr">
        <is>
          <t>31/12/2025</t>
        </is>
      </c>
      <c r="I832" s="10" t="inlineStr">
        <is>
          <t>22/03/2026</t>
        </is>
      </c>
      <c r="J832" s="10" t="inlineStr">
        <is>
          <t>17/03/2026</t>
        </is>
      </c>
      <c r="K832" s="10" t="inlineStr">
        <is>
          <t>N/A</t>
        </is>
      </c>
      <c r="L832" s="10" t="inlineStr">
        <is>
          <t>Admin, Thư Ký, Tiếng Anh, Dự án, Soạn Thảo Tài Liệu</t>
        </is>
      </c>
      <c r="M832" s="10" t="inlineStr">
        <is>
          <t>Bonus, Healthcare Plan, Canteen</t>
        </is>
      </c>
      <c r="N832" s="11">
        <f>HYPERLINK("https://www.vietnamworks.com/thu-ky-du-an-tong-hop--1998700-jv","Xem chi tiết")</f>
        <v/>
      </c>
      <c r="O832" s="10" t="n"/>
    </row>
    <row r="833">
      <c r="B833" s="7" t="n">
        <v>831</v>
      </c>
      <c r="C833" t="inlineStr">
        <is>
          <t>Quản Lý Cửa Hàng (Thu Nhập Hấp Dẫn - Upto 20M)</t>
        </is>
      </c>
      <c r="D833" t="inlineStr">
        <is>
          <t>Công Ty TNHH Thịnh Điền (Prosland)</t>
        </is>
      </c>
      <c r="E833" t="inlineStr">
        <is>
          <t>Thương lượng</t>
        </is>
      </c>
      <c r="F833" t="inlineStr">
        <is>
          <t>Hà Nội</t>
        </is>
      </c>
      <c r="G833" t="inlineStr">
        <is>
          <t>Nhân viên</t>
        </is>
      </c>
      <c r="H833" t="inlineStr">
        <is>
          <t>05/01/2026</t>
        </is>
      </c>
      <c r="I833" t="inlineStr">
        <is>
          <t>22/03/2026</t>
        </is>
      </c>
      <c r="J833" t="inlineStr">
        <is>
          <t>17/03/2026</t>
        </is>
      </c>
      <c r="K833" t="inlineStr">
        <is>
          <t>N/A</t>
        </is>
      </c>
      <c r="L833" t="inlineStr">
        <is>
          <t>Bán Hàng Thời Trang, Kinh Doanh, Lập Kế Hoạch Kinh Doanh, Quản Lý Bán Hàng, Quản Lý Cửa Hàng</t>
        </is>
      </c>
      <c r="M833" t="inlineStr">
        <is>
          <t>Bonus, Healthcare Plan, Team Activities, Others</t>
        </is>
      </c>
      <c r="N833" s="8">
        <f>HYPERLINK("https://www.vietnamworks.com/quan-ly-cua-hang-thu-nhap-hap-dan-upto-20m-1999439-jv","Xem chi tiết")</f>
        <v/>
      </c>
    </row>
    <row r="834">
      <c r="B834" s="9" t="n">
        <v>832</v>
      </c>
      <c r="C834" s="10" t="inlineStr">
        <is>
          <t>Giám Đốc Sản Phẩm (Product Director)</t>
        </is>
      </c>
      <c r="D834" s="10" t="inlineStr">
        <is>
          <t>Công Ty Cổ Phần Công Nghệ Công Nghiệp Bưu Chính Viễn Thông - VNPT Technology</t>
        </is>
      </c>
      <c r="E834" s="10" t="inlineStr">
        <is>
          <t>Thương lượng</t>
        </is>
      </c>
      <c r="F834" s="10" t="inlineStr">
        <is>
          <t>Hà Nội</t>
        </is>
      </c>
      <c r="G834" s="10" t="inlineStr">
        <is>
          <t>Giám Đốc và Cấp Cao Hơn</t>
        </is>
      </c>
      <c r="H834" s="10" t="inlineStr">
        <is>
          <t>05/01/2026</t>
        </is>
      </c>
      <c r="I834" s="10" t="inlineStr">
        <is>
          <t>22/03/2026</t>
        </is>
      </c>
      <c r="J834" s="10" t="inlineStr">
        <is>
          <t>17/03/2026</t>
        </is>
      </c>
      <c r="K834" s="10" t="inlineStr">
        <is>
          <t>N/A</t>
        </is>
      </c>
      <c r="L834" s="10" t="inlineStr">
        <is>
          <t>Am Hiểu Sản Phẩm Công Nghệ, Kiến trúc hệ thống, Linux Kernel, Software System Architecture, Thiết Kế Sản Phẩm</t>
        </is>
      </c>
      <c r="M834" s="10" t="inlineStr">
        <is>
          <t>Bonus, Others</t>
        </is>
      </c>
      <c r="N834" s="11">
        <f>HYPERLINK("https://www.vietnamworks.com/giam-djoc-san-pham-product-director-1999573-jv","Xem chi tiết")</f>
        <v/>
      </c>
      <c r="O834" s="10" t="n"/>
    </row>
    <row r="835">
      <c r="B835" s="7" t="n">
        <v>833</v>
      </c>
      <c r="C835" t="inlineStr">
        <is>
          <t>Kỹ Sư Giải Pháp (Solution Engineer)</t>
        </is>
      </c>
      <c r="D835" t="inlineStr">
        <is>
          <t>Công Ty Cổ Phần Công Nghệ Công Nghiệp Bưu Chính Viễn Thông - VNPT Technology</t>
        </is>
      </c>
      <c r="E835" t="inlineStr">
        <is>
          <t>Thương lượng</t>
        </is>
      </c>
      <c r="F835" t="inlineStr">
        <is>
          <t>Hà Nội</t>
        </is>
      </c>
      <c r="G835" t="inlineStr">
        <is>
          <t>Nhân viên</t>
        </is>
      </c>
      <c r="H835" t="inlineStr">
        <is>
          <t>05/01/2026</t>
        </is>
      </c>
      <c r="I835" t="inlineStr">
        <is>
          <t>22/03/2026</t>
        </is>
      </c>
      <c r="J835" t="inlineStr">
        <is>
          <t>17/03/2026</t>
        </is>
      </c>
      <c r="K835" t="inlineStr">
        <is>
          <t>N/A</t>
        </is>
      </c>
      <c r="L835" t="inlineStr">
        <is>
          <t>IoT Solutions, Lập Trình MATLAB, Phân Tích Thông Tin, Python, Điện Tử Viễn Thông</t>
        </is>
      </c>
      <c r="M835" t="inlineStr">
        <is>
          <t>Others</t>
        </is>
      </c>
      <c r="N835" s="8">
        <f>HYPERLINK("https://www.vietnamworks.com/ky-su-giai-phap-solution-engineer-1999570-jv","Xem chi tiết")</f>
        <v/>
      </c>
    </row>
    <row r="836">
      <c r="B836" s="9" t="n">
        <v>834</v>
      </c>
      <c r="C836" s="10" t="inlineStr">
        <is>
          <t>Kỹ Sư Quản Lý Chất Lượng Xây Dựng QA-QC</t>
        </is>
      </c>
      <c r="D836" s="10" t="inlineStr">
        <is>
          <t>Công ty TNHH DK BUILD</t>
        </is>
      </c>
      <c r="E836" s="10" t="inlineStr">
        <is>
          <t>15tr-25tr ₫/tháng</t>
        </is>
      </c>
      <c r="F836" s="10" t="inlineStr">
        <is>
          <t>Đồng Nai, Bình Dương</t>
        </is>
      </c>
      <c r="G836" s="10" t="inlineStr">
        <is>
          <t>Nhân viên</t>
        </is>
      </c>
      <c r="H836" s="10" t="inlineStr">
        <is>
          <t>05/01/2026</t>
        </is>
      </c>
      <c r="I836" s="10" t="inlineStr">
        <is>
          <t>22/03/2026</t>
        </is>
      </c>
      <c r="J836" s="10" t="inlineStr">
        <is>
          <t>17/03/2026</t>
        </is>
      </c>
      <c r="K836" s="10" t="inlineStr">
        <is>
          <t>N/A</t>
        </is>
      </c>
      <c r="L836" s="10" t="inlineStr">
        <is>
          <t>Autocad, QA, Kiểm Soát Chất Lượng, Hồ Sơ Hoàn Công, Xây Dựng</t>
        </is>
      </c>
      <c r="M836" s="10" t="inlineStr">
        <is>
          <t>Bonus, Healthcare Plan, Paid Leave, Training, Laptop, Team Activities, Transportation, Others</t>
        </is>
      </c>
      <c r="N836" s="11">
        <f>HYPERLINK("https://www.vietnamworks.com/ky-su-quan-ly-chat-luong-xay-dung-qa-qc-1999329-jv","Xem chi tiết")</f>
        <v/>
      </c>
      <c r="O836" s="10" t="n"/>
    </row>
    <row r="837">
      <c r="B837" s="7" t="n">
        <v>835</v>
      </c>
      <c r="C837" t="inlineStr">
        <is>
          <t>Nhân Viên Bán Hàng (Thu Nhập Hấp Dẫn - Upto 15M)</t>
        </is>
      </c>
      <c r="D837" t="inlineStr">
        <is>
          <t>Công Ty TNHH Thịnh Điền (Prosland)</t>
        </is>
      </c>
      <c r="E837" t="inlineStr">
        <is>
          <t>15tr-20tr ₫/tháng</t>
        </is>
      </c>
      <c r="F837" t="inlineStr">
        <is>
          <t>Hà Nội</t>
        </is>
      </c>
      <c r="G837" t="inlineStr">
        <is>
          <t>Nhân viên</t>
        </is>
      </c>
      <c r="H837" t="inlineStr">
        <is>
          <t>05/01/2026</t>
        </is>
      </c>
      <c r="I837" t="inlineStr">
        <is>
          <t>22/03/2026</t>
        </is>
      </c>
      <c r="J837" t="inlineStr">
        <is>
          <t>17/03/2026</t>
        </is>
      </c>
      <c r="K837" t="inlineStr">
        <is>
          <t>N/A</t>
        </is>
      </c>
      <c r="L837" t="inlineStr">
        <is>
          <t>Bán hàng, Bán Hàng Thời Trang, Dịch Vụ Khách Hàng, Kinh Doanh, Tư Vấn Sản Phẩm</t>
        </is>
      </c>
      <c r="M837" t="inlineStr">
        <is>
          <t>Bonus, Healthcare Plan, Mobile, Team Activities, Canteen, Others</t>
        </is>
      </c>
      <c r="N837" s="8">
        <f>HYPERLINK("https://www.vietnamworks.com/nhan-vien-ban-hang-thu-nhap-hap-dan-upto-15m-1999436-jv","Xem chi tiết")</f>
        <v/>
      </c>
    </row>
    <row r="838">
      <c r="B838" s="9" t="n">
        <v>836</v>
      </c>
      <c r="C838" s="10" t="inlineStr">
        <is>
          <t>AR Supervisor / AR Manager</t>
        </is>
      </c>
      <c r="D838" s="10" t="inlineStr">
        <is>
          <t>VIO Travel</t>
        </is>
      </c>
      <c r="E838" s="10" t="inlineStr">
        <is>
          <t>$$ 100-1,500 /tháng</t>
        </is>
      </c>
      <c r="F838" s="10" t="inlineStr">
        <is>
          <t>Quốc tế</t>
        </is>
      </c>
      <c r="G838" s="10" t="inlineStr">
        <is>
          <t>Nhân viên</t>
        </is>
      </c>
      <c r="H838" s="10" t="inlineStr">
        <is>
          <t>02/02/2026</t>
        </is>
      </c>
      <c r="I838" s="10" t="inlineStr">
        <is>
          <t>22/03/2026</t>
        </is>
      </c>
      <c r="J838" s="10" t="inlineStr">
        <is>
          <t>17/03/2026</t>
        </is>
      </c>
      <c r="K838" s="10" t="inlineStr">
        <is>
          <t>N/A</t>
        </is>
      </c>
      <c r="L838" s="10" t="inlineStr">
        <is>
          <t>Account, Accounts receivable, Finance Accounting, Finance Management, Xero Accounting Software</t>
        </is>
      </c>
      <c r="M838" s="10" t="inlineStr">
        <is>
          <t>Bonus, Training, Laptop</t>
        </is>
      </c>
      <c r="N838" s="11">
        <f>HYPERLINK("https://www.vietnamworks.com/ar-supervisor-ar-manager-2009082-jv","Xem chi tiết")</f>
        <v/>
      </c>
      <c r="O838" s="10" t="n"/>
    </row>
    <row r="839">
      <c r="B839" s="7" t="n">
        <v>837</v>
      </c>
      <c r="C839" t="inlineStr">
        <is>
          <t>Biology Teacher</t>
        </is>
      </c>
      <c r="D839" t="inlineStr">
        <is>
          <t>Scotch Australian Grammar School (AGS)</t>
        </is>
      </c>
      <c r="E839" t="inlineStr">
        <is>
          <t>Thương lượng</t>
        </is>
      </c>
      <c r="F839" t="inlineStr">
        <is>
          <t>Hồ Chí Minh</t>
        </is>
      </c>
      <c r="G839" t="inlineStr">
        <is>
          <t>Nhân viên</t>
        </is>
      </c>
      <c r="H839" t="inlineStr">
        <is>
          <t>03/02/2026</t>
        </is>
      </c>
      <c r="I839" t="inlineStr">
        <is>
          <t>22/03/2026</t>
        </is>
      </c>
      <c r="J839" t="inlineStr">
        <is>
          <t>17/03/2026</t>
        </is>
      </c>
      <c r="K839" t="inlineStr">
        <is>
          <t>N/A</t>
        </is>
      </c>
      <c r="L839" t="inlineStr">
        <is>
          <t>Teaching Children, Teaching, Biology Research, SACE Biology, English Fluency</t>
        </is>
      </c>
      <c r="M839" t="inlineStr">
        <is>
          <t>Bonus, Travel Opportunities, Canteen</t>
        </is>
      </c>
      <c r="N839" s="8">
        <f>HYPERLINK("https://www.vietnamworks.com/biology-teacher--2009349-jv","Xem chi tiết")</f>
        <v/>
      </c>
    </row>
    <row r="840">
      <c r="B840" s="9" t="n">
        <v>838</v>
      </c>
      <c r="C840" s="10" t="inlineStr">
        <is>
          <t>Physics Teacher</t>
        </is>
      </c>
      <c r="D840" s="10" t="inlineStr">
        <is>
          <t>Scotch Australian Grammar School (AGS)</t>
        </is>
      </c>
      <c r="E840" s="10" t="inlineStr">
        <is>
          <t>Thương lượng</t>
        </is>
      </c>
      <c r="F840" s="10" t="inlineStr">
        <is>
          <t>Hồ Chí Minh</t>
        </is>
      </c>
      <c r="G840" s="10" t="inlineStr">
        <is>
          <t>Nhân viên</t>
        </is>
      </c>
      <c r="H840" s="10" t="inlineStr">
        <is>
          <t>03/02/2026</t>
        </is>
      </c>
      <c r="I840" s="10" t="inlineStr">
        <is>
          <t>22/03/2026</t>
        </is>
      </c>
      <c r="J840" s="10" t="inlineStr">
        <is>
          <t>17/03/2026</t>
        </is>
      </c>
      <c r="K840" s="10" t="inlineStr">
        <is>
          <t>N/A</t>
        </is>
      </c>
      <c r="L840" s="10" t="inlineStr">
        <is>
          <t>Teaching Certification, SACE, Physics, English Fluency, Teaching</t>
        </is>
      </c>
      <c r="M840" s="10" t="inlineStr">
        <is>
          <t>Bonus, Travel Opportunities, Canteen</t>
        </is>
      </c>
      <c r="N840" s="11">
        <f>HYPERLINK("https://www.vietnamworks.com/physics-teacher--2009355-jv","Xem chi tiết")</f>
        <v/>
      </c>
      <c r="O840" s="10" t="n"/>
    </row>
    <row r="841">
      <c r="B841" s="7" t="n">
        <v>839</v>
      </c>
      <c r="C841" t="inlineStr">
        <is>
          <t>Project Officer in Transport</t>
        </is>
      </c>
      <c r="D841" t="inlineStr">
        <is>
          <t>The Deutsche Gesellschaft Für Internationale Zusammenarbeit (Giz)</t>
        </is>
      </c>
      <c r="E841" t="inlineStr">
        <is>
          <t>Thương lượng</t>
        </is>
      </c>
      <c r="F841" t="inlineStr">
        <is>
          <t>Hà Nội</t>
        </is>
      </c>
      <c r="G841" t="inlineStr">
        <is>
          <t>Nhân viên</t>
        </is>
      </c>
      <c r="H841" t="inlineStr">
        <is>
          <t>04/02/2026</t>
        </is>
      </c>
      <c r="I841" t="inlineStr">
        <is>
          <t>22/03/2026</t>
        </is>
      </c>
      <c r="J841" t="inlineStr">
        <is>
          <t>17/03/2026</t>
        </is>
      </c>
      <c r="K841" t="inlineStr">
        <is>
          <t>N/A</t>
        </is>
      </c>
      <c r="L841" t="inlineStr">
        <is>
          <t>Project Management, Material Preparation, Legislations, Technical Management, Transportation Planning</t>
        </is>
      </c>
      <c r="M841" t="inlineStr">
        <is>
          <t>Healthcare Plan, Paid Leave, Training, Others</t>
        </is>
      </c>
      <c r="N841" s="8">
        <f>HYPERLINK("https://www.vietnamworks.com/project-officer-in-transport-2009820-jv","Xem chi tiết")</f>
        <v/>
      </c>
    </row>
    <row r="842">
      <c r="B842" s="9" t="n">
        <v>840</v>
      </c>
      <c r="C842" s="10" t="inlineStr">
        <is>
          <t>ICT Teacher</t>
        </is>
      </c>
      <c r="D842" s="10" t="inlineStr">
        <is>
          <t>Scotch Australian Grammar School (AGS)</t>
        </is>
      </c>
      <c r="E842" s="10" t="inlineStr">
        <is>
          <t>Thương lượng</t>
        </is>
      </c>
      <c r="F842" s="10" t="inlineStr">
        <is>
          <t>Hồ Chí Minh</t>
        </is>
      </c>
      <c r="G842" s="10" t="inlineStr">
        <is>
          <t>Nhân viên</t>
        </is>
      </c>
      <c r="H842" s="10" t="inlineStr">
        <is>
          <t>03/02/2026</t>
        </is>
      </c>
      <c r="I842" s="10" t="inlineStr">
        <is>
          <t>22/03/2026</t>
        </is>
      </c>
      <c r="J842" s="10" t="inlineStr">
        <is>
          <t>17/03/2026</t>
        </is>
      </c>
      <c r="K842" s="10" t="inlineStr">
        <is>
          <t>N/A</t>
        </is>
      </c>
      <c r="L842" s="10" t="inlineStr">
        <is>
          <t>Teaching, ICT, Education, English Fluency, SACE</t>
        </is>
      </c>
      <c r="M842" s="10" t="inlineStr">
        <is>
          <t>Bonus, Travel Opportunities, Canteen</t>
        </is>
      </c>
      <c r="N842" s="11">
        <f>HYPERLINK("https://www.vietnamworks.com/ict-teacher-4--2009360-jv","Xem chi tiết")</f>
        <v/>
      </c>
      <c r="O842" s="10" t="n"/>
    </row>
    <row r="843">
      <c r="B843" s="7" t="n">
        <v>841</v>
      </c>
      <c r="C843" t="inlineStr">
        <is>
          <t>Nhân Viên Phát Triển Thị Trường Thuốc Thủy Sản</t>
        </is>
      </c>
      <c r="D843" t="inlineStr">
        <is>
          <t>CÔNG TY TRÁCH NHIỆM HỮU HẠN O.P.S</t>
        </is>
      </c>
      <c r="E843" t="inlineStr">
        <is>
          <t>Thương lượng</t>
        </is>
      </c>
      <c r="F843" t="inlineStr">
        <is>
          <t>Bến Tre, Hồ Chí Minh</t>
        </is>
      </c>
      <c r="G843" t="inlineStr">
        <is>
          <t>Nhân viên</t>
        </is>
      </c>
      <c r="H843" t="inlineStr">
        <is>
          <t>04/02/2026</t>
        </is>
      </c>
      <c r="I843" t="inlineStr">
        <is>
          <t>22/03/2026</t>
        </is>
      </c>
      <c r="J843" t="inlineStr">
        <is>
          <t>17/03/2026</t>
        </is>
      </c>
      <c r="K843" t="inlineStr">
        <is>
          <t>N/A</t>
        </is>
      </c>
      <c r="L843" t="inlineStr">
        <is>
          <t>Sales, Nhân viên kinh doanh, Phát Triển Thị Trường, Mở Rộng Đại Lý, Kinh Doanh</t>
        </is>
      </c>
      <c r="M843" t="inlineStr">
        <is>
          <t>Bonus</t>
        </is>
      </c>
      <c r="N843" s="8">
        <f>HYPERLINK("https://www.vietnamworks.com/nhan-vien-phat-trien-thi-truong-thuoc-thuy-san-2009776-jv","Xem chi tiết")</f>
        <v/>
      </c>
    </row>
    <row r="844">
      <c r="B844" s="9" t="n">
        <v>842</v>
      </c>
      <c r="C844" s="10" t="inlineStr">
        <is>
          <t>QA Manager (Food Processing Industry)</t>
        </is>
      </c>
      <c r="D844" s="10" t="inlineStr">
        <is>
          <t>Aquamar Asia Limited</t>
        </is>
      </c>
      <c r="E844" s="10" t="inlineStr">
        <is>
          <t>35tr-50tr ₫/tháng</t>
        </is>
      </c>
      <c r="F844" s="10" t="inlineStr">
        <is>
          <t>Hồ Chí Minh</t>
        </is>
      </c>
      <c r="G844" s="10" t="inlineStr">
        <is>
          <t>Trưởng phòng</t>
        </is>
      </c>
      <c r="H844" s="10" t="inlineStr">
        <is>
          <t>04/02/2026</t>
        </is>
      </c>
      <c r="I844" s="10" t="inlineStr">
        <is>
          <t>22/03/2026</t>
        </is>
      </c>
      <c r="J844" s="10" t="inlineStr">
        <is>
          <t>17/03/2026</t>
        </is>
      </c>
      <c r="K844" s="10" t="inlineStr">
        <is>
          <t>N/A</t>
        </is>
      </c>
      <c r="L844" s="10" t="inlineStr">
        <is>
          <t>Quality Management System, HACCP, BRC, Food Safety Regulatory, Leadership</t>
        </is>
      </c>
      <c r="M844" s="10" t="inlineStr">
        <is>
          <t>Bonus, Healthcare Plan, Training, Others</t>
        </is>
      </c>
      <c r="N844" s="11">
        <f>HYPERLINK("https://www.vietnamworks.com/qa-manager-food-processing-industry-2009838-jv","Xem chi tiết")</f>
        <v/>
      </c>
      <c r="O844" s="10" t="n"/>
    </row>
    <row r="845">
      <c r="B845" s="7" t="n">
        <v>843</v>
      </c>
      <c r="C845" t="inlineStr">
        <is>
          <t>Nhân Viên Hồ Sơ Thầu Vật Tư Y Tế</t>
        </is>
      </c>
      <c r="D845" t="inlineStr">
        <is>
          <t>CÔNG TY TNHH TRANG THIẾT BỊ Y TẾ MINH HOÀNG</t>
        </is>
      </c>
      <c r="E845" t="inlineStr">
        <is>
          <t>$$ 400-600 /tháng</t>
        </is>
      </c>
      <c r="F845" t="inlineStr">
        <is>
          <t>Hồ Chí Minh</t>
        </is>
      </c>
      <c r="G845" t="inlineStr">
        <is>
          <t>Nhân viên</t>
        </is>
      </c>
      <c r="H845" t="inlineStr">
        <is>
          <t>05/02/2026</t>
        </is>
      </c>
      <c r="I845" t="inlineStr">
        <is>
          <t>22/03/2026</t>
        </is>
      </c>
      <c r="J845" t="inlineStr">
        <is>
          <t>17/03/2026</t>
        </is>
      </c>
      <c r="K845" t="inlineStr">
        <is>
          <t>N/A</t>
        </is>
      </c>
      <c r="L845" t="inlineStr">
        <is>
          <t>Đấu Thầu Y Tế, Kinh Doanh Thiết Bị Y Tế, Đấu Thầu, Thiết Bị Y Tế, Lập Hồ Sơ Thầu</t>
        </is>
      </c>
      <c r="M845" t="inlineStr">
        <is>
          <t>Bonus, Canteen, Others</t>
        </is>
      </c>
      <c r="N845" s="8">
        <f>HYPERLINK("https://www.vietnamworks.com/nhan-vien-ho-so-thau-vat-tu-y-te--2009880-jv","Xem chi tiết")</f>
        <v/>
      </c>
    </row>
    <row r="846">
      <c r="B846" s="9" t="n">
        <v>844</v>
      </c>
      <c r="C846" s="10" t="inlineStr">
        <is>
          <t>Kỹ Thuật Viên</t>
        </is>
      </c>
      <c r="D846" s="10" t="inlineStr">
        <is>
          <t>Amphenol High Speed Technology Vietnam</t>
        </is>
      </c>
      <c r="E846" s="10" t="inlineStr">
        <is>
          <t>Thương lượng</t>
        </is>
      </c>
      <c r="F846" s="10" t="inlineStr">
        <is>
          <t>Bắc Ninh</t>
        </is>
      </c>
      <c r="G846" s="10" t="inlineStr">
        <is>
          <t>Nhân viên</t>
        </is>
      </c>
      <c r="H846" s="10" t="inlineStr">
        <is>
          <t>05/02/2026</t>
        </is>
      </c>
      <c r="I846" s="10" t="inlineStr">
        <is>
          <t>22/03/2026</t>
        </is>
      </c>
      <c r="J846" s="10" t="inlineStr">
        <is>
          <t>17/03/2026</t>
        </is>
      </c>
      <c r="K846" s="10" t="inlineStr">
        <is>
          <t>N/A</t>
        </is>
      </c>
      <c r="L846" s="10" t="inlineStr">
        <is>
          <t>Electronic Technician, Production Technician, Debugging Skills, Repairing Equipment, Preventive Maintenance</t>
        </is>
      </c>
      <c r="M846" s="10" t="inlineStr">
        <is>
          <t>Bonus, Healthcare Plan, Transportation</t>
        </is>
      </c>
      <c r="N846" s="11">
        <f>HYPERLINK("https://www.vietnamworks.com/ky-thuat-vien--2009875-jv","Xem chi tiết")</f>
        <v/>
      </c>
      <c r="O846" s="10" t="n"/>
    </row>
    <row r="847">
      <c r="B847" s="7" t="n">
        <v>845</v>
      </c>
      <c r="C847" t="inlineStr">
        <is>
          <t>Digital Marketing Specialist (Up-To $7,000)</t>
        </is>
      </c>
      <c r="D847" t="inlineStr">
        <is>
          <t>Crossian Việt Nam</t>
        </is>
      </c>
      <c r="E847" t="inlineStr">
        <is>
          <t>Thương lượng</t>
        </is>
      </c>
      <c r="F847" t="inlineStr">
        <is>
          <t>Hà Nội, Hồ Chí Minh</t>
        </is>
      </c>
      <c r="G847" t="inlineStr">
        <is>
          <t>Nhân viên</t>
        </is>
      </c>
      <c r="H847" t="inlineStr">
        <is>
          <t>04/02/2026</t>
        </is>
      </c>
      <c r="I847" t="inlineStr">
        <is>
          <t>22/03/2026</t>
        </is>
      </c>
      <c r="J847" t="inlineStr">
        <is>
          <t>17/03/2026</t>
        </is>
      </c>
      <c r="K847" t="inlineStr">
        <is>
          <t>N/A</t>
        </is>
      </c>
      <c r="L847" t="inlineStr">
        <is>
          <t>Performance Marketing, Finance, Facebook Advertising, Analytical, Campaign Setup</t>
        </is>
      </c>
      <c r="M847" t="inlineStr">
        <is>
          <t>Bonus, Healthcare Plan, Others</t>
        </is>
      </c>
      <c r="N847" s="8">
        <f>HYPERLINK("https://www.vietnamworks.com/digital-marketing-specialist-up-to-7-000-2009733-jv","Xem chi tiết")</f>
        <v/>
      </c>
    </row>
    <row r="848">
      <c r="B848" s="9" t="n">
        <v>846</v>
      </c>
      <c r="C848" s="10" t="inlineStr">
        <is>
          <t>Senior NPI Manager</t>
        </is>
      </c>
      <c r="D848" s="10" t="inlineStr">
        <is>
          <t>Amphenol High Speed Technology Vietnam</t>
        </is>
      </c>
      <c r="E848" s="10" t="inlineStr">
        <is>
          <t>$$ 1,500-3,500 /tháng</t>
        </is>
      </c>
      <c r="F848" s="10" t="inlineStr">
        <is>
          <t>Bắc Ninh, Hải Dương, Hà Nội</t>
        </is>
      </c>
      <c r="G848" s="10" t="inlineStr">
        <is>
          <t>Trưởng phòng</t>
        </is>
      </c>
      <c r="H848" s="10" t="inlineStr">
        <is>
          <t>05/02/2026</t>
        </is>
      </c>
      <c r="I848" s="10" t="inlineStr">
        <is>
          <t>22/03/2026</t>
        </is>
      </c>
      <c r="J848" s="10" t="inlineStr">
        <is>
          <t>17/03/2026</t>
        </is>
      </c>
      <c r="K848" s="10" t="inlineStr">
        <is>
          <t>N/A</t>
        </is>
      </c>
      <c r="L848" s="10" t="inlineStr">
        <is>
          <t>NPI Project Management, NPI Management, NPI, Project Management, Chinese</t>
        </is>
      </c>
      <c r="M848" s="10" t="inlineStr">
        <is>
          <t>Bonus, Healthcare Plan, Transportation</t>
        </is>
      </c>
      <c r="N848" s="11">
        <f>HYPERLINK("https://www.vietnamworks.com/senior-npi-manager-2009876-jv","Xem chi tiết")</f>
        <v/>
      </c>
      <c r="O848" s="10" t="n"/>
    </row>
    <row r="849">
      <c r="B849" s="7" t="n">
        <v>847</v>
      </c>
      <c r="C849" t="inlineStr">
        <is>
          <t>Chemistry Teacher</t>
        </is>
      </c>
      <c r="D849" t="inlineStr">
        <is>
          <t>Scotch Australian Grammar School (AGS)</t>
        </is>
      </c>
      <c r="E849" t="inlineStr">
        <is>
          <t>Thương lượng</t>
        </is>
      </c>
      <c r="F849" t="inlineStr">
        <is>
          <t>Hồ Chí Minh</t>
        </is>
      </c>
      <c r="G849" t="inlineStr">
        <is>
          <t>Nhân viên</t>
        </is>
      </c>
      <c r="H849" t="inlineStr">
        <is>
          <t>03/02/2026</t>
        </is>
      </c>
      <c r="I849" t="inlineStr">
        <is>
          <t>22/03/2026</t>
        </is>
      </c>
      <c r="J849" t="inlineStr">
        <is>
          <t>17/03/2026</t>
        </is>
      </c>
      <c r="K849" t="inlineStr">
        <is>
          <t>N/A</t>
        </is>
      </c>
      <c r="L849" t="inlineStr">
        <is>
          <t>Teaching, Chemistry, SACE, English Fluency, Teaching Certification</t>
        </is>
      </c>
      <c r="M849" t="inlineStr">
        <is>
          <t>Bonus, Travel Opportunities, Canteen</t>
        </is>
      </c>
      <c r="N849" s="8">
        <f>HYPERLINK("https://www.vietnamworks.com/chemistry-teacher--2009350-jv","Xem chi tiết")</f>
        <v/>
      </c>
    </row>
    <row r="850">
      <c r="B850" s="9" t="n">
        <v>848</v>
      </c>
      <c r="C850" s="10" t="inlineStr">
        <is>
          <t>Trưởng Phòng Phát Triển Đối Tác Số (Digital Partnership Manager)</t>
        </is>
      </c>
      <c r="D850" s="10" t="inlineStr">
        <is>
          <t>Bảo hiểm VietinBank (VBI)</t>
        </is>
      </c>
      <c r="E850" s="10" t="inlineStr">
        <is>
          <t>Thương lượng</t>
        </is>
      </c>
      <c r="F850" s="10" t="inlineStr">
        <is>
          <t>Hà Nội</t>
        </is>
      </c>
      <c r="G850" s="10" t="inlineStr">
        <is>
          <t>Trưởng phòng</t>
        </is>
      </c>
      <c r="H850" s="10" t="inlineStr">
        <is>
          <t>04/02/2026</t>
        </is>
      </c>
      <c r="I850" s="10" t="inlineStr">
        <is>
          <t>22/03/2026</t>
        </is>
      </c>
      <c r="J850" s="10" t="inlineStr">
        <is>
          <t>17/03/2026</t>
        </is>
      </c>
      <c r="K850" s="10" t="inlineStr">
        <is>
          <t>N/A</t>
        </is>
      </c>
      <c r="L850" s="10" t="inlineStr">
        <is>
          <t>Phát Triển Đối Tác, Fintech, Giao Tiếp Đàm Phán, Ngân Hàng Số, Phân Tích Nghiệp Vụ</t>
        </is>
      </c>
      <c r="M850" s="10" t="inlineStr">
        <is>
          <t>Bonus, Healthcare Plan, Paid Leave, Training, Laptop, Travel Opportunities, Others</t>
        </is>
      </c>
      <c r="N850" s="11">
        <f>HYPERLINK("https://www.vietnamworks.com/truong-phong-phat-trien-djoi-tac-so-digital-partnership-manager-2009853-jv","Xem chi tiết")</f>
        <v/>
      </c>
      <c r="O850" s="10" t="n"/>
    </row>
    <row r="851">
      <c r="B851" s="7" t="n">
        <v>849</v>
      </c>
      <c r="C851" t="inlineStr">
        <is>
          <t>Ecommerce Specialist</t>
        </is>
      </c>
      <c r="D851" t="inlineStr">
        <is>
          <t>Rodd &amp; Gunn New Zealand Limited</t>
        </is>
      </c>
      <c r="E851" t="inlineStr">
        <is>
          <t>$$ 800-1,000 /tháng</t>
        </is>
      </c>
      <c r="F851" t="inlineStr">
        <is>
          <t>Hồ Chí Minh</t>
        </is>
      </c>
      <c r="G851" t="inlineStr">
        <is>
          <t>Nhân viên</t>
        </is>
      </c>
      <c r="H851" t="inlineStr">
        <is>
          <t>05/02/2026</t>
        </is>
      </c>
      <c r="I851" t="inlineStr">
        <is>
          <t>22/03/2026</t>
        </is>
      </c>
      <c r="J851" t="inlineStr">
        <is>
          <t>17/03/2026</t>
        </is>
      </c>
      <c r="K851" t="inlineStr">
        <is>
          <t>N/A</t>
        </is>
      </c>
      <c r="L851" t="inlineStr">
        <is>
          <t>E-commerce, English Language Proficiency, HTML, Salesforce, Ecommerce Optimization</t>
        </is>
      </c>
      <c r="M851" t="inlineStr">
        <is>
          <t>Bonus, Training, Laptop</t>
        </is>
      </c>
      <c r="N851" s="8">
        <f>HYPERLINK("https://www.vietnamworks.com/ecommerce-specialist--2009877-jv","Xem chi tiết")</f>
        <v/>
      </c>
    </row>
    <row r="852">
      <c r="B852" s="9" t="n">
        <v>850</v>
      </c>
      <c r="C852" s="10" t="inlineStr">
        <is>
          <t>Senior Tax Accountant</t>
        </is>
      </c>
      <c r="D852" s="10" t="inlineStr">
        <is>
          <t>Công Ty TNHH Tư Vấn Phạm &amp; Các Cộng Sự</t>
        </is>
      </c>
      <c r="E852" s="10" t="inlineStr">
        <is>
          <t>Tới $ 1,500 /tháng</t>
        </is>
      </c>
      <c r="F852" s="10" t="inlineStr">
        <is>
          <t>Hồ Chí Minh</t>
        </is>
      </c>
      <c r="G852" s="10" t="inlineStr">
        <is>
          <t>Nhân viên</t>
        </is>
      </c>
      <c r="H852" s="10" t="inlineStr">
        <is>
          <t>04/02/2026</t>
        </is>
      </c>
      <c r="I852" s="10" t="inlineStr">
        <is>
          <t>22/03/2026</t>
        </is>
      </c>
      <c r="J852" s="10" t="inlineStr">
        <is>
          <t>17/03/2026</t>
        </is>
      </c>
      <c r="K852" s="10" t="inlineStr">
        <is>
          <t>N/A</t>
        </is>
      </c>
      <c r="L852" s="10" t="inlineStr">
        <is>
          <t>Khai Báo Thuế, Tư Vấn Thuế, Phần Mềm Kế Toán, MS Excel, Kiểm toán</t>
        </is>
      </c>
      <c r="M852" s="10" t="inlineStr">
        <is>
          <t>Bonus, Healthcare Plan, Paid Leave</t>
        </is>
      </c>
      <c r="N852" s="11">
        <f>HYPERLINK("https://www.vietnamworks.com/senior-tax-accountant--2009843-jv","Xem chi tiết")</f>
        <v/>
      </c>
      <c r="O852" s="10" t="n"/>
    </row>
    <row r="853">
      <c r="B853" s="7" t="n">
        <v>851</v>
      </c>
      <c r="C853" t="inlineStr">
        <is>
          <t>Senior C&amp;B Executive</t>
        </is>
      </c>
      <c r="D853" t="inlineStr">
        <is>
          <t>ITECHWX COMPANY LIMITED</t>
        </is>
      </c>
      <c r="E853" t="inlineStr">
        <is>
          <t>Thương lượng</t>
        </is>
      </c>
      <c r="F853" t="inlineStr">
        <is>
          <t>Hồ Chí Minh</t>
        </is>
      </c>
      <c r="G853" t="inlineStr">
        <is>
          <t>Mới Tốt Nghiệp</t>
        </is>
      </c>
      <c r="H853" t="inlineStr">
        <is>
          <t>05/02/2026</t>
        </is>
      </c>
      <c r="I853" t="inlineStr">
        <is>
          <t>22/03/2026</t>
        </is>
      </c>
      <c r="J853" t="inlineStr">
        <is>
          <t>17/03/2026</t>
        </is>
      </c>
      <c r="K853" t="inlineStr">
        <is>
          <t>N/A</t>
        </is>
      </c>
      <c r="L853" t="inlineStr">
        <is>
          <t>Excel proficiency, Making Payroll, Social Insurance, ERP Systems, HR Operation</t>
        </is>
      </c>
      <c r="M853" t="inlineStr">
        <is>
          <t>Healthcare Plan, Paid Leave, Laptop, Team Activities, Others</t>
        </is>
      </c>
      <c r="N853" s="8">
        <f>HYPERLINK("https://www.vietnamworks.com/senior-c-b-executive--2009882-jv","Xem chi tiết")</f>
        <v/>
      </c>
    </row>
    <row r="854">
      <c r="B854" s="9" t="n">
        <v>852</v>
      </c>
      <c r="C854" s="10" t="inlineStr">
        <is>
          <t>Chuyên Viên Tuyển Dụng</t>
        </is>
      </c>
      <c r="D854" s="10" t="inlineStr">
        <is>
          <t>Amphenol High Speed Technology Vietnam</t>
        </is>
      </c>
      <c r="E854" s="10" t="inlineStr">
        <is>
          <t>Thương lượng</t>
        </is>
      </c>
      <c r="F854" s="10" t="inlineStr">
        <is>
          <t>Bắc Ninh, Hà Nội</t>
        </is>
      </c>
      <c r="G854" s="10" t="inlineStr">
        <is>
          <t>Nhân viên</t>
        </is>
      </c>
      <c r="H854" s="10" t="inlineStr">
        <is>
          <t>05/02/2026</t>
        </is>
      </c>
      <c r="I854" s="10" t="inlineStr">
        <is>
          <t>22/03/2026</t>
        </is>
      </c>
      <c r="J854" s="10" t="inlineStr">
        <is>
          <t>17/03/2026</t>
        </is>
      </c>
      <c r="K854" s="10" t="inlineStr">
        <is>
          <t>N/A</t>
        </is>
      </c>
      <c r="L854" s="10" t="inlineStr">
        <is>
          <t>Tuyển Dụng Sản Xuất, Recruitment Mass, 招聘, Recruiting, Tuyển Dụng Phổ Thông</t>
        </is>
      </c>
      <c r="M854" s="10" t="inlineStr">
        <is>
          <t>Bonus, Healthcare Plan, Transportation</t>
        </is>
      </c>
      <c r="N854" s="11">
        <f>HYPERLINK("https://www.vietnamworks.com/chuyen-vien-tuyen-dung--2009874-jv","Xem chi tiết")</f>
        <v/>
      </c>
      <c r="O854" s="10" t="n"/>
    </row>
    <row r="855">
      <c r="B855" s="7" t="n">
        <v>853</v>
      </c>
      <c r="C855" t="inlineStr">
        <is>
          <t>Trưởng Nhóm Đãi Ngộ Và Đối Tác Nhân Sự</t>
        </is>
      </c>
      <c r="D855" t="inlineStr">
        <is>
          <t>Oristar Corporation - Công Ty Cổ Phần Oristar</t>
        </is>
      </c>
      <c r="E855" t="inlineStr">
        <is>
          <t>Thương lượng</t>
        </is>
      </c>
      <c r="F855" t="inlineStr">
        <is>
          <t>Hà Nội, Hồ Chí Minh</t>
        </is>
      </c>
      <c r="G855" t="inlineStr">
        <is>
          <t>Nhân viên</t>
        </is>
      </c>
      <c r="H855" t="inlineStr">
        <is>
          <t>04/02/2026</t>
        </is>
      </c>
      <c r="I855" t="inlineStr">
        <is>
          <t>22/03/2026</t>
        </is>
      </c>
      <c r="J855" t="inlineStr">
        <is>
          <t>17/03/2026</t>
        </is>
      </c>
      <c r="K855" t="inlineStr">
        <is>
          <t>N/A</t>
        </is>
      </c>
      <c r="L855" t="inlineStr">
        <is>
          <t>Admin, C&amp;B, Nhân Sự, Quản Lý Ngân Sách, Quản Lý Tiền Lương</t>
        </is>
      </c>
      <c r="M855" t="inlineStr">
        <is>
          <t>Bonus, Healthcare Plan, Team Activities</t>
        </is>
      </c>
      <c r="N855" s="8">
        <f>HYPERLINK("https://www.vietnamworks.com/truong-nhom-djai-ngo-va-djoi-tac-nhan-su-2009858-jv","Xem chi tiết")</f>
        <v/>
      </c>
    </row>
    <row r="856">
      <c r="B856" s="9" t="n">
        <v>854</v>
      </c>
      <c r="C856" s="10" t="inlineStr">
        <is>
          <t>[HN] Application Specialist (Invitro Diagnostics Medical Devices)</t>
        </is>
      </c>
      <c r="D856" s="10" t="inlineStr">
        <is>
          <t>CÔNG TY TNHH SYSMEX VIỆT NAM</t>
        </is>
      </c>
      <c r="E856" s="10" t="inlineStr">
        <is>
          <t>Thương lượng</t>
        </is>
      </c>
      <c r="F856" s="10" t="inlineStr">
        <is>
          <t>Hà Nội</t>
        </is>
      </c>
      <c r="G856" s="10" t="inlineStr">
        <is>
          <t>Nhân viên</t>
        </is>
      </c>
      <c r="H856" s="10" t="inlineStr">
        <is>
          <t>05/02/2026</t>
        </is>
      </c>
      <c r="I856" s="10" t="inlineStr">
        <is>
          <t>22/03/2026</t>
        </is>
      </c>
      <c r="J856" s="10" t="inlineStr">
        <is>
          <t>17/03/2026</t>
        </is>
      </c>
      <c r="K856" s="10" t="inlineStr">
        <is>
          <t>N/A</t>
        </is>
      </c>
      <c r="L856" s="10" t="inlineStr">
        <is>
          <t>Biomedical Engineering, Medical Devices, Medical Technology, Application Server, Laboratory Administration</t>
        </is>
      </c>
      <c r="M856" s="10" t="inlineStr">
        <is>
          <t>Bonus, Healthcare Plan, Travel Opportunities, Others</t>
        </is>
      </c>
      <c r="N856" s="11">
        <f>HYPERLINK("https://www.vietnamworks.com/hn-application-specialist-invitro-diagnostics-medical-devices-2009886-jv","Xem chi tiết")</f>
        <v/>
      </c>
      <c r="O856" s="10" t="n"/>
    </row>
    <row r="857">
      <c r="B857" s="7" t="n">
        <v>855</v>
      </c>
      <c r="C857" t="inlineStr">
        <is>
          <t>Sales Admin</t>
        </is>
      </c>
      <c r="D857" t="inlineStr">
        <is>
          <t>Công ty Cổ phần Công nghệ &amp; Truyền Thông Việt Nam</t>
        </is>
      </c>
      <c r="E857" t="inlineStr">
        <is>
          <t>Thương lượng</t>
        </is>
      </c>
      <c r="F857" t="inlineStr">
        <is>
          <t>Bình Dương</t>
        </is>
      </c>
      <c r="G857" t="inlineStr">
        <is>
          <t>Nhân viên</t>
        </is>
      </c>
      <c r="H857" t="inlineStr">
        <is>
          <t>05/02/2026</t>
        </is>
      </c>
      <c r="I857" t="inlineStr">
        <is>
          <t>22/03/2026</t>
        </is>
      </c>
      <c r="J857" t="inlineStr">
        <is>
          <t>17/03/2026</t>
        </is>
      </c>
      <c r="K857" t="inlineStr">
        <is>
          <t>N/A</t>
        </is>
      </c>
      <c r="L857" t="inlineStr">
        <is>
          <t>English, Giao Tiếp Tốt, Luật, Sales Admin, Soạn Thảo Hợp Đồng</t>
        </is>
      </c>
      <c r="M857" t="inlineStr">
        <is>
          <t>Bonus, Healthcare Plan, Team Activities, Others</t>
        </is>
      </c>
      <c r="N857" s="8">
        <f>HYPERLINK("https://www.vietnamworks.com/sales-admin-2009885-jv","Xem chi tiết")</f>
        <v/>
      </c>
    </row>
    <row r="858">
      <c r="B858" s="9" t="n">
        <v>856</v>
      </c>
      <c r="C858" s="10" t="inlineStr">
        <is>
          <t>Senior Specialist, Agency Compensation</t>
        </is>
      </c>
      <c r="D858" s="10" t="inlineStr">
        <is>
          <t>CÔNG TY TNHH BẢO HIỂM SHINHAN LIFE VIỆT NAM</t>
        </is>
      </c>
      <c r="E858" s="10" t="inlineStr">
        <is>
          <t>Thương lượng</t>
        </is>
      </c>
      <c r="F858" s="10" t="inlineStr">
        <is>
          <t>Hồ Chí Minh</t>
        </is>
      </c>
      <c r="G858" s="10" t="inlineStr">
        <is>
          <t>Nhân viên</t>
        </is>
      </c>
      <c r="H858" s="10" t="inlineStr">
        <is>
          <t>05/02/2026</t>
        </is>
      </c>
      <c r="I858" s="10" t="inlineStr">
        <is>
          <t>22/03/2026</t>
        </is>
      </c>
      <c r="J858" s="10" t="inlineStr">
        <is>
          <t>17/03/2026</t>
        </is>
      </c>
      <c r="K858" s="10" t="inlineStr">
        <is>
          <t>N/A</t>
        </is>
      </c>
      <c r="L858" s="10" t="inlineStr">
        <is>
          <t>Insurance, VBA, SQL, Power BI, Oracle SQL</t>
        </is>
      </c>
      <c r="M858" s="10" t="inlineStr">
        <is>
          <t>Healthcare Plan</t>
        </is>
      </c>
      <c r="N858" s="11">
        <f>HYPERLINK("https://www.vietnamworks.com/senior-specialist-agency-compensation--2009887-jv","Xem chi tiết")</f>
        <v/>
      </c>
      <c r="O858" s="10" t="n"/>
    </row>
    <row r="859">
      <c r="B859" s="7" t="n">
        <v>857</v>
      </c>
      <c r="C859" t="inlineStr">
        <is>
          <t>Student Development Staff (Music Background- School band management)</t>
        </is>
      </c>
      <c r="D859" t="inlineStr">
        <is>
          <t>Trường THCS Và THPT Đinh Thiện Lý ( Lawrence S.ting School )</t>
        </is>
      </c>
      <c r="E859" t="inlineStr">
        <is>
          <t>Thương lượng</t>
        </is>
      </c>
      <c r="F859" t="inlineStr">
        <is>
          <t>Hồ Chí Minh</t>
        </is>
      </c>
      <c r="G859" t="inlineStr">
        <is>
          <t>Nhân viên</t>
        </is>
      </c>
      <c r="H859" t="inlineStr">
        <is>
          <t>05/02/2026</t>
        </is>
      </c>
      <c r="I859" t="inlineStr">
        <is>
          <t>22/03/2026</t>
        </is>
      </c>
      <c r="J859" t="inlineStr">
        <is>
          <t>17/03/2026</t>
        </is>
      </c>
      <c r="K859" t="inlineStr">
        <is>
          <t>N/A</t>
        </is>
      </c>
      <c r="L859" t="inlineStr">
        <is>
          <t>English Communication, Event Planning, Leadership Skills, Problem-solving, Teamwork</t>
        </is>
      </c>
      <c r="M859" t="inlineStr">
        <is>
          <t>Bonus, Healthcare Plan, Others</t>
        </is>
      </c>
      <c r="N859" s="8">
        <f>HYPERLINK("https://www.vietnamworks.com/student-development-staff-music-background-school-band-management-2009888-jv","Xem chi tiết")</f>
        <v/>
      </c>
    </row>
    <row r="860">
      <c r="B860" s="9" t="n">
        <v>858</v>
      </c>
      <c r="C860" s="10" t="inlineStr">
        <is>
          <t>Digital Marketing Assistant Manager</t>
        </is>
      </c>
      <c r="D860" s="10" t="inlineStr">
        <is>
          <t>Phú Hưng Life</t>
        </is>
      </c>
      <c r="E860" s="10" t="inlineStr">
        <is>
          <t>Thương lượng</t>
        </is>
      </c>
      <c r="F860" s="10" t="inlineStr">
        <is>
          <t>Hồ Chí Minh</t>
        </is>
      </c>
      <c r="G860" s="10" t="inlineStr">
        <is>
          <t>Nhân viên</t>
        </is>
      </c>
      <c r="H860" s="10" t="inlineStr">
        <is>
          <t>05/02/2026</t>
        </is>
      </c>
      <c r="I860" s="10" t="inlineStr">
        <is>
          <t>22/03/2026</t>
        </is>
      </c>
      <c r="J860" s="10" t="inlineStr">
        <is>
          <t>17/03/2026</t>
        </is>
      </c>
      <c r="K860" s="10" t="inlineStr">
        <is>
          <t>N/A</t>
        </is>
      </c>
      <c r="L860" s="10" t="inlineStr">
        <is>
          <t>Digital Marketing, Performance Marketing, Marketing, Digital Marketing Facebook, Growth Marketing</t>
        </is>
      </c>
      <c r="M860" s="10" t="inlineStr">
        <is>
          <t>Healthcare Plan, Paid Leave, Team Activities</t>
        </is>
      </c>
      <c r="N860" s="11">
        <f>HYPERLINK("https://www.vietnamworks.com/digital-marketing-assistant-manager-2009891-jv","Xem chi tiết")</f>
        <v/>
      </c>
      <c r="O860" s="10" t="n"/>
    </row>
    <row r="861">
      <c r="B861" s="7" t="n">
        <v>859</v>
      </c>
      <c r="C861" t="inlineStr">
        <is>
          <t>HR Officer (Bac Giang)</t>
        </is>
      </c>
      <c r="D861" t="inlineStr">
        <is>
          <t>Molex Vietnam Co., Ltd.</t>
        </is>
      </c>
      <c r="E861" t="inlineStr">
        <is>
          <t>Thương lượng</t>
        </is>
      </c>
      <c r="F861" t="inlineStr">
        <is>
          <t>Bắc Giang</t>
        </is>
      </c>
      <c r="G861" t="inlineStr">
        <is>
          <t>Nhân viên</t>
        </is>
      </c>
      <c r="H861" t="inlineStr">
        <is>
          <t>05/02/2026</t>
        </is>
      </c>
      <c r="I861" t="inlineStr">
        <is>
          <t>22/03/2026</t>
        </is>
      </c>
      <c r="J861" t="inlineStr">
        <is>
          <t>17/03/2026</t>
        </is>
      </c>
      <c r="K861" t="inlineStr">
        <is>
          <t>N/A</t>
        </is>
      </c>
      <c r="L861" t="inlineStr">
        <is>
          <t>Chinese Speaking, Organizational skills, Problem-solving, Recruitment, Training</t>
        </is>
      </c>
      <c r="M861" t="inlineStr">
        <is>
          <t>Bonus, Healthcare Plan, Paid Leave, Transportation, Others</t>
        </is>
      </c>
      <c r="N861" s="8">
        <f>HYPERLINK("https://www.vietnamworks.com/hr-officer-bac-giang-2009896-jv","Xem chi tiết")</f>
        <v/>
      </c>
    </row>
    <row r="862">
      <c r="B862" s="9" t="n">
        <v>860</v>
      </c>
      <c r="C862" s="10" t="inlineStr">
        <is>
          <t>Senior Digital Executive (Healthcare)</t>
        </is>
      </c>
      <c r="D862" s="10" t="inlineStr">
        <is>
          <t>CÔNG TY CỔ PHẦN ADTEK TECHNOLOGY</t>
        </is>
      </c>
      <c r="E862" s="10" t="inlineStr">
        <is>
          <t>Thương lượng</t>
        </is>
      </c>
      <c r="F862" s="10" t="inlineStr">
        <is>
          <t>Hồ Chí Minh</t>
        </is>
      </c>
      <c r="G862" s="10" t="inlineStr">
        <is>
          <t>Nhân viên</t>
        </is>
      </c>
      <c r="H862" s="10" t="inlineStr">
        <is>
          <t>05/02/2026</t>
        </is>
      </c>
      <c r="I862" s="10" t="inlineStr">
        <is>
          <t>22/03/2026</t>
        </is>
      </c>
      <c r="J862" s="10" t="inlineStr">
        <is>
          <t>17/03/2026</t>
        </is>
      </c>
      <c r="K862" s="10" t="inlineStr">
        <is>
          <t>N/A</t>
        </is>
      </c>
      <c r="L862" s="10" t="inlineStr">
        <is>
          <t>Digital Marketing Planning, Data Analysis, Presentation Skills, Healthcare Industry, pharmaceutical</t>
        </is>
      </c>
      <c r="M862" s="10" t="inlineStr">
        <is>
          <t>Bonus, Paid Leave, Travel Opportunities, Team Activities</t>
        </is>
      </c>
      <c r="N862" s="11">
        <f>HYPERLINK("https://www.vietnamworks.com/senior-digital-executive-healthcare-2009890-jv","Xem chi tiết")</f>
        <v/>
      </c>
      <c r="O862" s="10" t="n"/>
    </row>
    <row r="863">
      <c r="B863" s="7" t="n">
        <v>861</v>
      </c>
      <c r="C863" t="inlineStr">
        <is>
          <t>IT Programmer - C#, X++ Developer</t>
        </is>
      </c>
      <c r="D863" t="inlineStr">
        <is>
          <t>Newtimes Development LTD. - Vietnam Representative Office</t>
        </is>
      </c>
      <c r="E863" t="inlineStr">
        <is>
          <t>Thương lượng</t>
        </is>
      </c>
      <c r="F863" t="inlineStr">
        <is>
          <t>Hồ Chí Minh</t>
        </is>
      </c>
      <c r="G863" t="inlineStr">
        <is>
          <t>Nhân viên</t>
        </is>
      </c>
      <c r="H863" t="inlineStr">
        <is>
          <t>05/02/2026</t>
        </is>
      </c>
      <c r="I863" t="inlineStr">
        <is>
          <t>22/03/2026</t>
        </is>
      </c>
      <c r="J863" t="inlineStr">
        <is>
          <t>17/03/2026</t>
        </is>
      </c>
      <c r="K863" t="inlineStr">
        <is>
          <t>N/A</t>
        </is>
      </c>
      <c r="L863" t="inlineStr">
        <is>
          <t>C#, X++, Microsoft Power Platform, UiPath, Problem-solving</t>
        </is>
      </c>
      <c r="M863" t="inlineStr">
        <is>
          <t>Bonus, Healthcare Plan, Team Activities</t>
        </is>
      </c>
      <c r="N863" s="8">
        <f>HYPERLINK("https://www.vietnamworks.com/it-programmer-c-x-developer-2009894-jv","Xem chi tiết")</f>
        <v/>
      </c>
    </row>
    <row r="864">
      <c r="B864" s="9" t="n">
        <v>862</v>
      </c>
      <c r="C864" s="10" t="inlineStr">
        <is>
          <t>Senior Seafreight Customer Service and Operation</t>
        </is>
      </c>
      <c r="D864" s="10" t="inlineStr">
        <is>
          <t>Scan Global Logistics Việt Nam</t>
        </is>
      </c>
      <c r="E864" s="10" t="inlineStr">
        <is>
          <t>Thương lượng</t>
        </is>
      </c>
      <c r="F864" s="10" t="inlineStr">
        <is>
          <t>Hồ Chí Minh, Hà Nội</t>
        </is>
      </c>
      <c r="G864" s="10" t="inlineStr">
        <is>
          <t>Nhân viên</t>
        </is>
      </c>
      <c r="H864" s="10" t="inlineStr">
        <is>
          <t>05/02/2026</t>
        </is>
      </c>
      <c r="I864" s="10" t="inlineStr">
        <is>
          <t>22/03/2026</t>
        </is>
      </c>
      <c r="J864" s="10" t="inlineStr">
        <is>
          <t>17/03/2026</t>
        </is>
      </c>
      <c r="K864" s="10" t="inlineStr">
        <is>
          <t>N/A</t>
        </is>
      </c>
      <c r="L864" s="10" t="inlineStr">
        <is>
          <t>Sea Freight, Shipping Lines, Customer Service, Documentation Handling, Logistic Forwarding</t>
        </is>
      </c>
      <c r="M864" s="10" t="inlineStr">
        <is>
          <t>Bonus, Healthcare Plan, Travel Opportunities</t>
        </is>
      </c>
      <c r="N864" s="11">
        <f>HYPERLINK("https://www.vietnamworks.com/senior-seafreight-customer-service-and-operation--2009895-jv","Xem chi tiết")</f>
        <v/>
      </c>
      <c r="O864" s="10" t="n"/>
    </row>
    <row r="865">
      <c r="B865" s="7" t="n">
        <v>863</v>
      </c>
      <c r="C865" t="inlineStr">
        <is>
          <t>Phó trưởng Phòng Hành Chính Nhân Sự</t>
        </is>
      </c>
      <c r="D865" t="inlineStr">
        <is>
          <t>Công ty Cổ phần Quản Lý Quỹ HD</t>
        </is>
      </c>
      <c r="E865" t="inlineStr">
        <is>
          <t>Thương lượng</t>
        </is>
      </c>
      <c r="F865" t="inlineStr">
        <is>
          <t>Hồ Chí Minh</t>
        </is>
      </c>
      <c r="G865" t="inlineStr">
        <is>
          <t>Trưởng phòng</t>
        </is>
      </c>
      <c r="H865" t="inlineStr">
        <is>
          <t>05/02/2026</t>
        </is>
      </c>
      <c r="I865" t="inlineStr">
        <is>
          <t>22/03/2026</t>
        </is>
      </c>
      <c r="J865" t="inlineStr">
        <is>
          <t>17/03/2026</t>
        </is>
      </c>
      <c r="K865" t="inlineStr">
        <is>
          <t>N/A</t>
        </is>
      </c>
      <c r="L865" t="inlineStr">
        <is>
          <t>Kinh Tế, Lãnh Đạo, Luật Lao Động, Quản Trị Doanh Nghiệp, Quản Trị Nhân Sự</t>
        </is>
      </c>
      <c r="M865" t="inlineStr">
        <is>
          <t>Healthcare Plan, Others</t>
        </is>
      </c>
      <c r="N865" s="8">
        <f>HYPERLINK("https://www.vietnamworks.com/pho-truong-phong-hanh-chinh-nhan-su-2009884-jv","Xem chi tiết")</f>
        <v/>
      </c>
    </row>
    <row r="866">
      <c r="B866" s="9" t="n">
        <v>864</v>
      </c>
      <c r="C866" s="10" t="inlineStr">
        <is>
          <t>Phó Tổng Giám Đốc Phụ Trách Kinh Doanh</t>
        </is>
      </c>
      <c r="D866" s="10" t="inlineStr">
        <is>
          <t>Công ty Cổ phần Tập đoàn Nagakawa</t>
        </is>
      </c>
      <c r="E866" s="10" t="inlineStr">
        <is>
          <t>Thương lượng</t>
        </is>
      </c>
      <c r="F866" s="10" t="inlineStr">
        <is>
          <t>Hà Nội</t>
        </is>
      </c>
      <c r="G866" s="10" t="inlineStr">
        <is>
          <t>Giám Đốc và Cấp Cao Hơn</t>
        </is>
      </c>
      <c r="H866" s="10" t="inlineStr">
        <is>
          <t>05/02/2026</t>
        </is>
      </c>
      <c r="I866" s="10" t="inlineStr">
        <is>
          <t>22/03/2026</t>
        </is>
      </c>
      <c r="J866" s="10" t="inlineStr">
        <is>
          <t>17/03/2026</t>
        </is>
      </c>
      <c r="K866" s="10" t="inlineStr">
        <is>
          <t>N/A</t>
        </is>
      </c>
      <c r="L866" s="10" t="inlineStr">
        <is>
          <t>Phát Triển Thị Trường, Phát Triển Kinh Doanh, Kinh Doanh, Hoạch Định Chiến Lược, International Relations</t>
        </is>
      </c>
      <c r="M866" s="10" t="inlineStr">
        <is>
          <t>Healthcare Plan, Travel Opportunities, Others</t>
        </is>
      </c>
      <c r="N866" s="11">
        <f>HYPERLINK("https://www.vietnamworks.com/pho-tong-giam-doc-phu-trach-kinh-doanh--2009900-jv","Xem chi tiết")</f>
        <v/>
      </c>
      <c r="O866" s="10" t="n"/>
    </row>
    <row r="867">
      <c r="B867" s="7" t="n">
        <v>865</v>
      </c>
      <c r="C867" t="inlineStr">
        <is>
          <t>Nhân Viên Mua Hàng (Procurement Officer)</t>
        </is>
      </c>
      <c r="D867" t="inlineStr">
        <is>
          <t>Công Ty TNHH Một Thành Viên Relats Viêt Nam</t>
        </is>
      </c>
      <c r="E867" t="inlineStr">
        <is>
          <t>Thương lượng</t>
        </is>
      </c>
      <c r="F867" t="inlineStr">
        <is>
          <t>Đà Nẵng</t>
        </is>
      </c>
      <c r="G867" t="inlineStr">
        <is>
          <t>Nhân viên</t>
        </is>
      </c>
      <c r="H867" t="inlineStr">
        <is>
          <t>05/02/2026</t>
        </is>
      </c>
      <c r="I867" t="inlineStr">
        <is>
          <t>22/03/2026</t>
        </is>
      </c>
      <c r="J867" t="inlineStr">
        <is>
          <t>17/03/2026</t>
        </is>
      </c>
      <c r="K867" t="inlineStr">
        <is>
          <t>N/A</t>
        </is>
      </c>
      <c r="L867" t="inlineStr">
        <is>
          <t>Mua Hàng Sản Xuất, Procurement, Purchasing Processes, Xử Lý Đơn Hàng, Xuất Nhập Khẩu</t>
        </is>
      </c>
      <c r="M867" t="inlineStr">
        <is>
          <t>Bonus, Healthcare Plan, Training, Laptop, Team Activities, Transportation</t>
        </is>
      </c>
      <c r="N867" s="8">
        <f>HYPERLINK("https://www.vietnamworks.com/nhan-vien-mua-hang-procurement-officer-2009892-jv","Xem chi tiết")</f>
        <v/>
      </c>
    </row>
    <row r="868">
      <c r="B868" s="9" t="n">
        <v>866</v>
      </c>
      <c r="C868" s="10" t="inlineStr">
        <is>
          <t>Warehouse Assistant Manager</t>
        </is>
      </c>
      <c r="D868" s="10" t="inlineStr">
        <is>
          <t>Công Ty TNHH Yusen Logistics (Việt Nam)</t>
        </is>
      </c>
      <c r="E868" s="10" t="inlineStr">
        <is>
          <t>Thương lượng</t>
        </is>
      </c>
      <c r="F868" s="10" t="inlineStr">
        <is>
          <t>Hưng Yên</t>
        </is>
      </c>
      <c r="G868" s="10" t="inlineStr">
        <is>
          <t>Trưởng phòng</t>
        </is>
      </c>
      <c r="H868" s="10" t="inlineStr">
        <is>
          <t>05/02/2026</t>
        </is>
      </c>
      <c r="I868" s="10" t="inlineStr">
        <is>
          <t>22/03/2026</t>
        </is>
      </c>
      <c r="J868" s="10" t="inlineStr">
        <is>
          <t>17/03/2026</t>
        </is>
      </c>
      <c r="K868" s="10" t="inlineStr">
        <is>
          <t>N/A</t>
        </is>
      </c>
      <c r="L868" s="10" t="inlineStr">
        <is>
          <t>Warehouse Management, SAP, Logistics, ERP, English Communicate</t>
        </is>
      </c>
      <c r="M868" s="10" t="inlineStr">
        <is>
          <t>Bonus, Healthcare Plan, Laptop</t>
        </is>
      </c>
      <c r="N868" s="11">
        <f>HYPERLINK("https://www.vietnamworks.com/warehouse-assistant-manager--2009907-jv","Xem chi tiết")</f>
        <v/>
      </c>
      <c r="O868" s="10" t="n"/>
    </row>
    <row r="869">
      <c r="B869" s="7" t="n">
        <v>867</v>
      </c>
      <c r="C869" t="inlineStr">
        <is>
          <t>Demand Planning Supervisor</t>
        </is>
      </c>
      <c r="D869" t="inlineStr">
        <is>
          <t>Masan Consumer Holdings</t>
        </is>
      </c>
      <c r="E869" t="inlineStr">
        <is>
          <t>Thương lượng</t>
        </is>
      </c>
      <c r="F869" t="inlineStr">
        <is>
          <t>Hồ Chí Minh</t>
        </is>
      </c>
      <c r="G869" t="inlineStr">
        <is>
          <t>Nhân viên</t>
        </is>
      </c>
      <c r="H869" t="inlineStr">
        <is>
          <t>05/02/2026</t>
        </is>
      </c>
      <c r="I869" t="inlineStr">
        <is>
          <t>22/03/2026</t>
        </is>
      </c>
      <c r="J869" t="inlineStr">
        <is>
          <t>17/03/2026</t>
        </is>
      </c>
      <c r="K869" t="inlineStr">
        <is>
          <t>N/A</t>
        </is>
      </c>
      <c r="L869" t="inlineStr">
        <is>
          <t>Supply Chain Management, Forecast Material Demand, Forecast Demand Planning, Demand Supply Planning, Demand Management</t>
        </is>
      </c>
      <c r="M869" t="inlineStr">
        <is>
          <t>Bonus, Laptop, Others</t>
        </is>
      </c>
      <c r="N869" s="8">
        <f>HYPERLINK("https://www.vietnamworks.com/demand-planning-supervisor--2009897-jv","Xem chi tiết")</f>
        <v/>
      </c>
    </row>
    <row r="870">
      <c r="B870" s="9" t="n">
        <v>868</v>
      </c>
      <c r="C870" s="10" t="inlineStr">
        <is>
          <t>Customer Marketing Senior Manager</t>
        </is>
      </c>
      <c r="D870" s="10" t="inlineStr">
        <is>
          <t>Phú Hưng Life</t>
        </is>
      </c>
      <c r="E870" s="10" t="inlineStr">
        <is>
          <t>Thương lượng</t>
        </is>
      </c>
      <c r="F870" s="10" t="inlineStr">
        <is>
          <t>Hồ Chí Minh</t>
        </is>
      </c>
      <c r="G870" s="10" t="inlineStr">
        <is>
          <t>Nhân viên</t>
        </is>
      </c>
      <c r="H870" s="10" t="inlineStr">
        <is>
          <t>05/02/2026</t>
        </is>
      </c>
      <c r="I870" s="10" t="inlineStr">
        <is>
          <t>22/03/2026</t>
        </is>
      </c>
      <c r="J870" s="10" t="inlineStr">
        <is>
          <t>17/03/2026</t>
        </is>
      </c>
      <c r="K870" s="10" t="inlineStr">
        <is>
          <t>N/A</t>
        </is>
      </c>
      <c r="L870" s="10" t="inlineStr">
        <is>
          <t>Customer Marketing, Product Marketing, Integrated Marketing, Digital, Growth Marketing</t>
        </is>
      </c>
      <c r="M870" s="10" t="inlineStr">
        <is>
          <t>Healthcare Plan, Paid Leave, Team Activities</t>
        </is>
      </c>
      <c r="N870" s="11">
        <f>HYPERLINK("https://www.vietnamworks.com/customer-marketing-senior-manager-2009889-jv","Xem chi tiết")</f>
        <v/>
      </c>
      <c r="O870" s="10" t="n"/>
    </row>
    <row r="871">
      <c r="B871" s="7" t="n">
        <v>869</v>
      </c>
      <c r="C871" t="inlineStr">
        <is>
          <t>Sales Manager</t>
        </is>
      </c>
      <c r="D871" t="inlineStr">
        <is>
          <t>Haegen &amp; Co., Limited</t>
        </is>
      </c>
      <c r="E871" t="inlineStr">
        <is>
          <t>Thương lượng</t>
        </is>
      </c>
      <c r="F871" t="inlineStr">
        <is>
          <t>Hồ Chí Minh</t>
        </is>
      </c>
      <c r="G871" t="inlineStr">
        <is>
          <t>Trưởng phòng</t>
        </is>
      </c>
      <c r="H871" t="inlineStr">
        <is>
          <t>05/02/2026</t>
        </is>
      </c>
      <c r="I871" t="inlineStr">
        <is>
          <t>22/03/2026</t>
        </is>
      </c>
      <c r="J871" t="inlineStr">
        <is>
          <t>17/03/2026</t>
        </is>
      </c>
      <c r="K871" t="inlineStr">
        <is>
          <t>N/A</t>
        </is>
      </c>
      <c r="L871" t="inlineStr">
        <is>
          <t>Channel Relationship Management, Leadership, Market Analysis, Negotiation Skills, Sales Strategy</t>
        </is>
      </c>
      <c r="M871" t="inlineStr">
        <is>
          <t>Bonus</t>
        </is>
      </c>
      <c r="N871" s="8">
        <f>HYPERLINK("https://www.vietnamworks.com/sales-manager-2009898-jv","Xem chi tiết")</f>
        <v/>
      </c>
    </row>
    <row r="872">
      <c r="B872" s="9" t="n">
        <v>870</v>
      </c>
      <c r="C872" s="10" t="inlineStr">
        <is>
          <t>Sales Assistant</t>
        </is>
      </c>
      <c r="D872" s="10" t="inlineStr">
        <is>
          <t>Haegen &amp; Co., Limited</t>
        </is>
      </c>
      <c r="E872" s="10" t="inlineStr">
        <is>
          <t>Thương lượng</t>
        </is>
      </c>
      <c r="F872" s="10" t="inlineStr">
        <is>
          <t>Hồ Chí Minh</t>
        </is>
      </c>
      <c r="G872" s="10" t="inlineStr">
        <is>
          <t>Nhân viên</t>
        </is>
      </c>
      <c r="H872" s="10" t="inlineStr">
        <is>
          <t>05/02/2026</t>
        </is>
      </c>
      <c r="I872" s="10" t="inlineStr">
        <is>
          <t>22/03/2026</t>
        </is>
      </c>
      <c r="J872" s="10" t="inlineStr">
        <is>
          <t>17/03/2026</t>
        </is>
      </c>
      <c r="K872" s="10" t="inlineStr">
        <is>
          <t>N/A</t>
        </is>
      </c>
      <c r="L872" s="10" t="inlineStr">
        <is>
          <t>Communication, Crm Tools, Market Research, MS Office, Sales Support</t>
        </is>
      </c>
      <c r="M872" s="10" t="inlineStr">
        <is>
          <t>Bonus</t>
        </is>
      </c>
      <c r="N872" s="11">
        <f>HYPERLINK("https://www.vietnamworks.com/sales-assistant-2009904-jv","Xem chi tiết")</f>
        <v/>
      </c>
      <c r="O872" s="10" t="n"/>
    </row>
    <row r="873">
      <c r="B873" s="7" t="n">
        <v>871</v>
      </c>
      <c r="C873" t="inlineStr">
        <is>
          <t>Trợ Lý Giám Đốc Khối Kinh Doanh / Tuyển Gấp</t>
        </is>
      </c>
      <c r="D873" t="inlineStr">
        <is>
          <t>MISA Jointstock Company</t>
        </is>
      </c>
      <c r="E873" t="inlineStr">
        <is>
          <t>Thương lượng</t>
        </is>
      </c>
      <c r="F873" t="inlineStr">
        <is>
          <t>Hà Nội</t>
        </is>
      </c>
      <c r="G873" t="inlineStr">
        <is>
          <t>Nhân viên</t>
        </is>
      </c>
      <c r="H873" t="inlineStr">
        <is>
          <t>05/02/2026</t>
        </is>
      </c>
      <c r="I873" t="inlineStr">
        <is>
          <t>22/03/2026</t>
        </is>
      </c>
      <c r="J873" t="inlineStr">
        <is>
          <t>17/03/2026</t>
        </is>
      </c>
      <c r="K873" t="inlineStr">
        <is>
          <t>N/A</t>
        </is>
      </c>
      <c r="L873" t="inlineStr">
        <is>
          <t>Kinh Tế, Nghiên Cứu Thị Trường, Quản Trị Kinh Doanh, Trợ lý cho Ban Giám đốc, Trợ Lý Giám Đốc</t>
        </is>
      </c>
      <c r="M873" t="inlineStr">
        <is>
          <t>Healthcare Plan, Training, Awards, Team Activities, Others</t>
        </is>
      </c>
      <c r="N873" s="8">
        <f>HYPERLINK("https://www.vietnamworks.com/tro-ly-giam-doc-khoi-kinh-doanh-tuyen-gap-2009901-jv","Xem chi tiết")</f>
        <v/>
      </c>
    </row>
    <row r="874">
      <c r="B874" s="9" t="n">
        <v>872</v>
      </c>
      <c r="C874" s="10" t="inlineStr">
        <is>
          <t>General Ledger Accountant</t>
        </is>
      </c>
      <c r="D874" s="10" t="inlineStr">
        <is>
          <t>INSEE Vietnam</t>
        </is>
      </c>
      <c r="E874" s="10" t="inlineStr">
        <is>
          <t>Thương lượng</t>
        </is>
      </c>
      <c r="F874" s="10" t="inlineStr">
        <is>
          <t>Hồ Chí Minh</t>
        </is>
      </c>
      <c r="G874" s="10" t="inlineStr">
        <is>
          <t>Nhân viên</t>
        </is>
      </c>
      <c r="H874" s="10" t="inlineStr">
        <is>
          <t>05/02/2026</t>
        </is>
      </c>
      <c r="I874" s="10" t="inlineStr">
        <is>
          <t>22/03/2026</t>
        </is>
      </c>
      <c r="J874" s="10" t="inlineStr">
        <is>
          <t>17/03/2026</t>
        </is>
      </c>
      <c r="K874" s="10" t="inlineStr">
        <is>
          <t>N/A</t>
        </is>
      </c>
      <c r="L874" s="10" t="inlineStr">
        <is>
          <t>Financial Reporting, General Accounting Principals, General Ledger Maintenance, Leadership Skills, Tax Compliance</t>
        </is>
      </c>
      <c r="M874" s="10" t="inlineStr">
        <is>
          <t>Bonus, Healthcare Plan, Training, Laptop, Transportation</t>
        </is>
      </c>
      <c r="N874" s="11">
        <f>HYPERLINK("https://www.vietnamworks.com/general-ledger-accountant-2009893-jv","Xem chi tiết")</f>
        <v/>
      </c>
      <c r="O874" s="10" t="n"/>
    </row>
    <row r="875">
      <c r="B875" s="7" t="n">
        <v>873</v>
      </c>
      <c r="C875" t="inlineStr">
        <is>
          <t>Content Strategist (Ebook &amp; Blog Insight Cho Ceo/doanh Nghiệp) / Tuyển Gấp</t>
        </is>
      </c>
      <c r="D875" t="inlineStr">
        <is>
          <t>MISA Jointstock Company</t>
        </is>
      </c>
      <c r="E875" t="inlineStr">
        <is>
          <t>Tới 30tr ₫/tháng</t>
        </is>
      </c>
      <c r="F875" t="inlineStr">
        <is>
          <t>Hà Nội</t>
        </is>
      </c>
      <c r="G875" t="inlineStr">
        <is>
          <t>Nhân viên</t>
        </is>
      </c>
      <c r="H875" t="inlineStr">
        <is>
          <t>05/02/2026</t>
        </is>
      </c>
      <c r="I875" t="inlineStr">
        <is>
          <t>22/03/2026</t>
        </is>
      </c>
      <c r="J875" t="inlineStr">
        <is>
          <t>17/03/2026</t>
        </is>
      </c>
      <c r="K875" t="inlineStr">
        <is>
          <t>N/A</t>
        </is>
      </c>
      <c r="L875" t="inlineStr">
        <is>
          <t>Consumer Insight, Content Marketing, Copywriting, ESS Tools, SEO Optimization</t>
        </is>
      </c>
      <c r="M875" t="inlineStr">
        <is>
          <t>Bonus, Training, Others</t>
        </is>
      </c>
      <c r="N875" s="8">
        <f>HYPERLINK("https://www.vietnamworks.com/content-strategist-ebook-blog-insight-cho-ceo-doanh-nghiep-tuyen-gap-2009899-jv","Xem chi tiết")</f>
        <v/>
      </c>
    </row>
    <row r="876">
      <c r="B876" s="9" t="n">
        <v>874</v>
      </c>
      <c r="C876" s="10" t="inlineStr">
        <is>
          <t>Trưởng Phòng Phòng Chống Rửa Tiền - [BAC A BANK - Khối Quản Lý Rủi Ro]</t>
        </is>
      </c>
      <c r="D876" s="10" t="inlineStr">
        <is>
          <t>Bắc Á Bank - Https://tuyendung.baca-Bank.vn/</t>
        </is>
      </c>
      <c r="E876" s="10" t="inlineStr">
        <is>
          <t>Thương lượng</t>
        </is>
      </c>
      <c r="F876" s="10" t="inlineStr">
        <is>
          <t>Hà Nội</t>
        </is>
      </c>
      <c r="G876" s="10" t="inlineStr">
        <is>
          <t>Trưởng phòng</t>
        </is>
      </c>
      <c r="H876" s="10" t="inlineStr">
        <is>
          <t>05/02/2026</t>
        </is>
      </c>
      <c r="I876" s="10" t="inlineStr">
        <is>
          <t>22/03/2026</t>
        </is>
      </c>
      <c r="J876" s="10" t="inlineStr">
        <is>
          <t>17/03/2026</t>
        </is>
      </c>
      <c r="K876" s="10" t="inlineStr">
        <is>
          <t>N/A</t>
        </is>
      </c>
      <c r="L876" s="10" t="inlineStr">
        <is>
          <t>Luật, Anti–Money Laundering, Core Banking, Quản Lý Rủi Ro, Soạn Thảo Văn Bản</t>
        </is>
      </c>
      <c r="M876" s="10" t="inlineStr">
        <is>
          <t>Bonus, Healthcare Plan, Training, Travel Opportunities</t>
        </is>
      </c>
      <c r="N876" s="11">
        <f>HYPERLINK("https://www.vietnamworks.com/truong-phong-phong-chong-rua-tien-bac-a-bank-khoi-quan-ly-rui-ro-2009909-jv","Xem chi tiết")</f>
        <v/>
      </c>
      <c r="O876" s="10" t="n"/>
    </row>
    <row r="877">
      <c r="B877" s="7" t="n">
        <v>875</v>
      </c>
      <c r="C877" t="inlineStr">
        <is>
          <t>OPS Tàu Hàng Rời</t>
        </is>
      </c>
      <c r="D877" t="inlineStr">
        <is>
          <t>CÔNG TY TNHH TM - DV VẬN TẢI NHUẬN PHÁT</t>
        </is>
      </c>
      <c r="E877" t="inlineStr">
        <is>
          <t>Thương lượng</t>
        </is>
      </c>
      <c r="F877" t="inlineStr">
        <is>
          <t>Hồ Chí Minh</t>
        </is>
      </c>
      <c r="G877" t="inlineStr">
        <is>
          <t>Trưởng phòng</t>
        </is>
      </c>
      <c r="H877" t="inlineStr">
        <is>
          <t>05/02/2026</t>
        </is>
      </c>
      <c r="I877" t="inlineStr">
        <is>
          <t>22/03/2026</t>
        </is>
      </c>
      <c r="J877" t="inlineStr">
        <is>
          <t>17/03/2026</t>
        </is>
      </c>
      <c r="K877" t="inlineStr">
        <is>
          <t>N/A</t>
        </is>
      </c>
      <c r="L877" t="inlineStr">
        <is>
          <t>Khai Thác Tàu, Port Operation, Shipping, Shipping Documents, Vessel Operations</t>
        </is>
      </c>
      <c r="M877" t="inlineStr">
        <is>
          <t>Paid Leave, Laptop</t>
        </is>
      </c>
      <c r="N877" s="8">
        <f>HYPERLINK("https://www.vietnamworks.com/ops-tau-hang-roi-2009913-jv","Xem chi tiết")</f>
        <v/>
      </c>
    </row>
    <row r="878">
      <c r="B878" s="9" t="n">
        <v>876</v>
      </c>
      <c r="C878" s="10" t="inlineStr">
        <is>
          <t>Nhân Viên Kinh Doanh Điện Gia Dụng (Tiếng Trung)/ Hà Nội 家电业务员</t>
        </is>
      </c>
      <c r="D878" s="10" t="inlineStr">
        <is>
          <t>CÔNG TY TNHH THƯƠNG MẠI TÀI NGUYÊN THIÊN NHIÊN VIỆT NAM</t>
        </is>
      </c>
      <c r="E878" s="10" t="inlineStr">
        <is>
          <t>20tr-30tr ₫/tháng</t>
        </is>
      </c>
      <c r="F878" s="10" t="inlineStr">
        <is>
          <t>Hà Nội</t>
        </is>
      </c>
      <c r="G878" s="10" t="inlineStr">
        <is>
          <t>Nhân viên</t>
        </is>
      </c>
      <c r="H878" s="10" t="inlineStr">
        <is>
          <t>05/02/2026</t>
        </is>
      </c>
      <c r="I878" s="10" t="inlineStr">
        <is>
          <t>22/03/2026</t>
        </is>
      </c>
      <c r="J878" s="10" t="inlineStr">
        <is>
          <t>17/03/2026</t>
        </is>
      </c>
      <c r="K878" s="10" t="inlineStr">
        <is>
          <t>N/A</t>
        </is>
      </c>
      <c r="L878" s="10" t="inlineStr">
        <is>
          <t>Chinese Speaking, communication, Product Sales Skills, Sales Executive, Sales representative</t>
        </is>
      </c>
      <c r="M878" s="10" t="inlineStr">
        <is>
          <t>Bonus, Healthcare Plan, Paid Leave, Training, Laptop, Others</t>
        </is>
      </c>
      <c r="N878" s="11">
        <f>HYPERLINK("https://www.vietnamworks.com/nhan-vien-kinh-doanh-djien-gia-dung-tieng-trung-ha-noi-2009910-jv","Xem chi tiết")</f>
        <v/>
      </c>
      <c r="O878" s="10" t="n"/>
    </row>
    <row r="879">
      <c r="B879" s="7" t="n">
        <v>877</v>
      </c>
      <c r="C879" t="inlineStr">
        <is>
          <t>Freight Forwarder Customer Service And Operations Manager</t>
        </is>
      </c>
      <c r="D879" t="inlineStr">
        <is>
          <t>Easyspeed Global Forwarding (Vietnam) CO., LTD.</t>
        </is>
      </c>
      <c r="E879" t="inlineStr">
        <is>
          <t>Thương lượng</t>
        </is>
      </c>
      <c r="F879" t="inlineStr">
        <is>
          <t>Hồ Chí Minh</t>
        </is>
      </c>
      <c r="G879" t="inlineStr">
        <is>
          <t>Trưởng phòng</t>
        </is>
      </c>
      <c r="H879" t="inlineStr">
        <is>
          <t>05/02/2026</t>
        </is>
      </c>
      <c r="I879" t="inlineStr">
        <is>
          <t>22/03/2026</t>
        </is>
      </c>
      <c r="J879" t="inlineStr">
        <is>
          <t>17/03/2026</t>
        </is>
      </c>
      <c r="K879" t="inlineStr">
        <is>
          <t>N/A</t>
        </is>
      </c>
      <c r="L879" t="inlineStr">
        <is>
          <t>Communication Skills, Customer Service, Freight Forwarding, Logistics Management</t>
        </is>
      </c>
      <c r="M879" t="inlineStr">
        <is>
          <t>Others</t>
        </is>
      </c>
      <c r="N879" s="8">
        <f>HYPERLINK("https://www.vietnamworks.com/freight-forwarder-customer-service-and-operations-manager-2009912-jv","Xem chi tiết")</f>
        <v/>
      </c>
    </row>
    <row r="880">
      <c r="B880" s="9" t="n">
        <v>878</v>
      </c>
      <c r="C880" s="10" t="inlineStr">
        <is>
          <t>Chuyên Viên Phòng Chống Rửa Tiền - [BAC A BANK - Khối Quản Lý Rủi Ro]</t>
        </is>
      </c>
      <c r="D880" s="10" t="inlineStr">
        <is>
          <t>Bắc Á Bank - Https://tuyendung.baca-Bank.vn/</t>
        </is>
      </c>
      <c r="E880" s="10" t="inlineStr">
        <is>
          <t>Thương lượng</t>
        </is>
      </c>
      <c r="F880" s="10" t="inlineStr">
        <is>
          <t>Hà Nội</t>
        </is>
      </c>
      <c r="G880" s="10" t="inlineStr">
        <is>
          <t>Nhân viên</t>
        </is>
      </c>
      <c r="H880" s="10" t="inlineStr">
        <is>
          <t>05/02/2026</t>
        </is>
      </c>
      <c r="I880" s="10" t="inlineStr">
        <is>
          <t>22/03/2026</t>
        </is>
      </c>
      <c r="J880" s="10" t="inlineStr">
        <is>
          <t>17/03/2026</t>
        </is>
      </c>
      <c r="K880" s="10" t="inlineStr">
        <is>
          <t>N/A</t>
        </is>
      </c>
      <c r="L880" s="10" t="inlineStr">
        <is>
          <t>Luật, Anti–Money Laundering, Dịch Vụ Khách Hàng, Quản Lý Rủi Ro, Soạn Thảo Văn Bản</t>
        </is>
      </c>
      <c r="M880" s="10" t="inlineStr">
        <is>
          <t>Bonus, Healthcare Plan, Training, Travel Opportunities</t>
        </is>
      </c>
      <c r="N880" s="11">
        <f>HYPERLINK("https://www.vietnamworks.com/chuyen-vien-phong-chong-rua-tien-bac-a-bank-khoi-quan-ly-rui-ro-2009911-jv","Xem chi tiết")</f>
        <v/>
      </c>
      <c r="O880" s="10" t="n"/>
    </row>
    <row r="881">
      <c r="B881" s="7" t="n">
        <v>879</v>
      </c>
      <c r="C881" t="inlineStr">
        <is>
          <t>Giám Đốc/ Cán Bộ Ban Quản Lý Dự Án Xây Dựng</t>
        </is>
      </c>
      <c r="D881" t="inlineStr">
        <is>
          <t>Công Ty Cổ Phần Đầu Tư Thiên Ân</t>
        </is>
      </c>
      <c r="E881" t="inlineStr">
        <is>
          <t>25tr-35tr ₫/tháng</t>
        </is>
      </c>
      <c r="F881" t="inlineStr">
        <is>
          <t>Thái Nguyên, Bắc Giang, Hà Nội</t>
        </is>
      </c>
      <c r="G881" t="inlineStr">
        <is>
          <t>Trưởng phòng</t>
        </is>
      </c>
      <c r="H881" t="inlineStr">
        <is>
          <t>05/02/2026</t>
        </is>
      </c>
      <c r="I881" t="inlineStr">
        <is>
          <t>22/03/2026</t>
        </is>
      </c>
      <c r="J881" t="inlineStr">
        <is>
          <t>17/03/2026</t>
        </is>
      </c>
      <c r="K881" t="inlineStr">
        <is>
          <t>N/A</t>
        </is>
      </c>
      <c r="L881" t="inlineStr">
        <is>
          <t>Xây Dựng, Quản Lý Xây Dựng, Quản Lý Dự Án, Project Management</t>
        </is>
      </c>
      <c r="M881" t="inlineStr">
        <is>
          <t>Bonus, Paid Leave, Travel Opportunities</t>
        </is>
      </c>
      <c r="N881" s="8">
        <f>HYPERLINK("https://www.vietnamworks.com/giam-doc-can-bo-ban-quan-ly-du-an-xay-dung-2009914-jv","Xem chi tiết")</f>
        <v/>
      </c>
    </row>
    <row r="882">
      <c r="B882" s="9" t="n">
        <v>880</v>
      </c>
      <c r="C882" s="10" t="inlineStr">
        <is>
          <t>[Thanh Hóa, Hải Dương, Bình Dương, Đồng Tháp] Chuyên Viên Kênh Khách Hàng Trọng Điểm (Thu Nhập Lên Đến 20Tr/tháng)</t>
        </is>
      </c>
      <c r="D882" s="10" t="inlineStr">
        <is>
          <t>Mondelēz Kinh Đô Việt Nam</t>
        </is>
      </c>
      <c r="E882" s="10" t="inlineStr">
        <is>
          <t>$$ 650-800 /tháng</t>
        </is>
      </c>
      <c r="F882" s="10" t="inlineStr">
        <is>
          <t>Thanh Hóa, Hải Dương, Bình Dương</t>
        </is>
      </c>
      <c r="G882" s="10" t="inlineStr">
        <is>
          <t>Nhân viên</t>
        </is>
      </c>
      <c r="H882" s="10" t="inlineStr">
        <is>
          <t>05/02/2026</t>
        </is>
      </c>
      <c r="I882" s="10" t="inlineStr">
        <is>
          <t>22/03/2026</t>
        </is>
      </c>
      <c r="J882" s="10" t="inlineStr">
        <is>
          <t>17/03/2026</t>
        </is>
      </c>
      <c r="K882" s="10" t="inlineStr">
        <is>
          <t>N/A</t>
        </is>
      </c>
      <c r="L882" s="10" t="inlineStr">
        <is>
          <t>B2B Sale, Leadership, Kinh Doanh, Key Account &amp; Channel Development, Bán hàng &amp; Chăm sóc khách hàng</t>
        </is>
      </c>
      <c r="M882" s="10" t="inlineStr">
        <is>
          <t>Bonus, Healthcare Plan, Paid Leave</t>
        </is>
      </c>
      <c r="N882" s="11">
        <f>HYPERLINK("https://www.vietnamworks.com/thanh-hoa-hai-duong-binh-duong-dong-thap-chuyen-vien-kenh-khach-hang-trong-diem-thu-nhap-len-den-20tr-thang-2009921-jv","Xem chi tiết")</f>
        <v/>
      </c>
      <c r="O882" s="10" t="n"/>
    </row>
    <row r="883">
      <c r="B883" s="7" t="n">
        <v>881</v>
      </c>
      <c r="C883" t="inlineStr">
        <is>
          <t>3D Environment Leveler</t>
        </is>
      </c>
      <c r="D883" t="inlineStr">
        <is>
          <t>Công ty TNHH NEXON Creative Studio VINA</t>
        </is>
      </c>
      <c r="E883" t="inlineStr">
        <is>
          <t>Thương lượng</t>
        </is>
      </c>
      <c r="F883" t="inlineStr">
        <is>
          <t>Hồ Chí Minh</t>
        </is>
      </c>
      <c r="G883" t="inlineStr">
        <is>
          <t>Nhân viên</t>
        </is>
      </c>
      <c r="H883" t="inlineStr">
        <is>
          <t>05/02/2026</t>
        </is>
      </c>
      <c r="I883" t="inlineStr">
        <is>
          <t>22/03/2026</t>
        </is>
      </c>
      <c r="J883" t="inlineStr">
        <is>
          <t>17/03/2026</t>
        </is>
      </c>
      <c r="K883" t="inlineStr">
        <is>
          <t>N/A</t>
        </is>
      </c>
      <c r="L883" t="inlineStr">
        <is>
          <t>Unreal Engine, SpeedTree, Lighting Design, Game Design, 3D</t>
        </is>
      </c>
      <c r="M883" t="inlineStr">
        <is>
          <t>Bonus, Healthcare Plan, Travel Opportunities</t>
        </is>
      </c>
      <c r="N883" s="8">
        <f>HYPERLINK("https://www.vietnamworks.com/3d-environment-leveler--2009919-jv","Xem chi tiết")</f>
        <v/>
      </c>
    </row>
    <row r="884">
      <c r="B884" s="9" t="n">
        <v>882</v>
      </c>
      <c r="C884" s="10" t="inlineStr">
        <is>
          <t>Trình Dược Viên Kênh (Thuốc Không Kê Toa)</t>
        </is>
      </c>
      <c r="D884" s="10" t="inlineStr">
        <is>
          <t>Vietnamworks' Client</t>
        </is>
      </c>
      <c r="E884" s="10" t="inlineStr">
        <is>
          <t>11tr-15tr ₫/tháng</t>
        </is>
      </c>
      <c r="F884" s="10" t="inlineStr">
        <is>
          <t>Hồ Chí Minh, Bà Rịa - Vũng Tàu</t>
        </is>
      </c>
      <c r="G884" s="10" t="inlineStr">
        <is>
          <t>Nhân viên</t>
        </is>
      </c>
      <c r="H884" s="10" t="inlineStr">
        <is>
          <t>05/02/2026</t>
        </is>
      </c>
      <c r="I884" s="10" t="inlineStr">
        <is>
          <t>22/03/2026</t>
        </is>
      </c>
      <c r="J884" s="10" t="inlineStr">
        <is>
          <t>17/03/2026</t>
        </is>
      </c>
      <c r="K884" s="10" t="inlineStr">
        <is>
          <t>N/A</t>
        </is>
      </c>
      <c r="L884" s="10" t="inlineStr">
        <is>
          <t>Dược Phẩm, OTC, Trình Dược Viên, Chăm Sóc Sức Khỏe, Sales</t>
        </is>
      </c>
      <c r="M884" s="10" t="inlineStr">
        <is>
          <t>Bonus, Healthcare Plan, Others</t>
        </is>
      </c>
      <c r="N884" s="11">
        <f>HYPERLINK("https://www.vietnamworks.com/trinh-duoc-vien-kenh-thuoc-khong-ke-toa-2009918-jv","Xem chi tiết")</f>
        <v/>
      </c>
      <c r="O884" s="10" t="n"/>
    </row>
    <row r="885">
      <c r="B885" s="7" t="n">
        <v>883</v>
      </c>
      <c r="C885" t="inlineStr">
        <is>
          <t>3D Environment Modeler</t>
        </is>
      </c>
      <c r="D885" t="inlineStr">
        <is>
          <t>Công ty TNHH NEXON Creative Studio VINA</t>
        </is>
      </c>
      <c r="E885" t="inlineStr">
        <is>
          <t>Thương lượng</t>
        </is>
      </c>
      <c r="F885" t="inlineStr">
        <is>
          <t>Hồ Chí Minh</t>
        </is>
      </c>
      <c r="G885" t="inlineStr">
        <is>
          <t>Nhân viên</t>
        </is>
      </c>
      <c r="H885" t="inlineStr">
        <is>
          <t>05/02/2026</t>
        </is>
      </c>
      <c r="I885" t="inlineStr">
        <is>
          <t>22/03/2026</t>
        </is>
      </c>
      <c r="J885" t="inlineStr">
        <is>
          <t>17/03/2026</t>
        </is>
      </c>
      <c r="K885" t="inlineStr">
        <is>
          <t>N/A</t>
        </is>
      </c>
      <c r="L885" t="inlineStr">
        <is>
          <t>Animation, 3Ds Max, 3D Model Design, 3D Coat, 3D Character Modeling</t>
        </is>
      </c>
      <c r="M885" t="inlineStr">
        <is>
          <t>Bonus, Healthcare Plan, Travel Opportunities</t>
        </is>
      </c>
      <c r="N885" s="8">
        <f>HYPERLINK("https://www.vietnamworks.com/3d-environment-modeler--2009923-jv","Xem chi tiết")</f>
        <v/>
      </c>
    </row>
    <row r="886">
      <c r="B886" s="9" t="n">
        <v>884</v>
      </c>
      <c r="C886" s="10" t="inlineStr">
        <is>
          <t>[Hot Job] Trưởng Nhóm An Ninh Thông Tin</t>
        </is>
      </c>
      <c r="D886" s="10" t="inlineStr">
        <is>
          <t>EuP Group</t>
        </is>
      </c>
      <c r="E886" s="10" t="inlineStr">
        <is>
          <t>800-1,000 ₫/tháng</t>
        </is>
      </c>
      <c r="F886" s="10" t="inlineStr">
        <is>
          <t>Hà Nội</t>
        </is>
      </c>
      <c r="G886" s="10" t="inlineStr">
        <is>
          <t>Nhân viên</t>
        </is>
      </c>
      <c r="H886" s="10" t="inlineStr">
        <is>
          <t>05/02/2026</t>
        </is>
      </c>
      <c r="I886" s="10" t="inlineStr">
        <is>
          <t>22/03/2026</t>
        </is>
      </c>
      <c r="J886" s="10" t="inlineStr">
        <is>
          <t>17/03/2026</t>
        </is>
      </c>
      <c r="K886" s="10" t="inlineStr">
        <is>
          <t>N/A</t>
        </is>
      </c>
      <c r="L886" s="10" t="inlineStr">
        <is>
          <t>IT Security Management, ISO 27001, Xây Dựng Chiến Lược, An Toàn Thông Tin</t>
        </is>
      </c>
      <c r="M886" s="10" t="inlineStr">
        <is>
          <t>Bonus, Healthcare Plan, Paid Leave</t>
        </is>
      </c>
      <c r="N886" s="11">
        <f>HYPERLINK("https://www.vietnamworks.com/hot-job-truong-nhom-an-ninh-thong-tin-2009916-jv","Xem chi tiết")</f>
        <v/>
      </c>
      <c r="O886" s="10" t="n"/>
    </row>
    <row r="887">
      <c r="B887" s="7" t="n">
        <v>885</v>
      </c>
      <c r="C887" t="inlineStr">
        <is>
          <t>[Nghệ An, BRVT] Chuyên Viên Cấp Cao Kênh Khách Hàng Trọng Điểm (Thu Nhập Lên Đến 23-30Tr/tháng)</t>
        </is>
      </c>
      <c r="D887" t="inlineStr">
        <is>
          <t>Mondelēz Kinh Đô Việt Nam</t>
        </is>
      </c>
      <c r="E887" t="inlineStr">
        <is>
          <t>$$ 800-1,200 /tháng</t>
        </is>
      </c>
      <c r="F887" t="inlineStr">
        <is>
          <t>Nghệ An, Đồng Tháp</t>
        </is>
      </c>
      <c r="G887" t="inlineStr">
        <is>
          <t>Nhân viên</t>
        </is>
      </c>
      <c r="H887" t="inlineStr">
        <is>
          <t>05/02/2026</t>
        </is>
      </c>
      <c r="I887" t="inlineStr">
        <is>
          <t>22/03/2026</t>
        </is>
      </c>
      <c r="J887" t="inlineStr">
        <is>
          <t>17/03/2026</t>
        </is>
      </c>
      <c r="K887" t="inlineStr">
        <is>
          <t>N/A</t>
        </is>
      </c>
      <c r="L887" t="inlineStr">
        <is>
          <t>B2B Sale, Leadership, Sales, key account, Nhân viên kinh doanh</t>
        </is>
      </c>
      <c r="M887" t="inlineStr">
        <is>
          <t>Bonus, Healthcare Plan, Paid Leave</t>
        </is>
      </c>
      <c r="N887" s="8">
        <f>HYPERLINK("https://www.vietnamworks.com/nghe-an-brvt-chuyen-vien-cap-cao-kenh-khach-hang-trong-diem-thu-nhap-len-den-23-30tr-thang-2009917-jv","Xem chi tiết")</f>
        <v/>
      </c>
    </row>
    <row r="888">
      <c r="B888" s="9" t="n">
        <v>886</v>
      </c>
      <c r="C888" s="10" t="inlineStr">
        <is>
          <t>Nghiên Cứu Phát Triển Mỹ Phẩm</t>
        </is>
      </c>
      <c r="D888" s="10" t="inlineStr">
        <is>
          <t>Công Ty Cổ Phần Dược Phẩm Hoa Linh</t>
        </is>
      </c>
      <c r="E888" s="10" t="inlineStr">
        <is>
          <t>15tr-20tr ₫/tháng</t>
        </is>
      </c>
      <c r="F888" s="10" t="inlineStr">
        <is>
          <t>Hà Nội</t>
        </is>
      </c>
      <c r="G888" s="10" t="inlineStr">
        <is>
          <t>Nhân viên</t>
        </is>
      </c>
      <c r="H888" s="10" t="inlineStr">
        <is>
          <t>05/02/2026</t>
        </is>
      </c>
      <c r="I888" s="10" t="inlineStr">
        <is>
          <t>22/03/2026</t>
        </is>
      </c>
      <c r="J888" s="10" t="inlineStr">
        <is>
          <t>17/03/2026</t>
        </is>
      </c>
      <c r="K888" s="10" t="inlineStr">
        <is>
          <t>N/A</t>
        </is>
      </c>
      <c r="L888" s="10" t="inlineStr">
        <is>
          <t>Nghiên Cứu Thị Trường, Cải Tiến Sản Phẩm, Mỹ Phẩm, Nghiên Cứu Sản Phẩm, Researching</t>
        </is>
      </c>
      <c r="M888" s="10" t="inlineStr">
        <is>
          <t>Bonus, Healthcare Plan, Paid Leave</t>
        </is>
      </c>
      <c r="N888" s="11">
        <f>HYPERLINK("https://www.vietnamworks.com/nghien-cuu-phat-trien-my-pham-2009930-jv","Xem chi tiết")</f>
        <v/>
      </c>
      <c r="O888" s="10" t="n"/>
    </row>
    <row r="889">
      <c r="B889" s="7" t="n">
        <v>887</v>
      </c>
      <c r="C889" t="inlineStr">
        <is>
          <t>UA 3D Designer</t>
        </is>
      </c>
      <c r="D889" t="inlineStr">
        <is>
          <t>Công ty TNHH NEXON Creative Studio VINA</t>
        </is>
      </c>
      <c r="E889" t="inlineStr">
        <is>
          <t>Thương lượng</t>
        </is>
      </c>
      <c r="F889" t="inlineStr">
        <is>
          <t>Hồ Chí Minh</t>
        </is>
      </c>
      <c r="G889" t="inlineStr">
        <is>
          <t>Nhân viên</t>
        </is>
      </c>
      <c r="H889" t="inlineStr">
        <is>
          <t>05/02/2026</t>
        </is>
      </c>
      <c r="I889" t="inlineStr">
        <is>
          <t>22/03/2026</t>
        </is>
      </c>
      <c r="J889" t="inlineStr">
        <is>
          <t>17/03/2026</t>
        </is>
      </c>
      <c r="K889" t="inlineStr">
        <is>
          <t>N/A</t>
        </is>
      </c>
      <c r="L889" t="inlineStr">
        <is>
          <t>Concept Art, Unity Engine, Thiết Kế Đồ Họa, Blender</t>
        </is>
      </c>
      <c r="M889" t="inlineStr">
        <is>
          <t>Bonus, Healthcare Plan, Travel Opportunities</t>
        </is>
      </c>
      <c r="N889" s="8">
        <f>HYPERLINK("https://www.vietnamworks.com/ua-3d-designer--2009929-jv","Xem chi tiết")</f>
        <v/>
      </c>
    </row>
    <row r="890">
      <c r="B890" s="9" t="n">
        <v>888</v>
      </c>
      <c r="C890" s="10" t="inlineStr">
        <is>
          <t>UA Playable Ads Developer (Unity)</t>
        </is>
      </c>
      <c r="D890" s="10" t="inlineStr">
        <is>
          <t>Công ty TNHH NEXON Creative Studio VINA</t>
        </is>
      </c>
      <c r="E890" s="10" t="inlineStr">
        <is>
          <t>Thương lượng</t>
        </is>
      </c>
      <c r="F890" s="10" t="inlineStr">
        <is>
          <t>Hồ Chí Minh</t>
        </is>
      </c>
      <c r="G890" s="10" t="inlineStr">
        <is>
          <t>Nhân viên</t>
        </is>
      </c>
      <c r="H890" s="10" t="inlineStr">
        <is>
          <t>05/02/2026</t>
        </is>
      </c>
      <c r="I890" s="10" t="inlineStr">
        <is>
          <t>22/03/2026</t>
        </is>
      </c>
      <c r="J890" s="10" t="inlineStr">
        <is>
          <t>17/03/2026</t>
        </is>
      </c>
      <c r="K890" s="10" t="inlineStr">
        <is>
          <t>N/A</t>
        </is>
      </c>
      <c r="L890" s="10" t="inlineStr">
        <is>
          <t>Thiết Kế Đồ Họa, Đồ Họa, Photoshop Illustrator, Photoshop, Ads Design</t>
        </is>
      </c>
      <c r="M890" s="10" t="inlineStr">
        <is>
          <t>Bonus, Healthcare Plan, Travel Opportunities</t>
        </is>
      </c>
      <c r="N890" s="11">
        <f>HYPERLINK("https://www.vietnamworks.com/ua-playable-ads-developer-unity-2009926-jv","Xem chi tiết")</f>
        <v/>
      </c>
      <c r="O890" s="10" t="n"/>
    </row>
    <row r="891">
      <c r="B891" s="7" t="n">
        <v>889</v>
      </c>
      <c r="C891" t="inlineStr">
        <is>
          <t>Finance Officer</t>
        </is>
      </c>
      <c r="D891" t="inlineStr">
        <is>
          <t>Save the Children International (SCI)</t>
        </is>
      </c>
      <c r="E891" t="inlineStr">
        <is>
          <t>Từ $ 400 /tháng</t>
        </is>
      </c>
      <c r="F891" t="inlineStr">
        <is>
          <t>Hà Nội</t>
        </is>
      </c>
      <c r="G891" t="inlineStr">
        <is>
          <t>Nhân viên</t>
        </is>
      </c>
      <c r="H891" t="inlineStr">
        <is>
          <t>05/02/2026</t>
        </is>
      </c>
      <c r="I891" t="inlineStr">
        <is>
          <t>22/03/2026</t>
        </is>
      </c>
      <c r="J891" t="inlineStr">
        <is>
          <t>17/03/2026</t>
        </is>
      </c>
      <c r="K891" t="inlineStr">
        <is>
          <t>N/A</t>
        </is>
      </c>
      <c r="L891" t="inlineStr">
        <is>
          <t>Financial Management, Accounting, Budgeting, Financial Analysis, Communication</t>
        </is>
      </c>
      <c r="M891" t="inlineStr">
        <is>
          <t>Healthcare Plan</t>
        </is>
      </c>
      <c r="N891" s="8">
        <f>HYPERLINK("https://www.vietnamworks.com/finance-officer-2009931-jv","Xem chi tiết")</f>
        <v/>
      </c>
    </row>
    <row r="892">
      <c r="B892" s="9" t="n">
        <v>890</v>
      </c>
      <c r="C892" s="10" t="inlineStr">
        <is>
          <t>Nhân Viên 3D Animator</t>
        </is>
      </c>
      <c r="D892" s="10" t="inlineStr">
        <is>
          <t>Công ty TNHH NEXON Creative Studio VINA</t>
        </is>
      </c>
      <c r="E892" s="10" t="inlineStr">
        <is>
          <t>Thương lượng</t>
        </is>
      </c>
      <c r="F892" s="10" t="inlineStr">
        <is>
          <t>Hồ Chí Minh</t>
        </is>
      </c>
      <c r="G892" s="10" t="inlineStr">
        <is>
          <t>Nhân viên</t>
        </is>
      </c>
      <c r="H892" s="10" t="inlineStr">
        <is>
          <t>05/02/2026</t>
        </is>
      </c>
      <c r="I892" s="10" t="inlineStr">
        <is>
          <t>22/03/2026</t>
        </is>
      </c>
      <c r="J892" s="10" t="inlineStr">
        <is>
          <t>17/03/2026</t>
        </is>
      </c>
      <c r="K892" s="10" t="inlineStr">
        <is>
          <t>N/A</t>
        </is>
      </c>
      <c r="L892" s="10" t="inlineStr">
        <is>
          <t>Game Animation, Animation, 3D Rigging, 3D Design, 3D Animation</t>
        </is>
      </c>
      <c r="M892" s="10" t="inlineStr">
        <is>
          <t>Bonus, Healthcare Plan, Travel Opportunities</t>
        </is>
      </c>
      <c r="N892" s="11">
        <f>HYPERLINK("https://www.vietnamworks.com/nhan-vien-3d-animator--2009925-jv","Xem chi tiết")</f>
        <v/>
      </c>
      <c r="O892" s="10" t="n"/>
    </row>
    <row r="893">
      <c r="B893" s="7" t="n">
        <v>891</v>
      </c>
      <c r="C893" t="inlineStr">
        <is>
          <t>Nghiên Cứu Phát Triển Thực Phẩm</t>
        </is>
      </c>
      <c r="D893" t="inlineStr">
        <is>
          <t>Công Ty Cổ Phần Dược Phẩm Hoa Linh</t>
        </is>
      </c>
      <c r="E893" t="inlineStr">
        <is>
          <t>15tr-20tr ₫/tháng</t>
        </is>
      </c>
      <c r="F893" t="inlineStr">
        <is>
          <t>Hà Nội</t>
        </is>
      </c>
      <c r="G893" t="inlineStr">
        <is>
          <t>Nhân viên</t>
        </is>
      </c>
      <c r="H893" t="inlineStr">
        <is>
          <t>05/02/2026</t>
        </is>
      </c>
      <c r="I893" t="inlineStr">
        <is>
          <t>22/03/2026</t>
        </is>
      </c>
      <c r="J893" t="inlineStr">
        <is>
          <t>17/03/2026</t>
        </is>
      </c>
      <c r="K893" t="inlineStr">
        <is>
          <t>N/A</t>
        </is>
      </c>
      <c r="L893" t="inlineStr">
        <is>
          <t>Nghiên Cứu Thị Trường, Công Nghệ Thực Phẩm, Cải Tiến Sản Phẩm, Nghiên Cứu Phát Triển, Research</t>
        </is>
      </c>
      <c r="M893" t="inlineStr">
        <is>
          <t>Bonus, Healthcare Plan, Paid Leave</t>
        </is>
      </c>
      <c r="N893" s="8">
        <f>HYPERLINK("https://www.vietnamworks.com/nghien-cuu-phat-trien-thuc-pham-2009928-jv","Xem chi tiết")</f>
        <v/>
      </c>
    </row>
    <row r="894">
      <c r="B894" s="9" t="n">
        <v>892</v>
      </c>
      <c r="C894" s="10" t="inlineStr">
        <is>
          <t>2D Pixel Artist (Background / Character / Monster)</t>
        </is>
      </c>
      <c r="D894" s="10" t="inlineStr">
        <is>
          <t>Công ty TNHH NEXON Creative Studio VINA</t>
        </is>
      </c>
      <c r="E894" s="10" t="inlineStr">
        <is>
          <t>Thương lượng</t>
        </is>
      </c>
      <c r="F894" s="10" t="inlineStr">
        <is>
          <t>Hồ Chí Minh</t>
        </is>
      </c>
      <c r="G894" s="10" t="inlineStr">
        <is>
          <t>Nhân viên</t>
        </is>
      </c>
      <c r="H894" s="10" t="inlineStr">
        <is>
          <t>05/02/2026</t>
        </is>
      </c>
      <c r="I894" s="10" t="inlineStr">
        <is>
          <t>22/03/2026</t>
        </is>
      </c>
      <c r="J894" s="10" t="inlineStr">
        <is>
          <t>17/03/2026</t>
        </is>
      </c>
      <c r="K894" s="10" t="inlineStr">
        <is>
          <t>N/A</t>
        </is>
      </c>
      <c r="L894" s="10" t="inlineStr">
        <is>
          <t>Pixel Art, Game Design, Game Art, 2D Game, 2D Design</t>
        </is>
      </c>
      <c r="M894" s="10" t="inlineStr">
        <is>
          <t>Bonus, Healthcare Plan, Travel Opportunities</t>
        </is>
      </c>
      <c r="N894" s="11">
        <f>HYPERLINK("https://www.vietnamworks.com/2d-pixel-artist-background-character-monster--2009924-jv","Xem chi tiết")</f>
        <v/>
      </c>
      <c r="O894" s="10" t="n"/>
    </row>
    <row r="895">
      <c r="B895" s="7" t="n">
        <v>893</v>
      </c>
      <c r="C895" t="inlineStr">
        <is>
          <t>UA Media Creator (Chuyên Viên Sáng Tạo Video Quảng Cáo Game)</t>
        </is>
      </c>
      <c r="D895" t="inlineStr">
        <is>
          <t>Công ty TNHH NEXON Creative Studio VINA</t>
        </is>
      </c>
      <c r="E895" t="inlineStr">
        <is>
          <t>Thương lượng</t>
        </is>
      </c>
      <c r="F895" t="inlineStr">
        <is>
          <t>Hồ Chí Minh</t>
        </is>
      </c>
      <c r="G895" t="inlineStr">
        <is>
          <t>Nhân viên</t>
        </is>
      </c>
      <c r="H895" t="inlineStr">
        <is>
          <t>05/02/2026</t>
        </is>
      </c>
      <c r="I895" t="inlineStr">
        <is>
          <t>22/03/2026</t>
        </is>
      </c>
      <c r="J895" t="inlineStr">
        <is>
          <t>17/03/2026</t>
        </is>
      </c>
      <c r="K895" t="inlineStr">
        <is>
          <t>N/A</t>
        </is>
      </c>
      <c r="L895" t="inlineStr">
        <is>
          <t>Advertising Media, Đồ Họa, Photoshop, Game Animation, Graphic Design</t>
        </is>
      </c>
      <c r="M895" t="inlineStr">
        <is>
          <t>Bonus, Healthcare Plan, Travel Opportunities</t>
        </is>
      </c>
      <c r="N895" s="8">
        <f>HYPERLINK("https://www.vietnamworks.com/ua-media-creator-chuyen-vien-sang-tao-video-quang-cao-game--2009927-jv","Xem chi tiết")</f>
        <v/>
      </c>
    </row>
    <row r="896">
      <c r="B896" s="9" t="n">
        <v>894</v>
      </c>
      <c r="C896" s="10" t="inlineStr">
        <is>
          <t>Nhân Viên Digital Marketing (Mức Lương Từ 15Triệu + Thưởng Doanh Số Tháng)</t>
        </is>
      </c>
      <c r="D896" s="10" t="inlineStr">
        <is>
          <t>Công Ty Cổ phần Phân Phối SNB</t>
        </is>
      </c>
      <c r="E896" s="10" t="inlineStr">
        <is>
          <t>Từ 15tr ₫/tháng</t>
        </is>
      </c>
      <c r="F896" s="10" t="inlineStr">
        <is>
          <t>Hà Nội</t>
        </is>
      </c>
      <c r="G896" s="10" t="inlineStr">
        <is>
          <t>Nhân viên</t>
        </is>
      </c>
      <c r="H896" s="10" t="inlineStr">
        <is>
          <t>05/02/2026</t>
        </is>
      </c>
      <c r="I896" s="10" t="inlineStr">
        <is>
          <t>22/03/2026</t>
        </is>
      </c>
      <c r="J896" s="10" t="inlineStr">
        <is>
          <t>17/03/2026</t>
        </is>
      </c>
      <c r="K896" s="10" t="inlineStr">
        <is>
          <t>N/A</t>
        </is>
      </c>
      <c r="L896" s="10" t="inlineStr">
        <is>
          <t>Data-Driven, Growth Mindset, Phân Tích Hành Vi Khách Hàng, Kế Hoạch Ngân Sách, Quản Lý Chiến Dịch</t>
        </is>
      </c>
      <c r="M896" s="10" t="inlineStr">
        <is>
          <t>Bonus, Training, Others</t>
        </is>
      </c>
      <c r="N896" s="11">
        <f>HYPERLINK("https://www.vietnamworks.com/nhan-vien-digital-marketing-muc-luong-tu-15trieu-thuong-doanh-so-thang--2009934-jv","Xem chi tiết")</f>
        <v/>
      </c>
      <c r="O896" s="10" t="n"/>
    </row>
    <row r="897">
      <c r="B897" s="7" t="n">
        <v>895</v>
      </c>
      <c r="C897" t="inlineStr">
        <is>
          <t>Senior Sales Engineer (Chinese Speaking)</t>
        </is>
      </c>
      <c r="D897" t="inlineStr">
        <is>
          <t>Panasonic Vietnam Co.,LTD</t>
        </is>
      </c>
      <c r="E897" t="inlineStr">
        <is>
          <t>Thương lượng</t>
        </is>
      </c>
      <c r="F897" t="inlineStr">
        <is>
          <t>Hồ Chí Minh</t>
        </is>
      </c>
      <c r="G897" t="inlineStr">
        <is>
          <t>Nhân viên</t>
        </is>
      </c>
      <c r="H897" t="inlineStr">
        <is>
          <t>05/02/2026</t>
        </is>
      </c>
      <c r="I897" t="inlineStr">
        <is>
          <t>22/03/2026</t>
        </is>
      </c>
      <c r="J897" t="inlineStr">
        <is>
          <t>17/03/2026</t>
        </is>
      </c>
      <c r="K897" t="inlineStr">
        <is>
          <t>N/A</t>
        </is>
      </c>
      <c r="L897" t="inlineStr">
        <is>
          <t>Business Development, Bán Hàng, B2B Sales, Electronics Engineering, Chinese</t>
        </is>
      </c>
      <c r="M897" t="inlineStr">
        <is>
          <t>Bonus, Paid Leave, Training</t>
        </is>
      </c>
      <c r="N897" s="8">
        <f>HYPERLINK("https://www.vietnamworks.com/senior-sales-engineer-chinese-speaking--2009935-jv","Xem chi tiết")</f>
        <v/>
      </c>
    </row>
    <row r="898">
      <c r="B898" s="9" t="n">
        <v>896</v>
      </c>
      <c r="C898" s="10" t="inlineStr">
        <is>
          <t>Customer Support (fluent English, flexible shifts)</t>
        </is>
      </c>
      <c r="D898" s="10" t="inlineStr">
        <is>
          <t>Truecommerce Vietnam Company, Limited</t>
        </is>
      </c>
      <c r="E898" s="10" t="inlineStr">
        <is>
          <t>Thương lượng</t>
        </is>
      </c>
      <c r="F898" s="10" t="inlineStr">
        <is>
          <t>Hồ Chí Minh</t>
        </is>
      </c>
      <c r="G898" s="10" t="inlineStr">
        <is>
          <t>Nhân viên</t>
        </is>
      </c>
      <c r="H898" s="10" t="inlineStr">
        <is>
          <t>05/02/2026</t>
        </is>
      </c>
      <c r="I898" s="10" t="inlineStr">
        <is>
          <t>22/03/2026</t>
        </is>
      </c>
      <c r="J898" s="10" t="inlineStr">
        <is>
          <t>17/03/2026</t>
        </is>
      </c>
      <c r="K898" s="10" t="inlineStr">
        <is>
          <t>N/A</t>
        </is>
      </c>
      <c r="L898" s="10" t="inlineStr">
        <is>
          <t>Communication Skills, Customer Service, Customer Support, English fluency, Technical Support</t>
        </is>
      </c>
      <c r="M898" s="10" t="inlineStr">
        <is>
          <t>Bonus, Healthcare Plan, Paid Leave, Training, Awards, Laptop</t>
        </is>
      </c>
      <c r="N898" s="11">
        <f>HYPERLINK("https://www.vietnamworks.com/customer-support-fluent-english-flexible-shifts-2009939-jv","Xem chi tiết")</f>
        <v/>
      </c>
      <c r="O898" s="10" t="n"/>
    </row>
    <row r="899">
      <c r="B899" s="7" t="n">
        <v>897</v>
      </c>
      <c r="C899" t="inlineStr">
        <is>
          <t>[HCM] Sales Consultant</t>
        </is>
      </c>
      <c r="D899" t="inlineStr">
        <is>
          <t>Base.vn</t>
        </is>
      </c>
      <c r="E899" t="inlineStr">
        <is>
          <t>12tr-20tr ₫/tháng</t>
        </is>
      </c>
      <c r="F899" t="inlineStr">
        <is>
          <t>Hồ Chí Minh</t>
        </is>
      </c>
      <c r="G899" t="inlineStr">
        <is>
          <t>Nhân viên</t>
        </is>
      </c>
      <c r="H899" t="inlineStr">
        <is>
          <t>05/02/2026</t>
        </is>
      </c>
      <c r="I899" t="inlineStr">
        <is>
          <t>22/03/2026</t>
        </is>
      </c>
      <c r="J899" t="inlineStr">
        <is>
          <t>17/03/2026</t>
        </is>
      </c>
      <c r="K899" t="inlineStr">
        <is>
          <t>N/A</t>
        </is>
      </c>
      <c r="L899" t="inlineStr">
        <is>
          <t>Communication, Customer Experience Management, Kinh Doanh B2B, Negotiation Skills, Sales Strategy</t>
        </is>
      </c>
      <c r="M899" t="inlineStr">
        <is>
          <t>Others</t>
        </is>
      </c>
      <c r="N899" s="8">
        <f>HYPERLINK("https://www.vietnamworks.com/hcm-sales-consultant-2009963-jv","Xem chi tiết")</f>
        <v/>
      </c>
    </row>
    <row r="900">
      <c r="B900" s="9" t="n">
        <v>898</v>
      </c>
      <c r="C900" s="10" t="inlineStr">
        <is>
          <t>Nhân Viên Thiết Kế Kết Cấu Thép</t>
        </is>
      </c>
      <c r="D900" s="10" t="inlineStr">
        <is>
          <t>Công Ty Cổ Phần CPT GROUP</t>
        </is>
      </c>
      <c r="E900" s="10" t="inlineStr">
        <is>
          <t>10tr-25tr ₫/tháng</t>
        </is>
      </c>
      <c r="F900" s="10" t="inlineStr">
        <is>
          <t>Hà Nội</t>
        </is>
      </c>
      <c r="G900" s="10" t="inlineStr">
        <is>
          <t>Mới Tốt Nghiệp</t>
        </is>
      </c>
      <c r="H900" s="10" t="inlineStr">
        <is>
          <t>05/02/2026</t>
        </is>
      </c>
      <c r="I900" s="10" t="inlineStr">
        <is>
          <t>22/03/2026</t>
        </is>
      </c>
      <c r="J900" s="10" t="inlineStr">
        <is>
          <t>17/03/2026</t>
        </is>
      </c>
      <c r="K900" s="10" t="inlineStr">
        <is>
          <t>N/A</t>
        </is>
      </c>
      <c r="L900" s="10" t="inlineStr">
        <is>
          <t>Kỹ Thuật Công Trình, phần mềm thiết kế, Thiết Kế Kết Cấu Thép, Triển Khai Bản Vẽ</t>
        </is>
      </c>
      <c r="M900" s="10" t="inlineStr">
        <is>
          <t>Bonus, Healthcare Plan, Training, Travel Opportunities</t>
        </is>
      </c>
      <c r="N900" s="11">
        <f>HYPERLINK("https://www.vietnamworks.com/nhan-vien-thiet-ke-ket-cau-thep-2009944-jv","Xem chi tiết")</f>
        <v/>
      </c>
      <c r="O900" s="10" t="n"/>
    </row>
    <row r="901">
      <c r="B901" s="7" t="n">
        <v>899</v>
      </c>
      <c r="C901" t="inlineStr">
        <is>
          <t>Nhân Viên Xuất Nhập Khẩu</t>
        </is>
      </c>
      <c r="D901" t="inlineStr">
        <is>
          <t>Minebea AccessSolutions Vietnam Ltd.</t>
        </is>
      </c>
      <c r="E901" t="inlineStr">
        <is>
          <t>$$ 400-550 /tháng</t>
        </is>
      </c>
      <c r="F901" t="inlineStr">
        <is>
          <t>Hà Nam</t>
        </is>
      </c>
      <c r="G901" t="inlineStr">
        <is>
          <t>Nhân viên</t>
        </is>
      </c>
      <c r="H901" t="inlineStr">
        <is>
          <t>05/02/2026</t>
        </is>
      </c>
      <c r="I901" t="inlineStr">
        <is>
          <t>22/03/2026</t>
        </is>
      </c>
      <c r="J901" t="inlineStr">
        <is>
          <t>17/03/2026</t>
        </is>
      </c>
      <c r="K901" t="inlineStr">
        <is>
          <t>N/A</t>
        </is>
      </c>
      <c r="L901" t="inlineStr">
        <is>
          <t>Quản Lý Xuất Hàng, Thủ Tục Hải Quan, Xuất Nhập Khẩu, Chứng Từ Xuất Khẩu, Hải Quan</t>
        </is>
      </c>
      <c r="M901" t="inlineStr">
        <is>
          <t>Bonus, Library, Travel Opportunities</t>
        </is>
      </c>
      <c r="N901" s="8">
        <f>HYPERLINK("https://www.vietnamworks.com/nhan-vien-xuat-nhap-khau--2009940-jv","Xem chi tiết")</f>
        <v/>
      </c>
    </row>
    <row r="902">
      <c r="B902" s="9" t="n">
        <v>900</v>
      </c>
      <c r="C902" s="10" t="inlineStr">
        <is>
          <t>Partner Manager</t>
        </is>
      </c>
      <c r="D902" s="10" t="inlineStr">
        <is>
          <t>Box Việt Nam</t>
        </is>
      </c>
      <c r="E902" s="10" t="inlineStr">
        <is>
          <t>Thương lượng</t>
        </is>
      </c>
      <c r="F902" s="10" t="inlineStr">
        <is>
          <t>Hồ Chí Minh</t>
        </is>
      </c>
      <c r="G902" s="10" t="inlineStr">
        <is>
          <t>Nhân viên</t>
        </is>
      </c>
      <c r="H902" s="10" t="inlineStr">
        <is>
          <t>05/02/2026</t>
        </is>
      </c>
      <c r="I902" s="10" t="inlineStr">
        <is>
          <t>22/03/2026</t>
        </is>
      </c>
      <c r="J902" s="10" t="inlineStr">
        <is>
          <t>17/03/2026</t>
        </is>
      </c>
      <c r="K902" s="10" t="inlineStr">
        <is>
          <t>N/A</t>
        </is>
      </c>
      <c r="L902" s="10" t="inlineStr">
        <is>
          <t>Effective Communication, MS Office, Organizational skills, Relationship Building</t>
        </is>
      </c>
      <c r="M902" s="10" t="inlineStr">
        <is>
          <t>Bonus, Training, Team Activities, Others</t>
        </is>
      </c>
      <c r="N902" s="11">
        <f>HYPERLINK("https://www.vietnamworks.com/partner-manager-2009959-jv","Xem chi tiết")</f>
        <v/>
      </c>
      <c r="O902" s="10" t="n"/>
    </row>
    <row r="903">
      <c r="B903" s="7" t="n">
        <v>901</v>
      </c>
      <c r="C903" t="inlineStr">
        <is>
          <t>Giám Đốc Vận Hành Vườn Ươm</t>
        </is>
      </c>
      <c r="D903" t="inlineStr">
        <is>
          <t>Công Ty Cổ Phần Tập Đoàn Masterise</t>
        </is>
      </c>
      <c r="E903" t="inlineStr">
        <is>
          <t>Thương lượng</t>
        </is>
      </c>
      <c r="F903" t="inlineStr">
        <is>
          <t>Bắc Ninh, Hà Nội</t>
        </is>
      </c>
      <c r="G903" t="inlineStr">
        <is>
          <t>Giám Đốc và Cấp Cao Hơn</t>
        </is>
      </c>
      <c r="H903" t="inlineStr">
        <is>
          <t>05/02/2026</t>
        </is>
      </c>
      <c r="I903" t="inlineStr">
        <is>
          <t>22/03/2026</t>
        </is>
      </c>
      <c r="J903" t="inlineStr">
        <is>
          <t>17/03/2026</t>
        </is>
      </c>
      <c r="K903" t="inlineStr">
        <is>
          <t>N/A</t>
        </is>
      </c>
      <c r="L903" t="inlineStr">
        <is>
          <t>Thực Nghiệm Cây Trồng, Cây Nông Nghiệp, Chăm Sóc Cây, Cây Xanh Đô Thị, Kỹ Thuật Cây Xanh</t>
        </is>
      </c>
      <c r="M903" t="inlineStr">
        <is>
          <t>Bonus, Healthcare Plan, Laptop</t>
        </is>
      </c>
      <c r="N903" s="8">
        <f>HYPERLINK("https://www.vietnamworks.com/giam-doc-van-hanh-vuon-uom-2009942-jv","Xem chi tiết")</f>
        <v/>
      </c>
    </row>
    <row r="904">
      <c r="B904" s="9" t="n">
        <v>902</v>
      </c>
      <c r="C904" s="10" t="inlineStr">
        <is>
          <t>Performance Marketing Executive</t>
        </is>
      </c>
      <c r="D904" s="10" t="inlineStr">
        <is>
          <t>Công ty TNHH Lạc Yên Group</t>
        </is>
      </c>
      <c r="E904" s="10" t="inlineStr">
        <is>
          <t>12tr-16tr ₫/tháng</t>
        </is>
      </c>
      <c r="F904" s="10" t="inlineStr">
        <is>
          <t>Hồ Chí Minh</t>
        </is>
      </c>
      <c r="G904" s="10" t="inlineStr">
        <is>
          <t>Trưởng phòng</t>
        </is>
      </c>
      <c r="H904" s="10" t="inlineStr">
        <is>
          <t>05/02/2026</t>
        </is>
      </c>
      <c r="I904" s="10" t="inlineStr">
        <is>
          <t>22/03/2026</t>
        </is>
      </c>
      <c r="J904" s="10" t="inlineStr">
        <is>
          <t>17/03/2026</t>
        </is>
      </c>
      <c r="K904" s="10" t="inlineStr">
        <is>
          <t>N/A</t>
        </is>
      </c>
      <c r="L904" s="10" t="inlineStr">
        <is>
          <t>Creative Innovation, Data Analysis, Digital Marketing, Social Commerce, Teamwork</t>
        </is>
      </c>
      <c r="M904" s="10" t="inlineStr">
        <is>
          <t>Bonus, Paid Leave, Training, Team Activities, Others</t>
        </is>
      </c>
      <c r="N904" s="11">
        <f>HYPERLINK("https://www.vietnamworks.com/performance-marketing-executive-2009955-jv","Xem chi tiết")</f>
        <v/>
      </c>
      <c r="O904" s="10" t="n"/>
    </row>
    <row r="905">
      <c r="B905" s="7" t="n">
        <v>903</v>
      </c>
      <c r="C905" t="inlineStr">
        <is>
          <t>Business Analyst ( Experienced in Finance )</t>
        </is>
      </c>
      <c r="D905" t="inlineStr">
        <is>
          <t>Fiingroup</t>
        </is>
      </c>
      <c r="E905" t="inlineStr">
        <is>
          <t>$$ 500-1,200 /tháng</t>
        </is>
      </c>
      <c r="F905" t="inlineStr">
        <is>
          <t>Hà Nội</t>
        </is>
      </c>
      <c r="G905" t="inlineStr">
        <is>
          <t>Nhân viên</t>
        </is>
      </c>
      <c r="H905" t="inlineStr">
        <is>
          <t>05/02/2026</t>
        </is>
      </c>
      <c r="I905" t="inlineStr">
        <is>
          <t>22/03/2026</t>
        </is>
      </c>
      <c r="J905" t="inlineStr">
        <is>
          <t>17/03/2026</t>
        </is>
      </c>
      <c r="K905" t="inlineStr">
        <is>
          <t>N/A</t>
        </is>
      </c>
      <c r="L905" t="inlineStr">
        <is>
          <t>Business Analysis, SQL, Agile, Project Management, Wire Bonding</t>
        </is>
      </c>
      <c r="M905" t="inlineStr">
        <is>
          <t>Healthcare Plan, Training, Travel Opportunities</t>
        </is>
      </c>
      <c r="N905" s="8">
        <f>HYPERLINK("https://www.vietnamworks.com/business-analyst-experienced-in-finance--2009953-jv","Xem chi tiết")</f>
        <v/>
      </c>
    </row>
    <row r="906">
      <c r="B906" s="9" t="n">
        <v>904</v>
      </c>
      <c r="C906" s="10" t="inlineStr">
        <is>
          <t>Giám Đốc Kinh Doanh Khu Vực</t>
        </is>
      </c>
      <c r="D906" s="10" t="inlineStr">
        <is>
          <t>Công Ty Cổ Phần Nhựa Tiến Đức</t>
        </is>
      </c>
      <c r="E906" s="10" t="inlineStr">
        <is>
          <t>Từ 60tr ₫/tháng</t>
        </is>
      </c>
      <c r="F906" s="10" t="inlineStr">
        <is>
          <t>Hà Nội</t>
        </is>
      </c>
      <c r="G906" s="10" t="inlineStr">
        <is>
          <t>Giám Đốc và Cấp Cao Hơn</t>
        </is>
      </c>
      <c r="H906" s="10" t="inlineStr">
        <is>
          <t>05/02/2026</t>
        </is>
      </c>
      <c r="I906" s="10" t="inlineStr">
        <is>
          <t>22/03/2026</t>
        </is>
      </c>
      <c r="J906" s="10" t="inlineStr">
        <is>
          <t>17/03/2026</t>
        </is>
      </c>
      <c r="K906" s="10" t="inlineStr">
        <is>
          <t>N/A</t>
        </is>
      </c>
      <c r="L906" s="10" t="inlineStr">
        <is>
          <t>Hoạch Định Chiến Lược, Quản Lý Kinh Doanh, Lãnh đạo, FMCG, Tiếng Anh thành thạo</t>
        </is>
      </c>
      <c r="M906" s="10" t="inlineStr">
        <is>
          <t>Bonus, Healthcare Plan, Awards</t>
        </is>
      </c>
      <c r="N906" s="11">
        <f>HYPERLINK("https://www.vietnamworks.com/giam-doc-kinh-doanh-khu-vuc--2009945-jv","Xem chi tiết")</f>
        <v/>
      </c>
      <c r="O906" s="10" t="n"/>
    </row>
    <row r="907">
      <c r="B907" s="7" t="n">
        <v>905</v>
      </c>
      <c r="C907" t="inlineStr">
        <is>
          <t>Kỹ Sư Shop Drawing</t>
        </is>
      </c>
      <c r="D907" t="inlineStr">
        <is>
          <t>Công Ty Cổ Phần CPT GROUP</t>
        </is>
      </c>
      <c r="E907" t="inlineStr">
        <is>
          <t>10tr-25tr ₫/tháng</t>
        </is>
      </c>
      <c r="F907" t="inlineStr">
        <is>
          <t>Hà Nội</t>
        </is>
      </c>
      <c r="G907" t="inlineStr">
        <is>
          <t>Nhân viên</t>
        </is>
      </c>
      <c r="H907" t="inlineStr">
        <is>
          <t>05/02/2026</t>
        </is>
      </c>
      <c r="I907" t="inlineStr">
        <is>
          <t>22/03/2026</t>
        </is>
      </c>
      <c r="J907" t="inlineStr">
        <is>
          <t>17/03/2026</t>
        </is>
      </c>
      <c r="K907" t="inlineStr">
        <is>
          <t>N/A</t>
        </is>
      </c>
      <c r="L907" t="inlineStr">
        <is>
          <t>3D Tekla, Kỹ Thuật Công Trình, Shop Drawing, Thiết Kế Kết Cấu Thép, Đọc Hiểu Bản Vẽ</t>
        </is>
      </c>
      <c r="M907" t="inlineStr">
        <is>
          <t>Bonus, Healthcare Plan, Travel Opportunities, Transportation, Others</t>
        </is>
      </c>
      <c r="N907" s="8">
        <f>HYPERLINK("https://www.vietnamworks.com/ky-su-shop-drawing-2009941-jv","Xem chi tiết")</f>
        <v/>
      </c>
    </row>
    <row r="908">
      <c r="B908" s="9" t="n">
        <v>906</v>
      </c>
      <c r="C908" s="10" t="inlineStr">
        <is>
          <t>Test Manager</t>
        </is>
      </c>
      <c r="D908" s="10" t="inlineStr">
        <is>
          <t>FPT Software</t>
        </is>
      </c>
      <c r="E908" s="10" t="inlineStr">
        <is>
          <t>Thương lượng</t>
        </is>
      </c>
      <c r="F908" s="10" t="inlineStr">
        <is>
          <t>Hà Nội</t>
        </is>
      </c>
      <c r="G908" s="10" t="inlineStr">
        <is>
          <t>Trưởng phòng</t>
        </is>
      </c>
      <c r="H908" s="10" t="inlineStr">
        <is>
          <t>05/02/2026</t>
        </is>
      </c>
      <c r="I908" s="10" t="inlineStr">
        <is>
          <t>22/03/2026</t>
        </is>
      </c>
      <c r="J908" s="10" t="inlineStr">
        <is>
          <t>17/03/2026</t>
        </is>
      </c>
      <c r="K908" s="10" t="inlineStr">
        <is>
          <t>N/A</t>
        </is>
      </c>
      <c r="L908" s="10" t="inlineStr">
        <is>
          <t>Database System, Testing, Test Management, Defect Management, Quality Assurance</t>
        </is>
      </c>
      <c r="M908" s="10" t="inlineStr">
        <is>
          <t>Bonus, Healthcare Plan, Training</t>
        </is>
      </c>
      <c r="N908" s="11">
        <f>HYPERLINK("https://www.vietnamworks.com/test-manager--2009938-jv","Xem chi tiết")</f>
        <v/>
      </c>
      <c r="O908" s="10" t="n"/>
    </row>
    <row r="909">
      <c r="B909" s="7" t="n">
        <v>907</v>
      </c>
      <c r="C909" t="inlineStr">
        <is>
          <t>Accounting Associate (Chinese Speaking) | Global Career Path</t>
        </is>
      </c>
      <c r="D909" t="inlineStr">
        <is>
          <t>First Trust ACPA Vietnam CO., LTD</t>
        </is>
      </c>
      <c r="E909" t="inlineStr">
        <is>
          <t>Thương lượng</t>
        </is>
      </c>
      <c r="F909" t="inlineStr">
        <is>
          <t>Hà Nội</t>
        </is>
      </c>
      <c r="G909" t="inlineStr">
        <is>
          <t>Mới Tốt Nghiệp</t>
        </is>
      </c>
      <c r="H909" t="inlineStr">
        <is>
          <t>05/02/2026</t>
        </is>
      </c>
      <c r="I909" t="inlineStr">
        <is>
          <t>22/03/2026</t>
        </is>
      </c>
      <c r="J909" t="inlineStr">
        <is>
          <t>17/03/2026</t>
        </is>
      </c>
      <c r="K909" t="inlineStr">
        <is>
          <t>N/A</t>
        </is>
      </c>
      <c r="L909" t="inlineStr">
        <is>
          <t>ACCA, Accounting, Chinese, Kế Toán, Microsoft Excel</t>
        </is>
      </c>
      <c r="M909" t="inlineStr">
        <is>
          <t>Training, Others</t>
        </is>
      </c>
      <c r="N909" s="8">
        <f>HYPERLINK("https://www.vietnamworks.com/accounting-associate-chinese-speaking-or-global-career-path-2009962-jv","Xem chi tiết")</f>
        <v/>
      </c>
    </row>
    <row r="910">
      <c r="B910" s="9" t="n">
        <v>908</v>
      </c>
      <c r="C910" s="10" t="inlineStr">
        <is>
          <t>Trình Dược Viên (Kênh Bệnh Viện ETC) - Ngành Hàng Dược Phẩm - Khánh Hòa</t>
        </is>
      </c>
      <c r="D910" s="10" t="inlineStr">
        <is>
          <t>Abbott</t>
        </is>
      </c>
      <c r="E910" s="10" t="inlineStr">
        <is>
          <t>Thương lượng</t>
        </is>
      </c>
      <c r="F910" s="10" t="inlineStr">
        <is>
          <t>Bình Định, Khánh Hòa</t>
        </is>
      </c>
      <c r="G910" s="10" t="inlineStr">
        <is>
          <t>Nhân viên</t>
        </is>
      </c>
      <c r="H910" s="10" t="inlineStr">
        <is>
          <t>05/02/2026</t>
        </is>
      </c>
      <c r="I910" s="10" t="inlineStr">
        <is>
          <t>22/03/2026</t>
        </is>
      </c>
      <c r="J910" s="10" t="inlineStr">
        <is>
          <t>17/03/2026</t>
        </is>
      </c>
      <c r="K910" s="10" t="inlineStr">
        <is>
          <t>N/A</t>
        </is>
      </c>
      <c r="L910" s="10" t="inlineStr">
        <is>
          <t>Medical Representative, ETC, Healthcare, Bán hàng, Trình dược viên</t>
        </is>
      </c>
      <c r="M910" s="10" t="inlineStr">
        <is>
          <t>Bonus, Healthcare Plan, Training</t>
        </is>
      </c>
      <c r="N910" s="11">
        <f>HYPERLINK("https://www.vietnamworks.com/trinh-duoc-vien-kenh-benh-vien-etc-nganh-hang-duoc-pham-khanh-hoa-2009936-jv","Xem chi tiết")</f>
        <v/>
      </c>
      <c r="O910" s="10" t="n"/>
    </row>
    <row r="911">
      <c r="B911" s="7" t="n">
        <v>909</v>
      </c>
      <c r="C911" t="inlineStr">
        <is>
          <t>Nhân Viên Trade Marketing (Mức Lương Từ 13 Triệu ++)</t>
        </is>
      </c>
      <c r="D911" t="inlineStr">
        <is>
          <t>Công Ty Cổ phần Phân Phối SNB</t>
        </is>
      </c>
      <c r="E911" t="inlineStr">
        <is>
          <t>13tr-15tr ₫/tháng</t>
        </is>
      </c>
      <c r="F911" t="inlineStr">
        <is>
          <t>Hà Nội</t>
        </is>
      </c>
      <c r="G911" t="inlineStr">
        <is>
          <t>Nhân viên</t>
        </is>
      </c>
      <c r="H911" t="inlineStr">
        <is>
          <t>05/02/2026</t>
        </is>
      </c>
      <c r="I911" t="inlineStr">
        <is>
          <t>22/03/2026</t>
        </is>
      </c>
      <c r="J911" t="inlineStr">
        <is>
          <t>17/03/2026</t>
        </is>
      </c>
      <c r="K911" t="inlineStr">
        <is>
          <t>N/A</t>
        </is>
      </c>
      <c r="L911" t="inlineStr">
        <is>
          <t>Analytical Skills, Communication Skills, Marketing Strategy, Teamwork, Trade Marketing</t>
        </is>
      </c>
      <c r="M911" t="inlineStr">
        <is>
          <t>Bonus, Healthcare Plan, Paid Leave, Training, Laptop, Travel Opportunities, Team Activities</t>
        </is>
      </c>
      <c r="N911" s="8">
        <f>HYPERLINK("https://www.vietnamworks.com/nhan-vien-trade-marketing-muc-luong-tu-13-trieu-2009937-jv","Xem chi tiết")</f>
        <v/>
      </c>
    </row>
    <row r="912">
      <c r="B912" s="9" t="n">
        <v>910</v>
      </c>
      <c r="C912" s="10" t="inlineStr">
        <is>
          <t>Senior Continuous Improvement Specialist</t>
        </is>
      </c>
      <c r="D912" s="10" t="inlineStr">
        <is>
          <t>Hitachi Energy Vietnam</t>
        </is>
      </c>
      <c r="E912" s="10" t="inlineStr">
        <is>
          <t>Thương lượng</t>
        </is>
      </c>
      <c r="F912" s="10" t="inlineStr">
        <is>
          <t>Bắc Ninh</t>
        </is>
      </c>
      <c r="G912" s="10" t="inlineStr">
        <is>
          <t>Nhân viên</t>
        </is>
      </c>
      <c r="H912" s="10" t="inlineStr">
        <is>
          <t>05/02/2026</t>
        </is>
      </c>
      <c r="I912" s="10" t="inlineStr">
        <is>
          <t>22/03/2026</t>
        </is>
      </c>
      <c r="J912" s="10" t="inlineStr">
        <is>
          <t>17/03/2026</t>
        </is>
      </c>
      <c r="K912" s="10" t="inlineStr">
        <is>
          <t>N/A</t>
        </is>
      </c>
      <c r="L912" s="10" t="inlineStr">
        <is>
          <t>Lean Six Sigma, Continuous Improvement, Manufacture Process, Technical, Lean</t>
        </is>
      </c>
      <c r="M912" s="10" t="inlineStr">
        <is>
          <t>Bonus, Healthcare Plan, Paid Leave, Training, Team Activities, Others</t>
        </is>
      </c>
      <c r="N912" s="11">
        <f>HYPERLINK("https://www.vietnamworks.com/senior-continuous-improvement-specialist-2009950-jv","Xem chi tiết")</f>
        <v/>
      </c>
      <c r="O912" s="10" t="n"/>
    </row>
    <row r="913">
      <c r="B913" s="7" t="n">
        <v>911</v>
      </c>
      <c r="C913" t="inlineStr">
        <is>
          <t>Junior Associate</t>
        </is>
      </c>
      <c r="D913" t="inlineStr">
        <is>
          <t>Gvw Graf Von Westphalen</t>
        </is>
      </c>
      <c r="E913" t="inlineStr">
        <is>
          <t>Thương lượng</t>
        </is>
      </c>
      <c r="F913" t="inlineStr">
        <is>
          <t>Hồ Chí Minh</t>
        </is>
      </c>
      <c r="G913" t="inlineStr">
        <is>
          <t>Nhân viên</t>
        </is>
      </c>
      <c r="H913" t="inlineStr">
        <is>
          <t>05/02/2026</t>
        </is>
      </c>
      <c r="I913" t="inlineStr">
        <is>
          <t>22/03/2026</t>
        </is>
      </c>
      <c r="J913" t="inlineStr">
        <is>
          <t>17/03/2026</t>
        </is>
      </c>
      <c r="K913" t="inlineStr">
        <is>
          <t>N/A</t>
        </is>
      </c>
      <c r="L913" t="inlineStr">
        <is>
          <t>Legal Research, Transactional Documentation, Corporate Development, Labor Law, Teamwork</t>
        </is>
      </c>
      <c r="M913" t="inlineStr">
        <is>
          <t>Bonus, Healthcare Plan, Others</t>
        </is>
      </c>
      <c r="N913" s="8">
        <f>HYPERLINK("https://www.vietnamworks.com/junior-associate-2009957-jv","Xem chi tiết")</f>
        <v/>
      </c>
    </row>
    <row r="914">
      <c r="B914" s="9" t="n">
        <v>912</v>
      </c>
      <c r="C914" s="10" t="inlineStr">
        <is>
          <t>Cloud Engineer (Middle/Senior)</t>
        </is>
      </c>
      <c r="D914" s="10" t="inlineStr">
        <is>
          <t>MiTek Việt Nam</t>
        </is>
      </c>
      <c r="E914" s="10" t="inlineStr">
        <is>
          <t>Thương lượng</t>
        </is>
      </c>
      <c r="F914" s="10" t="inlineStr">
        <is>
          <t>Hồ Chí Minh</t>
        </is>
      </c>
      <c r="G914" s="10" t="inlineStr">
        <is>
          <t>Nhân viên</t>
        </is>
      </c>
      <c r="H914" s="10" t="inlineStr">
        <is>
          <t>05/02/2026</t>
        </is>
      </c>
      <c r="I914" s="10" t="inlineStr">
        <is>
          <t>22/03/2026</t>
        </is>
      </c>
      <c r="J914" s="10" t="inlineStr">
        <is>
          <t>17/03/2026</t>
        </is>
      </c>
      <c r="K914" s="10" t="inlineStr">
        <is>
          <t>N/A</t>
        </is>
      </c>
      <c r="L914" s="10" t="inlineStr">
        <is>
          <t>Azure Administration, Azure DevOps, PowerShell, ServiceNow, Infrastructure As Code</t>
        </is>
      </c>
      <c r="M914" s="10" t="inlineStr">
        <is>
          <t>Bonus, Healthcare Plan, Paid Leave, Training, Awards, Team Activities, Others</t>
        </is>
      </c>
      <c r="N914" s="11">
        <f>HYPERLINK("https://www.vietnamworks.com/cloud-engineer-middlesenior-2009961-jv","Xem chi tiết")</f>
        <v/>
      </c>
      <c r="O914" s="10" t="n"/>
    </row>
    <row r="915">
      <c r="B915" s="7" t="n">
        <v>913</v>
      </c>
      <c r="C915" t="inlineStr">
        <is>
          <t>Kế Toán Tổng Hợp (Chủ Đầu Tư Bất Động Sản)</t>
        </is>
      </c>
      <c r="D915" t="inlineStr">
        <is>
          <t>Công Ty Cổ Phần Tập đoàn Đầu tư Thái Nam</t>
        </is>
      </c>
      <c r="E915" t="inlineStr">
        <is>
          <t>Thương lượng</t>
        </is>
      </c>
      <c r="F915" t="inlineStr">
        <is>
          <t>Hà Nội</t>
        </is>
      </c>
      <c r="G915" t="inlineStr">
        <is>
          <t>Nhân viên</t>
        </is>
      </c>
      <c r="H915" t="inlineStr">
        <is>
          <t>05/02/2026</t>
        </is>
      </c>
      <c r="I915" t="inlineStr">
        <is>
          <t>22/03/2026</t>
        </is>
      </c>
      <c r="J915" t="inlineStr">
        <is>
          <t>17/03/2026</t>
        </is>
      </c>
      <c r="K915" t="inlineStr">
        <is>
          <t>N/A</t>
        </is>
      </c>
      <c r="L915" t="inlineStr">
        <is>
          <t>Báo Cáo Tài Chính, Kiểm Soát Chi Phí, Kiểm Soát Công Nợ, Tài Chính Bất Động Sản, Thuế</t>
        </is>
      </c>
      <c r="M915" t="inlineStr">
        <is>
          <t>Bonus, Healthcare Plan, Paid Leave, Travel Opportunities, Others</t>
        </is>
      </c>
      <c r="N915" s="8">
        <f>HYPERLINK("https://www.vietnamworks.com/ke-toan-tong-hop-chu-djau-tu-bat-djong-san-2009951-jv","Xem chi tiết")</f>
        <v/>
      </c>
    </row>
    <row r="916">
      <c r="B916" s="9" t="n">
        <v>914</v>
      </c>
      <c r="C916" s="10" t="inlineStr">
        <is>
          <t>Chuyên Viên Pháp Chế / Pháp Lý (Chủ Đầu Tư Bất Động Sản)</t>
        </is>
      </c>
      <c r="D916" s="10" t="inlineStr">
        <is>
          <t>Công Ty Cổ Phần Tập đoàn Đầu tư Thái Nam</t>
        </is>
      </c>
      <c r="E916" s="10" t="inlineStr">
        <is>
          <t>Thương lượng</t>
        </is>
      </c>
      <c r="F916" s="10" t="inlineStr">
        <is>
          <t>Hà Nội</t>
        </is>
      </c>
      <c r="G916" s="10" t="inlineStr">
        <is>
          <t>Nhân viên</t>
        </is>
      </c>
      <c r="H916" s="10" t="inlineStr">
        <is>
          <t>05/02/2026</t>
        </is>
      </c>
      <c r="I916" s="10" t="inlineStr">
        <is>
          <t>22/03/2026</t>
        </is>
      </c>
      <c r="J916" s="10" t="inlineStr">
        <is>
          <t>17/03/2026</t>
        </is>
      </c>
      <c r="K916" s="10" t="inlineStr">
        <is>
          <t>N/A</t>
        </is>
      </c>
      <c r="L916" s="10" t="inlineStr">
        <is>
          <t>Luật Pháp Chế, pháp chế bất động sản, Đàm Phán Thương Lượng, Đầu Tư Bất Động Sản</t>
        </is>
      </c>
      <c r="M916" s="10" t="inlineStr">
        <is>
          <t>Bonus, Paid Leave, Training, Others</t>
        </is>
      </c>
      <c r="N916" s="11">
        <f>HYPERLINK("https://www.vietnamworks.com/chuyen-vien-phap-che-phap-ly-chu-djau-tu-bat-djong-san-2009954-jv","Xem chi tiết")</f>
        <v/>
      </c>
      <c r="O916" s="10" t="n"/>
    </row>
    <row r="917">
      <c r="B917" s="7" t="n">
        <v>915</v>
      </c>
      <c r="C917" t="inlineStr">
        <is>
          <t>E-Commerce Senior</t>
        </is>
      </c>
      <c r="D917" t="inlineStr">
        <is>
          <t>Công ty TNHH Lạc Yên Group</t>
        </is>
      </c>
      <c r="E917" t="inlineStr">
        <is>
          <t>9tr-12tr ₫/tháng</t>
        </is>
      </c>
      <c r="F917" t="inlineStr">
        <is>
          <t>Hồ Chí Minh</t>
        </is>
      </c>
      <c r="G917" t="inlineStr">
        <is>
          <t>Nhân viên</t>
        </is>
      </c>
      <c r="H917" t="inlineStr">
        <is>
          <t>05/02/2026</t>
        </is>
      </c>
      <c r="I917" t="inlineStr">
        <is>
          <t>22/03/2026</t>
        </is>
      </c>
      <c r="J917" t="inlineStr">
        <is>
          <t>17/03/2026</t>
        </is>
      </c>
      <c r="K917" t="inlineStr">
        <is>
          <t>N/A</t>
        </is>
      </c>
      <c r="L917" t="inlineStr">
        <is>
          <t>Communication, Data Analysis, E-Commerce Logistics, Negotiation Skills, Online Business</t>
        </is>
      </c>
      <c r="M917" t="inlineStr">
        <is>
          <t>Bonus, Paid Leave, Team Activities, Others</t>
        </is>
      </c>
      <c r="N917" s="8">
        <f>HYPERLINK("https://www.vietnamworks.com/e-commerce-senior-2009964-jv","Xem chi tiết")</f>
        <v/>
      </c>
    </row>
    <row r="918">
      <c r="B918" s="9" t="n">
        <v>916</v>
      </c>
      <c r="C918" s="10" t="inlineStr">
        <is>
          <t>[Rất Gấp] Trưởng Ban Đấu Thầu</t>
        </is>
      </c>
      <c r="D918" s="10" t="inlineStr">
        <is>
          <t>Công Ty Cổ Phần Tập Đoàn Danko</t>
        </is>
      </c>
      <c r="E918" s="10" t="inlineStr">
        <is>
          <t>Thương lượng</t>
        </is>
      </c>
      <c r="F918" s="10" t="inlineStr">
        <is>
          <t>Hà Nội</t>
        </is>
      </c>
      <c r="G918" s="10" t="inlineStr">
        <is>
          <t>Trưởng phòng</t>
        </is>
      </c>
      <c r="H918" s="10" t="inlineStr">
        <is>
          <t>05/02/2026</t>
        </is>
      </c>
      <c r="I918" s="10" t="inlineStr">
        <is>
          <t>22/03/2026</t>
        </is>
      </c>
      <c r="J918" s="10" t="inlineStr">
        <is>
          <t>17/03/2026</t>
        </is>
      </c>
      <c r="K918" s="10" t="inlineStr">
        <is>
          <t>N/A</t>
        </is>
      </c>
      <c r="L918" s="10" t="inlineStr">
        <is>
          <t>Đấu Thầu Xây Dựng, AutoCAD, Quản Lý Đấu Thầu, Đánh Giá Hồ Sơ Thầu, Quản Lý Hợp Đồng</t>
        </is>
      </c>
      <c r="M918" s="10" t="inlineStr">
        <is>
          <t>Bonus, Awards, Travel Opportunities</t>
        </is>
      </c>
      <c r="N918" s="11">
        <f>HYPERLINK("https://www.vietnamworks.com/rat-gap-truong-ban-dau-thau--2009979-jv","Xem chi tiết")</f>
        <v/>
      </c>
      <c r="O918" s="10" t="n"/>
    </row>
    <row r="919">
      <c r="B919" s="7" t="n">
        <v>917</v>
      </c>
      <c r="C919" t="inlineStr">
        <is>
          <t>Key Account Specialist/manager, Abbott Molecular - Ha Noi</t>
        </is>
      </c>
      <c r="D919" t="inlineStr">
        <is>
          <t>Abbott</t>
        </is>
      </c>
      <c r="E919" t="inlineStr">
        <is>
          <t>Thương lượng</t>
        </is>
      </c>
      <c r="F919" t="inlineStr">
        <is>
          <t>Hà Nội</t>
        </is>
      </c>
      <c r="G919" t="inlineStr">
        <is>
          <t>Nhân viên</t>
        </is>
      </c>
      <c r="H919" t="inlineStr">
        <is>
          <t>05/02/2026</t>
        </is>
      </c>
      <c r="I919" t="inlineStr">
        <is>
          <t>22/03/2026</t>
        </is>
      </c>
      <c r="J919" t="inlineStr">
        <is>
          <t>17/03/2026</t>
        </is>
      </c>
      <c r="K919" t="inlineStr">
        <is>
          <t>N/A</t>
        </is>
      </c>
      <c r="L919" t="inlineStr">
        <is>
          <t>Kinh Nghiệm Key Account, Molecular, Key Account Management, Molecular Biology</t>
        </is>
      </c>
      <c r="M919" t="inlineStr">
        <is>
          <t>Bonus, Healthcare Plan, Training</t>
        </is>
      </c>
      <c r="N919" s="8">
        <f>HYPERLINK("https://www.vietnamworks.com/key-account-specialist-manager-abbott-molecular-ha-noi-2009986-jv","Xem chi tiết")</f>
        <v/>
      </c>
    </row>
    <row r="920">
      <c r="B920" s="9" t="n">
        <v>918</v>
      </c>
      <c r="C920" s="10" t="inlineStr">
        <is>
          <t>Industrial Engineer</t>
        </is>
      </c>
      <c r="D920" s="10" t="inlineStr">
        <is>
          <t>Unigen Vietnam Hanoi Co.Ltd</t>
        </is>
      </c>
      <c r="E920" s="10" t="inlineStr">
        <is>
          <t>Thương lượng</t>
        </is>
      </c>
      <c r="F920" s="10" t="inlineStr">
        <is>
          <t>Hà Nội, Bắc Giang, Bắc Ninh</t>
        </is>
      </c>
      <c r="G920" s="10" t="inlineStr">
        <is>
          <t>Nhân viên</t>
        </is>
      </c>
      <c r="H920" s="10" t="inlineStr">
        <is>
          <t>05/02/2026</t>
        </is>
      </c>
      <c r="I920" s="10" t="inlineStr">
        <is>
          <t>22/03/2026</t>
        </is>
      </c>
      <c r="J920" s="10" t="inlineStr">
        <is>
          <t>17/03/2026</t>
        </is>
      </c>
      <c r="K920" s="10" t="inlineStr">
        <is>
          <t>N/A</t>
        </is>
      </c>
      <c r="L920" s="10" t="inlineStr">
        <is>
          <t>Engineering Bill of Materials, Engineering Drawings, Industrial Engineering, CAD Drawings, New Product Introduction</t>
        </is>
      </c>
      <c r="M920" s="10" t="inlineStr">
        <is>
          <t>Bonus, Healthcare Plan, Paid Leave</t>
        </is>
      </c>
      <c r="N920" s="11">
        <f>HYPERLINK("https://www.vietnamworks.com/industrial-engineer-2009967-jv","Xem chi tiết")</f>
        <v/>
      </c>
      <c r="O920" s="10" t="n"/>
    </row>
    <row r="921">
      <c r="B921" s="7" t="n">
        <v>919</v>
      </c>
      <c r="C921" t="inlineStr">
        <is>
          <t xml:space="preserve">Client Relationship Executive (Chinese Speaking) </t>
        </is>
      </c>
      <c r="D921" t="inlineStr">
        <is>
          <t>First Trust ACPA Vietnam CO., LTD</t>
        </is>
      </c>
      <c r="E921" t="inlineStr">
        <is>
          <t>Thương lượng</t>
        </is>
      </c>
      <c r="F921" t="inlineStr">
        <is>
          <t>Hà Nội</t>
        </is>
      </c>
      <c r="G921" t="inlineStr">
        <is>
          <t>Nhân viên</t>
        </is>
      </c>
      <c r="H921" t="inlineStr">
        <is>
          <t>05/02/2026</t>
        </is>
      </c>
      <c r="I921" t="inlineStr">
        <is>
          <t>22/03/2026</t>
        </is>
      </c>
      <c r="J921" t="inlineStr">
        <is>
          <t>17/03/2026</t>
        </is>
      </c>
      <c r="K921" t="inlineStr">
        <is>
          <t>N/A</t>
        </is>
      </c>
      <c r="L921" t="inlineStr">
        <is>
          <t>Accounting &amp; Auditing, Client Management, Client Relationships, Communication Skills, Mandarin Chinese</t>
        </is>
      </c>
      <c r="M921" t="inlineStr">
        <is>
          <t>Healthcare Plan, Training, Others</t>
        </is>
      </c>
      <c r="N921" s="8">
        <f>HYPERLINK("https://www.vietnamworks.com/client-relationship-executive-chinese-speaking-2009993-jv","Xem chi tiết")</f>
        <v/>
      </c>
    </row>
    <row r="922">
      <c r="B922" s="9" t="n">
        <v>920</v>
      </c>
      <c r="C922" s="10" t="inlineStr">
        <is>
          <t>Sales Manager, APAC</t>
        </is>
      </c>
      <c r="D922" s="10" t="inlineStr">
        <is>
          <t>Công Ty TNHH Westlake Compounds Việt Nam</t>
        </is>
      </c>
      <c r="E922" s="10" t="inlineStr">
        <is>
          <t>Thương lượng</t>
        </is>
      </c>
      <c r="F922" s="10" t="inlineStr">
        <is>
          <t>Đồng Nai, Hồ Chí Minh</t>
        </is>
      </c>
      <c r="G922" s="10" t="inlineStr">
        <is>
          <t>Trưởng phòng</t>
        </is>
      </c>
      <c r="H922" s="10" t="inlineStr">
        <is>
          <t>05/02/2026</t>
        </is>
      </c>
      <c r="I922" s="10" t="inlineStr">
        <is>
          <t>22/03/2026</t>
        </is>
      </c>
      <c r="J922" s="10" t="inlineStr">
        <is>
          <t>17/03/2026</t>
        </is>
      </c>
      <c r="K922" s="10" t="inlineStr">
        <is>
          <t>N/A</t>
        </is>
      </c>
      <c r="L922" s="10" t="inlineStr">
        <is>
          <t>Market Forecasting, Negotiation Skills, Sales Process Understanding</t>
        </is>
      </c>
      <c r="M922" s="10" t="inlineStr">
        <is>
          <t>Bonus, Healthcare Plan, Training</t>
        </is>
      </c>
      <c r="N922" s="11">
        <f>HYPERLINK("https://www.vietnamworks.com/sales-manager-apac-2009980-jv","Xem chi tiết")</f>
        <v/>
      </c>
      <c r="O922" s="10" t="n"/>
    </row>
    <row r="923">
      <c r="B923" s="7" t="n">
        <v>921</v>
      </c>
      <c r="C923" t="inlineStr">
        <is>
          <t>Chuyên Viên Kinh Doanh</t>
        </is>
      </c>
      <c r="D923" t="inlineStr">
        <is>
          <t>Công Ty TNHH Skyworth Việt Nam</t>
        </is>
      </c>
      <c r="E923" t="inlineStr">
        <is>
          <t>$$ 600-800 /tháng</t>
        </is>
      </c>
      <c r="F923" t="inlineStr">
        <is>
          <t>Hồ Chí Minh</t>
        </is>
      </c>
      <c r="G923" t="inlineStr">
        <is>
          <t>Nhân viên</t>
        </is>
      </c>
      <c r="H923" t="inlineStr">
        <is>
          <t>05/02/2026</t>
        </is>
      </c>
      <c r="I923" t="inlineStr">
        <is>
          <t>22/03/2026</t>
        </is>
      </c>
      <c r="J923" t="inlineStr">
        <is>
          <t>17/03/2026</t>
        </is>
      </c>
      <c r="K923" t="inlineStr">
        <is>
          <t>N/A</t>
        </is>
      </c>
      <c r="L923" t="inlineStr">
        <is>
          <t>Giao Tiếp  Và Thuyết Phục, Kinh Doanh, Khai Thác Khách Hàng, Bán Hàng, Chăm Sóc Khách Hàng</t>
        </is>
      </c>
      <c r="M923" t="inlineStr">
        <is>
          <t>Bonus, Healthcare Plan, Paid Leave</t>
        </is>
      </c>
      <c r="N923" s="8">
        <f>HYPERLINK("https://www.vietnamworks.com/chuyen-vien-kinh-doanh--2009983-jv","Xem chi tiết")</f>
        <v/>
      </c>
    </row>
    <row r="924">
      <c r="B924" s="9" t="n">
        <v>922</v>
      </c>
      <c r="C924" s="10" t="inlineStr">
        <is>
          <t>Continuous Improvement Manager</t>
        </is>
      </c>
      <c r="D924" s="10" t="inlineStr">
        <is>
          <t>Coherent Vietnam</t>
        </is>
      </c>
      <c r="E924" s="10" t="inlineStr">
        <is>
          <t>Thương lượng</t>
        </is>
      </c>
      <c r="F924" s="10" t="inlineStr">
        <is>
          <t>Đồng Nai</t>
        </is>
      </c>
      <c r="G924" s="10" t="inlineStr">
        <is>
          <t>Trưởng phòng</t>
        </is>
      </c>
      <c r="H924" s="10" t="inlineStr">
        <is>
          <t>05/02/2026</t>
        </is>
      </c>
      <c r="I924" s="10" t="inlineStr">
        <is>
          <t>22/03/2026</t>
        </is>
      </c>
      <c r="J924" s="10" t="inlineStr">
        <is>
          <t>17/03/2026</t>
        </is>
      </c>
      <c r="K924" s="10" t="inlineStr">
        <is>
          <t>N/A</t>
        </is>
      </c>
      <c r="L924" s="10" t="inlineStr">
        <is>
          <t>Continuous Improvement (CI), Lean Manufacturing, Lean Six Sigma</t>
        </is>
      </c>
      <c r="M924" s="10" t="inlineStr">
        <is>
          <t>Bonus, Healthcare Plan, Travel Opportunities</t>
        </is>
      </c>
      <c r="N924" s="11">
        <f>HYPERLINK("https://www.vietnamworks.com/continuous-improvement-manager--2009985-jv","Xem chi tiết")</f>
        <v/>
      </c>
      <c r="O924" s="10" t="n"/>
    </row>
    <row r="925">
      <c r="B925" s="7" t="n">
        <v>923</v>
      </c>
      <c r="C925" t="inlineStr">
        <is>
          <t>Nhân Viên Kinh Doanh Hàng Tiêu Dùng (8 - 12Tr + Hoa Hồng)</t>
        </is>
      </c>
      <c r="D925" t="inlineStr">
        <is>
          <t>NANOVIZ Việt Nam</t>
        </is>
      </c>
      <c r="E925" t="inlineStr">
        <is>
          <t>8tr-12tr ₫/tháng</t>
        </is>
      </c>
      <c r="F925" t="inlineStr">
        <is>
          <t>Hồ Chí Minh</t>
        </is>
      </c>
      <c r="G925" t="inlineStr">
        <is>
          <t>Nhân viên</t>
        </is>
      </c>
      <c r="H925" t="inlineStr">
        <is>
          <t>05/02/2026</t>
        </is>
      </c>
      <c r="I925" t="inlineStr">
        <is>
          <t>22/03/2026</t>
        </is>
      </c>
      <c r="J925" t="inlineStr">
        <is>
          <t>17/03/2026</t>
        </is>
      </c>
      <c r="K925" t="inlineStr">
        <is>
          <t>N/A</t>
        </is>
      </c>
      <c r="L925" t="inlineStr">
        <is>
          <t>Chăm Sóc Sức Khỏe, Bán Hàng Tiêu Dùng, Hàng Tiêu Dùng, Kinh Doanh Hàng Tiêu Dùng, Tư Vấn Bán Hàng</t>
        </is>
      </c>
      <c r="M925" t="inlineStr">
        <is>
          <t>Bonus, Healthcare Plan, Paid Leave, Training, Others</t>
        </is>
      </c>
      <c r="N925" s="8">
        <f>HYPERLINK("https://www.vietnamworks.com/nhan-vien-kinh-doanh-hang-tieu-dung-8-12tr-hoa-hong-2009997-jv","Xem chi tiết")</f>
        <v/>
      </c>
    </row>
    <row r="926">
      <c r="B926" s="9" t="n">
        <v>924</v>
      </c>
      <c r="C926" s="10" t="inlineStr">
        <is>
          <t>Supervisor, Business Development</t>
        </is>
      </c>
      <c r="D926" s="10" t="inlineStr">
        <is>
          <t>Công Ty TNHH Phát Triển Phú Mỹ Hưng</t>
        </is>
      </c>
      <c r="E926" s="10" t="inlineStr">
        <is>
          <t>25tr-30tr ₫/tháng</t>
        </is>
      </c>
      <c r="F926" s="10" t="inlineStr">
        <is>
          <t>Hồ Chí Minh</t>
        </is>
      </c>
      <c r="G926" s="10" t="inlineStr">
        <is>
          <t>Trưởng phòng</t>
        </is>
      </c>
      <c r="H926" s="10" t="inlineStr">
        <is>
          <t>05/02/2026</t>
        </is>
      </c>
      <c r="I926" s="10" t="inlineStr">
        <is>
          <t>22/03/2026</t>
        </is>
      </c>
      <c r="J926" s="10" t="inlineStr">
        <is>
          <t>17/03/2026</t>
        </is>
      </c>
      <c r="K926" s="10" t="inlineStr">
        <is>
          <t>N/A</t>
        </is>
      </c>
      <c r="L926" s="10" t="inlineStr">
        <is>
          <t>Business Development, Property Management, Sales Experience</t>
        </is>
      </c>
      <c r="M926" s="10" t="inlineStr">
        <is>
          <t>Bonus, Paid Leave, Laptop</t>
        </is>
      </c>
      <c r="N926" s="11">
        <f>HYPERLINK("https://www.vietnamworks.com/supervisor-business-development-2009965-jv","Xem chi tiết")</f>
        <v/>
      </c>
      <c r="O926" s="10" t="n"/>
    </row>
    <row r="927">
      <c r="B927" s="7" t="n">
        <v>925</v>
      </c>
      <c r="C927" t="inlineStr">
        <is>
          <t>Chuyên Viên Khách Hàng Lớn - Bộ Phận Khách Hàng Lớn, CN. Cần Thơ (CN26.17)</t>
        </is>
      </c>
      <c r="D927" t="inlineStr">
        <is>
          <t>NGÂN HÀNG TMCP QUÂN ĐỘI – MBBANK</t>
        </is>
      </c>
      <c r="E927" t="inlineStr">
        <is>
          <t>Thương lượng</t>
        </is>
      </c>
      <c r="F927" t="inlineStr">
        <is>
          <t>Cần Thơ</t>
        </is>
      </c>
      <c r="G927" t="inlineStr">
        <is>
          <t>Nhân viên</t>
        </is>
      </c>
      <c r="H927" t="inlineStr">
        <is>
          <t>05/02/2026</t>
        </is>
      </c>
      <c r="I927" t="inlineStr">
        <is>
          <t>22/03/2026</t>
        </is>
      </c>
      <c r="J927" t="inlineStr">
        <is>
          <t>17/03/2026</t>
        </is>
      </c>
      <c r="K927" t="inlineStr">
        <is>
          <t>N/A</t>
        </is>
      </c>
      <c r="L927" t="inlineStr">
        <is>
          <t>Business Development, Financial Analysis, Leadership, Negotiation, Risk Management</t>
        </is>
      </c>
      <c r="M927" t="inlineStr">
        <is>
          <t>Bonus, Healthcare Plan, Paid Leave, Training, Awards, Library, Team Activities</t>
        </is>
      </c>
      <c r="N927" s="8">
        <f>HYPERLINK("https://www.vietnamworks.com/chuyen-vien-khach-hang-lon-bo-phan-khach-hang-lon-cn-can-tho-cn26-17-2009998-jv","Xem chi tiết")</f>
        <v/>
      </c>
    </row>
    <row r="928">
      <c r="B928" s="9" t="n">
        <v>926</v>
      </c>
      <c r="C928" s="10" t="inlineStr">
        <is>
          <t>Trưởng Phòng Marketing Tập Đoàn [Có Kinh Nghiệm Ngành Bất Động Sản]</t>
        </is>
      </c>
      <c r="D928" s="10" t="inlineStr">
        <is>
          <t>Tập đoàn TUTA</t>
        </is>
      </c>
      <c r="E928" s="10" t="inlineStr">
        <is>
          <t>$$ 1,500-3,000 /tháng</t>
        </is>
      </c>
      <c r="F928" s="10" t="inlineStr">
        <is>
          <t>Hà Nội</t>
        </is>
      </c>
      <c r="G928" s="10" t="inlineStr">
        <is>
          <t>Trưởng phòng</t>
        </is>
      </c>
      <c r="H928" s="10" t="inlineStr">
        <is>
          <t>05/02/2026</t>
        </is>
      </c>
      <c r="I928" s="10" t="inlineStr">
        <is>
          <t>22/03/2026</t>
        </is>
      </c>
      <c r="J928" s="10" t="inlineStr">
        <is>
          <t>17/03/2026</t>
        </is>
      </c>
      <c r="K928" s="10" t="inlineStr">
        <is>
          <t>N/A</t>
        </is>
      </c>
      <c r="L928" s="10" t="inlineStr">
        <is>
          <t>Giám đốc Marketing, Thị Trường Bất Động Sản, Bất Động Sản Thương Mại, Chiến Lược Thương Hiệu, Truyền thông sự kiện</t>
        </is>
      </c>
      <c r="M928" s="10" t="inlineStr">
        <is>
          <t>Bonus, Paid Leave, Travel Opportunities</t>
        </is>
      </c>
      <c r="N928" s="11">
        <f>HYPERLINK("https://www.vietnamworks.com/truong-phong-marketing-tap-doan-co-kinh-nghiem-nganh-bat-dong-san-2010000-jv","Xem chi tiết")</f>
        <v/>
      </c>
      <c r="O928" s="10" t="n"/>
    </row>
    <row r="929">
      <c r="B929" s="7" t="n">
        <v>927</v>
      </c>
      <c r="C929" t="inlineStr">
        <is>
          <t>Quản Lý Phòng Sale</t>
        </is>
      </c>
      <c r="D929" t="inlineStr">
        <is>
          <t>ALUKO Group</t>
        </is>
      </c>
      <c r="E929" t="inlineStr">
        <is>
          <t>Thương lượng</t>
        </is>
      </c>
      <c r="F929" t="inlineStr">
        <is>
          <t>Thái Nguyên</t>
        </is>
      </c>
      <c r="G929" t="inlineStr">
        <is>
          <t>Trưởng phòng</t>
        </is>
      </c>
      <c r="H929" t="inlineStr">
        <is>
          <t>05/02/2026</t>
        </is>
      </c>
      <c r="I929" t="inlineStr">
        <is>
          <t>22/03/2026</t>
        </is>
      </c>
      <c r="J929" t="inlineStr">
        <is>
          <t>17/03/2026</t>
        </is>
      </c>
      <c r="K929" t="inlineStr">
        <is>
          <t>N/A</t>
        </is>
      </c>
      <c r="L929" t="inlineStr">
        <is>
          <t>Sales Management, Báo Cáo Kinh Doanh, Sale</t>
        </is>
      </c>
      <c r="M929" t="inlineStr">
        <is>
          <t>Healthcare Plan, Paid Leave, Transportation</t>
        </is>
      </c>
      <c r="N929" s="8">
        <f>HYPERLINK("https://www.vietnamworks.com/quan-ly-phong-sale-2009990-jv","Xem chi tiết")</f>
        <v/>
      </c>
    </row>
    <row r="930">
      <c r="B930" s="9" t="n">
        <v>928</v>
      </c>
      <c r="C930" s="10" t="inlineStr">
        <is>
          <t>Social Media Content Marketing Executive</t>
        </is>
      </c>
      <c r="D930" s="10" t="inlineStr">
        <is>
          <t>Công Ty TNHH ActsOne Việt Nam (Bbia, Hince BRAND)</t>
        </is>
      </c>
      <c r="E930" s="10" t="inlineStr">
        <is>
          <t>$$ 400-800 /tháng</t>
        </is>
      </c>
      <c r="F930" s="10" t="inlineStr">
        <is>
          <t>Hồ Chí Minh</t>
        </is>
      </c>
      <c r="G930" s="10" t="inlineStr">
        <is>
          <t>Nhân viên</t>
        </is>
      </c>
      <c r="H930" s="10" t="inlineStr">
        <is>
          <t>05/02/2026</t>
        </is>
      </c>
      <c r="I930" s="10" t="inlineStr">
        <is>
          <t>22/03/2026</t>
        </is>
      </c>
      <c r="J930" s="10" t="inlineStr">
        <is>
          <t>17/03/2026</t>
        </is>
      </c>
      <c r="K930" s="10" t="inlineStr">
        <is>
          <t>N/A</t>
        </is>
      </c>
      <c r="L930" s="10" t="inlineStr">
        <is>
          <t>Social Media Management, Marketing Strategy, Content Creation</t>
        </is>
      </c>
      <c r="M930" s="10" t="inlineStr">
        <is>
          <t>Training, Laptop, Vouchers</t>
        </is>
      </c>
      <c r="N930" s="11">
        <f>HYPERLINK("https://www.vietnamworks.com/social-media-content-marketing-executive--2009970-jv","Xem chi tiết")</f>
        <v/>
      </c>
      <c r="O930" s="10" t="n"/>
    </row>
    <row r="931">
      <c r="B931" s="7" t="n">
        <v>929</v>
      </c>
      <c r="C931" t="inlineStr">
        <is>
          <t xml:space="preserve">Human Resources Specialist </t>
        </is>
      </c>
      <c r="D931" t="inlineStr">
        <is>
          <t>Cty TNHH Công Nghệ Điện Tử - Nghe Nhìn Boe Việt Nam</t>
        </is>
      </c>
      <c r="E931" t="inlineStr">
        <is>
          <t>$$ 608-1,043 /tháng</t>
        </is>
      </c>
      <c r="F931" t="inlineStr">
        <is>
          <t>Bà Rịa - Vũng Tàu</t>
        </is>
      </c>
      <c r="G931" t="inlineStr">
        <is>
          <t>Nhân viên</t>
        </is>
      </c>
      <c r="H931" t="inlineStr">
        <is>
          <t>05/02/2026</t>
        </is>
      </c>
      <c r="I931" t="inlineStr">
        <is>
          <t>22/03/2026</t>
        </is>
      </c>
      <c r="J931" t="inlineStr">
        <is>
          <t>17/03/2026</t>
        </is>
      </c>
      <c r="K931" t="inlineStr">
        <is>
          <t>N/A</t>
        </is>
      </c>
      <c r="L931" t="inlineStr">
        <is>
          <t>Communication, Data Analysis, Human Resources Management, Labor Law, Office Software</t>
        </is>
      </c>
      <c r="M931" t="inlineStr">
        <is>
          <t>Bonus, Paid Leave, Training, Team Activities, Others</t>
        </is>
      </c>
      <c r="N931" s="8">
        <f>HYPERLINK("https://www.vietnamworks.com/human-resources-specialist-2009987-jv","Xem chi tiết")</f>
        <v/>
      </c>
    </row>
    <row r="932">
      <c r="B932" s="9" t="n">
        <v>930</v>
      </c>
      <c r="C932" s="10" t="inlineStr">
        <is>
          <t>Senior Office Admin</t>
        </is>
      </c>
      <c r="D932" s="10" t="inlineStr">
        <is>
          <t>ITECHWX COMPANY LIMITED</t>
        </is>
      </c>
      <c r="E932" s="10" t="inlineStr">
        <is>
          <t>Tới 25tr ₫/tháng</t>
        </is>
      </c>
      <c r="F932" s="10" t="inlineStr">
        <is>
          <t>Hồ Chí Minh</t>
        </is>
      </c>
      <c r="G932" s="10" t="inlineStr">
        <is>
          <t>Nhân viên</t>
        </is>
      </c>
      <c r="H932" s="10" t="inlineStr">
        <is>
          <t>05/02/2026</t>
        </is>
      </c>
      <c r="I932" s="10" t="inlineStr">
        <is>
          <t>22/03/2026</t>
        </is>
      </c>
      <c r="J932" s="10" t="inlineStr">
        <is>
          <t>17/03/2026</t>
        </is>
      </c>
      <c r="K932" s="10" t="inlineStr">
        <is>
          <t>N/A</t>
        </is>
      </c>
      <c r="L932" s="10" t="inlineStr">
        <is>
          <t>Vendor Management, Office Operations, Administrative Support, Effective Communication, English Language Proficiency</t>
        </is>
      </c>
      <c r="M932" s="10" t="inlineStr">
        <is>
          <t>Healthcare Plan, Paid Leave, Training, Laptop, Team Activities, Others</t>
        </is>
      </c>
      <c r="N932" s="11">
        <f>HYPERLINK("https://www.vietnamworks.com/senior-office-admin-2009994-jv","Xem chi tiết")</f>
        <v/>
      </c>
      <c r="O932" s="10" t="n"/>
    </row>
    <row r="933">
      <c r="B933" s="7" t="n">
        <v>931</v>
      </c>
      <c r="C933" t="inlineStr">
        <is>
          <t>Chuyên Viên Vận Hành Hệ Thống Cốt Lõi (Core System Operations)</t>
        </is>
      </c>
      <c r="D933" t="inlineStr">
        <is>
          <t>Công Ty TNHH Chứng Khoán Jb Việt Nam</t>
        </is>
      </c>
      <c r="E933" t="inlineStr">
        <is>
          <t>Thương lượng</t>
        </is>
      </c>
      <c r="F933" t="inlineStr">
        <is>
          <t>Hà Nội</t>
        </is>
      </c>
      <c r="G933" t="inlineStr">
        <is>
          <t>Nhân viên</t>
        </is>
      </c>
      <c r="H933" t="inlineStr">
        <is>
          <t>05/02/2026</t>
        </is>
      </c>
      <c r="I933" t="inlineStr">
        <is>
          <t>22/03/2026</t>
        </is>
      </c>
      <c r="J933" t="inlineStr">
        <is>
          <t>17/03/2026</t>
        </is>
      </c>
      <c r="K933" t="inlineStr">
        <is>
          <t>N/A</t>
        </is>
      </c>
      <c r="L933" t="inlineStr">
        <is>
          <t>Vận Hành Hệ Thống, Giám Sát Hệ Thống, Xử Lý Sự Cố, Phân tích dữ liệu, Làm Việc Chịu Áp Lực Cao</t>
        </is>
      </c>
      <c r="M933" t="inlineStr">
        <is>
          <t>Others</t>
        </is>
      </c>
      <c r="N933" s="8">
        <f>HYPERLINK("https://www.vietnamworks.com/chuyen-vien-van-hanh-he-thong-cot-loi-core-system-operations-2009996-jv","Xem chi tiết")</f>
        <v/>
      </c>
    </row>
    <row r="934">
      <c r="B934" s="9" t="n">
        <v>932</v>
      </c>
      <c r="C934" s="10" t="inlineStr">
        <is>
          <t>Maintenance &amp; Facilities Supervisor (Giám Sát Bảo Trì và Cơ Sở Vật Chất)</t>
        </is>
      </c>
      <c r="D934" s="10" t="inlineStr">
        <is>
          <t>Palazzo Club (Công ty Liên Doanh Đại Dương - Sheraton Saigon Grand Opera Hotel)</t>
        </is>
      </c>
      <c r="E934" s="10" t="inlineStr">
        <is>
          <t>Thương lượng</t>
        </is>
      </c>
      <c r="F934" s="10" t="inlineStr">
        <is>
          <t>Hồ Chí Minh</t>
        </is>
      </c>
      <c r="G934" s="10" t="inlineStr">
        <is>
          <t>Nhân viên</t>
        </is>
      </c>
      <c r="H934" s="10" t="inlineStr">
        <is>
          <t>05/02/2026</t>
        </is>
      </c>
      <c r="I934" s="10" t="inlineStr">
        <is>
          <t>22/03/2026</t>
        </is>
      </c>
      <c r="J934" s="10" t="inlineStr">
        <is>
          <t>17/03/2026</t>
        </is>
      </c>
      <c r="K934" s="10" t="inlineStr">
        <is>
          <t>N/A</t>
        </is>
      </c>
      <c r="L934" s="10" t="inlineStr">
        <is>
          <t>Maintenance, Facilities Management, Supervisory skills, Hotel Project Development, Project magement</t>
        </is>
      </c>
      <c r="M934" s="10" t="inlineStr">
        <is>
          <t>Bonus, Healthcare Plan, Others</t>
        </is>
      </c>
      <c r="N934" s="11">
        <f>HYPERLINK("https://www.vietnamworks.com/maintenance-facilities-supervisor-giam-sat-bao-tri-va-co-so-vat-chat-2009984-jv","Xem chi tiết")</f>
        <v/>
      </c>
      <c r="O934" s="10" t="n"/>
    </row>
    <row r="935">
      <c r="B935" s="7" t="n">
        <v>933</v>
      </c>
      <c r="C935" t="inlineStr">
        <is>
          <t>Trợ Lý Chủ Tịch HĐQT (Mảng Kế Toán - Tài Chính hoặc Quản Lý Thiết Kế Xây Dựng)</t>
        </is>
      </c>
      <c r="D935" t="inlineStr">
        <is>
          <t>Công Ty Cổ Phần Tập Đoàn Danko</t>
        </is>
      </c>
      <c r="E935" t="inlineStr">
        <is>
          <t>Thương lượng</t>
        </is>
      </c>
      <c r="F935" t="inlineStr">
        <is>
          <t>Hà Nội</t>
        </is>
      </c>
      <c r="G935" t="inlineStr">
        <is>
          <t>Trưởng phòng</t>
        </is>
      </c>
      <c r="H935" t="inlineStr">
        <is>
          <t>05/02/2026</t>
        </is>
      </c>
      <c r="I935" t="inlineStr">
        <is>
          <t>22/03/2026</t>
        </is>
      </c>
      <c r="J935" t="inlineStr">
        <is>
          <t>17/03/2026</t>
        </is>
      </c>
      <c r="K935" t="inlineStr">
        <is>
          <t>N/A</t>
        </is>
      </c>
      <c r="L935" t="inlineStr">
        <is>
          <t>Trợ Lý, Tài Chính, Tài Chính Kế Toán, Thư ký Giám đốc</t>
        </is>
      </c>
      <c r="M935" t="inlineStr">
        <is>
          <t>Bonus, Awards, Travel Opportunities</t>
        </is>
      </c>
      <c r="N935" s="8">
        <f>HYPERLINK("https://www.vietnamworks.com/tro-ly-chu-tich-hdqt-mang-ke-toan-tai-chinh-hoac-quan-ly-thiet-ke-xay-dung-2009982-jv","Xem chi tiết")</f>
        <v/>
      </c>
    </row>
    <row r="936">
      <c r="B936" s="9" t="n">
        <v>934</v>
      </c>
      <c r="C936" s="10" t="inlineStr">
        <is>
          <t>Giáo Viên Mầm Non</t>
        </is>
      </c>
      <c r="D936" s="10" t="inlineStr">
        <is>
          <t>Morris International Preschool</t>
        </is>
      </c>
      <c r="E936" s="10" t="inlineStr">
        <is>
          <t>Thương lượng</t>
        </is>
      </c>
      <c r="F936" s="10" t="inlineStr">
        <is>
          <t>Hồ Chí Minh</t>
        </is>
      </c>
      <c r="G936" s="10" t="inlineStr">
        <is>
          <t>Mới Tốt Nghiệp</t>
        </is>
      </c>
      <c r="H936" s="10" t="inlineStr">
        <is>
          <t>05/02/2026</t>
        </is>
      </c>
      <c r="I936" s="10" t="inlineStr">
        <is>
          <t>22/03/2026</t>
        </is>
      </c>
      <c r="J936" s="10" t="inlineStr">
        <is>
          <t>17/03/2026</t>
        </is>
      </c>
      <c r="K936" s="10" t="inlineStr">
        <is>
          <t>N/A</t>
        </is>
      </c>
      <c r="L936" s="10" t="inlineStr">
        <is>
          <t>Giáo Dục Mầm Non, Chăm Sóc Trẻ Nhỏ, Phương Pháp Play-Based Learning, Kỹ Năng Sư Phạm Hiện Đại, Trông Trẻ</t>
        </is>
      </c>
      <c r="M936" s="10" t="inlineStr">
        <is>
          <t>Bonus, Healthcare Plan, Paid Leave, Training, Others</t>
        </is>
      </c>
      <c r="N936" s="11">
        <f>HYPERLINK("https://www.vietnamworks.com/giao-vien-mam-non-2010002-jv","Xem chi tiết")</f>
        <v/>
      </c>
      <c r="O936" s="10" t="n"/>
    </row>
    <row r="937">
      <c r="B937" s="7" t="n">
        <v>935</v>
      </c>
      <c r="C937" t="inlineStr">
        <is>
          <t>Junior Service Technician</t>
        </is>
      </c>
      <c r="D937" t="inlineStr">
        <is>
          <t>BMS Company Ltd</t>
        </is>
      </c>
      <c r="E937" t="inlineStr">
        <is>
          <t>$$ 350-800 /tháng</t>
        </is>
      </c>
      <c r="F937" t="inlineStr">
        <is>
          <t>Hồ Chí Minh</t>
        </is>
      </c>
      <c r="G937" t="inlineStr">
        <is>
          <t>Mới Tốt Nghiệp</t>
        </is>
      </c>
      <c r="H937" t="inlineStr">
        <is>
          <t>05/02/2026</t>
        </is>
      </c>
      <c r="I937" t="inlineStr">
        <is>
          <t>22/03/2026</t>
        </is>
      </c>
      <c r="J937" t="inlineStr">
        <is>
          <t>17/03/2026</t>
        </is>
      </c>
      <c r="K937" t="inlineStr">
        <is>
          <t>N/A</t>
        </is>
      </c>
      <c r="L937" t="inlineStr">
        <is>
          <t>Engineering, English Communication, Water Treatment System Design</t>
        </is>
      </c>
      <c r="M937" t="inlineStr">
        <is>
          <t>Bonus, Others</t>
        </is>
      </c>
      <c r="N937" s="8">
        <f>HYPERLINK("https://www.vietnamworks.com/junior-service-technician-2010014-jv","Xem chi tiết")</f>
        <v/>
      </c>
    </row>
    <row r="938">
      <c r="B938" s="9" t="n">
        <v>936</v>
      </c>
      <c r="C938" s="10" t="inlineStr">
        <is>
          <t>Brand Manager</t>
        </is>
      </c>
      <c r="D938" s="10" t="inlineStr">
        <is>
          <t>Slimcase</t>
        </is>
      </c>
      <c r="E938" s="10" t="inlineStr">
        <is>
          <t>$$ 900-1,100 /tháng</t>
        </is>
      </c>
      <c r="F938" s="10" t="inlineStr">
        <is>
          <t>Hồ Chí Minh</t>
        </is>
      </c>
      <c r="G938" s="10" t="inlineStr">
        <is>
          <t>Trưởng phòng</t>
        </is>
      </c>
      <c r="H938" s="10" t="inlineStr">
        <is>
          <t>05/02/2026</t>
        </is>
      </c>
      <c r="I938" s="10" t="inlineStr">
        <is>
          <t>22/03/2026</t>
        </is>
      </c>
      <c r="J938" s="10" t="inlineStr">
        <is>
          <t>17/03/2026</t>
        </is>
      </c>
      <c r="K938" s="10" t="inlineStr">
        <is>
          <t>N/A</t>
        </is>
      </c>
      <c r="L938" s="10" t="inlineStr">
        <is>
          <t>Branding, Brand Management, Quản Lý Thương Hiệu, Truyền Thông, FMCG</t>
        </is>
      </c>
      <c r="M938" s="10" t="inlineStr">
        <is>
          <t>Bonus, Healthcare Plan, Team Activities</t>
        </is>
      </c>
      <c r="N938" s="11">
        <f>HYPERLINK("https://www.vietnamworks.com/brand-manager--2010015-jv","Xem chi tiết")</f>
        <v/>
      </c>
      <c r="O938" s="10" t="n"/>
    </row>
    <row r="939">
      <c r="B939" s="7" t="n">
        <v>937</v>
      </c>
      <c r="C939" t="inlineStr">
        <is>
          <t>Assistant Marketing Manager - Base Long An and HCMC</t>
        </is>
      </c>
      <c r="D939" t="inlineStr">
        <is>
          <t>Công ty TNHH Fujiya Việt Nam</t>
        </is>
      </c>
      <c r="E939" t="inlineStr">
        <is>
          <t>$$ 1,100-1,400 /tháng</t>
        </is>
      </c>
      <c r="F939" t="inlineStr">
        <is>
          <t>Hồ Chí Minh, Long An</t>
        </is>
      </c>
      <c r="G939" t="inlineStr">
        <is>
          <t>Nhân viên</t>
        </is>
      </c>
      <c r="H939" t="inlineStr">
        <is>
          <t>05/02/2026</t>
        </is>
      </c>
      <c r="I939" t="inlineStr">
        <is>
          <t>22/03/2026</t>
        </is>
      </c>
      <c r="J939" t="inlineStr">
        <is>
          <t>17/03/2026</t>
        </is>
      </c>
      <c r="K939" t="inlineStr">
        <is>
          <t>N/A</t>
        </is>
      </c>
      <c r="L939" t="inlineStr">
        <is>
          <t>Marketing Campaigns, Marketing Planning, Branding Marketing, FMCG Marketing, Agency Marketing</t>
        </is>
      </c>
      <c r="M939" t="inlineStr">
        <is>
          <t>Bonus, Healthcare Plan, Paid Leave</t>
        </is>
      </c>
      <c r="N939" s="8">
        <f>HYPERLINK("https://www.vietnamworks.com/assistant-marketing-manager-base-long-an-and-hcmc-2010009-jv","Xem chi tiết")</f>
        <v/>
      </c>
    </row>
    <row r="940">
      <c r="B940" s="9" t="n">
        <v>938</v>
      </c>
      <c r="C940" s="10" t="inlineStr">
        <is>
          <t>Junior Automation Engineer – Plc/dcs</t>
        </is>
      </c>
      <c r="D940" s="10" t="inlineStr">
        <is>
          <t>Yokogawa Vietnam Company Limited</t>
        </is>
      </c>
      <c r="E940" s="10" t="inlineStr">
        <is>
          <t>Thương lượng</t>
        </is>
      </c>
      <c r="F940" s="10" t="inlineStr">
        <is>
          <t>Hồ Chí Minh, Hà Nội</t>
        </is>
      </c>
      <c r="G940" s="10" t="inlineStr">
        <is>
          <t>Mới Tốt Nghiệp</t>
        </is>
      </c>
      <c r="H940" s="10" t="inlineStr">
        <is>
          <t>05/02/2026</t>
        </is>
      </c>
      <c r="I940" s="10" t="inlineStr">
        <is>
          <t>22/03/2026</t>
        </is>
      </c>
      <c r="J940" s="10" t="inlineStr">
        <is>
          <t>17/03/2026</t>
        </is>
      </c>
      <c r="K940" s="10" t="inlineStr">
        <is>
          <t>N/A</t>
        </is>
      </c>
      <c r="L940" s="10" t="inlineStr">
        <is>
          <t>Automation, PLC, System Control, AutoCAD, Visual Basic</t>
        </is>
      </c>
      <c r="M940" s="10" t="inlineStr">
        <is>
          <t>Bonus, Healthcare Plan, Travel Opportunities</t>
        </is>
      </c>
      <c r="N940" s="11">
        <f>HYPERLINK("https://www.vietnamworks.com/junior-automation-engineer-plc-dcs-2010024-jv","Xem chi tiết")</f>
        <v/>
      </c>
      <c r="O940" s="10" t="n"/>
    </row>
    <row r="941">
      <c r="B941" s="7" t="n">
        <v>939</v>
      </c>
      <c r="C941" t="inlineStr">
        <is>
          <t>[Đà Nẵng] Giám Sát Phát Triển Đối Tác E-Shop Kênh GT</t>
        </is>
      </c>
      <c r="D941" t="inlineStr">
        <is>
          <t>Diana Unicharm JSC</t>
        </is>
      </c>
      <c r="E941" t="inlineStr">
        <is>
          <t>Thương lượng</t>
        </is>
      </c>
      <c r="F941" t="inlineStr">
        <is>
          <t>Đà Nẵng</t>
        </is>
      </c>
      <c r="G941" t="inlineStr">
        <is>
          <t>Nhân viên</t>
        </is>
      </c>
      <c r="H941" t="inlineStr">
        <is>
          <t>05/02/2026</t>
        </is>
      </c>
      <c r="I941" t="inlineStr">
        <is>
          <t>22/03/2026</t>
        </is>
      </c>
      <c r="J941" t="inlineStr">
        <is>
          <t>17/03/2026</t>
        </is>
      </c>
      <c r="K941" t="inlineStr">
        <is>
          <t>N/A</t>
        </is>
      </c>
      <c r="L941" t="inlineStr">
        <is>
          <t>FMCG, Sales Planning, Sales, Bán Hàng</t>
        </is>
      </c>
      <c r="M941" t="inlineStr">
        <is>
          <t>Bonus, Healthcare Plan, Others</t>
        </is>
      </c>
      <c r="N941" s="8">
        <f>HYPERLINK("https://www.vietnamworks.com/da-nang-giam-sat-phat-trien-doi-tac-e-shop-kenh-gt-2010012-jv","Xem chi tiết")</f>
        <v/>
      </c>
    </row>
    <row r="942">
      <c r="B942" s="9" t="n">
        <v>940</v>
      </c>
      <c r="C942" s="10" t="inlineStr">
        <is>
          <t>Chuyên viên - Phòng Hỗ trợ tín dụng SME - Specialist - SME Credit Support department - Khối Vận hành (HO26.35)</t>
        </is>
      </c>
      <c r="D942" s="10" t="inlineStr">
        <is>
          <t>NGÂN HÀNG TMCP QUÂN ĐỘI – MBBANK</t>
        </is>
      </c>
      <c r="E942" s="10" t="inlineStr">
        <is>
          <t>Thương lượng</t>
        </is>
      </c>
      <c r="F942" s="10" t="inlineStr">
        <is>
          <t>Hà Nội</t>
        </is>
      </c>
      <c r="G942" s="10" t="inlineStr">
        <is>
          <t>Nhân viên</t>
        </is>
      </c>
      <c r="H942" s="10" t="inlineStr">
        <is>
          <t>05/02/2026</t>
        </is>
      </c>
      <c r="I942" s="10" t="inlineStr">
        <is>
          <t>22/03/2026</t>
        </is>
      </c>
      <c r="J942" s="10" t="inlineStr">
        <is>
          <t>17/03/2026</t>
        </is>
      </c>
      <c r="K942" s="10" t="inlineStr">
        <is>
          <t>N/A</t>
        </is>
      </c>
      <c r="L942" s="10" t="inlineStr">
        <is>
          <t>CRM, Excel, Power Point, SQL, Power BI</t>
        </is>
      </c>
      <c r="M942" s="10" t="inlineStr">
        <is>
          <t>Bonus, Healthcare Plan, Paid Leave, Training, Awards, Library, Team Activities</t>
        </is>
      </c>
      <c r="N942" s="11">
        <f>HYPERLINK("https://www.vietnamworks.com/chuyen-vien-phong-ho-tro-tin-dung-sme-specialist-sme-credit-support-department-khoi-van-hanh-ho26-35-2010003-jv","Xem chi tiết")</f>
        <v/>
      </c>
      <c r="O942" s="10" t="n"/>
    </row>
    <row r="943">
      <c r="B943" s="7" t="n">
        <v>941</v>
      </c>
      <c r="C943" t="inlineStr">
        <is>
          <t>Digital Marketing Manager / Quản Lý Tiếp Thị Số</t>
        </is>
      </c>
      <c r="D943" t="inlineStr">
        <is>
          <t>CÔNG TY TNHH PHÂN PHỐI TIÊN TIẾN</t>
        </is>
      </c>
      <c r="E943" t="inlineStr">
        <is>
          <t>Thương lượng</t>
        </is>
      </c>
      <c r="F943" t="inlineStr">
        <is>
          <t>Hồ Chí Minh</t>
        </is>
      </c>
      <c r="G943" t="inlineStr">
        <is>
          <t>Trưởng phòng</t>
        </is>
      </c>
      <c r="H943" t="inlineStr">
        <is>
          <t>05/02/2026</t>
        </is>
      </c>
      <c r="I943" t="inlineStr">
        <is>
          <t>22/03/2026</t>
        </is>
      </c>
      <c r="J943" t="inlineStr">
        <is>
          <t>17/03/2026</t>
        </is>
      </c>
      <c r="K943" t="inlineStr">
        <is>
          <t>N/A</t>
        </is>
      </c>
      <c r="L943" t="inlineStr">
        <is>
          <t>Digital Marketing, E-commerce, Content Marketing, Data Analysis, Team Management</t>
        </is>
      </c>
      <c r="M943" t="inlineStr">
        <is>
          <t>Bonus, Healthcare Plan, Training</t>
        </is>
      </c>
      <c r="N943" s="8">
        <f>HYPERLINK("https://www.vietnamworks.com/digital-marketing-manager-quan-ly-tiep-thi-so-2010017-jv","Xem chi tiết")</f>
        <v/>
      </c>
    </row>
    <row r="944">
      <c r="B944" s="9" t="n">
        <v>942</v>
      </c>
      <c r="C944" s="10" t="inlineStr">
        <is>
          <t>Nhân Viên Kế Toán (Chấp Nhận Ứng Viên Mới Tốt Nghiệp và Chưa Có Kinh Nghiệm)</t>
        </is>
      </c>
      <c r="D944" s="10" t="inlineStr">
        <is>
          <t>Công Ty TNHH Sản Xuất Phụ Tùng Ô Tô Xe Máy Việt Nam (VAP)</t>
        </is>
      </c>
      <c r="E944" s="10" t="inlineStr">
        <is>
          <t>Thương lượng</t>
        </is>
      </c>
      <c r="F944" s="10" t="inlineStr">
        <is>
          <t>Hà Nội, Hưng Yên</t>
        </is>
      </c>
      <c r="G944" s="10" t="inlineStr">
        <is>
          <t>Mới Tốt Nghiệp</t>
        </is>
      </c>
      <c r="H944" s="10" t="inlineStr">
        <is>
          <t>05/02/2026</t>
        </is>
      </c>
      <c r="I944" s="10" t="inlineStr">
        <is>
          <t>22/03/2026</t>
        </is>
      </c>
      <c r="J944" s="10" t="inlineStr">
        <is>
          <t>17/03/2026</t>
        </is>
      </c>
      <c r="K944" s="10" t="inlineStr">
        <is>
          <t>N/A</t>
        </is>
      </c>
      <c r="L944" s="10" t="inlineStr">
        <is>
          <t>Kế Toán, Kiểm toán, Tài Chính, Excel, Phần Mềm Kế Toán</t>
        </is>
      </c>
      <c r="M944" s="10" t="inlineStr">
        <is>
          <t>Bonus, Healthcare Plan, Awards</t>
        </is>
      </c>
      <c r="N944" s="11">
        <f>HYPERLINK("https://www.vietnamworks.com/nhan-vien-ke-toan-chap-nhan-ung-vien-moi-tot-nghiep-va-chua-co-kinh-nghiem-2010020-jv","Xem chi tiết")</f>
        <v/>
      </c>
      <c r="O944" s="10" t="n"/>
    </row>
    <row r="945">
      <c r="B945" s="7" t="n">
        <v>943</v>
      </c>
      <c r="C945" t="inlineStr">
        <is>
          <t>Science Teacher</t>
        </is>
      </c>
      <c r="D945" t="inlineStr">
        <is>
          <t>Scotch Australian Grammar School (AGS)</t>
        </is>
      </c>
      <c r="E945" t="inlineStr">
        <is>
          <t>Thương lượng</t>
        </is>
      </c>
      <c r="F945" t="inlineStr">
        <is>
          <t>Hồ Chí Minh</t>
        </is>
      </c>
      <c r="G945" t="inlineStr">
        <is>
          <t>Nhân viên</t>
        </is>
      </c>
      <c r="H945" t="inlineStr">
        <is>
          <t>05/02/2026</t>
        </is>
      </c>
      <c r="I945" t="inlineStr">
        <is>
          <t>22/03/2026</t>
        </is>
      </c>
      <c r="J945" t="inlineStr">
        <is>
          <t>17/03/2026</t>
        </is>
      </c>
      <c r="K945" t="inlineStr">
        <is>
          <t>N/A</t>
        </is>
      </c>
      <c r="L945" t="inlineStr">
        <is>
          <t>Teaching, Science Education, Classroom Management, Education, IELTS 7.0</t>
        </is>
      </c>
      <c r="M945" t="inlineStr">
        <is>
          <t>Bonus, Travel Opportunities, Canteen</t>
        </is>
      </c>
      <c r="N945" s="8">
        <f>HYPERLINK("https://www.vietnamworks.com/science-teacher--2010026-jv","Xem chi tiết")</f>
        <v/>
      </c>
    </row>
    <row r="946">
      <c r="B946" s="9" t="n">
        <v>944</v>
      </c>
      <c r="C946" s="10" t="inlineStr">
        <is>
          <t>Tái Thẩm Định Tín Dụng Cá Nhân (Tiếng Hàn)</t>
        </is>
      </c>
      <c r="D946" s="10" t="inlineStr">
        <is>
          <t>Ngân Hàng TNHH MTV Woori Việt Nam</t>
        </is>
      </c>
      <c r="E946" s="10" t="inlineStr">
        <is>
          <t>Thương lượng</t>
        </is>
      </c>
      <c r="F946" s="10" t="inlineStr">
        <is>
          <t>Hồ Chí Minh</t>
        </is>
      </c>
      <c r="G946" s="10" t="inlineStr">
        <is>
          <t>Nhân viên</t>
        </is>
      </c>
      <c r="H946" s="10" t="inlineStr">
        <is>
          <t>05/02/2026</t>
        </is>
      </c>
      <c r="I946" s="10" t="inlineStr">
        <is>
          <t>22/03/2026</t>
        </is>
      </c>
      <c r="J946" s="10" t="inlineStr">
        <is>
          <t>17/03/2026</t>
        </is>
      </c>
      <c r="K946" s="10" t="inlineStr">
        <is>
          <t>N/A</t>
        </is>
      </c>
      <c r="L946" s="10" t="inlineStr">
        <is>
          <t>Communication Skills, Credit Appraisal, Financial Analysis, Logical Thinking, Problem-solving</t>
        </is>
      </c>
      <c r="M946" s="10" t="inlineStr">
        <is>
          <t>Healthcare Plan, Paid Leave, Training, Team Activities, Others</t>
        </is>
      </c>
      <c r="N946" s="11">
        <f>HYPERLINK("https://www.vietnamworks.com/tai-tham-dinh-tin-dung-ca-nhan-tieng-han-2010029-jv","Xem chi tiết")</f>
        <v/>
      </c>
      <c r="O946" s="10" t="n"/>
    </row>
    <row r="947">
      <c r="B947" s="7" t="n">
        <v>945</v>
      </c>
      <c r="C947" t="inlineStr">
        <is>
          <t>[Đà Nẵng] Area Supervisor/ Giám Sát Bán Hàng Kênh GT</t>
        </is>
      </c>
      <c r="D947" t="inlineStr">
        <is>
          <t>Diana Unicharm JSC</t>
        </is>
      </c>
      <c r="E947" t="inlineStr">
        <is>
          <t>Thương lượng</t>
        </is>
      </c>
      <c r="F947" t="inlineStr">
        <is>
          <t>Đà Nẵng</t>
        </is>
      </c>
      <c r="G947" t="inlineStr">
        <is>
          <t>Nhân viên</t>
        </is>
      </c>
      <c r="H947" t="inlineStr">
        <is>
          <t>05/02/2026</t>
        </is>
      </c>
      <c r="I947" t="inlineStr">
        <is>
          <t>22/03/2026</t>
        </is>
      </c>
      <c r="J947" t="inlineStr">
        <is>
          <t>17/03/2026</t>
        </is>
      </c>
      <c r="K947" t="inlineStr">
        <is>
          <t>N/A</t>
        </is>
      </c>
      <c r="L947" t="inlineStr">
        <is>
          <t>FMCG, Sales Planning, Sales</t>
        </is>
      </c>
      <c r="M947" t="inlineStr">
        <is>
          <t>Bonus, Healthcare Plan, Others</t>
        </is>
      </c>
      <c r="N947" s="8">
        <f>HYPERLINK("https://www.vietnamworks.com/da-nang-area-supervisor-giam-sat-ban-hang-kenh-gt-2010011-jv","Xem chi tiết")</f>
        <v/>
      </c>
    </row>
    <row r="948">
      <c r="B948" s="9" t="n">
        <v>946</v>
      </c>
      <c r="C948" s="10" t="inlineStr">
        <is>
          <t>Chuyên Viên Quản Lý Thiết Kế Kết Cấu</t>
        </is>
      </c>
      <c r="D948" s="10" t="inlineStr">
        <is>
          <t>Tập Đoàn APEC (APEC GROUP)</t>
        </is>
      </c>
      <c r="E948" s="10" t="inlineStr">
        <is>
          <t>Thương lượng</t>
        </is>
      </c>
      <c r="F948" s="10" t="inlineStr">
        <is>
          <t>Hà Nội</t>
        </is>
      </c>
      <c r="G948" s="10" t="inlineStr">
        <is>
          <t>Trưởng phòng</t>
        </is>
      </c>
      <c r="H948" s="10" t="inlineStr">
        <is>
          <t>05/02/2026</t>
        </is>
      </c>
      <c r="I948" s="10" t="inlineStr">
        <is>
          <t>22/03/2026</t>
        </is>
      </c>
      <c r="J948" s="10" t="inlineStr">
        <is>
          <t>17/03/2026</t>
        </is>
      </c>
      <c r="K948" s="10" t="inlineStr">
        <is>
          <t>N/A</t>
        </is>
      </c>
      <c r="L948" s="10" t="inlineStr">
        <is>
          <t>Thiết Kế Kết Cấu, Quản Lý Thiết Kế Kết Cấu, Quản Lý Thiết Kế, Xây Dựng Dân Dụng và Công Nghiệp</t>
        </is>
      </c>
      <c r="M948" s="10" t="inlineStr">
        <is>
          <t>Bonus, Travel Opportunities, Others</t>
        </is>
      </c>
      <c r="N948" s="11">
        <f>HYPERLINK("https://www.vietnamworks.com/chuyen-vien-quan-ly-thiet-ke-ket-cau--2010025-jv","Xem chi tiết")</f>
        <v/>
      </c>
      <c r="O948" s="10" t="n"/>
    </row>
    <row r="949">
      <c r="B949" s="7" t="n">
        <v>947</v>
      </c>
      <c r="C949" t="inlineStr">
        <is>
          <t>Marketing Executive</t>
        </is>
      </c>
      <c r="D949" t="inlineStr">
        <is>
          <t>Công Ty TNHH SCJ Việt Nam</t>
        </is>
      </c>
      <c r="E949" t="inlineStr">
        <is>
          <t>13tr-15tr ₫/tháng</t>
        </is>
      </c>
      <c r="F949" t="inlineStr">
        <is>
          <t>Hồ Chí Minh</t>
        </is>
      </c>
      <c r="G949" t="inlineStr">
        <is>
          <t>Nhân viên</t>
        </is>
      </c>
      <c r="H949" t="inlineStr">
        <is>
          <t>05/02/2026</t>
        </is>
      </c>
      <c r="I949" t="inlineStr">
        <is>
          <t>22/03/2026</t>
        </is>
      </c>
      <c r="J949" t="inlineStr">
        <is>
          <t>17/03/2026</t>
        </is>
      </c>
      <c r="K949" t="inlineStr">
        <is>
          <t>N/A</t>
        </is>
      </c>
      <c r="L949" t="inlineStr">
        <is>
          <t>Content Management, SEO, Social Media Marketing, Visual Merchandising, Communication</t>
        </is>
      </c>
      <c r="M949" t="inlineStr">
        <is>
          <t>Bonus, Healthcare Plan</t>
        </is>
      </c>
      <c r="N949" s="8">
        <f>HYPERLINK("https://www.vietnamworks.com/marketing-executive-2010019-jv","Xem chi tiết")</f>
        <v/>
      </c>
    </row>
    <row r="950">
      <c r="B950" s="9" t="n">
        <v>948</v>
      </c>
      <c r="C950" s="10" t="inlineStr">
        <is>
          <t>Chuyên Viên Quản Trị Sản Phẩm - Product Management Specialist - Ban Sản Phẩm Và Marketing (HO26.34)</t>
        </is>
      </c>
      <c r="D950" s="10" t="inlineStr">
        <is>
          <t>NGÂN HÀNG TMCP QUÂN ĐỘI – MBBANK</t>
        </is>
      </c>
      <c r="E950" s="10" t="inlineStr">
        <is>
          <t>Thương lượng</t>
        </is>
      </c>
      <c r="F950" s="10" t="inlineStr">
        <is>
          <t>Hà Nội</t>
        </is>
      </c>
      <c r="G950" s="10" t="inlineStr">
        <is>
          <t>Nhân viên</t>
        </is>
      </c>
      <c r="H950" s="10" t="inlineStr">
        <is>
          <t>05/02/2026</t>
        </is>
      </c>
      <c r="I950" s="10" t="inlineStr">
        <is>
          <t>22/03/2026</t>
        </is>
      </c>
      <c r="J950" s="10" t="inlineStr">
        <is>
          <t>17/03/2026</t>
        </is>
      </c>
      <c r="K950" s="10" t="inlineStr">
        <is>
          <t>N/A</t>
        </is>
      </c>
      <c r="L950" s="10" t="inlineStr">
        <is>
          <t>Agile, Design Thinking, Product Development, lean startup, Phân tích dữ liệu sản phẩm</t>
        </is>
      </c>
      <c r="M950" s="10" t="inlineStr">
        <is>
          <t>Bonus, Healthcare Plan, Paid Leave, Training, Awards, Library, Team Activities</t>
        </is>
      </c>
      <c r="N950" s="11">
        <f>HYPERLINK("https://www.vietnamworks.com/chuyen-vien-quan-tri-san-pham-product-management-specialist-ban-san-pham-va-marketing-ho26-34-2010001-jv","Xem chi tiết")</f>
        <v/>
      </c>
      <c r="O950" s="10" t="n"/>
    </row>
    <row r="951">
      <c r="B951" s="7" t="n">
        <v>949</v>
      </c>
      <c r="C951" t="inlineStr">
        <is>
          <t>Business Development Supervisor (Partner, School &amp; Public Agencies Relations)</t>
        </is>
      </c>
      <c r="D951" t="inlineStr">
        <is>
          <t>Finest Future Vietnam</t>
        </is>
      </c>
      <c r="E951" t="inlineStr">
        <is>
          <t>Thương lượng</t>
        </is>
      </c>
      <c r="F951" t="inlineStr">
        <is>
          <t>Hồ Chí Minh</t>
        </is>
      </c>
      <c r="G951" t="inlineStr">
        <is>
          <t>Trưởng phòng</t>
        </is>
      </c>
      <c r="H951" t="inlineStr">
        <is>
          <t>05/02/2026</t>
        </is>
      </c>
      <c r="I951" t="inlineStr">
        <is>
          <t>22/03/2026</t>
        </is>
      </c>
      <c r="J951" t="inlineStr">
        <is>
          <t>17/03/2026</t>
        </is>
      </c>
      <c r="K951" t="inlineStr">
        <is>
          <t>N/A</t>
        </is>
      </c>
      <c r="L951" t="inlineStr">
        <is>
          <t>Business Strategy Development, Contract Negotiation, Market Research, Bilingual (English- Vietnamese), Strategic partnerships</t>
        </is>
      </c>
      <c r="M951" t="inlineStr">
        <is>
          <t>Bonus, Travel Opportunities</t>
        </is>
      </c>
      <c r="N951" s="8">
        <f>HYPERLINK("https://www.vietnamworks.com/business-development-supervisor-partner-school-and-public-agencies-relations-2010027-jv","Xem chi tiết")</f>
        <v/>
      </c>
    </row>
    <row r="952">
      <c r="B952" s="9" t="n">
        <v>950</v>
      </c>
      <c r="C952" s="10" t="inlineStr">
        <is>
          <t>(Urgent) Accounting Associate | Global Career Path</t>
        </is>
      </c>
      <c r="D952" s="10" t="inlineStr">
        <is>
          <t>First Trust ACPA Vietnam CO., LTD</t>
        </is>
      </c>
      <c r="E952" s="10" t="inlineStr">
        <is>
          <t>Thương lượng</t>
        </is>
      </c>
      <c r="F952" s="10" t="inlineStr">
        <is>
          <t>Hà Nội</t>
        </is>
      </c>
      <c r="G952" s="10" t="inlineStr">
        <is>
          <t>Nhân viên</t>
        </is>
      </c>
      <c r="H952" s="10" t="inlineStr">
        <is>
          <t>05/02/2026</t>
        </is>
      </c>
      <c r="I952" s="10" t="inlineStr">
        <is>
          <t>22/03/2026</t>
        </is>
      </c>
      <c r="J952" s="10" t="inlineStr">
        <is>
          <t>17/03/2026</t>
        </is>
      </c>
      <c r="K952" s="10" t="inlineStr">
        <is>
          <t>N/A</t>
        </is>
      </c>
      <c r="L952" s="10" t="inlineStr">
        <is>
          <t>ACCA, Accounting, English, Interpersonal Skills, Kế Toán</t>
        </is>
      </c>
      <c r="M952" s="10" t="inlineStr">
        <is>
          <t>Training, Others</t>
        </is>
      </c>
      <c r="N952" s="11">
        <f>HYPERLINK("https://www.vietnamworks.com/-urgent-accounting-associate-or-global-career-path-2010007-jv","Xem chi tiết")</f>
        <v/>
      </c>
      <c r="O952" s="10" t="n"/>
    </row>
    <row r="953">
      <c r="B953" s="7" t="n">
        <v>951</v>
      </c>
      <c r="C953" t="inlineStr">
        <is>
          <t>Social Content Internship/ Thực Tập Sinh Sáng Tạo Nội Dung (Only Accdept English CV)</t>
        </is>
      </c>
      <c r="D953" t="inlineStr">
        <is>
          <t>Công Ty TNHH Digimall</t>
        </is>
      </c>
      <c r="E953" t="inlineStr">
        <is>
          <t>Từ 3tr ₫/tháng</t>
        </is>
      </c>
      <c r="F953" t="inlineStr">
        <is>
          <t>Hồ Chí Minh</t>
        </is>
      </c>
      <c r="G953" t="inlineStr">
        <is>
          <t>Thực tập sinh/Sinh viên</t>
        </is>
      </c>
      <c r="H953" t="inlineStr">
        <is>
          <t>05/02/2026</t>
        </is>
      </c>
      <c r="I953" t="inlineStr">
        <is>
          <t>22/03/2026</t>
        </is>
      </c>
      <c r="J953" t="inlineStr">
        <is>
          <t>17/03/2026</t>
        </is>
      </c>
      <c r="K953" t="inlineStr">
        <is>
          <t>N/A</t>
        </is>
      </c>
      <c r="L953" t="inlineStr">
        <is>
          <t>Thương Mại Điện Tử, Content Marketing, Marketing Planning, Truyền Thông, Sáng Tạo Nội Dung</t>
        </is>
      </c>
      <c r="M953" t="inlineStr">
        <is>
          <t>Bonus, Healthcare Plan, Training</t>
        </is>
      </c>
      <c r="N953" s="8">
        <f>HYPERLINK("https://www.vietnamworks.com/social-content-internship-thuc-tap-sinh-sang-tao-noi-dung-only-accdept-english-cv-2010004-jv","Xem chi tiết")</f>
        <v/>
      </c>
    </row>
    <row r="954">
      <c r="B954" s="9" t="n">
        <v>952</v>
      </c>
      <c r="C954" s="10" t="inlineStr">
        <is>
          <t>Distributor Management/Market Development Executive (Nationwide)</t>
        </is>
      </c>
      <c r="D954" s="10" t="inlineStr">
        <is>
          <t>Castrol BP Petco</t>
        </is>
      </c>
      <c r="E954" s="10" t="inlineStr">
        <is>
          <t>Thương lượng</t>
        </is>
      </c>
      <c r="F954" s="10" t="inlineStr">
        <is>
          <t>Khác</t>
        </is>
      </c>
      <c r="G954" s="10" t="inlineStr">
        <is>
          <t>Nhân viên</t>
        </is>
      </c>
      <c r="H954" s="10" t="inlineStr">
        <is>
          <t>05/02/2026</t>
        </is>
      </c>
      <c r="I954" s="10" t="inlineStr">
        <is>
          <t>22/03/2026</t>
        </is>
      </c>
      <c r="J954" s="10" t="inlineStr">
        <is>
          <t>17/03/2026</t>
        </is>
      </c>
      <c r="K954" s="10" t="inlineStr">
        <is>
          <t>N/A</t>
        </is>
      </c>
      <c r="L954" s="10" t="inlineStr">
        <is>
          <t>Customer Segmentation, Data Analysis, Partnership Management, Sales Planning, Mentoring Sales Representatives</t>
        </is>
      </c>
      <c r="M954" s="10" t="inlineStr">
        <is>
          <t>Bonus, Healthcare Plan, Mobile, Transportation</t>
        </is>
      </c>
      <c r="N954" s="11">
        <f>HYPERLINK("https://www.vietnamworks.com/distributor-managementmarket-development-executive-nationwide-2010016-jv","Xem chi tiết")</f>
        <v/>
      </c>
      <c r="O954" s="10" t="n"/>
    </row>
    <row r="955">
      <c r="B955" s="7" t="n">
        <v>953</v>
      </c>
      <c r="C955" t="inlineStr">
        <is>
          <t>Production Shift Supervisor</t>
        </is>
      </c>
      <c r="D955" t="inlineStr">
        <is>
          <t>Nestlé Vietnam LTD.</t>
        </is>
      </c>
      <c r="E955" t="inlineStr">
        <is>
          <t>$$ 1,000-1,500 /tháng</t>
        </is>
      </c>
      <c r="F955" t="inlineStr">
        <is>
          <t>Đồng Nai</t>
        </is>
      </c>
      <c r="G955" t="inlineStr">
        <is>
          <t>Nhân viên</t>
        </is>
      </c>
      <c r="H955" t="inlineStr">
        <is>
          <t>05/02/2026</t>
        </is>
      </c>
      <c r="I955" t="inlineStr">
        <is>
          <t>22/03/2026</t>
        </is>
      </c>
      <c r="J955" t="inlineStr">
        <is>
          <t>17/03/2026</t>
        </is>
      </c>
      <c r="K955" t="inlineStr">
        <is>
          <t>N/A</t>
        </is>
      </c>
      <c r="L955" t="inlineStr">
        <is>
          <t>Production Management, Food Process, Manufacturing Operations Management, Shift Management, Technical background</t>
        </is>
      </c>
      <c r="M955" t="inlineStr">
        <is>
          <t>Bonus, Healthcare Plan, Transportation</t>
        </is>
      </c>
      <c r="N955" s="8">
        <f>HYPERLINK("https://www.vietnamworks.com/production-shift-supervisor--2010022-jv","Xem chi tiết")</f>
        <v/>
      </c>
    </row>
    <row r="956">
      <c r="B956" s="9" t="n">
        <v>954</v>
      </c>
      <c r="C956" s="10" t="inlineStr">
        <is>
          <t>On Premise Sales Executive (North) - Relocation Support</t>
        </is>
      </c>
      <c r="D956" s="10" t="inlineStr">
        <is>
          <t>Pernod Ricard Vietnam</t>
        </is>
      </c>
      <c r="E956" s="10" t="inlineStr">
        <is>
          <t>Thương lượng</t>
        </is>
      </c>
      <c r="F956" s="10" t="inlineStr">
        <is>
          <t>Hà Nội</t>
        </is>
      </c>
      <c r="G956" s="10" t="inlineStr">
        <is>
          <t>Nhân viên</t>
        </is>
      </c>
      <c r="H956" s="10" t="inlineStr">
        <is>
          <t>05/02/2026</t>
        </is>
      </c>
      <c r="I956" s="10" t="inlineStr">
        <is>
          <t>22/03/2026</t>
        </is>
      </c>
      <c r="J956" s="10" t="inlineStr">
        <is>
          <t>17/03/2026</t>
        </is>
      </c>
      <c r="K956" s="10" t="inlineStr">
        <is>
          <t>N/A</t>
        </is>
      </c>
      <c r="L956" s="10" t="inlineStr">
        <is>
          <t>FMCG, Account Management, Inventory, Merchandising, Relationship Management</t>
        </is>
      </c>
      <c r="M956" s="10" t="inlineStr">
        <is>
          <t>Bonus, Healthcare Plan, Paid Leave</t>
        </is>
      </c>
      <c r="N956" s="11">
        <f>HYPERLINK("https://www.vietnamworks.com/on-premise-sales-executive-north-relocation-support-2010030-jv","Xem chi tiết")</f>
        <v/>
      </c>
      <c r="O956" s="10" t="n"/>
    </row>
    <row r="957">
      <c r="B957" s="7" t="n">
        <v>955</v>
      </c>
      <c r="C957" t="inlineStr">
        <is>
          <t>Automation PLC Control Engineer</t>
        </is>
      </c>
      <c r="D957" t="inlineStr">
        <is>
          <t>Makino Vietnam Co., Ltd</t>
        </is>
      </c>
      <c r="E957" t="inlineStr">
        <is>
          <t>Thương lượng</t>
        </is>
      </c>
      <c r="F957" t="inlineStr">
        <is>
          <t>Hưng Yên</t>
        </is>
      </c>
      <c r="G957" t="inlineStr">
        <is>
          <t>Nhân viên</t>
        </is>
      </c>
      <c r="H957" t="inlineStr">
        <is>
          <t>05/02/2026</t>
        </is>
      </c>
      <c r="I957" t="inlineStr">
        <is>
          <t>22/03/2026</t>
        </is>
      </c>
      <c r="J957" t="inlineStr">
        <is>
          <t>17/03/2026</t>
        </is>
      </c>
      <c r="K957" t="inlineStr">
        <is>
          <t>N/A</t>
        </is>
      </c>
      <c r="L957" t="inlineStr">
        <is>
          <t>PLC Programming, BOM, Electrical, Mechatronics\r\r, PLC control</t>
        </is>
      </c>
      <c r="M957" t="inlineStr">
        <is>
          <t>Bonus, Healthcare Plan, Others</t>
        </is>
      </c>
      <c r="N957" s="8">
        <f>HYPERLINK("https://www.vietnamworks.com/automation-plc-control-engineer-2010036-jv","Xem chi tiết")</f>
        <v/>
      </c>
    </row>
    <row r="958">
      <c r="B958" s="9" t="n">
        <v>956</v>
      </c>
      <c r="C958" s="10" t="inlineStr">
        <is>
          <t>Sales Consultant (Ha Noi)</t>
        </is>
      </c>
      <c r="D958" s="10" t="inlineStr">
        <is>
          <t>CapitaLand Development (Vietnam)</t>
        </is>
      </c>
      <c r="E958" s="10" t="inlineStr">
        <is>
          <t>Thương lượng</t>
        </is>
      </c>
      <c r="F958" s="10" t="inlineStr">
        <is>
          <t>Hà Nội</t>
        </is>
      </c>
      <c r="G958" s="10" t="inlineStr">
        <is>
          <t>Nhân viên</t>
        </is>
      </c>
      <c r="H958" s="10" t="inlineStr">
        <is>
          <t>05/02/2026</t>
        </is>
      </c>
      <c r="I958" s="10" t="inlineStr">
        <is>
          <t>22/03/2026</t>
        </is>
      </c>
      <c r="J958" s="10" t="inlineStr">
        <is>
          <t>17/03/2026</t>
        </is>
      </c>
      <c r="K958" s="10" t="inlineStr">
        <is>
          <t>N/A</t>
        </is>
      </c>
      <c r="L958" s="10" t="inlineStr">
        <is>
          <t>Bất Động Sản, Bán Hàng, Tư Vấn, Sales Target, Sales Experience</t>
        </is>
      </c>
      <c r="M958" s="10" t="inlineStr">
        <is>
          <t>Bonus, Healthcare Plan, Training</t>
        </is>
      </c>
      <c r="N958" s="11">
        <f>HYPERLINK("https://www.vietnamworks.com/sales-consultant-ha-noi--2010043-jv","Xem chi tiết")</f>
        <v/>
      </c>
      <c r="O958" s="10" t="n"/>
    </row>
    <row r="959">
      <c r="B959" s="7" t="n">
        <v>957</v>
      </c>
      <c r="C959" t="inlineStr">
        <is>
          <t>Customer Development Partner - On Trade (South Central) - Relocation Support</t>
        </is>
      </c>
      <c r="D959" t="inlineStr">
        <is>
          <t>Pernod Ricard Vietnam</t>
        </is>
      </c>
      <c r="E959" t="inlineStr">
        <is>
          <t>Thương lượng</t>
        </is>
      </c>
      <c r="F959" t="inlineStr">
        <is>
          <t>Khánh Hòa</t>
        </is>
      </c>
      <c r="G959" t="inlineStr">
        <is>
          <t>Nhân viên</t>
        </is>
      </c>
      <c r="H959" t="inlineStr">
        <is>
          <t>05/02/2026</t>
        </is>
      </c>
      <c r="I959" t="inlineStr">
        <is>
          <t>22/03/2026</t>
        </is>
      </c>
      <c r="J959" t="inlineStr">
        <is>
          <t>17/03/2026</t>
        </is>
      </c>
      <c r="K959" t="inlineStr">
        <is>
          <t>N/A</t>
        </is>
      </c>
      <c r="L959" t="inlineStr">
        <is>
          <t>Sales Planning, Customer Experience Management, Data Collection, Sell Out Sales Target Achievement, Interpersonal skills</t>
        </is>
      </c>
      <c r="M959" t="inlineStr">
        <is>
          <t>Bonus, Healthcare Plan, Paid Leave</t>
        </is>
      </c>
      <c r="N959" s="8">
        <f>HYPERLINK("https://www.vietnamworks.com/customer-development-partner-on-trade-south-central-relocation-support-2010031-jv","Xem chi tiết")</f>
        <v/>
      </c>
    </row>
    <row r="960">
      <c r="B960" s="9" t="n">
        <v>958</v>
      </c>
      <c r="C960" s="10" t="inlineStr">
        <is>
          <t>Automation Mechanical Engineer</t>
        </is>
      </c>
      <c r="D960" s="10" t="inlineStr">
        <is>
          <t>Makino Vietnam Co., Ltd</t>
        </is>
      </c>
      <c r="E960" s="10" t="inlineStr">
        <is>
          <t>Thương lượng</t>
        </is>
      </c>
      <c r="F960" s="10" t="inlineStr">
        <is>
          <t>Hưng Yên</t>
        </is>
      </c>
      <c r="G960" s="10" t="inlineStr">
        <is>
          <t>Nhân viên</t>
        </is>
      </c>
      <c r="H960" s="10" t="inlineStr">
        <is>
          <t>05/02/2026</t>
        </is>
      </c>
      <c r="I960" s="10" t="inlineStr">
        <is>
          <t>22/03/2026</t>
        </is>
      </c>
      <c r="J960" s="10" t="inlineStr">
        <is>
          <t>17/03/2026</t>
        </is>
      </c>
      <c r="K960" s="10" t="inlineStr">
        <is>
          <t>N/A</t>
        </is>
      </c>
      <c r="L960" s="10" t="inlineStr">
        <is>
          <t>Mechanical Design, 3D CAD, CNC Machine, Motion 3D</t>
        </is>
      </c>
      <c r="M960" s="10" t="inlineStr">
        <is>
          <t>Bonus, Healthcare Plan, Others</t>
        </is>
      </c>
      <c r="N960" s="11">
        <f>HYPERLINK("https://www.vietnamworks.com/automation-mechanical-engineer-2010035-jv","Xem chi tiết")</f>
        <v/>
      </c>
      <c r="O960" s="10" t="n"/>
    </row>
    <row r="961">
      <c r="B961" s="7" t="n">
        <v>959</v>
      </c>
      <c r="C961" t="inlineStr">
        <is>
          <t>HSE Engineer - Kỹ Sư An Toàn, Sức Khỏe Và Môi Trường</t>
        </is>
      </c>
      <c r="D961" t="inlineStr">
        <is>
          <t>Obayashi Viet Nam Corporation – Hanoi Branch Office</t>
        </is>
      </c>
      <c r="E961" t="inlineStr">
        <is>
          <t>Thương lượng</t>
        </is>
      </c>
      <c r="F961" t="inlineStr">
        <is>
          <t>Hà Nội</t>
        </is>
      </c>
      <c r="G961" t="inlineStr">
        <is>
          <t>Nhân viên</t>
        </is>
      </c>
      <c r="H961" t="inlineStr">
        <is>
          <t>05/02/2026</t>
        </is>
      </c>
      <c r="I961" t="inlineStr">
        <is>
          <t>22/03/2026</t>
        </is>
      </c>
      <c r="J961" t="inlineStr">
        <is>
          <t>17/03/2026</t>
        </is>
      </c>
      <c r="K961" t="inlineStr">
        <is>
          <t>N/A</t>
        </is>
      </c>
      <c r="L961" t="inlineStr">
        <is>
          <t>Construction Safety, English, HSE, Safety Improvement, Safety Regulations</t>
        </is>
      </c>
      <c r="M961" t="inlineStr">
        <is>
          <t>Bonus, Healthcare Plan, Training, Awards, Others</t>
        </is>
      </c>
      <c r="N961" s="8">
        <f>HYPERLINK("https://www.vietnamworks.com/hse-engineer-ky-su-an-toan-suc-khoe-va-moi-truong-2010047-jv","Xem chi tiết")</f>
        <v/>
      </c>
    </row>
    <row r="962">
      <c r="B962" s="9" t="n">
        <v>960</v>
      </c>
      <c r="C962" s="10" t="inlineStr">
        <is>
          <t>Internal Accounting Officer/ General Accountant</t>
        </is>
      </c>
      <c r="D962" s="10" t="inlineStr">
        <is>
          <t>CÔNG TY TNHH ALITIUM PROFESSIONAL SERVICES</t>
        </is>
      </c>
      <c r="E962" s="10" t="inlineStr">
        <is>
          <t>Thương lượng</t>
        </is>
      </c>
      <c r="F962" s="10" t="inlineStr">
        <is>
          <t>Hồ Chí Minh</t>
        </is>
      </c>
      <c r="G962" s="10" t="inlineStr">
        <is>
          <t>Nhân viên</t>
        </is>
      </c>
      <c r="H962" s="10" t="inlineStr">
        <is>
          <t>05/02/2026</t>
        </is>
      </c>
      <c r="I962" s="10" t="inlineStr">
        <is>
          <t>22/03/2026</t>
        </is>
      </c>
      <c r="J962" s="10" t="inlineStr">
        <is>
          <t>17/03/2026</t>
        </is>
      </c>
      <c r="K962" s="10" t="inlineStr">
        <is>
          <t>N/A</t>
        </is>
      </c>
      <c r="L962" s="10" t="inlineStr">
        <is>
          <t>Internal Accountant, General Accountant, Accounting, Tax Compliance, VAT</t>
        </is>
      </c>
      <c r="M962" s="10" t="inlineStr">
        <is>
          <t>Others</t>
        </is>
      </c>
      <c r="N962" s="11">
        <f>HYPERLINK("https://www.vietnamworks.com/internal-accounting-officer-general-accountant-2010039-jv","Xem chi tiết")</f>
        <v/>
      </c>
      <c r="O962" s="10" t="n"/>
    </row>
    <row r="963">
      <c r="B963" s="7" t="n">
        <v>961</v>
      </c>
      <c r="C963" t="inlineStr">
        <is>
          <t>Chuyên Viên/cvc/chuyên Viên Cao Cấp An Ninh Thông Tin (Soc/ir/security Engineering) – 18 Chỉ Tiêu</t>
        </is>
      </c>
      <c r="D963" t="inlineStr">
        <is>
          <t>Ngân Hàng TMCP Công Thương Việt Nam (VietinBank)</t>
        </is>
      </c>
      <c r="E963" t="inlineStr">
        <is>
          <t>Thương lượng</t>
        </is>
      </c>
      <c r="F963" t="inlineStr">
        <is>
          <t>Hà Nội</t>
        </is>
      </c>
      <c r="G963" t="inlineStr">
        <is>
          <t>Nhân viên</t>
        </is>
      </c>
      <c r="H963" t="inlineStr">
        <is>
          <t>05/02/2026</t>
        </is>
      </c>
      <c r="I963" t="inlineStr">
        <is>
          <t>22/03/2026</t>
        </is>
      </c>
      <c r="J963" t="inlineStr">
        <is>
          <t>17/03/2026</t>
        </is>
      </c>
      <c r="K963" t="inlineStr">
        <is>
          <t>N/A</t>
        </is>
      </c>
      <c r="L963" t="inlineStr">
        <is>
          <t>Quản Lý Rủi Ro, An Ninh Mạng, Công Nghệ Thông Tin, An Ninh Bảo Mật, Xử Lý Rủi Ro</t>
        </is>
      </c>
      <c r="M963" t="inlineStr">
        <is>
          <t>Bonus, Healthcare Plan, Paid Leave</t>
        </is>
      </c>
      <c r="N963" s="8">
        <f>HYPERLINK("https://www.vietnamworks.com/chuyen-vien-cvc-chuyen-vien-cao-cap-an-ninh-thong-tin-soc-ir-security-engineering-18-chi-tieu-2010033-jv","Xem chi tiết")</f>
        <v/>
      </c>
    </row>
    <row r="964">
      <c r="B964" s="9" t="n">
        <v>962</v>
      </c>
      <c r="C964" s="10" t="inlineStr">
        <is>
          <t>M&amp;E Engineer Kỹ Sư Cơ Điện</t>
        </is>
      </c>
      <c r="D964" s="10" t="inlineStr">
        <is>
          <t>Obayashi Viet Nam Corporation – Hanoi Branch Office</t>
        </is>
      </c>
      <c r="E964" s="10" t="inlineStr">
        <is>
          <t>Thương lượng</t>
        </is>
      </c>
      <c r="F964" s="10" t="inlineStr">
        <is>
          <t>Hà Nội</t>
        </is>
      </c>
      <c r="G964" s="10" t="inlineStr">
        <is>
          <t>Nhân viên</t>
        </is>
      </c>
      <c r="H964" s="10" t="inlineStr">
        <is>
          <t>05/02/2026</t>
        </is>
      </c>
      <c r="I964" s="10" t="inlineStr">
        <is>
          <t>22/03/2026</t>
        </is>
      </c>
      <c r="J964" s="10" t="inlineStr">
        <is>
          <t>17/03/2026</t>
        </is>
      </c>
      <c r="K964" s="10" t="inlineStr">
        <is>
          <t>N/A</t>
        </is>
      </c>
      <c r="L964" s="10" t="inlineStr">
        <is>
          <t>Autocad, English, M&amp;E, MEP Engineering</t>
        </is>
      </c>
      <c r="M964" s="10" t="inlineStr">
        <is>
          <t>Bonus, Healthcare Plan, Training, Awards, Others</t>
        </is>
      </c>
      <c r="N964" s="11">
        <f>HYPERLINK("https://www.vietnamworks.com/mande-engineer-ky-su-co-djien-2010048-jv","Xem chi tiết")</f>
        <v/>
      </c>
      <c r="O964" s="10" t="n"/>
    </row>
    <row r="965">
      <c r="B965" s="7" t="n">
        <v>963</v>
      </c>
      <c r="C965" t="inlineStr">
        <is>
          <t>LCL Export Operation Manager</t>
        </is>
      </c>
      <c r="D965" t="inlineStr">
        <is>
          <t>Portever Shipping Vietnam., LTD (Haiphong Branch)</t>
        </is>
      </c>
      <c r="E965" t="inlineStr">
        <is>
          <t>Tới $ 1,000 /tháng</t>
        </is>
      </c>
      <c r="F965" t="inlineStr">
        <is>
          <t>Hải Phòng</t>
        </is>
      </c>
      <c r="G965" t="inlineStr">
        <is>
          <t>Nhân viên</t>
        </is>
      </c>
      <c r="H965" t="inlineStr">
        <is>
          <t>05/02/2026</t>
        </is>
      </c>
      <c r="I965" t="inlineStr">
        <is>
          <t>22/03/2026</t>
        </is>
      </c>
      <c r="J965" t="inlineStr">
        <is>
          <t>17/03/2026</t>
        </is>
      </c>
      <c r="K965" t="inlineStr">
        <is>
          <t>N/A</t>
        </is>
      </c>
      <c r="L965" t="inlineStr">
        <is>
          <t>Consolidation Operation, English Fluency, Market Development, MS Office, Team Management</t>
        </is>
      </c>
      <c r="M965" t="inlineStr">
        <is>
          <t>Bonus, Healthcare Plan, Training, Others</t>
        </is>
      </c>
      <c r="N965" s="8">
        <f>HYPERLINK("https://www.vietnamworks.com/lcl-export-operation-manager-2010034-jv","Xem chi tiết")</f>
        <v/>
      </c>
    </row>
    <row r="966">
      <c r="B966" s="9" t="n">
        <v>964</v>
      </c>
      <c r="C966" s="10" t="inlineStr">
        <is>
          <t>Horeca Key Account Manager</t>
        </is>
      </c>
      <c r="D966" s="10" t="inlineStr">
        <is>
          <t>Japfa Comfeed Vietnam Ltd</t>
        </is>
      </c>
      <c r="E966" s="10" t="inlineStr">
        <is>
          <t>$$ 1,000-2,000 /tháng</t>
        </is>
      </c>
      <c r="F966" s="10" t="inlineStr">
        <is>
          <t>Hồ Chí Minh</t>
        </is>
      </c>
      <c r="G966" s="10" t="inlineStr">
        <is>
          <t>Trưởng phòng</t>
        </is>
      </c>
      <c r="H966" s="10" t="inlineStr">
        <is>
          <t>05/02/2026</t>
        </is>
      </c>
      <c r="I966" s="10" t="inlineStr">
        <is>
          <t>22/03/2026</t>
        </is>
      </c>
      <c r="J966" s="10" t="inlineStr">
        <is>
          <t>17/03/2026</t>
        </is>
      </c>
      <c r="K966" s="10" t="inlineStr">
        <is>
          <t>N/A</t>
        </is>
      </c>
      <c r="L966" s="10" t="inlineStr">
        <is>
          <t>Analytical Thinking, Contract Negotiation, Customer Experience Management, Key Account Management, Sales Strategy</t>
        </is>
      </c>
      <c r="M966" s="10" t="inlineStr">
        <is>
          <t>Bonus, Healthcare Plan</t>
        </is>
      </c>
      <c r="N966" s="11">
        <f>HYPERLINK("https://www.vietnamworks.com/horeca-key-account-manager-2010040-jv","Xem chi tiết")</f>
        <v/>
      </c>
      <c r="O966" s="10" t="n"/>
    </row>
    <row r="967">
      <c r="B967" s="7" t="n">
        <v>965</v>
      </c>
      <c r="C967" t="inlineStr">
        <is>
          <t>Chuyên Viên/ Chuyên Viên Cao Cấp Hạ Tầng CNTT (Data Center / Network / Linux-K8S / Bcp-Dr) 12 Chỉ Tiêu</t>
        </is>
      </c>
      <c r="D967" t="inlineStr">
        <is>
          <t>Ngân Hàng TMCP Công Thương Việt Nam (VietinBank)</t>
        </is>
      </c>
      <c r="E967" t="inlineStr">
        <is>
          <t>Thương lượng</t>
        </is>
      </c>
      <c r="F967" t="inlineStr">
        <is>
          <t>Hà Nội</t>
        </is>
      </c>
      <c r="G967" t="inlineStr">
        <is>
          <t>Nhân viên</t>
        </is>
      </c>
      <c r="H967" t="inlineStr">
        <is>
          <t>05/02/2026</t>
        </is>
      </c>
      <c r="I967" t="inlineStr">
        <is>
          <t>22/03/2026</t>
        </is>
      </c>
      <c r="J967" t="inlineStr">
        <is>
          <t>17/03/2026</t>
        </is>
      </c>
      <c r="K967" t="inlineStr">
        <is>
          <t>N/A</t>
        </is>
      </c>
      <c r="L967" t="inlineStr">
        <is>
          <t>Unix, Quản Trị Hạ Tầng, Linux, Windows, Quản Trị Mạng</t>
        </is>
      </c>
      <c r="M967" t="inlineStr">
        <is>
          <t>Bonus</t>
        </is>
      </c>
      <c r="N967" s="8">
        <f>HYPERLINK("https://www.vietnamworks.com/chuyen-vien-chuyen-vien-cao-cap-ha-tang-cntt-data-center-network-linux-k8s-bcp-dr-12-chi-tieu-2010037-jv","Xem chi tiết")</f>
        <v/>
      </c>
    </row>
    <row r="968">
      <c r="B968" s="9" t="n">
        <v>966</v>
      </c>
      <c r="C968" s="10" t="inlineStr">
        <is>
          <t>Senior Receivable cum Tax Accountant</t>
        </is>
      </c>
      <c r="D968" s="10" t="inlineStr">
        <is>
          <t>Công Ty TNHH Krones Việt Nam</t>
        </is>
      </c>
      <c r="E968" s="10" t="inlineStr">
        <is>
          <t>Thương lượng</t>
        </is>
      </c>
      <c r="F968" s="10" t="inlineStr">
        <is>
          <t>Hồ Chí Minh</t>
        </is>
      </c>
      <c r="G968" s="10" t="inlineStr">
        <is>
          <t>Nhân viên</t>
        </is>
      </c>
      <c r="H968" s="10" t="inlineStr">
        <is>
          <t>05/02/2026</t>
        </is>
      </c>
      <c r="I968" s="10" t="inlineStr">
        <is>
          <t>22/03/2026</t>
        </is>
      </c>
      <c r="J968" s="10" t="inlineStr">
        <is>
          <t>17/03/2026</t>
        </is>
      </c>
      <c r="K968" s="10" t="inlineStr">
        <is>
          <t>N/A</t>
        </is>
      </c>
      <c r="L968" s="10" t="inlineStr">
        <is>
          <t>Kế Toán Thuế Công Nợ, SAP-ERP, Tax Accounting, Accounts Receivable, SAP B1</t>
        </is>
      </c>
      <c r="M968" s="10" t="inlineStr">
        <is>
          <t>Healthcare Plan, Travel Opportunities</t>
        </is>
      </c>
      <c r="N968" s="11">
        <f>HYPERLINK("https://www.vietnamworks.com/senior-receivable-cum-tax-accountant-2010046-jv","Xem chi tiết")</f>
        <v/>
      </c>
      <c r="O968" s="10" t="n"/>
    </row>
    <row r="969">
      <c r="B969" s="7" t="n">
        <v>967</v>
      </c>
      <c r="C969" t="inlineStr">
        <is>
          <t>Head Of Operations (Global)</t>
        </is>
      </c>
      <c r="D969" t="inlineStr">
        <is>
          <t>NEYU</t>
        </is>
      </c>
      <c r="E969" t="inlineStr">
        <is>
          <t>Thương lượng</t>
        </is>
      </c>
      <c r="F969" t="inlineStr">
        <is>
          <t>Hồ Chí Minh</t>
        </is>
      </c>
      <c r="G969" t="inlineStr">
        <is>
          <t>Giám Đốc và Cấp Cao Hơn</t>
        </is>
      </c>
      <c r="H969" t="inlineStr">
        <is>
          <t>05/02/2026</t>
        </is>
      </c>
      <c r="I969" t="inlineStr">
        <is>
          <t>22/03/2026</t>
        </is>
      </c>
      <c r="J969" t="inlineStr">
        <is>
          <t>17/03/2026</t>
        </is>
      </c>
      <c r="K969" t="inlineStr">
        <is>
          <t>N/A</t>
        </is>
      </c>
      <c r="L969" t="inlineStr">
        <is>
          <t>FMCG, Retail Sales, P&amp;L Management, Supply Chain &amp; Logistic Coordination, Quản lý 3PLs</t>
        </is>
      </c>
      <c r="M969" t="inlineStr">
        <is>
          <t>Bonus, Healthcare Plan, Travel Opportunities</t>
        </is>
      </c>
      <c r="N969" s="8">
        <f>HYPERLINK("https://www.vietnamworks.com/head-of-operations-global--2010038-jv","Xem chi tiết")</f>
        <v/>
      </c>
    </row>
    <row r="970">
      <c r="B970" s="9" t="n">
        <v>968</v>
      </c>
      <c r="C970" s="10" t="inlineStr">
        <is>
          <t>Building Engineer Kỹ Sư Xây Dựng Tại Hà Nội, Các Dự Án Miền Bắc</t>
        </is>
      </c>
      <c r="D970" s="10" t="inlineStr">
        <is>
          <t>Obayashi Viet Nam Corporation – Hanoi Branch Office</t>
        </is>
      </c>
      <c r="E970" s="10" t="inlineStr">
        <is>
          <t>Thương lượng</t>
        </is>
      </c>
      <c r="F970" s="10" t="inlineStr">
        <is>
          <t>Hà Nội</t>
        </is>
      </c>
      <c r="G970" s="10" t="inlineStr">
        <is>
          <t>Nhân viên</t>
        </is>
      </c>
      <c r="H970" s="10" t="inlineStr">
        <is>
          <t>05/02/2026</t>
        </is>
      </c>
      <c r="I970" s="10" t="inlineStr">
        <is>
          <t>22/03/2026</t>
        </is>
      </c>
      <c r="J970" s="10" t="inlineStr">
        <is>
          <t>17/03/2026</t>
        </is>
      </c>
      <c r="K970" s="10" t="inlineStr">
        <is>
          <t>N/A</t>
        </is>
      </c>
      <c r="L970" s="10" t="inlineStr">
        <is>
          <t>AutoCAD, Construction Engineering, English, Lập Bản Vẽ Shopdrawing, Microsoft Office</t>
        </is>
      </c>
      <c r="M970" s="10" t="inlineStr">
        <is>
          <t>Bonus, Healthcare Plan, Training, Awards, Others</t>
        </is>
      </c>
      <c r="N970" s="11">
        <f>HYPERLINK("https://www.vietnamworks.com/building-engineer-ky-su-xay-dung-tai-ha-noi-cac-du-an-mien-bac-2010044-jv","Xem chi tiết")</f>
        <v/>
      </c>
      <c r="O970" s="10" t="n"/>
    </row>
    <row r="971">
      <c r="B971" s="7" t="n">
        <v>969</v>
      </c>
      <c r="C971" t="inlineStr">
        <is>
          <t>Import &amp; Export Operation Staff</t>
        </is>
      </c>
      <c r="D971" t="inlineStr">
        <is>
          <t>Công ty TNHH Tư vấn UNI</t>
        </is>
      </c>
      <c r="E971" t="inlineStr">
        <is>
          <t>10tr-15tr ₫/tháng</t>
        </is>
      </c>
      <c r="F971" t="inlineStr">
        <is>
          <t>Hà Nội</t>
        </is>
      </c>
      <c r="G971" t="inlineStr">
        <is>
          <t>Nhân viên</t>
        </is>
      </c>
      <c r="H971" t="inlineStr">
        <is>
          <t>05/02/2026</t>
        </is>
      </c>
      <c r="I971" t="inlineStr">
        <is>
          <t>22/03/2026</t>
        </is>
      </c>
      <c r="J971" t="inlineStr">
        <is>
          <t>17/03/2026</t>
        </is>
      </c>
      <c r="K971" t="inlineStr">
        <is>
          <t>N/A</t>
        </is>
      </c>
      <c r="L971" t="inlineStr">
        <is>
          <t>Customs Procedures, Operation Support, Thông Quan, Thủ Tục Hải Quan, VNACCS</t>
        </is>
      </c>
      <c r="M971" t="inlineStr">
        <is>
          <t>Bonus, Paid Leave, Others</t>
        </is>
      </c>
      <c r="N971" s="8">
        <f>HYPERLINK("https://www.vietnamworks.com/import-and-export-operation-staff-2010041-jv","Xem chi tiết")</f>
        <v/>
      </c>
    </row>
    <row r="972">
      <c r="B972" s="9" t="n">
        <v>970</v>
      </c>
      <c r="C972" s="10" t="inlineStr">
        <is>
          <t>Interpreters / Translators</t>
        </is>
      </c>
      <c r="D972" s="10" t="inlineStr">
        <is>
          <t>Kunhwa Engineering &amp; Consulting Co., Ltd</t>
        </is>
      </c>
      <c r="E972" s="10" t="inlineStr">
        <is>
          <t>Thương lượng</t>
        </is>
      </c>
      <c r="F972" s="10" t="inlineStr">
        <is>
          <t>Hồ Chí Minh</t>
        </is>
      </c>
      <c r="G972" s="10" t="inlineStr">
        <is>
          <t>Nhân viên</t>
        </is>
      </c>
      <c r="H972" s="10" t="inlineStr">
        <is>
          <t>05/02/2026</t>
        </is>
      </c>
      <c r="I972" s="10" t="inlineStr">
        <is>
          <t>22/03/2026</t>
        </is>
      </c>
      <c r="J972" s="10" t="inlineStr">
        <is>
          <t>17/03/2026</t>
        </is>
      </c>
      <c r="K972" s="10" t="inlineStr">
        <is>
          <t>N/A</t>
        </is>
      </c>
      <c r="L972" s="10" t="inlineStr">
        <is>
          <t>Korean, Construction, Civil Engineering, English, communication</t>
        </is>
      </c>
      <c r="M972" s="10" t="inlineStr">
        <is>
          <t>Bonus, Healthcare Plan, Team Activities</t>
        </is>
      </c>
      <c r="N972" s="11">
        <f>HYPERLINK("https://www.vietnamworks.com/interpreters-translators-2010050-jv","Xem chi tiết")</f>
        <v/>
      </c>
      <c r="O972" s="10" t="n"/>
    </row>
    <row r="973">
      <c r="B973" s="7" t="n">
        <v>971</v>
      </c>
      <c r="C973" t="inlineStr">
        <is>
          <t>Nhân Viên Lái Xe, Hội Sở Chính</t>
        </is>
      </c>
      <c r="D973" t="inlineStr">
        <is>
          <t>Public Bank Vietnam Ltd</t>
        </is>
      </c>
      <c r="E973" t="inlineStr">
        <is>
          <t>$$ 350-400 /tháng</t>
        </is>
      </c>
      <c r="F973" t="inlineStr">
        <is>
          <t>Hà Nội</t>
        </is>
      </c>
      <c r="G973" t="inlineStr">
        <is>
          <t>Nhân viên</t>
        </is>
      </c>
      <c r="H973" t="inlineStr">
        <is>
          <t>05/02/2026</t>
        </is>
      </c>
      <c r="I973" t="inlineStr">
        <is>
          <t>22/03/2026</t>
        </is>
      </c>
      <c r="J973" t="inlineStr">
        <is>
          <t>17/03/2026</t>
        </is>
      </c>
      <c r="K973" t="inlineStr">
        <is>
          <t>N/A</t>
        </is>
      </c>
      <c r="L973" t="inlineStr">
        <is>
          <t>Lái Xe Chuyên Nghiệp, Drive Results, Lái Xe</t>
        </is>
      </c>
      <c r="M973" t="inlineStr">
        <is>
          <t>Bonus, Training</t>
        </is>
      </c>
      <c r="N973" s="8">
        <f>HYPERLINK("https://www.vietnamworks.com/nhan-vien-lai-xe-hoi-so-chinh--2010053-jv","Xem chi tiết")</f>
        <v/>
      </c>
    </row>
    <row r="974">
      <c r="B974" s="9" t="n">
        <v>972</v>
      </c>
      <c r="C974" s="10" t="inlineStr">
        <is>
          <t>Product Manager Assistant</t>
        </is>
      </c>
      <c r="D974" s="10" t="inlineStr">
        <is>
          <t>Olympia Tools International INC</t>
        </is>
      </c>
      <c r="E974" s="10" t="inlineStr">
        <is>
          <t>Thương lượng</t>
        </is>
      </c>
      <c r="F974" s="10" t="inlineStr">
        <is>
          <t>Hồ Chí Minh</t>
        </is>
      </c>
      <c r="G974" s="10" t="inlineStr">
        <is>
          <t>Nhân viên</t>
        </is>
      </c>
      <c r="H974" s="10" t="inlineStr">
        <is>
          <t>05/02/2026</t>
        </is>
      </c>
      <c r="I974" s="10" t="inlineStr">
        <is>
          <t>22/03/2026</t>
        </is>
      </c>
      <c r="J974" s="10" t="inlineStr">
        <is>
          <t>17/03/2026</t>
        </is>
      </c>
      <c r="K974" s="10" t="inlineStr">
        <is>
          <t>N/A</t>
        </is>
      </c>
      <c r="L974" s="10" t="inlineStr">
        <is>
          <t>Product Management, Market Research, Competitive Analysis, Product Planning, Phát Triển Sản Phẩm</t>
        </is>
      </c>
      <c r="M974" s="10" t="inlineStr">
        <is>
          <t>Bonus</t>
        </is>
      </c>
      <c r="N974" s="11">
        <f>HYPERLINK("https://www.vietnamworks.com/product-manager-assistant-2010055-jv","Xem chi tiết")</f>
        <v/>
      </c>
      <c r="O974" s="10" t="n"/>
    </row>
    <row r="975">
      <c r="B975" s="7" t="n">
        <v>973</v>
      </c>
      <c r="C975" t="inlineStr">
        <is>
          <t>Quantity Surveyor – Kỹ Sư Đấu Thầu/ Chuyên Viên Tính Khối Lượng &amp; Chi Phí Xây Dựng</t>
        </is>
      </c>
      <c r="D975" t="inlineStr">
        <is>
          <t>Obayashi Viet Nam Corporation – Hanoi Branch Office</t>
        </is>
      </c>
      <c r="E975" t="inlineStr">
        <is>
          <t>Thương lượng</t>
        </is>
      </c>
      <c r="F975" t="inlineStr">
        <is>
          <t>Hà Nội</t>
        </is>
      </c>
      <c r="G975" t="inlineStr">
        <is>
          <t>Nhân viên</t>
        </is>
      </c>
      <c r="H975" t="inlineStr">
        <is>
          <t>05/02/2026</t>
        </is>
      </c>
      <c r="I975" t="inlineStr">
        <is>
          <t>22/03/2026</t>
        </is>
      </c>
      <c r="J975" t="inlineStr">
        <is>
          <t>17/03/2026</t>
        </is>
      </c>
      <c r="K975" t="inlineStr">
        <is>
          <t>N/A</t>
        </is>
      </c>
      <c r="L975" t="inlineStr">
        <is>
          <t>AutoCAD, Construction Knowledge, English, Quantity Survey, Tender Evaluation</t>
        </is>
      </c>
      <c r="M975" t="inlineStr">
        <is>
          <t>Bonus, Healthcare Plan, Training, Awards, Others</t>
        </is>
      </c>
      <c r="N975" s="8">
        <f>HYPERLINK("https://www.vietnamworks.com/quantity-surveyor-ky-su-djau-thau-chuyen-vien-tinh-khoi-luong-and-chi-phi-xay-dung-2010051-jv","Xem chi tiết")</f>
        <v/>
      </c>
    </row>
    <row r="976">
      <c r="B976" s="9" t="n">
        <v>974</v>
      </c>
      <c r="C976" s="10" t="inlineStr">
        <is>
          <t>Project Manager</t>
        </is>
      </c>
      <c r="D976" s="10" t="inlineStr">
        <is>
          <t>Virtuos Studios in Vietnam</t>
        </is>
      </c>
      <c r="E976" s="10" t="inlineStr">
        <is>
          <t>Thương lượng</t>
        </is>
      </c>
      <c r="F976" s="10" t="inlineStr">
        <is>
          <t>Hồ Chí Minh</t>
        </is>
      </c>
      <c r="G976" s="10" t="inlineStr">
        <is>
          <t>Nhân viên</t>
        </is>
      </c>
      <c r="H976" s="10" t="inlineStr">
        <is>
          <t>05/02/2026</t>
        </is>
      </c>
      <c r="I976" s="10" t="inlineStr">
        <is>
          <t>22/03/2026</t>
        </is>
      </c>
      <c r="J976" s="10" t="inlineStr">
        <is>
          <t>17/03/2026</t>
        </is>
      </c>
      <c r="K976" s="10" t="inlineStr">
        <is>
          <t>N/A</t>
        </is>
      </c>
      <c r="L976" s="10" t="inlineStr">
        <is>
          <t>Project magement, English proficiency, Team Management, Planning Management, Client Management</t>
        </is>
      </c>
      <c r="M976" s="10" t="inlineStr">
        <is>
          <t>Bonus, Healthcare Plan, Travel Opportunities</t>
        </is>
      </c>
      <c r="N976" s="11">
        <f>HYPERLINK("https://www.vietnamworks.com/project-manager--2010061-jv","Xem chi tiết")</f>
        <v/>
      </c>
      <c r="O976" s="10" t="n"/>
    </row>
    <row r="977">
      <c r="B977" s="7" t="n">
        <v>975</v>
      </c>
      <c r="C977" t="inlineStr">
        <is>
          <t>Quality Engineer | 岗位名称</t>
        </is>
      </c>
      <c r="D977" t="inlineStr">
        <is>
          <t>Olympia Tools International INC</t>
        </is>
      </c>
      <c r="E977" t="inlineStr">
        <is>
          <t>Thương lượng</t>
        </is>
      </c>
      <c r="F977" t="inlineStr">
        <is>
          <t>Bình Dương, Hà Nội</t>
        </is>
      </c>
      <c r="G977" t="inlineStr">
        <is>
          <t>Nhân viên</t>
        </is>
      </c>
      <c r="H977" t="inlineStr">
        <is>
          <t>05/02/2026</t>
        </is>
      </c>
      <c r="I977" t="inlineStr">
        <is>
          <t>22/03/2026</t>
        </is>
      </c>
      <c r="J977" t="inlineStr">
        <is>
          <t>17/03/2026</t>
        </is>
      </c>
      <c r="K977" t="inlineStr">
        <is>
          <t>N/A</t>
        </is>
      </c>
      <c r="L977" t="inlineStr">
        <is>
          <t>Metal Machining, Inspection, Quản lý chất lượng, Kiểm Soát Chất Lượng, Quality Control</t>
        </is>
      </c>
      <c r="M977" t="inlineStr">
        <is>
          <t>Bonus, Others</t>
        </is>
      </c>
      <c r="N977" s="8">
        <f>HYPERLINK("https://www.vietnamworks.com/quality-engineer-or-2010058-jv","Xem chi tiết")</f>
        <v/>
      </c>
    </row>
    <row r="978">
      <c r="B978" s="9" t="n">
        <v>976</v>
      </c>
      <c r="C978" s="10" t="inlineStr">
        <is>
          <t>Công Nghệ Thông Tin / IT Lead</t>
        </is>
      </c>
      <c r="D978" s="10" t="inlineStr">
        <is>
          <t>Công ty Cổ phần Quản Lý Quỹ HD</t>
        </is>
      </c>
      <c r="E978" s="10" t="inlineStr">
        <is>
          <t>$$ 500-2,000 /tháng</t>
        </is>
      </c>
      <c r="F978" s="10" t="inlineStr">
        <is>
          <t>Hồ Chí Minh</t>
        </is>
      </c>
      <c r="G978" s="10" t="inlineStr">
        <is>
          <t>Nhân viên</t>
        </is>
      </c>
      <c r="H978" s="10" t="inlineStr">
        <is>
          <t>05/02/2026</t>
        </is>
      </c>
      <c r="I978" s="10" t="inlineStr">
        <is>
          <t>22/03/2026</t>
        </is>
      </c>
      <c r="J978" s="10" t="inlineStr">
        <is>
          <t>17/03/2026</t>
        </is>
      </c>
      <c r="K978" s="10" t="inlineStr">
        <is>
          <t>N/A</t>
        </is>
      </c>
      <c r="L978" s="10" t="inlineStr">
        <is>
          <t>An Toàn Thông Tin, Quản Lý Dữ Liệu, Quản Trị, Quản Trị Hệ Thống IT, Triển Khai Microsoft 365</t>
        </is>
      </c>
      <c r="M978" s="10" t="inlineStr">
        <is>
          <t>Healthcare Plan, Others</t>
        </is>
      </c>
      <c r="N978" s="11">
        <f>HYPERLINK("https://www.vietnamworks.com/cong-nghe-thong-tin-it-lead-2010056-jv","Xem chi tiết")</f>
        <v/>
      </c>
      <c r="O978" s="10" t="n"/>
    </row>
    <row r="979">
      <c r="B979" s="7" t="n">
        <v>977</v>
      </c>
      <c r="C979" t="inlineStr">
        <is>
          <t>Planning and Control Officer</t>
        </is>
      </c>
      <c r="D979" t="inlineStr">
        <is>
          <t>Công Ty TNHH Liên Doanh Phát Triển Quảng Trị</t>
        </is>
      </c>
      <c r="E979" t="inlineStr">
        <is>
          <t>Thương lượng</t>
        </is>
      </c>
      <c r="F979" t="inlineStr">
        <is>
          <t>Quảng Trị</t>
        </is>
      </c>
      <c r="G979" t="inlineStr">
        <is>
          <t>Nhân viên</t>
        </is>
      </c>
      <c r="H979" t="inlineStr">
        <is>
          <t>05/02/2026</t>
        </is>
      </c>
      <c r="I979" t="inlineStr">
        <is>
          <t>22/03/2026</t>
        </is>
      </c>
      <c r="J979" t="inlineStr">
        <is>
          <t>17/03/2026</t>
        </is>
      </c>
      <c r="K979" t="inlineStr">
        <is>
          <t>N/A</t>
        </is>
      </c>
      <c r="L979" t="inlineStr">
        <is>
          <t>Autocad, English, Office Basic Skills, presentation, Risk Controls</t>
        </is>
      </c>
      <c r="M979" t="inlineStr">
        <is>
          <t>Others</t>
        </is>
      </c>
      <c r="N979" s="8">
        <f>HYPERLINK("https://www.vietnamworks.com/planning-and-control-officer-2010065-jv","Xem chi tiết")</f>
        <v/>
      </c>
    </row>
    <row r="980">
      <c r="B980" s="9" t="n">
        <v>978</v>
      </c>
      <c r="C980" s="10" t="inlineStr">
        <is>
          <t>Sales Admin cum Document Controller</t>
        </is>
      </c>
      <c r="D980" s="10" t="inlineStr">
        <is>
          <t>Pebsteel Buildings Co., Ltd.</t>
        </is>
      </c>
      <c r="E980" s="10" t="inlineStr">
        <is>
          <t>Thương lượng</t>
        </is>
      </c>
      <c r="F980" s="10" t="inlineStr">
        <is>
          <t>Hồ Chí Minh</t>
        </is>
      </c>
      <c r="G980" s="10" t="inlineStr">
        <is>
          <t>Nhân viên</t>
        </is>
      </c>
      <c r="H980" s="10" t="inlineStr">
        <is>
          <t>05/02/2026</t>
        </is>
      </c>
      <c r="I980" s="10" t="inlineStr">
        <is>
          <t>22/03/2026</t>
        </is>
      </c>
      <c r="J980" s="10" t="inlineStr">
        <is>
          <t>17/03/2026</t>
        </is>
      </c>
      <c r="K980" s="10" t="inlineStr">
        <is>
          <t>N/A</t>
        </is>
      </c>
      <c r="L980" s="10" t="inlineStr">
        <is>
          <t>Admin, Document Control</t>
        </is>
      </c>
      <c r="M980" s="10" t="inlineStr">
        <is>
          <t>Healthcare Plan, Paid Leave, Team Activities</t>
        </is>
      </c>
      <c r="N980" s="11">
        <f>HYPERLINK("https://www.vietnamworks.com/sales-admin-cum-document-controller-2010057-jv","Xem chi tiết")</f>
        <v/>
      </c>
      <c r="O980" s="10" t="n"/>
    </row>
    <row r="981">
      <c r="B981" s="7" t="n">
        <v>979</v>
      </c>
      <c r="C981" t="inlineStr">
        <is>
          <t>Sales Planning &amp; Commercial Supervisor</t>
        </is>
      </c>
      <c r="D981" t="inlineStr">
        <is>
          <t>Alchemy Asia Co. Ltd</t>
        </is>
      </c>
      <c r="E981" t="inlineStr">
        <is>
          <t>Thương lượng</t>
        </is>
      </c>
      <c r="F981" t="inlineStr">
        <is>
          <t>Hồ Chí Minh</t>
        </is>
      </c>
      <c r="G981" t="inlineStr">
        <is>
          <t>Nhân viên</t>
        </is>
      </c>
      <c r="H981" t="inlineStr">
        <is>
          <t>05/02/2026</t>
        </is>
      </c>
      <c r="I981" t="inlineStr">
        <is>
          <t>22/03/2026</t>
        </is>
      </c>
      <c r="J981" t="inlineStr">
        <is>
          <t>17/03/2026</t>
        </is>
      </c>
      <c r="K981" t="inlineStr">
        <is>
          <t>N/A</t>
        </is>
      </c>
      <c r="L981" t="inlineStr">
        <is>
          <t>Commercial Analysis, Commercial Planning, Numerical Ability, Sales Support, Supply Planning</t>
        </is>
      </c>
      <c r="M981" t="inlineStr">
        <is>
          <t>Bonus, Healthcare Plan, Laptop, Team Activities, Canteen, Others</t>
        </is>
      </c>
      <c r="N981" s="8">
        <f>HYPERLINK("https://www.vietnamworks.com/sales-planning-and-commercial-supervisor-2010063-jv","Xem chi tiết")</f>
        <v/>
      </c>
    </row>
    <row r="982">
      <c r="B982" s="9" t="n">
        <v>980</v>
      </c>
      <c r="C982" s="10" t="inlineStr">
        <is>
          <t>Senior Purchasing Staff</t>
        </is>
      </c>
      <c r="D982" s="10" t="inlineStr">
        <is>
          <t>Công ty TNHH Fuji Seal Việt Nam</t>
        </is>
      </c>
      <c r="E982" s="10" t="inlineStr">
        <is>
          <t>Thương lượng</t>
        </is>
      </c>
      <c r="F982" s="10" t="inlineStr">
        <is>
          <t>Bình Dương</t>
        </is>
      </c>
      <c r="G982" s="10" t="inlineStr">
        <is>
          <t>Nhân viên</t>
        </is>
      </c>
      <c r="H982" s="10" t="inlineStr">
        <is>
          <t>05/02/2026</t>
        </is>
      </c>
      <c r="I982" s="10" t="inlineStr">
        <is>
          <t>22/03/2026</t>
        </is>
      </c>
      <c r="J982" s="10" t="inlineStr">
        <is>
          <t>17/03/2026</t>
        </is>
      </c>
      <c r="K982" s="10" t="inlineStr">
        <is>
          <t>N/A</t>
        </is>
      </c>
      <c r="L982" s="10" t="inlineStr">
        <is>
          <t>Giải Quyết Vấn Đề, Giao Tiếp Tiếng Anh, Kinh Nghiệm Nhập Khẩu, MS Office, Mua Hàng</t>
        </is>
      </c>
      <c r="M982" s="10" t="inlineStr">
        <is>
          <t>Bonus, Healthcare Plan, Laptop, Mobile, Travel Opportunities, Transportation, Canteen, Others</t>
        </is>
      </c>
      <c r="N982" s="11">
        <f>HYPERLINK("https://www.vietnamworks.com/senior-purchasing-staff-2010062-jv","Xem chi tiết")</f>
        <v/>
      </c>
      <c r="O982" s="10" t="n"/>
    </row>
    <row r="983">
      <c r="B983" s="7" t="n">
        <v>981</v>
      </c>
      <c r="C983" t="inlineStr">
        <is>
          <t>Corporate Relationship Manager - Hà Nội</t>
        </is>
      </c>
      <c r="D983" t="inlineStr">
        <is>
          <t>Bank SinoPac - Ho Chi Minh City Branch</t>
        </is>
      </c>
      <c r="E983" t="inlineStr">
        <is>
          <t>Thương lượng</t>
        </is>
      </c>
      <c r="F983" t="inlineStr">
        <is>
          <t>Hà Nội</t>
        </is>
      </c>
      <c r="G983" t="inlineStr">
        <is>
          <t>Nhân viên</t>
        </is>
      </c>
      <c r="H983" t="inlineStr">
        <is>
          <t>05/02/2026</t>
        </is>
      </c>
      <c r="I983" t="inlineStr">
        <is>
          <t>22/03/2026</t>
        </is>
      </c>
      <c r="J983" t="inlineStr">
        <is>
          <t>17/03/2026</t>
        </is>
      </c>
      <c r="K983" t="inlineStr">
        <is>
          <t>N/A</t>
        </is>
      </c>
      <c r="L983" t="inlineStr">
        <is>
          <t>Communication Skills, Credit Analysis, Negotiation Skills, Teamwork</t>
        </is>
      </c>
      <c r="M983" t="inlineStr">
        <is>
          <t>Bonus, Healthcare Plan, Paid Leave, Travel Opportunities</t>
        </is>
      </c>
      <c r="N983" s="8">
        <f>HYPERLINK("https://www.vietnamworks.com/corporate-relationship-manager-ha-noi-2010068-jv","Xem chi tiết")</f>
        <v/>
      </c>
    </row>
    <row r="984">
      <c r="B984" s="9" t="n">
        <v>982</v>
      </c>
      <c r="C984" s="10" t="inlineStr">
        <is>
          <t>Solution Engineer (O&amp;M Coodinator and Proposal)</t>
        </is>
      </c>
      <c r="D984" s="10" t="inlineStr">
        <is>
          <t>Organo (Vietnam) Company Limited</t>
        </is>
      </c>
      <c r="E984" s="10" t="inlineStr">
        <is>
          <t>Thương lượng</t>
        </is>
      </c>
      <c r="F984" s="10" t="inlineStr">
        <is>
          <t>Hồ Chí Minh</t>
        </is>
      </c>
      <c r="G984" s="10" t="inlineStr">
        <is>
          <t>Nhân viên</t>
        </is>
      </c>
      <c r="H984" s="10" t="inlineStr">
        <is>
          <t>05/02/2026</t>
        </is>
      </c>
      <c r="I984" s="10" t="inlineStr">
        <is>
          <t>22/03/2026</t>
        </is>
      </c>
      <c r="J984" s="10" t="inlineStr">
        <is>
          <t>17/03/2026</t>
        </is>
      </c>
      <c r="K984" s="10" t="inlineStr">
        <is>
          <t>N/A</t>
        </is>
      </c>
      <c r="L984" s="10" t="inlineStr">
        <is>
          <t>Technical Drawing, Water Treatment, Thiết Kế Đường Ống Dẫn, WWTP Operation, O&amp;M</t>
        </is>
      </c>
      <c r="M984" s="10" t="inlineStr">
        <is>
          <t>Healthcare Plan, Canteen, Others</t>
        </is>
      </c>
      <c r="N984" s="11">
        <f>HYPERLINK("https://www.vietnamworks.com/solution-engineer-o-m-coodinator-and-proposal-2010064-jv","Xem chi tiết")</f>
        <v/>
      </c>
      <c r="O984" s="10" t="n"/>
    </row>
    <row r="985">
      <c r="B985" s="7" t="n">
        <v>983</v>
      </c>
      <c r="C985" t="inlineStr">
        <is>
          <t>Nhân Viên Tour Planning</t>
        </is>
      </c>
      <c r="D985" t="inlineStr">
        <is>
          <t>Công Ty TNHH Du Lịch Trần Việt (Transviet)</t>
        </is>
      </c>
      <c r="E985" t="inlineStr">
        <is>
          <t>Thương lượng</t>
        </is>
      </c>
      <c r="F985" t="inlineStr">
        <is>
          <t>Hồ Chí Minh</t>
        </is>
      </c>
      <c r="G985" t="inlineStr">
        <is>
          <t>Nhân viên</t>
        </is>
      </c>
      <c r="H985" t="inlineStr">
        <is>
          <t>05/02/2026</t>
        </is>
      </c>
      <c r="I985" t="inlineStr">
        <is>
          <t>22/03/2026</t>
        </is>
      </c>
      <c r="J985" t="inlineStr">
        <is>
          <t>17/03/2026</t>
        </is>
      </c>
      <c r="K985" t="inlineStr">
        <is>
          <t>N/A</t>
        </is>
      </c>
      <c r="L985" t="inlineStr">
        <is>
          <t>Tour Planning, Du lịch, Giám Sát Tiến Độ, Đánh Giá Thị Trường, Lập Kế Hoạch</t>
        </is>
      </c>
      <c r="M985" t="inlineStr">
        <is>
          <t>Bonus, Training, Travel Opportunities</t>
        </is>
      </c>
      <c r="N985" s="8">
        <f>HYPERLINK("https://www.vietnamworks.com/nhan-vien-tour-planning--2010066-jv","Xem chi tiết")</f>
        <v/>
      </c>
    </row>
    <row r="986">
      <c r="B986" s="9" t="n">
        <v>984</v>
      </c>
      <c r="C986" s="10" t="inlineStr">
        <is>
          <t>Non BOM Purchaser</t>
        </is>
      </c>
      <c r="D986" s="10" t="inlineStr">
        <is>
          <t>VDL ETG VIETNAM COMPANY LIMITED</t>
        </is>
      </c>
      <c r="E986" s="10" t="inlineStr">
        <is>
          <t>Thương lượng</t>
        </is>
      </c>
      <c r="F986" s="10" t="inlineStr">
        <is>
          <t>Quảng Ninh, Hải Phòng</t>
        </is>
      </c>
      <c r="G986" s="10" t="inlineStr">
        <is>
          <t>Nhân viên</t>
        </is>
      </c>
      <c r="H986" s="10" t="inlineStr">
        <is>
          <t>05/02/2026</t>
        </is>
      </c>
      <c r="I986" s="10" t="inlineStr">
        <is>
          <t>22/03/2026</t>
        </is>
      </c>
      <c r="J986" s="10" t="inlineStr">
        <is>
          <t>17/03/2026</t>
        </is>
      </c>
      <c r="K986" s="10" t="inlineStr">
        <is>
          <t>N/A</t>
        </is>
      </c>
      <c r="L986" s="10" t="inlineStr">
        <is>
          <t>Purchase Order, Contract Negotiation, Purchasing Control, Sourcing Management, Supplier Selection</t>
        </is>
      </c>
      <c r="M986" s="10" t="inlineStr">
        <is>
          <t>Bonus, Healthcare Plan, Paid Leave, Laptop, Transportation</t>
        </is>
      </c>
      <c r="N986" s="11">
        <f>HYPERLINK("https://www.vietnamworks.com/non-bom-purchaser-2010073-jv","Xem chi tiết")</f>
        <v/>
      </c>
      <c r="O986" s="10" t="n"/>
    </row>
    <row r="987">
      <c r="B987" s="7" t="n">
        <v>985</v>
      </c>
      <c r="C987" t="inlineStr">
        <is>
          <t>Senior Embedded Security Engineer (Cybersecurity)</t>
        </is>
      </c>
      <c r="D987" t="inlineStr">
        <is>
          <t>Bosch Global Software Technologies Company Limited</t>
        </is>
      </c>
      <c r="E987" t="inlineStr">
        <is>
          <t>Thương lượng</t>
        </is>
      </c>
      <c r="F987" t="inlineStr">
        <is>
          <t>Hồ Chí Minh</t>
        </is>
      </c>
      <c r="G987" t="inlineStr">
        <is>
          <t>Nhân viên</t>
        </is>
      </c>
      <c r="H987" t="inlineStr">
        <is>
          <t>05/02/2026</t>
        </is>
      </c>
      <c r="I987" t="inlineStr">
        <is>
          <t>22/03/2026</t>
        </is>
      </c>
      <c r="J987" t="inlineStr">
        <is>
          <t>17/03/2026</t>
        </is>
      </c>
      <c r="K987" t="inlineStr">
        <is>
          <t>N/A</t>
        </is>
      </c>
      <c r="L987" t="inlineStr">
        <is>
          <t>Cybersecurity, Network Security, ARM architecture, Automotive, Embedded Systems</t>
        </is>
      </c>
      <c r="M987" t="inlineStr">
        <is>
          <t>Bonus, Healthcare Plan, Paid Leave, Team Activities, Others</t>
        </is>
      </c>
      <c r="N987" s="8">
        <f>HYPERLINK("https://www.vietnamworks.com/senior-embedded-security-engineer-cybersecurity-2010059-jv","Xem chi tiết")</f>
        <v/>
      </c>
    </row>
    <row r="988">
      <c r="B988" s="9" t="n">
        <v>986</v>
      </c>
      <c r="C988" s="10" t="inlineStr">
        <is>
          <t>Senior Marcom Specialist</t>
        </is>
      </c>
      <c r="D988" s="10" t="inlineStr">
        <is>
          <t>Navigos Group</t>
        </is>
      </c>
      <c r="E988" s="10" t="inlineStr">
        <is>
          <t>20tr-22tr ₫/tháng</t>
        </is>
      </c>
      <c r="F988" s="10" t="inlineStr">
        <is>
          <t>Hồ Chí Minh</t>
        </is>
      </c>
      <c r="G988" s="10" t="inlineStr">
        <is>
          <t>Nhân viên</t>
        </is>
      </c>
      <c r="H988" s="10" t="inlineStr">
        <is>
          <t>05/02/2026</t>
        </is>
      </c>
      <c r="I988" s="10" t="inlineStr">
        <is>
          <t>22/03/2026</t>
        </is>
      </c>
      <c r="J988" s="10" t="inlineStr">
        <is>
          <t>17/03/2026</t>
        </is>
      </c>
      <c r="K988" s="10" t="inlineStr">
        <is>
          <t>N/A</t>
        </is>
      </c>
      <c r="L988" s="10" t="inlineStr">
        <is>
          <t>Content Management, Content Writing, Integrated Marketing Communication, Project Management</t>
        </is>
      </c>
      <c r="M988" s="10" t="inlineStr">
        <is>
          <t>Healthcare Plan, Paid Leave</t>
        </is>
      </c>
      <c r="N988" s="11">
        <f>HYPERLINK("https://www.vietnamworks.com/senior-marcom-specialist-2010071-jv","Xem chi tiết")</f>
        <v/>
      </c>
      <c r="O988" s="10" t="n"/>
    </row>
    <row r="989">
      <c r="B989" s="7" t="n">
        <v>987</v>
      </c>
      <c r="C989" t="inlineStr">
        <is>
          <t>Senior Process Engineer</t>
        </is>
      </c>
      <c r="D989" t="inlineStr">
        <is>
          <t>Công Ty TNHH Aldila Composite Products</t>
        </is>
      </c>
      <c r="E989" t="inlineStr">
        <is>
          <t>Thương lượng</t>
        </is>
      </c>
      <c r="F989" t="inlineStr">
        <is>
          <t>Hồ Chí Minh</t>
        </is>
      </c>
      <c r="G989" t="inlineStr">
        <is>
          <t>Nhân viên</t>
        </is>
      </c>
      <c r="H989" t="inlineStr">
        <is>
          <t>05/02/2026</t>
        </is>
      </c>
      <c r="I989" t="inlineStr">
        <is>
          <t>22/03/2026</t>
        </is>
      </c>
      <c r="J989" t="inlineStr">
        <is>
          <t>17/03/2026</t>
        </is>
      </c>
      <c r="K989" t="inlineStr">
        <is>
          <t>N/A</t>
        </is>
      </c>
      <c r="L989" t="inlineStr">
        <is>
          <t>Giám Sát Sản Xuất, Inspection Process, Polymer Composites, Product Development, Production Management</t>
        </is>
      </c>
      <c r="M989" t="inlineStr">
        <is>
          <t>Bonus, Healthcare Plan, Training, Laptop, Travel Opportunities, Transportation, Others</t>
        </is>
      </c>
      <c r="N989" s="8">
        <f>HYPERLINK("https://www.vietnamworks.com/senior-process-engineer--2010074-jv","Xem chi tiết")</f>
        <v/>
      </c>
    </row>
    <row r="990">
      <c r="B990" s="9" t="n">
        <v>988</v>
      </c>
      <c r="C990" s="10" t="inlineStr">
        <is>
          <t>Customer Service Backline Superintendent</t>
        </is>
      </c>
      <c r="D990" s="10" t="inlineStr">
        <is>
          <t>INSEE Vietnam</t>
        </is>
      </c>
      <c r="E990" s="10" t="inlineStr">
        <is>
          <t>Thương lượng</t>
        </is>
      </c>
      <c r="F990" s="10" t="inlineStr">
        <is>
          <t>Hồ Chí Minh</t>
        </is>
      </c>
      <c r="G990" s="10" t="inlineStr">
        <is>
          <t>Trưởng phòng</t>
        </is>
      </c>
      <c r="H990" s="10" t="inlineStr">
        <is>
          <t>05/02/2026</t>
        </is>
      </c>
      <c r="I990" s="10" t="inlineStr">
        <is>
          <t>22/03/2026</t>
        </is>
      </c>
      <c r="J990" s="10" t="inlineStr">
        <is>
          <t>17/03/2026</t>
        </is>
      </c>
      <c r="K990" s="10" t="inlineStr">
        <is>
          <t>N/A</t>
        </is>
      </c>
      <c r="L990" s="10" t="inlineStr">
        <is>
          <t>CRM SFDC software, Sales Operation, SAP, Team Management</t>
        </is>
      </c>
      <c r="M990" s="10" t="inlineStr">
        <is>
          <t>Others</t>
        </is>
      </c>
      <c r="N990" s="11">
        <f>HYPERLINK("https://www.vietnamworks.com/customer-service-backline-superintendent-2010069-jv","Xem chi tiết")</f>
        <v/>
      </c>
      <c r="O990" s="10" t="n"/>
    </row>
    <row r="991">
      <c r="B991" s="7" t="n">
        <v>989</v>
      </c>
      <c r="C991" t="inlineStr">
        <is>
          <t>Nhân Viên An Toàn Lao Động</t>
        </is>
      </c>
      <c r="D991" t="inlineStr">
        <is>
          <t>Công Ty Cổ Phần Xây Dựng Khang Hy</t>
        </is>
      </c>
      <c r="E991" t="inlineStr">
        <is>
          <t>Thương lượng</t>
        </is>
      </c>
      <c r="F991" t="inlineStr">
        <is>
          <t>Đồng Nai, Long An, Hồ Chí Minh</t>
        </is>
      </c>
      <c r="G991" t="inlineStr">
        <is>
          <t>Nhân viên</t>
        </is>
      </c>
      <c r="H991" t="inlineStr">
        <is>
          <t>05/02/2026</t>
        </is>
      </c>
      <c r="I991" t="inlineStr">
        <is>
          <t>22/03/2026</t>
        </is>
      </c>
      <c r="J991" t="inlineStr">
        <is>
          <t>17/03/2026</t>
        </is>
      </c>
      <c r="K991" t="inlineStr">
        <is>
          <t>N/A</t>
        </is>
      </c>
      <c r="L991" t="inlineStr">
        <is>
          <t>HSE Training, ISO, Lập kế hoạch HSE, Quản Lý Bảo Hộ Lao Động, Vệ Sinh Môi Trường</t>
        </is>
      </c>
      <c r="M991" t="inlineStr">
        <is>
          <t>Bonus, Paid Leave, Laptop, Travel Opportunities</t>
        </is>
      </c>
      <c r="N991" s="8">
        <f>HYPERLINK("https://www.vietnamworks.com/nhan-vien-an-toan-lao-djong-2010075-jv","Xem chi tiết")</f>
        <v/>
      </c>
    </row>
    <row r="992">
      <c r="B992" s="9" t="n">
        <v>990</v>
      </c>
      <c r="C992" s="10" t="inlineStr">
        <is>
          <t>Customer Service Representative</t>
        </is>
      </c>
      <c r="D992" s="10" t="inlineStr">
        <is>
          <t>Công Ty TNHH Aldila Composite Products</t>
        </is>
      </c>
      <c r="E992" s="10" t="inlineStr">
        <is>
          <t>Thương lượng</t>
        </is>
      </c>
      <c r="F992" s="10" t="inlineStr">
        <is>
          <t>Hồ Chí Minh</t>
        </is>
      </c>
      <c r="G992" s="10" t="inlineStr">
        <is>
          <t>Nhân viên</t>
        </is>
      </c>
      <c r="H992" s="10" t="inlineStr">
        <is>
          <t>05/02/2026</t>
        </is>
      </c>
      <c r="I992" s="10" t="inlineStr">
        <is>
          <t>22/03/2026</t>
        </is>
      </c>
      <c r="J992" s="10" t="inlineStr">
        <is>
          <t>17/03/2026</t>
        </is>
      </c>
      <c r="K992" s="10" t="inlineStr">
        <is>
          <t>N/A</t>
        </is>
      </c>
      <c r="L992" s="10" t="inlineStr">
        <is>
          <t>Customer Satisfaction, Order Management, Production Support, Customer Support</t>
        </is>
      </c>
      <c r="M992" s="10" t="inlineStr">
        <is>
          <t>Bonus, Healthcare Plan, Training, Laptop, Travel Opportunities, Transportation, Others</t>
        </is>
      </c>
      <c r="N992" s="11">
        <f>HYPERLINK("https://www.vietnamworks.com/customer-service-representative-2010082-jv","Xem chi tiết")</f>
        <v/>
      </c>
      <c r="O992" s="10" t="n"/>
    </row>
    <row r="993">
      <c r="B993" s="7" t="n">
        <v>991</v>
      </c>
      <c r="C993" t="inlineStr">
        <is>
          <t>Fresh Speed Up Spring 2026| Marketing Trainee</t>
        </is>
      </c>
      <c r="D993" t="inlineStr">
        <is>
          <t>B.Braun Vietnam Company Ltd.</t>
        </is>
      </c>
      <c r="E993" t="inlineStr">
        <is>
          <t>Thương lượng</t>
        </is>
      </c>
      <c r="F993" t="inlineStr">
        <is>
          <t>Hồ Chí Minh</t>
        </is>
      </c>
      <c r="G993" t="inlineStr">
        <is>
          <t>Thực tập sinh/Sinh viên</t>
        </is>
      </c>
      <c r="H993" t="inlineStr">
        <is>
          <t>05/02/2026</t>
        </is>
      </c>
      <c r="I993" t="inlineStr">
        <is>
          <t>22/03/2026</t>
        </is>
      </c>
      <c r="J993" t="inlineStr">
        <is>
          <t>17/03/2026</t>
        </is>
      </c>
      <c r="K993" t="inlineStr">
        <is>
          <t>N/A</t>
        </is>
      </c>
      <c r="L993" t="inlineStr">
        <is>
          <t>Marketing, Biomedical Engineering, Pharmacy, communication, English</t>
        </is>
      </c>
      <c r="M993" t="inlineStr">
        <is>
          <t>Bonus, Training, Transportation</t>
        </is>
      </c>
      <c r="N993" s="8">
        <f>HYPERLINK("https://www.vietnamworks.com/fresh-speed-up-spring-2026-marketing-trainee-2010083-jv","Xem chi tiết")</f>
        <v/>
      </c>
    </row>
    <row r="994">
      <c r="B994" s="9" t="n">
        <v>992</v>
      </c>
      <c r="C994" s="10" t="inlineStr">
        <is>
          <t>Customer Service Officer (Shopping Mall)</t>
        </is>
      </c>
      <c r="D994" s="10" t="inlineStr">
        <is>
          <t>Source Of Asia</t>
        </is>
      </c>
      <c r="E994" s="10" t="inlineStr">
        <is>
          <t>8tr-10tr ₫/tháng</t>
        </is>
      </c>
      <c r="F994" s="10" t="inlineStr">
        <is>
          <t>Hà Nội, Hồ Chí Minh</t>
        </is>
      </c>
      <c r="G994" s="10" t="inlineStr">
        <is>
          <t>Mới Tốt Nghiệp</t>
        </is>
      </c>
      <c r="H994" s="10" t="inlineStr">
        <is>
          <t>05/02/2026</t>
        </is>
      </c>
      <c r="I994" s="10" t="inlineStr">
        <is>
          <t>22/03/2026</t>
        </is>
      </c>
      <c r="J994" s="10" t="inlineStr">
        <is>
          <t>17/03/2026</t>
        </is>
      </c>
      <c r="K994" s="10" t="inlineStr">
        <is>
          <t>N/A</t>
        </is>
      </c>
      <c r="L994" s="10" t="inlineStr">
        <is>
          <t>Customer Service, English Communication, Problem Solving, Vietnamese fluency</t>
        </is>
      </c>
      <c r="M994" s="10" t="inlineStr">
        <is>
          <t>Bonus, Training, Others</t>
        </is>
      </c>
      <c r="N994" s="11">
        <f>HYPERLINK("https://www.vietnamworks.com/customer-service-officer-shopping-mall-2010095-jv","Xem chi tiết")</f>
        <v/>
      </c>
      <c r="O994" s="10" t="n"/>
    </row>
    <row r="995">
      <c r="B995" s="7" t="n">
        <v>993</v>
      </c>
      <c r="C995" t="inlineStr">
        <is>
          <t>Chuyên Viên Mua Hàng Thi Công Xây Dựng</t>
        </is>
      </c>
      <c r="D995" t="inlineStr">
        <is>
          <t>Công Ty Cổ Phần Thương Mại Tư Vấn Và Xây Dựng Vĩnh Hưng</t>
        </is>
      </c>
      <c r="E995" t="inlineStr">
        <is>
          <t>$$ 500-1,000 /tháng</t>
        </is>
      </c>
      <c r="F995" t="inlineStr">
        <is>
          <t>Hà Nội</t>
        </is>
      </c>
      <c r="G995" t="inlineStr">
        <is>
          <t>Nhân viên</t>
        </is>
      </c>
      <c r="H995" t="inlineStr">
        <is>
          <t>05/02/2026</t>
        </is>
      </c>
      <c r="I995" t="inlineStr">
        <is>
          <t>22/03/2026</t>
        </is>
      </c>
      <c r="J995" t="inlineStr">
        <is>
          <t>17/03/2026</t>
        </is>
      </c>
      <c r="K995" t="inlineStr">
        <is>
          <t>N/A</t>
        </is>
      </c>
      <c r="L995" t="inlineStr">
        <is>
          <t>Mua Hàng Trong Nước, Mua Hàng, Cung Ứng Vật Tư Xây Dựng</t>
        </is>
      </c>
      <c r="M995" t="inlineStr">
        <is>
          <t>Bonus, Training, Team Activities</t>
        </is>
      </c>
      <c r="N995" s="8">
        <f>HYPERLINK("https://www.vietnamworks.com/chuyen-vien-mua-hang-thi-cong-xay-dung-2010076-jv","Xem chi tiết")</f>
        <v/>
      </c>
    </row>
    <row r="996">
      <c r="B996" s="9" t="n">
        <v>994</v>
      </c>
      <c r="C996" s="10" t="inlineStr">
        <is>
          <t>Senior/Lead/Principal CMF Designer</t>
        </is>
      </c>
      <c r="D996" s="10" t="inlineStr">
        <is>
          <t>Sharkninja Vietnam</t>
        </is>
      </c>
      <c r="E996" s="10" t="inlineStr">
        <is>
          <t>Thương lượng</t>
        </is>
      </c>
      <c r="F996" s="10" t="inlineStr">
        <is>
          <t>Hồ Chí Minh</t>
        </is>
      </c>
      <c r="G996" s="10" t="inlineStr">
        <is>
          <t>Nhân viên</t>
        </is>
      </c>
      <c r="H996" s="10" t="inlineStr">
        <is>
          <t>05/02/2026</t>
        </is>
      </c>
      <c r="I996" s="10" t="inlineStr">
        <is>
          <t>22/03/2026</t>
        </is>
      </c>
      <c r="J996" s="10" t="inlineStr">
        <is>
          <t>17/03/2026</t>
        </is>
      </c>
      <c r="K996" s="10" t="inlineStr">
        <is>
          <t>N/A</t>
        </is>
      </c>
      <c r="L996" s="10" t="inlineStr">
        <is>
          <t>Adobe Creative Suite, Cmf Design, Communication, Digital Storytelling, Trend Analysis</t>
        </is>
      </c>
      <c r="M996" s="10" t="inlineStr">
        <is>
          <t>Bonus, Healthcare Plan, Training</t>
        </is>
      </c>
      <c r="N996" s="11">
        <f>HYPERLINK("https://www.vietnamworks.com/seniorleadprincipal-cmf-designer-2010102-jv","Xem chi tiết")</f>
        <v/>
      </c>
      <c r="O996" s="10" t="n"/>
    </row>
    <row r="997">
      <c r="B997" s="7" t="n">
        <v>995</v>
      </c>
      <c r="C997" t="inlineStr">
        <is>
          <t>Business Intelligence Analyst, Supply Chain</t>
        </is>
      </c>
      <c r="D997" t="inlineStr">
        <is>
          <t>Sharkninja Vietnam</t>
        </is>
      </c>
      <c r="E997" t="inlineStr">
        <is>
          <t>Thương lượng</t>
        </is>
      </c>
      <c r="F997" t="inlineStr">
        <is>
          <t>Hồ Chí Minh</t>
        </is>
      </c>
      <c r="G997" t="inlineStr">
        <is>
          <t>Nhân viên</t>
        </is>
      </c>
      <c r="H997" t="inlineStr">
        <is>
          <t>05/02/2026</t>
        </is>
      </c>
      <c r="I997" t="inlineStr">
        <is>
          <t>22/03/2026</t>
        </is>
      </c>
      <c r="J997" t="inlineStr">
        <is>
          <t>17/03/2026</t>
        </is>
      </c>
      <c r="K997" t="inlineStr">
        <is>
          <t>N/A</t>
        </is>
      </c>
      <c r="L997" t="inlineStr">
        <is>
          <t>Analytical Thinking, Data Analytics, Data Science, Power BI, SQL</t>
        </is>
      </c>
      <c r="M997" t="inlineStr">
        <is>
          <t>Bonus</t>
        </is>
      </c>
      <c r="N997" s="8">
        <f>HYPERLINK("https://www.vietnamworks.com/business-intelligence-analyst-supply-chain-2010097-jv","Xem chi tiết")</f>
        <v/>
      </c>
    </row>
    <row r="998">
      <c r="B998" s="9" t="n">
        <v>996</v>
      </c>
      <c r="C998" s="10" t="inlineStr">
        <is>
          <t>Chuyên Viên Quản Lý Đại Lý (Ngành Ô Tô)</t>
        </is>
      </c>
      <c r="D998" s="10" t="inlineStr">
        <is>
          <t>Công Ty TNHH Daehan Motors</t>
        </is>
      </c>
      <c r="E998" s="10" t="inlineStr">
        <is>
          <t>Thương lượng</t>
        </is>
      </c>
      <c r="F998" s="10" t="inlineStr">
        <is>
          <t>Hồ Chí Minh</t>
        </is>
      </c>
      <c r="G998" s="10" t="inlineStr">
        <is>
          <t>Nhân viên</t>
        </is>
      </c>
      <c r="H998" s="10" t="inlineStr">
        <is>
          <t>05/02/2026</t>
        </is>
      </c>
      <c r="I998" s="10" t="inlineStr">
        <is>
          <t>22/03/2026</t>
        </is>
      </c>
      <c r="J998" s="10" t="inlineStr">
        <is>
          <t>17/03/2026</t>
        </is>
      </c>
      <c r="K998" s="10" t="inlineStr">
        <is>
          <t>N/A</t>
        </is>
      </c>
      <c r="L998" s="10" t="inlineStr">
        <is>
          <t>Quản Lý Kinh Doanh, Kế Hoạch Kinh Doanh, Phát Triển Đại Lý, Quản Lý Doanh Số, Tư Vấn Khách Hàng</t>
        </is>
      </c>
      <c r="M998" s="10" t="inlineStr">
        <is>
          <t>Bonus, Healthcare Plan, Laptop</t>
        </is>
      </c>
      <c r="N998" s="11">
        <f>HYPERLINK("https://www.vietnamworks.com/chuyen-vien-quan-ly-djai-ly-nganh-o-to-2010091-jv","Xem chi tiết")</f>
        <v/>
      </c>
      <c r="O998" s="10" t="n"/>
    </row>
    <row r="999">
      <c r="B999" s="7" t="n">
        <v>997</v>
      </c>
      <c r="C999" t="inlineStr">
        <is>
          <t>Chuyên Viên Tư Vấn Tài Chính Doanh Nghiệp</t>
        </is>
      </c>
      <c r="D999" t="inlineStr">
        <is>
          <t>Công Ty Cổ Phần Chứng Khoán Quốc Gia</t>
        </is>
      </c>
      <c r="E999" t="inlineStr">
        <is>
          <t>Thương lượng</t>
        </is>
      </c>
      <c r="F999" t="inlineStr">
        <is>
          <t>Hồ Chí Minh</t>
        </is>
      </c>
      <c r="G999" t="inlineStr">
        <is>
          <t>Nhân viên</t>
        </is>
      </c>
      <c r="H999" t="inlineStr">
        <is>
          <t>05/02/2026</t>
        </is>
      </c>
      <c r="I999" t="inlineStr">
        <is>
          <t>22/03/2026</t>
        </is>
      </c>
      <c r="J999" t="inlineStr">
        <is>
          <t>17/03/2026</t>
        </is>
      </c>
      <c r="K999" t="inlineStr">
        <is>
          <t>N/A</t>
        </is>
      </c>
      <c r="L999" t="inlineStr">
        <is>
          <t>Tài Chính Kế Toán, Luật Thuế, Báo Cáo Tài Chính, Chứng khoán, ACCA</t>
        </is>
      </c>
      <c r="M999" t="inlineStr">
        <is>
          <t>Bonus, Healthcare Plan, Paid Leave</t>
        </is>
      </c>
      <c r="N999" s="8">
        <f>HYPERLINK("https://www.vietnamworks.com/chuyen-vien-tu-van-tai-chinh-doanh-nghiep--2010107-jv","Xem chi tiết")</f>
        <v/>
      </c>
    </row>
    <row r="1000">
      <c r="B1000" s="9" t="n">
        <v>998</v>
      </c>
      <c r="C1000" s="10" t="inlineStr">
        <is>
          <t>Business Intelligence Analyst, Supply Chain (Power BI Visualization Focus)</t>
        </is>
      </c>
      <c r="D1000" s="10" t="inlineStr">
        <is>
          <t>Sharkninja Vietnam</t>
        </is>
      </c>
      <c r="E1000" s="10" t="inlineStr">
        <is>
          <t>Thương lượng</t>
        </is>
      </c>
      <c r="F1000" s="10" t="inlineStr">
        <is>
          <t>Hồ Chí Minh</t>
        </is>
      </c>
      <c r="G1000" s="10" t="inlineStr">
        <is>
          <t>Nhân viên</t>
        </is>
      </c>
      <c r="H1000" s="10" t="inlineStr">
        <is>
          <t>05/02/2026</t>
        </is>
      </c>
      <c r="I1000" s="10" t="inlineStr">
        <is>
          <t>22/03/2026</t>
        </is>
      </c>
      <c r="J1000" s="10" t="inlineStr">
        <is>
          <t>17/03/2026</t>
        </is>
      </c>
      <c r="K1000" s="10" t="inlineStr">
        <is>
          <t>N/A</t>
        </is>
      </c>
      <c r="L1000" s="10" t="inlineStr">
        <is>
          <t>Communication, Dashboard Design, Data Analysis, Power BI, SQL</t>
        </is>
      </c>
      <c r="M1000" s="10" t="inlineStr">
        <is>
          <t>Bonus</t>
        </is>
      </c>
      <c r="N1000" s="11">
        <f>HYPERLINK("https://www.vietnamworks.com/business-intelligence-analyst-supply-chain-power-bi-visualization-focus-2010099-jv","Xem chi tiết")</f>
        <v/>
      </c>
      <c r="O1000" s="10" t="n"/>
    </row>
    <row r="1001">
      <c r="B1001" s="7" t="n">
        <v>999</v>
      </c>
      <c r="C1001" t="inlineStr">
        <is>
          <t>Chuyên Viên HSE Công Trình Xây Dựng (HSE Specialist For Construction Projects)</t>
        </is>
      </c>
      <c r="D1001" t="inlineStr">
        <is>
          <t>CÔNG TY CỔ PHẦN TƯ VẤN - THIẾT KẾ - XÂY DỰNG BÌNH DOANH</t>
        </is>
      </c>
      <c r="E1001" t="inlineStr">
        <is>
          <t>Thương lượng</t>
        </is>
      </c>
      <c r="F1001" t="inlineStr">
        <is>
          <t>Hồ Chí Minh</t>
        </is>
      </c>
      <c r="G1001" t="inlineStr">
        <is>
          <t>Nhân viên</t>
        </is>
      </c>
      <c r="H1001" t="inlineStr">
        <is>
          <t>05/02/2026</t>
        </is>
      </c>
      <c r="I1001" t="inlineStr">
        <is>
          <t>22/03/2026</t>
        </is>
      </c>
      <c r="J1001" t="inlineStr">
        <is>
          <t>17/03/2026</t>
        </is>
      </c>
      <c r="K1001" t="inlineStr">
        <is>
          <t>N/A</t>
        </is>
      </c>
      <c r="L1001" t="inlineStr">
        <is>
          <t>Communication Skills, HSE Management, Problem-solving, Risk Assessment, Safety Training</t>
        </is>
      </c>
      <c r="M1001" t="inlineStr">
        <is>
          <t>Bonus, Healthcare Plan, Training, Others</t>
        </is>
      </c>
      <c r="N1001" s="8">
        <f>HYPERLINK("https://www.vietnamworks.com/chuyen-vien-hse-cong-trinh-xay-dung-hse-specialist-for-construction-projects-2010103-jv","Xem chi tiết")</f>
        <v/>
      </c>
    </row>
    <row r="1002">
      <c r="B1002" s="9" t="n">
        <v>1000</v>
      </c>
      <c r="C1002" s="10" t="inlineStr">
        <is>
          <t>Brand Manager - International Market Brand</t>
        </is>
      </c>
      <c r="D1002" s="10" t="inlineStr">
        <is>
          <t>Công Ty Cổ Phần Sữa Quốc Tế LOF</t>
        </is>
      </c>
      <c r="E1002" s="10" t="inlineStr">
        <is>
          <t>Thương lượng</t>
        </is>
      </c>
      <c r="F1002" s="10" t="inlineStr">
        <is>
          <t>Hồ Chí Minh</t>
        </is>
      </c>
      <c r="G1002" s="10" t="inlineStr">
        <is>
          <t>Trưởng phòng</t>
        </is>
      </c>
      <c r="H1002" s="10" t="inlineStr">
        <is>
          <t>05/02/2026</t>
        </is>
      </c>
      <c r="I1002" s="10" t="inlineStr">
        <is>
          <t>22/03/2026</t>
        </is>
      </c>
      <c r="J1002" s="10" t="inlineStr">
        <is>
          <t>17/03/2026</t>
        </is>
      </c>
      <c r="K1002" s="10" t="inlineStr">
        <is>
          <t>N/A</t>
        </is>
      </c>
      <c r="L1002" s="10" t="inlineStr">
        <is>
          <t>New Product Development, Brand Development, Marketing Budget Management, Business Development, Marketing Development</t>
        </is>
      </c>
      <c r="M1002" s="10" t="inlineStr">
        <is>
          <t>Bonus, Training, Laptop</t>
        </is>
      </c>
      <c r="N1002" s="11">
        <f>HYPERLINK("https://www.vietnamworks.com/brand-manager-international-market-brand-2010134-jv","Xem chi tiết")</f>
        <v/>
      </c>
      <c r="O1002" s="10" t="n"/>
    </row>
    <row r="1003">
      <c r="B1003" s="7" t="n">
        <v>1001</v>
      </c>
      <c r="C1003" t="inlineStr">
        <is>
          <t>Trưởng Phòng Môi Giới</t>
        </is>
      </c>
      <c r="D1003" t="inlineStr">
        <is>
          <t>Công Ty Cổ Phần Chứng Khoán Quốc Gia</t>
        </is>
      </c>
      <c r="E1003" t="inlineStr">
        <is>
          <t>Thương lượng</t>
        </is>
      </c>
      <c r="F1003" t="inlineStr">
        <is>
          <t>Hồ Chí Minh</t>
        </is>
      </c>
      <c r="G1003" t="inlineStr">
        <is>
          <t>Trưởng phòng</t>
        </is>
      </c>
      <c r="H1003" t="inlineStr">
        <is>
          <t>05/02/2026</t>
        </is>
      </c>
      <c r="I1003" t="inlineStr">
        <is>
          <t>22/03/2026</t>
        </is>
      </c>
      <c r="J1003" t="inlineStr">
        <is>
          <t>17/03/2026</t>
        </is>
      </c>
      <c r="K1003" t="inlineStr">
        <is>
          <t>N/A</t>
        </is>
      </c>
      <c r="L1003" t="inlineStr">
        <is>
          <t>Tài Chính Kế Toán, Luật Thuế, Báo Cáo Tài Chính, Chứng khoán, Môi Giới Chứng Khoán</t>
        </is>
      </c>
      <c r="M1003" t="inlineStr">
        <is>
          <t>Bonus, Healthcare Plan, Paid Leave</t>
        </is>
      </c>
      <c r="N1003" s="8">
        <f>HYPERLINK("https://www.vietnamworks.com/truong-phong-moi-gioi--2010106-jv","Xem chi tiết")</f>
        <v/>
      </c>
    </row>
    <row r="1004">
      <c r="B1004" s="9" t="n">
        <v>1002</v>
      </c>
      <c r="C1004" s="10" t="inlineStr">
        <is>
          <t>Senior Media Performance Marketing Executive</t>
        </is>
      </c>
      <c r="D1004" s="10" t="inlineStr">
        <is>
          <t>AMOREPACIFIC Vietnam Company Limited</t>
        </is>
      </c>
      <c r="E1004" s="10" t="inlineStr">
        <is>
          <t>Thương lượng</t>
        </is>
      </c>
      <c r="F1004" s="10" t="inlineStr">
        <is>
          <t>Hồ Chí Minh</t>
        </is>
      </c>
      <c r="G1004" s="10" t="inlineStr">
        <is>
          <t>Nhân viên</t>
        </is>
      </c>
      <c r="H1004" s="10" t="inlineStr">
        <is>
          <t>05/02/2026</t>
        </is>
      </c>
      <c r="I1004" s="10" t="inlineStr">
        <is>
          <t>22/03/2026</t>
        </is>
      </c>
      <c r="J1004" s="10" t="inlineStr">
        <is>
          <t>17/03/2026</t>
        </is>
      </c>
      <c r="K1004" s="10" t="inlineStr">
        <is>
          <t>N/A</t>
        </is>
      </c>
      <c r="L1004" s="10" t="inlineStr">
        <is>
          <t>Campaign Management, Data Analysis, Digital Marketing Performance, Ecommerce Optimization, Project Management</t>
        </is>
      </c>
      <c r="M1004" s="10" t="inlineStr">
        <is>
          <t>Bonus, Healthcare Plan, Paid Leave, Awards, Laptop, Team Activities, Vouchers, Others</t>
        </is>
      </c>
      <c r="N1004" s="11">
        <f>HYPERLINK("https://www.vietnamworks.com/senior-media-performance-marketing-executive-2010135-jv","Xem chi tiết")</f>
        <v/>
      </c>
      <c r="O1004" s="10" t="n"/>
    </row>
    <row r="1005">
      <c r="B1005" s="7" t="n">
        <v>1003</v>
      </c>
      <c r="C1005" t="inlineStr">
        <is>
          <t>Tax Manager</t>
        </is>
      </c>
      <c r="D1005" t="inlineStr">
        <is>
          <t>Michael Page Vietnam</t>
        </is>
      </c>
      <c r="E1005" t="inlineStr">
        <is>
          <t>Thương lượng</t>
        </is>
      </c>
      <c r="F1005" t="inlineStr">
        <is>
          <t>Hồ Chí Minh</t>
        </is>
      </c>
      <c r="G1005" t="inlineStr">
        <is>
          <t>Trưởng phòng</t>
        </is>
      </c>
      <c r="H1005" t="inlineStr">
        <is>
          <t>05/02/2026</t>
        </is>
      </c>
      <c r="I1005" t="inlineStr">
        <is>
          <t>22/03/2026</t>
        </is>
      </c>
      <c r="J1005" t="inlineStr">
        <is>
          <t>17/03/2026</t>
        </is>
      </c>
      <c r="K1005" t="inlineStr">
        <is>
          <t>N/A</t>
        </is>
      </c>
      <c r="L1005" t="inlineStr">
        <is>
          <t>TAX, Transfer Pricing, Tax Management, Finance, Stakeholder Management</t>
        </is>
      </c>
      <c r="M1005" t="inlineStr">
        <is>
          <t>Bonus</t>
        </is>
      </c>
      <c r="N1005" s="8">
        <f>HYPERLINK("https://www.vietnamworks.com/tax-manager-115-2010117-jv","Xem chi tiết")</f>
        <v/>
      </c>
    </row>
    <row r="1006">
      <c r="B1006" s="9" t="n">
        <v>1004</v>
      </c>
      <c r="C1006" s="10" t="inlineStr">
        <is>
          <t>Recruitment &amp; Training Supervisor</t>
        </is>
      </c>
      <c r="D1006" s="10" t="inlineStr">
        <is>
          <t>Công Ty TNHH Chỉ May American &amp; Efird Việt Nam</t>
        </is>
      </c>
      <c r="E1006" s="10" t="inlineStr">
        <is>
          <t>Thương lượng</t>
        </is>
      </c>
      <c r="F1006" s="10" t="inlineStr">
        <is>
          <t>Đồng Nai</t>
        </is>
      </c>
      <c r="G1006" s="10" t="inlineStr">
        <is>
          <t>Nhân viên</t>
        </is>
      </c>
      <c r="H1006" s="10" t="inlineStr">
        <is>
          <t>05/02/2026</t>
        </is>
      </c>
      <c r="I1006" s="10" t="inlineStr">
        <is>
          <t>22/03/2026</t>
        </is>
      </c>
      <c r="J1006" s="10" t="inlineStr">
        <is>
          <t>17/03/2026</t>
        </is>
      </c>
      <c r="K1006" s="10" t="inlineStr">
        <is>
          <t>N/A</t>
        </is>
      </c>
      <c r="L1006" s="10" t="inlineStr">
        <is>
          <t>Communication Skills, Organizational skills, Problem Solving, Teamwork, Time Management</t>
        </is>
      </c>
      <c r="M1006" s="10" t="inlineStr">
        <is>
          <t>Bonus, Healthcare Plan, Training, Travel Opportunities, Transportation, Canteen</t>
        </is>
      </c>
      <c r="N1006" s="11">
        <f>HYPERLINK("https://www.vietnamworks.com/recruitment-and-training-supervisor-2010101-jv","Xem chi tiết")</f>
        <v/>
      </c>
      <c r="O1006" s="10" t="n"/>
    </row>
    <row r="1007">
      <c r="B1007" s="7" t="n">
        <v>1005</v>
      </c>
      <c r="C1007" t="inlineStr">
        <is>
          <t>Brand Manager - FMCG</t>
        </is>
      </c>
      <c r="D1007" t="inlineStr">
        <is>
          <t>Công Ty Cổ Phần Sữa Quốc Tế LOF</t>
        </is>
      </c>
      <c r="E1007" t="inlineStr">
        <is>
          <t>Thương lượng</t>
        </is>
      </c>
      <c r="F1007" t="inlineStr">
        <is>
          <t>Hồ Chí Minh</t>
        </is>
      </c>
      <c r="G1007" t="inlineStr">
        <is>
          <t>Trưởng phòng</t>
        </is>
      </c>
      <c r="H1007" t="inlineStr">
        <is>
          <t>05/02/2026</t>
        </is>
      </c>
      <c r="I1007" t="inlineStr">
        <is>
          <t>22/03/2026</t>
        </is>
      </c>
      <c r="J1007" t="inlineStr">
        <is>
          <t>17/03/2026</t>
        </is>
      </c>
      <c r="K1007" t="inlineStr">
        <is>
          <t>N/A</t>
        </is>
      </c>
      <c r="L1007" t="inlineStr">
        <is>
          <t>New Product Development, Brand Development, Marketing Budget Management, Business Development, Marketing Development</t>
        </is>
      </c>
      <c r="M1007" t="inlineStr">
        <is>
          <t>Bonus, Training, Laptop</t>
        </is>
      </c>
      <c r="N1007" s="8">
        <f>HYPERLINK("https://www.vietnamworks.com/brand-manager-fmcg--2010131-jv","Xem chi tiết")</f>
        <v/>
      </c>
    </row>
    <row r="1008">
      <c r="B1008" s="9" t="n">
        <v>1006</v>
      </c>
      <c r="C1008" s="10" t="inlineStr">
        <is>
          <t>Giám Sát Nhà Phân Phối (Sales Supervisor)</t>
        </is>
      </c>
      <c r="D1008" s="10" t="inlineStr">
        <is>
          <t>Công Ty Cổ Phần Sữa Việt Nam (Vinamilk)</t>
        </is>
      </c>
      <c r="E1008" s="10" t="inlineStr">
        <is>
          <t>Thương lượng</t>
        </is>
      </c>
      <c r="F1008" s="10" t="inlineStr">
        <is>
          <t>Đắk Lắk, Đắk Nông, Quảng Ngãi</t>
        </is>
      </c>
      <c r="G1008" s="10" t="inlineStr">
        <is>
          <t>Nhân viên</t>
        </is>
      </c>
      <c r="H1008" s="10" t="inlineStr">
        <is>
          <t>05/02/2026</t>
        </is>
      </c>
      <c r="I1008" s="10" t="inlineStr">
        <is>
          <t>22/03/2026</t>
        </is>
      </c>
      <c r="J1008" s="10" t="inlineStr">
        <is>
          <t>17/03/2026</t>
        </is>
      </c>
      <c r="K1008" s="10" t="inlineStr">
        <is>
          <t>N/A</t>
        </is>
      </c>
      <c r="L1008" s="10" t="inlineStr">
        <is>
          <t>Sales Supervisor, Sales Development, General Trade, GT Channel, FMCG</t>
        </is>
      </c>
      <c r="M1008" s="10" t="inlineStr">
        <is>
          <t>Bonus, Healthcare Plan, Training</t>
        </is>
      </c>
      <c r="N1008" s="11">
        <f>HYPERLINK("https://www.vietnamworks.com/giam-sat-nha-phan-phoi-sales-supervisor--2010116-jv","Xem chi tiết")</f>
        <v/>
      </c>
      <c r="O1008" s="10" t="n"/>
    </row>
    <row r="1009">
      <c r="B1009" s="7" t="n">
        <v>1007</v>
      </c>
      <c r="C1009" t="inlineStr">
        <is>
          <t>Automation Test Engineer (Automotive Domain)</t>
        </is>
      </c>
      <c r="D1009" t="inlineStr">
        <is>
          <t>LG Electronics Development Vietnam Company Limited</t>
        </is>
      </c>
      <c r="E1009" t="inlineStr">
        <is>
          <t>$$ 1,000-1,800 /tháng</t>
        </is>
      </c>
      <c r="F1009" t="inlineStr">
        <is>
          <t>Hà Nội</t>
        </is>
      </c>
      <c r="G1009" t="inlineStr">
        <is>
          <t>Nhân viên</t>
        </is>
      </c>
      <c r="H1009" t="inlineStr">
        <is>
          <t>05/02/2026</t>
        </is>
      </c>
      <c r="I1009" t="inlineStr">
        <is>
          <t>22/03/2026</t>
        </is>
      </c>
      <c r="J1009" t="inlineStr">
        <is>
          <t>17/03/2026</t>
        </is>
      </c>
      <c r="K1009" t="inlineStr">
        <is>
          <t>N/A</t>
        </is>
      </c>
      <c r="L1009" t="inlineStr">
        <is>
          <t>Automation Testing, Automotive, Linux Development, Python Programming</t>
        </is>
      </c>
      <c r="M1009" t="inlineStr">
        <is>
          <t>Bonus, Healthcare Plan, Paid Leave, Laptop, Team Activities, Others</t>
        </is>
      </c>
      <c r="N1009" s="8">
        <f>HYPERLINK("https://www.vietnamworks.com/automation-test-engineer-automotive-domain-2010098-jv","Xem chi tiết")</f>
        <v/>
      </c>
    </row>
    <row r="1010">
      <c r="B1010" s="9" t="n">
        <v>1008</v>
      </c>
      <c r="C1010" s="10" t="inlineStr">
        <is>
          <t>(Senior) Compliance Engineer</t>
        </is>
      </c>
      <c r="D1010" s="10" t="inlineStr">
        <is>
          <t>Sharkninja Vietnam</t>
        </is>
      </c>
      <c r="E1010" s="10" t="inlineStr">
        <is>
          <t>Thương lượng</t>
        </is>
      </c>
      <c r="F1010" s="10" t="inlineStr">
        <is>
          <t>Hồ Chí Minh</t>
        </is>
      </c>
      <c r="G1010" s="10" t="inlineStr">
        <is>
          <t>Nhân viên</t>
        </is>
      </c>
      <c r="H1010" s="10" t="inlineStr">
        <is>
          <t>05/02/2026</t>
        </is>
      </c>
      <c r="I1010" s="10" t="inlineStr">
        <is>
          <t>22/03/2026</t>
        </is>
      </c>
      <c r="J1010" s="10" t="inlineStr">
        <is>
          <t>17/03/2026</t>
        </is>
      </c>
      <c r="K1010" s="10" t="inlineStr">
        <is>
          <t>N/A</t>
        </is>
      </c>
      <c r="L1010" s="10" t="inlineStr">
        <is>
          <t>Communication Skills, ISO Knowledge, Product Compliance, Project Management, Regulatory Compliance</t>
        </is>
      </c>
      <c r="M1010" s="10" t="inlineStr">
        <is>
          <t>Bonus, Healthcare Plan, Training</t>
        </is>
      </c>
      <c r="N1010" s="11">
        <f>HYPERLINK("https://www.vietnamworks.com/-senior-compliance-engineer-2010104-jv","Xem chi tiết")</f>
        <v/>
      </c>
      <c r="O1010" s="10" t="n"/>
    </row>
    <row r="1011">
      <c r="B1011" s="7" t="n">
        <v>1009</v>
      </c>
      <c r="C1011" t="inlineStr">
        <is>
          <t>Medical Representative ETC - Hà Nội hoặc HCM</t>
        </is>
      </c>
      <c r="D1011" t="inlineStr">
        <is>
          <t>Servier (Vietnam) Pharmaceutical Company</t>
        </is>
      </c>
      <c r="E1011" t="inlineStr">
        <is>
          <t>Thương lượng</t>
        </is>
      </c>
      <c r="F1011" t="inlineStr">
        <is>
          <t>Hồ Chí Minh, Hà Nội</t>
        </is>
      </c>
      <c r="G1011" t="inlineStr">
        <is>
          <t>Nhân viên</t>
        </is>
      </c>
      <c r="H1011" t="inlineStr">
        <is>
          <t>05/02/2026</t>
        </is>
      </c>
      <c r="I1011" t="inlineStr">
        <is>
          <t>22/03/2026</t>
        </is>
      </c>
      <c r="J1011" t="inlineStr">
        <is>
          <t>17/03/2026</t>
        </is>
      </c>
      <c r="K1011" t="inlineStr">
        <is>
          <t>N/A</t>
        </is>
      </c>
      <c r="L1011" t="inlineStr">
        <is>
          <t>Medical Representative, Trình dược viên ETC, Trình dược viên, Quản Lý Trình Dược Viên</t>
        </is>
      </c>
      <c r="M1011" t="inlineStr">
        <is>
          <t>Bonus, Healthcare Plan, Team Activities</t>
        </is>
      </c>
      <c r="N1011" s="8">
        <f>HYPERLINK("https://www.vietnamworks.com/medical-representative-etc-ha-noi-hoac-hcm--2010148-jv","Xem chi tiết")</f>
        <v/>
      </c>
    </row>
    <row r="1012">
      <c r="B1012" s="9" t="n">
        <v>1010</v>
      </c>
      <c r="C1012" s="10" t="inlineStr">
        <is>
          <t>Kế Toán Nội Bộ</t>
        </is>
      </c>
      <c r="D1012" s="10" t="inlineStr">
        <is>
          <t>CÔNG TY TNHH DELIVERY K VIETNAM</t>
        </is>
      </c>
      <c r="E1012" s="10" t="inlineStr">
        <is>
          <t>Từ 10tr ₫/tháng</t>
        </is>
      </c>
      <c r="F1012" s="10" t="inlineStr">
        <is>
          <t>Hồ Chí Minh</t>
        </is>
      </c>
      <c r="G1012" s="10" t="inlineStr">
        <is>
          <t>Nhân viên</t>
        </is>
      </c>
      <c r="H1012" s="10" t="inlineStr">
        <is>
          <t>05/02/2026</t>
        </is>
      </c>
      <c r="I1012" s="10" t="inlineStr">
        <is>
          <t>22/03/2026</t>
        </is>
      </c>
      <c r="J1012" s="10" t="inlineStr">
        <is>
          <t>17/03/2026</t>
        </is>
      </c>
      <c r="K1012" s="10" t="inlineStr">
        <is>
          <t>N/A</t>
        </is>
      </c>
      <c r="L1012" s="10" t="inlineStr">
        <is>
          <t xml:space="preserve"> Chứng Từ Kế Toán, Lưu Trữ Chứng Từ, Phần Mềm Kế Toán, Quản Lý Thu Chi, Theo Dõi Số Liệu</t>
        </is>
      </c>
      <c r="M1012" s="10" t="inlineStr">
        <is>
          <t>Bonus, Healthcare Plan, Paid Leave, Awards</t>
        </is>
      </c>
      <c r="N1012" s="11">
        <f>HYPERLINK("https://www.vietnamworks.com/ke-toan-noi-bo-2010151-jv","Xem chi tiết")</f>
        <v/>
      </c>
      <c r="O1012" s="10" t="n"/>
    </row>
    <row r="1013">
      <c r="B1013" s="7" t="n">
        <v>1011</v>
      </c>
      <c r="C1013" t="inlineStr">
        <is>
          <t>Phó Trưởng Phòng Pháp Chế &amp; Kiểm Soát Tuân Thủ</t>
        </is>
      </c>
      <c r="D1013" t="inlineStr">
        <is>
          <t>Công ty Cổ phần Quản Lý Quỹ HD</t>
        </is>
      </c>
      <c r="E1013" t="inlineStr">
        <is>
          <t>Thương lượng</t>
        </is>
      </c>
      <c r="F1013" t="inlineStr">
        <is>
          <t>Hồ Chí Minh</t>
        </is>
      </c>
      <c r="G1013" t="inlineStr">
        <is>
          <t>Trưởng phòng</t>
        </is>
      </c>
      <c r="H1013" t="inlineStr">
        <is>
          <t>05/02/2026</t>
        </is>
      </c>
      <c r="I1013" t="inlineStr">
        <is>
          <t>22/03/2026</t>
        </is>
      </c>
      <c r="J1013" t="inlineStr">
        <is>
          <t>17/03/2026</t>
        </is>
      </c>
      <c r="K1013" t="inlineStr">
        <is>
          <t>N/A</t>
        </is>
      </c>
      <c r="L1013" t="inlineStr">
        <is>
          <t>Lưu Ký Chứng Khoán, Phân Tích Rủi Ro, Pháp Chế Doanh Nghiệp, Tư Duy, Đầu Tư Chứng Khoán</t>
        </is>
      </c>
      <c r="M1013" t="inlineStr">
        <is>
          <t>Healthcare Plan, Others</t>
        </is>
      </c>
      <c r="N1013" s="8">
        <f>HYPERLINK("https://www.vietnamworks.com/pho-truong-phong-phap-che-and-kiem-soat-tuan-thu-2010143-jv","Xem chi tiết")</f>
        <v/>
      </c>
    </row>
    <row r="1014">
      <c r="B1014" s="9" t="n">
        <v>1012</v>
      </c>
      <c r="C1014" s="10" t="inlineStr">
        <is>
          <t>Giám Sát Tiếp Thị Kênh Truyền Thống (GT) - Ngành Sữa Abbott</t>
        </is>
      </c>
      <c r="D1014" s="10" t="inlineStr">
        <is>
          <t>Abbott</t>
        </is>
      </c>
      <c r="E1014" s="10" t="inlineStr">
        <is>
          <t>Thương lượng</t>
        </is>
      </c>
      <c r="F1014" s="10" t="inlineStr">
        <is>
          <t>Thanh Hóa, Thái Nguyên, Tây Ninh</t>
        </is>
      </c>
      <c r="G1014" s="10" t="inlineStr">
        <is>
          <t>Trưởng phòng</t>
        </is>
      </c>
      <c r="H1014" s="10" t="inlineStr">
        <is>
          <t>05/02/2026</t>
        </is>
      </c>
      <c r="I1014" s="10" t="inlineStr">
        <is>
          <t>22/03/2026</t>
        </is>
      </c>
      <c r="J1014" s="10" t="inlineStr">
        <is>
          <t>17/03/2026</t>
        </is>
      </c>
      <c r="K1014" s="10" t="inlineStr">
        <is>
          <t>N/A</t>
        </is>
      </c>
      <c r="L1014" s="10" t="inlineStr">
        <is>
          <t>Giám Sát Bán Hàng, Trade Management, Sales Supervisor, PG Training, Giám Sát Kênh Phân Phối</t>
        </is>
      </c>
      <c r="M1014" s="10" t="inlineStr">
        <is>
          <t>Bonus, Healthcare Plan, Training</t>
        </is>
      </c>
      <c r="N1014" s="11">
        <f>HYPERLINK("https://www.vietnamworks.com/giam-sat-tiep-thi-kenh-truyen-thong-gt-nganh-sua-abbott--2010160-jv","Xem chi tiết")</f>
        <v/>
      </c>
      <c r="O1014" s="10" t="n"/>
    </row>
    <row r="1015">
      <c r="B1015" s="7" t="n">
        <v>1013</v>
      </c>
      <c r="C1015" t="inlineStr">
        <is>
          <t>Safety &amp; Security Executive - Chuyên Viên An Ninh và An Toàn</t>
        </is>
      </c>
      <c r="D1015" t="inlineStr">
        <is>
          <t>Vietsin Commercial Complex Development JSC</t>
        </is>
      </c>
      <c r="E1015" t="inlineStr">
        <is>
          <t>$$ 400-500 /tháng</t>
        </is>
      </c>
      <c r="F1015" t="inlineStr">
        <is>
          <t>Hồ Chí Minh</t>
        </is>
      </c>
      <c r="G1015" t="inlineStr">
        <is>
          <t>Nhân viên</t>
        </is>
      </c>
      <c r="H1015" t="inlineStr">
        <is>
          <t>05/02/2026</t>
        </is>
      </c>
      <c r="I1015" t="inlineStr">
        <is>
          <t>22/03/2026</t>
        </is>
      </c>
      <c r="J1015" t="inlineStr">
        <is>
          <t>17/03/2026</t>
        </is>
      </c>
      <c r="K1015" t="inlineStr">
        <is>
          <t>N/A</t>
        </is>
      </c>
      <c r="L1015" t="inlineStr">
        <is>
          <t>Security</t>
        </is>
      </c>
      <c r="M1015" t="inlineStr">
        <is>
          <t>Bonus, Healthcare Plan</t>
        </is>
      </c>
      <c r="N1015" s="8">
        <f>HYPERLINK("https://www.vietnamworks.com/safety-security-executive-chuyen-vien-an-ninh-va-an-toan-2010153-jv","Xem chi tiết")</f>
        <v/>
      </c>
    </row>
    <row r="1016">
      <c r="B1016" s="9" t="n">
        <v>1014</v>
      </c>
      <c r="C1016" s="10" t="inlineStr">
        <is>
          <t>Plant Manager (Làm Việc Tại Đà Nẵng)</t>
        </is>
      </c>
      <c r="D1016" s="10" t="inlineStr">
        <is>
          <t>Công Ty TNHH Goshu Kohsan (Việt Nam)</t>
        </is>
      </c>
      <c r="E1016" s="10" t="inlineStr">
        <is>
          <t>Thương lượng</t>
        </is>
      </c>
      <c r="F1016" s="10" t="inlineStr">
        <is>
          <t>Đà Nẵng</t>
        </is>
      </c>
      <c r="G1016" s="10" t="inlineStr">
        <is>
          <t>Trưởng phòng</t>
        </is>
      </c>
      <c r="H1016" s="10" t="inlineStr">
        <is>
          <t>05/02/2026</t>
        </is>
      </c>
      <c r="I1016" s="10" t="inlineStr">
        <is>
          <t>22/03/2026</t>
        </is>
      </c>
      <c r="J1016" s="10" t="inlineStr">
        <is>
          <t>17/03/2026</t>
        </is>
      </c>
      <c r="K1016" s="10" t="inlineStr">
        <is>
          <t>N/A</t>
        </is>
      </c>
      <c r="L1016" s="10" t="inlineStr">
        <is>
          <t>Project Management, Cost Estimation, Data Analysis, Negotiation Skills, Site Supervision</t>
        </is>
      </c>
      <c r="M1016" s="10" t="inlineStr">
        <is>
          <t>Bonus, Healthcare Plan, Paid Leave, Awards</t>
        </is>
      </c>
      <c r="N1016" s="11">
        <f>HYPERLINK("https://www.vietnamworks.com/plant-manager-lam-viec-tai-dja-nang-2010164-jv","Xem chi tiết")</f>
        <v/>
      </c>
      <c r="O1016" s="10" t="n"/>
    </row>
    <row r="1017">
      <c r="B1017" s="7" t="n">
        <v>1015</v>
      </c>
      <c r="C1017" t="inlineStr">
        <is>
          <t>Nhân Viên Hành Chính Nhân Sự - Freaky Motion</t>
        </is>
      </c>
      <c r="D1017" t="inlineStr">
        <is>
          <t>Công ty TNHH Freaky Motion</t>
        </is>
      </c>
      <c r="E1017" t="inlineStr">
        <is>
          <t>Thương lượng</t>
        </is>
      </c>
      <c r="F1017" t="inlineStr">
        <is>
          <t>Hà Nội</t>
        </is>
      </c>
      <c r="G1017" t="inlineStr">
        <is>
          <t>Nhân viên</t>
        </is>
      </c>
      <c r="H1017" t="inlineStr">
        <is>
          <t>05/02/2026</t>
        </is>
      </c>
      <c r="I1017" t="inlineStr">
        <is>
          <t>22/03/2026</t>
        </is>
      </c>
      <c r="J1017" t="inlineStr">
        <is>
          <t>17/03/2026</t>
        </is>
      </c>
      <c r="K1017" t="inlineStr">
        <is>
          <t>N/A</t>
        </is>
      </c>
      <c r="L1017" t="inlineStr">
        <is>
          <t>Hồ Sơ Nhân Sự, Tuyển Dụng, Đào Tạo, Giao Tiếp, Kiểm Soát Chứng Từ</t>
        </is>
      </c>
      <c r="M1017" t="inlineStr">
        <is>
          <t>Bonus, Healthcare Plan, Travel Opportunities, Team Activities, Others</t>
        </is>
      </c>
      <c r="N1017" s="8">
        <f>HYPERLINK("https://www.vietnamworks.com/nhan-vien-hanh-chinh-nhan-su-freaky-motion-2010159-jv","Xem chi tiết")</f>
        <v/>
      </c>
    </row>
    <row r="1018">
      <c r="B1018" s="9" t="n">
        <v>1016</v>
      </c>
      <c r="C1018" s="10" t="inlineStr">
        <is>
          <t>Manufacturing Engineer (DFM)</t>
        </is>
      </c>
      <c r="D1018" s="10" t="inlineStr">
        <is>
          <t>Jabil Vietnam Company Limited</t>
        </is>
      </c>
      <c r="E1018" s="10" t="inlineStr">
        <is>
          <t>Thương lượng</t>
        </is>
      </c>
      <c r="F1018" s="10" t="inlineStr">
        <is>
          <t>Hồ Chí Minh</t>
        </is>
      </c>
      <c r="G1018" s="10" t="inlineStr">
        <is>
          <t>Nhân viên</t>
        </is>
      </c>
      <c r="H1018" s="10" t="inlineStr">
        <is>
          <t>05/02/2026</t>
        </is>
      </c>
      <c r="I1018" s="10" t="inlineStr">
        <is>
          <t>22/03/2026</t>
        </is>
      </c>
      <c r="J1018" s="10" t="inlineStr">
        <is>
          <t>17/03/2026</t>
        </is>
      </c>
      <c r="K1018" s="10" t="inlineStr">
        <is>
          <t>N/A</t>
        </is>
      </c>
      <c r="L1018" s="10" t="inlineStr">
        <is>
          <t>Quality Auditing, Corrective Maintenance, Preventive Healthcare</t>
        </is>
      </c>
      <c r="M1018" s="10" t="inlineStr">
        <is>
          <t>Healthcare Plan, Training, Transportation</t>
        </is>
      </c>
      <c r="N1018" s="11">
        <f>HYPERLINK("https://www.vietnamworks.com/manufacturing-engineer-dfm-2010171-jv","Xem chi tiết")</f>
        <v/>
      </c>
      <c r="O1018" s="10" t="n"/>
    </row>
    <row r="1019">
      <c r="B1019" s="7" t="n">
        <v>1017</v>
      </c>
      <c r="C1019" t="inlineStr">
        <is>
          <t>Planner</t>
        </is>
      </c>
      <c r="D1019" t="inlineStr">
        <is>
          <t>Jabil Vietnam Company Limited</t>
        </is>
      </c>
      <c r="E1019" t="inlineStr">
        <is>
          <t>Thương lượng</t>
        </is>
      </c>
      <c r="F1019" t="inlineStr">
        <is>
          <t>Hồ Chí Minh</t>
        </is>
      </c>
      <c r="G1019" t="inlineStr">
        <is>
          <t>Nhân viên</t>
        </is>
      </c>
      <c r="H1019" t="inlineStr">
        <is>
          <t>05/02/2026</t>
        </is>
      </c>
      <c r="I1019" t="inlineStr">
        <is>
          <t>22/03/2026</t>
        </is>
      </c>
      <c r="J1019" t="inlineStr">
        <is>
          <t>17/03/2026</t>
        </is>
      </c>
      <c r="K1019" t="inlineStr">
        <is>
          <t>N/A</t>
        </is>
      </c>
      <c r="L1019" t="inlineStr">
        <is>
          <t>Quality Auditing</t>
        </is>
      </c>
      <c r="M1019" t="inlineStr">
        <is>
          <t>Healthcare Plan, Training, Transportation</t>
        </is>
      </c>
      <c r="N1019" s="8">
        <f>HYPERLINK("https://www.vietnamworks.com/planner--2010162-jv","Xem chi tiết")</f>
        <v/>
      </c>
    </row>
    <row r="1020">
      <c r="B1020" s="9" t="n">
        <v>1018</v>
      </c>
      <c r="C1020" s="10" t="inlineStr">
        <is>
          <t>Nhân Viên C&amp;B [Urgent]</t>
        </is>
      </c>
      <c r="D1020" s="10" t="inlineStr">
        <is>
          <t>Cong Ty TNHH Iljin Diamond Vina</t>
        </is>
      </c>
      <c r="E1020" s="10" t="inlineStr">
        <is>
          <t>Thương lượng</t>
        </is>
      </c>
      <c r="F1020" s="10" t="inlineStr">
        <is>
          <t>Hà Nội, Hà Nam, Ninh Bình</t>
        </is>
      </c>
      <c r="G1020" s="10" t="inlineStr">
        <is>
          <t>Nhân viên</t>
        </is>
      </c>
      <c r="H1020" s="10" t="inlineStr">
        <is>
          <t>05/02/2026</t>
        </is>
      </c>
      <c r="I1020" s="10" t="inlineStr">
        <is>
          <t>22/03/2026</t>
        </is>
      </c>
      <c r="J1020" s="10" t="inlineStr">
        <is>
          <t>17/03/2026</t>
        </is>
      </c>
      <c r="K1020" s="10" t="inlineStr">
        <is>
          <t>N/A</t>
        </is>
      </c>
      <c r="L1020" s="10" t="inlineStr">
        <is>
          <t>Compensation &amp; Benefits, Labor Law, Social Insurance, Solution Oriented, C&amp;B</t>
        </is>
      </c>
      <c r="M1020" s="10" t="inlineStr">
        <is>
          <t>Bonus, Healthcare Plan, Travel Opportunities, Transportation, Others</t>
        </is>
      </c>
      <c r="N1020" s="11">
        <f>HYPERLINK("https://www.vietnamworks.com/nhan-vien-c-b-urgent-2010170-jv","Xem chi tiết")</f>
        <v/>
      </c>
      <c r="O1020" s="10" t="n"/>
    </row>
    <row r="1021">
      <c r="B1021" s="7" t="n">
        <v>1019</v>
      </c>
      <c r="C1021" t="inlineStr">
        <is>
          <t>Data Translator</t>
        </is>
      </c>
      <c r="D1021" t="inlineStr">
        <is>
          <t>Ngân Hàng TMCP Quốc Tế Việt Nam (VIB)</t>
        </is>
      </c>
      <c r="E1021" t="inlineStr">
        <is>
          <t>Thương lượng</t>
        </is>
      </c>
      <c r="F1021" t="inlineStr">
        <is>
          <t>Hồ Chí Minh</t>
        </is>
      </c>
      <c r="G1021" t="inlineStr">
        <is>
          <t>Nhân viên</t>
        </is>
      </c>
      <c r="H1021" t="inlineStr">
        <is>
          <t>05/02/2026</t>
        </is>
      </c>
      <c r="I1021" t="inlineStr">
        <is>
          <t>22/03/2026</t>
        </is>
      </c>
      <c r="J1021" t="inlineStr">
        <is>
          <t>17/03/2026</t>
        </is>
      </c>
      <c r="K1021" t="inlineStr">
        <is>
          <t>N/A</t>
        </is>
      </c>
      <c r="L1021" t="inlineStr">
        <is>
          <t>BI Tools, Collaboration, Data Analysis, Data Warehouse Systems, Database Query</t>
        </is>
      </c>
      <c r="M1021" t="inlineStr">
        <is>
          <t>Bonus, Paid Leave, Travel Opportunities</t>
        </is>
      </c>
      <c r="N1021" s="8">
        <f>HYPERLINK("https://www.vietnamworks.com/data-translator-2010167-jv","Xem chi tiết")</f>
        <v/>
      </c>
    </row>
    <row r="1022">
      <c r="B1022" s="9" t="n">
        <v>1020</v>
      </c>
      <c r="C1022" s="10" t="inlineStr">
        <is>
          <t>[Tây Ninh] Sales Supervisor/ Giám Sát Bán Hàng Kênh GT</t>
        </is>
      </c>
      <c r="D1022" s="10" t="inlineStr">
        <is>
          <t>Diana Unicharm JSC</t>
        </is>
      </c>
      <c r="E1022" s="10" t="inlineStr">
        <is>
          <t>Thương lượng</t>
        </is>
      </c>
      <c r="F1022" s="10" t="inlineStr">
        <is>
          <t>Tây Ninh</t>
        </is>
      </c>
      <c r="G1022" s="10" t="inlineStr">
        <is>
          <t>Nhân viên</t>
        </is>
      </c>
      <c r="H1022" s="10" t="inlineStr">
        <is>
          <t>05/02/2026</t>
        </is>
      </c>
      <c r="I1022" s="10" t="inlineStr">
        <is>
          <t>22/03/2026</t>
        </is>
      </c>
      <c r="J1022" s="10" t="inlineStr">
        <is>
          <t>17/03/2026</t>
        </is>
      </c>
      <c r="K1022" s="10" t="inlineStr">
        <is>
          <t>N/A</t>
        </is>
      </c>
      <c r="L1022" s="10" t="inlineStr">
        <is>
          <t>FMCG, Sales Planning, Sales</t>
        </is>
      </c>
      <c r="M1022" s="10" t="inlineStr">
        <is>
          <t>Bonus, Healthcare Plan, Others</t>
        </is>
      </c>
      <c r="N1022" s="11">
        <f>HYPERLINK("https://www.vietnamworks.com/tay-ninh-sales-supervisor-giam-sat-ban-hang-kenh-gt--2010177-jv","Xem chi tiết")</f>
        <v/>
      </c>
      <c r="O1022" s="10" t="n"/>
    </row>
    <row r="1023">
      <c r="B1023" s="7" t="n">
        <v>1021</v>
      </c>
      <c r="C1023" t="inlineStr">
        <is>
          <t>Production Supervisor</t>
        </is>
      </c>
      <c r="D1023" t="inlineStr">
        <is>
          <t>Jabil Vietnam Company Limited</t>
        </is>
      </c>
      <c r="E1023" t="inlineStr">
        <is>
          <t>Thương lượng</t>
        </is>
      </c>
      <c r="F1023" t="inlineStr">
        <is>
          <t>Hồ Chí Minh</t>
        </is>
      </c>
      <c r="G1023" t="inlineStr">
        <is>
          <t>Nhân viên</t>
        </is>
      </c>
      <c r="H1023" t="inlineStr">
        <is>
          <t>05/02/2026</t>
        </is>
      </c>
      <c r="I1023" t="inlineStr">
        <is>
          <t>22/03/2026</t>
        </is>
      </c>
      <c r="J1023" t="inlineStr">
        <is>
          <t>17/03/2026</t>
        </is>
      </c>
      <c r="K1023" t="inlineStr">
        <is>
          <t>N/A</t>
        </is>
      </c>
      <c r="L1023" t="inlineStr">
        <is>
          <t>Quality Auditing, Corrective Maintenance, Preventive Healthcare</t>
        </is>
      </c>
      <c r="M1023" t="inlineStr">
        <is>
          <t>Healthcare Plan, Training, Transportation</t>
        </is>
      </c>
      <c r="N1023" s="8">
        <f>HYPERLINK("https://www.vietnamworks.com/production-supervisor--2010174-jv","Xem chi tiết")</f>
        <v/>
      </c>
    </row>
    <row r="1024">
      <c r="B1024" s="9" t="n">
        <v>1022</v>
      </c>
      <c r="C1024" s="10" t="inlineStr">
        <is>
          <t>Phó Trưởng Phòng Kế Toán</t>
        </is>
      </c>
      <c r="D1024" s="10" t="inlineStr">
        <is>
          <t>Công ty Cổ phần Quản Lý Quỹ HD</t>
        </is>
      </c>
      <c r="E1024" s="10" t="inlineStr">
        <is>
          <t>$$ 500-3,000 /tháng</t>
        </is>
      </c>
      <c r="F1024" s="10" t="inlineStr">
        <is>
          <t>Hồ Chí Minh</t>
        </is>
      </c>
      <c r="G1024" s="10" t="inlineStr">
        <is>
          <t>Trưởng phòng</t>
        </is>
      </c>
      <c r="H1024" s="10" t="inlineStr">
        <is>
          <t>05/02/2026</t>
        </is>
      </c>
      <c r="I1024" s="10" t="inlineStr">
        <is>
          <t>22/03/2026</t>
        </is>
      </c>
      <c r="J1024" s="10" t="inlineStr">
        <is>
          <t>17/03/2026</t>
        </is>
      </c>
      <c r="K1024" s="10" t="inlineStr">
        <is>
          <t>N/A</t>
        </is>
      </c>
      <c r="L1024" s="10" t="inlineStr">
        <is>
          <t>Kế Toán, Kiểm Toán, Quản Lý Quỹ, Tài Chính, Tỉ Mỉ Cẩn Trọng</t>
        </is>
      </c>
      <c r="M1024" s="10" t="inlineStr">
        <is>
          <t>Healthcare Plan, Others</t>
        </is>
      </c>
      <c r="N1024" s="11">
        <f>HYPERLINK("https://www.vietnamworks.com/pho-truong-phong-ke-toan-2010172-jv","Xem chi tiết")</f>
        <v/>
      </c>
      <c r="O1024" s="10" t="n"/>
    </row>
    <row r="1025">
      <c r="B1025" s="7" t="n">
        <v>1023</v>
      </c>
      <c r="C1025" t="inlineStr">
        <is>
          <t>Senior Finance Analyst</t>
        </is>
      </c>
      <c r="D1025" t="inlineStr">
        <is>
          <t>Got It</t>
        </is>
      </c>
      <c r="E1025" t="inlineStr">
        <is>
          <t>Thương lượng</t>
        </is>
      </c>
      <c r="F1025" t="inlineStr">
        <is>
          <t>Hồ Chí Minh</t>
        </is>
      </c>
      <c r="G1025" t="inlineStr">
        <is>
          <t>Nhân viên</t>
        </is>
      </c>
      <c r="H1025" t="inlineStr">
        <is>
          <t>05/02/2026</t>
        </is>
      </c>
      <c r="I1025" t="inlineStr">
        <is>
          <t>22/03/2026</t>
        </is>
      </c>
      <c r="J1025" t="inlineStr">
        <is>
          <t>17/03/2026</t>
        </is>
      </c>
      <c r="K1025" t="inlineStr">
        <is>
          <t>N/A</t>
        </is>
      </c>
      <c r="L1025" t="inlineStr">
        <is>
          <t>Financial Modeling, Investment Analysis, Sales Insight, Scenario Planning, Finance Analyst</t>
        </is>
      </c>
      <c r="M1025" t="inlineStr">
        <is>
          <t>Healthcare Plan, Training, Awards, Team Activities, Others</t>
        </is>
      </c>
      <c r="N1025" s="8">
        <f>HYPERLINK("https://www.vietnamworks.com/senior-finance-analyst-2010168-jv","Xem chi tiết")</f>
        <v/>
      </c>
    </row>
    <row r="1026">
      <c r="B1026" s="9" t="n">
        <v>1024</v>
      </c>
      <c r="C1026" s="10" t="inlineStr">
        <is>
          <t>[Đồng Nai] Area Supervisor/ Giám Sát Bán Hàng Kênh GT</t>
        </is>
      </c>
      <c r="D1026" s="10" t="inlineStr">
        <is>
          <t>Diana Unicharm JSC</t>
        </is>
      </c>
      <c r="E1026" s="10" t="inlineStr">
        <is>
          <t>Thương lượng</t>
        </is>
      </c>
      <c r="F1026" s="10" t="inlineStr">
        <is>
          <t>Đồng Nai</t>
        </is>
      </c>
      <c r="G1026" s="10" t="inlineStr">
        <is>
          <t>Nhân viên</t>
        </is>
      </c>
      <c r="H1026" s="10" t="inlineStr">
        <is>
          <t>05/02/2026</t>
        </is>
      </c>
      <c r="I1026" s="10" t="inlineStr">
        <is>
          <t>22/03/2026</t>
        </is>
      </c>
      <c r="J1026" s="10" t="inlineStr">
        <is>
          <t>17/03/2026</t>
        </is>
      </c>
      <c r="K1026" s="10" t="inlineStr">
        <is>
          <t>N/A</t>
        </is>
      </c>
      <c r="L1026" s="10" t="inlineStr">
        <is>
          <t>FMCG, Sales Planning, Sales</t>
        </is>
      </c>
      <c r="M1026" s="10" t="inlineStr">
        <is>
          <t>Bonus, Healthcare Plan, Others</t>
        </is>
      </c>
      <c r="N1026" s="11">
        <f>HYPERLINK("https://www.vietnamworks.com/dong-nai-area-supervisor-giam-sat-ban-hang-kenh-gt-2010176-jv","Xem chi tiết")</f>
        <v/>
      </c>
      <c r="O1026" s="10" t="n"/>
    </row>
    <row r="1027">
      <c r="B1027" s="7" t="n">
        <v>1025</v>
      </c>
      <c r="C1027" t="inlineStr">
        <is>
          <t>Material Planning And Logistic Manager (Hải Phòng/ Quảng Ninh)</t>
        </is>
      </c>
      <c r="D1027" t="inlineStr">
        <is>
          <t>Autoliv Vietnam</t>
        </is>
      </c>
      <c r="E1027" t="inlineStr">
        <is>
          <t>Tới $ 4,000 /tháng</t>
        </is>
      </c>
      <c r="F1027" t="inlineStr">
        <is>
          <t>Quảng Ninh, Hải Phòng</t>
        </is>
      </c>
      <c r="G1027" t="inlineStr">
        <is>
          <t>Trưởng phòng</t>
        </is>
      </c>
      <c r="H1027" t="inlineStr">
        <is>
          <t>05/02/2026</t>
        </is>
      </c>
      <c r="I1027" t="inlineStr">
        <is>
          <t>22/03/2026</t>
        </is>
      </c>
      <c r="J1027" t="inlineStr">
        <is>
          <t>17/03/2026</t>
        </is>
      </c>
      <c r="K1027" t="inlineStr">
        <is>
          <t>N/A</t>
        </is>
      </c>
      <c r="L1027" t="inlineStr">
        <is>
          <t>Material Management, Supply Chain Management, Warehouse Management, Inbound Freight Management, Communication Skills</t>
        </is>
      </c>
      <c r="M1027" t="inlineStr">
        <is>
          <t>Bonus, Paid Leave, Transportation</t>
        </is>
      </c>
      <c r="N1027" s="8">
        <f>HYPERLINK("https://www.vietnamworks.com/material-planning-and-logistic-manager-hai-phong-quang-ninh-2010154-jv","Xem chi tiết")</f>
        <v/>
      </c>
    </row>
    <row r="1028">
      <c r="B1028" s="9" t="n">
        <v>1026</v>
      </c>
      <c r="C1028" s="10" t="inlineStr">
        <is>
          <t>MEP Project Manager/ Quản Lý Dự Án MEP</t>
        </is>
      </c>
      <c r="D1028" s="10" t="inlineStr">
        <is>
          <t>Công Ty TNHH Xây Dựng Solutions</t>
        </is>
      </c>
      <c r="E1028" s="10" t="inlineStr">
        <is>
          <t>Thương lượng</t>
        </is>
      </c>
      <c r="F1028" s="10" t="inlineStr">
        <is>
          <t>Hồ Chí Minh</t>
        </is>
      </c>
      <c r="G1028" s="10" t="inlineStr">
        <is>
          <t>Nhân viên</t>
        </is>
      </c>
      <c r="H1028" s="10" t="inlineStr">
        <is>
          <t>05/02/2026</t>
        </is>
      </c>
      <c r="I1028" s="10" t="inlineStr">
        <is>
          <t>22/03/2026</t>
        </is>
      </c>
      <c r="J1028" s="10" t="inlineStr">
        <is>
          <t>17/03/2026</t>
        </is>
      </c>
      <c r="K1028" s="10" t="inlineStr">
        <is>
          <t>N/A</t>
        </is>
      </c>
      <c r="L1028" s="10" t="inlineStr">
        <is>
          <t>Quản Lý Dự Án MEP, Thiết Kế Hệ Thống HVAC, AutoCAD, MS Project, Ms Project</t>
        </is>
      </c>
      <c r="M1028" s="10" t="inlineStr">
        <is>
          <t>Bonus, Healthcare Plan, Paid Leave, Training, Others</t>
        </is>
      </c>
      <c r="N1028" s="11">
        <f>HYPERLINK("https://www.vietnamworks.com/mep-project-manager-quan-ly-du-an-mep-2010150-jv","Xem chi tiết")</f>
        <v/>
      </c>
      <c r="O1028" s="10" t="n"/>
    </row>
    <row r="1029">
      <c r="B1029" s="7" t="n">
        <v>1027</v>
      </c>
      <c r="C1029" t="inlineStr">
        <is>
          <t>Sales And Customer Service Coordinator (1-Year Contract)</t>
        </is>
      </c>
      <c r="D1029" t="inlineStr">
        <is>
          <t>Archer Daniels Midland (ADM)</t>
        </is>
      </c>
      <c r="E1029" t="inlineStr">
        <is>
          <t>Thương lượng</t>
        </is>
      </c>
      <c r="F1029" t="inlineStr">
        <is>
          <t>Hồ Chí Minh</t>
        </is>
      </c>
      <c r="G1029" t="inlineStr">
        <is>
          <t>Nhân viên</t>
        </is>
      </c>
      <c r="H1029" t="inlineStr">
        <is>
          <t>05/02/2026</t>
        </is>
      </c>
      <c r="I1029" t="inlineStr">
        <is>
          <t>22/03/2026</t>
        </is>
      </c>
      <c r="J1029" t="inlineStr">
        <is>
          <t>17/03/2026</t>
        </is>
      </c>
      <c r="K1029" t="inlineStr">
        <is>
          <t>N/A</t>
        </is>
      </c>
      <c r="L1029" t="inlineStr">
        <is>
          <t>Communication, Customer Service, Logistics Management, Sales Support, Supply Chain</t>
        </is>
      </c>
      <c r="M1029" t="inlineStr">
        <is>
          <t>Healthcare Plan, Others</t>
        </is>
      </c>
      <c r="N1029" s="8">
        <f>HYPERLINK("https://www.vietnamworks.com/sales-and-customer-service-coordinator-1-year-contract-2010155-jv","Xem chi tiết")</f>
        <v/>
      </c>
    </row>
    <row r="1030">
      <c r="B1030" s="9" t="n">
        <v>1028</v>
      </c>
      <c r="C1030" s="10" t="inlineStr">
        <is>
          <t>Chuyên Viên Kế Hoạch</t>
        </is>
      </c>
      <c r="D1030" s="10" t="inlineStr">
        <is>
          <t>Ngân Hàng TMCP Ngoại Thương Việt Nam - Vietcombank</t>
        </is>
      </c>
      <c r="E1030" s="10" t="inlineStr">
        <is>
          <t>Thương lượng</t>
        </is>
      </c>
      <c r="F1030" s="10" t="inlineStr">
        <is>
          <t>Hà Nội</t>
        </is>
      </c>
      <c r="G1030" s="10" t="inlineStr">
        <is>
          <t>Nhân viên</t>
        </is>
      </c>
      <c r="H1030" s="10" t="inlineStr">
        <is>
          <t>05/02/2026</t>
        </is>
      </c>
      <c r="I1030" s="10" t="inlineStr">
        <is>
          <t>22/03/2026</t>
        </is>
      </c>
      <c r="J1030" s="10" t="inlineStr">
        <is>
          <t>17/03/2026</t>
        </is>
      </c>
      <c r="K1030" s="10" t="inlineStr">
        <is>
          <t>N/A</t>
        </is>
      </c>
      <c r="L1030" s="10" t="inlineStr">
        <is>
          <t>Phân Tích Tài Chính, ACCA, Kế Hoạch Tài Chính, Tài Chính Ngân Hàng, Hoạch Định Chiến Lược</t>
        </is>
      </c>
      <c r="M1030" s="10" t="inlineStr">
        <is>
          <t>Bonus</t>
        </is>
      </c>
      <c r="N1030" s="11">
        <f>HYPERLINK("https://www.vietnamworks.com/chuyen-vien-ke-hoach--2010175-jv","Xem chi tiết")</f>
        <v/>
      </c>
      <c r="O1030" s="10" t="n"/>
    </row>
    <row r="1031">
      <c r="B1031" s="7" t="n">
        <v>1029</v>
      </c>
      <c r="C1031" t="inlineStr">
        <is>
          <t>General Accountant – Logistics (HPH Branch)</t>
        </is>
      </c>
      <c r="D1031" t="inlineStr">
        <is>
          <t>CÔNG TY TNHH WHALE LOGISTICS VIỆT NAM - CHI NHÁNH HẢI PHÒNG</t>
        </is>
      </c>
      <c r="E1031" t="inlineStr">
        <is>
          <t>Thương lượng</t>
        </is>
      </c>
      <c r="F1031" t="inlineStr">
        <is>
          <t>Hải Phòng</t>
        </is>
      </c>
      <c r="G1031" t="inlineStr">
        <is>
          <t>Nhân viên</t>
        </is>
      </c>
      <c r="H1031" t="inlineStr">
        <is>
          <t>05/02/2026</t>
        </is>
      </c>
      <c r="I1031" t="inlineStr">
        <is>
          <t>22/03/2026</t>
        </is>
      </c>
      <c r="J1031" t="inlineStr">
        <is>
          <t>17/03/2026</t>
        </is>
      </c>
      <c r="K1031" t="inlineStr">
        <is>
          <t>N/A</t>
        </is>
      </c>
      <c r="L1031" t="inlineStr">
        <is>
          <t>Logistics Costs, MS Excel, Reporting, Tax Declaration, VAS</t>
        </is>
      </c>
      <c r="M1031" t="inlineStr">
        <is>
          <t>Bonus, Healthcare Plan, Others</t>
        </is>
      </c>
      <c r="N1031" s="8">
        <f>HYPERLINK("https://www.vietnamworks.com/general-accountant-logistics-hph-branch-2010190-jv","Xem chi tiết")</f>
        <v/>
      </c>
    </row>
    <row r="1032">
      <c r="B1032" s="9" t="n">
        <v>1030</v>
      </c>
      <c r="C1032" s="10" t="inlineStr">
        <is>
          <t>Chuyên Viên Chăm Sóc Khách Hàng</t>
        </is>
      </c>
      <c r="D1032" s="10" t="inlineStr">
        <is>
          <t>Công Ty Cổ Phần Tập Đoàn Masterise</t>
        </is>
      </c>
      <c r="E1032" s="10" t="inlineStr">
        <is>
          <t>Thương lượng</t>
        </is>
      </c>
      <c r="F1032" s="10" t="inlineStr">
        <is>
          <t>Hà Nội</t>
        </is>
      </c>
      <c r="G1032" s="10" t="inlineStr">
        <is>
          <t>Nhân viên</t>
        </is>
      </c>
      <c r="H1032" s="10" t="inlineStr">
        <is>
          <t>05/02/2026</t>
        </is>
      </c>
      <c r="I1032" s="10" t="inlineStr">
        <is>
          <t>22/03/2026</t>
        </is>
      </c>
      <c r="J1032" s="10" t="inlineStr">
        <is>
          <t>17/03/2026</t>
        </is>
      </c>
      <c r="K1032" s="10" t="inlineStr">
        <is>
          <t>N/A</t>
        </is>
      </c>
      <c r="L1032" s="10" t="inlineStr">
        <is>
          <t>Chăm Sóc Khách Hàng, Quản Lý Quan Hệ Khách Hàng, Customer Support, Xử Lý Khiếu Nại</t>
        </is>
      </c>
      <c r="M1032" s="10" t="inlineStr">
        <is>
          <t>Bonus, Healthcare Plan, Laptop</t>
        </is>
      </c>
      <c r="N1032" s="11">
        <f>HYPERLINK("https://www.vietnamworks.com/chuyen-vien-cham-soc-khach-hang-2010179-jv","Xem chi tiết")</f>
        <v/>
      </c>
      <c r="O1032" s="10" t="n"/>
    </row>
    <row r="1033">
      <c r="B1033" s="7" t="n">
        <v>1031</v>
      </c>
      <c r="C1033" t="inlineStr">
        <is>
          <t>Kỹ Sư Thiết Kế Cấp Thoát Nước Công Trình</t>
        </is>
      </c>
      <c r="D1033" t="inlineStr">
        <is>
          <t>Tổng công ty Tư vấn Xây dựng Việt Nam - CTCP</t>
        </is>
      </c>
      <c r="E1033" t="inlineStr">
        <is>
          <t>15tr-20tr ₫/tháng</t>
        </is>
      </c>
      <c r="F1033" t="inlineStr">
        <is>
          <t>Hà Nội</t>
        </is>
      </c>
      <c r="G1033" t="inlineStr">
        <is>
          <t>Nhân viên</t>
        </is>
      </c>
      <c r="H1033" t="inlineStr">
        <is>
          <t>05/02/2026</t>
        </is>
      </c>
      <c r="I1033" t="inlineStr">
        <is>
          <t>22/03/2026</t>
        </is>
      </c>
      <c r="J1033" t="inlineStr">
        <is>
          <t>17/03/2026</t>
        </is>
      </c>
      <c r="K1033" t="inlineStr">
        <is>
          <t>N/A</t>
        </is>
      </c>
      <c r="L1033" t="inlineStr">
        <is>
          <t>Autocad, Cấp Thoát Nước, HSE, HSE Management Systems, Thiết Kế Cấp Thoát Nước</t>
        </is>
      </c>
      <c r="M1033" t="inlineStr">
        <is>
          <t>Training, Travel Opportunities, Others</t>
        </is>
      </c>
      <c r="N1033" s="8">
        <f>HYPERLINK("https://www.vietnamworks.com/ky-su-thiet-ke-cap-thoat-nuoc-cong-trinh-2010194-jv","Xem chi tiết")</f>
        <v/>
      </c>
    </row>
    <row r="1034">
      <c r="B1034" s="9" t="n">
        <v>1032</v>
      </c>
      <c r="C1034" s="10" t="inlineStr">
        <is>
          <t>Kế Toán Doanh Thu</t>
        </is>
      </c>
      <c r="D1034" s="10" t="inlineStr">
        <is>
          <t>Rentokil Initial (Viet Nam) Limited Company</t>
        </is>
      </c>
      <c r="E1034" s="10" t="inlineStr">
        <is>
          <t>$$ 500-600 /tháng</t>
        </is>
      </c>
      <c r="F1034" s="10" t="inlineStr">
        <is>
          <t>Hồ Chí Minh</t>
        </is>
      </c>
      <c r="G1034" s="10" t="inlineStr">
        <is>
          <t>Mới Tốt Nghiệp</t>
        </is>
      </c>
      <c r="H1034" s="10" t="inlineStr">
        <is>
          <t>05/02/2026</t>
        </is>
      </c>
      <c r="I1034" s="10" t="inlineStr">
        <is>
          <t>22/03/2026</t>
        </is>
      </c>
      <c r="J1034" s="10" t="inlineStr">
        <is>
          <t>17/03/2026</t>
        </is>
      </c>
      <c r="K1034" s="10" t="inlineStr">
        <is>
          <t>N/A</t>
        </is>
      </c>
      <c r="L1034" s="10" t="inlineStr">
        <is>
          <t>Lập Báo Cáo Doanh Thu, Kế Toán, Kế Toán Xuất Hóa Đơn, Kế Toán Bán Hàng, Kế Toán Doanh Thu</t>
        </is>
      </c>
      <c r="M1034" s="10" t="inlineStr">
        <is>
          <t>Bonus, Healthcare Plan, Awards</t>
        </is>
      </c>
      <c r="N1034" s="11">
        <f>HYPERLINK("https://www.vietnamworks.com/ke-toan-doanh-thu--2010183-jv","Xem chi tiết")</f>
        <v/>
      </c>
      <c r="O1034" s="10" t="n"/>
    </row>
    <row r="1035">
      <c r="B1035" s="7" t="n">
        <v>1033</v>
      </c>
      <c r="C1035" t="inlineStr">
        <is>
          <t>Kỹ Sự Thiết Kế Hạ Tầng Kỹ Thuật</t>
        </is>
      </c>
      <c r="D1035" t="inlineStr">
        <is>
          <t>Tổng công ty Tư vấn Xây dựng Việt Nam - CTCP</t>
        </is>
      </c>
      <c r="E1035" t="inlineStr">
        <is>
          <t>15tr-20tr ₫/tháng</t>
        </is>
      </c>
      <c r="F1035" t="inlineStr">
        <is>
          <t>Hà Nội</t>
        </is>
      </c>
      <c r="G1035" t="inlineStr">
        <is>
          <t>Nhân viên</t>
        </is>
      </c>
      <c r="H1035" t="inlineStr">
        <is>
          <t>05/02/2026</t>
        </is>
      </c>
      <c r="I1035" t="inlineStr">
        <is>
          <t>22/03/2026</t>
        </is>
      </c>
      <c r="J1035" t="inlineStr">
        <is>
          <t>17/03/2026</t>
        </is>
      </c>
      <c r="K1035" t="inlineStr">
        <is>
          <t>N/A</t>
        </is>
      </c>
      <c r="L1035" t="inlineStr">
        <is>
          <t>Xây Dựng, Hạ Tầng Kỹ Thuật, M&amp;E, Quy Hoạch Hạ Tầng Kỹ Thuật, Thiết Kế Cơ Điện</t>
        </is>
      </c>
      <c r="M1035" t="inlineStr">
        <is>
          <t>Training, Travel Opportunities, Others</t>
        </is>
      </c>
      <c r="N1035" s="8">
        <f>HYPERLINK("https://www.vietnamworks.com/ky-su-thiet-ke-ha-tang-ky-thuat-2010202-jv","Xem chi tiết")</f>
        <v/>
      </c>
    </row>
    <row r="1036">
      <c r="B1036" s="9" t="n">
        <v>1034</v>
      </c>
      <c r="C1036" s="10" t="inlineStr">
        <is>
          <t>Accounting Executive</t>
        </is>
      </c>
      <c r="D1036" s="10" t="inlineStr">
        <is>
          <t>Công Ty Cổ Phần Dịch Vụ Di Động Trực Tuyến (Ví MoMo)</t>
        </is>
      </c>
      <c r="E1036" s="10" t="inlineStr">
        <is>
          <t>Thương lượng</t>
        </is>
      </c>
      <c r="F1036" s="10" t="inlineStr">
        <is>
          <t>Hồ Chí Minh</t>
        </is>
      </c>
      <c r="G1036" s="10" t="inlineStr">
        <is>
          <t>Nhân viên</t>
        </is>
      </c>
      <c r="H1036" s="10" t="inlineStr">
        <is>
          <t>05/02/2026</t>
        </is>
      </c>
      <c r="I1036" s="10" t="inlineStr">
        <is>
          <t>22/03/2026</t>
        </is>
      </c>
      <c r="J1036" s="10" t="inlineStr">
        <is>
          <t>17/03/2026</t>
        </is>
      </c>
      <c r="K1036" s="10" t="inlineStr">
        <is>
          <t>N/A</t>
        </is>
      </c>
      <c r="L1036" s="10" t="inlineStr">
        <is>
          <t>Accounting, General Accounting, Securities, Financial Services, Kế Toán</t>
        </is>
      </c>
      <c r="M1036" s="10" t="inlineStr">
        <is>
          <t>Bonus, Healthcare Plan, Team Activities</t>
        </is>
      </c>
      <c r="N1036" s="11">
        <f>HYPERLINK("https://www.vietnamworks.com/accounting-executive--2010203-jv","Xem chi tiết")</f>
        <v/>
      </c>
      <c r="O1036" s="10" t="n"/>
    </row>
    <row r="1037">
      <c r="B1037" s="7" t="n">
        <v>1035</v>
      </c>
      <c r="C1037" t="inlineStr">
        <is>
          <t>Nhân Viên Kinh Doanh Tại HCM và HN (Nam)</t>
        </is>
      </c>
      <c r="D1037" t="inlineStr">
        <is>
          <t>YG-1 Vietnam</t>
        </is>
      </c>
      <c r="E1037" t="inlineStr">
        <is>
          <t>15tr-22tr ₫/tháng</t>
        </is>
      </c>
      <c r="F1037" t="inlineStr">
        <is>
          <t>Hồ Chí Minh, Hà Nội</t>
        </is>
      </c>
      <c r="G1037" t="inlineStr">
        <is>
          <t>Nhân viên</t>
        </is>
      </c>
      <c r="H1037" t="inlineStr">
        <is>
          <t>05/02/2026</t>
        </is>
      </c>
      <c r="I1037" t="inlineStr">
        <is>
          <t>22/03/2026</t>
        </is>
      </c>
      <c r="J1037" t="inlineStr">
        <is>
          <t>17/03/2026</t>
        </is>
      </c>
      <c r="K1037" t="inlineStr">
        <is>
          <t>N/A</t>
        </is>
      </c>
      <c r="L1037" t="inlineStr">
        <is>
          <t>Cơ Khí Chế Tạo Máy, Tư Vấn Bán Hàng, Phát Triển Khách Hàng, CNC, Bán Hàng Kỹ Thuật</t>
        </is>
      </c>
      <c r="M1037" t="inlineStr">
        <is>
          <t>Bonus, Healthcare Plan, Training, Awards, Team Activities</t>
        </is>
      </c>
      <c r="N1037" s="8">
        <f>HYPERLINK("https://www.vietnamworks.com/nhan-vien-kinh-doanh-tai-hcm-va-hn-nam-2010187-jv","Xem chi tiết")</f>
        <v/>
      </c>
    </row>
    <row r="1038">
      <c r="B1038" s="9" t="n">
        <v>1036</v>
      </c>
      <c r="C1038" s="10" t="inlineStr">
        <is>
          <t>03 Sales Tour Inbound (English) - Immediate Interview</t>
        </is>
      </c>
      <c r="D1038" s="10" t="inlineStr">
        <is>
          <t>Công Ty Cổ Phần Du Lịch Absolute Asia</t>
        </is>
      </c>
      <c r="E1038" s="10" t="inlineStr">
        <is>
          <t>Thương lượng</t>
        </is>
      </c>
      <c r="F1038" s="10" t="inlineStr">
        <is>
          <t>Hà Nội</t>
        </is>
      </c>
      <c r="G1038" s="10" t="inlineStr">
        <is>
          <t>Nhân viên</t>
        </is>
      </c>
      <c r="H1038" s="10" t="inlineStr">
        <is>
          <t>05/02/2026</t>
        </is>
      </c>
      <c r="I1038" s="10" t="inlineStr">
        <is>
          <t>22/03/2026</t>
        </is>
      </c>
      <c r="J1038" s="10" t="inlineStr">
        <is>
          <t>17/03/2026</t>
        </is>
      </c>
      <c r="K1038" s="10" t="inlineStr">
        <is>
          <t>N/A</t>
        </is>
      </c>
      <c r="L1038" s="10" t="inlineStr">
        <is>
          <t>Inbound Sales, Finding Customers, Quotation Management, Inbound Tour, Sales Planning</t>
        </is>
      </c>
      <c r="M1038" s="10" t="inlineStr">
        <is>
          <t>Bonus, Healthcare Plan, Others</t>
        </is>
      </c>
      <c r="N1038" s="11">
        <f>HYPERLINK("https://www.vietnamworks.com/03-sales-tour-inbound-english-immediate-interview-2010201-jv","Xem chi tiết")</f>
        <v/>
      </c>
      <c r="O1038" s="10" t="n"/>
    </row>
    <row r="1039">
      <c r="B1039" s="7" t="n">
        <v>1037</v>
      </c>
      <c r="C1039" t="inlineStr">
        <is>
          <t>SMT Engineer</t>
        </is>
      </c>
      <c r="D1039" t="inlineStr">
        <is>
          <t>Công Ty TNHH LG Innotek Việt Nam Hải Phòng</t>
        </is>
      </c>
      <c r="E1039" t="inlineStr">
        <is>
          <t>$$ 500-1,000 /tháng</t>
        </is>
      </c>
      <c r="F1039" t="inlineStr">
        <is>
          <t>Hải Phòng</t>
        </is>
      </c>
      <c r="G1039" t="inlineStr">
        <is>
          <t>Nhân viên</t>
        </is>
      </c>
      <c r="H1039" t="inlineStr">
        <is>
          <t>05/02/2026</t>
        </is>
      </c>
      <c r="I1039" t="inlineStr">
        <is>
          <t>22/03/2026</t>
        </is>
      </c>
      <c r="J1039" t="inlineStr">
        <is>
          <t>17/03/2026</t>
        </is>
      </c>
      <c r="K1039" t="inlineStr">
        <is>
          <t>N/A</t>
        </is>
      </c>
      <c r="L1039" t="inlineStr">
        <is>
          <t>Analytical Thinking, Process Development, Vendor Management, Project Improvement, Smt Process Optimization</t>
        </is>
      </c>
      <c r="M1039" t="inlineStr">
        <is>
          <t>Bonus, Transportation, Others</t>
        </is>
      </c>
      <c r="N1039" s="8">
        <f>HYPERLINK("https://www.vietnamworks.com/smt-engineer-2010182-jv","Xem chi tiết")</f>
        <v/>
      </c>
    </row>
    <row r="1040">
      <c r="B1040" s="9" t="n">
        <v>1038</v>
      </c>
      <c r="C1040" s="10" t="inlineStr">
        <is>
          <t>Kiến Trúc Sư Thiết Kế</t>
        </is>
      </c>
      <c r="D1040" s="10" t="inlineStr">
        <is>
          <t>Tổng công ty Tư vấn Xây dựng Việt Nam - CTCP</t>
        </is>
      </c>
      <c r="E1040" s="10" t="inlineStr">
        <is>
          <t>15tr-20tr ₫/tháng</t>
        </is>
      </c>
      <c r="F1040" s="10" t="inlineStr">
        <is>
          <t>Hà Nội</t>
        </is>
      </c>
      <c r="G1040" s="10" t="inlineStr">
        <is>
          <t>Nhân viên</t>
        </is>
      </c>
      <c r="H1040" s="10" t="inlineStr">
        <is>
          <t>05/02/2026</t>
        </is>
      </c>
      <c r="I1040" s="10" t="inlineStr">
        <is>
          <t>22/03/2026</t>
        </is>
      </c>
      <c r="J1040" s="10" t="inlineStr">
        <is>
          <t>17/03/2026</t>
        </is>
      </c>
      <c r="K1040" s="10" t="inlineStr">
        <is>
          <t>N/A</t>
        </is>
      </c>
      <c r="L1040" s="10" t="inlineStr">
        <is>
          <t>Kiến Trúc, Kiến Trúc Cảnh Quan, Kiến Trúc Công Trình, Kiến Trúc Giải Pháp, Kiến Trúc Quy Hoạch</t>
        </is>
      </c>
      <c r="M1040" s="10" t="inlineStr">
        <is>
          <t>Training, Travel Opportunities, Others</t>
        </is>
      </c>
      <c r="N1040" s="11">
        <f>HYPERLINK("https://www.vietnamworks.com/kien-truc-su-thiet-ke-2010197-jv","Xem chi tiết")</f>
        <v/>
      </c>
      <c r="O1040" s="10" t="n"/>
    </row>
    <row r="1041">
      <c r="B1041" s="7" t="n">
        <v>1039</v>
      </c>
      <c r="C1041" t="inlineStr">
        <is>
          <t>Purchasing Staff</t>
        </is>
      </c>
      <c r="D1041" t="inlineStr">
        <is>
          <t>VIETNAM HOUSEWARES CORP</t>
        </is>
      </c>
      <c r="E1041" t="inlineStr">
        <is>
          <t>Thương lượng</t>
        </is>
      </c>
      <c r="F1041" t="inlineStr">
        <is>
          <t>Bình Dương</t>
        </is>
      </c>
      <c r="G1041" t="inlineStr">
        <is>
          <t>Nhân viên</t>
        </is>
      </c>
      <c r="H1041" t="inlineStr">
        <is>
          <t>05/02/2026</t>
        </is>
      </c>
      <c r="I1041" t="inlineStr">
        <is>
          <t>22/03/2026</t>
        </is>
      </c>
      <c r="J1041" t="inlineStr">
        <is>
          <t>17/03/2026</t>
        </is>
      </c>
      <c r="K1041" t="inlineStr">
        <is>
          <t>N/A</t>
        </is>
      </c>
      <c r="L1041" t="inlineStr">
        <is>
          <t>MS Office, Planning, Purchasing</t>
        </is>
      </c>
      <c r="M1041" t="inlineStr">
        <is>
          <t>Awards</t>
        </is>
      </c>
      <c r="N1041" s="8">
        <f>HYPERLINK("https://www.vietnamworks.com/purchasing-staff-2010181-jv","Xem chi tiết")</f>
        <v/>
      </c>
    </row>
    <row r="1042">
      <c r="B1042" s="9" t="n">
        <v>1040</v>
      </c>
      <c r="C1042" s="10" t="inlineStr">
        <is>
          <t>Junior/ Senior QA (Up to 30M)</t>
        </is>
      </c>
      <c r="D1042" s="10" t="inlineStr">
        <is>
          <t>Công Ty Cổ Phần Sunteco</t>
        </is>
      </c>
      <c r="E1042" s="10" t="inlineStr">
        <is>
          <t>Tới 30tr ₫/tháng</t>
        </is>
      </c>
      <c r="F1042" s="10" t="inlineStr">
        <is>
          <t>Hà Nội</t>
        </is>
      </c>
      <c r="G1042" s="10" t="inlineStr">
        <is>
          <t>Mới Tốt Nghiệp</t>
        </is>
      </c>
      <c r="H1042" s="10" t="inlineStr">
        <is>
          <t>05/02/2026</t>
        </is>
      </c>
      <c r="I1042" s="10" t="inlineStr">
        <is>
          <t>22/03/2026</t>
        </is>
      </c>
      <c r="J1042" s="10" t="inlineStr">
        <is>
          <t>17/03/2026</t>
        </is>
      </c>
      <c r="K1042" s="10" t="inlineStr">
        <is>
          <t>N/A</t>
        </is>
      </c>
      <c r="L1042" s="10" t="inlineStr">
        <is>
          <t>Backend, Docker</t>
        </is>
      </c>
      <c r="M1042" s="10" t="inlineStr">
        <is>
          <t>Bonus, Healthcare Plan, Training, Team Activities, Others</t>
        </is>
      </c>
      <c r="N1042" s="11">
        <f>HYPERLINK("https://www.vietnamworks.com/junior-senior-qa-up-to-30m-2010191-jv","Xem chi tiết")</f>
        <v/>
      </c>
      <c r="O1042" s="10" t="n"/>
    </row>
    <row r="1043">
      <c r="B1043" s="7" t="n">
        <v>1041</v>
      </c>
      <c r="C1043" t="inlineStr">
        <is>
          <t>Kỹ Sự Thiết Kế Hệ Thống Điều Hòa Không Khí</t>
        </is>
      </c>
      <c r="D1043" t="inlineStr">
        <is>
          <t>Tổng công ty Tư vấn Xây dựng Việt Nam - CTCP</t>
        </is>
      </c>
      <c r="E1043" t="inlineStr">
        <is>
          <t>15tr-20tr ₫/tháng</t>
        </is>
      </c>
      <c r="F1043" t="inlineStr">
        <is>
          <t>Hà Nội</t>
        </is>
      </c>
      <c r="G1043" t="inlineStr">
        <is>
          <t>Nhân viên</t>
        </is>
      </c>
      <c r="H1043" t="inlineStr">
        <is>
          <t>05/02/2026</t>
        </is>
      </c>
      <c r="I1043" t="inlineStr">
        <is>
          <t>22/03/2026</t>
        </is>
      </c>
      <c r="J1043" t="inlineStr">
        <is>
          <t>17/03/2026</t>
        </is>
      </c>
      <c r="K1043" t="inlineStr">
        <is>
          <t>N/A</t>
        </is>
      </c>
      <c r="L1043" t="inlineStr">
        <is>
          <t>AutoCAD, HVAC, HVAC System Design, Revit, Xây Dựng</t>
        </is>
      </c>
      <c r="M1043" t="inlineStr">
        <is>
          <t>Training, Travel Opportunities, Others</t>
        </is>
      </c>
      <c r="N1043" s="8">
        <f>HYPERLINK("https://www.vietnamworks.com/ky-su-thiet-ke-he-thong-djieu-hoa-khong-khi-2010200-jv","Xem chi tiết")</f>
        <v/>
      </c>
    </row>
    <row r="1044">
      <c r="B1044" s="9" t="n">
        <v>1042</v>
      </c>
      <c r="C1044" s="10" t="inlineStr">
        <is>
          <t>Giám Đốc Điều Hành</t>
        </is>
      </c>
      <c r="D1044" s="10" t="inlineStr">
        <is>
          <t>CÔNG TY CỔ PHẦN XUẤT NHẬP KHẨU VINA COPPER</t>
        </is>
      </c>
      <c r="E1044" s="10" t="inlineStr">
        <is>
          <t>Thương lượng</t>
        </is>
      </c>
      <c r="F1044" s="10" t="inlineStr">
        <is>
          <t>Bắc Ninh</t>
        </is>
      </c>
      <c r="G1044" s="10" t="inlineStr">
        <is>
          <t>Giám Đốc và Cấp Cao Hơn</t>
        </is>
      </c>
      <c r="H1044" s="10" t="inlineStr">
        <is>
          <t>05/02/2026</t>
        </is>
      </c>
      <c r="I1044" s="10" t="inlineStr">
        <is>
          <t>22/03/2026</t>
        </is>
      </c>
      <c r="J1044" s="10" t="inlineStr">
        <is>
          <t>17/03/2026</t>
        </is>
      </c>
      <c r="K1044" s="10" t="inlineStr">
        <is>
          <t>N/A</t>
        </is>
      </c>
      <c r="L1044" s="10" t="inlineStr">
        <is>
          <t>Chiến Lược Kinh Doanh, Kế Hoạch Kinh Doanh, Quản Lý Sản Xuất, Quản Lý Điều Hành, Tiếng Trung</t>
        </is>
      </c>
      <c r="M1044" s="10" t="inlineStr">
        <is>
          <t>Bonus, Healthcare Plan, Others</t>
        </is>
      </c>
      <c r="N1044" s="11">
        <f>HYPERLINK("https://www.vietnamworks.com/giam-djoc-djieu-hanh-2010185-jv","Xem chi tiết")</f>
        <v/>
      </c>
      <c r="O1044" s="10" t="n"/>
    </row>
    <row r="1045">
      <c r="B1045" s="7" t="n">
        <v>1043</v>
      </c>
      <c r="C1045" t="inlineStr">
        <is>
          <t>Field Service Representative (Water Treatment) - 3rd Party Contract</t>
        </is>
      </c>
      <c r="D1045" t="inlineStr">
        <is>
          <t>Công Ty TNHH Ecolab Việt Nam</t>
        </is>
      </c>
      <c r="E1045" t="inlineStr">
        <is>
          <t>Thương lượng</t>
        </is>
      </c>
      <c r="F1045" t="inlineStr">
        <is>
          <t>Hồ Chí Minh, Bà Rịa - Vũng Tàu</t>
        </is>
      </c>
      <c r="G1045" t="inlineStr">
        <is>
          <t>Nhân viên</t>
        </is>
      </c>
      <c r="H1045" t="inlineStr">
        <is>
          <t>05/02/2026</t>
        </is>
      </c>
      <c r="I1045" t="inlineStr">
        <is>
          <t>22/03/2026</t>
        </is>
      </c>
      <c r="J1045" t="inlineStr">
        <is>
          <t>17/03/2026</t>
        </is>
      </c>
      <c r="K1045" t="inlineStr">
        <is>
          <t>N/A</t>
        </is>
      </c>
      <c r="L1045" t="inlineStr">
        <is>
          <t>Engineering Chemical, Mechanical, Technical skills, Application Consultation</t>
        </is>
      </c>
      <c r="M1045" t="inlineStr">
        <is>
          <t>Bonus, Healthcare Plan, Paid Leave</t>
        </is>
      </c>
      <c r="N1045" s="8">
        <f>HYPERLINK("https://www.vietnamworks.com/field-service-representative-water-treatment-3rd-party-contract-2010186-jv","Xem chi tiết")</f>
        <v/>
      </c>
    </row>
    <row r="1046">
      <c r="B1046" s="9" t="n">
        <v>1044</v>
      </c>
      <c r="C1046" s="10" t="inlineStr">
        <is>
          <t>Chief Accountant (Securities / Investment Industry)</t>
        </is>
      </c>
      <c r="D1046" s="10" t="inlineStr">
        <is>
          <t>Công Ty Cổ Phần Dịch Vụ Di Động Trực Tuyến (Ví MoMo)</t>
        </is>
      </c>
      <c r="E1046" s="10" t="inlineStr">
        <is>
          <t>Thương lượng</t>
        </is>
      </c>
      <c r="F1046" s="10" t="inlineStr">
        <is>
          <t>Hồ Chí Minh</t>
        </is>
      </c>
      <c r="G1046" s="10" t="inlineStr">
        <is>
          <t>Trưởng phòng</t>
        </is>
      </c>
      <c r="H1046" s="10" t="inlineStr">
        <is>
          <t>05/02/2026</t>
        </is>
      </c>
      <c r="I1046" s="10" t="inlineStr">
        <is>
          <t>22/03/2026</t>
        </is>
      </c>
      <c r="J1046" s="10" t="inlineStr">
        <is>
          <t>17/03/2026</t>
        </is>
      </c>
      <c r="K1046" s="10" t="inlineStr">
        <is>
          <t>N/A</t>
        </is>
      </c>
      <c r="L1046" s="10" t="inlineStr">
        <is>
          <t>Accounting, Auditing, Securities, Chief Accountant Certificate, Chứng Khoán</t>
        </is>
      </c>
      <c r="M1046" s="10" t="inlineStr">
        <is>
          <t>Bonus, Healthcare Plan, Team Activities</t>
        </is>
      </c>
      <c r="N1046" s="11">
        <f>HYPERLINK("https://www.vietnamworks.com/chief-accountant-securities-investment-industry-2010199-jv","Xem chi tiết")</f>
        <v/>
      </c>
      <c r="O1046" s="10" t="n"/>
    </row>
    <row r="1047">
      <c r="B1047" s="7" t="n">
        <v>1045</v>
      </c>
      <c r="C1047" t="inlineStr">
        <is>
          <t>[HCM] Sales Supervisor/ Giám Sát Bán Hàng Kênh GT (FMCG)</t>
        </is>
      </c>
      <c r="D1047" t="inlineStr">
        <is>
          <t>Diana Unicharm JSC</t>
        </is>
      </c>
      <c r="E1047" t="inlineStr">
        <is>
          <t>Thương lượng</t>
        </is>
      </c>
      <c r="F1047" t="inlineStr">
        <is>
          <t>Hồ Chí Minh</t>
        </is>
      </c>
      <c r="G1047" t="inlineStr">
        <is>
          <t>Nhân viên</t>
        </is>
      </c>
      <c r="H1047" t="inlineStr">
        <is>
          <t>05/02/2026</t>
        </is>
      </c>
      <c r="I1047" t="inlineStr">
        <is>
          <t>22/03/2026</t>
        </is>
      </c>
      <c r="J1047" t="inlineStr">
        <is>
          <t>17/03/2026</t>
        </is>
      </c>
      <c r="K1047" t="inlineStr">
        <is>
          <t>N/A</t>
        </is>
      </c>
      <c r="L1047" t="inlineStr">
        <is>
          <t>Giám Sát, Bán hàng</t>
        </is>
      </c>
      <c r="M1047" t="inlineStr">
        <is>
          <t>Bonus, Healthcare Plan, Others</t>
        </is>
      </c>
      <c r="N1047" s="8">
        <f>HYPERLINK("https://www.vietnamworks.com/hcm-sales-supervisor-giam-sat-ban-hang-kenh-gt-fmcg--2010180-jv","Xem chi tiết")</f>
        <v/>
      </c>
    </row>
    <row r="1048">
      <c r="B1048" s="9" t="n">
        <v>1046</v>
      </c>
      <c r="C1048" s="10" t="inlineStr">
        <is>
          <t>Chuyên Viên IT Triển Khai Hạ Tầng</t>
        </is>
      </c>
      <c r="D1048" s="10" t="inlineStr">
        <is>
          <t>CÔNG TY CỔ PHẦN VINSMART FUTURE</t>
        </is>
      </c>
      <c r="E1048" s="10" t="inlineStr">
        <is>
          <t>Thương lượng</t>
        </is>
      </c>
      <c r="F1048" s="10" t="inlineStr">
        <is>
          <t>Hà Nội</t>
        </is>
      </c>
      <c r="G1048" s="10" t="inlineStr">
        <is>
          <t>Nhân viên</t>
        </is>
      </c>
      <c r="H1048" s="10" t="inlineStr">
        <is>
          <t>05/02/2026</t>
        </is>
      </c>
      <c r="I1048" s="10" t="inlineStr">
        <is>
          <t>22/03/2026</t>
        </is>
      </c>
      <c r="J1048" s="10" t="inlineStr">
        <is>
          <t>17/03/2026</t>
        </is>
      </c>
      <c r="K1048" s="10" t="inlineStr">
        <is>
          <t>N/A</t>
        </is>
      </c>
      <c r="L1048" s="10" t="inlineStr">
        <is>
          <t>Budget Management, Infrastructure, Project Management, System Integration</t>
        </is>
      </c>
      <c r="M1048" s="10" t="inlineStr">
        <is>
          <t>Canteen, Others</t>
        </is>
      </c>
      <c r="N1048" s="11">
        <f>HYPERLINK("https://www.vietnamworks.com/chuyen-vien-it-trien-khai-ha-tang-2010189-jv","Xem chi tiết")</f>
        <v/>
      </c>
      <c r="O1048" s="10" t="n"/>
    </row>
    <row r="1049">
      <c r="B1049" s="7" t="n">
        <v>1047</v>
      </c>
      <c r="C1049" t="inlineStr">
        <is>
          <t>Senior Business Analyst</t>
        </is>
      </c>
      <c r="D1049" t="inlineStr">
        <is>
          <t>Công ty Cổ phần Tập đoàn Golden Gate</t>
        </is>
      </c>
      <c r="E1049" t="inlineStr">
        <is>
          <t>Thương lượng</t>
        </is>
      </c>
      <c r="F1049" t="inlineStr">
        <is>
          <t>Hà Nội, Hồ Chí Minh</t>
        </is>
      </c>
      <c r="G1049" t="inlineStr">
        <is>
          <t>Nhân viên</t>
        </is>
      </c>
      <c r="H1049" t="inlineStr">
        <is>
          <t>05/02/2026</t>
        </is>
      </c>
      <c r="I1049" t="inlineStr">
        <is>
          <t>22/03/2026</t>
        </is>
      </c>
      <c r="J1049" t="inlineStr">
        <is>
          <t>17/03/2026</t>
        </is>
      </c>
      <c r="K1049" t="inlineStr">
        <is>
          <t>N/A</t>
        </is>
      </c>
      <c r="L1049" t="inlineStr">
        <is>
          <t>Agile Methodologies, Analytical Skills, Business Analysis, Communication Skills, Problem-solving</t>
        </is>
      </c>
      <c r="M1049" t="inlineStr">
        <is>
          <t>Bonus, Vouchers</t>
        </is>
      </c>
      <c r="N1049" s="8">
        <f>HYPERLINK("https://www.vietnamworks.com/senior-business-analyst-2010193-jv","Xem chi tiết")</f>
        <v/>
      </c>
    </row>
    <row r="1050">
      <c r="B1050" s="9" t="n">
        <v>1048</v>
      </c>
      <c r="C1050" s="10" t="inlineStr">
        <is>
          <t>IT Helpdesk – ERP System Support</t>
        </is>
      </c>
      <c r="D1050" s="10" t="inlineStr">
        <is>
          <t>Ginkgo T-shirts</t>
        </is>
      </c>
      <c r="E1050" s="10" t="inlineStr">
        <is>
          <t>$$ 12tr-15tr /tháng</t>
        </is>
      </c>
      <c r="F1050" s="10" t="inlineStr">
        <is>
          <t>Hồ Chí Minh</t>
        </is>
      </c>
      <c r="G1050" s="10" t="inlineStr">
        <is>
          <t>Nhân viên</t>
        </is>
      </c>
      <c r="H1050" s="10" t="inlineStr">
        <is>
          <t>05/02/2026</t>
        </is>
      </c>
      <c r="I1050" s="10" t="inlineStr">
        <is>
          <t>22/03/2026</t>
        </is>
      </c>
      <c r="J1050" s="10" t="inlineStr">
        <is>
          <t>17/03/2026</t>
        </is>
      </c>
      <c r="K1050" s="10" t="inlineStr">
        <is>
          <t>N/A</t>
        </is>
      </c>
      <c r="L1050" s="10" t="inlineStr">
        <is>
          <t>IT Helpdesk, Helpdesk Support, End-User Support, ERP &amp; Accounting Systems, ERP</t>
        </is>
      </c>
      <c r="M1050" s="10" t="inlineStr">
        <is>
          <t>Bonus</t>
        </is>
      </c>
      <c r="N1050" s="11">
        <f>HYPERLINK("https://www.vietnamworks.com/it-helpdesk-erp-system-support-2010192-jv","Xem chi tiết")</f>
        <v/>
      </c>
      <c r="O1050" s="10" t="n"/>
    </row>
    <row r="1051">
      <c r="B1051" s="7" t="n">
        <v>1049</v>
      </c>
      <c r="C1051" t="inlineStr">
        <is>
          <t>Kỹ Sư Điện Tự Động Hóa (Chấp Nhận Sinh Viên Mới Ra Trường)</t>
        </is>
      </c>
      <c r="D1051" t="inlineStr">
        <is>
          <t>CÔNG TY TRÁCH NHIỆM HỮU HẠN TOP ENGINEERING VINA</t>
        </is>
      </c>
      <c r="E1051" t="inlineStr">
        <is>
          <t>Thương lượng</t>
        </is>
      </c>
      <c r="F1051" t="inlineStr">
        <is>
          <t>Hà Nội</t>
        </is>
      </c>
      <c r="G1051" t="inlineStr">
        <is>
          <t>Nhân viên</t>
        </is>
      </c>
      <c r="H1051" t="inlineStr">
        <is>
          <t>05/02/2026</t>
        </is>
      </c>
      <c r="I1051" t="inlineStr">
        <is>
          <t>22/03/2026</t>
        </is>
      </c>
      <c r="J1051" t="inlineStr">
        <is>
          <t>17/03/2026</t>
        </is>
      </c>
      <c r="K1051" t="inlineStr">
        <is>
          <t>N/A</t>
        </is>
      </c>
      <c r="L1051" t="inlineStr">
        <is>
          <t>Điện Tử, Tự Động Hóa, Thiết Kế Tủ Điện, EPLAN, Sản xuất</t>
        </is>
      </c>
      <c r="M1051" t="inlineStr">
        <is>
          <t>Bonus, Healthcare Plan, Training</t>
        </is>
      </c>
      <c r="N1051" s="8">
        <f>HYPERLINK("https://www.vietnamworks.com/ky-su-dien-tu-dong-hoa-chap-nhan-sinh-vien-moi-ra-truong--2010223-jv","Xem chi tiết")</f>
        <v/>
      </c>
    </row>
    <row r="1052">
      <c r="B1052" s="9" t="n">
        <v>1050</v>
      </c>
      <c r="C1052" s="10" t="inlineStr">
        <is>
          <t>Kế Toán Tổng Hợp</t>
        </is>
      </c>
      <c r="D1052" s="10" t="inlineStr">
        <is>
          <t>TRUNG TÂM ỨNG DỤNG TIÊU CHUẨN CHẤT LƯỢNG</t>
        </is>
      </c>
      <c r="E1052" s="10" t="inlineStr">
        <is>
          <t>10tr-15tr ₫/tháng</t>
        </is>
      </c>
      <c r="F1052" s="10" t="inlineStr">
        <is>
          <t>Hà Nội</t>
        </is>
      </c>
      <c r="G1052" s="10" t="inlineStr">
        <is>
          <t>Nhân viên</t>
        </is>
      </c>
      <c r="H1052" s="10" t="inlineStr">
        <is>
          <t>05/02/2026</t>
        </is>
      </c>
      <c r="I1052" s="10" t="inlineStr">
        <is>
          <t>22/03/2026</t>
        </is>
      </c>
      <c r="J1052" s="10" t="inlineStr">
        <is>
          <t>17/03/2026</t>
        </is>
      </c>
      <c r="K1052" s="10" t="inlineStr">
        <is>
          <t>N/A</t>
        </is>
      </c>
      <c r="L1052" s="10" t="inlineStr">
        <is>
          <t>Kế Toán Tổng Hợp, MISA, Lập Báo Cáo Tài Chính, Kế Toán, Tính Giá Thành</t>
        </is>
      </c>
      <c r="M1052" s="10" t="inlineStr">
        <is>
          <t>Others</t>
        </is>
      </c>
      <c r="N1052" s="11">
        <f>HYPERLINK("https://www.vietnamworks.com/ke-toan-tong-hop--2010206-jv","Xem chi tiết")</f>
        <v/>
      </c>
      <c r="O1052" s="10" t="n"/>
    </row>
    <row r="1053">
      <c r="B1053" s="7" t="n">
        <v>1051</v>
      </c>
      <c r="C1053" t="inlineStr">
        <is>
          <t>Quality Engineer</t>
        </is>
      </c>
      <c r="D1053" t="inlineStr">
        <is>
          <t>Fushan Technology Vietnam</t>
        </is>
      </c>
      <c r="E1053" t="inlineStr">
        <is>
          <t>Thương lượng</t>
        </is>
      </c>
      <c r="F1053" t="inlineStr">
        <is>
          <t>Bắc Ninh, Hà Nội, Bắc Giang</t>
        </is>
      </c>
      <c r="G1053" t="inlineStr">
        <is>
          <t>Nhân viên</t>
        </is>
      </c>
      <c r="H1053" t="inlineStr">
        <is>
          <t>05/02/2026</t>
        </is>
      </c>
      <c r="I1053" t="inlineStr">
        <is>
          <t>22/03/2026</t>
        </is>
      </c>
      <c r="J1053" t="inlineStr">
        <is>
          <t>17/03/2026</t>
        </is>
      </c>
      <c r="K1053" t="inlineStr">
        <is>
          <t>N/A</t>
        </is>
      </c>
      <c r="L1053" t="inlineStr">
        <is>
          <t>Quality Management, Quality Control, Quality Assurance, QC, QA</t>
        </is>
      </c>
      <c r="M1053" t="inlineStr">
        <is>
          <t>Bonus, Healthcare Plan, Paid Leave</t>
        </is>
      </c>
      <c r="N1053" s="8">
        <f>HYPERLINK("https://www.vietnamworks.com/quality-engineer--2010205-jv","Xem chi tiết")</f>
        <v/>
      </c>
    </row>
    <row r="1054">
      <c r="B1054" s="9" t="n">
        <v>1052</v>
      </c>
      <c r="C1054" s="10" t="inlineStr">
        <is>
          <t>Polymer Sales Manager</t>
        </is>
      </c>
      <c r="D1054" s="10" t="inlineStr">
        <is>
          <t>Samsung C&amp;T Corporation</t>
        </is>
      </c>
      <c r="E1054" s="10" t="inlineStr">
        <is>
          <t>Thương lượng</t>
        </is>
      </c>
      <c r="F1054" s="10" t="inlineStr">
        <is>
          <t>Hồ Chí Minh</t>
        </is>
      </c>
      <c r="G1054" s="10" t="inlineStr">
        <is>
          <t>Trưởng phòng</t>
        </is>
      </c>
      <c r="H1054" s="10" t="inlineStr">
        <is>
          <t>05/02/2026</t>
        </is>
      </c>
      <c r="I1054" s="10" t="inlineStr">
        <is>
          <t>22/03/2026</t>
        </is>
      </c>
      <c r="J1054" s="10" t="inlineStr">
        <is>
          <t>17/03/2026</t>
        </is>
      </c>
      <c r="K1054" s="10" t="inlineStr">
        <is>
          <t>N/A</t>
        </is>
      </c>
      <c r="L1054" s="10" t="inlineStr">
        <is>
          <t>Customer Development, Sales Management, Solution Oriented, English, Polymer</t>
        </is>
      </c>
      <c r="M1054" s="10" t="inlineStr">
        <is>
          <t>Healthcare Plan, Training</t>
        </is>
      </c>
      <c r="N1054" s="11">
        <f>HYPERLINK("https://www.vietnamworks.com/polymer-sales-manager-2010216-jv","Xem chi tiết")</f>
        <v/>
      </c>
      <c r="O1054" s="10" t="n"/>
    </row>
    <row r="1055">
      <c r="B1055" s="7" t="n">
        <v>1053</v>
      </c>
      <c r="C1055" t="inlineStr">
        <is>
          <t>SMT Engineer</t>
        </is>
      </c>
      <c r="D1055" t="inlineStr">
        <is>
          <t>CÔNG TY TNHH AJAX SYSTEMS VIỆT NAM</t>
        </is>
      </c>
      <c r="E1055" t="inlineStr">
        <is>
          <t>Thương lượng</t>
        </is>
      </c>
      <c r="F1055" t="inlineStr">
        <is>
          <t>Hưng Yên, Hải Dương, Hà Nội</t>
        </is>
      </c>
      <c r="G1055" t="inlineStr">
        <is>
          <t>Nhân viên</t>
        </is>
      </c>
      <c r="H1055" t="inlineStr">
        <is>
          <t>05/02/2026</t>
        </is>
      </c>
      <c r="I1055" t="inlineStr">
        <is>
          <t>22/03/2026</t>
        </is>
      </c>
      <c r="J1055" t="inlineStr">
        <is>
          <t>17/03/2026</t>
        </is>
      </c>
      <c r="K1055" t="inlineStr">
        <is>
          <t>N/A</t>
        </is>
      </c>
      <c r="L1055" t="inlineStr">
        <is>
          <t>PCB Application, SMD, SMT Equipment, SMT Machine, SMT process</t>
        </is>
      </c>
      <c r="M1055" t="inlineStr">
        <is>
          <t>Bonus, Healthcare Plan, Paid Leave, Training, Laptop, Transportation, Others</t>
        </is>
      </c>
      <c r="N1055" s="8">
        <f>HYPERLINK("https://www.vietnamworks.com/smt-engineer-2010208-jv","Xem chi tiết")</f>
        <v/>
      </c>
    </row>
    <row r="1056">
      <c r="B1056" s="9" t="n">
        <v>1054</v>
      </c>
      <c r="C1056" s="10" t="inlineStr">
        <is>
          <t>Nhân Viên Lập Trình PLC (Chấp Nhận Sinh Viên Mới Ra Trường)</t>
        </is>
      </c>
      <c r="D1056" s="10" t="inlineStr">
        <is>
          <t>CÔNG TY TRÁCH NHIỆM HỮU HẠN TOP ENGINEERING VINA</t>
        </is>
      </c>
      <c r="E1056" s="10" t="inlineStr">
        <is>
          <t>Thương lượng</t>
        </is>
      </c>
      <c r="F1056" s="10" t="inlineStr">
        <is>
          <t>Hà Nội</t>
        </is>
      </c>
      <c r="G1056" s="10" t="inlineStr">
        <is>
          <t>Mới Tốt Nghiệp</t>
        </is>
      </c>
      <c r="H1056" s="10" t="inlineStr">
        <is>
          <t>05/02/2026</t>
        </is>
      </c>
      <c r="I1056" s="10" t="inlineStr">
        <is>
          <t>22/03/2026</t>
        </is>
      </c>
      <c r="J1056" s="10" t="inlineStr">
        <is>
          <t>17/03/2026</t>
        </is>
      </c>
      <c r="K1056" s="10" t="inlineStr">
        <is>
          <t>N/A</t>
        </is>
      </c>
      <c r="L1056" s="10" t="inlineStr">
        <is>
          <t>Tự Động Hóa, PLC Mitsubishi, Scenario Planning, Điện tử, PLC</t>
        </is>
      </c>
      <c r="M1056" s="10" t="inlineStr">
        <is>
          <t>Bonus, Healthcare Plan, Training, Canteen, Others</t>
        </is>
      </c>
      <c r="N1056" s="11">
        <f>HYPERLINK("https://www.vietnamworks.com/nhan-vien-lap-trinh-plc-chap-nhan-sinh-vien-moi-ra-truong-2010218-jv","Xem chi tiết")</f>
        <v/>
      </c>
      <c r="O1056" s="10" t="n"/>
    </row>
    <row r="1057">
      <c r="B1057" s="7" t="n">
        <v>1055</v>
      </c>
      <c r="C1057" t="inlineStr">
        <is>
          <t>Pre-Accommodation Team Leader</t>
        </is>
      </c>
      <c r="D1057" t="inlineStr">
        <is>
          <t>VARD Vung Tau Limited</t>
        </is>
      </c>
      <c r="E1057" t="inlineStr">
        <is>
          <t>Thương lượng</t>
        </is>
      </c>
      <c r="F1057" t="inlineStr">
        <is>
          <t>Bà Rịa - Vũng Tàu</t>
        </is>
      </c>
      <c r="G1057" t="inlineStr">
        <is>
          <t>Nhân viên</t>
        </is>
      </c>
      <c r="H1057" t="inlineStr">
        <is>
          <t>05/02/2026</t>
        </is>
      </c>
      <c r="I1057" t="inlineStr">
        <is>
          <t>22/03/2026</t>
        </is>
      </c>
      <c r="J1057" t="inlineStr">
        <is>
          <t>17/03/2026</t>
        </is>
      </c>
      <c r="K1057" t="inlineStr">
        <is>
          <t>N/A</t>
        </is>
      </c>
      <c r="L1057" t="inlineStr">
        <is>
          <t>Design Planning, Engineering Drawings, Mechanical Engineering, Naval Architecture, AutoCAD</t>
        </is>
      </c>
      <c r="M1057" t="inlineStr">
        <is>
          <t>Bonus, Training, Others</t>
        </is>
      </c>
      <c r="N1057" s="8">
        <f>HYPERLINK("https://www.vietnamworks.com/pre-accommodation-team-leader-2010227-jv","Xem chi tiết")</f>
        <v/>
      </c>
    </row>
    <row r="1058">
      <c r="B1058" s="9" t="n">
        <v>1056</v>
      </c>
      <c r="C1058" s="10" t="inlineStr">
        <is>
          <t>Senior Interior Designer (Real Estate)</t>
        </is>
      </c>
      <c r="D1058" s="10" t="inlineStr">
        <is>
          <t>Công Ty Cổ Phần Bất Động Sản Bản Việt</t>
        </is>
      </c>
      <c r="E1058" s="10" t="inlineStr">
        <is>
          <t>Thương lượng</t>
        </is>
      </c>
      <c r="F1058" s="10" t="inlineStr">
        <is>
          <t>Hồ Chí Minh</t>
        </is>
      </c>
      <c r="G1058" s="10" t="inlineStr">
        <is>
          <t>Nhân viên</t>
        </is>
      </c>
      <c r="H1058" s="10" t="inlineStr">
        <is>
          <t>05/02/2026</t>
        </is>
      </c>
      <c r="I1058" s="10" t="inlineStr">
        <is>
          <t>22/03/2026</t>
        </is>
      </c>
      <c r="J1058" s="10" t="inlineStr">
        <is>
          <t>17/03/2026</t>
        </is>
      </c>
      <c r="K1058" s="10" t="inlineStr">
        <is>
          <t>N/A</t>
        </is>
      </c>
      <c r="L1058" s="10" t="inlineStr">
        <is>
          <t>designer, Interior Design, Real Estate, project, Development</t>
        </is>
      </c>
      <c r="M1058" s="10" t="inlineStr">
        <is>
          <t>Bonus, Healthcare Plan, Team Activities</t>
        </is>
      </c>
      <c r="N1058" s="11">
        <f>HYPERLINK("https://www.vietnamworks.com/senior-interior-designer-real-estate-2010236-jv","Xem chi tiết")</f>
        <v/>
      </c>
      <c r="O1058" s="10" t="n"/>
    </row>
    <row r="1059">
      <c r="B1059" s="7" t="n">
        <v>1057</v>
      </c>
      <c r="C1059" t="inlineStr">
        <is>
          <t>Nhân Viên Lập Trình PC (Chấp Nhận Sinh Viên Mới Ra Trường)</t>
        </is>
      </c>
      <c r="D1059" t="inlineStr">
        <is>
          <t>CÔNG TY TRÁCH NHIỆM HỮU HẠN TOP ENGINEERING VINA</t>
        </is>
      </c>
      <c r="E1059" t="inlineStr">
        <is>
          <t>Thương lượng</t>
        </is>
      </c>
      <c r="F1059" t="inlineStr">
        <is>
          <t>Hà Nội</t>
        </is>
      </c>
      <c r="G1059" t="inlineStr">
        <is>
          <t>Mới Tốt Nghiệp</t>
        </is>
      </c>
      <c r="H1059" t="inlineStr">
        <is>
          <t>05/02/2026</t>
        </is>
      </c>
      <c r="I1059" t="inlineStr">
        <is>
          <t>22/03/2026</t>
        </is>
      </c>
      <c r="J1059" t="inlineStr">
        <is>
          <t>17/03/2026</t>
        </is>
      </c>
      <c r="K1059" t="inlineStr">
        <is>
          <t>N/A</t>
        </is>
      </c>
      <c r="L1059" t="inlineStr">
        <is>
          <t>Lập Trình C++, Visual Studio, Tự Động Hóa, MES, Phân Tích Lỗi</t>
        </is>
      </c>
      <c r="M1059" t="inlineStr">
        <is>
          <t>Bonus, Healthcare Plan, Training, Canteen, Others</t>
        </is>
      </c>
      <c r="N1059" s="8">
        <f>HYPERLINK("https://www.vietnamworks.com/nhan-vien-lap-trinh-pc-chap-nhan-sinh-vien-moi-ra-truong-2010221-jv","Xem chi tiết")</f>
        <v/>
      </c>
    </row>
    <row r="1060">
      <c r="B1060" s="9" t="n">
        <v>1058</v>
      </c>
      <c r="C1060" s="10" t="inlineStr">
        <is>
          <t>Online Advertising Specialist</t>
        </is>
      </c>
      <c r="D1060" s="10" t="inlineStr">
        <is>
          <t>Nakivo</t>
        </is>
      </c>
      <c r="E1060" s="10" t="inlineStr">
        <is>
          <t>Thương lượng</t>
        </is>
      </c>
      <c r="F1060" s="10" t="inlineStr">
        <is>
          <t>Hồ Chí Minh</t>
        </is>
      </c>
      <c r="G1060" s="10" t="inlineStr">
        <is>
          <t>Nhân viên</t>
        </is>
      </c>
      <c r="H1060" s="10" t="inlineStr">
        <is>
          <t>05/02/2026</t>
        </is>
      </c>
      <c r="I1060" s="10" t="inlineStr">
        <is>
          <t>22/03/2026</t>
        </is>
      </c>
      <c r="J1060" s="10" t="inlineStr">
        <is>
          <t>17/03/2026</t>
        </is>
      </c>
      <c r="K1060" s="10" t="inlineStr">
        <is>
          <t>N/A</t>
        </is>
      </c>
      <c r="L1060" s="10" t="inlineStr">
        <is>
          <t>ROI Optimization, Google Analytics, B2B Product development, PPC Advertising</t>
        </is>
      </c>
      <c r="M1060" s="10" t="inlineStr">
        <is>
          <t>Bonus, Healthcare Plan, Paid Leave</t>
        </is>
      </c>
      <c r="N1060" s="11">
        <f>HYPERLINK("https://www.vietnamworks.com/online-advertising-specialist--2010238-jv","Xem chi tiết")</f>
        <v/>
      </c>
      <c r="O1060" s="10" t="n"/>
    </row>
    <row r="1061">
      <c r="B1061" s="7" t="n">
        <v>1059</v>
      </c>
      <c r="C1061" t="inlineStr">
        <is>
          <t>Nhân Viên Thiết Kế Cơ Khí (Topv) - Chấp Nhận Sinh Viên Mới Ra Trường</t>
        </is>
      </c>
      <c r="D1061" t="inlineStr">
        <is>
          <t>CÔNG TY TRÁCH NHIỆM HỮU HẠN TOP ENGINEERING VINA</t>
        </is>
      </c>
      <c r="E1061" t="inlineStr">
        <is>
          <t>Thương lượng</t>
        </is>
      </c>
      <c r="F1061" t="inlineStr">
        <is>
          <t>Hà Nội</t>
        </is>
      </c>
      <c r="G1061" t="inlineStr">
        <is>
          <t>Mới Tốt Nghiệp</t>
        </is>
      </c>
      <c r="H1061" t="inlineStr">
        <is>
          <t>05/02/2026</t>
        </is>
      </c>
      <c r="I1061" t="inlineStr">
        <is>
          <t>22/03/2026</t>
        </is>
      </c>
      <c r="J1061" t="inlineStr">
        <is>
          <t>17/03/2026</t>
        </is>
      </c>
      <c r="K1061" t="inlineStr">
        <is>
          <t>N/A</t>
        </is>
      </c>
      <c r="L1061" t="inlineStr">
        <is>
          <t>Tự Động Hóa, Solid Edge, Cơ Khí Chế Tạo, Lắp Ráp, Thiết Kế Cơ Khí</t>
        </is>
      </c>
      <c r="M1061" t="inlineStr">
        <is>
          <t>Bonus, Healthcare Plan, Awards</t>
        </is>
      </c>
      <c r="N1061" s="8">
        <f>HYPERLINK("https://www.vietnamworks.com/nhan-vien-thiet-ke-co-khi-topv-chap-nhan-sinh-vien-moi-ra-truong--2010220-jv","Xem chi tiết")</f>
        <v/>
      </c>
    </row>
    <row r="1062">
      <c r="B1062" s="9" t="n">
        <v>1060</v>
      </c>
      <c r="C1062" s="10" t="inlineStr">
        <is>
          <t>Kỹ Sư Shop Drawing (Chủ Đầu Tư)</t>
        </is>
      </c>
      <c r="D1062" s="10" t="inlineStr">
        <is>
          <t>Công Ty Cổ Phần Bất Động Sản Tập Đoàn Tân Á Đại Thành</t>
        </is>
      </c>
      <c r="E1062" s="10" t="inlineStr">
        <is>
          <t>Từ $ 1,000 /tháng</t>
        </is>
      </c>
      <c r="F1062" s="10" t="inlineStr">
        <is>
          <t>Hà Nội</t>
        </is>
      </c>
      <c r="G1062" s="10" t="inlineStr">
        <is>
          <t>Nhân viên</t>
        </is>
      </c>
      <c r="H1062" s="10" t="inlineStr">
        <is>
          <t>05/02/2026</t>
        </is>
      </c>
      <c r="I1062" s="10" t="inlineStr">
        <is>
          <t>22/03/2026</t>
        </is>
      </c>
      <c r="J1062" s="10" t="inlineStr">
        <is>
          <t>17/03/2026</t>
        </is>
      </c>
      <c r="K1062" s="10" t="inlineStr">
        <is>
          <t>N/A</t>
        </is>
      </c>
      <c r="L1062" s="10" t="inlineStr">
        <is>
          <t>Thiết Kế Kiến Trúc, Shop Drawing, Quản Lý Thiết Kế Kết Cấu, Khai Triển Bản Vẽ, Duyệt Shopdrawing</t>
        </is>
      </c>
      <c r="M1062" s="10" t="inlineStr">
        <is>
          <t>Bonus, Canteen, Vouchers</t>
        </is>
      </c>
      <c r="N1062" s="11">
        <f>HYPERLINK("https://www.vietnamworks.com/ky-su-shop-drawing-chu-dau-tu-2010217-jv","Xem chi tiết")</f>
        <v/>
      </c>
      <c r="O1062" s="10" t="n"/>
    </row>
    <row r="1063">
      <c r="B1063" s="7" t="n">
        <v>1061</v>
      </c>
      <c r="C1063" t="inlineStr">
        <is>
          <t>Chief Accountant</t>
        </is>
      </c>
      <c r="D1063" t="inlineStr">
        <is>
          <t>CÔNG TY CỔ PHẦN GAMUDA LAND (HCMC)</t>
        </is>
      </c>
      <c r="E1063" t="inlineStr">
        <is>
          <t>Thương lượng</t>
        </is>
      </c>
      <c r="F1063" t="inlineStr">
        <is>
          <t>Hồ Chí Minh</t>
        </is>
      </c>
      <c r="G1063" t="inlineStr">
        <is>
          <t>Trưởng phòng</t>
        </is>
      </c>
      <c r="H1063" t="inlineStr">
        <is>
          <t>05/02/2026</t>
        </is>
      </c>
      <c r="I1063" t="inlineStr">
        <is>
          <t>22/03/2026</t>
        </is>
      </c>
      <c r="J1063" t="inlineStr">
        <is>
          <t>17/03/2026</t>
        </is>
      </c>
      <c r="K1063" t="inlineStr">
        <is>
          <t>N/A</t>
        </is>
      </c>
      <c r="L1063" t="inlineStr">
        <is>
          <t>Financial Reporting, Leadership, Project Accounting, Stakeholder Coordination, Tax Compliance</t>
        </is>
      </c>
      <c r="M1063" t="inlineStr">
        <is>
          <t>Bonus, Healthcare Plan, Training, Team Activities, Transportation</t>
        </is>
      </c>
      <c r="N1063" s="8">
        <f>HYPERLINK("https://www.vietnamworks.com/chief-accountant-2010235-jv","Xem chi tiết")</f>
        <v/>
      </c>
    </row>
    <row r="1064">
      <c r="B1064" s="9" t="n">
        <v>1062</v>
      </c>
      <c r="C1064" s="10" t="inlineStr">
        <is>
          <t>UI UX Leader</t>
        </is>
      </c>
      <c r="D1064" s="10" t="inlineStr">
        <is>
          <t>MAI &amp; PARTNERS.,LTD</t>
        </is>
      </c>
      <c r="E1064" s="10" t="inlineStr">
        <is>
          <t>$$ 1,800-2,200 /tháng</t>
        </is>
      </c>
      <c r="F1064" s="10" t="inlineStr">
        <is>
          <t>Hà Nội</t>
        </is>
      </c>
      <c r="G1064" s="10" t="inlineStr">
        <is>
          <t>Trưởng phòng</t>
        </is>
      </c>
      <c r="H1064" s="10" t="inlineStr">
        <is>
          <t>05/02/2026</t>
        </is>
      </c>
      <c r="I1064" s="10" t="inlineStr">
        <is>
          <t>22/03/2026</t>
        </is>
      </c>
      <c r="J1064" s="10" t="inlineStr">
        <is>
          <t>17/03/2026</t>
        </is>
      </c>
      <c r="K1064" s="10" t="inlineStr">
        <is>
          <t>N/A</t>
        </is>
      </c>
      <c r="L1064" s="10" t="inlineStr">
        <is>
          <t>UI/ UX design, Web App Design, User Interaction, Figma Design, UX Research</t>
        </is>
      </c>
      <c r="M1064" s="10" t="inlineStr">
        <is>
          <t>Bonus, Training, Others</t>
        </is>
      </c>
      <c r="N1064" s="11">
        <f>HYPERLINK("https://www.vietnamworks.com/ui-ux-leader--2010233-jv","Xem chi tiết")</f>
        <v/>
      </c>
      <c r="O1064" s="10" t="n"/>
    </row>
    <row r="1065">
      <c r="B1065" s="7" t="n">
        <v>1063</v>
      </c>
      <c r="C1065" t="inlineStr">
        <is>
          <t>Chuyên Viên Hành Chính Tổng Hợp</t>
        </is>
      </c>
      <c r="D1065" t="inlineStr">
        <is>
          <t>TRUNG TÂM ỨNG DỤNG TIÊU CHUẨN CHẤT LƯỢNG</t>
        </is>
      </c>
      <c r="E1065" t="inlineStr">
        <is>
          <t>8tr-14tr ₫/tháng</t>
        </is>
      </c>
      <c r="F1065" t="inlineStr">
        <is>
          <t>Hà Nội</t>
        </is>
      </c>
      <c r="G1065" t="inlineStr">
        <is>
          <t>Nhân viên</t>
        </is>
      </c>
      <c r="H1065" t="inlineStr">
        <is>
          <t>05/02/2026</t>
        </is>
      </c>
      <c r="I1065" t="inlineStr">
        <is>
          <t>22/03/2026</t>
        </is>
      </c>
      <c r="J1065" t="inlineStr">
        <is>
          <t>17/03/2026</t>
        </is>
      </c>
      <c r="K1065" t="inlineStr">
        <is>
          <t>N/A</t>
        </is>
      </c>
      <c r="L1065" t="inlineStr">
        <is>
          <t>Hành chính văn phòng, Lưu Trữ Văn Thư, Quản Trị Nhân Sự, Tin Học Văn Phòng, Hành Chính Tổng Hợp</t>
        </is>
      </c>
      <c r="M1065" t="inlineStr">
        <is>
          <t>Bonus, Healthcare Plan, Paid Leave, Training, Team Activities, Canteen, Others</t>
        </is>
      </c>
      <c r="N1065" s="8">
        <f>HYPERLINK("https://www.vietnamworks.com/chuyen-vien-hanh-chinh-tong-hop-2010214-jv","Xem chi tiết")</f>
        <v/>
      </c>
    </row>
    <row r="1066">
      <c r="B1066" s="9" t="n">
        <v>1064</v>
      </c>
      <c r="C1066" s="10" t="inlineStr">
        <is>
          <t>Chuyên Viên Kiểm Soát Vận Hành</t>
        </is>
      </c>
      <c r="D1066" s="10" t="inlineStr">
        <is>
          <t>CÔNG TY CỔ PHẦN GREENFEED VIỆT NAM</t>
        </is>
      </c>
      <c r="E1066" s="10" t="inlineStr">
        <is>
          <t>Thương lượng</t>
        </is>
      </c>
      <c r="F1066" s="10" t="inlineStr">
        <is>
          <t>Hồ Chí Minh</t>
        </is>
      </c>
      <c r="G1066" s="10" t="inlineStr">
        <is>
          <t>Nhân viên</t>
        </is>
      </c>
      <c r="H1066" s="10" t="inlineStr">
        <is>
          <t>05/02/2026</t>
        </is>
      </c>
      <c r="I1066" s="10" t="inlineStr">
        <is>
          <t>22/03/2026</t>
        </is>
      </c>
      <c r="J1066" s="10" t="inlineStr">
        <is>
          <t>17/03/2026</t>
        </is>
      </c>
      <c r="K1066" s="10" t="inlineStr">
        <is>
          <t>N/A</t>
        </is>
      </c>
      <c r="L1066" s="10" t="inlineStr">
        <is>
          <t>ERP MES, Kiểm Soát Nội Bộ, Quản Lý Công Nghiệp, SCADA, Supply Chain</t>
        </is>
      </c>
      <c r="M1066" s="10" t="inlineStr">
        <is>
          <t>Bonus</t>
        </is>
      </c>
      <c r="N1066" s="11">
        <f>HYPERLINK("https://www.vietnamworks.com/chuyen-vien-kiem-soat-van-hanh-2010232-jv","Xem chi tiết")</f>
        <v/>
      </c>
      <c r="O1066" s="10" t="n"/>
    </row>
    <row r="1067">
      <c r="B1067" s="7" t="n">
        <v>1065</v>
      </c>
      <c r="C1067" t="inlineStr">
        <is>
          <t>Nhân Viên Bộ Phận Sản Xuất (KCN Phúc Điền - Đi Làm Ngay)</t>
        </is>
      </c>
      <c r="D1067" t="inlineStr">
        <is>
          <t>Công Ty Cổ phần trung tâm gia công Posco Việt Nam</t>
        </is>
      </c>
      <c r="E1067" t="inlineStr">
        <is>
          <t>12tr-15tr ₫/tháng</t>
        </is>
      </c>
      <c r="F1067" t="inlineStr">
        <is>
          <t>Hải Dương, Bắc Ninh, Hưng Yên</t>
        </is>
      </c>
      <c r="G1067" t="inlineStr">
        <is>
          <t>Nhân viên</t>
        </is>
      </c>
      <c r="H1067" t="inlineStr">
        <is>
          <t>05/02/2026</t>
        </is>
      </c>
      <c r="I1067" t="inlineStr">
        <is>
          <t>22/03/2026</t>
        </is>
      </c>
      <c r="J1067" t="inlineStr">
        <is>
          <t>17/03/2026</t>
        </is>
      </c>
      <c r="K1067" t="inlineStr">
        <is>
          <t>N/A</t>
        </is>
      </c>
      <c r="L1067" t="inlineStr">
        <is>
          <t>Quản Lý Kho, Cải Tiến Quy Trình Sản Xuất, ISO, MRO, Quản Lý Tồn Kho</t>
        </is>
      </c>
      <c r="M1067" t="inlineStr">
        <is>
          <t>Bonus, Healthcare Plan, Paid Leave, Team Activities, Transportation, Canteen, Others</t>
        </is>
      </c>
      <c r="N1067" s="8">
        <f>HYPERLINK("https://www.vietnamworks.com/nhan-vien-bo-phan-san-xuat-kcn-phuc-dien-di-lam-ngay-2010215-jv","Xem chi tiết")</f>
        <v/>
      </c>
    </row>
    <row r="1068">
      <c r="B1068" s="9" t="n">
        <v>1066</v>
      </c>
      <c r="C1068" s="10" t="inlineStr">
        <is>
          <t>Kỹ Sư Giám Sát Xây Dựng - Chấp Nhận Sinh Viên Mới Ra Trường</t>
        </is>
      </c>
      <c r="D1068" s="10" t="inlineStr">
        <is>
          <t>Công Ty Cổ Phần Xây Dựng Và Công Nghiệp NSN</t>
        </is>
      </c>
      <c r="E1068" s="10" t="inlineStr">
        <is>
          <t>$$ 500-1,000 /tháng</t>
        </is>
      </c>
      <c r="F1068" s="10" t="inlineStr">
        <is>
          <t>Hòa Bình, Yên Bái, Hồ Chí Minh</t>
        </is>
      </c>
      <c r="G1068" s="10" t="inlineStr">
        <is>
          <t>Nhân viên</t>
        </is>
      </c>
      <c r="H1068" s="10" t="inlineStr">
        <is>
          <t>05/02/2026</t>
        </is>
      </c>
      <c r="I1068" s="10" t="inlineStr">
        <is>
          <t>22/03/2026</t>
        </is>
      </c>
      <c r="J1068" s="10" t="inlineStr">
        <is>
          <t>17/03/2026</t>
        </is>
      </c>
      <c r="K1068" s="10" t="inlineStr">
        <is>
          <t>N/A</t>
        </is>
      </c>
      <c r="L1068" s="10" t="inlineStr">
        <is>
          <t>Giám Sát Thi Công, Công Trình Nhà Xưởng, Kỹ Sư hiện trường, Giám Sát Xây Dựng, Giám Sát Xây Dựng Công Trình</t>
        </is>
      </c>
      <c r="M1068" s="10" t="inlineStr">
        <is>
          <t>Bonus, Healthcare Plan, Others</t>
        </is>
      </c>
      <c r="N1068" s="11">
        <f>HYPERLINK("https://www.vietnamworks.com/ky-su-giam-sat-xay-dung-chap-nhan-sinh-vien-moi-ra-truong-2010212-jv","Xem chi tiết")</f>
        <v/>
      </c>
      <c r="O1068" s="10" t="n"/>
    </row>
    <row r="1069">
      <c r="B1069" s="7" t="n">
        <v>1067</v>
      </c>
      <c r="C1069" t="inlineStr">
        <is>
          <t>Tổ Trưởng Tập Kết - Nguyên Liệu</t>
        </is>
      </c>
      <c r="D1069" t="inlineStr">
        <is>
          <t>Archer Daniels Midland (ADM)</t>
        </is>
      </c>
      <c r="E1069" t="inlineStr">
        <is>
          <t>Thương lượng</t>
        </is>
      </c>
      <c r="F1069" t="inlineStr">
        <is>
          <t>Bình Dương</t>
        </is>
      </c>
      <c r="G1069" t="inlineStr">
        <is>
          <t>Mới Tốt Nghiệp</t>
        </is>
      </c>
      <c r="H1069" t="inlineStr">
        <is>
          <t>05/02/2026</t>
        </is>
      </c>
      <c r="I1069" t="inlineStr">
        <is>
          <t>22/03/2026</t>
        </is>
      </c>
      <c r="J1069" t="inlineStr">
        <is>
          <t>17/03/2026</t>
        </is>
      </c>
      <c r="K1069" t="inlineStr">
        <is>
          <t>N/A</t>
        </is>
      </c>
      <c r="L1069" t="inlineStr">
        <is>
          <t>Vận Hành Sản Xuất, Quản lý kho nguyên liệu, Theo Dõi Nguyên Liệu, Sản Xuất</t>
        </is>
      </c>
      <c r="M1069" t="inlineStr">
        <is>
          <t>Healthcare Plan</t>
        </is>
      </c>
      <c r="N1069" s="8">
        <f>HYPERLINK("https://www.vietnamworks.com/to-truong-tap-ket-nguyen-lieu-2010239-jv","Xem chi tiết")</f>
        <v/>
      </c>
    </row>
    <row r="1070">
      <c r="B1070" s="9" t="n">
        <v>1068</v>
      </c>
      <c r="C1070" s="10" t="inlineStr">
        <is>
          <t>HR Recruiter (Talent Acquisition/ Recruitment)</t>
        </is>
      </c>
      <c r="D1070" s="10" t="inlineStr">
        <is>
          <t>CÔNG TY TNHH AJAX SYSTEMS VIỆT NAM</t>
        </is>
      </c>
      <c r="E1070" s="10" t="inlineStr">
        <is>
          <t>Thương lượng</t>
        </is>
      </c>
      <c r="F1070" s="10" t="inlineStr">
        <is>
          <t>Hưng Yên, Hà Nội, Hải Dương</t>
        </is>
      </c>
      <c r="G1070" s="10" t="inlineStr">
        <is>
          <t>Nhân viên</t>
        </is>
      </c>
      <c r="H1070" s="10" t="inlineStr">
        <is>
          <t>05/02/2026</t>
        </is>
      </c>
      <c r="I1070" s="10" t="inlineStr">
        <is>
          <t>22/03/2026</t>
        </is>
      </c>
      <c r="J1070" s="10" t="inlineStr">
        <is>
          <t>17/03/2026</t>
        </is>
      </c>
      <c r="K1070" s="10" t="inlineStr">
        <is>
          <t>N/A</t>
        </is>
      </c>
      <c r="L1070" s="10" t="inlineStr">
        <is>
          <t>Talent Acquisition, Recruitment, HR, Mass Recruitment, Mass Hiring</t>
        </is>
      </c>
      <c r="M1070" s="10" t="inlineStr">
        <is>
          <t>Bonus, Laptop, Transportation</t>
        </is>
      </c>
      <c r="N1070" s="11">
        <f>HYPERLINK("https://www.vietnamworks.com/hr-recruiter-talent-acquisition-recruitment--2010210-jv","Xem chi tiết")</f>
        <v/>
      </c>
      <c r="O1070" s="10" t="n"/>
    </row>
    <row r="1071">
      <c r="B1071" s="7" t="n">
        <v>1069</v>
      </c>
      <c r="C1071" t="inlineStr">
        <is>
          <t>Sales Productivity Management Senior Officer</t>
        </is>
      </c>
      <c r="D1071" t="inlineStr">
        <is>
          <t>United Overseas Bank (Vietnam) Limited (UOB)</t>
        </is>
      </c>
      <c r="E1071" t="inlineStr">
        <is>
          <t>Thương lượng</t>
        </is>
      </c>
      <c r="F1071" t="inlineStr">
        <is>
          <t>Hồ Chí Minh</t>
        </is>
      </c>
      <c r="G1071" t="inlineStr">
        <is>
          <t>Nhân viên</t>
        </is>
      </c>
      <c r="H1071" t="inlineStr">
        <is>
          <t>05/02/2026</t>
        </is>
      </c>
      <c r="I1071" t="inlineStr">
        <is>
          <t>22/03/2026</t>
        </is>
      </c>
      <c r="J1071" t="inlineStr">
        <is>
          <t>17/03/2026</t>
        </is>
      </c>
      <c r="K1071" t="inlineStr">
        <is>
          <t>N/A</t>
        </is>
      </c>
      <c r="L1071" t="inlineStr">
        <is>
          <t>Analytical Skills, Data Analytics, Data Visualization, Performance Management, Sales Operation</t>
        </is>
      </c>
      <c r="M1071" t="inlineStr">
        <is>
          <t>Bonus, Healthcare Plan, Paid Leave, Others</t>
        </is>
      </c>
      <c r="N1071" s="8">
        <f>HYPERLINK("https://www.vietnamworks.com/sales-productivity-management-senior-officer-2010241-jv","Xem chi tiết")</f>
        <v/>
      </c>
    </row>
    <row r="1072">
      <c r="B1072" s="9" t="n">
        <v>1070</v>
      </c>
      <c r="C1072" s="10" t="inlineStr">
        <is>
          <t>Corporate Transaction Services Senior Officer</t>
        </is>
      </c>
      <c r="D1072" s="10" t="inlineStr">
        <is>
          <t>United Overseas Bank (Vietnam) Limited (UOB)</t>
        </is>
      </c>
      <c r="E1072" s="10" t="inlineStr">
        <is>
          <t>Thương lượng</t>
        </is>
      </c>
      <c r="F1072" s="10" t="inlineStr">
        <is>
          <t>Hồ Chí Minh</t>
        </is>
      </c>
      <c r="G1072" s="10" t="inlineStr">
        <is>
          <t>Nhân viên</t>
        </is>
      </c>
      <c r="H1072" s="10" t="inlineStr">
        <is>
          <t>05/02/2026</t>
        </is>
      </c>
      <c r="I1072" s="10" t="inlineStr">
        <is>
          <t>22/03/2026</t>
        </is>
      </c>
      <c r="J1072" s="10" t="inlineStr">
        <is>
          <t>17/03/2026</t>
        </is>
      </c>
      <c r="K1072" s="10" t="inlineStr">
        <is>
          <t>N/A</t>
        </is>
      </c>
      <c r="L1072" s="10" t="inlineStr">
        <is>
          <t>Email Writing, Overseas Remittance, Problem Solving, Trade Product, Verbal Communication</t>
        </is>
      </c>
      <c r="M1072" s="10" t="inlineStr">
        <is>
          <t>Bonus, Healthcare Plan, Paid Leave, Others</t>
        </is>
      </c>
      <c r="N1072" s="11">
        <f>HYPERLINK("https://www.vietnamworks.com/corporate-transaction-services-senior-officer-2010245-jv","Xem chi tiết")</f>
        <v/>
      </c>
      <c r="O1072" s="10" t="n"/>
    </row>
    <row r="1073">
      <c r="B1073" s="7" t="n">
        <v>1071</v>
      </c>
      <c r="C1073" t="inlineStr">
        <is>
          <t>Techinical Design Manager</t>
        </is>
      </c>
      <c r="D1073" t="inlineStr">
        <is>
          <t>Công Ty TNHH May Thêu Thuận Phương</t>
        </is>
      </c>
      <c r="E1073" t="inlineStr">
        <is>
          <t>Thương lượng</t>
        </is>
      </c>
      <c r="F1073" t="inlineStr">
        <is>
          <t>Hồ Chí Minh</t>
        </is>
      </c>
      <c r="G1073" t="inlineStr">
        <is>
          <t>Trưởng phòng</t>
        </is>
      </c>
      <c r="H1073" t="inlineStr">
        <is>
          <t>23/12/2025</t>
        </is>
      </c>
      <c r="I1073" t="inlineStr">
        <is>
          <t>23/03/2026</t>
        </is>
      </c>
      <c r="J1073" t="inlineStr">
        <is>
          <t>17/03/2026</t>
        </is>
      </c>
      <c r="K1073" t="inlineStr">
        <is>
          <t>N/A</t>
        </is>
      </c>
      <c r="L1073" t="inlineStr">
        <is>
          <t>Pattern Design, Sample Fitting, Quality Control, Garment Design, Gerber</t>
        </is>
      </c>
      <c r="M1073" t="inlineStr">
        <is>
          <t>Bonus, Training, Others</t>
        </is>
      </c>
      <c r="N1073" s="8">
        <f>HYPERLINK("https://www.vietnamworks.com/techinical-design-manager-1995754-jv","Xem chi tiết")</f>
        <v/>
      </c>
    </row>
    <row r="1074">
      <c r="B1074" s="9" t="n">
        <v>1072</v>
      </c>
      <c r="C1074" s="10" t="inlineStr">
        <is>
          <t>Quản Lý Sản Xuất (Production Manager)</t>
        </is>
      </c>
      <c r="D1074" s="10" t="inlineStr">
        <is>
          <t>CÔNG TY TNHH HẢI VINH VN</t>
        </is>
      </c>
      <c r="E1074" s="10" t="inlineStr">
        <is>
          <t>Thương lượng</t>
        </is>
      </c>
      <c r="F1074" s="10" t="inlineStr">
        <is>
          <t>Ninh Bình</t>
        </is>
      </c>
      <c r="G1074" s="10" t="inlineStr">
        <is>
          <t>Trưởng phòng</t>
        </is>
      </c>
      <c r="H1074" s="10" t="inlineStr">
        <is>
          <t>29/12/2025</t>
        </is>
      </c>
      <c r="I1074" s="10" t="inlineStr">
        <is>
          <t>23/03/2026</t>
        </is>
      </c>
      <c r="J1074" s="10" t="inlineStr">
        <is>
          <t>17/03/2026</t>
        </is>
      </c>
      <c r="K1074" s="10" t="inlineStr">
        <is>
          <t>N/A</t>
        </is>
      </c>
      <c r="L1074" s="10" t="inlineStr">
        <is>
          <t>Quản Lý Sản Xuất, Giám Sát Quy Trình Sản Xuất, Production Management, Quản lý và phát triển đội ngũ, Đảm Bảo Chất Lượng</t>
        </is>
      </c>
      <c r="M1074" s="10" t="inlineStr">
        <is>
          <t>Bonus, Healthcare Plan, Training, Others</t>
        </is>
      </c>
      <c r="N1074" s="11">
        <f>HYPERLINK("https://www.vietnamworks.com/quan-ly-san-xuat-production-manager-1997390-jv","Xem chi tiết")</f>
        <v/>
      </c>
      <c r="O1074" s="10" t="n"/>
    </row>
    <row r="1075">
      <c r="B1075" s="7" t="n">
        <v>1073</v>
      </c>
      <c r="C1075" t="inlineStr">
        <is>
          <t>Kiến Trúc Sư Chủ Trì – Kiến Trúc Sư Thiết Kế</t>
        </is>
      </c>
      <c r="D1075" t="inlineStr">
        <is>
          <t>Công Ty Cổ Phần Tư Vấn Đầu Tư và Thiết Kế Xây Dựng Việt Nam (CDC)</t>
        </is>
      </c>
      <c r="E1075" t="inlineStr">
        <is>
          <t>Thương lượng</t>
        </is>
      </c>
      <c r="F1075" t="inlineStr">
        <is>
          <t>Hà Nội</t>
        </is>
      </c>
      <c r="G1075" t="inlineStr">
        <is>
          <t>Nhân viên</t>
        </is>
      </c>
      <c r="H1075" t="inlineStr">
        <is>
          <t>25/12/2025</t>
        </is>
      </c>
      <c r="I1075" t="inlineStr">
        <is>
          <t>23/03/2026</t>
        </is>
      </c>
      <c r="J1075" t="inlineStr">
        <is>
          <t>17/03/2026</t>
        </is>
      </c>
      <c r="K1075" t="inlineStr">
        <is>
          <t>N/A</t>
        </is>
      </c>
      <c r="L1075" t="inlineStr">
        <is>
          <t>Kiến Trúc, Kiến Trúc Dân Dụng, Kiến Trúc Xây Dựng, Thiết Kế Kiến Trúc, Triển Khai Hồ Sơ Kết Cấu</t>
        </is>
      </c>
      <c r="M1075" t="inlineStr">
        <is>
          <t>Healthcare Plan, Training, Others</t>
        </is>
      </c>
      <c r="N1075" s="8">
        <f>HYPERLINK("https://www.vietnamworks.com/kien-truc-su-chu-tri-kien-truc-su-thiet-ke-1996643-jv","Xem chi tiết")</f>
        <v/>
      </c>
    </row>
    <row r="1076">
      <c r="B1076" s="9" t="n">
        <v>1074</v>
      </c>
      <c r="C1076" s="10" t="inlineStr">
        <is>
          <t>Kỹ Sư Cấp Thoát Nước</t>
        </is>
      </c>
      <c r="D1076" s="10" t="inlineStr">
        <is>
          <t>Công Ty Cổ Phần Tư Vấn Đầu Tư và Thiết Kế Xây Dựng Việt Nam (CDC)</t>
        </is>
      </c>
      <c r="E1076" s="10" t="inlineStr">
        <is>
          <t>Từ 12tr ₫/tháng</t>
        </is>
      </c>
      <c r="F1076" s="10" t="inlineStr">
        <is>
          <t>Hà Nội</t>
        </is>
      </c>
      <c r="G1076" s="10" t="inlineStr">
        <is>
          <t>Nhân viên</t>
        </is>
      </c>
      <c r="H1076" s="10" t="inlineStr">
        <is>
          <t>25/12/2025</t>
        </is>
      </c>
      <c r="I1076" s="10" t="inlineStr">
        <is>
          <t>23/03/2026</t>
        </is>
      </c>
      <c r="J1076" s="10" t="inlineStr">
        <is>
          <t>17/03/2026</t>
        </is>
      </c>
      <c r="K1076" s="10" t="inlineStr">
        <is>
          <t>N/A</t>
        </is>
      </c>
      <c r="L1076" s="10" t="inlineStr">
        <is>
          <t>Cấp Thoát Nước, Thiết Kế Cấp Thoát Nước, Water Engineering, Water Resource Management, Water Supply</t>
        </is>
      </c>
      <c r="M1076" s="10" t="inlineStr">
        <is>
          <t>Healthcare Plan, Training, Others</t>
        </is>
      </c>
      <c r="N1076" s="11">
        <f>HYPERLINK("https://www.vietnamworks.com/ky-su-cap-thoat-nuoc--1996658-jv","Xem chi tiết")</f>
        <v/>
      </c>
      <c r="O1076" s="10" t="n"/>
    </row>
    <row r="1077">
      <c r="B1077" s="7" t="n">
        <v>1075</v>
      </c>
      <c r="C1077" t="inlineStr">
        <is>
          <t>Field Service Engineer</t>
        </is>
      </c>
      <c r="D1077" t="inlineStr">
        <is>
          <t>Carl Zeiss Vietnam Company Limited</t>
        </is>
      </c>
      <c r="E1077" t="inlineStr">
        <is>
          <t>Thương lượng</t>
        </is>
      </c>
      <c r="F1077" t="inlineStr">
        <is>
          <t>Hồ Chí Minh</t>
        </is>
      </c>
      <c r="G1077" t="inlineStr">
        <is>
          <t>Nhân viên</t>
        </is>
      </c>
      <c r="H1077" t="inlineStr">
        <is>
          <t>05/02/2026</t>
        </is>
      </c>
      <c r="I1077" t="inlineStr">
        <is>
          <t>22/03/2026</t>
        </is>
      </c>
      <c r="J1077" t="inlineStr">
        <is>
          <t>17/03/2026</t>
        </is>
      </c>
      <c r="K1077" t="inlineStr">
        <is>
          <t>N/A</t>
        </is>
      </c>
      <c r="L1077" t="inlineStr">
        <is>
          <t>CMM, Customer Care, Problem-solving, Troubleshooting, Metrotomography</t>
        </is>
      </c>
      <c r="M1077" t="inlineStr">
        <is>
          <t>Training, Others</t>
        </is>
      </c>
      <c r="N1077" s="8">
        <f>HYPERLINK("https://www.vietnamworks.com/field-service-engineer--2010247-jv","Xem chi tiết")</f>
        <v/>
      </c>
    </row>
    <row r="1078">
      <c r="B1078" s="9" t="n">
        <v>1076</v>
      </c>
      <c r="C1078" s="10" t="inlineStr">
        <is>
          <t>Chuyên Viên Tài Chính Cấp Cao (Financial Business Partner)</t>
        </is>
      </c>
      <c r="D1078" s="10" t="inlineStr">
        <is>
          <t>Onelab</t>
        </is>
      </c>
      <c r="E1078" s="10" t="inlineStr">
        <is>
          <t>Thương lượng</t>
        </is>
      </c>
      <c r="F1078" s="10" t="inlineStr">
        <is>
          <t>Hồ Chí Minh</t>
        </is>
      </c>
      <c r="G1078" s="10" t="inlineStr">
        <is>
          <t>Nhân viên</t>
        </is>
      </c>
      <c r="H1078" s="10" t="inlineStr">
        <is>
          <t>25/12/2025</t>
        </is>
      </c>
      <c r="I1078" s="10" t="inlineStr">
        <is>
          <t>23/03/2026</t>
        </is>
      </c>
      <c r="J1078" s="10" t="inlineStr">
        <is>
          <t>17/03/2026</t>
        </is>
      </c>
      <c r="K1078" s="10" t="inlineStr">
        <is>
          <t>N/A</t>
        </is>
      </c>
      <c r="L1078" s="10" t="inlineStr">
        <is>
          <t>business analyst, Cost Models, Costing management, Finance Business Partnering, Finance Management</t>
        </is>
      </c>
      <c r="M1078" s="10" t="inlineStr">
        <is>
          <t>Bonus, Healthcare Plan, Paid Leave</t>
        </is>
      </c>
      <c r="N1078" s="11">
        <f>HYPERLINK("https://www.vietnamworks.com/chuyen-vien-tai-chinh-cap-cao-financial-business-partner--1996503-jv","Xem chi tiết")</f>
        <v/>
      </c>
      <c r="O1078" s="10" t="n"/>
    </row>
    <row r="1079">
      <c r="B1079" s="7" t="n">
        <v>1077</v>
      </c>
      <c r="C1079" t="inlineStr">
        <is>
          <t>Chuyên Viên Phát Triển Kinh Doanh (Phát Triển Mạng Lưới Cộng Tác Viên &amp; Đối Tác)</t>
        </is>
      </c>
      <c r="D1079" t="inlineStr">
        <is>
          <t>Công Ty Cổ Phần Chứng Khoán SSI</t>
        </is>
      </c>
      <c r="E1079" t="inlineStr">
        <is>
          <t>Thương lượng</t>
        </is>
      </c>
      <c r="F1079" t="inlineStr">
        <is>
          <t>Hà Nội, Hồ Chí Minh</t>
        </is>
      </c>
      <c r="G1079" t="inlineStr">
        <is>
          <t>Nhân viên</t>
        </is>
      </c>
      <c r="H1079" t="inlineStr">
        <is>
          <t>25/12/2025</t>
        </is>
      </c>
      <c r="I1079" t="inlineStr">
        <is>
          <t>23/03/2026</t>
        </is>
      </c>
      <c r="J1079" t="inlineStr">
        <is>
          <t>17/03/2026</t>
        </is>
      </c>
      <c r="K1079" t="inlineStr">
        <is>
          <t>N/A</t>
        </is>
      </c>
      <c r="L1079" t="inlineStr">
        <is>
          <t>Kiến thức thị trường, Kỹ năng giao tiêp, Môi Giới Chứng Khoán, Phát Triển Chương Trình Bán Hàng, Phát Triển Kinh Doanh</t>
        </is>
      </c>
      <c r="M1079" t="inlineStr">
        <is>
          <t>Bonus, Healthcare Plan, Training</t>
        </is>
      </c>
      <c r="N1079" s="8">
        <f>HYPERLINK("https://www.vietnamworks.com/chuyen-vien-phat-trien-kinh-doanh-phat-trien-mang-luoi-cong-tac-vien-and-djoi-tac-1996480-jv","Xem chi tiết")</f>
        <v/>
      </c>
    </row>
    <row r="1080">
      <c r="B1080" s="9" t="n">
        <v>1078</v>
      </c>
      <c r="C1080" s="10" t="inlineStr">
        <is>
          <t>Nhân Viên Vận Hành Máy Ép Đùn</t>
        </is>
      </c>
      <c r="D1080" s="10" t="inlineStr">
        <is>
          <t>Archer Daniels Midland (ADM)</t>
        </is>
      </c>
      <c r="E1080" s="10" t="inlineStr">
        <is>
          <t>Thương lượng</t>
        </is>
      </c>
      <c r="F1080" s="10" t="inlineStr">
        <is>
          <t>Bình Dương</t>
        </is>
      </c>
      <c r="G1080" s="10" t="inlineStr">
        <is>
          <t>Mới Tốt Nghiệp</t>
        </is>
      </c>
      <c r="H1080" s="10" t="inlineStr">
        <is>
          <t>05/02/2026</t>
        </is>
      </c>
      <c r="I1080" s="10" t="inlineStr">
        <is>
          <t>22/03/2026</t>
        </is>
      </c>
      <c r="J1080" s="10" t="inlineStr">
        <is>
          <t>17/03/2026</t>
        </is>
      </c>
      <c r="K1080" s="10" t="inlineStr">
        <is>
          <t>N/A</t>
        </is>
      </c>
      <c r="L1080" s="10" t="inlineStr">
        <is>
          <t>Vận Hành Sản Xuất, Vận Hành Máy Ép, Vận Hành Chuyền Tự Động, Sản xuất, Ép Khuôn</t>
        </is>
      </c>
      <c r="M1080" s="10" t="inlineStr">
        <is>
          <t>Healthcare Plan</t>
        </is>
      </c>
      <c r="N1080" s="11">
        <f>HYPERLINK("https://www.vietnamworks.com/nhan-vien-van-hanh-may-ep-dun--2010240-jv","Xem chi tiết")</f>
        <v/>
      </c>
      <c r="O1080" s="10" t="n"/>
    </row>
    <row r="1081">
      <c r="B1081" s="7" t="n">
        <v>1079</v>
      </c>
      <c r="C1081" t="inlineStr">
        <is>
          <t>Kỹ Sư Điện - Điều Hòa</t>
        </is>
      </c>
      <c r="D1081" t="inlineStr">
        <is>
          <t>Công Ty Cổ Phần Tư Vấn Đầu Tư và Thiết Kế Xây Dựng Việt Nam (CDC)</t>
        </is>
      </c>
      <c r="E1081" t="inlineStr">
        <is>
          <t>Từ 12tr ₫/tháng</t>
        </is>
      </c>
      <c r="F1081" t="inlineStr">
        <is>
          <t>Hà Nội</t>
        </is>
      </c>
      <c r="G1081" t="inlineStr">
        <is>
          <t>Nhân viên</t>
        </is>
      </c>
      <c r="H1081" t="inlineStr">
        <is>
          <t>25/12/2025</t>
        </is>
      </c>
      <c r="I1081" t="inlineStr">
        <is>
          <t>23/03/2026</t>
        </is>
      </c>
      <c r="J1081" t="inlineStr">
        <is>
          <t>17/03/2026</t>
        </is>
      </c>
      <c r="K1081" t="inlineStr">
        <is>
          <t>N/A</t>
        </is>
      </c>
      <c r="L1081" t="inlineStr">
        <is>
          <t>Electrical Engineering, HVAC, Điện, Điện tử, Điều Hòa Không Khí</t>
        </is>
      </c>
      <c r="M1081" t="inlineStr">
        <is>
          <t>Healthcare Plan, Training, Others</t>
        </is>
      </c>
      <c r="N1081" s="8">
        <f>HYPERLINK("https://www.vietnamworks.com/ky-su-dien-dieu-hoa--1996652-jv","Xem chi tiết")</f>
        <v/>
      </c>
    </row>
    <row r="1082">
      <c r="B1082" s="9" t="n">
        <v>1080</v>
      </c>
      <c r="C1082" s="10" t="inlineStr">
        <is>
          <t>Internal Accounting Control</t>
        </is>
      </c>
      <c r="D1082" s="10" t="inlineStr">
        <is>
          <t>Orion Food Vina Co,. Ltd - Head Office</t>
        </is>
      </c>
      <c r="E1082" s="10" t="inlineStr">
        <is>
          <t>Thương lượng</t>
        </is>
      </c>
      <c r="F1082" s="10" t="inlineStr">
        <is>
          <t>Hồ Chí Minh</t>
        </is>
      </c>
      <c r="G1082" s="10" t="inlineStr">
        <is>
          <t>Nhân viên</t>
        </is>
      </c>
      <c r="H1082" s="10" t="inlineStr">
        <is>
          <t>31/12/2025</t>
        </is>
      </c>
      <c r="I1082" s="10" t="inlineStr">
        <is>
          <t>23/03/2026</t>
        </is>
      </c>
      <c r="J1082" s="10" t="inlineStr">
        <is>
          <t>17/03/2026</t>
        </is>
      </c>
      <c r="K1082" s="10" t="inlineStr">
        <is>
          <t>N/A</t>
        </is>
      </c>
      <c r="L1082" s="10" t="inlineStr">
        <is>
          <t>Internal Control, Audit, Accounting, Internal Audit, Tài Chính</t>
        </is>
      </c>
      <c r="M1082" s="10" t="inlineStr">
        <is>
          <t>Bonus, Healthcare Plan, Team Activities</t>
        </is>
      </c>
      <c r="N1082" s="11">
        <f>HYPERLINK("https://www.vietnamworks.com/internal-accounting-control-1998456-jv","Xem chi tiết")</f>
        <v/>
      </c>
      <c r="O1082" s="10" t="n"/>
    </row>
    <row r="1083">
      <c r="B1083" s="7" t="n">
        <v>1081</v>
      </c>
      <c r="C1083" t="inlineStr">
        <is>
          <t>Chuyên Viên Đào Tạo Và Phát Triển Văn Hóa Cao Cấp</t>
        </is>
      </c>
      <c r="D1083" t="inlineStr">
        <is>
          <t>Tập Đoàn Ecopark</t>
        </is>
      </c>
      <c r="E1083" t="inlineStr">
        <is>
          <t>Thương lượng</t>
        </is>
      </c>
      <c r="F1083" t="inlineStr">
        <is>
          <t>Hà Nội</t>
        </is>
      </c>
      <c r="G1083" t="inlineStr">
        <is>
          <t>Nhân viên</t>
        </is>
      </c>
      <c r="H1083" t="inlineStr">
        <is>
          <t>29/12/2025</t>
        </is>
      </c>
      <c r="I1083" t="inlineStr">
        <is>
          <t>23/03/2026</t>
        </is>
      </c>
      <c r="J1083" t="inlineStr">
        <is>
          <t>17/03/2026</t>
        </is>
      </c>
      <c r="K1083" t="inlineStr">
        <is>
          <t>N/A</t>
        </is>
      </c>
      <c r="L1083" t="inlineStr">
        <is>
          <t>Đào Tạo Nhân Lực, Phát Triển Doanh Nghiệp, Tin Học Văn Phòng, Kỹ năng giao tiêp, Tổ chức sự kiện</t>
        </is>
      </c>
      <c r="M1083" t="inlineStr">
        <is>
          <t>Bonus, Healthcare Plan, Travel Opportunities, Transportation, Others</t>
        </is>
      </c>
      <c r="N1083" s="8">
        <f>HYPERLINK("https://www.vietnamworks.com/chuyen-vien-djao-tao-va-phat-trien-van-hoa-cao-cap-1997511-jv","Xem chi tiết")</f>
        <v/>
      </c>
    </row>
    <row r="1084">
      <c r="B1084" s="9" t="n">
        <v>1082</v>
      </c>
      <c r="C1084" s="10" t="inlineStr">
        <is>
          <t>Chuyên Viên Kinh Doanh B2B (Ngành Gỗ Công Nghiệp)</t>
        </is>
      </c>
      <c r="D1084" s="10" t="inlineStr">
        <is>
          <t>Công Ty Cổ Phần Thương Mại AICA HPL</t>
        </is>
      </c>
      <c r="E1084" s="10" t="inlineStr">
        <is>
          <t>13tr-25tr ₫/tháng</t>
        </is>
      </c>
      <c r="F1084" s="10" t="inlineStr">
        <is>
          <t>Hà Nội, Hồ Chí Minh</t>
        </is>
      </c>
      <c r="G1084" s="10" t="inlineStr">
        <is>
          <t>Nhân viên</t>
        </is>
      </c>
      <c r="H1084" s="10" t="inlineStr">
        <is>
          <t>30/12/2025</t>
        </is>
      </c>
      <c r="I1084" s="10" t="inlineStr">
        <is>
          <t>23/03/2026</t>
        </is>
      </c>
      <c r="J1084" s="10" t="inlineStr">
        <is>
          <t>17/03/2026</t>
        </is>
      </c>
      <c r="K1084" s="10" t="inlineStr">
        <is>
          <t>N/A</t>
        </is>
      </c>
      <c r="L1084" s="10" t="inlineStr">
        <is>
          <t>Kinh Doanh Phát Triển Dự Án, Kinh Doanh Dự Án, Bussiness Development, Kinh Nghiệm Trong Lĩnh Vực Nội Thất, Project sales</t>
        </is>
      </c>
      <c r="M1084" s="10" t="inlineStr">
        <is>
          <t>Bonus, Paid Leave, Training, Awards, Travel Opportunities, Team Activities, Others</t>
        </is>
      </c>
      <c r="N1084" s="11">
        <f>HYPERLINK("https://www.vietnamworks.com/chuyen-vien-kinh-doanh-b2b-nganh-go-cong-nghiep-1998045-jv","Xem chi tiết")</f>
        <v/>
      </c>
      <c r="O1084" s="10" t="n"/>
    </row>
    <row r="1085">
      <c r="B1085" s="7" t="n">
        <v>1083</v>
      </c>
      <c r="C1085" t="inlineStr">
        <is>
          <t>Nhân Viên C&amp;B</t>
        </is>
      </c>
      <c r="D1085" t="inlineStr">
        <is>
          <t>Công Ty TNHH May Thêu Thuận Phương</t>
        </is>
      </c>
      <c r="E1085" t="inlineStr">
        <is>
          <t>Thương lượng</t>
        </is>
      </c>
      <c r="F1085" t="inlineStr">
        <is>
          <t>Hồ Chí Minh</t>
        </is>
      </c>
      <c r="G1085" t="inlineStr">
        <is>
          <t>Nhân viên</t>
        </is>
      </c>
      <c r="H1085" t="inlineStr">
        <is>
          <t>30/12/2025</t>
        </is>
      </c>
      <c r="I1085" t="inlineStr">
        <is>
          <t>23/03/2026</t>
        </is>
      </c>
      <c r="J1085" t="inlineStr">
        <is>
          <t>17/03/2026</t>
        </is>
      </c>
      <c r="K1085" t="inlineStr">
        <is>
          <t>N/A</t>
        </is>
      </c>
      <c r="L1085" t="inlineStr">
        <is>
          <t>Quyết Toán Thuế, Báo Cáo Đánh Giá, Chấm Công, Nhân Sự, Tính Lương</t>
        </is>
      </c>
      <c r="M1085" t="inlineStr">
        <is>
          <t>Others</t>
        </is>
      </c>
      <c r="N1085" s="8">
        <f>HYPERLINK("https://www.vietnamworks.com/nhan-vien-candb-1997741-jv","Xem chi tiết")</f>
        <v/>
      </c>
    </row>
    <row r="1086">
      <c r="B1086" s="9" t="n">
        <v>1084</v>
      </c>
      <c r="C1086" s="10" t="inlineStr">
        <is>
          <t>Chuyên Viên Cao Cấp Kiểm Toán Nội Bộ</t>
        </is>
      </c>
      <c r="D1086" s="10" t="inlineStr">
        <is>
          <t>Công Ty Cổ Phần Chứng Khoán SSI</t>
        </is>
      </c>
      <c r="E1086" s="10" t="inlineStr">
        <is>
          <t>Thương lượng</t>
        </is>
      </c>
      <c r="F1086" s="10" t="inlineStr">
        <is>
          <t>Hồ Chí Minh</t>
        </is>
      </c>
      <c r="G1086" s="10" t="inlineStr">
        <is>
          <t>Nhân viên</t>
        </is>
      </c>
      <c r="H1086" s="10" t="inlineStr">
        <is>
          <t>31/12/2025</t>
        </is>
      </c>
      <c r="I1086" s="10" t="inlineStr">
        <is>
          <t>23/03/2026</t>
        </is>
      </c>
      <c r="J1086" s="10" t="inlineStr">
        <is>
          <t>17/03/2026</t>
        </is>
      </c>
      <c r="K1086" s="10" t="inlineStr">
        <is>
          <t>N/A</t>
        </is>
      </c>
      <c r="L1086" s="10" t="inlineStr">
        <is>
          <t>Kiểm toán, Kiểm Toán Nội Bộ, Internal Audit, Tài Chính Chứng Khoán, Audit</t>
        </is>
      </c>
      <c r="M1086" s="10" t="inlineStr">
        <is>
          <t>Bonus, Healthcare Plan, Training</t>
        </is>
      </c>
      <c r="N1086" s="11">
        <f>HYPERLINK("https://www.vietnamworks.com/chuyen-vien-cao-cap-kiem-toan-noi-bo--1998267-jv","Xem chi tiết")</f>
        <v/>
      </c>
      <c r="O1086" s="10" t="n"/>
    </row>
    <row r="1087">
      <c r="B1087" s="7" t="n">
        <v>1085</v>
      </c>
      <c r="C1087" t="inlineStr">
        <is>
          <t>Kỹ Sư Sản Xuất - Motor Điện</t>
        </is>
      </c>
      <c r="D1087" t="inlineStr">
        <is>
          <t>CÔNG TY CỔ PHẦN GLINE</t>
        </is>
      </c>
      <c r="E1087" t="inlineStr">
        <is>
          <t>20tr-30tr ₫/tháng</t>
        </is>
      </c>
      <c r="F1087" t="inlineStr">
        <is>
          <t>Hồ Chí Minh</t>
        </is>
      </c>
      <c r="G1087" t="inlineStr">
        <is>
          <t>Nhân viên</t>
        </is>
      </c>
      <c r="H1087" t="inlineStr">
        <is>
          <t>05/01/2026</t>
        </is>
      </c>
      <c r="I1087" t="inlineStr">
        <is>
          <t>23/03/2026</t>
        </is>
      </c>
      <c r="J1087" t="inlineStr">
        <is>
          <t>17/03/2026</t>
        </is>
      </c>
      <c r="K1087" t="inlineStr">
        <is>
          <t>N/A</t>
        </is>
      </c>
      <c r="L1087" t="inlineStr">
        <is>
          <t>Điện Tử, Cơ Khí, Cơ Điện Tử, Sản Xuất Điện, Kiểm Soát Chất Lượng</t>
        </is>
      </c>
      <c r="M1087" t="inlineStr">
        <is>
          <t>Healthcare Plan, Others</t>
        </is>
      </c>
      <c r="N1087" s="8">
        <f>HYPERLINK("https://www.vietnamworks.com/ky-su-san-xuat-motor-djien-1999395-jv","Xem chi tiết")</f>
        <v/>
      </c>
    </row>
    <row r="1088">
      <c r="B1088" s="9" t="n">
        <v>1086</v>
      </c>
      <c r="C1088" s="10" t="inlineStr">
        <is>
          <t>Kế Toán Tổng Hợp</t>
        </is>
      </c>
      <c r="D1088" s="10" t="inlineStr">
        <is>
          <t>Công Ty TNHH Đồng Thuận Hà</t>
        </is>
      </c>
      <c r="E1088" s="10" t="inlineStr">
        <is>
          <t>Tới 25tr ₫/tháng</t>
        </is>
      </c>
      <c r="F1088" s="10" t="inlineStr">
        <is>
          <t>Hồ Chí Minh</t>
        </is>
      </c>
      <c r="G1088" s="10" t="inlineStr">
        <is>
          <t>Nhân viên</t>
        </is>
      </c>
      <c r="H1088" s="10" t="inlineStr">
        <is>
          <t>05/01/2026</t>
        </is>
      </c>
      <c r="I1088" s="10" t="inlineStr">
        <is>
          <t>23/03/2026</t>
        </is>
      </c>
      <c r="J1088" s="10" t="inlineStr">
        <is>
          <t>17/03/2026</t>
        </is>
      </c>
      <c r="K1088" s="10" t="inlineStr">
        <is>
          <t>N/A</t>
        </is>
      </c>
      <c r="L1088" s="10" t="inlineStr">
        <is>
          <t>Kiểm Toán, Tài Chính, Hạch Toán, Kế Toán Tổng Hợp, Báo Cáo Tài Chính</t>
        </is>
      </c>
      <c r="M1088" s="10" t="inlineStr">
        <is>
          <t>Bonus, Healthcare Plan, Team Activities</t>
        </is>
      </c>
      <c r="N1088" s="11">
        <f>HYPERLINK("https://www.vietnamworks.com/ke-toan-tong-hop--1999455-jv","Xem chi tiết")</f>
        <v/>
      </c>
      <c r="O1088" s="10" t="n"/>
    </row>
    <row r="1089">
      <c r="B1089" s="7" t="n">
        <v>1087</v>
      </c>
      <c r="C1089" t="inlineStr">
        <is>
          <t>Java Developer (Middle)</t>
        </is>
      </c>
      <c r="D1089" t="inlineStr">
        <is>
          <t>Shinhan Vietnam Finance Company Limited</t>
        </is>
      </c>
      <c r="E1089" t="inlineStr">
        <is>
          <t>Thương lượng</t>
        </is>
      </c>
      <c r="F1089" t="inlineStr">
        <is>
          <t>Hồ Chí Minh</t>
        </is>
      </c>
      <c r="G1089" t="inlineStr">
        <is>
          <t>Nhân viên</t>
        </is>
      </c>
      <c r="H1089" t="inlineStr">
        <is>
          <t>05/01/2026</t>
        </is>
      </c>
      <c r="I1089" t="inlineStr">
        <is>
          <t>23/03/2026</t>
        </is>
      </c>
      <c r="J1089" t="inlineStr">
        <is>
          <t>17/03/2026</t>
        </is>
      </c>
      <c r="K1089" t="inlineStr">
        <is>
          <t>N/A</t>
        </is>
      </c>
      <c r="L1089" t="inlineStr">
        <is>
          <t>Java, AngularJS, API, Front-End, Full Stack Development</t>
        </is>
      </c>
      <c r="M1089" t="inlineStr">
        <is>
          <t>Bonus, Healthcare Plan, Others</t>
        </is>
      </c>
      <c r="N1089" s="8">
        <f>HYPERLINK("https://www.vietnamworks.com/java-developer-middle--1999496-jv","Xem chi tiết")</f>
        <v/>
      </c>
    </row>
    <row r="1090">
      <c r="B1090" s="9" t="n">
        <v>1088</v>
      </c>
      <c r="C1090" s="10" t="inlineStr">
        <is>
          <t>Logistic Specialist</t>
        </is>
      </c>
      <c r="D1090" s="10" t="inlineStr">
        <is>
          <t>Boyd Vietnam Company Limited.,</t>
        </is>
      </c>
      <c r="E1090" s="10" t="inlineStr">
        <is>
          <t>Thương lượng</t>
        </is>
      </c>
      <c r="F1090" s="10" t="inlineStr">
        <is>
          <t>Bắc Ninh</t>
        </is>
      </c>
      <c r="G1090" s="10" t="inlineStr">
        <is>
          <t>Nhân viên</t>
        </is>
      </c>
      <c r="H1090" s="10" t="inlineStr">
        <is>
          <t>02/01/2026</t>
        </is>
      </c>
      <c r="I1090" s="10" t="inlineStr">
        <is>
          <t>23/03/2026</t>
        </is>
      </c>
      <c r="J1090" s="10" t="inlineStr">
        <is>
          <t>17/03/2026</t>
        </is>
      </c>
      <c r="K1090" s="10" t="inlineStr">
        <is>
          <t>N/A</t>
        </is>
      </c>
      <c r="L1090" s="10" t="inlineStr">
        <is>
          <t>ECUS, International Business, Logistics, Manufacturing, Supply Chain Management</t>
        </is>
      </c>
      <c r="M1090" s="10" t="inlineStr">
        <is>
          <t>Bonus, Healthcare Plan, Paid Leave</t>
        </is>
      </c>
      <c r="N1090" s="11">
        <f>HYPERLINK("https://www.vietnamworks.com/logistic-specialist-1999147-jv","Xem chi tiết")</f>
        <v/>
      </c>
      <c r="O1090" s="10" t="n"/>
    </row>
    <row r="1091">
      <c r="B1091" s="7" t="n">
        <v>1089</v>
      </c>
      <c r="C1091" t="inlineStr">
        <is>
          <t>Assitant to CEO</t>
        </is>
      </c>
      <c r="D1091" t="inlineStr">
        <is>
          <t>Herbs N Spices International Company Limited</t>
        </is>
      </c>
      <c r="E1091" t="inlineStr">
        <is>
          <t>$$ 400-1,000 /tháng</t>
        </is>
      </c>
      <c r="F1091" t="inlineStr">
        <is>
          <t>Hà Nội</t>
        </is>
      </c>
      <c r="G1091" t="inlineStr">
        <is>
          <t>Nhân viên</t>
        </is>
      </c>
      <c r="H1091" t="inlineStr">
        <is>
          <t>05/01/2026</t>
        </is>
      </c>
      <c r="I1091" t="inlineStr">
        <is>
          <t>23/03/2026</t>
        </is>
      </c>
      <c r="J1091" t="inlineStr">
        <is>
          <t>17/03/2026</t>
        </is>
      </c>
      <c r="K1091" t="inlineStr">
        <is>
          <t>N/A</t>
        </is>
      </c>
      <c r="L1091" t="inlineStr">
        <is>
          <t>English, Chinese, Trợ Lý</t>
        </is>
      </c>
      <c r="M1091" t="inlineStr">
        <is>
          <t>Bonus, Healthcare Plan, Transportation</t>
        </is>
      </c>
      <c r="N1091" s="8">
        <f>HYPERLINK("https://www.vietnamworks.com/assitant-to-ceo--1999405-jv","Xem chi tiết")</f>
        <v/>
      </c>
    </row>
    <row r="1092">
      <c r="B1092" s="9" t="n">
        <v>1090</v>
      </c>
      <c r="C1092" s="10" t="inlineStr">
        <is>
          <t>(Senior) Accountant (Up-To 30 Months Of Annual Salary)</t>
        </is>
      </c>
      <c r="D1092" s="10" t="inlineStr">
        <is>
          <t>Crossian Việt Nam</t>
        </is>
      </c>
      <c r="E1092" s="10" t="inlineStr">
        <is>
          <t>Thương lượng</t>
        </is>
      </c>
      <c r="F1092" s="10" t="inlineStr">
        <is>
          <t>Hà Nội</t>
        </is>
      </c>
      <c r="G1092" s="10" t="inlineStr">
        <is>
          <t>Nhân viên</t>
        </is>
      </c>
      <c r="H1092" s="10" t="inlineStr">
        <is>
          <t>05/01/2026</t>
        </is>
      </c>
      <c r="I1092" s="10" t="inlineStr">
        <is>
          <t>23/03/2026</t>
        </is>
      </c>
      <c r="J1092" s="10" t="inlineStr">
        <is>
          <t>17/03/2026</t>
        </is>
      </c>
      <c r="K1092" s="10" t="inlineStr">
        <is>
          <t>N/A</t>
        </is>
      </c>
      <c r="L1092" s="10" t="inlineStr">
        <is>
          <t>Account Payable, Account Receivable, GAAP, Kế Toán</t>
        </is>
      </c>
      <c r="M1092" s="10" t="inlineStr">
        <is>
          <t>Bonus, Healthcare Plan, Paid Leave, Training, Team Activities, Others</t>
        </is>
      </c>
      <c r="N1092" s="11">
        <f>HYPERLINK("https://www.vietnamworks.com/senior-accountant-up-to-30-months-of-annual-salary--1999453-jv","Xem chi tiết")</f>
        <v/>
      </c>
      <c r="O1092" s="10" t="n"/>
    </row>
    <row r="1093">
      <c r="B1093" s="7" t="n">
        <v>1091</v>
      </c>
      <c r="C1093" t="inlineStr">
        <is>
          <t>Giám Sát Dịch Vụ (Trợ lý Trưởng Ban Quản lý tòa nhà)</t>
        </is>
      </c>
      <c r="D1093" t="inlineStr">
        <is>
          <t>Công Ty TNHH Alpha Plus</t>
        </is>
      </c>
      <c r="E1093" t="inlineStr">
        <is>
          <t>Thương lượng</t>
        </is>
      </c>
      <c r="F1093" t="inlineStr">
        <is>
          <t>Hồ Chí Minh</t>
        </is>
      </c>
      <c r="G1093" t="inlineStr">
        <is>
          <t>Nhân viên</t>
        </is>
      </c>
      <c r="H1093" t="inlineStr">
        <is>
          <t>02/01/2026</t>
        </is>
      </c>
      <c r="I1093" t="inlineStr">
        <is>
          <t>23/03/2026</t>
        </is>
      </c>
      <c r="J1093" t="inlineStr">
        <is>
          <t>17/03/2026</t>
        </is>
      </c>
      <c r="K1093" t="inlineStr">
        <is>
          <t>N/A</t>
        </is>
      </c>
      <c r="L1093" t="inlineStr">
        <is>
          <t>Bất Động Sản, Property Management, Quản Lý Vận Hành Tòa Nhà, Giám Sát Dịch Vụ, Trợ Lý</t>
        </is>
      </c>
      <c r="M1093" t="inlineStr">
        <is>
          <t>Bonus, Team Activities, Others</t>
        </is>
      </c>
      <c r="N1093" s="8">
        <f>HYPERLINK("https://www.vietnamworks.com/giam-sat-dich-vu-tro-ly-truong-ban-quan-ly-toa-nha-1999097-jv","Xem chi tiết")</f>
        <v/>
      </c>
    </row>
    <row r="1094">
      <c r="B1094" s="9" t="n">
        <v>1092</v>
      </c>
      <c r="C1094" s="10" t="inlineStr">
        <is>
          <t>IT Business Analyst</t>
        </is>
      </c>
      <c r="D1094" s="10" t="inlineStr">
        <is>
          <t>Shinhan Vietnam Finance Company Limited</t>
        </is>
      </c>
      <c r="E1094" s="10" t="inlineStr">
        <is>
          <t>Thương lượng</t>
        </is>
      </c>
      <c r="F1094" s="10" t="inlineStr">
        <is>
          <t>Hồ Chí Minh</t>
        </is>
      </c>
      <c r="G1094" s="10" t="inlineStr">
        <is>
          <t>Nhân viên</t>
        </is>
      </c>
      <c r="H1094" s="10" t="inlineStr">
        <is>
          <t>05/01/2026</t>
        </is>
      </c>
      <c r="I1094" s="10" t="inlineStr">
        <is>
          <t>23/03/2026</t>
        </is>
      </c>
      <c r="J1094" s="10" t="inlineStr">
        <is>
          <t>17/03/2026</t>
        </is>
      </c>
      <c r="K1094" s="10" t="inlineStr">
        <is>
          <t>N/A</t>
        </is>
      </c>
      <c r="L1094" s="10" t="inlineStr">
        <is>
          <t>Database Oracle, Web Application Testing, Business Analysis, Business Process, SQL</t>
        </is>
      </c>
      <c r="M1094" s="10" t="inlineStr">
        <is>
          <t>Bonus, Healthcare Plan, Paid Leave</t>
        </is>
      </c>
      <c r="N1094" s="11">
        <f>HYPERLINK("https://www.vietnamworks.com/it-business-analyst--1999498-jv","Xem chi tiết")</f>
        <v/>
      </c>
      <c r="O1094" s="10" t="n"/>
    </row>
    <row r="1095">
      <c r="B1095" s="7" t="n">
        <v>1093</v>
      </c>
      <c r="C1095" t="inlineStr">
        <is>
          <t>Sales Engineer</t>
        </is>
      </c>
      <c r="D1095" t="inlineStr">
        <is>
          <t>Công Ty TNHH MTV Thương Mại Dịch Vụ Sản Xuất Cơ Khí Hùng Tuấn</t>
        </is>
      </c>
      <c r="E1095" t="inlineStr">
        <is>
          <t>$$ 15tr-30tr /tháng</t>
        </is>
      </c>
      <c r="F1095" t="inlineStr">
        <is>
          <t>Hồ Chí Minh</t>
        </is>
      </c>
      <c r="G1095" t="inlineStr">
        <is>
          <t>Nhân viên</t>
        </is>
      </c>
      <c r="H1095" t="inlineStr">
        <is>
          <t>06/01/2026</t>
        </is>
      </c>
      <c r="I1095" t="inlineStr">
        <is>
          <t>23/03/2026</t>
        </is>
      </c>
      <c r="J1095" t="inlineStr">
        <is>
          <t>17/03/2026</t>
        </is>
      </c>
      <c r="K1095" t="inlineStr">
        <is>
          <t>N/A</t>
        </is>
      </c>
      <c r="L1095" t="inlineStr">
        <is>
          <t>Sales, B2B, Telesales, Chuyên Viên Kinh Doanh, Business Development</t>
        </is>
      </c>
      <c r="M1095" t="inlineStr">
        <is>
          <t>Bonus, Healthcare Plan, Others</t>
        </is>
      </c>
      <c r="N1095" s="8">
        <f>HYPERLINK("https://www.vietnamworks.com/sales-engineer--1999669-jv","Xem chi tiết")</f>
        <v/>
      </c>
    </row>
    <row r="1096">
      <c r="B1096" s="9" t="n">
        <v>1094</v>
      </c>
      <c r="C1096" s="10" t="inlineStr">
        <is>
          <t>Learning &amp; Organizational Development Officer</t>
        </is>
      </c>
      <c r="D1096" s="10" t="inlineStr">
        <is>
          <t>Dai-Ichi Life Vietnam</t>
        </is>
      </c>
      <c r="E1096" s="10" t="inlineStr">
        <is>
          <t>Thương lượng</t>
        </is>
      </c>
      <c r="F1096" s="10" t="inlineStr">
        <is>
          <t>Hồ Chí Minh</t>
        </is>
      </c>
      <c r="G1096" s="10" t="inlineStr">
        <is>
          <t>Nhân viên</t>
        </is>
      </c>
      <c r="H1096" s="10" t="inlineStr">
        <is>
          <t>05/01/2026</t>
        </is>
      </c>
      <c r="I1096" s="10" t="inlineStr">
        <is>
          <t>23/03/2026</t>
        </is>
      </c>
      <c r="J1096" s="10" t="inlineStr">
        <is>
          <t>17/03/2026</t>
        </is>
      </c>
      <c r="K1096" s="10" t="inlineStr">
        <is>
          <t>N/A</t>
        </is>
      </c>
      <c r="L1096" s="10" t="inlineStr">
        <is>
          <t>Training Organizing, Organizational Development, Learning Management System (LMS), Learning And Development, communication</t>
        </is>
      </c>
      <c r="M1096" s="10" t="inlineStr">
        <is>
          <t>Bonus, Healthcare Plan, Paid Leave</t>
        </is>
      </c>
      <c r="N1096" s="11">
        <f>HYPERLINK("https://www.vietnamworks.com/learning-organizational-development-officer-1999522-jv","Xem chi tiết")</f>
        <v/>
      </c>
      <c r="O1096" s="10" t="n"/>
    </row>
    <row r="1097">
      <c r="B1097" s="7" t="n">
        <v>1095</v>
      </c>
      <c r="C1097" t="inlineStr">
        <is>
          <t>Brand Marketing Executive FMCG</t>
        </is>
      </c>
      <c r="D1097" t="inlineStr">
        <is>
          <t>VIFON</t>
        </is>
      </c>
      <c r="E1097" t="inlineStr">
        <is>
          <t>$$ 500-900 /tháng</t>
        </is>
      </c>
      <c r="F1097" t="inlineStr">
        <is>
          <t>Hồ Chí Minh</t>
        </is>
      </c>
      <c r="G1097" t="inlineStr">
        <is>
          <t>Nhân viên</t>
        </is>
      </c>
      <c r="H1097" t="inlineStr">
        <is>
          <t>05/01/2026</t>
        </is>
      </c>
      <c r="I1097" t="inlineStr">
        <is>
          <t>23/03/2026</t>
        </is>
      </c>
      <c r="J1097" t="inlineStr">
        <is>
          <t>17/03/2026</t>
        </is>
      </c>
      <c r="K1097" t="inlineStr">
        <is>
          <t>N/A</t>
        </is>
      </c>
      <c r="L1097" t="inlineStr">
        <is>
          <t>Brand Marketing, FMCG, ATL, BTL Activations, NPD Launch</t>
        </is>
      </c>
      <c r="M1097" t="inlineStr">
        <is>
          <t>Bonus, Healthcare Plan, Paid Leave</t>
        </is>
      </c>
      <c r="N1097" s="8">
        <f>HYPERLINK("https://www.vietnamworks.com/brand-marketing-executive-fmcg-1999497-jv","Xem chi tiết")</f>
        <v/>
      </c>
    </row>
    <row r="1098">
      <c r="B1098" s="9" t="n">
        <v>1096</v>
      </c>
      <c r="C1098" s="10" t="inlineStr">
        <is>
          <t>[Vũng Tàu, Đồng Nai] - Kỹ Sư Giám Sát</t>
        </is>
      </c>
      <c r="D1098" s="10" t="inlineStr">
        <is>
          <t>Công Ty TNHH Kỹ Thuật Và Xây Dựng Map Hanterin VINA</t>
        </is>
      </c>
      <c r="E1098" s="10" t="inlineStr">
        <is>
          <t>Thương lượng</t>
        </is>
      </c>
      <c r="F1098" s="10" t="inlineStr">
        <is>
          <t>Bà Rịa - Vũng Tàu, Đồng Nai</t>
        </is>
      </c>
      <c r="G1098" s="10" t="inlineStr">
        <is>
          <t>Nhân viên</t>
        </is>
      </c>
      <c r="H1098" s="10" t="inlineStr">
        <is>
          <t>05/01/2026</t>
        </is>
      </c>
      <c r="I1098" s="10" t="inlineStr">
        <is>
          <t>23/03/2026</t>
        </is>
      </c>
      <c r="J1098" s="10" t="inlineStr">
        <is>
          <t>17/03/2026</t>
        </is>
      </c>
      <c r="K1098" s="10" t="inlineStr">
        <is>
          <t>N/A</t>
        </is>
      </c>
      <c r="L1098" s="10" t="inlineStr">
        <is>
          <t>Xây Dựng, Phòng Cháy Chữa Cháy, Giám Sát Xây Dựng, Giám Sát Thi Công, M&amp;E</t>
        </is>
      </c>
      <c r="M1098" s="10" t="inlineStr">
        <is>
          <t>Bonus, Healthcare Plan, Others</t>
        </is>
      </c>
      <c r="N1098" s="11">
        <f>HYPERLINK("https://www.vietnamworks.com/vung-tau-dong-nai-ky-su-giam-sat-1999406-jv","Xem chi tiết")</f>
        <v/>
      </c>
      <c r="O1098" s="10" t="n"/>
    </row>
    <row r="1099">
      <c r="B1099" s="7" t="n">
        <v>1097</v>
      </c>
      <c r="C1099" t="inlineStr">
        <is>
          <t>Thực Tập Sinh Kiểm Thử Tự Động (Automation Testing)</t>
        </is>
      </c>
      <c r="D1099" t="inlineStr">
        <is>
          <t>Công Ty Cổ Phần Chứng Khoán SSI</t>
        </is>
      </c>
      <c r="E1099" t="inlineStr">
        <is>
          <t>Từ 5tr ₫/tháng</t>
        </is>
      </c>
      <c r="F1099" t="inlineStr">
        <is>
          <t>Hà Nội</t>
        </is>
      </c>
      <c r="G1099" t="inlineStr">
        <is>
          <t>Thực tập sinh/Sinh viên</t>
        </is>
      </c>
      <c r="H1099" t="inlineStr">
        <is>
          <t>05/01/2026</t>
        </is>
      </c>
      <c r="I1099" t="inlineStr">
        <is>
          <t>23/03/2026</t>
        </is>
      </c>
      <c r="J1099" t="inlineStr">
        <is>
          <t>17/03/2026</t>
        </is>
      </c>
      <c r="K1099" t="inlineStr">
        <is>
          <t>N/A</t>
        </is>
      </c>
      <c r="L1099" t="inlineStr">
        <is>
          <t>Automation Testing, C#, Java, Software Engineering, Test Case Writing</t>
        </is>
      </c>
      <c r="M1099" t="inlineStr">
        <is>
          <t>Bonus, Training</t>
        </is>
      </c>
      <c r="N1099" s="8">
        <f>HYPERLINK("https://www.vietnamworks.com/thuc-tap-sinh-kiem-thu-tu-djong-automation-testing-1999590-jv","Xem chi tiết")</f>
        <v/>
      </c>
    </row>
    <row r="1100">
      <c r="B1100" s="9" t="n">
        <v>1098</v>
      </c>
      <c r="C1100" s="10" t="inlineStr">
        <is>
          <t>Air Freight Sales Manager</t>
        </is>
      </c>
      <c r="D1100" s="10" t="inlineStr">
        <is>
          <t>LX Pantos Vietnam</t>
        </is>
      </c>
      <c r="E1100" s="10" t="inlineStr">
        <is>
          <t>Thương lượng</t>
        </is>
      </c>
      <c r="F1100" s="10" t="inlineStr">
        <is>
          <t>Hà Nội</t>
        </is>
      </c>
      <c r="G1100" s="10" t="inlineStr">
        <is>
          <t>Nhân viên</t>
        </is>
      </c>
      <c r="H1100" s="10" t="inlineStr">
        <is>
          <t>06/01/2026</t>
        </is>
      </c>
      <c r="I1100" s="10" t="inlineStr">
        <is>
          <t>23/03/2026</t>
        </is>
      </c>
      <c r="J1100" s="10" t="inlineStr">
        <is>
          <t>17/03/2026</t>
        </is>
      </c>
      <c r="K1100" s="10" t="inlineStr">
        <is>
          <t>N/A</t>
        </is>
      </c>
      <c r="L1100" s="10" t="inlineStr">
        <is>
          <t>Logistics Sales, Air Freight Pricing, Procurement &amp; Logistics</t>
        </is>
      </c>
      <c r="M1100" s="10" t="inlineStr">
        <is>
          <t>Bonus, Healthcare Plan, Training</t>
        </is>
      </c>
      <c r="N1100" s="11">
        <f>HYPERLINK("https://www.vietnamworks.com/air-freight-sales-manager--1999645-jv","Xem chi tiết")</f>
        <v/>
      </c>
      <c r="O1100" s="10" t="n"/>
    </row>
    <row r="1101">
      <c r="B1101" s="7" t="n">
        <v>1099</v>
      </c>
      <c r="C1101" t="inlineStr">
        <is>
          <t>Internal Audit Manager</t>
        </is>
      </c>
      <c r="D1101" t="inlineStr">
        <is>
          <t>Tokio Marine Insurance Viet Nam Company Limited</t>
        </is>
      </c>
      <c r="E1101" t="inlineStr">
        <is>
          <t>Thương lượng</t>
        </is>
      </c>
      <c r="F1101" t="inlineStr">
        <is>
          <t>Hà Nội</t>
        </is>
      </c>
      <c r="G1101" t="inlineStr">
        <is>
          <t>Trưởng phòng</t>
        </is>
      </c>
      <c r="H1101" t="inlineStr">
        <is>
          <t>06/01/2026</t>
        </is>
      </c>
      <c r="I1101" t="inlineStr">
        <is>
          <t>23/03/2026</t>
        </is>
      </c>
      <c r="J1101" t="inlineStr">
        <is>
          <t>17/03/2026</t>
        </is>
      </c>
      <c r="K1101" t="inlineStr">
        <is>
          <t>N/A</t>
        </is>
      </c>
      <c r="L1101" t="inlineStr">
        <is>
          <t>Audit, English, Reporting Skill, Data Analysis, Accounting Principles</t>
        </is>
      </c>
      <c r="M1101" t="inlineStr">
        <is>
          <t>Bonus, Healthcare Plan, Training</t>
        </is>
      </c>
      <c r="N1101" s="8">
        <f>HYPERLINK("https://www.vietnamworks.com/internal-audit-manager--1999632-jv","Xem chi tiết")</f>
        <v/>
      </c>
    </row>
    <row r="1102">
      <c r="B1102" s="9" t="n">
        <v>1100</v>
      </c>
      <c r="C1102" s="10" t="inlineStr">
        <is>
          <t>Air Import/ Export Operation Staff</t>
        </is>
      </c>
      <c r="D1102" s="10" t="inlineStr">
        <is>
          <t>Công Ty TNHH KJTT Việt Nam</t>
        </is>
      </c>
      <c r="E1102" s="10" t="inlineStr">
        <is>
          <t>10tr-16tr ₫/tháng</t>
        </is>
      </c>
      <c r="F1102" s="10" t="inlineStr">
        <is>
          <t>Hà Nội</t>
        </is>
      </c>
      <c r="G1102" s="10" t="inlineStr">
        <is>
          <t>Nhân viên</t>
        </is>
      </c>
      <c r="H1102" s="10" t="inlineStr">
        <is>
          <t>06/01/2026</t>
        </is>
      </c>
      <c r="I1102" s="10" t="inlineStr">
        <is>
          <t>23/03/2026</t>
        </is>
      </c>
      <c r="J1102" s="10" t="inlineStr">
        <is>
          <t>17/03/2026</t>
        </is>
      </c>
      <c r="K1102" s="10" t="inlineStr">
        <is>
          <t>N/A</t>
        </is>
      </c>
      <c r="L1102" s="10" t="inlineStr">
        <is>
          <t>Air Import, Customer Communication, Problem Solving, Logistics, English Language Proficiency</t>
        </is>
      </c>
      <c r="M1102" s="10" t="inlineStr">
        <is>
          <t>Bonus, Healthcare Plan, Training, Travel Opportunities, Others</t>
        </is>
      </c>
      <c r="N1102" s="11">
        <f>HYPERLINK("https://www.vietnamworks.com/air-import-export-operation-staff-1999715-jv","Xem chi tiết")</f>
        <v/>
      </c>
      <c r="O1102" s="10" t="n"/>
    </row>
    <row r="1103">
      <c r="B1103" s="7" t="n">
        <v>1101</v>
      </c>
      <c r="C1103" t="inlineStr">
        <is>
          <t>Giám Đốc Kinh Doanh Sales Manager</t>
        </is>
      </c>
      <c r="D1103" t="inlineStr">
        <is>
          <t>Công ty TNHH Novel Dyeing &amp; Printing VN</t>
        </is>
      </c>
      <c r="E1103" t="inlineStr">
        <is>
          <t>$$ 2,000-3,000 /tháng</t>
        </is>
      </c>
      <c r="F1103" t="inlineStr">
        <is>
          <t>Nam Định, Ninh Bình, Hà Nam</t>
        </is>
      </c>
      <c r="G1103" t="inlineStr">
        <is>
          <t>Giám Đốc và Cấp Cao Hơn</t>
        </is>
      </c>
      <c r="H1103" t="inlineStr">
        <is>
          <t>06/01/2026</t>
        </is>
      </c>
      <c r="I1103" t="inlineStr">
        <is>
          <t>23/03/2026</t>
        </is>
      </c>
      <c r="J1103" t="inlineStr">
        <is>
          <t>17/03/2026</t>
        </is>
      </c>
      <c r="K1103" t="inlineStr">
        <is>
          <t>N/A</t>
        </is>
      </c>
      <c r="L1103" t="inlineStr">
        <is>
          <t>Kinh Doanh, Bán Hàng, Quản Trị Kinh Doanh</t>
        </is>
      </c>
      <c r="M1103" t="inlineStr">
        <is>
          <t>Healthcare Plan, Paid Leave, Transportation</t>
        </is>
      </c>
      <c r="N1103" s="8">
        <f>HYPERLINK("https://www.vietnamworks.com/giam-doc-kinh-doanh-sales-manager--1999774-jv","Xem chi tiết")</f>
        <v/>
      </c>
    </row>
    <row r="1104">
      <c r="B1104" s="9" t="n">
        <v>1102</v>
      </c>
      <c r="C1104" s="10" t="inlineStr">
        <is>
          <t>Chuyên Viên Cao Cấp Khách Hàng Cá Nhân - SRBO (Khu Vưc Hà Nội, Bắc Ninh, Thái Nguyên)</t>
        </is>
      </c>
      <c r="D1104" s="10" t="inlineStr">
        <is>
          <t>Techcombank</t>
        </is>
      </c>
      <c r="E1104" s="10" t="inlineStr">
        <is>
          <t>Thương lượng</t>
        </is>
      </c>
      <c r="F1104" s="10" t="inlineStr">
        <is>
          <t>Hà Nội, Bắc Ninh, Thái Nguyên</t>
        </is>
      </c>
      <c r="G1104" s="10" t="inlineStr">
        <is>
          <t>Nhân viên</t>
        </is>
      </c>
      <c r="H1104" s="10" t="inlineStr">
        <is>
          <t>06/01/2026</t>
        </is>
      </c>
      <c r="I1104" s="10" t="inlineStr">
        <is>
          <t>23/03/2026</t>
        </is>
      </c>
      <c r="J1104" s="10" t="inlineStr">
        <is>
          <t>17/03/2026</t>
        </is>
      </c>
      <c r="K1104" s="10" t="inlineStr">
        <is>
          <t>N/A</t>
        </is>
      </c>
      <c r="L1104" s="10" t="inlineStr">
        <is>
          <t>Phát Triển Khách Hàng, Quan Hệ Khách Hàng Cá Nhân, Tài Chính Ngân Hàng, Tư Vấn Bán Hàng, Tư Vấn Tín Dụng</t>
        </is>
      </c>
      <c r="M1104" s="10" t="inlineStr">
        <is>
          <t>Bonus, Training, Laptop, Others</t>
        </is>
      </c>
      <c r="N1104" s="11">
        <f>HYPERLINK("https://www.vietnamworks.com/chuyen-vien-cao-cap-khach-hang-ca-nhan-srbo-khu-vuc-ha-noi-bac-ninh-thai-nguyen-1999777-jv","Xem chi tiết")</f>
        <v/>
      </c>
      <c r="O1104" s="10" t="n"/>
    </row>
    <row r="1105">
      <c r="B1105" s="7" t="n">
        <v>1103</v>
      </c>
      <c r="C1105" t="inlineStr">
        <is>
          <t>Chuyên Viên Cao Cấp Quan Hệ Khách Hàng Ưu Tiên - PRM Gold (Khu Vưc Hà Nội, Bắc Ninh, Thái Nguyên)</t>
        </is>
      </c>
      <c r="D1105" t="inlineStr">
        <is>
          <t>Techcombank</t>
        </is>
      </c>
      <c r="E1105" t="inlineStr">
        <is>
          <t>Thương lượng</t>
        </is>
      </c>
      <c r="F1105" t="inlineStr">
        <is>
          <t>Thái Nguyên, Hà Nội, Bắc Ninh</t>
        </is>
      </c>
      <c r="G1105" t="inlineStr">
        <is>
          <t>Nhân viên</t>
        </is>
      </c>
      <c r="H1105" t="inlineStr">
        <is>
          <t>06/01/2026</t>
        </is>
      </c>
      <c r="I1105" t="inlineStr">
        <is>
          <t>23/03/2026</t>
        </is>
      </c>
      <c r="J1105" t="inlineStr">
        <is>
          <t>17/03/2026</t>
        </is>
      </c>
      <c r="K1105" t="inlineStr">
        <is>
          <t>N/A</t>
        </is>
      </c>
      <c r="L1105" t="inlineStr">
        <is>
          <t>Credit, Quản Lý Danh Mục Khách Hàng, Quản Lý Khách Hàng Ưu Tiên, Tài Chính Ngân Hàng, Tư Vấn</t>
        </is>
      </c>
      <c r="M1105" t="inlineStr">
        <is>
          <t>Bonus, Others</t>
        </is>
      </c>
      <c r="N1105" s="8">
        <f>HYPERLINK("https://www.vietnamworks.com/chuyen-vien-cao-cap-quan-he-khach-hang-uu-tien-prm-gold-khu-vuc-ha-noi-bac-ninh-thai-nguyen-1999756-jv","Xem chi tiết")</f>
        <v/>
      </c>
    </row>
    <row r="1106">
      <c r="B1106" s="9" t="n">
        <v>1104</v>
      </c>
      <c r="C1106" s="10" t="inlineStr">
        <is>
          <t>Chuyên Viên Cao Cấp Quan Hệ Khách Hàng Doanh Nghiệp - RM SME (Khu Vưc Hà Nội, Bắc Ninh, Thái Nguyên)</t>
        </is>
      </c>
      <c r="D1106" s="10" t="inlineStr">
        <is>
          <t>Techcombank</t>
        </is>
      </c>
      <c r="E1106" s="10" t="inlineStr">
        <is>
          <t>Thương lượng</t>
        </is>
      </c>
      <c r="F1106" s="10" t="inlineStr">
        <is>
          <t>Hà Nội, Bắc Ninh, Thái Nguyên</t>
        </is>
      </c>
      <c r="G1106" s="10" t="inlineStr">
        <is>
          <t>Nhân viên</t>
        </is>
      </c>
      <c r="H1106" s="10" t="inlineStr">
        <is>
          <t>06/01/2026</t>
        </is>
      </c>
      <c r="I1106" s="10" t="inlineStr">
        <is>
          <t>23/03/2026</t>
        </is>
      </c>
      <c r="J1106" s="10" t="inlineStr">
        <is>
          <t>17/03/2026</t>
        </is>
      </c>
      <c r="K1106" s="10" t="inlineStr">
        <is>
          <t>N/A</t>
        </is>
      </c>
      <c r="L1106" s="10" t="inlineStr">
        <is>
          <t>Banking, Chăm Sóc Khách Hàng, Quan hệ khách hàng doanh nghiệp, Quản Lý Danh Mục Khách Hàng</t>
        </is>
      </c>
      <c r="M1106" s="10" t="inlineStr">
        <is>
          <t>Healthcare Plan, Training, Laptop, Others</t>
        </is>
      </c>
      <c r="N1106" s="11">
        <f>HYPERLINK("https://www.vietnamworks.com/chuyen-vien-cao-cap-quan-he-khach-hang-doanh-nghiep-rm-sme-khu-vuc-ha-noi-bac-ninh-thai-nguyen-1999761-jv","Xem chi tiết")</f>
        <v/>
      </c>
      <c r="O1106" s="10" t="n"/>
    </row>
    <row r="1107">
      <c r="B1107" s="7" t="n">
        <v>1105</v>
      </c>
      <c r="C1107" t="inlineStr">
        <is>
          <t>Quản Lý Vận Hành Bếp Công Nghiệp (F&amp;B Project Manager – International Schools)</t>
        </is>
      </c>
      <c r="D1107" t="inlineStr">
        <is>
          <t>Công Ty TNHH Aden Services (Việt Nam) - CN Hà Nội</t>
        </is>
      </c>
      <c r="E1107" t="inlineStr">
        <is>
          <t>Thương lượng</t>
        </is>
      </c>
      <c r="F1107" t="inlineStr">
        <is>
          <t>Hà Nội</t>
        </is>
      </c>
      <c r="G1107" t="inlineStr">
        <is>
          <t>Trưởng phòng</t>
        </is>
      </c>
      <c r="H1107" t="inlineStr">
        <is>
          <t>06/01/2026</t>
        </is>
      </c>
      <c r="I1107" t="inlineStr">
        <is>
          <t>23/03/2026</t>
        </is>
      </c>
      <c r="J1107" t="inlineStr">
        <is>
          <t>17/03/2026</t>
        </is>
      </c>
      <c r="K1107" t="inlineStr">
        <is>
          <t>N/A</t>
        </is>
      </c>
      <c r="L1107" t="inlineStr">
        <is>
          <t>Restaurant Management, Food Service Management, Catering Service Management, Project Management, People Management</t>
        </is>
      </c>
      <c r="M1107" t="inlineStr">
        <is>
          <t>Bonus, Training, Team Activities</t>
        </is>
      </c>
      <c r="N1107" s="8">
        <f>HYPERLINK("https://www.vietnamworks.com/quan-ly-van-hanh-bep-cong-nghiep-f-b-project-manager-international-schools-1999812-jv","Xem chi tiết")</f>
        <v/>
      </c>
    </row>
    <row r="1108">
      <c r="B1108" s="9" t="n">
        <v>1106</v>
      </c>
      <c r="C1108" s="10" t="inlineStr">
        <is>
          <t>Kiểm Nghiệm Viên Hóa Lý</t>
        </is>
      </c>
      <c r="D1108" s="10" t="inlineStr">
        <is>
          <t>Công Ty Cổ Phần Dược Phẩm 3/2</t>
        </is>
      </c>
      <c r="E1108" s="10" t="inlineStr">
        <is>
          <t>$$ 300-300 /tháng</t>
        </is>
      </c>
      <c r="F1108" s="10" t="inlineStr">
        <is>
          <t>Hồ Chí Minh</t>
        </is>
      </c>
      <c r="G1108" s="10" t="inlineStr">
        <is>
          <t>Nhân viên</t>
        </is>
      </c>
      <c r="H1108" s="10" t="inlineStr">
        <is>
          <t>06/01/2026</t>
        </is>
      </c>
      <c r="I1108" s="10" t="inlineStr">
        <is>
          <t>23/03/2026</t>
        </is>
      </c>
      <c r="J1108" s="10" t="inlineStr">
        <is>
          <t>17/03/2026</t>
        </is>
      </c>
      <c r="K1108" s="10" t="inlineStr">
        <is>
          <t>N/A</t>
        </is>
      </c>
      <c r="L1108" s="10" t="inlineStr">
        <is>
          <t>QC, Kiểm Tra Chất Lượng, Hóa Lý, Hóa Hữu Cơ, Dược Phẩm</t>
        </is>
      </c>
      <c r="M1108" s="10" t="inlineStr">
        <is>
          <t>Bonus, Paid Leave, Travel Opportunities</t>
        </is>
      </c>
      <c r="N1108" s="11">
        <f>HYPERLINK("https://www.vietnamworks.com/kiem-nghiem-vien-hoa-ly--1999872-jv","Xem chi tiết")</f>
        <v/>
      </c>
      <c r="O1108" s="10" t="n"/>
    </row>
    <row r="1109">
      <c r="B1109" s="7" t="n">
        <v>1107</v>
      </c>
      <c r="C1109" t="inlineStr">
        <is>
          <t>Chuyên Viên Kinh Doanh Hóa Chất - Sales Hóa Chất - Mảng Phụ Gia</t>
        </is>
      </c>
      <c r="D1109" t="inlineStr">
        <is>
          <t>Stavian Group</t>
        </is>
      </c>
      <c r="E1109" t="inlineStr">
        <is>
          <t>Thương lượng</t>
        </is>
      </c>
      <c r="F1109" t="inlineStr">
        <is>
          <t>Hà Nội, Hồ Chí Minh</t>
        </is>
      </c>
      <c r="G1109" t="inlineStr">
        <is>
          <t>Nhân viên</t>
        </is>
      </c>
      <c r="H1109" t="inlineStr">
        <is>
          <t>06/01/2026</t>
        </is>
      </c>
      <c r="I1109" t="inlineStr">
        <is>
          <t>23/03/2026</t>
        </is>
      </c>
      <c r="J1109" t="inlineStr">
        <is>
          <t>17/03/2026</t>
        </is>
      </c>
      <c r="K1109" t="inlineStr">
        <is>
          <t>N/A</t>
        </is>
      </c>
      <c r="L1109" t="inlineStr">
        <is>
          <t>Hóa Chất Phụ Gia, Hóa Chất, Kinh Doanh, Sales, Business Development</t>
        </is>
      </c>
      <c r="M1109" t="inlineStr">
        <is>
          <t>Bonus, Healthcare Plan, Training</t>
        </is>
      </c>
      <c r="N1109" s="8">
        <f>HYPERLINK("https://www.vietnamworks.com/chuyen-vien-kinh-doanh-hoa-chat-sales-hoa-chat-mang-phu-gia-1999757-jv","Xem chi tiết")</f>
        <v/>
      </c>
    </row>
    <row r="1110">
      <c r="B1110" s="9" t="n">
        <v>1108</v>
      </c>
      <c r="C1110" s="10" t="inlineStr">
        <is>
          <t>Chuyên Viên EHS (100% Vốn Đầu Tư Đức)</t>
        </is>
      </c>
      <c r="D1110" s="10" t="inlineStr">
        <is>
          <t>RRC Power Solutions</t>
        </is>
      </c>
      <c r="E1110" s="10" t="inlineStr">
        <is>
          <t>Thương lượng</t>
        </is>
      </c>
      <c r="F1110" s="10" t="inlineStr">
        <is>
          <t>Hải Phòng</t>
        </is>
      </c>
      <c r="G1110" s="10" t="inlineStr">
        <is>
          <t>Trưởng phòng</t>
        </is>
      </c>
      <c r="H1110" s="10" t="inlineStr">
        <is>
          <t>06/01/2026</t>
        </is>
      </c>
      <c r="I1110" s="10" t="inlineStr">
        <is>
          <t>23/03/2026</t>
        </is>
      </c>
      <c r="J1110" s="10" t="inlineStr">
        <is>
          <t>17/03/2026</t>
        </is>
      </c>
      <c r="K1110" s="10" t="inlineStr">
        <is>
          <t>N/A</t>
        </is>
      </c>
      <c r="L1110" s="10" t="inlineStr">
        <is>
          <t>An Toàn Lao Động, EHS Compliance, An Toàn Sức Khỏe Môi Trường, Môi Trường An Toàn, EHS</t>
        </is>
      </c>
      <c r="M1110" s="10" t="inlineStr">
        <is>
          <t>Healthcare Plan, Team Activities, Others</t>
        </is>
      </c>
      <c r="N1110" s="11">
        <f>HYPERLINK("https://www.vietnamworks.com/chuyen-vien-ehs-100-von-dau-tu-duc-1999891-jv","Xem chi tiết")</f>
        <v/>
      </c>
      <c r="O1110" s="10" t="n"/>
    </row>
    <row r="1111">
      <c r="B1111" s="7" t="n">
        <v>1109</v>
      </c>
      <c r="C1111" t="inlineStr">
        <is>
          <t>Nhân Viên Kinh Doanh Xuất Khẩu (Thu Nhập Không Giới Hạn)</t>
        </is>
      </c>
      <c r="D1111" t="inlineStr">
        <is>
          <t>Công Ty Cổ Phần Đầu Tư Nhật Huy</t>
        </is>
      </c>
      <c r="E1111" t="inlineStr">
        <is>
          <t>10tr-15tr ₫/tháng</t>
        </is>
      </c>
      <c r="F1111" t="inlineStr">
        <is>
          <t>Hà Nội</t>
        </is>
      </c>
      <c r="G1111" t="inlineStr">
        <is>
          <t>Nhân viên</t>
        </is>
      </c>
      <c r="H1111" t="inlineStr">
        <is>
          <t>06/01/2026</t>
        </is>
      </c>
      <c r="I1111" t="inlineStr">
        <is>
          <t>23/03/2026</t>
        </is>
      </c>
      <c r="J1111" t="inlineStr">
        <is>
          <t>17/03/2026</t>
        </is>
      </c>
      <c r="K1111" t="inlineStr">
        <is>
          <t>N/A</t>
        </is>
      </c>
      <c r="L1111" t="inlineStr">
        <is>
          <t>Kỹ năng bán hàng, Kỹ năng giao tiếp, Kỹ năng đàm phán</t>
        </is>
      </c>
      <c r="M1111" t="inlineStr">
        <is>
          <t>Bonus, Healthcare Plan, Travel Opportunities</t>
        </is>
      </c>
      <c r="N1111" s="8">
        <f>HYPERLINK("https://www.vietnamworks.com/nhan-vien-kinh-doanh-xuat-khau-thu-nhap-khong-gioi-han--1999820-jv","Xem chi tiết")</f>
        <v/>
      </c>
    </row>
    <row r="1112">
      <c r="B1112" s="9" t="n">
        <v>1110</v>
      </c>
      <c r="C1112" s="10" t="inlineStr">
        <is>
          <t>Nhân Viên Quản Lý Kiến Trúc - Quy Hoạch</t>
        </is>
      </c>
      <c r="D1112" s="10" t="inlineStr">
        <is>
          <t>Công Ty CP Xây Dựng Và Phát Triển Đô Thị Hoà Phát</t>
        </is>
      </c>
      <c r="E1112" s="10" t="inlineStr">
        <is>
          <t>Thương lượng</t>
        </is>
      </c>
      <c r="F1112" s="10" t="inlineStr">
        <is>
          <t>Hải Phòng, Hưng Yên, Hà Nội</t>
        </is>
      </c>
      <c r="G1112" s="10" t="inlineStr">
        <is>
          <t>Nhân viên</t>
        </is>
      </c>
      <c r="H1112" s="10" t="inlineStr">
        <is>
          <t>06/01/2026</t>
        </is>
      </c>
      <c r="I1112" s="10" t="inlineStr">
        <is>
          <t>23/03/2026</t>
        </is>
      </c>
      <c r="J1112" s="10" t="inlineStr">
        <is>
          <t>17/03/2026</t>
        </is>
      </c>
      <c r="K1112" s="10" t="inlineStr">
        <is>
          <t>N/A</t>
        </is>
      </c>
      <c r="L1112" s="10" t="inlineStr">
        <is>
          <t>Autocad, Phân Tích Kiến Trúc, Photoshop, Quản Lý Hồ Sơ Thiết Kế, Quy Hoạch Xây Dựng</t>
        </is>
      </c>
      <c r="M1112" s="10" t="inlineStr">
        <is>
          <t>Bonus, Healthcare Plan, Team Activities, Others</t>
        </is>
      </c>
      <c r="N1112" s="11">
        <f>HYPERLINK("https://www.vietnamworks.com/nhan-vien-quan-ly-kien-truc-quy-hoach-1999901-jv","Xem chi tiết")</f>
        <v/>
      </c>
      <c r="O1112" s="10" t="n"/>
    </row>
    <row r="1113">
      <c r="B1113" s="7" t="n">
        <v>1111</v>
      </c>
      <c r="C1113" t="inlineStr">
        <is>
          <t>Nhân Viên Giải Phóng Mặt Bằng</t>
        </is>
      </c>
      <c r="D1113" t="inlineStr">
        <is>
          <t>Công Ty CP Xây Dựng Và Phát Triển Đô Thị Hoà Phát</t>
        </is>
      </c>
      <c r="E1113" t="inlineStr">
        <is>
          <t>Thương lượng</t>
        </is>
      </c>
      <c r="F1113" t="inlineStr">
        <is>
          <t>Hưng Yên, Hà Nội, Hải Phòng</t>
        </is>
      </c>
      <c r="G1113" t="inlineStr">
        <is>
          <t>Nhân viên</t>
        </is>
      </c>
      <c r="H1113" t="inlineStr">
        <is>
          <t>06/01/2026</t>
        </is>
      </c>
      <c r="I1113" t="inlineStr">
        <is>
          <t>23/03/2026</t>
        </is>
      </c>
      <c r="J1113" t="inlineStr">
        <is>
          <t>17/03/2026</t>
        </is>
      </c>
      <c r="K1113" t="inlineStr">
        <is>
          <t>N/A</t>
        </is>
      </c>
      <c r="L1113" t="inlineStr">
        <is>
          <t>Giải Phóng Mặt Bằng, Luật Đất Đai, Quản Lý Đất Đai, Soạn Thảo Văn Bản, Đàm Phán</t>
        </is>
      </c>
      <c r="M1113" t="inlineStr">
        <is>
          <t>Bonus, Healthcare Plan, Team Activities, Others</t>
        </is>
      </c>
      <c r="N1113" s="8">
        <f>HYPERLINK("https://www.vietnamworks.com/nhan-vien-giai-phong-mat-bang-1999884-jv","Xem chi tiết")</f>
        <v/>
      </c>
    </row>
    <row r="1114">
      <c r="B1114" s="9" t="n">
        <v>1112</v>
      </c>
      <c r="C1114" s="10" t="inlineStr">
        <is>
          <t>[HO] Phó Phòng Bán Sản Phẩm Thị Trường Tài Chính</t>
        </is>
      </c>
      <c r="D1114" s="10" t="inlineStr">
        <is>
          <t>Ngân hàng Lộc Phát Việt Nam LPBank</t>
        </is>
      </c>
      <c r="E1114" s="10" t="inlineStr">
        <is>
          <t>Thương lượng</t>
        </is>
      </c>
      <c r="F1114" s="10" t="inlineStr">
        <is>
          <t>Hà Nội</t>
        </is>
      </c>
      <c r="G1114" s="10" t="inlineStr">
        <is>
          <t>Giám Đốc và Cấp Cao Hơn</t>
        </is>
      </c>
      <c r="H1114" s="10" t="inlineStr">
        <is>
          <t>06/01/2026</t>
        </is>
      </c>
      <c r="I1114" s="10" t="inlineStr">
        <is>
          <t>23/03/2026</t>
        </is>
      </c>
      <c r="J1114" s="10" t="inlineStr">
        <is>
          <t>17/03/2026</t>
        </is>
      </c>
      <c r="K1114" s="10" t="inlineStr">
        <is>
          <t>N/A</t>
        </is>
      </c>
      <c r="L1114" s="10" t="inlineStr">
        <is>
          <t>Kinh Tế Vĩ Mô, Nghiên Cứu Thị Trường, Phát Triển Kinh Doanh, Quản Lý Khách Hàng, Đàm Phán</t>
        </is>
      </c>
      <c r="M1114" s="10" t="inlineStr">
        <is>
          <t>Bonus, Healthcare Plan, Paid Leave, Training, Laptop, Team Activities, Canteen, Others</t>
        </is>
      </c>
      <c r="N1114" s="11">
        <f>HYPERLINK("https://www.vietnamworks.com/ho-pho-phong-ban-san-pham-thi-truong-tai-chinh-1999772-jv","Xem chi tiết")</f>
        <v/>
      </c>
      <c r="O1114" s="10" t="n"/>
    </row>
    <row r="1115">
      <c r="B1115" s="7" t="n">
        <v>1113</v>
      </c>
      <c r="C1115" t="inlineStr">
        <is>
          <t>Chuyên Viên Cao Cấp Quản Lý Quan Hệ Khách Hàng Tiểu Thương - RM (Khu vưc Ha Nội, Bắc Ninh, Thái Nguyên)</t>
        </is>
      </c>
      <c r="D1115" t="inlineStr">
        <is>
          <t>Techcombank</t>
        </is>
      </c>
      <c r="E1115" t="inlineStr">
        <is>
          <t>Thương lượng</t>
        </is>
      </c>
      <c r="F1115" t="inlineStr">
        <is>
          <t>Hà Nội, Bắc Ninh, Thái Nguyên</t>
        </is>
      </c>
      <c r="G1115" t="inlineStr">
        <is>
          <t>Nhân viên</t>
        </is>
      </c>
      <c r="H1115" t="inlineStr">
        <is>
          <t>06/01/2026</t>
        </is>
      </c>
      <c r="I1115" t="inlineStr">
        <is>
          <t>23/03/2026</t>
        </is>
      </c>
      <c r="J1115" t="inlineStr">
        <is>
          <t>17/03/2026</t>
        </is>
      </c>
      <c r="K1115" t="inlineStr">
        <is>
          <t>N/A</t>
        </is>
      </c>
      <c r="L1115" t="inlineStr">
        <is>
          <t>Giao Tiếp Tiếng Anh, Phân Tích Tài Chính, Quản Lý Quan Hệ Khách Hàng, Quản Trị Rủi Ro, Tư Vấn Tài Chính</t>
        </is>
      </c>
      <c r="M1115" t="inlineStr">
        <is>
          <t>Bonus, Training, Laptop, Others</t>
        </is>
      </c>
      <c r="N1115" s="8">
        <f>HYPERLINK("https://www.vietnamworks.com/chuyen-vien-cao-cap-quan-ly-quan-he-khach-hang-tieu-thuong-rm-khu-vuc-ha-noi-bac-ninh-thai-nguyen-1999771-jv","Xem chi tiết")</f>
        <v/>
      </c>
    </row>
    <row r="1116">
      <c r="B1116" s="9" t="n">
        <v>1114</v>
      </c>
      <c r="C1116" s="10" t="inlineStr">
        <is>
          <t>Nhân Viên Quản Lý Thiết Kế</t>
        </is>
      </c>
      <c r="D1116" s="10" t="inlineStr">
        <is>
          <t>Công Ty CP Xây Dựng Và Phát Triển Đô Thị Hoà Phát</t>
        </is>
      </c>
      <c r="E1116" s="10" t="inlineStr">
        <is>
          <t>Thương lượng</t>
        </is>
      </c>
      <c r="F1116" s="10" t="inlineStr">
        <is>
          <t>Hải Phòng, Hưng Yên, Hà Nội</t>
        </is>
      </c>
      <c r="G1116" s="10" t="inlineStr">
        <is>
          <t>Nhân viên</t>
        </is>
      </c>
      <c r="H1116" s="10" t="inlineStr">
        <is>
          <t>06/01/2026</t>
        </is>
      </c>
      <c r="I1116" s="10" t="inlineStr">
        <is>
          <t>23/03/2026</t>
        </is>
      </c>
      <c r="J1116" s="10" t="inlineStr">
        <is>
          <t>17/03/2026</t>
        </is>
      </c>
      <c r="K1116" s="10" t="inlineStr">
        <is>
          <t>N/A</t>
        </is>
      </c>
      <c r="L1116" s="10" t="inlineStr">
        <is>
          <t>Autocad, Kỹ Thuật Xây Dựng, MS Project, Quản Lý Hồ Sơ Thiết Kế, Thẩm Tra Thiết Kế</t>
        </is>
      </c>
      <c r="M1116" s="10" t="inlineStr">
        <is>
          <t>Bonus, Healthcare Plan, Team Activities, Others</t>
        </is>
      </c>
      <c r="N1116" s="11">
        <f>HYPERLINK("https://www.vietnamworks.com/nhan-vien-quan-ly-thiet-ke-1999897-jv","Xem chi tiết")</f>
        <v/>
      </c>
      <c r="O1116" s="10" t="n"/>
    </row>
    <row r="1117">
      <c r="B1117" s="7" t="n">
        <v>1115</v>
      </c>
      <c r="C1117" t="inlineStr">
        <is>
          <t>Nhân Viên Y Tế</t>
        </is>
      </c>
      <c r="D1117" t="inlineStr">
        <is>
          <t>Công Ty Cổ Phần Dược Phẩm 3/2</t>
        </is>
      </c>
      <c r="E1117" t="inlineStr">
        <is>
          <t>$$ 300-300 /tháng</t>
        </is>
      </c>
      <c r="F1117" t="inlineStr">
        <is>
          <t>Hồ Chí Minh</t>
        </is>
      </c>
      <c r="G1117" t="inlineStr">
        <is>
          <t>Nhân viên</t>
        </is>
      </c>
      <c r="H1117" t="inlineStr">
        <is>
          <t>06/01/2026</t>
        </is>
      </c>
      <c r="I1117" t="inlineStr">
        <is>
          <t>23/03/2026</t>
        </is>
      </c>
      <c r="J1117" t="inlineStr">
        <is>
          <t>17/03/2026</t>
        </is>
      </c>
      <c r="K1117" t="inlineStr">
        <is>
          <t>N/A</t>
        </is>
      </c>
      <c r="L1117" t="inlineStr">
        <is>
          <t>Dược Sĩ</t>
        </is>
      </c>
      <c r="M1117" t="inlineStr">
        <is>
          <t>Bonus, Transportation</t>
        </is>
      </c>
      <c r="N1117" s="8">
        <f>HYPERLINK("https://www.vietnamworks.com/nhan-vien-y-te-1999867-jv","Xem chi tiết")</f>
        <v/>
      </c>
    </row>
    <row r="1118">
      <c r="B1118" s="9" t="n">
        <v>1116</v>
      </c>
      <c r="C1118" s="10" t="inlineStr">
        <is>
          <t>Chuyên Viên Pháp Lý Cao Cấp</t>
        </is>
      </c>
      <c r="D1118" s="10" t="inlineStr">
        <is>
          <t>Công Ty Cổ Phần Đầu Tư Và Kinh Doanh Nhà Khang Điền</t>
        </is>
      </c>
      <c r="E1118" s="10" t="inlineStr">
        <is>
          <t>Thương lượng</t>
        </is>
      </c>
      <c r="F1118" s="10" t="inlineStr">
        <is>
          <t>Hồ Chí Minh</t>
        </is>
      </c>
      <c r="G1118" s="10" t="inlineStr">
        <is>
          <t>Nhân viên</t>
        </is>
      </c>
      <c r="H1118" s="10" t="inlineStr">
        <is>
          <t>06/01/2026</t>
        </is>
      </c>
      <c r="I1118" s="10" t="inlineStr">
        <is>
          <t>23/03/2026</t>
        </is>
      </c>
      <c r="J1118" s="10" t="inlineStr">
        <is>
          <t>17/03/2026</t>
        </is>
      </c>
      <c r="K1118" s="10" t="inlineStr">
        <is>
          <t>N/A</t>
        </is>
      </c>
      <c r="L1118" s="10" t="inlineStr">
        <is>
          <t>Bất Động Sản, Kinh Nghiệm Với Chủ Đầu Tư, Pháp Chế, Pháp Lý</t>
        </is>
      </c>
      <c r="M1118" s="10" t="inlineStr">
        <is>
          <t>Bonus</t>
        </is>
      </c>
      <c r="N1118" s="11">
        <f>HYPERLINK("https://www.vietnamworks.com/chuyen-vien-phap-ly-cao-cap--1999843-jv","Xem chi tiết")</f>
        <v/>
      </c>
      <c r="O1118" s="10" t="n"/>
    </row>
    <row r="1119">
      <c r="B1119" s="7" t="n">
        <v>1117</v>
      </c>
      <c r="C1119" t="inlineStr">
        <is>
          <t>Nhân Viên Phát Triển Dự Án</t>
        </is>
      </c>
      <c r="D1119" t="inlineStr">
        <is>
          <t>Công Ty CP Xây Dựng Và Phát Triển Đô Thị Hoà Phát</t>
        </is>
      </c>
      <c r="E1119" t="inlineStr">
        <is>
          <t>Thương lượng</t>
        </is>
      </c>
      <c r="F1119" t="inlineStr">
        <is>
          <t>Hải Phòng, Hà Nội, Hưng Yên</t>
        </is>
      </c>
      <c r="G1119" t="inlineStr">
        <is>
          <t>Nhân viên</t>
        </is>
      </c>
      <c r="H1119" t="inlineStr">
        <is>
          <t>06/01/2026</t>
        </is>
      </c>
      <c r="I1119" t="inlineStr">
        <is>
          <t>23/03/2026</t>
        </is>
      </c>
      <c r="J1119" t="inlineStr">
        <is>
          <t>17/03/2026</t>
        </is>
      </c>
      <c r="K1119" t="inlineStr">
        <is>
          <t>N/A</t>
        </is>
      </c>
      <c r="L1119" t="inlineStr">
        <is>
          <t>Chuẩn Bị Hồ Sơ Pháp Lý, Phân Tích Hồ Sơ, Quản Trị Rủi Ro, Thẩm Định Dự Án, Đánh Giá Dự Án</t>
        </is>
      </c>
      <c r="M1119" t="inlineStr">
        <is>
          <t>Bonus, Healthcare Plan, Team Activities, Others</t>
        </is>
      </c>
      <c r="N1119" s="8">
        <f>HYPERLINK("https://www.vietnamworks.com/nhan-vien-phat-trien-du-an-1999894-jv","Xem chi tiết")</f>
        <v/>
      </c>
    </row>
    <row r="1120">
      <c r="B1120" s="9" t="n">
        <v>1118</v>
      </c>
      <c r="C1120" s="10" t="inlineStr">
        <is>
          <t>Senior Lending Manager</t>
        </is>
      </c>
      <c r="D1120" s="10" t="inlineStr">
        <is>
          <t>Be Group Joint Stock Company</t>
        </is>
      </c>
      <c r="E1120" s="10" t="inlineStr">
        <is>
          <t>Thương lượng</t>
        </is>
      </c>
      <c r="F1120" s="10" t="inlineStr">
        <is>
          <t>Hồ Chí Minh</t>
        </is>
      </c>
      <c r="G1120" s="10" t="inlineStr">
        <is>
          <t>Trưởng phòng</t>
        </is>
      </c>
      <c r="H1120" s="10" t="inlineStr">
        <is>
          <t>06/01/2026</t>
        </is>
      </c>
      <c r="I1120" s="10" t="inlineStr">
        <is>
          <t>23/03/2026</t>
        </is>
      </c>
      <c r="J1120" s="10" t="inlineStr">
        <is>
          <t>17/03/2026</t>
        </is>
      </c>
      <c r="K1120" s="10" t="inlineStr">
        <is>
          <t>N/A</t>
        </is>
      </c>
      <c r="L1120" s="10" t="inlineStr">
        <is>
          <t>Consumer Finance, Data Analysis, Digital Banking, Fintech, Product Management</t>
        </is>
      </c>
      <c r="M1120" s="10" t="inlineStr">
        <is>
          <t>Bonus, Healthcare Plan, Paid Leave, Travel Opportunities</t>
        </is>
      </c>
      <c r="N1120" s="11">
        <f>HYPERLINK("https://www.vietnamworks.com/senior-lending-manager-1999835-jv","Xem chi tiết")</f>
        <v/>
      </c>
      <c r="O1120" s="10" t="n"/>
    </row>
    <row r="1121">
      <c r="B1121" s="7" t="n">
        <v>1119</v>
      </c>
      <c r="C1121" t="inlineStr">
        <is>
          <t>Nhân Viên Giám Sát Xây Dựng</t>
        </is>
      </c>
      <c r="D1121" t="inlineStr">
        <is>
          <t>Công Ty CP Xây Dựng Và Phát Triển Đô Thị Hoà Phát</t>
        </is>
      </c>
      <c r="E1121" t="inlineStr">
        <is>
          <t>Thương lượng</t>
        </is>
      </c>
      <c r="F1121" t="inlineStr">
        <is>
          <t>Hải Phòng, Hưng Yên, Hà Nội</t>
        </is>
      </c>
      <c r="G1121" t="inlineStr">
        <is>
          <t>Nhân viên</t>
        </is>
      </c>
      <c r="H1121" t="inlineStr">
        <is>
          <t>06/01/2026</t>
        </is>
      </c>
      <c r="I1121" t="inlineStr">
        <is>
          <t>23/03/2026</t>
        </is>
      </c>
      <c r="J1121" t="inlineStr">
        <is>
          <t>17/03/2026</t>
        </is>
      </c>
      <c r="K1121" t="inlineStr">
        <is>
          <t>N/A</t>
        </is>
      </c>
      <c r="L1121" t="inlineStr">
        <is>
          <t>Giải Quyết Vấn Đề, Giám Sát Hiện Trường, Hạ Tầng Kỹ Thuật, Phân Tích Thông Tin, Xây Dựng Dân Dụng</t>
        </is>
      </c>
      <c r="M1121" t="inlineStr">
        <is>
          <t>Bonus, Healthcare Plan, Team Activities, Others</t>
        </is>
      </c>
      <c r="N1121" s="8">
        <f>HYPERLINK("https://www.vietnamworks.com/nhan-vien-giam-sat-xay-dung-1999911-jv","Xem chi tiết")</f>
        <v/>
      </c>
    </row>
    <row r="1122">
      <c r="B1122" s="9" t="n">
        <v>1120</v>
      </c>
      <c r="C1122" s="10" t="inlineStr">
        <is>
          <t>Nhân Viên Kinh Doanh Bất Động Sản Nhà Ở</t>
        </is>
      </c>
      <c r="D1122" s="10" t="inlineStr">
        <is>
          <t>Công Ty CP Xây Dựng Và Phát Triển Đô Thị Hoà Phát</t>
        </is>
      </c>
      <c r="E1122" s="10" t="inlineStr">
        <is>
          <t>Thương lượng</t>
        </is>
      </c>
      <c r="F1122" s="10" t="inlineStr">
        <is>
          <t>Hải Phòng, Hưng Yên, Hà Nội</t>
        </is>
      </c>
      <c r="G1122" s="10" t="inlineStr">
        <is>
          <t>Nhân viên</t>
        </is>
      </c>
      <c r="H1122" s="10" t="inlineStr">
        <is>
          <t>06/01/2026</t>
        </is>
      </c>
      <c r="I1122" s="10" t="inlineStr">
        <is>
          <t>23/03/2026</t>
        </is>
      </c>
      <c r="J1122" s="10" t="inlineStr">
        <is>
          <t>17/03/2026</t>
        </is>
      </c>
      <c r="K1122" s="10" t="inlineStr">
        <is>
          <t>N/A</t>
        </is>
      </c>
      <c r="L1122" s="10" t="inlineStr">
        <is>
          <t>Kinh Doanh Bất Động Sản, Luật Đất Đai, Quản Trị Kinh Doanh, Tìm Kiếm Khách Hàng, Tin Học Văn Phòng</t>
        </is>
      </c>
      <c r="M1122" s="10" t="inlineStr">
        <is>
          <t>Bonus, Healthcare Plan, Team Activities, Others</t>
        </is>
      </c>
      <c r="N1122" s="11">
        <f>HYPERLINK("https://www.vietnamworks.com/nhan-vien-kinh-doanh-bat-djong-san-nha-o-1999914-jv","Xem chi tiết")</f>
        <v/>
      </c>
      <c r="O1122" s="10" t="n"/>
    </row>
    <row r="1123">
      <c r="B1123" s="7" t="n">
        <v>1121</v>
      </c>
      <c r="C1123" t="inlineStr">
        <is>
          <t>Chief Accountant/會計長</t>
        </is>
      </c>
      <c r="D1123" t="inlineStr">
        <is>
          <t>Vietnamworks' Client</t>
        </is>
      </c>
      <c r="E1123" t="inlineStr">
        <is>
          <t>$$ 1,500-2,000 /tháng</t>
        </is>
      </c>
      <c r="F1123" t="inlineStr">
        <is>
          <t>Hồ Chí Minh</t>
        </is>
      </c>
      <c r="G1123" t="inlineStr">
        <is>
          <t>Trưởng phòng</t>
        </is>
      </c>
      <c r="H1123" t="inlineStr">
        <is>
          <t>19/01/2026</t>
        </is>
      </c>
      <c r="I1123" t="inlineStr">
        <is>
          <t>23/03/2026</t>
        </is>
      </c>
      <c r="J1123" t="inlineStr">
        <is>
          <t>17/03/2026</t>
        </is>
      </c>
      <c r="K1123" t="inlineStr">
        <is>
          <t>N/A</t>
        </is>
      </c>
      <c r="L1123" t="inlineStr">
        <is>
          <t>Financial Report, Fund Management, Tax reporting, Team Management, 流程優化</t>
        </is>
      </c>
      <c r="M1123" t="inlineStr">
        <is>
          <t>Bonus</t>
        </is>
      </c>
      <c r="N1123" s="8">
        <f>HYPERLINK("https://www.vietnamworks.com/chief-accountant-2004071-jv","Xem chi tiết")</f>
        <v/>
      </c>
    </row>
    <row r="1124">
      <c r="B1124" s="9" t="n">
        <v>1122</v>
      </c>
      <c r="C1124" s="10" t="inlineStr">
        <is>
          <t>Assistant Relationship Manager</t>
        </is>
      </c>
      <c r="D1124" s="10" t="inlineStr">
        <is>
          <t>Cathay United Bank</t>
        </is>
      </c>
      <c r="E1124" s="10" t="inlineStr">
        <is>
          <t>Thương lượng</t>
        </is>
      </c>
      <c r="F1124" s="10" t="inlineStr">
        <is>
          <t>Hồ Chí Minh, Hà Nội</t>
        </is>
      </c>
      <c r="G1124" s="10" t="inlineStr">
        <is>
          <t>Nhân viên</t>
        </is>
      </c>
      <c r="H1124" s="10" t="inlineStr">
        <is>
          <t>12/01/2026</t>
        </is>
      </c>
      <c r="I1124" s="10" t="inlineStr">
        <is>
          <t>23/03/2026</t>
        </is>
      </c>
      <c r="J1124" s="10" t="inlineStr">
        <is>
          <t>17/03/2026</t>
        </is>
      </c>
      <c r="K1124" s="10" t="inlineStr">
        <is>
          <t>N/A</t>
        </is>
      </c>
      <c r="L1124" s="10" t="inlineStr">
        <is>
          <t>Customer Transaction Resolution, ARM, Client Service, Credit Analysis, Financial Analysis</t>
        </is>
      </c>
      <c r="M1124" s="10" t="inlineStr">
        <is>
          <t>Bonus, Healthcare Plan, Training</t>
        </is>
      </c>
      <c r="N1124" s="11">
        <f>HYPERLINK("https://www.vietnamworks.com/assistant-relationship-manager-2001434-jv","Xem chi tiết")</f>
        <v/>
      </c>
      <c r="O1124" s="10" t="n"/>
    </row>
    <row r="1125">
      <c r="B1125" s="7" t="n">
        <v>1123</v>
      </c>
      <c r="C1125" t="inlineStr">
        <is>
          <t>Nhân Viên Phòng Mua Bán</t>
        </is>
      </c>
      <c r="D1125" t="inlineStr">
        <is>
          <t>GFT GROUP LIMITED</t>
        </is>
      </c>
      <c r="E1125" t="inlineStr">
        <is>
          <t>Thương lượng</t>
        </is>
      </c>
      <c r="F1125" t="inlineStr">
        <is>
          <t>Hải Dương</t>
        </is>
      </c>
      <c r="G1125" t="inlineStr">
        <is>
          <t>Nhân viên</t>
        </is>
      </c>
      <c r="H1125" t="inlineStr">
        <is>
          <t>05/02/2026</t>
        </is>
      </c>
      <c r="I1125" t="inlineStr">
        <is>
          <t>23/03/2026</t>
        </is>
      </c>
      <c r="J1125" t="inlineStr">
        <is>
          <t>17/03/2026</t>
        </is>
      </c>
      <c r="K1125" t="inlineStr">
        <is>
          <t>N/A</t>
        </is>
      </c>
      <c r="L1125" t="inlineStr">
        <is>
          <t>PMC, Quản Lý Thu Mua, Tiếng Trung, Đánh Giá Tiêu Thụ Sản Phẩm, Mua Hàng</t>
        </is>
      </c>
      <c r="M1125" t="inlineStr">
        <is>
          <t>Bonus, Healthcare Plan, Paid Leave</t>
        </is>
      </c>
      <c r="N1125" s="8">
        <f>HYPERLINK("https://www.vietnamworks.com/nhan-vien-phong-mua-ban-2009948-jv","Xem chi tiết")</f>
        <v/>
      </c>
    </row>
    <row r="1126">
      <c r="B1126" s="9" t="n">
        <v>1124</v>
      </c>
      <c r="C1126" s="10" t="inlineStr">
        <is>
          <t>Full-Stack Ecom Marketing Leader / Manager</t>
        </is>
      </c>
      <c r="D1126" s="10" t="inlineStr">
        <is>
          <t>HỘ KINH DOANH VLXD THUẬN HÒA PHÁT</t>
        </is>
      </c>
      <c r="E1126" s="10" t="inlineStr">
        <is>
          <t>22tr-35tr ₫/tháng</t>
        </is>
      </c>
      <c r="F1126" s="10" t="inlineStr">
        <is>
          <t>Hồ Chí Minh</t>
        </is>
      </c>
      <c r="G1126" s="10" t="inlineStr">
        <is>
          <t>Trưởng phòng</t>
        </is>
      </c>
      <c r="H1126" s="10" t="inlineStr">
        <is>
          <t>05/02/2026</t>
        </is>
      </c>
      <c r="I1126" s="10" t="inlineStr">
        <is>
          <t>23/03/2026</t>
        </is>
      </c>
      <c r="J1126" s="10" t="inlineStr">
        <is>
          <t>17/03/2026</t>
        </is>
      </c>
      <c r="K1126" s="10" t="inlineStr">
        <is>
          <t>N/A</t>
        </is>
      </c>
      <c r="L1126" s="10" t="inlineStr">
        <is>
          <t>E-commerce, Digital Marketing, Manual Test Execution, Startup Development, SEO</t>
        </is>
      </c>
      <c r="M1126" s="10" t="inlineStr">
        <is>
          <t>Bonus, Paid Leave</t>
        </is>
      </c>
      <c r="N1126" s="11">
        <f>HYPERLINK("https://www.vietnamworks.com/full-stack-ecom-marketing-leader-manager-2010158-jv","Xem chi tiết")</f>
        <v/>
      </c>
      <c r="O1126" s="10" t="n"/>
    </row>
    <row r="1127">
      <c r="B1127" s="7" t="n">
        <v>1125</v>
      </c>
      <c r="C1127" t="inlineStr">
        <is>
          <t>Nhân Viên Kinh Doanh Tiếng Trung</t>
        </is>
      </c>
      <c r="D1127" t="inlineStr">
        <is>
          <t>Công Ty CP Xây Dựng Và Phát Triển Đô Thị Hoà Phát</t>
        </is>
      </c>
      <c r="E1127" t="inlineStr">
        <is>
          <t>Thương lượng</t>
        </is>
      </c>
      <c r="F1127" t="inlineStr">
        <is>
          <t>Hải Phòng, Hưng Yên, Hà Nội</t>
        </is>
      </c>
      <c r="G1127" t="inlineStr">
        <is>
          <t>Mới Tốt Nghiệp</t>
        </is>
      </c>
      <c r="H1127" t="inlineStr">
        <is>
          <t>06/01/2026</t>
        </is>
      </c>
      <c r="I1127" t="inlineStr">
        <is>
          <t>23/03/2026</t>
        </is>
      </c>
      <c r="J1127" t="inlineStr">
        <is>
          <t>17/03/2026</t>
        </is>
      </c>
      <c r="K1127" t="inlineStr">
        <is>
          <t>N/A</t>
        </is>
      </c>
      <c r="L1127" t="inlineStr">
        <is>
          <t>Biên Phiên Dịch, Phiên Dịch Tài Liệu, Quản Lý Khách Hàng, Tiếng Trung, Tư Vấn Đầu Tư</t>
        </is>
      </c>
      <c r="M1127" t="inlineStr">
        <is>
          <t>Bonus, Healthcare Plan, Team Activities, Others</t>
        </is>
      </c>
      <c r="N1127" s="8">
        <f>HYPERLINK("https://www.vietnamworks.com/nhan-vien-kinh-doanh-tieng-trung-1999913-jv","Xem chi tiết")</f>
        <v/>
      </c>
    </row>
    <row r="1128">
      <c r="B1128" s="9" t="n">
        <v>1126</v>
      </c>
      <c r="C1128" s="10" t="inlineStr">
        <is>
          <t>Nhân Viên Truyền Thông, Thương Hiệu Marketing</t>
        </is>
      </c>
      <c r="D1128" s="10" t="inlineStr">
        <is>
          <t>Công Ty CP Xây Dựng Và Phát Triển Đô Thị Hoà Phát</t>
        </is>
      </c>
      <c r="E1128" s="10" t="inlineStr">
        <is>
          <t>Thương lượng</t>
        </is>
      </c>
      <c r="F1128" s="10" t="inlineStr">
        <is>
          <t>Hải Phòng, Hưng Yên, Hà Nội</t>
        </is>
      </c>
      <c r="G1128" s="10" t="inlineStr">
        <is>
          <t>Nhân viên</t>
        </is>
      </c>
      <c r="H1128" s="10" t="inlineStr">
        <is>
          <t>06/01/2026</t>
        </is>
      </c>
      <c r="I1128" s="10" t="inlineStr">
        <is>
          <t>23/03/2026</t>
        </is>
      </c>
      <c r="J1128" s="10" t="inlineStr">
        <is>
          <t>17/03/2026</t>
        </is>
      </c>
      <c r="K1128" s="10" t="inlineStr">
        <is>
          <t>N/A</t>
        </is>
      </c>
      <c r="L1128" s="10" t="inlineStr">
        <is>
          <t>Nghiên Cứu Thị Trường, Quản Lý Nội Dung, Thiết Kế Ấn Phẩm, Tin Học Văn Phòng, Truyền Thông</t>
        </is>
      </c>
      <c r="M1128" s="10" t="inlineStr">
        <is>
          <t>Bonus, Healthcare Plan, Team Activities, Others</t>
        </is>
      </c>
      <c r="N1128" s="11">
        <f>HYPERLINK("https://www.vietnamworks.com/nhan-vien-truyen-thong-thuong-hieu-marketing-1999916-jv","Xem chi tiết")</f>
        <v/>
      </c>
      <c r="O1128" s="10" t="n"/>
    </row>
    <row r="1129">
      <c r="B1129" s="7" t="n">
        <v>1127</v>
      </c>
      <c r="C1129" t="inlineStr">
        <is>
          <t>[Hot Job] Nhân Viên Kinh Doanh Quốc Tế ( Tiếng Anh/ Tiếng Trung, Thu Nhập 25 Triệu - 30 Triệu+/tháng)</t>
        </is>
      </c>
      <c r="D1129" t="inlineStr">
        <is>
          <t>CÔNG TY CỔ PHẦN POLYFILL YÊN BÁI</t>
        </is>
      </c>
      <c r="E1129" t="inlineStr">
        <is>
          <t>25tr-30tr ₫/tháng</t>
        </is>
      </c>
      <c r="F1129" t="inlineStr">
        <is>
          <t>Hà Nội</t>
        </is>
      </c>
      <c r="G1129" t="inlineStr">
        <is>
          <t>Nhân viên</t>
        </is>
      </c>
      <c r="H1129" t="inlineStr">
        <is>
          <t>05/02/2026</t>
        </is>
      </c>
      <c r="I1129" t="inlineStr">
        <is>
          <t>23/03/2026</t>
        </is>
      </c>
      <c r="J1129" t="inlineStr">
        <is>
          <t>17/03/2026</t>
        </is>
      </c>
      <c r="K1129" t="inlineStr">
        <is>
          <t>N/A</t>
        </is>
      </c>
      <c r="L1129" t="inlineStr">
        <is>
          <t>Kinh Doanh, B2B, Logistics, Tiếng Anh, Giao Tiếp</t>
        </is>
      </c>
      <c r="M1129" t="inlineStr">
        <is>
          <t>Bonus, Healthcare Plan, Training, Travel Opportunities, Canteen, Others</t>
        </is>
      </c>
      <c r="N1129" s="8">
        <f>HYPERLINK("https://www.vietnamworks.com/hot-job-nhan-vien-kinh-doanh-quoc-te-tieng-anh-tieng-trung-thu-nhap-25-trieu-30-trieu-thang--2010008-jv","Xem chi tiết")</f>
        <v/>
      </c>
    </row>
    <row r="1130">
      <c r="B1130" s="9" t="n">
        <v>1128</v>
      </c>
      <c r="C1130" s="10" t="inlineStr">
        <is>
          <t>Officer, Assessment Operation (Chuyên viên, Phòng Khảo thí và Hợp tác Học thuật)</t>
        </is>
      </c>
      <c r="D1130" s="10" t="inlineStr">
        <is>
          <t>British University Vietnam (Buv)</t>
        </is>
      </c>
      <c r="E1130" s="10" t="inlineStr">
        <is>
          <t>Từ 20tr ₫/tháng</t>
        </is>
      </c>
      <c r="F1130" s="10" t="inlineStr">
        <is>
          <t>Hưng Yên, Hà Nội</t>
        </is>
      </c>
      <c r="G1130" s="10" t="inlineStr">
        <is>
          <t>Nhân viên</t>
        </is>
      </c>
      <c r="H1130" s="10" t="inlineStr">
        <is>
          <t>28/01/2026</t>
        </is>
      </c>
      <c r="I1130" s="10" t="inlineStr">
        <is>
          <t>23/03/2026</t>
        </is>
      </c>
      <c r="J1130" s="10" t="inlineStr">
        <is>
          <t>17/03/2026</t>
        </is>
      </c>
      <c r="K1130" s="10" t="inlineStr">
        <is>
          <t>N/A</t>
        </is>
      </c>
      <c r="L1130" s="10" t="inlineStr">
        <is>
          <t>Assessment Development, Assessment Support, Examination Coordination, Academic Management, Student Evaluation</t>
        </is>
      </c>
      <c r="M1130" s="10" t="inlineStr">
        <is>
          <t>Bonus, Healthcare Plan, Paid Leave, Awards, Team Activities, Transportation, Others</t>
        </is>
      </c>
      <c r="N1130" s="11">
        <f>HYPERLINK("https://www.vietnamworks.com/officer-assessment-operation-chuyen-vien-phong-khao-thi-va-hop-tac-hoc-thuat-2007080-jv","Xem chi tiết")</f>
        <v/>
      </c>
      <c r="O1130" s="10" t="n"/>
    </row>
    <row r="1131">
      <c r="B1131" s="7" t="n">
        <v>1129</v>
      </c>
      <c r="C1131" t="inlineStr">
        <is>
          <t>Project Assistant</t>
        </is>
      </c>
      <c r="D1131" t="inlineStr">
        <is>
          <t>Thăng Creative Agency</t>
        </is>
      </c>
      <c r="E1131" t="inlineStr">
        <is>
          <t>8tr-10tr ₫/tháng</t>
        </is>
      </c>
      <c r="F1131" t="inlineStr">
        <is>
          <t>Hà Nội</t>
        </is>
      </c>
      <c r="G1131" t="inlineStr">
        <is>
          <t>Nhân viên</t>
        </is>
      </c>
      <c r="H1131" t="inlineStr">
        <is>
          <t>05/02/2026</t>
        </is>
      </c>
      <c r="I1131" t="inlineStr">
        <is>
          <t>23/03/2026</t>
        </is>
      </c>
      <c r="J1131" t="inlineStr">
        <is>
          <t>17/03/2026</t>
        </is>
      </c>
      <c r="K1131" t="inlineStr">
        <is>
          <t>N/A</t>
        </is>
      </c>
      <c r="L1131" t="inlineStr">
        <is>
          <t>Tiếng Anh, Quản Lý Ngân Sách, Quản Lý Nhà Cung Cấp, Soạn Thảo Hợp Đồng, Điều Phối Dự Án</t>
        </is>
      </c>
      <c r="M1131" t="inlineStr">
        <is>
          <t>Bonus, Healthcare Plan, Training, Awards, Team Activities, Others</t>
        </is>
      </c>
      <c r="N1131" s="8">
        <f>HYPERLINK("https://www.vietnamworks.com/project-assistant-2010100-jv","Xem chi tiết")</f>
        <v/>
      </c>
    </row>
    <row r="1132">
      <c r="B1132" s="9" t="n">
        <v>1130</v>
      </c>
      <c r="C1132" s="10" t="inlineStr">
        <is>
          <t>Project Coordinator (IP Project) Ưu Tiên Ứng Viên Tại Cần Thơ</t>
        </is>
      </c>
      <c r="D1132" s="10" t="inlineStr">
        <is>
          <t>VSIP Cần Thơ</t>
        </is>
      </c>
      <c r="E1132" s="10" t="inlineStr">
        <is>
          <t>Tới 35tr ₫/tháng</t>
        </is>
      </c>
      <c r="F1132" s="10" t="inlineStr">
        <is>
          <t>Cần Thơ</t>
        </is>
      </c>
      <c r="G1132" s="10" t="inlineStr">
        <is>
          <t>Nhân viên</t>
        </is>
      </c>
      <c r="H1132" s="10" t="inlineStr">
        <is>
          <t>06/02/2026</t>
        </is>
      </c>
      <c r="I1132" s="10" t="inlineStr">
        <is>
          <t>23/03/2026</t>
        </is>
      </c>
      <c r="J1132" s="10" t="inlineStr">
        <is>
          <t>17/03/2026</t>
        </is>
      </c>
      <c r="K1132" s="10" t="inlineStr">
        <is>
          <t>N/A</t>
        </is>
      </c>
      <c r="L1132" s="10" t="inlineStr">
        <is>
          <t>Construction Management, Project Management, ISO 9001, Property Development, Strategic Planning</t>
        </is>
      </c>
      <c r="M1132" s="10" t="inlineStr">
        <is>
          <t>Bonus, Healthcare Plan, Others</t>
        </is>
      </c>
      <c r="N1132" s="11">
        <f>HYPERLINK("https://www.vietnamworks.com/project-coordinator-ip-project-uu-tien-ung-vien-tai-can-tho--2010254-jv","Xem chi tiết")</f>
        <v/>
      </c>
      <c r="O1132" s="10" t="n"/>
    </row>
    <row r="1133">
      <c r="B1133" s="7" t="n">
        <v>1131</v>
      </c>
      <c r="C1133" t="inlineStr">
        <is>
          <t>Full Stack Developer</t>
        </is>
      </c>
      <c r="D1133" t="inlineStr">
        <is>
          <t>Manulife IT Delivery Center Vietnam Company Limited</t>
        </is>
      </c>
      <c r="E1133" t="inlineStr">
        <is>
          <t>Thương lượng</t>
        </is>
      </c>
      <c r="F1133" t="inlineStr">
        <is>
          <t>Hồ Chí Minh</t>
        </is>
      </c>
      <c r="G1133" t="inlineStr">
        <is>
          <t>Nhân viên</t>
        </is>
      </c>
      <c r="H1133" t="inlineStr">
        <is>
          <t>06/02/2026</t>
        </is>
      </c>
      <c r="I1133" t="inlineStr">
        <is>
          <t>23/03/2026</t>
        </is>
      </c>
      <c r="J1133" t="inlineStr">
        <is>
          <t>17/03/2026</t>
        </is>
      </c>
      <c r="K1133" t="inlineStr">
        <is>
          <t>N/A</t>
        </is>
      </c>
      <c r="L1133" t="inlineStr">
        <is>
          <t>Angular, Front-End, Full Stack Development, Java, Microservice</t>
        </is>
      </c>
      <c r="M1133" t="inlineStr">
        <is>
          <t>Bonus, Healthcare Plan, Paid Leave, Training, Team Activities</t>
        </is>
      </c>
      <c r="N1133" s="8">
        <f>HYPERLINK("https://www.vietnamworks.com/full-stack-developer-2010251-jv","Xem chi tiết")</f>
        <v/>
      </c>
    </row>
    <row r="1134">
      <c r="B1134" s="9" t="n">
        <v>1132</v>
      </c>
      <c r="C1134" s="10" t="inlineStr">
        <is>
          <t>HSE Officer</t>
        </is>
      </c>
      <c r="D1134" s="10" t="inlineStr">
        <is>
          <t>Công Ty TNHH Liên Doanh Phát Triển Quảng Trị</t>
        </is>
      </c>
      <c r="E1134" s="10" t="inlineStr">
        <is>
          <t>Thương lượng</t>
        </is>
      </c>
      <c r="F1134" s="10" t="inlineStr">
        <is>
          <t>Quảng Trị</t>
        </is>
      </c>
      <c r="G1134" s="10" t="inlineStr">
        <is>
          <t>Nhân viên</t>
        </is>
      </c>
      <c r="H1134" s="10" t="inlineStr">
        <is>
          <t>06/02/2026</t>
        </is>
      </c>
      <c r="I1134" s="10" t="inlineStr">
        <is>
          <t>23/03/2026</t>
        </is>
      </c>
      <c r="J1134" s="10" t="inlineStr">
        <is>
          <t>17/03/2026</t>
        </is>
      </c>
      <c r="K1134" s="10" t="inlineStr">
        <is>
          <t>N/A</t>
        </is>
      </c>
      <c r="L1134" s="10" t="inlineStr">
        <is>
          <t>Quản Lý An Toàn Lao Động, Bất Động Sản, Xây Dựng, Kế Toán Dự Án, An Toàn Lao Động</t>
        </is>
      </c>
      <c r="M1134" s="10" t="inlineStr">
        <is>
          <t>Healthcare Plan, Transportation, Others</t>
        </is>
      </c>
      <c r="N1134" s="11">
        <f>HYPERLINK("https://www.vietnamworks.com/hse-officer--2010252-jv","Xem chi tiết")</f>
        <v/>
      </c>
      <c r="O1134" s="10" t="n"/>
    </row>
    <row r="1135">
      <c r="B1135" s="7" t="n">
        <v>1133</v>
      </c>
      <c r="C1135" t="inlineStr">
        <is>
          <t>Purchasing Staff</t>
        </is>
      </c>
      <c r="D1135" t="inlineStr">
        <is>
          <t>International Business Center Company Limited</t>
        </is>
      </c>
      <c r="E1135" t="inlineStr">
        <is>
          <t>Thương lượng</t>
        </is>
      </c>
      <c r="F1135" t="inlineStr">
        <is>
          <t>Hồ Chí Minh</t>
        </is>
      </c>
      <c r="G1135" t="inlineStr">
        <is>
          <t>Nhân viên</t>
        </is>
      </c>
      <c r="H1135" t="inlineStr">
        <is>
          <t>05/02/2026</t>
        </is>
      </c>
      <c r="I1135" t="inlineStr">
        <is>
          <t>23/03/2026</t>
        </is>
      </c>
      <c r="J1135" t="inlineStr">
        <is>
          <t>17/03/2026</t>
        </is>
      </c>
      <c r="K1135" t="inlineStr">
        <is>
          <t>N/A</t>
        </is>
      </c>
      <c r="L1135" t="inlineStr">
        <is>
          <t>Procurement Planning, Supplier Assessment, Inventory Management, Bidding Process, Purchasing</t>
        </is>
      </c>
      <c r="M1135" t="inlineStr">
        <is>
          <t>Bonus, Healthcare Plan, Awards, Others</t>
        </is>
      </c>
      <c r="N1135" s="8">
        <f>HYPERLINK("https://www.vietnamworks.com/purchasing-staff-2010224-jv","Xem chi tiết")</f>
        <v/>
      </c>
    </row>
    <row r="1136">
      <c r="B1136" s="9" t="n">
        <v>1134</v>
      </c>
      <c r="C1136" s="10" t="inlineStr">
        <is>
          <t>Chuyên Viên Tư Vấn Tuyển Sinh Viện Đào tạo quốc tế</t>
        </is>
      </c>
      <c r="D1136" s="10" t="inlineStr">
        <is>
          <t>Viện Đào tạo quốc tế - Viện ISB</t>
        </is>
      </c>
      <c r="E1136" s="10" t="inlineStr">
        <is>
          <t>Thương lượng</t>
        </is>
      </c>
      <c r="F1136" s="10" t="inlineStr">
        <is>
          <t>Hồ Chí Minh</t>
        </is>
      </c>
      <c r="G1136" s="10" t="inlineStr">
        <is>
          <t>Nhân viên</t>
        </is>
      </c>
      <c r="H1136" s="10" t="inlineStr">
        <is>
          <t>06/02/2026</t>
        </is>
      </c>
      <c r="I1136" s="10" t="inlineStr">
        <is>
          <t>23/03/2026</t>
        </is>
      </c>
      <c r="J1136" s="10" t="inlineStr">
        <is>
          <t>17/03/2026</t>
        </is>
      </c>
      <c r="K1136" s="10" t="inlineStr">
        <is>
          <t>N/A</t>
        </is>
      </c>
      <c r="L1136" s="10" t="inlineStr">
        <is>
          <t>Cskh, Giao Tiếp Chủ Động, Giao Tiếp Tiếng Anh, Tư Vấn Giáo Dục, Tuyển Sinh</t>
        </is>
      </c>
      <c r="M1136" s="10" t="inlineStr">
        <is>
          <t>Bonus</t>
        </is>
      </c>
      <c r="N1136" s="11">
        <f>HYPERLINK("https://www.vietnamworks.com/chuyen-vien-tu-van-tuyen-sinh-vien-djao-tao-quoc-te-2010249-jv","Xem chi tiết")</f>
        <v/>
      </c>
      <c r="O1136" s="10" t="n"/>
    </row>
    <row r="1137">
      <c r="B1137" s="7" t="n">
        <v>1135</v>
      </c>
      <c r="C1137" t="inlineStr">
        <is>
          <t>Chuyên Viên Kỹ Thuật</t>
        </is>
      </c>
      <c r="D1137" t="inlineStr">
        <is>
          <t>Công ty TNHH thiết bị viễn thông ANSV</t>
        </is>
      </c>
      <c r="E1137" t="inlineStr">
        <is>
          <t>Thương lượng</t>
        </is>
      </c>
      <c r="F1137" t="inlineStr">
        <is>
          <t>Hà Nội</t>
        </is>
      </c>
      <c r="G1137" t="inlineStr">
        <is>
          <t>Nhân viên</t>
        </is>
      </c>
      <c r="H1137" t="inlineStr">
        <is>
          <t>06/02/2026</t>
        </is>
      </c>
      <c r="I1137" t="inlineStr">
        <is>
          <t>23/03/2026</t>
        </is>
      </c>
      <c r="J1137" t="inlineStr">
        <is>
          <t>17/03/2026</t>
        </is>
      </c>
      <c r="K1137" t="inlineStr">
        <is>
          <t>N/A</t>
        </is>
      </c>
      <c r="L1137" t="inlineStr">
        <is>
          <t>Công Nghệ Thông Tin, Cisco, Hạ Tầng Viễn Thông, Làm Tài Liệu Kỹ Thuật</t>
        </is>
      </c>
      <c r="M1137" t="inlineStr">
        <is>
          <t>Bonus, Healthcare Plan, Training, Others</t>
        </is>
      </c>
      <c r="N1137" s="8">
        <f>HYPERLINK("https://www.vietnamworks.com/chuyen-vien-ky-thuat-2010253-jv","Xem chi tiết")</f>
        <v/>
      </c>
    </row>
    <row r="1138">
      <c r="B1138" s="9" t="n">
        <v>1136</v>
      </c>
      <c r="C1138" s="10" t="inlineStr">
        <is>
          <t>B2B Business Consultant / Business Consulting / Strategy Consultant (Monday–Friday | Salary Negotiable Based on Competency | Onboard After Tet)</t>
        </is>
      </c>
      <c r="D1138" s="10" t="inlineStr">
        <is>
          <t>SAPP Academy</t>
        </is>
      </c>
      <c r="E1138" s="10" t="inlineStr">
        <is>
          <t>Thương lượng</t>
        </is>
      </c>
      <c r="F1138" s="10" t="inlineStr">
        <is>
          <t>Hồ Chí Minh, Hà Nội</t>
        </is>
      </c>
      <c r="G1138" s="10" t="inlineStr">
        <is>
          <t>Nhân viên</t>
        </is>
      </c>
      <c r="H1138" s="10" t="inlineStr">
        <is>
          <t>05/02/2026</t>
        </is>
      </c>
      <c r="I1138" s="10" t="inlineStr">
        <is>
          <t>23/03/2026</t>
        </is>
      </c>
      <c r="J1138" s="10" t="inlineStr">
        <is>
          <t>17/03/2026</t>
        </is>
      </c>
      <c r="K1138" s="10" t="inlineStr">
        <is>
          <t>N/A</t>
        </is>
      </c>
      <c r="L1138" s="10" t="inlineStr">
        <is>
          <t>Operational Analysis, Instructional Design, Corporate Training, Solution Design, Consulting</t>
        </is>
      </c>
      <c r="M1138" s="10" t="inlineStr">
        <is>
          <t>Bonus, Healthcare Plan, Paid Leave, Training, Travel Opportunities, Team Activities, Others</t>
        </is>
      </c>
      <c r="N1138" s="11">
        <f>HYPERLINK("https://www.vietnamworks.com/b2b-business-consultant-business-consulting-strategy-consultant-monday-friday-salary-negotiable-based-on-competency-onboard-after-tet-2010188-jv","Xem chi tiết")</f>
        <v/>
      </c>
      <c r="O1138" s="10" t="n"/>
    </row>
    <row r="1139">
      <c r="B1139" s="7" t="n">
        <v>1137</v>
      </c>
      <c r="C1139" t="inlineStr">
        <is>
          <t>Marketing Executive (Chinese Speaking)</t>
        </is>
      </c>
      <c r="D1139" t="inlineStr">
        <is>
          <t>VSIP Cần Thơ</t>
        </is>
      </c>
      <c r="E1139" t="inlineStr">
        <is>
          <t>Thương lượng</t>
        </is>
      </c>
      <c r="F1139" t="inlineStr">
        <is>
          <t>Cần Thơ</t>
        </is>
      </c>
      <c r="G1139" t="inlineStr">
        <is>
          <t>Nhân viên</t>
        </is>
      </c>
      <c r="H1139" t="inlineStr">
        <is>
          <t>06/02/2026</t>
        </is>
      </c>
      <c r="I1139" t="inlineStr">
        <is>
          <t>23/03/2026</t>
        </is>
      </c>
      <c r="J1139" t="inlineStr">
        <is>
          <t>17/03/2026</t>
        </is>
      </c>
      <c r="K1139" t="inlineStr">
        <is>
          <t>N/A</t>
        </is>
      </c>
      <c r="L1139" t="inlineStr">
        <is>
          <t>Reporting, Pipeline Management, Marketing Development, Communication Strategy, Chinese</t>
        </is>
      </c>
      <c r="M1139" t="inlineStr">
        <is>
          <t>Bonus, Healthcare Plan, Others</t>
        </is>
      </c>
      <c r="N1139" s="8">
        <f>HYPERLINK("https://www.vietnamworks.com/marketing-executive-chinese-speaking--2010255-jv","Xem chi tiết")</f>
        <v/>
      </c>
    </row>
    <row r="1140">
      <c r="B1140" s="9" t="n">
        <v>1138</v>
      </c>
      <c r="C1140" s="10" t="inlineStr">
        <is>
          <t>(Viettel Post) Java Backend - Upto 3000$</t>
        </is>
      </c>
      <c r="D1140" s="10" t="inlineStr">
        <is>
          <t>Tổng Công Ty CP Bưu Chính Viettel</t>
        </is>
      </c>
      <c r="E1140" s="10" t="inlineStr">
        <is>
          <t>$$ 1,000-3,000 /tháng</t>
        </is>
      </c>
      <c r="F1140" s="10" t="inlineStr">
        <is>
          <t>Hà Nội</t>
        </is>
      </c>
      <c r="G1140" s="10" t="inlineStr">
        <is>
          <t>Nhân viên</t>
        </is>
      </c>
      <c r="H1140" s="10" t="inlineStr">
        <is>
          <t>05/02/2026</t>
        </is>
      </c>
      <c r="I1140" s="10" t="inlineStr">
        <is>
          <t>23/03/2026</t>
        </is>
      </c>
      <c r="J1140" s="10" t="inlineStr">
        <is>
          <t>17/03/2026</t>
        </is>
      </c>
      <c r="K1140" s="10" t="inlineStr">
        <is>
          <t>N/A</t>
        </is>
      </c>
      <c r="L1140" s="10" t="inlineStr">
        <is>
          <t>Java Spring Boot, Java, Spring, Database Oracle, MariaDB</t>
        </is>
      </c>
      <c r="M1140" s="10" t="inlineStr">
        <is>
          <t>Bonus, Paid Leave, Awards</t>
        </is>
      </c>
      <c r="N1140" s="11">
        <f>HYPERLINK("https://www.vietnamworks.com/viettel-post-java-backend-upto-3000-2010195-jv","Xem chi tiết")</f>
        <v/>
      </c>
      <c r="O1140" s="10" t="n"/>
    </row>
    <row r="1141">
      <c r="B1141" s="7" t="n">
        <v>1139</v>
      </c>
      <c r="C1141" t="inlineStr">
        <is>
          <t>Communications/Outreach Officer</t>
        </is>
      </c>
      <c r="D1141" t="inlineStr">
        <is>
          <t>Education For Nature - Vietnam (ENV)</t>
        </is>
      </c>
      <c r="E1141" t="inlineStr">
        <is>
          <t>Thương lượng</t>
        </is>
      </c>
      <c r="F1141" t="inlineStr">
        <is>
          <t>Hà Nội</t>
        </is>
      </c>
      <c r="G1141" t="inlineStr">
        <is>
          <t>Nhân viên</t>
        </is>
      </c>
      <c r="H1141" t="inlineStr">
        <is>
          <t>06/02/2026</t>
        </is>
      </c>
      <c r="I1141" t="inlineStr">
        <is>
          <t>23/03/2026</t>
        </is>
      </c>
      <c r="J1141" t="inlineStr">
        <is>
          <t>17/03/2026</t>
        </is>
      </c>
      <c r="K1141" t="inlineStr">
        <is>
          <t>N/A</t>
        </is>
      </c>
      <c r="L1141" t="inlineStr">
        <is>
          <t>Branding, PR, Quan Hệ Công Chúng, Social Media Communication, Truyền Thông</t>
        </is>
      </c>
      <c r="M1141" t="inlineStr">
        <is>
          <t>Bonus, Healthcare Plan, Paid Leave, Training, Awards, Library, Team Activities</t>
        </is>
      </c>
      <c r="N1141" s="8">
        <f>HYPERLINK("https://www.vietnamworks.com/communicationsoutreach-officer-2010264-jv","Xem chi tiết")</f>
        <v/>
      </c>
    </row>
    <row r="1142">
      <c r="B1142" s="9" t="n">
        <v>1140</v>
      </c>
      <c r="C1142" s="10" t="inlineStr">
        <is>
          <t>Trưởng Phòng Mua Hàng Và Kho Vận (Head Of Purchasing And Logistics)</t>
        </is>
      </c>
      <c r="D1142" s="10" t="inlineStr">
        <is>
          <t>Công ty TNHH Bảo Linh ADD</t>
        </is>
      </c>
      <c r="E1142" s="10" t="inlineStr">
        <is>
          <t>20tr-60tr ₫/tháng</t>
        </is>
      </c>
      <c r="F1142" s="10" t="inlineStr">
        <is>
          <t>Bắc Ninh</t>
        </is>
      </c>
      <c r="G1142" s="10" t="inlineStr">
        <is>
          <t>Trưởng phòng</t>
        </is>
      </c>
      <c r="H1142" s="10" t="inlineStr">
        <is>
          <t>06/02/2026</t>
        </is>
      </c>
      <c r="I1142" s="10" t="inlineStr">
        <is>
          <t>23/03/2026</t>
        </is>
      </c>
      <c r="J1142" s="10" t="inlineStr">
        <is>
          <t>17/03/2026</t>
        </is>
      </c>
      <c r="K1142" s="10" t="inlineStr">
        <is>
          <t>N/A</t>
        </is>
      </c>
      <c r="L1142" s="10" t="inlineStr">
        <is>
          <t>Giải Quyết Vấn Đề, Làm Việc Nhóm, Quản Lý Điều Hành, Quy Trình Mua Sắm, Thuyết Phục</t>
        </is>
      </c>
      <c r="M1142" s="10" t="inlineStr">
        <is>
          <t>Bonus, Healthcare Plan, Paid Leave, Training, Others</t>
        </is>
      </c>
      <c r="N1142" s="11">
        <f>HYPERLINK("https://www.vietnamworks.com/truong-phong-mua-hang-va-kho-van-head-of-purchasing-and-logistics-2010269-jv","Xem chi tiết")</f>
        <v/>
      </c>
      <c r="O1142" s="10" t="n"/>
    </row>
    <row r="1143">
      <c r="B1143" s="7" t="n">
        <v>1141</v>
      </c>
      <c r="C1143" t="inlineStr">
        <is>
          <t>Technology &amp; Processing Senior Manager - Instant Noodle, Rice Based</t>
        </is>
      </c>
      <c r="D1143" t="inlineStr">
        <is>
          <t>Masan Consumer Holdings</t>
        </is>
      </c>
      <c r="E1143" t="inlineStr">
        <is>
          <t>Thương lượng</t>
        </is>
      </c>
      <c r="F1143" t="inlineStr">
        <is>
          <t>Bình Dương</t>
        </is>
      </c>
      <c r="G1143" t="inlineStr">
        <is>
          <t>Trưởng phòng</t>
        </is>
      </c>
      <c r="H1143" t="inlineStr">
        <is>
          <t>06/02/2026</t>
        </is>
      </c>
      <c r="I1143" t="inlineStr">
        <is>
          <t>23/03/2026</t>
        </is>
      </c>
      <c r="J1143" t="inlineStr">
        <is>
          <t>17/03/2026</t>
        </is>
      </c>
      <c r="K1143" t="inlineStr">
        <is>
          <t>N/A</t>
        </is>
      </c>
      <c r="L1143" t="inlineStr">
        <is>
          <t>Technology, Process Quality Management, Processing Industry, R&amp;D, Fmcg Knowledge</t>
        </is>
      </c>
      <c r="M1143" t="inlineStr">
        <is>
          <t>Bonus, Laptop, Others</t>
        </is>
      </c>
      <c r="N1143" s="8">
        <f>HYPERLINK("https://www.vietnamworks.com/technology-processing-senior-manager-instant-noodle-rice-based-2010256-jv","Xem chi tiết")</f>
        <v/>
      </c>
    </row>
    <row r="1144">
      <c r="B1144" s="9" t="n">
        <v>1142</v>
      </c>
      <c r="C1144" s="10" t="inlineStr">
        <is>
          <t>Chuyên Viên Tư Vấn Du Học (Educational Counsellor)</t>
        </is>
      </c>
      <c r="D1144" s="10" t="inlineStr">
        <is>
          <t>ILA Vietnam</t>
        </is>
      </c>
      <c r="E1144" s="10" t="inlineStr">
        <is>
          <t>$$ 500-1,500 /tháng</t>
        </is>
      </c>
      <c r="F1144" s="10" t="inlineStr">
        <is>
          <t>Hà Nội, Hồ Chí Minh</t>
        </is>
      </c>
      <c r="G1144" s="10" t="inlineStr">
        <is>
          <t>Nhân viên</t>
        </is>
      </c>
      <c r="H1144" s="10" t="inlineStr">
        <is>
          <t>06/02/2026</t>
        </is>
      </c>
      <c r="I1144" s="10" t="inlineStr">
        <is>
          <t>23/03/2026</t>
        </is>
      </c>
      <c r="J1144" s="10" t="inlineStr">
        <is>
          <t>17/03/2026</t>
        </is>
      </c>
      <c r="K1144" s="10" t="inlineStr">
        <is>
          <t>N/A</t>
        </is>
      </c>
      <c r="L1144" s="10" t="inlineStr">
        <is>
          <t>Tư Vấn Giáo Dục, Tư Vấn Du Học, Education Counselling, Education Consulting, Consulting</t>
        </is>
      </c>
      <c r="M1144" s="10" t="inlineStr">
        <is>
          <t>Bonus, Paid Leave, Training</t>
        </is>
      </c>
      <c r="N1144" s="11">
        <f>HYPERLINK("https://www.vietnamworks.com/chuyen-vien-tu-van-du-hoc-educational-counsellor--2010278-jv","Xem chi tiết")</f>
        <v/>
      </c>
      <c r="O1144" s="10" t="n"/>
    </row>
    <row r="1145">
      <c r="B1145" s="7" t="n">
        <v>1143</v>
      </c>
      <c r="C1145" t="inlineStr">
        <is>
          <t>Legal Counsel</t>
        </is>
      </c>
      <c r="D1145" t="inlineStr">
        <is>
          <t>Asiafoods Corporation</t>
        </is>
      </c>
      <c r="E1145" t="inlineStr">
        <is>
          <t>Thương lượng</t>
        </is>
      </c>
      <c r="F1145" t="inlineStr">
        <is>
          <t>Hồ Chí Minh</t>
        </is>
      </c>
      <c r="G1145" t="inlineStr">
        <is>
          <t>Nhân viên</t>
        </is>
      </c>
      <c r="H1145" t="inlineStr">
        <is>
          <t>06/02/2026</t>
        </is>
      </c>
      <c r="I1145" t="inlineStr">
        <is>
          <t>23/03/2026</t>
        </is>
      </c>
      <c r="J1145" t="inlineStr">
        <is>
          <t>17/03/2026</t>
        </is>
      </c>
      <c r="K1145" t="inlineStr">
        <is>
          <t>N/A</t>
        </is>
      </c>
      <c r="L1145" t="inlineStr">
        <is>
          <t>Analytical Thinking, Contract Negotiation, Governance, Legal Analysis, Risk Management</t>
        </is>
      </c>
      <c r="M1145" t="inlineStr">
        <is>
          <t>Others</t>
        </is>
      </c>
      <c r="N1145" s="8">
        <f>HYPERLINK("https://www.vietnamworks.com/legal-counsel-2010257-jv","Xem chi tiết")</f>
        <v/>
      </c>
    </row>
    <row r="1146">
      <c r="B1146" s="9" t="n">
        <v>1144</v>
      </c>
      <c r="C1146" s="10" t="inlineStr">
        <is>
          <t>Procurement / Category Manager (Pharma / FMCG)</t>
        </is>
      </c>
      <c r="D1146" s="10" t="inlineStr">
        <is>
          <t>CÔNG TY TNHH CAREACE</t>
        </is>
      </c>
      <c r="E1146" s="10" t="inlineStr">
        <is>
          <t>Thương lượng</t>
        </is>
      </c>
      <c r="F1146" s="10" t="inlineStr">
        <is>
          <t>Hà Nội</t>
        </is>
      </c>
      <c r="G1146" s="10" t="inlineStr">
        <is>
          <t>Trưởng phòng</t>
        </is>
      </c>
      <c r="H1146" s="10" t="inlineStr">
        <is>
          <t>06/02/2026</t>
        </is>
      </c>
      <c r="I1146" s="10" t="inlineStr">
        <is>
          <t>23/03/2026</t>
        </is>
      </c>
      <c r="J1146" s="10" t="inlineStr">
        <is>
          <t>17/03/2026</t>
        </is>
      </c>
      <c r="K1146" s="10" t="inlineStr">
        <is>
          <t>N/A</t>
        </is>
      </c>
      <c r="L1146" s="10" t="inlineStr">
        <is>
          <t>Dược sĩ, Thu Mua Dược Phẩm, Quản Lý Thu Mua, Quản Lý Ngành Hàng, Mua Hàng FMCG</t>
        </is>
      </c>
      <c r="M1146" s="10" t="inlineStr">
        <is>
          <t>Bonus, Paid Leave, Training</t>
        </is>
      </c>
      <c r="N1146" s="11">
        <f>HYPERLINK("https://www.vietnamworks.com/procurement-category-manager-pharma-fmcg-2010262-jv","Xem chi tiết")</f>
        <v/>
      </c>
      <c r="O1146" s="10" t="n"/>
    </row>
    <row r="1147">
      <c r="B1147" s="7" t="n">
        <v>1145</v>
      </c>
      <c r="C1147" t="inlineStr">
        <is>
          <t>Trưởng Ban Thuế/ Chuyên Gia Hoạch Định Thuế</t>
        </is>
      </c>
      <c r="D1147" t="inlineStr">
        <is>
          <t>Capital House Group</t>
        </is>
      </c>
      <c r="E1147" t="inlineStr">
        <is>
          <t>Thương lượng</t>
        </is>
      </c>
      <c r="F1147" t="inlineStr">
        <is>
          <t>Hà Nội</t>
        </is>
      </c>
      <c r="G1147" t="inlineStr">
        <is>
          <t>Giám Đốc và Cấp Cao Hơn</t>
        </is>
      </c>
      <c r="H1147" t="inlineStr">
        <is>
          <t>06/02/2026</t>
        </is>
      </c>
      <c r="I1147" t="inlineStr">
        <is>
          <t>23/03/2026</t>
        </is>
      </c>
      <c r="J1147" t="inlineStr">
        <is>
          <t>17/03/2026</t>
        </is>
      </c>
      <c r="K1147" t="inlineStr">
        <is>
          <t>N/A</t>
        </is>
      </c>
      <c r="L1147" t="inlineStr">
        <is>
          <t>Thuế, Tài Chính, Ngân hàng, Quản Trị, Kiểm toán</t>
        </is>
      </c>
      <c r="M1147" t="inlineStr">
        <is>
          <t>Bonus, Healthcare Plan, Paid Leave, Training, Team Activities, Vouchers</t>
        </is>
      </c>
      <c r="N1147" s="8">
        <f>HYPERLINK("https://www.vietnamworks.com/truong-ban-thue-chuyen-gia-hoach-dinh-thue-2010258-jv","Xem chi tiết")</f>
        <v/>
      </c>
    </row>
    <row r="1148">
      <c r="B1148" s="9" t="n">
        <v>1146</v>
      </c>
      <c r="C1148" s="10" t="inlineStr">
        <is>
          <t>Senior HR &amp; Admin Executive</t>
        </is>
      </c>
      <c r="D1148" s="10" t="inlineStr">
        <is>
          <t>Primewood Corporation (Vietnam)</t>
        </is>
      </c>
      <c r="E1148" s="10" t="inlineStr">
        <is>
          <t>Thương lượng</t>
        </is>
      </c>
      <c r="F1148" s="10" t="inlineStr">
        <is>
          <t>Đà Nẵng</t>
        </is>
      </c>
      <c r="G1148" s="10" t="inlineStr">
        <is>
          <t>Nhân viên</t>
        </is>
      </c>
      <c r="H1148" s="10" t="inlineStr">
        <is>
          <t>06/02/2026</t>
        </is>
      </c>
      <c r="I1148" s="10" t="inlineStr">
        <is>
          <t>23/03/2026</t>
        </is>
      </c>
      <c r="J1148" s="10" t="inlineStr">
        <is>
          <t>17/03/2026</t>
        </is>
      </c>
      <c r="K1148" s="10" t="inlineStr">
        <is>
          <t>N/A</t>
        </is>
      </c>
      <c r="L1148" s="10" t="inlineStr">
        <is>
          <t>Admin Task, HR Compliance, Human Resources Operation, Office Admin, Recruitment</t>
        </is>
      </c>
      <c r="M1148" s="10" t="inlineStr">
        <is>
          <t>Bonus, Healthcare Plan, Paid Leave</t>
        </is>
      </c>
      <c r="N1148" s="11">
        <f>HYPERLINK("https://www.vietnamworks.com/senior-hr-admin-executive--2010280-jv","Xem chi tiết")</f>
        <v/>
      </c>
      <c r="O1148" s="10" t="n"/>
    </row>
    <row r="1149">
      <c r="B1149" s="7" t="n">
        <v>1147</v>
      </c>
      <c r="C1149" t="inlineStr">
        <is>
          <t>(Senior) Key Account Executive</t>
        </is>
      </c>
      <c r="D1149" t="inlineStr">
        <is>
          <t>Công Ty TNHH Onpoint</t>
        </is>
      </c>
      <c r="E1149" t="inlineStr">
        <is>
          <t>Thương lượng</t>
        </is>
      </c>
      <c r="F1149" t="inlineStr">
        <is>
          <t>Hồ Chí Minh</t>
        </is>
      </c>
      <c r="G1149" t="inlineStr">
        <is>
          <t>Nhân viên</t>
        </is>
      </c>
      <c r="H1149" t="inlineStr">
        <is>
          <t>06/02/2026</t>
        </is>
      </c>
      <c r="I1149" t="inlineStr">
        <is>
          <t>23/03/2026</t>
        </is>
      </c>
      <c r="J1149" t="inlineStr">
        <is>
          <t>17/03/2026</t>
        </is>
      </c>
      <c r="K1149" t="inlineStr">
        <is>
          <t>N/A</t>
        </is>
      </c>
      <c r="L1149" t="inlineStr">
        <is>
          <t>Kiến Thức Livestream, Key Account Management, E-Commerce, Account Management, Digital Media Planning</t>
        </is>
      </c>
      <c r="M1149" t="inlineStr">
        <is>
          <t>Healthcare Plan, Paid Leave, Laptop</t>
        </is>
      </c>
      <c r="N1149" s="8">
        <f>HYPERLINK("https://www.vietnamworks.com/senior-key-account-executive--2010281-jv","Xem chi tiết")</f>
        <v/>
      </c>
    </row>
    <row r="1150">
      <c r="B1150" s="9" t="n">
        <v>1148</v>
      </c>
      <c r="C1150" s="10" t="inlineStr">
        <is>
          <t>Customer Service Staff (Chinese Speaking, Priority Man)</t>
        </is>
      </c>
      <c r="D1150" s="10" t="inlineStr">
        <is>
          <t>Công Ty TNHH KJTT Việt Nam</t>
        </is>
      </c>
      <c r="E1150" s="10" t="inlineStr">
        <is>
          <t>Thương lượng</t>
        </is>
      </c>
      <c r="F1150" s="10" t="inlineStr">
        <is>
          <t>Hà Nội</t>
        </is>
      </c>
      <c r="G1150" s="10" t="inlineStr">
        <is>
          <t>Nhân viên</t>
        </is>
      </c>
      <c r="H1150" s="10" t="inlineStr">
        <is>
          <t>06/02/2026</t>
        </is>
      </c>
      <c r="I1150" s="10" t="inlineStr">
        <is>
          <t>23/03/2026</t>
        </is>
      </c>
      <c r="J1150" s="10" t="inlineStr">
        <is>
          <t>17/03/2026</t>
        </is>
      </c>
      <c r="K1150" s="10" t="inlineStr">
        <is>
          <t>N/A</t>
        </is>
      </c>
      <c r="L1150" s="10" t="inlineStr">
        <is>
          <t>Chăm Sóc Khách Hàng, Foreign Trade, Forwarding, Logistics, Xuất Nhập Khẩu</t>
        </is>
      </c>
      <c r="M1150" s="10" t="inlineStr">
        <is>
          <t>Bonus, Healthcare Plan, Training, Travel Opportunities, Others</t>
        </is>
      </c>
      <c r="N1150" s="11">
        <f>HYPERLINK("https://www.vietnamworks.com/customer-service-staff-chinese-speaking-priority-man-2010268-jv","Xem chi tiết")</f>
        <v/>
      </c>
      <c r="O1150" s="10" t="n"/>
    </row>
    <row r="1151">
      <c r="B1151" s="7" t="n">
        <v>1149</v>
      </c>
      <c r="C1151" t="inlineStr">
        <is>
          <t>Chuyên Viên Cao Cấp Bộ Phận FP&amp;A (Financial Planning &amp; Analysis)</t>
        </is>
      </c>
      <c r="D1151" t="inlineStr">
        <is>
          <t>Tập đoàn VINASEED</t>
        </is>
      </c>
      <c r="E1151" t="inlineStr">
        <is>
          <t>Thương lượng</t>
        </is>
      </c>
      <c r="F1151" t="inlineStr">
        <is>
          <t>Hà Nội</t>
        </is>
      </c>
      <c r="G1151" t="inlineStr">
        <is>
          <t>Nhân viên</t>
        </is>
      </c>
      <c r="H1151" t="inlineStr">
        <is>
          <t>06/02/2026</t>
        </is>
      </c>
      <c r="I1151" t="inlineStr">
        <is>
          <t>23/03/2026</t>
        </is>
      </c>
      <c r="J1151" t="inlineStr">
        <is>
          <t>17/03/2026</t>
        </is>
      </c>
      <c r="K1151" t="inlineStr">
        <is>
          <t>N/A</t>
        </is>
      </c>
      <c r="L1151" t="inlineStr">
        <is>
          <t>Phân Tích Tài Chính, Power BI, Financial Modeling, Cost Analysis, Lập Kế Hoạch Tài Chính</t>
        </is>
      </c>
      <c r="M1151" t="inlineStr">
        <is>
          <t>Bonus, Healthcare Plan, Training, Others</t>
        </is>
      </c>
      <c r="N1151" s="8">
        <f>HYPERLINK("https://www.vietnamworks.com/chuyen-vien-cao-cap-bo-phan-fpanda-financial-planning-and-analysis-2010282-jv","Xem chi tiết")</f>
        <v/>
      </c>
    </row>
    <row r="1152">
      <c r="B1152" s="9" t="n">
        <v>1150</v>
      </c>
      <c r="C1152" s="10" t="inlineStr">
        <is>
          <t>Kỹ Sư Bảo Trì (Maintenance Engineer)</t>
        </is>
      </c>
      <c r="D1152" s="10" t="inlineStr">
        <is>
          <t>Công Ty TNHH Một Thành Viên Relats Viêt Nam</t>
        </is>
      </c>
      <c r="E1152" s="10" t="inlineStr">
        <is>
          <t>Thương lượng</t>
        </is>
      </c>
      <c r="F1152" s="10" t="inlineStr">
        <is>
          <t>Đà Nẵng</t>
        </is>
      </c>
      <c r="G1152" s="10" t="inlineStr">
        <is>
          <t>Nhân viên</t>
        </is>
      </c>
      <c r="H1152" s="10" t="inlineStr">
        <is>
          <t>06/02/2026</t>
        </is>
      </c>
      <c r="I1152" s="10" t="inlineStr">
        <is>
          <t>23/03/2026</t>
        </is>
      </c>
      <c r="J1152" s="10" t="inlineStr">
        <is>
          <t>17/03/2026</t>
        </is>
      </c>
      <c r="K1152" s="10" t="inlineStr">
        <is>
          <t>N/A</t>
        </is>
      </c>
      <c r="L1152" s="10" t="inlineStr">
        <is>
          <t>Bảo Dưỡng Máy Móc, Bảo Trì, Bảo Trì Công Nghiệp, Bảo Trì Động Cơ Điện, Maintenance Engineering</t>
        </is>
      </c>
      <c r="M1152" s="10" t="inlineStr">
        <is>
          <t>Bonus, Healthcare Plan, Training, Laptop, Team Activities, Transportation</t>
        </is>
      </c>
      <c r="N1152" s="11">
        <f>HYPERLINK("https://www.vietnamworks.com/ky-su-bao-tri-maintenance-engineer-2010276-jv","Xem chi tiết")</f>
        <v/>
      </c>
      <c r="O1152" s="10" t="n"/>
    </row>
    <row r="1153">
      <c r="B1153" s="7" t="n">
        <v>1151</v>
      </c>
      <c r="C1153" t="inlineStr">
        <is>
          <t>Retail Sales Operations Manager – Electronics Store Chain</t>
        </is>
      </c>
      <c r="D1153" t="inlineStr">
        <is>
          <t>Tập Đoàn Karofi Holding</t>
        </is>
      </c>
      <c r="E1153" t="inlineStr">
        <is>
          <t>Thương lượng</t>
        </is>
      </c>
      <c r="F1153" t="inlineStr">
        <is>
          <t>Hà Nội, Hồ Chí Minh, Quốc tế</t>
        </is>
      </c>
      <c r="G1153" t="inlineStr">
        <is>
          <t>Trưởng phòng</t>
        </is>
      </c>
      <c r="H1153" t="inlineStr">
        <is>
          <t>06/02/2026</t>
        </is>
      </c>
      <c r="I1153" t="inlineStr">
        <is>
          <t>23/03/2026</t>
        </is>
      </c>
      <c r="J1153" t="inlineStr">
        <is>
          <t>17/03/2026</t>
        </is>
      </c>
      <c r="K1153" t="inlineStr">
        <is>
          <t>N/A</t>
        </is>
      </c>
      <c r="L1153" t="inlineStr">
        <is>
          <t>English Communication, People Management, Retail Operations, Sales Development</t>
        </is>
      </c>
      <c r="M1153" t="inlineStr">
        <is>
          <t>Others</t>
        </is>
      </c>
      <c r="N1153" s="8">
        <f>HYPERLINK("https://www.vietnamworks.com/retail-sales-operations-manager-electronics-store-chain-2010271-jv","Xem chi tiết")</f>
        <v/>
      </c>
    </row>
    <row r="1154">
      <c r="B1154" s="9" t="n">
        <v>1152</v>
      </c>
      <c r="C1154" s="10" t="inlineStr">
        <is>
          <t>Phó Phòng Kế Hoạch Kinh Doanh</t>
        </is>
      </c>
      <c r="D1154" s="10" t="inlineStr">
        <is>
          <t>Công Ty Cổ Phần Dược Phẩm 3/2</t>
        </is>
      </c>
      <c r="E1154" s="10" t="inlineStr">
        <is>
          <t>$$ 700-800 /tháng</t>
        </is>
      </c>
      <c r="F1154" s="10" t="inlineStr">
        <is>
          <t>Hồ Chí Minh</t>
        </is>
      </c>
      <c r="G1154" s="10" t="inlineStr">
        <is>
          <t>Trưởng phòng</t>
        </is>
      </c>
      <c r="H1154" s="10" t="inlineStr">
        <is>
          <t>06/02/2026</t>
        </is>
      </c>
      <c r="I1154" s="10" t="inlineStr">
        <is>
          <t>23/03/2026</t>
        </is>
      </c>
      <c r="J1154" s="10" t="inlineStr">
        <is>
          <t>17/03/2026</t>
        </is>
      </c>
      <c r="K1154" s="10" t="inlineStr">
        <is>
          <t>N/A</t>
        </is>
      </c>
      <c r="L1154" s="10" t="inlineStr">
        <is>
          <t>OTC, Pharmacy, Dược Phẩm, Kinh Doanh Dược, OTC Sales</t>
        </is>
      </c>
      <c r="M1154" s="10" t="inlineStr">
        <is>
          <t>Bonus, Paid Leave, Travel Opportunities</t>
        </is>
      </c>
      <c r="N1154" s="11">
        <f>HYPERLINK("https://www.vietnamworks.com/pho-phong-ke-hoach-kinh-doanh--2010259-jv","Xem chi tiết")</f>
        <v/>
      </c>
      <c r="O1154" s="10" t="n"/>
    </row>
    <row r="1155">
      <c r="B1155" s="7" t="n">
        <v>1153</v>
      </c>
      <c r="C1155" t="inlineStr">
        <is>
          <t>Kế Toán</t>
        </is>
      </c>
      <c r="D1155" t="inlineStr">
        <is>
          <t>Ets GLOBAL Logistics VINA Co.,ltd</t>
        </is>
      </c>
      <c r="E1155" t="inlineStr">
        <is>
          <t>7tr-15tr ₫/tháng</t>
        </is>
      </c>
      <c r="F1155" t="inlineStr">
        <is>
          <t>Hồ Chí Minh</t>
        </is>
      </c>
      <c r="G1155" t="inlineStr">
        <is>
          <t>Nhân viên</t>
        </is>
      </c>
      <c r="H1155" t="inlineStr">
        <is>
          <t>06/02/2026</t>
        </is>
      </c>
      <c r="I1155" t="inlineStr">
        <is>
          <t>23/03/2026</t>
        </is>
      </c>
      <c r="J1155" t="inlineStr">
        <is>
          <t>17/03/2026</t>
        </is>
      </c>
      <c r="K1155" t="inlineStr">
        <is>
          <t>N/A</t>
        </is>
      </c>
      <c r="L1155" t="inlineStr">
        <is>
          <t>Báo Cáo Tài Chính, Hạch Toán, Kế Toán Xuất Hóa Đơn, Kiểm Tra Chứng Từ, Quản Lý Công Nợ</t>
        </is>
      </c>
      <c r="M1155" t="inlineStr">
        <is>
          <t>Bonus, Healthcare Plan, Paid Leave, Others</t>
        </is>
      </c>
      <c r="N1155" s="8">
        <f>HYPERLINK("https://www.vietnamworks.com/ke-toan-2010270-jv","Xem chi tiết")</f>
        <v/>
      </c>
    </row>
    <row r="1156">
      <c r="B1156" s="9" t="n">
        <v>1154</v>
      </c>
      <c r="C1156" s="10" t="inlineStr">
        <is>
          <t>Talent Acquisition Manager</t>
        </is>
      </c>
      <c r="D1156" s="10" t="inlineStr">
        <is>
          <t>Wanek Furniture CO., LTD.</t>
        </is>
      </c>
      <c r="E1156" s="10" t="inlineStr">
        <is>
          <t>Thương lượng</t>
        </is>
      </c>
      <c r="F1156" s="10" t="inlineStr">
        <is>
          <t>Bình Dương</t>
        </is>
      </c>
      <c r="G1156" s="10" t="inlineStr">
        <is>
          <t>Trưởng phòng</t>
        </is>
      </c>
      <c r="H1156" s="10" t="inlineStr">
        <is>
          <t>06/02/2026</t>
        </is>
      </c>
      <c r="I1156" s="10" t="inlineStr">
        <is>
          <t>23/03/2026</t>
        </is>
      </c>
      <c r="J1156" s="10" t="inlineStr">
        <is>
          <t>17/03/2026</t>
        </is>
      </c>
      <c r="K1156" s="10" t="inlineStr">
        <is>
          <t>N/A</t>
        </is>
      </c>
      <c r="L1156" s="10" t="inlineStr">
        <is>
          <t>Talent Acquisition, HR, Recruitment, HR Interview, HR Business Partner</t>
        </is>
      </c>
      <c r="M1156" s="10" t="inlineStr">
        <is>
          <t>Bonus, Training, Team Activities</t>
        </is>
      </c>
      <c r="N1156" s="11">
        <f>HYPERLINK("https://www.vietnamworks.com/talent-acquisition-manager--2010266-jv","Xem chi tiết")</f>
        <v/>
      </c>
      <c r="O1156" s="10" t="n"/>
    </row>
    <row r="1157">
      <c r="B1157" s="7" t="n">
        <v>1155</v>
      </c>
      <c r="C1157" t="inlineStr">
        <is>
          <t>[Hải Dương] Chuyên Viên Nhân Sự (Division Leader HR)</t>
        </is>
      </c>
      <c r="D1157" t="inlineStr">
        <is>
          <t>Công Ty TNHH Aeon Việt Nam</t>
        </is>
      </c>
      <c r="E1157" t="inlineStr">
        <is>
          <t>Thương lượng</t>
        </is>
      </c>
      <c r="F1157" t="inlineStr">
        <is>
          <t>Hải Dương</t>
        </is>
      </c>
      <c r="G1157" t="inlineStr">
        <is>
          <t>Trưởng phòng</t>
        </is>
      </c>
      <c r="H1157" t="inlineStr">
        <is>
          <t>06/02/2026</t>
        </is>
      </c>
      <c r="I1157" t="inlineStr">
        <is>
          <t>23/03/2026</t>
        </is>
      </c>
      <c r="J1157" t="inlineStr">
        <is>
          <t>17/03/2026</t>
        </is>
      </c>
      <c r="K1157" t="inlineStr">
        <is>
          <t>N/A</t>
        </is>
      </c>
      <c r="L1157" t="inlineStr">
        <is>
          <t>Employee Relation, HR Management, Performance Management, Problem Solving, Recruitment Tools</t>
        </is>
      </c>
      <c r="M1157" t="inlineStr">
        <is>
          <t>Bonus, Healthcare Plan, Paid Leave, Training, Canteen, Others</t>
        </is>
      </c>
      <c r="N1157" s="8">
        <f>HYPERLINK("https://www.vietnamworks.com/hai-duong-chuyen-vien-nhan-su-division-leader-hr-2010267-jv","Xem chi tiết")</f>
        <v/>
      </c>
    </row>
    <row r="1158">
      <c r="B1158" s="9" t="n">
        <v>1156</v>
      </c>
      <c r="C1158" s="10" t="inlineStr">
        <is>
          <t>Chuyên Viên Phân Tích Kinh Doanh &amp; Đối Tác (Partnership Business Analyst)</t>
        </is>
      </c>
      <c r="D1158" s="10" t="inlineStr">
        <is>
          <t>CÔNG TY CỔ PHẦN CÔNG NGHỆ DATA NEST</t>
        </is>
      </c>
      <c r="E1158" s="10" t="inlineStr">
        <is>
          <t>Thương lượng</t>
        </is>
      </c>
      <c r="F1158" s="10" t="inlineStr">
        <is>
          <t>Hà Nội</t>
        </is>
      </c>
      <c r="G1158" s="10" t="inlineStr">
        <is>
          <t>Nhân viên</t>
        </is>
      </c>
      <c r="H1158" s="10" t="inlineStr">
        <is>
          <t>06/02/2026</t>
        </is>
      </c>
      <c r="I1158" s="10" t="inlineStr">
        <is>
          <t>23/03/2026</t>
        </is>
      </c>
      <c r="J1158" s="10" t="inlineStr">
        <is>
          <t>17/03/2026</t>
        </is>
      </c>
      <c r="K1158" s="10" t="inlineStr">
        <is>
          <t>N/A</t>
        </is>
      </c>
      <c r="L1158" s="10" t="inlineStr">
        <is>
          <t>Business Analysis, Fintech, Nghiên Cứu Thị Trường, Partnership Development, Phân Tích Kinh Doanh</t>
        </is>
      </c>
      <c r="M1158" s="10" t="inlineStr">
        <is>
          <t>Bonus, Healthcare Plan, Paid Leave, Laptop, Team Activities, Canteen, Others</t>
        </is>
      </c>
      <c r="N1158" s="11">
        <f>HYPERLINK("https://www.vietnamworks.com/chuyen-vien-phan-tich-kinh-doanh-and-djoi-tac-partnership-business-analyst-2010265-jv","Xem chi tiết")</f>
        <v/>
      </c>
      <c r="O1158" s="10" t="n"/>
    </row>
    <row r="1159">
      <c r="B1159" s="7" t="n">
        <v>1157</v>
      </c>
      <c r="C1159" t="inlineStr">
        <is>
          <t>Service Engineer</t>
        </is>
      </c>
      <c r="D1159" t="inlineStr">
        <is>
          <t>CÔNG TY TNHH KHS VIỆT NAM</t>
        </is>
      </c>
      <c r="E1159" t="inlineStr">
        <is>
          <t>Thương lượng</t>
        </is>
      </c>
      <c r="F1159" t="inlineStr">
        <is>
          <t>Hồ Chí Minh</t>
        </is>
      </c>
      <c r="G1159" t="inlineStr">
        <is>
          <t>Nhân viên</t>
        </is>
      </c>
      <c r="H1159" t="inlineStr">
        <is>
          <t>06/02/2026</t>
        </is>
      </c>
      <c r="I1159" t="inlineStr">
        <is>
          <t>23/03/2026</t>
        </is>
      </c>
      <c r="J1159" t="inlineStr">
        <is>
          <t>17/03/2026</t>
        </is>
      </c>
      <c r="K1159" t="inlineStr">
        <is>
          <t>N/A</t>
        </is>
      </c>
      <c r="L1159" t="inlineStr">
        <is>
          <t>After Sale Support, Mechatronic, Packaging, Spare Parts Management, Technical Support</t>
        </is>
      </c>
      <c r="M1159" t="inlineStr">
        <is>
          <t>Bonus, Healthcare Plan, Paid Leave, Others</t>
        </is>
      </c>
      <c r="N1159" s="8">
        <f>HYPERLINK("https://www.vietnamworks.com/service-engineer-2010292-jv","Xem chi tiết")</f>
        <v/>
      </c>
    </row>
    <row r="1160">
      <c r="B1160" s="9" t="n">
        <v>1158</v>
      </c>
      <c r="C1160" s="10" t="inlineStr">
        <is>
          <t>Senior Accountant (Tax &amp; Fixed Asset Management Expert)</t>
        </is>
      </c>
      <c r="D1160" s="10" t="inlineStr">
        <is>
          <t>GENTHERM VIETNAM CO., LTD</t>
        </is>
      </c>
      <c r="E1160" s="10" t="inlineStr">
        <is>
          <t>Thương lượng</t>
        </is>
      </c>
      <c r="F1160" s="10" t="inlineStr">
        <is>
          <t>Hà Nội, Hà Nam, Hưng Yên</t>
        </is>
      </c>
      <c r="G1160" s="10" t="inlineStr">
        <is>
          <t>Nhân viên</t>
        </is>
      </c>
      <c r="H1160" s="10" t="inlineStr">
        <is>
          <t>06/02/2026</t>
        </is>
      </c>
      <c r="I1160" s="10" t="inlineStr">
        <is>
          <t>23/03/2026</t>
        </is>
      </c>
      <c r="J1160" s="10" t="inlineStr">
        <is>
          <t>17/03/2026</t>
        </is>
      </c>
      <c r="K1160" s="10" t="inlineStr">
        <is>
          <t>N/A</t>
        </is>
      </c>
      <c r="L1160" s="10" t="inlineStr">
        <is>
          <t>General Accounting, Audit, Accounting, Tax Compliance, SAP</t>
        </is>
      </c>
      <c r="M1160" s="10" t="inlineStr">
        <is>
          <t>Bonus, Canteen, Others</t>
        </is>
      </c>
      <c r="N1160" s="11">
        <f>HYPERLINK("https://www.vietnamworks.com/senior-accountant-tax-fixed-asset-management-expert--2010275-jv","Xem chi tiết")</f>
        <v/>
      </c>
      <c r="O1160" s="10" t="n"/>
    </row>
    <row r="1161">
      <c r="B1161" s="7" t="n">
        <v>1159</v>
      </c>
      <c r="C1161" t="inlineStr">
        <is>
          <t>Trưởng Nhóm Pháp Chế</t>
        </is>
      </c>
      <c r="D1161" t="inlineStr">
        <is>
          <t>Công ty Cổ phần Tập đoàn Nagakawa</t>
        </is>
      </c>
      <c r="E1161" t="inlineStr">
        <is>
          <t>Thương lượng</t>
        </is>
      </c>
      <c r="F1161" t="inlineStr">
        <is>
          <t>Hà Nội</t>
        </is>
      </c>
      <c r="G1161" t="inlineStr">
        <is>
          <t>Nhân viên</t>
        </is>
      </c>
      <c r="H1161" t="inlineStr">
        <is>
          <t>06/02/2026</t>
        </is>
      </c>
      <c r="I1161" t="inlineStr">
        <is>
          <t>23/03/2026</t>
        </is>
      </c>
      <c r="J1161" t="inlineStr">
        <is>
          <t>17/03/2026</t>
        </is>
      </c>
      <c r="K1161" t="inlineStr">
        <is>
          <t>N/A</t>
        </is>
      </c>
      <c r="L1161" t="inlineStr">
        <is>
          <t>Tư Vấn Pháp Lý, Pháp Lý, Pháp Chế, Luật, Legal</t>
        </is>
      </c>
      <c r="M1161" t="inlineStr">
        <is>
          <t>Healthcare Plan, Travel Opportunities, Others</t>
        </is>
      </c>
      <c r="N1161" s="8">
        <f>HYPERLINK("https://www.vietnamworks.com/truong-nhom-phap-che--2010274-jv","Xem chi tiết")</f>
        <v/>
      </c>
    </row>
    <row r="1162">
      <c r="B1162" s="9" t="n">
        <v>1160</v>
      </c>
      <c r="C1162" s="10" t="inlineStr">
        <is>
          <t>Senior Data Scientist / Data Analyst (Customer Insights) (Up to 60 Mil VND)</t>
        </is>
      </c>
      <c r="D1162" s="10" t="inlineStr">
        <is>
          <t>Công Ty TNHH LOTTE C&amp;F Vietnam</t>
        </is>
      </c>
      <c r="E1162" s="10" t="inlineStr">
        <is>
          <t>Tới 60tr ₫/tháng</t>
        </is>
      </c>
      <c r="F1162" s="10" t="inlineStr">
        <is>
          <t>Hồ Chí Minh</t>
        </is>
      </c>
      <c r="G1162" s="10" t="inlineStr">
        <is>
          <t>Nhân viên</t>
        </is>
      </c>
      <c r="H1162" s="10" t="inlineStr">
        <is>
          <t>06/02/2026</t>
        </is>
      </c>
      <c r="I1162" s="10" t="inlineStr">
        <is>
          <t>23/03/2026</t>
        </is>
      </c>
      <c r="J1162" s="10" t="inlineStr">
        <is>
          <t>17/03/2026</t>
        </is>
      </c>
      <c r="K1162" s="10" t="inlineStr">
        <is>
          <t>N/A</t>
        </is>
      </c>
      <c r="L1162" s="10" t="inlineStr">
        <is>
          <t>Apache Superset, Data Engineering</t>
        </is>
      </c>
      <c r="M1162" s="10" t="inlineStr">
        <is>
          <t>Bonus, Healthcare Plan, Paid Leave, Team Activities, Others</t>
        </is>
      </c>
      <c r="N1162" s="11">
        <f>HYPERLINK("https://www.vietnamworks.com/senior-data-scientist-data-analyst-customer-insights-up-to-60-mil-vnd-2010289-jv","Xem chi tiết")</f>
        <v/>
      </c>
      <c r="O1162" s="10" t="n"/>
    </row>
    <row r="1163">
      <c r="B1163" s="7" t="n">
        <v>1161</v>
      </c>
      <c r="C1163" t="inlineStr">
        <is>
          <t>Booking Kol/koc Specialist (Welcome Fresher)</t>
        </is>
      </c>
      <c r="D1163" t="inlineStr">
        <is>
          <t>CÔNG TY TNHH TENFLYER</t>
        </is>
      </c>
      <c r="E1163" t="inlineStr">
        <is>
          <t>8tr-13tr ₫/tháng</t>
        </is>
      </c>
      <c r="F1163" t="inlineStr">
        <is>
          <t>Hồ Chí Minh</t>
        </is>
      </c>
      <c r="G1163" t="inlineStr">
        <is>
          <t>Mới Tốt Nghiệp</t>
        </is>
      </c>
      <c r="H1163" t="inlineStr">
        <is>
          <t>06/02/2026</t>
        </is>
      </c>
      <c r="I1163" t="inlineStr">
        <is>
          <t>23/03/2026</t>
        </is>
      </c>
      <c r="J1163" t="inlineStr">
        <is>
          <t>17/03/2026</t>
        </is>
      </c>
      <c r="K1163" t="inlineStr">
        <is>
          <t>N/A</t>
        </is>
      </c>
      <c r="L1163" t="inlineStr">
        <is>
          <t>Affiliate Marketing, Kol/Koc Booking, Social Marketing, Social Media Marketing, Tiktok Ads</t>
        </is>
      </c>
      <c r="M1163" t="inlineStr">
        <is>
          <t>Bonus, Paid Leave, Training, Canteen</t>
        </is>
      </c>
      <c r="N1163" s="8">
        <f>HYPERLINK("https://www.vietnamworks.com/booking-kolkoc-specialist-welcome-fresher-2010291-jv","Xem chi tiết")</f>
        <v/>
      </c>
    </row>
    <row r="1164">
      <c r="B1164" s="9" t="n">
        <v>1162</v>
      </c>
      <c r="C1164" s="10" t="inlineStr">
        <is>
          <t>[Tuyển Gấp] Chuyên Viên Quản Trị Rủi Ro (Upto 35 Triệu)</t>
        </is>
      </c>
      <c r="D1164" s="10" t="inlineStr">
        <is>
          <t>Công Ty Cổ Phần Công Nghệ Sapo</t>
        </is>
      </c>
      <c r="E1164" s="10" t="inlineStr">
        <is>
          <t>20tr-35tr ₫/tháng</t>
        </is>
      </c>
      <c r="F1164" s="10" t="inlineStr">
        <is>
          <t>Hà Nội</t>
        </is>
      </c>
      <c r="G1164" s="10" t="inlineStr">
        <is>
          <t>Nhân viên</t>
        </is>
      </c>
      <c r="H1164" s="10" t="inlineStr">
        <is>
          <t>06/02/2026</t>
        </is>
      </c>
      <c r="I1164" s="10" t="inlineStr">
        <is>
          <t>23/03/2026</t>
        </is>
      </c>
      <c r="J1164" s="10" t="inlineStr">
        <is>
          <t>17/03/2026</t>
        </is>
      </c>
      <c r="K1164" s="10" t="inlineStr">
        <is>
          <t>N/A</t>
        </is>
      </c>
      <c r="L1164" s="10" t="inlineStr">
        <is>
          <t>Quản Lý Chất Lượng, Quản Lý Quy Trình, Quản Trị Rủi Ro, PQA, ISO</t>
        </is>
      </c>
      <c r="M1164" s="10" t="inlineStr">
        <is>
          <t>Healthcare Plan, Training, Others</t>
        </is>
      </c>
      <c r="N1164" s="11">
        <f>HYPERLINK("https://www.vietnamworks.com/tuyen-gap-chuyen-vien-quan-tri-rui-ro-upto-35-trieu-2010296-jv","Xem chi tiết")</f>
        <v/>
      </c>
      <c r="O1164" s="10" t="n"/>
    </row>
    <row r="1165">
      <c r="B1165" s="7" t="n">
        <v>1163</v>
      </c>
      <c r="C1165" t="inlineStr">
        <is>
          <t>Trưởng Bộ Phận Ép Nhựa Thưởng Upto 3 Tháng Lương (Đi Làm Sau Tết)</t>
        </is>
      </c>
      <c r="D1165" t="inlineStr">
        <is>
          <t>Công Ty TNHH Anthony Innovations Việt Nam</t>
        </is>
      </c>
      <c r="E1165" t="inlineStr">
        <is>
          <t>19tr-24tr ₫/tháng</t>
        </is>
      </c>
      <c r="F1165" t="inlineStr">
        <is>
          <t>Hưng Yên</t>
        </is>
      </c>
      <c r="G1165" t="inlineStr">
        <is>
          <t>Trưởng phòng</t>
        </is>
      </c>
      <c r="H1165" t="inlineStr">
        <is>
          <t>06/02/2026</t>
        </is>
      </c>
      <c r="I1165" t="inlineStr">
        <is>
          <t>23/03/2026</t>
        </is>
      </c>
      <c r="J1165" t="inlineStr">
        <is>
          <t>17/03/2026</t>
        </is>
      </c>
      <c r="K1165" t="inlineStr">
        <is>
          <t>N/A</t>
        </is>
      </c>
      <c r="L1165" t="inlineStr">
        <is>
          <t>Ép Nhựa, Dây Chuyền Sản Xuất, Máy Ép Phun, MS Office, Quản Lý</t>
        </is>
      </c>
      <c r="M1165" t="inlineStr">
        <is>
          <t>Bonus, Healthcare Plan, Travel Opportunities, Others</t>
        </is>
      </c>
      <c r="N1165" s="8">
        <f>HYPERLINK("https://www.vietnamworks.com/truong-bo-phan-ep-nhua-thuong-upto-3-thang-luong-dji-lam-sau-tet-2010298-jv","Xem chi tiết")</f>
        <v/>
      </c>
    </row>
    <row r="1166">
      <c r="B1166" s="9" t="n">
        <v>1164</v>
      </c>
      <c r="C1166" s="10" t="inlineStr">
        <is>
          <t>Commercial Engineer</t>
        </is>
      </c>
      <c r="D1166" s="10" t="inlineStr">
        <is>
          <t>Tung Feng Construction Engineering Vietnam Co,. Ltd</t>
        </is>
      </c>
      <c r="E1166" s="10" t="inlineStr">
        <is>
          <t>Thương lượng</t>
        </is>
      </c>
      <c r="F1166" s="10" t="inlineStr">
        <is>
          <t>Hồ Chí Minh</t>
        </is>
      </c>
      <c r="G1166" s="10" t="inlineStr">
        <is>
          <t>Nhân viên</t>
        </is>
      </c>
      <c r="H1166" s="10" t="inlineStr">
        <is>
          <t>06/02/2026</t>
        </is>
      </c>
      <c r="I1166" s="10" t="inlineStr">
        <is>
          <t>23/03/2026</t>
        </is>
      </c>
      <c r="J1166" s="10" t="inlineStr">
        <is>
          <t>17/03/2026</t>
        </is>
      </c>
      <c r="K1166" s="10" t="inlineStr">
        <is>
          <t>N/A</t>
        </is>
      </c>
      <c r="L1166" s="10" t="inlineStr">
        <is>
          <t>Quantity Surveyor, Cost Estimation, Cost Engineering, Kỹ sư dự toán, QS engineer</t>
        </is>
      </c>
      <c r="M1166" s="10" t="inlineStr">
        <is>
          <t>Bonus</t>
        </is>
      </c>
      <c r="N1166" s="11">
        <f>HYPERLINK("https://www.vietnamworks.com/commercial-engineer-2010283-jv","Xem chi tiết")</f>
        <v/>
      </c>
      <c r="O1166" s="10" t="n"/>
    </row>
    <row r="1167">
      <c r="B1167" s="7" t="n">
        <v>1165</v>
      </c>
      <c r="C1167" t="inlineStr">
        <is>
          <t>Nhân Viên Thiết Kế (Graphic Designer)</t>
        </is>
      </c>
      <c r="D1167" t="inlineStr">
        <is>
          <t>Công Ty TNHH Trung Sơn Alpha (Hệ Thống Nhà Thuốc Trung Sơn)</t>
        </is>
      </c>
      <c r="E1167" t="inlineStr">
        <is>
          <t>Thương lượng</t>
        </is>
      </c>
      <c r="F1167" t="inlineStr">
        <is>
          <t>Cần Thơ, Hồ Chí Minh</t>
        </is>
      </c>
      <c r="G1167" t="inlineStr">
        <is>
          <t>Nhân viên</t>
        </is>
      </c>
      <c r="H1167" t="inlineStr">
        <is>
          <t>06/02/2026</t>
        </is>
      </c>
      <c r="I1167" t="inlineStr">
        <is>
          <t>23/03/2026</t>
        </is>
      </c>
      <c r="J1167" t="inlineStr">
        <is>
          <t>17/03/2026</t>
        </is>
      </c>
      <c r="K1167" t="inlineStr">
        <is>
          <t>N/A</t>
        </is>
      </c>
      <c r="L1167" t="inlineStr">
        <is>
          <t>Photoshop, Quay Dựng Video, Sáng Tạo Nội Dung, Thiết Kế Đồ Họa, Truyền Thông</t>
        </is>
      </c>
      <c r="M1167" t="inlineStr">
        <is>
          <t>Bonus, Healthcare Plan, Training, Team Activities</t>
        </is>
      </c>
      <c r="N1167" s="8">
        <f>HYPERLINK("https://www.vietnamworks.com/nhan-vien-thiet-ke-graphic-designer-2010297-jv","Xem chi tiết")</f>
        <v/>
      </c>
    </row>
    <row r="1168">
      <c r="B1168" s="9" t="n">
        <v>1166</v>
      </c>
      <c r="C1168" s="10" t="inlineStr">
        <is>
          <t>Deputy Chief Accountant/ Phó Phòng Kế Toán</t>
        </is>
      </c>
      <c r="D1168" s="10" t="inlineStr">
        <is>
          <t>CÔNG TY TNHH Q P (VIỆT NAM)</t>
        </is>
      </c>
      <c r="E1168" s="10" t="inlineStr">
        <is>
          <t>Thương lượng</t>
        </is>
      </c>
      <c r="F1168" s="10" t="inlineStr">
        <is>
          <t>Hà Nam</t>
        </is>
      </c>
      <c r="G1168" s="10" t="inlineStr">
        <is>
          <t>Trưởng phòng</t>
        </is>
      </c>
      <c r="H1168" s="10" t="inlineStr">
        <is>
          <t>06/02/2026</t>
        </is>
      </c>
      <c r="I1168" s="10" t="inlineStr">
        <is>
          <t>23/03/2026</t>
        </is>
      </c>
      <c r="J1168" s="10" t="inlineStr">
        <is>
          <t>17/03/2026</t>
        </is>
      </c>
      <c r="K1168" s="10" t="inlineStr">
        <is>
          <t>N/A</t>
        </is>
      </c>
      <c r="L1168" s="10" t="inlineStr">
        <is>
          <t>Accounts Payable, Financial Vouchers Review, Tax Compliance, Analytical Skills, Financial Reporting</t>
        </is>
      </c>
      <c r="M1168" s="10" t="inlineStr">
        <is>
          <t>Bonus</t>
        </is>
      </c>
      <c r="N1168" s="11">
        <f>HYPERLINK("https://www.vietnamworks.com/deputy-chief-accountant-pho-phong-ke-toan-2010288-jv","Xem chi tiết")</f>
        <v/>
      </c>
      <c r="O1168" s="10" t="n"/>
    </row>
    <row r="1169">
      <c r="B1169" s="7" t="n">
        <v>1167</v>
      </c>
      <c r="C1169" t="inlineStr">
        <is>
          <t>Nhân Viên Văn Phòng Thu Nhập Upto 20 Triệu</t>
        </is>
      </c>
      <c r="D1169" t="inlineStr">
        <is>
          <t>CÔNG TY TNHH PHÁT TRIỂN THƯƠNG MẠI HỢP LỰC</t>
        </is>
      </c>
      <c r="E1169" t="inlineStr">
        <is>
          <t>15tr-20tr ₫/tháng</t>
        </is>
      </c>
      <c r="F1169" t="inlineStr">
        <is>
          <t>Hải Phòng</t>
        </is>
      </c>
      <c r="G1169" t="inlineStr">
        <is>
          <t>Nhân viên</t>
        </is>
      </c>
      <c r="H1169" t="inlineStr">
        <is>
          <t>06/02/2026</t>
        </is>
      </c>
      <c r="I1169" t="inlineStr">
        <is>
          <t>23/03/2026</t>
        </is>
      </c>
      <c r="J1169" t="inlineStr">
        <is>
          <t>17/03/2026</t>
        </is>
      </c>
      <c r="K1169" t="inlineStr">
        <is>
          <t>N/A</t>
        </is>
      </c>
      <c r="L1169" t="inlineStr">
        <is>
          <t>Báo Giá, Làm Hồ Sơ Thầu, Thủ Tục Đặt Hàng, Tiếng Anh, Tin Học Văn Phòng</t>
        </is>
      </c>
      <c r="M1169" t="inlineStr">
        <is>
          <t>Bonus, Healthcare Plan, Training, Travel Opportunities</t>
        </is>
      </c>
      <c r="N1169" s="8">
        <f>HYPERLINK("https://www.vietnamworks.com/nhan-vien-van-phong-thu-nhap-upto-20-trieu-2010293-jv","Xem chi tiết")</f>
        <v/>
      </c>
    </row>
    <row r="1170">
      <c r="B1170" s="9" t="n">
        <v>1168</v>
      </c>
      <c r="C1170" s="10" t="inlineStr">
        <is>
          <t>Kỹ Sư Hiện Trường (Dự Án Thi Công Cọc Khoan Nhồi)</t>
        </is>
      </c>
      <c r="D1170" s="10" t="inlineStr">
        <is>
          <t>Công Ty Cổ Phần Cọc Và Xây Dựng FECON</t>
        </is>
      </c>
      <c r="E1170" s="10" t="inlineStr">
        <is>
          <t>Thương lượng</t>
        </is>
      </c>
      <c r="F1170" s="10" t="inlineStr">
        <is>
          <t>Hà Nội, Kiên Giang, Quảng Trị</t>
        </is>
      </c>
      <c r="G1170" s="10" t="inlineStr">
        <is>
          <t>Nhân viên</t>
        </is>
      </c>
      <c r="H1170" s="10" t="inlineStr">
        <is>
          <t>06/02/2026</t>
        </is>
      </c>
      <c r="I1170" s="10" t="inlineStr">
        <is>
          <t>23/03/2026</t>
        </is>
      </c>
      <c r="J1170" s="10" t="inlineStr">
        <is>
          <t>17/03/2026</t>
        </is>
      </c>
      <c r="K1170" s="10" t="inlineStr">
        <is>
          <t>N/A</t>
        </is>
      </c>
      <c r="L1170" s="10" t="inlineStr">
        <is>
          <t>Giám Sát Thi Công, Xây Dựng Dân Dụng, Cọc Khoan Nhồi, Giám Sát Hiện Trường, Cọc Nền Móng</t>
        </is>
      </c>
      <c r="M1170" s="10" t="inlineStr">
        <is>
          <t>Bonus, Healthcare Plan, Paid Leave</t>
        </is>
      </c>
      <c r="N1170" s="11">
        <f>HYPERLINK("https://www.vietnamworks.com/ky-su-hien-truong-du-an-thi-cong-coc-khoan-nhoi-2010295-jv","Xem chi tiết")</f>
        <v/>
      </c>
      <c r="O1170" s="10" t="n"/>
    </row>
    <row r="1171">
      <c r="B1171" s="7" t="n">
        <v>1169</v>
      </c>
      <c r="C1171" t="inlineStr">
        <is>
          <t>Digital Marketing Executive 1 Năm Kinh Nghiệm Trở Lên</t>
        </is>
      </c>
      <c r="D1171" t="inlineStr">
        <is>
          <t>Công ty Cổ phần Furicco Việt Nam</t>
        </is>
      </c>
      <c r="E1171" t="inlineStr">
        <is>
          <t>15tr-20tr ₫/tháng</t>
        </is>
      </c>
      <c r="F1171" t="inlineStr">
        <is>
          <t>Hà Nội</t>
        </is>
      </c>
      <c r="G1171" t="inlineStr">
        <is>
          <t>Nhân viên</t>
        </is>
      </c>
      <c r="H1171" t="inlineStr">
        <is>
          <t>06/02/2026</t>
        </is>
      </c>
      <c r="I1171" t="inlineStr">
        <is>
          <t>23/03/2026</t>
        </is>
      </c>
      <c r="J1171" t="inlineStr">
        <is>
          <t>17/03/2026</t>
        </is>
      </c>
      <c r="K1171" t="inlineStr">
        <is>
          <t>N/A</t>
        </is>
      </c>
      <c r="L1171" t="inlineStr">
        <is>
          <t>Digital Marketing, Facebook Ads, Tiktok Ads, Data Analysis, Online Marketing</t>
        </is>
      </c>
      <c r="M1171" t="inlineStr">
        <is>
          <t>Bonus, Healthcare Plan, Awards, Travel Opportunities, Others</t>
        </is>
      </c>
      <c r="N1171" s="8">
        <f>HYPERLINK("https://www.vietnamworks.com/digital-marketing-executive-1-nam-kinh-nghiem-tro-len-2010290-jv","Xem chi tiết")</f>
        <v/>
      </c>
    </row>
    <row r="1172">
      <c r="B1172" s="9" t="n">
        <v>1170</v>
      </c>
      <c r="C1172" s="10" t="inlineStr">
        <is>
          <t>Chuyên Viên Booking Livestream (Welcome Fresher)</t>
        </is>
      </c>
      <c r="D1172" s="10" t="inlineStr">
        <is>
          <t>CÔNG TY TNHH TENFLYER</t>
        </is>
      </c>
      <c r="E1172" s="10" t="inlineStr">
        <is>
          <t>10tr-15tr ₫/tháng</t>
        </is>
      </c>
      <c r="F1172" s="10" t="inlineStr">
        <is>
          <t>Hồ Chí Minh</t>
        </is>
      </c>
      <c r="G1172" s="10" t="inlineStr">
        <is>
          <t>Nhân viên</t>
        </is>
      </c>
      <c r="H1172" s="10" t="inlineStr">
        <is>
          <t>06/02/2026</t>
        </is>
      </c>
      <c r="I1172" s="10" t="inlineStr">
        <is>
          <t>23/03/2026</t>
        </is>
      </c>
      <c r="J1172" s="10" t="inlineStr">
        <is>
          <t>17/03/2026</t>
        </is>
      </c>
      <c r="K1172" s="10" t="inlineStr">
        <is>
          <t>N/A</t>
        </is>
      </c>
      <c r="L1172" s="10" t="inlineStr">
        <is>
          <t>Influencer Marketing, Marketing, Quản lý KOC, English or Chinese</t>
        </is>
      </c>
      <c r="M1172" s="10" t="inlineStr">
        <is>
          <t>Bonus, Training, Awards, Team Activities</t>
        </is>
      </c>
      <c r="N1172" s="11">
        <f>HYPERLINK("https://www.vietnamworks.com/chuyen-vien-booking-livestream-welcome-fresher-2010285-jv","Xem chi tiết")</f>
        <v/>
      </c>
      <c r="O1172" s="10" t="n"/>
    </row>
    <row r="1173">
      <c r="B1173" s="7" t="n">
        <v>1171</v>
      </c>
      <c r="C1173" t="inlineStr">
        <is>
          <t>In-House Legal Counsel</t>
        </is>
      </c>
      <c r="D1173" t="inlineStr">
        <is>
          <t>IC ICTAS - THẦU CHÍNH NN GÓI THẦU 5.10 TCXD VÀ LĐTBCT NHÀ GA HÀNH KHÁCH DA CẢNG HK QT LONG THÀNH GĐ1</t>
        </is>
      </c>
      <c r="E1173" t="inlineStr">
        <is>
          <t>Thương lượng</t>
        </is>
      </c>
      <c r="F1173" t="inlineStr">
        <is>
          <t>Hồ Chí Minh</t>
        </is>
      </c>
      <c r="G1173" t="inlineStr">
        <is>
          <t>Nhân viên</t>
        </is>
      </c>
      <c r="H1173" t="inlineStr">
        <is>
          <t>06/02/2026</t>
        </is>
      </c>
      <c r="I1173" t="inlineStr">
        <is>
          <t>23/03/2026</t>
        </is>
      </c>
      <c r="J1173" t="inlineStr">
        <is>
          <t>17/03/2026</t>
        </is>
      </c>
      <c r="K1173" t="inlineStr">
        <is>
          <t>N/A</t>
        </is>
      </c>
      <c r="L1173" t="inlineStr">
        <is>
          <t>Contract Drafting, Negotiation, Legal Research, Stakeholder Management, Communication</t>
        </is>
      </c>
      <c r="M1173" t="inlineStr">
        <is>
          <t>Bonus, Healthcare Plan, Paid Leave, Others</t>
        </is>
      </c>
      <c r="N1173" s="8">
        <f>HYPERLINK("https://www.vietnamworks.com/in-house-legal-counsel-2010284-jv","Xem chi tiết")</f>
        <v/>
      </c>
    </row>
    <row r="1174">
      <c r="B1174" s="9" t="n">
        <v>1172</v>
      </c>
      <c r="C1174" s="10" t="inlineStr">
        <is>
          <t>Chăm Sóc Khách Hàng Tiếng Trung</t>
        </is>
      </c>
      <c r="D1174" s="10" t="inlineStr">
        <is>
          <t>CÔNG TY TNHH TENFLYER</t>
        </is>
      </c>
      <c r="E1174" s="10" t="inlineStr">
        <is>
          <t>9tr-12tr ₫/tháng</t>
        </is>
      </c>
      <c r="F1174" s="10" t="inlineStr">
        <is>
          <t>Hồ Chí Minh</t>
        </is>
      </c>
      <c r="G1174" s="10" t="inlineStr">
        <is>
          <t>Nhân viên</t>
        </is>
      </c>
      <c r="H1174" s="10" t="inlineStr">
        <is>
          <t>06/02/2026</t>
        </is>
      </c>
      <c r="I1174" s="10" t="inlineStr">
        <is>
          <t>23/03/2026</t>
        </is>
      </c>
      <c r="J1174" s="10" t="inlineStr">
        <is>
          <t>17/03/2026</t>
        </is>
      </c>
      <c r="K1174" s="10" t="inlineStr">
        <is>
          <t>N/A</t>
        </is>
      </c>
      <c r="L1174" s="10" t="inlineStr">
        <is>
          <t>Chăm Sóc Khách Hàng, Customer Care, Customer Support, Tiếng Trung Hsk4+, Hiểu Biết Mỹ Phẩm</t>
        </is>
      </c>
      <c r="M1174" s="10" t="inlineStr">
        <is>
          <t>Bonus, Training, Team Activities, Others</t>
        </is>
      </c>
      <c r="N1174" s="11">
        <f>HYPERLINK("https://www.vietnamworks.com/cham-soc-khach-hang-tieng-trung-2010287-jv","Xem chi tiết")</f>
        <v/>
      </c>
      <c r="O1174" s="10" t="n"/>
    </row>
    <row r="1175">
      <c r="B1175" s="7" t="n">
        <v>1173</v>
      </c>
      <c r="C1175" t="inlineStr">
        <is>
          <t>Quản Lý Du Học</t>
        </is>
      </c>
      <c r="D1175" t="inlineStr">
        <is>
          <t>Bf Education</t>
        </is>
      </c>
      <c r="E1175" t="inlineStr">
        <is>
          <t>Thương lượng</t>
        </is>
      </c>
      <c r="F1175" t="inlineStr">
        <is>
          <t>Hồ Chí Minh</t>
        </is>
      </c>
      <c r="G1175" t="inlineStr">
        <is>
          <t>Trưởng phòng</t>
        </is>
      </c>
      <c r="H1175" t="inlineStr">
        <is>
          <t>06/02/2026</t>
        </is>
      </c>
      <c r="I1175" t="inlineStr">
        <is>
          <t>23/03/2026</t>
        </is>
      </c>
      <c r="J1175" t="inlineStr">
        <is>
          <t>17/03/2026</t>
        </is>
      </c>
      <c r="K1175" t="inlineStr">
        <is>
          <t>N/A</t>
        </is>
      </c>
      <c r="L1175" t="inlineStr">
        <is>
          <t>Quản Lý Dự Án, Quản Trị Phần Mềm, Tiếng Anh, Giao Tiếp</t>
        </is>
      </c>
      <c r="M1175" t="inlineStr">
        <is>
          <t>Bonus, Healthcare Plan, Travel Opportunities, Team Activities, Canteen, Others</t>
        </is>
      </c>
      <c r="N1175" s="8">
        <f>HYPERLINK("https://www.vietnamworks.com/quan-ly-du-hoc-2010307-jv","Xem chi tiết")</f>
        <v/>
      </c>
    </row>
    <row r="1176">
      <c r="B1176" s="9" t="n">
        <v>1174</v>
      </c>
      <c r="C1176" s="10" t="inlineStr">
        <is>
          <t>Accountant Staff | Nhân Viên Kế Toán</t>
        </is>
      </c>
      <c r="D1176" s="10" t="inlineStr">
        <is>
          <t>Công Ty TNHH Alpha Plus</t>
        </is>
      </c>
      <c r="E1176" s="10" t="inlineStr">
        <is>
          <t>Thương lượng</t>
        </is>
      </c>
      <c r="F1176" s="10" t="inlineStr">
        <is>
          <t>Hồ Chí Minh</t>
        </is>
      </c>
      <c r="G1176" s="10" t="inlineStr">
        <is>
          <t>Nhân viên</t>
        </is>
      </c>
      <c r="H1176" s="10" t="inlineStr">
        <is>
          <t>06/02/2026</t>
        </is>
      </c>
      <c r="I1176" s="10" t="inlineStr">
        <is>
          <t>23/03/2026</t>
        </is>
      </c>
      <c r="J1176" s="10" t="inlineStr">
        <is>
          <t>17/03/2026</t>
        </is>
      </c>
      <c r="K1176" s="10" t="inlineStr">
        <is>
          <t>N/A</t>
        </is>
      </c>
      <c r="L1176" s="10" t="inlineStr">
        <is>
          <t>Kế Toán Doanh Thu, Kế Toán Tổng Hợp, Kế Toán Thanh Toán, Kế Toán Nội Bộ, Kế Toán Công Nợ</t>
        </is>
      </c>
      <c r="M1176" s="10" t="inlineStr">
        <is>
          <t>Bonus, Team Activities, Others</t>
        </is>
      </c>
      <c r="N1176" s="11">
        <f>HYPERLINK("https://www.vietnamworks.com/accountant-staff-nhan-vien-ke-toan--2010313-jv","Xem chi tiết")</f>
        <v/>
      </c>
      <c r="O1176" s="10" t="n"/>
    </row>
    <row r="1177">
      <c r="B1177" s="7" t="n">
        <v>1175</v>
      </c>
      <c r="C1177" t="inlineStr">
        <is>
          <t>Deposit Remittance Operations Staff</t>
        </is>
      </c>
      <c r="D1177" t="inlineStr">
        <is>
          <t>Cathay United Bank</t>
        </is>
      </c>
      <c r="E1177" t="inlineStr">
        <is>
          <t>Thương lượng</t>
        </is>
      </c>
      <c r="F1177" t="inlineStr">
        <is>
          <t>Hồ Chí Minh</t>
        </is>
      </c>
      <c r="G1177" t="inlineStr">
        <is>
          <t>Mới Tốt Nghiệp</t>
        </is>
      </c>
      <c r="H1177" t="inlineStr">
        <is>
          <t>06/02/2026</t>
        </is>
      </c>
      <c r="I1177" t="inlineStr">
        <is>
          <t>23/03/2026</t>
        </is>
      </c>
      <c r="J1177" t="inlineStr">
        <is>
          <t>17/03/2026</t>
        </is>
      </c>
      <c r="K1177" t="inlineStr">
        <is>
          <t>N/A</t>
        </is>
      </c>
      <c r="L1177" t="inlineStr">
        <is>
          <t>Regulatory Compliance, Deposit Operations, Foreign Exchange Management, Accounting, Mandarin</t>
        </is>
      </c>
      <c r="M1177" t="inlineStr">
        <is>
          <t>Bonus, Healthcare Plan, Training</t>
        </is>
      </c>
      <c r="N1177" s="8">
        <f>HYPERLINK("https://www.vietnamworks.com/deposit-remittance-operations-staff-2010314-jv","Xem chi tiết")</f>
        <v/>
      </c>
    </row>
    <row r="1178">
      <c r="B1178" s="9" t="n">
        <v>1176</v>
      </c>
      <c r="C1178" s="10" t="inlineStr">
        <is>
          <t>Consumer Banking Digital Marketing Staff</t>
        </is>
      </c>
      <c r="D1178" s="10" t="inlineStr">
        <is>
          <t>Cathay United Bank</t>
        </is>
      </c>
      <c r="E1178" s="10" t="inlineStr">
        <is>
          <t>Thương lượng</t>
        </is>
      </c>
      <c r="F1178" s="10" t="inlineStr">
        <is>
          <t>Hồ Chí Minh</t>
        </is>
      </c>
      <c r="G1178" s="10" t="inlineStr">
        <is>
          <t>Nhân viên</t>
        </is>
      </c>
      <c r="H1178" s="10" t="inlineStr">
        <is>
          <t>06/02/2026</t>
        </is>
      </c>
      <c r="I1178" s="10" t="inlineStr">
        <is>
          <t>23/03/2026</t>
        </is>
      </c>
      <c r="J1178" s="10" t="inlineStr">
        <is>
          <t>17/03/2026</t>
        </is>
      </c>
      <c r="K1178" s="10" t="inlineStr">
        <is>
          <t>N/A</t>
        </is>
      </c>
      <c r="L1178" s="10" t="inlineStr">
        <is>
          <t>Digital Advertising, Google Analytics, SEO, SEM, Communication Skills</t>
        </is>
      </c>
      <c r="M1178" s="10" t="inlineStr">
        <is>
          <t>Bonus, Healthcare Plan, Training</t>
        </is>
      </c>
      <c r="N1178" s="11">
        <f>HYPERLINK("https://www.vietnamworks.com/consumer-banking-digital-marketing-staff-2010312-jv","Xem chi tiết")</f>
        <v/>
      </c>
      <c r="O1178" s="10" t="n"/>
    </row>
    <row r="1179">
      <c r="B1179" s="7" t="n">
        <v>1177</v>
      </c>
      <c r="C1179" t="inlineStr">
        <is>
          <t>Nhân Viên Kinh Doanh/ Nhân Viên Tư Vấn Khoá Học (Phỏng Vấn Ngay - Nhận Việc Sau Tết) - Thu Nhập 10 - 30 Triệu</t>
        </is>
      </c>
      <c r="D1179" t="inlineStr">
        <is>
          <t>Công Ty Cổ Phần Giáo Dục Bảo An</t>
        </is>
      </c>
      <c r="E1179" t="inlineStr">
        <is>
          <t>Thương lượng</t>
        </is>
      </c>
      <c r="F1179" t="inlineStr">
        <is>
          <t>Hồ Chí Minh, Hà Nội</t>
        </is>
      </c>
      <c r="G1179" t="inlineStr">
        <is>
          <t>Nhân viên</t>
        </is>
      </c>
      <c r="H1179" t="inlineStr">
        <is>
          <t>06/02/2026</t>
        </is>
      </c>
      <c r="I1179" t="inlineStr">
        <is>
          <t>23/03/2026</t>
        </is>
      </c>
      <c r="J1179" t="inlineStr">
        <is>
          <t>17/03/2026</t>
        </is>
      </c>
      <c r="K1179" t="inlineStr">
        <is>
          <t>N/A</t>
        </is>
      </c>
      <c r="L1179" t="inlineStr">
        <is>
          <t>Tư Vấn, Giáo Dục, Tuyển Sinh, Thuyết Phục Đàm Phán, Tư Vấn Tuyển Sinh</t>
        </is>
      </c>
      <c r="M1179" t="inlineStr">
        <is>
          <t>Bonus, Healthcare Plan, Laptop</t>
        </is>
      </c>
      <c r="N1179" s="8">
        <f>HYPERLINK("https://www.vietnamworks.com/nhan-vien-kinh-doanh-nhan-vien-tu-van-khoa-hoc-phong-van-ngay-nhan-viec-sau-tet-thu-nhap-10-30-trieu-2010321-jv","Xem chi tiết")</f>
        <v/>
      </c>
    </row>
    <row r="1180">
      <c r="B1180" s="9" t="n">
        <v>1178</v>
      </c>
      <c r="C1180" s="10" t="inlineStr">
        <is>
          <t>Nhân Viên Kinh Doanh (Lương Cứng 8 - 15Tr - Upto 50Tr)</t>
        </is>
      </c>
      <c r="D1180" s="10" t="inlineStr">
        <is>
          <t>CÔNG TY TNHH DỊCH VỤ KỸ THUẬT VÀ GIẢI PHÁP CƠ KHÍ   CTWELD</t>
        </is>
      </c>
      <c r="E1180" s="10" t="inlineStr">
        <is>
          <t>8tr-15tr ₫/tháng</t>
        </is>
      </c>
      <c r="F1180" s="10" t="inlineStr">
        <is>
          <t>Hà Nội, Thái Nguyên, Hưng Yên</t>
        </is>
      </c>
      <c r="G1180" s="10" t="inlineStr">
        <is>
          <t>Nhân viên</t>
        </is>
      </c>
      <c r="H1180" s="10" t="inlineStr">
        <is>
          <t>06/02/2026</t>
        </is>
      </c>
      <c r="I1180" s="10" t="inlineStr">
        <is>
          <t>23/03/2026</t>
        </is>
      </c>
      <c r="J1180" s="10" t="inlineStr">
        <is>
          <t>17/03/2026</t>
        </is>
      </c>
      <c r="K1180" s="10" t="inlineStr">
        <is>
          <t>N/A</t>
        </is>
      </c>
      <c r="L1180" s="10" t="inlineStr">
        <is>
          <t>Kinh Doanh, Kỹ Thuật, Máy Móc Công Nghệ, Tự Động Hóa, Kinh Doanh Dự Án</t>
        </is>
      </c>
      <c r="M1180" s="10" t="inlineStr">
        <is>
          <t>Training, Others</t>
        </is>
      </c>
      <c r="N1180" s="11">
        <f>HYPERLINK("https://www.vietnamworks.com/nhan-vien-kinh-doanh-luong-cung-8-15tr-upto-50tr-2010324-jv","Xem chi tiết")</f>
        <v/>
      </c>
      <c r="O1180" s="10" t="n"/>
    </row>
    <row r="1181">
      <c r="B1181" s="7" t="n">
        <v>1179</v>
      </c>
      <c r="C1181" t="inlineStr">
        <is>
          <t>Senior Structural Slab Design (3 Positions)</t>
        </is>
      </c>
      <c r="D1181" t="inlineStr">
        <is>
          <t>Rincovitch</t>
        </is>
      </c>
      <c r="E1181" t="inlineStr">
        <is>
          <t>$$ 1,000-2,000 /tháng</t>
        </is>
      </c>
      <c r="F1181" t="inlineStr">
        <is>
          <t>Hồ Chí Minh</t>
        </is>
      </c>
      <c r="G1181" t="inlineStr">
        <is>
          <t>Trưởng phòng</t>
        </is>
      </c>
      <c r="H1181" t="inlineStr">
        <is>
          <t>06/02/2026</t>
        </is>
      </c>
      <c r="I1181" t="inlineStr">
        <is>
          <t>23/03/2026</t>
        </is>
      </c>
      <c r="J1181" t="inlineStr">
        <is>
          <t>17/03/2026</t>
        </is>
      </c>
      <c r="K1181" t="inlineStr">
        <is>
          <t>N/A</t>
        </is>
      </c>
      <c r="L1181" t="inlineStr">
        <is>
          <t>English, Structural Engineering, RAM Concept, Management</t>
        </is>
      </c>
      <c r="M1181" t="inlineStr">
        <is>
          <t>Bonus, Healthcare Plan, Others</t>
        </is>
      </c>
      <c r="N1181" s="8">
        <f>HYPERLINK("https://www.vietnamworks.com/senior-structural-slab-design-3-positions-2010315-jv","Xem chi tiết")</f>
        <v/>
      </c>
    </row>
    <row r="1182">
      <c r="B1182" s="9" t="n">
        <v>1180</v>
      </c>
      <c r="C1182" s="10" t="inlineStr">
        <is>
          <t>Nhân Viên Kinh Doanh</t>
        </is>
      </c>
      <c r="D1182" s="10" t="inlineStr">
        <is>
          <t>Aj Rental Ltd., Co</t>
        </is>
      </c>
      <c r="E1182" s="10" t="inlineStr">
        <is>
          <t>15tr-25tr ₫/tháng</t>
        </is>
      </c>
      <c r="F1182" s="10" t="inlineStr">
        <is>
          <t>Hà Nội</t>
        </is>
      </c>
      <c r="G1182" s="10" t="inlineStr">
        <is>
          <t>Nhân viên</t>
        </is>
      </c>
      <c r="H1182" s="10" t="inlineStr">
        <is>
          <t>06/02/2026</t>
        </is>
      </c>
      <c r="I1182" s="10" t="inlineStr">
        <is>
          <t>23/03/2026</t>
        </is>
      </c>
      <c r="J1182" s="10" t="inlineStr">
        <is>
          <t>17/03/2026</t>
        </is>
      </c>
      <c r="K1182" s="10" t="inlineStr">
        <is>
          <t>N/A</t>
        </is>
      </c>
      <c r="L1182" s="10" t="inlineStr">
        <is>
          <t>Kinh Doanh Thiết Bị Y Tế, Tư Vấn Khách Hàng, Kinh nghiệm làm việc, Công Ty Hàn Quốc, Giao Tiếp</t>
        </is>
      </c>
      <c r="M1182" s="10" t="inlineStr">
        <is>
          <t>Bonus, Healthcare Plan, Paid Leave, Others</t>
        </is>
      </c>
      <c r="N1182" s="11">
        <f>HYPERLINK("https://www.vietnamworks.com/nhan-vien-kinh-doanh--2010331-jv","Xem chi tiết")</f>
        <v/>
      </c>
      <c r="O1182" s="10" t="n"/>
    </row>
    <row r="1183">
      <c r="B1183" s="7" t="n">
        <v>1181</v>
      </c>
      <c r="C1183" t="inlineStr">
        <is>
          <t>Kỹ Thuật Viên Bảo Trì Hệ Thống Bess (Lương Từ 15 - 20 Triệu/tháng)</t>
        </is>
      </c>
      <c r="D1183" t="inlineStr">
        <is>
          <t>CÔNG TY CỔ PHẦN CÔNG NGHIỆP GG</t>
        </is>
      </c>
      <c r="E1183" t="inlineStr">
        <is>
          <t>15tr-20tr ₫/tháng</t>
        </is>
      </c>
      <c r="F1183" t="inlineStr">
        <is>
          <t>Hưng Yên</t>
        </is>
      </c>
      <c r="G1183" t="inlineStr">
        <is>
          <t>Nhân viên</t>
        </is>
      </c>
      <c r="H1183" t="inlineStr">
        <is>
          <t>06/02/2026</t>
        </is>
      </c>
      <c r="I1183" t="inlineStr">
        <is>
          <t>23/03/2026</t>
        </is>
      </c>
      <c r="J1183" t="inlineStr">
        <is>
          <t>17/03/2026</t>
        </is>
      </c>
      <c r="K1183" t="inlineStr">
        <is>
          <t>N/A</t>
        </is>
      </c>
      <c r="L1183" t="inlineStr">
        <is>
          <t>Bảo Trì Hệ Thống Điện, Phân Tích Báo Giá, Sử Dụng Thiết Bị Đo Kiểm, Đọc Bản Vẽ Cơ Điện, Kiến Thức Về Bess</t>
        </is>
      </c>
      <c r="M1183" t="inlineStr">
        <is>
          <t>Paid Leave, Laptop, Transportation</t>
        </is>
      </c>
      <c r="N1183" s="8">
        <f>HYPERLINK("https://www.vietnamworks.com/ky-thuat-vien-bao-tri-he-thong-bess-luong-tu-15-20-trieu-thang-2010316-jv","Xem chi tiết")</f>
        <v/>
      </c>
    </row>
    <row r="1184">
      <c r="B1184" s="9" t="n">
        <v>1182</v>
      </c>
      <c r="C1184" s="10" t="inlineStr">
        <is>
          <t>Giám Sát Bán Hàng (Sales Supervisor) Tại Quảng Ngãi, Quảng Nam, Đà Nẵng</t>
        </is>
      </c>
      <c r="D1184" s="10" t="inlineStr">
        <is>
          <t>Công Ty Cổ Phần Thương Mại Bia Sài Gòn Miền Trung</t>
        </is>
      </c>
      <c r="E1184" s="10" t="inlineStr">
        <is>
          <t>Thương lượng</t>
        </is>
      </c>
      <c r="F1184" s="10" t="inlineStr">
        <is>
          <t>Quảng Ngãi, Đà Nẵng</t>
        </is>
      </c>
      <c r="G1184" s="10" t="inlineStr">
        <is>
          <t>Nhân viên</t>
        </is>
      </c>
      <c r="H1184" s="10" t="inlineStr">
        <is>
          <t>06/02/2026</t>
        </is>
      </c>
      <c r="I1184" s="10" t="inlineStr">
        <is>
          <t>23/03/2026</t>
        </is>
      </c>
      <c r="J1184" s="10" t="inlineStr">
        <is>
          <t>17/03/2026</t>
        </is>
      </c>
      <c r="K1184" s="10" t="inlineStr">
        <is>
          <t>N/A</t>
        </is>
      </c>
      <c r="L1184" s="10" t="inlineStr">
        <is>
          <t>Ngành Thực Phẩm và Đồ Uống, Kinh Doanh, Giám Sát Bán Hàng, Quản Lý Nhà Phân Phối, Quản Lý Nhân Viên</t>
        </is>
      </c>
      <c r="M1184" s="10" t="inlineStr">
        <is>
          <t>Bonus, Healthcare Plan, Training</t>
        </is>
      </c>
      <c r="N1184" s="11">
        <f>HYPERLINK("https://www.vietnamworks.com/giam-sat-ban-hang-sales-supervisor-tai-quang-ngai-quang-nam-da-nang-2010317-jv","Xem chi tiết")</f>
        <v/>
      </c>
      <c r="O1184" s="10" t="n"/>
    </row>
    <row r="1185">
      <c r="B1185" s="7" t="n">
        <v>1183</v>
      </c>
      <c r="C1185" t="inlineStr">
        <is>
          <t>Giám Đốc Phòng Kinh Doanh</t>
        </is>
      </c>
      <c r="D1185" t="inlineStr">
        <is>
          <t>Ngân Hàng TMCP Quốc Tế Việt Nam (VIB)</t>
        </is>
      </c>
      <c r="E1185" t="inlineStr">
        <is>
          <t>Thương lượng</t>
        </is>
      </c>
      <c r="F1185" t="inlineStr">
        <is>
          <t>Bà Rịa - Vũng Tàu, Khánh Hòa, Bình Định</t>
        </is>
      </c>
      <c r="G1185" t="inlineStr">
        <is>
          <t>Trưởng phòng</t>
        </is>
      </c>
      <c r="H1185" t="inlineStr">
        <is>
          <t>06/02/2026</t>
        </is>
      </c>
      <c r="I1185" t="inlineStr">
        <is>
          <t>23/03/2026</t>
        </is>
      </c>
      <c r="J1185" t="inlineStr">
        <is>
          <t>17/03/2026</t>
        </is>
      </c>
      <c r="K1185" t="inlineStr">
        <is>
          <t>N/A</t>
        </is>
      </c>
      <c r="L1185" t="inlineStr">
        <is>
          <t>Quản Lý Đội Ngũ Kinh Doanh, Tuyển Dụng Nhân Sự, Kinh Doanh, ngân hàng, Quản Lý Bán Hàng</t>
        </is>
      </c>
      <c r="M1185" t="inlineStr">
        <is>
          <t>Others</t>
        </is>
      </c>
      <c r="N1185" s="8">
        <f>HYPERLINK("https://www.vietnamworks.com/giam-djoc-phong-kinh-doanh-2010323-jv","Xem chi tiết")</f>
        <v/>
      </c>
    </row>
    <row r="1186">
      <c r="B1186" s="9" t="n">
        <v>1184</v>
      </c>
      <c r="C1186" s="10" t="inlineStr">
        <is>
          <t>Cán Bộ Giám Sát Kỹ Thuật (Xây Dựng, Hạ Tầng, M&amp;E)</t>
        </is>
      </c>
      <c r="D1186" s="10" t="inlineStr">
        <is>
          <t>Công Ty Cổ Phần Vinhomes</t>
        </is>
      </c>
      <c r="E1186" s="10" t="inlineStr">
        <is>
          <t>Thương lượng</t>
        </is>
      </c>
      <c r="F1186" s="10" t="inlineStr">
        <is>
          <t>Hà Nội, Tuyên Quang, Hải Phòng</t>
        </is>
      </c>
      <c r="G1186" s="10" t="inlineStr">
        <is>
          <t>Nhân viên</t>
        </is>
      </c>
      <c r="H1186" s="10" t="inlineStr">
        <is>
          <t>06/02/2026</t>
        </is>
      </c>
      <c r="I1186" s="10" t="inlineStr">
        <is>
          <t>23/03/2026</t>
        </is>
      </c>
      <c r="J1186" s="10" t="inlineStr">
        <is>
          <t>17/03/2026</t>
        </is>
      </c>
      <c r="K1186" s="10" t="inlineStr">
        <is>
          <t>N/A</t>
        </is>
      </c>
      <c r="L1186" s="10" t="inlineStr">
        <is>
          <t>Giám Sát Kỹ Thuật, Quản Lý Dự Án Công Trình Xây Dựng, Tư Vấn Giám Sát Xây Dựng</t>
        </is>
      </c>
      <c r="M1186" s="10" t="inlineStr">
        <is>
          <t>Bonus, Healthcare Plan, Paid Leave, Others</t>
        </is>
      </c>
      <c r="N1186" s="11">
        <f>HYPERLINK("https://www.vietnamworks.com/can-bo-giam-sat-ky-thuat-xay-dung-ha-tang-mande-2010319-jv","Xem chi tiết")</f>
        <v/>
      </c>
      <c r="O1186" s="10" t="n"/>
    </row>
    <row r="1187">
      <c r="B1187" s="7" t="n">
        <v>1185</v>
      </c>
      <c r="C1187" t="inlineStr">
        <is>
          <t>Graphic Designer (Có Kỹ Năng Video Editing)</t>
        </is>
      </c>
      <c r="D1187" t="inlineStr">
        <is>
          <t>Bf Education</t>
        </is>
      </c>
      <c r="E1187" t="inlineStr">
        <is>
          <t>Thương lượng</t>
        </is>
      </c>
      <c r="F1187" t="inlineStr">
        <is>
          <t>Hồ Chí Minh</t>
        </is>
      </c>
      <c r="G1187" t="inlineStr">
        <is>
          <t>Nhân viên</t>
        </is>
      </c>
      <c r="H1187" t="inlineStr">
        <is>
          <t>06/02/2026</t>
        </is>
      </c>
      <c r="I1187" t="inlineStr">
        <is>
          <t>23/03/2026</t>
        </is>
      </c>
      <c r="J1187" t="inlineStr">
        <is>
          <t>17/03/2026</t>
        </is>
      </c>
      <c r="K1187" t="inlineStr">
        <is>
          <t>N/A</t>
        </is>
      </c>
      <c r="L1187" t="inlineStr">
        <is>
          <t>Graphic Design, Video Editing, Adobe Photoshop, Adobe Illustrator, Creativity</t>
        </is>
      </c>
      <c r="M1187" t="inlineStr">
        <is>
          <t>Bonus, Travel Opportunities, Team Activities, Others</t>
        </is>
      </c>
      <c r="N1187" s="8">
        <f>HYPERLINK("https://www.vietnamworks.com/graphic-designer-co-ky-nang-video-editing-2010306-jv","Xem chi tiết")</f>
        <v/>
      </c>
    </row>
    <row r="1188">
      <c r="B1188" s="9" t="n">
        <v>1186</v>
      </c>
      <c r="C1188" s="10" t="inlineStr">
        <is>
          <t>Chuyên Viên Quản Lý Cổ Đông</t>
        </is>
      </c>
      <c r="D1188" s="10" t="inlineStr">
        <is>
          <t>Công Ty Cổ Phần Tập Đoàn Masterise</t>
        </is>
      </c>
      <c r="E1188" s="10" t="inlineStr">
        <is>
          <t>Thương lượng</t>
        </is>
      </c>
      <c r="F1188" s="10" t="inlineStr">
        <is>
          <t>Hà Nội</t>
        </is>
      </c>
      <c r="G1188" s="10" t="inlineStr">
        <is>
          <t>Nhân viên</t>
        </is>
      </c>
      <c r="H1188" s="10" t="inlineStr">
        <is>
          <t>06/02/2026</t>
        </is>
      </c>
      <c r="I1188" s="10" t="inlineStr">
        <is>
          <t>23/03/2026</t>
        </is>
      </c>
      <c r="J1188" s="10" t="inlineStr">
        <is>
          <t>17/03/2026</t>
        </is>
      </c>
      <c r="K1188" s="10" t="inlineStr">
        <is>
          <t>N/A</t>
        </is>
      </c>
      <c r="L1188" s="10" t="inlineStr">
        <is>
          <t>Pháp Chế Doanh Nghiệp, Hành Chính Pháp Lý</t>
        </is>
      </c>
      <c r="M1188" s="10" t="inlineStr">
        <is>
          <t>Bonus, Healthcare Plan, Laptop</t>
        </is>
      </c>
      <c r="N1188" s="11">
        <f>HYPERLINK("https://www.vietnamworks.com/chuyen-vien-quan-ly-co-dong-2010322-jv","Xem chi tiết")</f>
        <v/>
      </c>
      <c r="O1188" s="10" t="n"/>
    </row>
    <row r="1189">
      <c r="B1189" s="7" t="n">
        <v>1187</v>
      </c>
      <c r="C1189" t="inlineStr">
        <is>
          <t>[ Đi Làm Ngay] Chuyên Viên Kế Toán Tổng Hợp (Upto 30 Triệu)</t>
        </is>
      </c>
      <c r="D1189" t="inlineStr">
        <is>
          <t>Công ty Cổ phần Tập đoàn Xây dựng SCG</t>
        </is>
      </c>
      <c r="E1189" t="inlineStr">
        <is>
          <t>15tr-30tr ₫/tháng</t>
        </is>
      </c>
      <c r="F1189" t="inlineStr">
        <is>
          <t>Hà Nội</t>
        </is>
      </c>
      <c r="G1189" t="inlineStr">
        <is>
          <t>Nhân viên</t>
        </is>
      </c>
      <c r="H1189" t="inlineStr">
        <is>
          <t>06/02/2026</t>
        </is>
      </c>
      <c r="I1189" t="inlineStr">
        <is>
          <t>23/03/2026</t>
        </is>
      </c>
      <c r="J1189" t="inlineStr">
        <is>
          <t>17/03/2026</t>
        </is>
      </c>
      <c r="K1189" t="inlineStr">
        <is>
          <t>N/A</t>
        </is>
      </c>
      <c r="L1189" t="inlineStr">
        <is>
          <t>Lập Báo Cáo Tài Chính, Nghiệp Vụ Kế Toán, Phần mềm kế toán, Tin Học Văn Phòng, Xây Dựng</t>
        </is>
      </c>
      <c r="M1189" t="inlineStr">
        <is>
          <t>Bonus, Healthcare Plan, Paid Leave, Training, Canteen, Others</t>
        </is>
      </c>
      <c r="N1189" s="8">
        <f>HYPERLINK("https://www.vietnamworks.com/di-lam-ngay-chuyen-vien-ke-toan-tong-hop-upto-30-trieu-2010308-jv","Xem chi tiết")</f>
        <v/>
      </c>
    </row>
    <row r="1190">
      <c r="B1190" s="9" t="n">
        <v>1188</v>
      </c>
      <c r="C1190" s="10" t="inlineStr">
        <is>
          <t>Tuyển Gấp Sales Admin</t>
        </is>
      </c>
      <c r="D1190" s="10" t="inlineStr">
        <is>
          <t>Aj Rental Ltd., Co</t>
        </is>
      </c>
      <c r="E1190" s="10" t="inlineStr">
        <is>
          <t>12tr-15tr ₫/tháng</t>
        </is>
      </c>
      <c r="F1190" s="10" t="inlineStr">
        <is>
          <t>Hà Nội</t>
        </is>
      </c>
      <c r="G1190" s="10" t="inlineStr">
        <is>
          <t>Nhân viên</t>
        </is>
      </c>
      <c r="H1190" s="10" t="inlineStr">
        <is>
          <t>06/02/2026</t>
        </is>
      </c>
      <c r="I1190" s="10" t="inlineStr">
        <is>
          <t>23/03/2026</t>
        </is>
      </c>
      <c r="J1190" s="10" t="inlineStr">
        <is>
          <t>17/03/2026</t>
        </is>
      </c>
      <c r="K1190" s="10" t="inlineStr">
        <is>
          <t>N/A</t>
        </is>
      </c>
      <c r="L1190" s="10" t="inlineStr">
        <is>
          <t>Quản Lý Công Nợ, Thủ Tục Hải Quan, Sales Support, Soạn Thảo Hợp Đồng, Sales Admin</t>
        </is>
      </c>
      <c r="M1190" s="10" t="inlineStr">
        <is>
          <t>Bonus, Healthcare Plan, Paid Leave, Mobile, Canteen, Others</t>
        </is>
      </c>
      <c r="N1190" s="11">
        <f>HYPERLINK("https://www.vietnamworks.com/tuyen-gap-sales-admin-2010327-jv","Xem chi tiết")</f>
        <v/>
      </c>
      <c r="O1190" s="10" t="n"/>
    </row>
    <row r="1191">
      <c r="B1191" s="7" t="n">
        <v>1189</v>
      </c>
      <c r="C1191" t="inlineStr">
        <is>
          <t>Trưởng Phòng Nhân Sự</t>
        </is>
      </c>
      <c r="D1191" t="inlineStr">
        <is>
          <t>Công ty Cổ phần công nghệ An ninh mạng quốc gia Việt Nam</t>
        </is>
      </c>
      <c r="E1191" t="inlineStr">
        <is>
          <t>Thương lượng</t>
        </is>
      </c>
      <c r="F1191" t="inlineStr">
        <is>
          <t>Hà Nội</t>
        </is>
      </c>
      <c r="G1191" t="inlineStr">
        <is>
          <t>Trưởng phòng</t>
        </is>
      </c>
      <c r="H1191" t="inlineStr">
        <is>
          <t>06/02/2026</t>
        </is>
      </c>
      <c r="I1191" t="inlineStr">
        <is>
          <t>23/03/2026</t>
        </is>
      </c>
      <c r="J1191" t="inlineStr">
        <is>
          <t>17/03/2026</t>
        </is>
      </c>
      <c r="K1191" t="inlineStr">
        <is>
          <t>N/A</t>
        </is>
      </c>
      <c r="L1191" t="inlineStr">
        <is>
          <t>HR Manager, Talent Development, L&amp;D, C&amp;B, Organizational Culture</t>
        </is>
      </c>
      <c r="M1191" t="inlineStr">
        <is>
          <t>Bonus, Healthcare Plan, Training</t>
        </is>
      </c>
      <c r="N1191" s="8">
        <f>HYPERLINK("https://www.vietnamworks.com/truong-phong-nhan-su--2010299-jv","Xem chi tiết")</f>
        <v/>
      </c>
    </row>
    <row r="1192">
      <c r="B1192" s="9" t="n">
        <v>1190</v>
      </c>
      <c r="C1192" s="10" t="inlineStr">
        <is>
          <t>Service Marketing Manager</t>
        </is>
      </c>
      <c r="D1192" s="10" t="inlineStr">
        <is>
          <t>FORD VIETNAM LIMITED</t>
        </is>
      </c>
      <c r="E1192" s="10" t="inlineStr">
        <is>
          <t>Thương lượng</t>
        </is>
      </c>
      <c r="F1192" s="10" t="inlineStr">
        <is>
          <t>Hà Nội</t>
        </is>
      </c>
      <c r="G1192" s="10" t="inlineStr">
        <is>
          <t>Trưởng phòng</t>
        </is>
      </c>
      <c r="H1192" s="10" t="inlineStr">
        <is>
          <t>06/02/2026</t>
        </is>
      </c>
      <c r="I1192" s="10" t="inlineStr">
        <is>
          <t>23/03/2026</t>
        </is>
      </c>
      <c r="J1192" s="10" t="inlineStr">
        <is>
          <t>17/03/2026</t>
        </is>
      </c>
      <c r="K1192" s="10" t="inlineStr">
        <is>
          <t>N/A</t>
        </is>
      </c>
      <c r="L1192" s="10" t="inlineStr">
        <is>
          <t>Marketing Strategy, Data Analysis, Dịch Vụ Ô Tô, Automotive industry experience, Service Marketing</t>
        </is>
      </c>
      <c r="M1192" s="10" t="inlineStr">
        <is>
          <t>Bonus, Healthcare Plan, Laptop, Travel Opportunities, Others</t>
        </is>
      </c>
      <c r="N1192" s="11">
        <f>HYPERLINK("https://www.vietnamworks.com/service-marketing-manager-2010318-jv","Xem chi tiết")</f>
        <v/>
      </c>
      <c r="O1192" s="10" t="n"/>
    </row>
    <row r="1193">
      <c r="B1193" s="7" t="n">
        <v>1191</v>
      </c>
      <c r="C1193" t="inlineStr">
        <is>
          <t>Fashion Sales Associate (English Speaking) – District 1, HCMC</t>
        </is>
      </c>
      <c r="D1193" t="inlineStr">
        <is>
          <t>Ginkgo T-shirts</t>
        </is>
      </c>
      <c r="E1193" t="inlineStr">
        <is>
          <t>15tr-25tr ₫/tháng</t>
        </is>
      </c>
      <c r="F1193" t="inlineStr">
        <is>
          <t>Hồ Chí Minh</t>
        </is>
      </c>
      <c r="G1193" t="inlineStr">
        <is>
          <t>Nhân viên</t>
        </is>
      </c>
      <c r="H1193" t="inlineStr">
        <is>
          <t>06/02/2026</t>
        </is>
      </c>
      <c r="I1193" t="inlineStr">
        <is>
          <t>23/03/2026</t>
        </is>
      </c>
      <c r="J1193" t="inlineStr">
        <is>
          <t>17/03/2026</t>
        </is>
      </c>
      <c r="K1193" t="inlineStr">
        <is>
          <t>N/A</t>
        </is>
      </c>
      <c r="L1193" t="inlineStr">
        <is>
          <t>Customer Service &amp; After-Sales Support, Good Appearance, Store Operations &amp; Management, Good English communication at work, Store &amp; Brand Management</t>
        </is>
      </c>
      <c r="M1193" t="inlineStr">
        <is>
          <t>Bonus, Healthcare Plan, Training, Others</t>
        </is>
      </c>
      <c r="N1193" s="8">
        <f>HYPERLINK("https://www.vietnamworks.com/fashion-sales-associate-english-speaking-district-1-hcmc-2010326-jv","Xem chi tiết")</f>
        <v/>
      </c>
    </row>
    <row r="1194">
      <c r="B1194" s="9" t="n">
        <v>1192</v>
      </c>
      <c r="C1194" s="10" t="inlineStr">
        <is>
          <t>Chuyên Viên Kỹ Thuật</t>
        </is>
      </c>
      <c r="D1194" s="10" t="inlineStr">
        <is>
          <t>Công Ty Cổ Phần Cọc Và Xây Dựng FECON</t>
        </is>
      </c>
      <c r="E1194" s="10" t="inlineStr">
        <is>
          <t>19tr-25tr ₫/tháng</t>
        </is>
      </c>
      <c r="F1194" s="10" t="inlineStr">
        <is>
          <t>Hà Nội</t>
        </is>
      </c>
      <c r="G1194" s="10" t="inlineStr">
        <is>
          <t>Nhân viên</t>
        </is>
      </c>
      <c r="H1194" s="10" t="inlineStr">
        <is>
          <t>06/02/2026</t>
        </is>
      </c>
      <c r="I1194" s="10" t="inlineStr">
        <is>
          <t>23/03/2026</t>
        </is>
      </c>
      <c r="J1194" s="10" t="inlineStr">
        <is>
          <t>17/03/2026</t>
        </is>
      </c>
      <c r="K1194" s="10" t="inlineStr">
        <is>
          <t>N/A</t>
        </is>
      </c>
      <c r="L1194" s="10" t="inlineStr">
        <is>
          <t>Bóc tách dự toán, Kết cấu</t>
        </is>
      </c>
      <c r="M1194" s="10" t="inlineStr">
        <is>
          <t>Bonus, Healthcare Plan, Paid Leave</t>
        </is>
      </c>
      <c r="N1194" s="11">
        <f>HYPERLINK("https://www.vietnamworks.com/chuyen-vien-ky-thuat--2010325-jv","Xem chi tiết")</f>
        <v/>
      </c>
      <c r="O1194" s="10" t="n"/>
    </row>
    <row r="1195">
      <c r="B1195" s="7" t="n">
        <v>1193</v>
      </c>
      <c r="C1195" t="inlineStr">
        <is>
          <t>Senior HR Manager (Work in Quang Ngai)</t>
        </is>
      </c>
      <c r="D1195" t="inlineStr">
        <is>
          <t>Wanek Furniture CO., LTD.</t>
        </is>
      </c>
      <c r="E1195" t="inlineStr">
        <is>
          <t>Thương lượng</t>
        </is>
      </c>
      <c r="F1195" t="inlineStr">
        <is>
          <t>Quảng Ngãi</t>
        </is>
      </c>
      <c r="G1195" t="inlineStr">
        <is>
          <t>Trưởng phòng</t>
        </is>
      </c>
      <c r="H1195" t="inlineStr">
        <is>
          <t>06/02/2026</t>
        </is>
      </c>
      <c r="I1195" t="inlineStr">
        <is>
          <t>23/03/2026</t>
        </is>
      </c>
      <c r="J1195" t="inlineStr">
        <is>
          <t>17/03/2026</t>
        </is>
      </c>
      <c r="K1195" t="inlineStr">
        <is>
          <t>N/A</t>
        </is>
      </c>
      <c r="L1195" t="inlineStr">
        <is>
          <t>Employee Relation, Interpersonal Skills, Project Management, Talent Acquisition, Vietnam Labor Laws</t>
        </is>
      </c>
      <c r="M1195" t="inlineStr">
        <is>
          <t>Bonus, Paid Leave, Training, Laptop, Team Activities, Canteen</t>
        </is>
      </c>
      <c r="N1195" s="8">
        <f>HYPERLINK("https://www.vietnamworks.com/senior-hr-manager-work-in-quang-ngai-2010334-jv","Xem chi tiết")</f>
        <v/>
      </c>
    </row>
    <row r="1196">
      <c r="B1196" s="9" t="n">
        <v>1194</v>
      </c>
      <c r="C1196" s="10" t="inlineStr">
        <is>
          <t>Chuyên Viên Tuyển Dụng và Thu Hút Nhân Tài</t>
        </is>
      </c>
      <c r="D1196" s="10" t="inlineStr">
        <is>
          <t>Sunjin Vina Co., Ltd</t>
        </is>
      </c>
      <c r="E1196" s="10" t="inlineStr">
        <is>
          <t>$$ 400-600 /tháng</t>
        </is>
      </c>
      <c r="F1196" s="10" t="inlineStr">
        <is>
          <t>Hồ Chí Minh</t>
        </is>
      </c>
      <c r="G1196" s="10" t="inlineStr">
        <is>
          <t>Nhân viên</t>
        </is>
      </c>
      <c r="H1196" s="10" t="inlineStr">
        <is>
          <t>06/02/2026</t>
        </is>
      </c>
      <c r="I1196" s="10" t="inlineStr">
        <is>
          <t>23/03/2026</t>
        </is>
      </c>
      <c r="J1196" s="10" t="inlineStr">
        <is>
          <t>17/03/2026</t>
        </is>
      </c>
      <c r="K1196" s="10" t="inlineStr">
        <is>
          <t>N/A</t>
        </is>
      </c>
      <c r="L1196" s="10" t="inlineStr">
        <is>
          <t>Tuyển Dụng, Nhân Sự, Human Resources, HR, Employee Relation</t>
        </is>
      </c>
      <c r="M1196" s="10" t="inlineStr">
        <is>
          <t>Laptop, Transportation, Others</t>
        </is>
      </c>
      <c r="N1196" s="11">
        <f>HYPERLINK("https://www.vietnamworks.com/chuyen-vien-tuyen-dung-va-thu-hut-nhan-tai-2010332-jv","Xem chi tiết")</f>
        <v/>
      </c>
      <c r="O1196" s="10" t="n"/>
    </row>
    <row r="1197">
      <c r="B1197" s="7" t="n">
        <v>1195</v>
      </c>
      <c r="C1197" t="inlineStr">
        <is>
          <t>Chuyên Viên C&amp;B Upto 20 Triệu (Phỏng Vấn Đi Làm Luôn)</t>
        </is>
      </c>
      <c r="D1197" t="inlineStr">
        <is>
          <t>Công Ty TNHH Khoáng Sản Vina Global</t>
        </is>
      </c>
      <c r="E1197" t="inlineStr">
        <is>
          <t>13tr-20tr ₫/tháng</t>
        </is>
      </c>
      <c r="F1197" t="inlineStr">
        <is>
          <t>Hà Nội</t>
        </is>
      </c>
      <c r="G1197" t="inlineStr">
        <is>
          <t>Nhân viên</t>
        </is>
      </c>
      <c r="H1197" t="inlineStr">
        <is>
          <t>06/02/2026</t>
        </is>
      </c>
      <c r="I1197" t="inlineStr">
        <is>
          <t>23/03/2026</t>
        </is>
      </c>
      <c r="J1197" t="inlineStr">
        <is>
          <t>17/03/2026</t>
        </is>
      </c>
      <c r="K1197" t="inlineStr">
        <is>
          <t>N/A</t>
        </is>
      </c>
      <c r="L1197" t="inlineStr">
        <is>
          <t>C&amp;B, Labor Law, Bảo Hiểm Xã Hội, Chấm Công Tính Lương, Quan Hệ Lao Động</t>
        </is>
      </c>
      <c r="M1197" t="inlineStr">
        <is>
          <t>Canteen</t>
        </is>
      </c>
      <c r="N1197" s="8">
        <f>HYPERLINK("https://www.vietnamworks.com/chuyen-vien-c-b-upto-20-trieu-phong-van-di-lam-luon-2010335-jv","Xem chi tiết")</f>
        <v/>
      </c>
    </row>
    <row r="1198">
      <c r="B1198" s="9" t="n">
        <v>1196</v>
      </c>
      <c r="C1198" s="10" t="inlineStr">
        <is>
          <t>Kế Toán Tổng Hợp - Thu Nhập Upto 17Tr/tháng</t>
        </is>
      </c>
      <c r="D1198" s="10" t="inlineStr">
        <is>
          <t>Tập Đoàn T-CORP (T-CORP)/ Chứng Khoán T-CAP (T-CAP)</t>
        </is>
      </c>
      <c r="E1198" s="10" t="inlineStr">
        <is>
          <t>14tr-17tr ₫/tháng</t>
        </is>
      </c>
      <c r="F1198" s="10" t="inlineStr">
        <is>
          <t>Hà Nội</t>
        </is>
      </c>
      <c r="G1198" s="10" t="inlineStr">
        <is>
          <t>Nhân viên</t>
        </is>
      </c>
      <c r="H1198" s="10" t="inlineStr">
        <is>
          <t>06/02/2026</t>
        </is>
      </c>
      <c r="I1198" s="10" t="inlineStr">
        <is>
          <t>23/03/2026</t>
        </is>
      </c>
      <c r="J1198" s="10" t="inlineStr">
        <is>
          <t>17/03/2026</t>
        </is>
      </c>
      <c r="K1198" s="10" t="inlineStr">
        <is>
          <t>N/A</t>
        </is>
      </c>
      <c r="L1198" s="10" t="inlineStr">
        <is>
          <t>Quản Trị Rủi Ro, Báo Cáo Tài Chính, Hạch Toán, Tài Chính Kế Toán, Thuế</t>
        </is>
      </c>
      <c r="M1198" s="10" t="inlineStr">
        <is>
          <t>Bonus, Training, Awards, Others</t>
        </is>
      </c>
      <c r="N1198" s="11">
        <f>HYPERLINK("https://www.vietnamworks.com/ke-toan-tong-hop-thu-nhap-upto-17trthang-2010311-jv","Xem chi tiết")</f>
        <v/>
      </c>
      <c r="O1198" s="10" t="n"/>
    </row>
    <row r="1199">
      <c r="B1199" s="7" t="n">
        <v>1197</v>
      </c>
      <c r="C1199" t="inlineStr">
        <is>
          <t>[Tuyển Gấp] Nhân Viên Phòng Quản Lý Chất Lượng - Vị Trí Đo Hàng, Kiểm Hàng</t>
        </is>
      </c>
      <c r="D1199" t="inlineStr">
        <is>
          <t>Công Ty TNHH Kuroda Kagaku Việt Nam</t>
        </is>
      </c>
      <c r="E1199" t="inlineStr">
        <is>
          <t>$$ 350-600 /tháng</t>
        </is>
      </c>
      <c r="F1199" t="inlineStr">
        <is>
          <t>Hải Dương, Hà Nội</t>
        </is>
      </c>
      <c r="G1199" t="inlineStr">
        <is>
          <t>Mới Tốt Nghiệp</t>
        </is>
      </c>
      <c r="H1199" t="inlineStr">
        <is>
          <t>06/02/2026</t>
        </is>
      </c>
      <c r="I1199" t="inlineStr">
        <is>
          <t>23/03/2026</t>
        </is>
      </c>
      <c r="J1199" t="inlineStr">
        <is>
          <t>17/03/2026</t>
        </is>
      </c>
      <c r="K1199" t="inlineStr">
        <is>
          <t>N/A</t>
        </is>
      </c>
      <c r="L1199" t="inlineStr">
        <is>
          <t>Tự Động Hóa, Cơ Khí, AutoCAD, Quản Lý Chất Lượng, Đọc Hiểu Bản Vẽ</t>
        </is>
      </c>
      <c r="M1199" t="inlineStr">
        <is>
          <t>Bonus, Healthcare Plan, Training</t>
        </is>
      </c>
      <c r="N1199" s="8">
        <f>HYPERLINK("https://www.vietnamworks.com/tuyen-gap-nhan-vien-phong-quan-ly-chat-luong-vi-tri-do-hang-kiem-hang-2010347-jv","Xem chi tiết")</f>
        <v/>
      </c>
    </row>
    <row r="1200">
      <c r="B1200" s="9" t="n">
        <v>1198</v>
      </c>
      <c r="C1200" s="10" t="inlineStr">
        <is>
          <t>[Tuyển Gấp] Nhân Viên Phòng Kỹ Thuật Sản Xuất</t>
        </is>
      </c>
      <c r="D1200" s="10" t="inlineStr">
        <is>
          <t>Công Ty TNHH Kuroda Kagaku Việt Nam</t>
        </is>
      </c>
      <c r="E1200" s="10" t="inlineStr">
        <is>
          <t>$$ 400-600 /tháng</t>
        </is>
      </c>
      <c r="F1200" s="10" t="inlineStr">
        <is>
          <t>Hưng Yên, Hà Nội, Hải Dương</t>
        </is>
      </c>
      <c r="G1200" s="10" t="inlineStr">
        <is>
          <t>Nhân viên</t>
        </is>
      </c>
      <c r="H1200" s="10" t="inlineStr">
        <is>
          <t>06/02/2026</t>
        </is>
      </c>
      <c r="I1200" s="10" t="inlineStr">
        <is>
          <t>23/03/2026</t>
        </is>
      </c>
      <c r="J1200" s="10" t="inlineStr">
        <is>
          <t>17/03/2026</t>
        </is>
      </c>
      <c r="K1200" s="10" t="inlineStr">
        <is>
          <t>N/A</t>
        </is>
      </c>
      <c r="L1200" s="10" t="inlineStr">
        <is>
          <t>Tự Động Hóa, Lập Trình PLC, Điện Tử, Mitsubishi, Keyence</t>
        </is>
      </c>
      <c r="M1200" s="10" t="inlineStr">
        <is>
          <t>Bonus, Healthcare Plan, Training</t>
        </is>
      </c>
      <c r="N1200" s="11">
        <f>HYPERLINK("https://www.vietnamworks.com/tuyen-gap-nhan-vien-phong-ky-thuat-san-xuat--2010350-jv","Xem chi tiết")</f>
        <v/>
      </c>
      <c r="O1200" s="10" t="n"/>
    </row>
    <row r="1201">
      <c r="B1201" s="7" t="n">
        <v>1199</v>
      </c>
      <c r="C1201" t="inlineStr">
        <is>
          <t>Kế Toán Tài Chính - Ngân Hàng</t>
        </is>
      </c>
      <c r="D1201" t="inlineStr">
        <is>
          <t>Công Ty TNHH Xây Dựng Tuấn Lê</t>
        </is>
      </c>
      <c r="E1201" t="inlineStr">
        <is>
          <t>Thương lượng</t>
        </is>
      </c>
      <c r="F1201" t="inlineStr">
        <is>
          <t>Hồ Chí Minh</t>
        </is>
      </c>
      <c r="G1201" t="inlineStr">
        <is>
          <t>Nhân viên</t>
        </is>
      </c>
      <c r="H1201" t="inlineStr">
        <is>
          <t>06/02/2026</t>
        </is>
      </c>
      <c r="I1201" t="inlineStr">
        <is>
          <t>23/03/2026</t>
        </is>
      </c>
      <c r="J1201" t="inlineStr">
        <is>
          <t>17/03/2026</t>
        </is>
      </c>
      <c r="K1201" t="inlineStr">
        <is>
          <t>N/A</t>
        </is>
      </c>
      <c r="L1201" t="inlineStr">
        <is>
          <t>Finance, Banking, Accountant, Auditing, Finance &amp; Accounting</t>
        </is>
      </c>
      <c r="M1201" t="inlineStr">
        <is>
          <t>Bonus, Healthcare Plan, Canteen</t>
        </is>
      </c>
      <c r="N1201" s="8">
        <f>HYPERLINK("https://www.vietnamworks.com/ke-toan-tai-chinh-ngan-hang--2010344-jv","Xem chi tiết")</f>
        <v/>
      </c>
    </row>
    <row r="1202">
      <c r="B1202" s="9" t="n">
        <v>1200</v>
      </c>
      <c r="C1202" s="10" t="inlineStr">
        <is>
          <t>Phó Tổng Giám Đốc Tập Đoàn - Phụ Trách Kế Hoạch - Kỹ Thuật và Quản Lý Dự Án</t>
        </is>
      </c>
      <c r="D1202" s="10" t="inlineStr">
        <is>
          <t>Tập đoàn An Lạc – Anlac Group</t>
        </is>
      </c>
      <c r="E1202" s="10" t="inlineStr">
        <is>
          <t>Thương lượng</t>
        </is>
      </c>
      <c r="F1202" s="10" t="inlineStr">
        <is>
          <t>Hà Nội</t>
        </is>
      </c>
      <c r="G1202" s="10" t="inlineStr">
        <is>
          <t>Giám Đốc và Cấp Cao Hơn</t>
        </is>
      </c>
      <c r="H1202" s="10" t="inlineStr">
        <is>
          <t>06/02/2026</t>
        </is>
      </c>
      <c r="I1202" s="10" t="inlineStr">
        <is>
          <t>23/03/2026</t>
        </is>
      </c>
      <c r="J1202" s="10" t="inlineStr">
        <is>
          <t>17/03/2026</t>
        </is>
      </c>
      <c r="K1202" s="10" t="inlineStr">
        <is>
          <t>N/A</t>
        </is>
      </c>
      <c r="L1202" s="10" t="inlineStr">
        <is>
          <t>Quản Lý Dự Án, Xây Dựng Công Trình, Quản Lý Điều Hành Xây Dựng, Quản Trị Nhân Sự, Bất Động Sản</t>
        </is>
      </c>
      <c r="M1202" s="10" t="inlineStr">
        <is>
          <t>Bonus, Healthcare Plan, Others</t>
        </is>
      </c>
      <c r="N1202" s="11">
        <f>HYPERLINK("https://www.vietnamworks.com/pho-tong-giam-doc-tap-doan-phu-trach-ke-hoach-ky-thuat-va-quan-ly-du-an-2010343-jv","Xem chi tiết")</f>
        <v/>
      </c>
      <c r="O1202" s="10" t="n"/>
    </row>
    <row r="1203">
      <c r="B1203" s="7" t="n">
        <v>1201</v>
      </c>
      <c r="C1203" t="inlineStr">
        <is>
          <t>Marketing Officer</t>
        </is>
      </c>
      <c r="D1203" t="inlineStr">
        <is>
          <t>Response Group International</t>
        </is>
      </c>
      <c r="E1203" t="inlineStr">
        <is>
          <t>Thương lượng</t>
        </is>
      </c>
      <c r="F1203" t="inlineStr">
        <is>
          <t>N/A</t>
        </is>
      </c>
      <c r="G1203" t="inlineStr">
        <is>
          <t>Nhân viên</t>
        </is>
      </c>
      <c r="H1203" t="inlineStr">
        <is>
          <t>06/02/2026</t>
        </is>
      </c>
      <c r="I1203" t="inlineStr">
        <is>
          <t>23/03/2026</t>
        </is>
      </c>
      <c r="J1203" t="inlineStr">
        <is>
          <t>17/03/2026</t>
        </is>
      </c>
      <c r="K1203" t="inlineStr">
        <is>
          <t>N/A</t>
        </is>
      </c>
      <c r="L1203" t="inlineStr">
        <is>
          <t>Marketing Support, Marketing &amp; Campaign Management, Content &amp; Account MKT, Coordination</t>
        </is>
      </c>
      <c r="M1203" t="inlineStr">
        <is>
          <t>Bonus, Training, Team Activities, Others</t>
        </is>
      </c>
      <c r="N1203" s="8">
        <f>HYPERLINK("https://www.vietnamworks.com/marketing-officer-2010357-jv","Xem chi tiết")</f>
        <v/>
      </c>
    </row>
    <row r="1204">
      <c r="B1204" s="9" t="n">
        <v>1202</v>
      </c>
      <c r="C1204" s="10" t="inlineStr">
        <is>
          <t>Premier Wealth Relationship Manager</t>
        </is>
      </c>
      <c r="D1204" s="10" t="inlineStr">
        <is>
          <t>HSBC Vietnam</t>
        </is>
      </c>
      <c r="E1204" s="10" t="inlineStr">
        <is>
          <t>Thương lượng</t>
        </is>
      </c>
      <c r="F1204" s="10" t="inlineStr">
        <is>
          <t>Hồ Chí Minh</t>
        </is>
      </c>
      <c r="G1204" s="10" t="inlineStr">
        <is>
          <t>Trưởng phòng</t>
        </is>
      </c>
      <c r="H1204" s="10" t="inlineStr">
        <is>
          <t>06/02/2026</t>
        </is>
      </c>
      <c r="I1204" s="10" t="inlineStr">
        <is>
          <t>23/03/2026</t>
        </is>
      </c>
      <c r="J1204" s="10" t="inlineStr">
        <is>
          <t>17/03/2026</t>
        </is>
      </c>
      <c r="K1204" s="10" t="inlineStr">
        <is>
          <t>N/A</t>
        </is>
      </c>
      <c r="L1204" s="10" t="inlineStr">
        <is>
          <t>Relationship Management, Customer Service, Financial Services, Banking, Tư Vấn Tài Chính</t>
        </is>
      </c>
      <c r="M1204" s="10" t="inlineStr">
        <is>
          <t>Bonus, Healthcare Plan, Training</t>
        </is>
      </c>
      <c r="N1204" s="11">
        <f>HYPERLINK("https://www.vietnamworks.com/premier-wealth-relationship-manager--2010339-jv","Xem chi tiết")</f>
        <v/>
      </c>
      <c r="O1204" s="10" t="n"/>
    </row>
    <row r="1205">
      <c r="B1205" s="7" t="n">
        <v>1203</v>
      </c>
      <c r="C1205" t="inlineStr">
        <is>
          <t>Kỹ Sư Cơ Khí - Sản Xuất &amp; Quản Lý Thầu Phụ - Làm Việc Tại Hải Phòng</t>
        </is>
      </c>
      <c r="D1205" t="inlineStr">
        <is>
          <t>Công Ty TNHH Công Nghiệp Nặng BUMHAN VINA (Tên Cũ DOOSAN VINA Hai Phong)</t>
        </is>
      </c>
      <c r="E1205" t="inlineStr">
        <is>
          <t>Thương lượng</t>
        </is>
      </c>
      <c r="F1205" t="inlineStr">
        <is>
          <t>Hải Dương, Hải Phòng</t>
        </is>
      </c>
      <c r="G1205" t="inlineStr">
        <is>
          <t>Mới Tốt Nghiệp</t>
        </is>
      </c>
      <c r="H1205" t="inlineStr">
        <is>
          <t>06/02/2026</t>
        </is>
      </c>
      <c r="I1205" t="inlineStr">
        <is>
          <t>23/03/2026</t>
        </is>
      </c>
      <c r="J1205" t="inlineStr">
        <is>
          <t>17/03/2026</t>
        </is>
      </c>
      <c r="K1205" t="inlineStr">
        <is>
          <t>N/A</t>
        </is>
      </c>
      <c r="L1205" t="inlineStr">
        <is>
          <t>Tin Học Văn Phòng, AutoCAD, Quản Lý Thầu Phụ, Tiếng Anh Giao Tiếp, Mechanical Engineering</t>
        </is>
      </c>
      <c r="M1205" t="inlineStr">
        <is>
          <t>Bonus, Healthcare Plan, Awards</t>
        </is>
      </c>
      <c r="N1205" s="8">
        <f>HYPERLINK("https://www.vietnamworks.com/ky-su-co-khi-san-xuat-quan-ly-thau-phu-lam-viec-tai-hai-phong-2010340-jv","Xem chi tiết")</f>
        <v/>
      </c>
    </row>
    <row r="1206">
      <c r="B1206" s="9" t="n">
        <v>1204</v>
      </c>
      <c r="C1206" s="10" t="inlineStr">
        <is>
          <t>AMS Administration Officer</t>
        </is>
      </c>
      <c r="D1206" s="10" t="inlineStr">
        <is>
          <t>Response Group International</t>
        </is>
      </c>
      <c r="E1206" s="10" t="inlineStr">
        <is>
          <t>Thương lượng</t>
        </is>
      </c>
      <c r="F1206" s="10" t="inlineStr">
        <is>
          <t>Hồ Chí Minh</t>
        </is>
      </c>
      <c r="G1206" s="10" t="inlineStr">
        <is>
          <t>Nhân viên</t>
        </is>
      </c>
      <c r="H1206" s="10" t="inlineStr">
        <is>
          <t>06/02/2026</t>
        </is>
      </c>
      <c r="I1206" s="10" t="inlineStr">
        <is>
          <t>23/03/2026</t>
        </is>
      </c>
      <c r="J1206" s="10" t="inlineStr">
        <is>
          <t>17/03/2026</t>
        </is>
      </c>
      <c r="K1206" s="10" t="inlineStr">
        <is>
          <t>N/A</t>
        </is>
      </c>
      <c r="L1206" s="10" t="inlineStr">
        <is>
          <t>Human Resources, Administrative Support, Application Support, International Recruitment, Training Support</t>
        </is>
      </c>
      <c r="M1206" s="10" t="inlineStr">
        <is>
          <t>Bonus, Training, Team Activities, Others</t>
        </is>
      </c>
      <c r="N1206" s="11">
        <f>HYPERLINK("https://www.vietnamworks.com/ams-administration-officer-2010356-jv","Xem chi tiết")</f>
        <v/>
      </c>
      <c r="O1206" s="10" t="n"/>
    </row>
    <row r="1207">
      <c r="B1207" s="7" t="n">
        <v>1205</v>
      </c>
      <c r="C1207" t="inlineStr">
        <is>
          <t>Chuyên Viên Marketing</t>
        </is>
      </c>
      <c r="D1207" t="inlineStr">
        <is>
          <t>Công Ty Cổ Phần BB Group</t>
        </is>
      </c>
      <c r="E1207" t="inlineStr">
        <is>
          <t>Thương lượng</t>
        </is>
      </c>
      <c r="F1207" t="inlineStr">
        <is>
          <t>Đà Nẵng, Lâm Đồng, Hà Nội</t>
        </is>
      </c>
      <c r="G1207" t="inlineStr">
        <is>
          <t>Nhân viên</t>
        </is>
      </c>
      <c r="H1207" t="inlineStr">
        <is>
          <t>06/02/2026</t>
        </is>
      </c>
      <c r="I1207" t="inlineStr">
        <is>
          <t>23/03/2026</t>
        </is>
      </c>
      <c r="J1207" t="inlineStr">
        <is>
          <t>17/03/2026</t>
        </is>
      </c>
      <c r="K1207" t="inlineStr">
        <is>
          <t>N/A</t>
        </is>
      </c>
      <c r="L1207" t="inlineStr">
        <is>
          <t>Marketing Strategy, Content Creation, Social Media Management, Event Organizing</t>
        </is>
      </c>
      <c r="M1207" t="inlineStr">
        <is>
          <t>Bonus, Healthcare Plan, Others</t>
        </is>
      </c>
      <c r="N1207" s="8">
        <f>HYPERLINK("https://www.vietnamworks.com/chuyen-vien-marketing-2010338-jv","Xem chi tiết")</f>
        <v/>
      </c>
    </row>
    <row r="1208">
      <c r="B1208" s="9" t="n">
        <v>1206</v>
      </c>
      <c r="C1208" s="10" t="inlineStr">
        <is>
          <t>验货Qc家具/ Inspection QC Furniture</t>
        </is>
      </c>
      <c r="D1208" s="10" t="inlineStr">
        <is>
          <t>Jsyard Home Technology Co.,LTD</t>
        </is>
      </c>
      <c r="E1208" s="10" t="inlineStr">
        <is>
          <t>$$ 800-1,000 /tháng</t>
        </is>
      </c>
      <c r="F1208" s="10" t="inlineStr">
        <is>
          <t>Bình Dương</t>
        </is>
      </c>
      <c r="G1208" s="10" t="inlineStr">
        <is>
          <t>Nhân viên</t>
        </is>
      </c>
      <c r="H1208" s="10" t="inlineStr">
        <is>
          <t>06/02/2026</t>
        </is>
      </c>
      <c r="I1208" s="10" t="inlineStr">
        <is>
          <t>23/03/2026</t>
        </is>
      </c>
      <c r="J1208" s="10" t="inlineStr">
        <is>
          <t>17/03/2026</t>
        </is>
      </c>
      <c r="K1208" s="10" t="inlineStr">
        <is>
          <t>N/A</t>
        </is>
      </c>
      <c r="L1208" s="10" t="inlineStr">
        <is>
          <t>Furniture Manufactoring, Furniture Testing, Furniture Products, QC Furniture, Quality Control</t>
        </is>
      </c>
      <c r="M1208" s="10" t="inlineStr">
        <is>
          <t>Bonus, Healthcare Plan, Paid Leave</t>
        </is>
      </c>
      <c r="N1208" s="11">
        <f>HYPERLINK("https://www.vietnamworks.com/mo-myeng-qc-inspection-qc-furniture--2010355-jv","Xem chi tiết")</f>
        <v/>
      </c>
      <c r="O1208" s="10" t="n"/>
    </row>
    <row r="1209">
      <c r="B1209" s="7" t="n">
        <v>1207</v>
      </c>
      <c r="C1209" t="inlineStr">
        <is>
          <t>Nhân Viên IT - Lập Trình</t>
        </is>
      </c>
      <c r="D1209" t="inlineStr">
        <is>
          <t>Công Ty TNHH Kuroda Kagaku Việt Nam</t>
        </is>
      </c>
      <c r="E1209" t="inlineStr">
        <is>
          <t>$$ 400-600 /tháng</t>
        </is>
      </c>
      <c r="F1209" t="inlineStr">
        <is>
          <t>Hải Dương</t>
        </is>
      </c>
      <c r="G1209" t="inlineStr">
        <is>
          <t>Mới Tốt Nghiệp</t>
        </is>
      </c>
      <c r="H1209" t="inlineStr">
        <is>
          <t>06/02/2026</t>
        </is>
      </c>
      <c r="I1209" t="inlineStr">
        <is>
          <t>23/03/2026</t>
        </is>
      </c>
      <c r="J1209" t="inlineStr">
        <is>
          <t>17/03/2026</t>
        </is>
      </c>
      <c r="K1209" t="inlineStr">
        <is>
          <t>N/A</t>
        </is>
      </c>
      <c r="L1209" t="inlineStr">
        <is>
          <t>SQL, Lập Trình, IT Phần Mềm, C#, PHP</t>
        </is>
      </c>
      <c r="M1209" t="inlineStr">
        <is>
          <t>Bonus, Healthcare Plan, Training</t>
        </is>
      </c>
      <c r="N1209" s="8">
        <f>HYPERLINK("https://www.vietnamworks.com/nhan-vien-it-lap-trinh--2010352-jv","Xem chi tiết")</f>
        <v/>
      </c>
    </row>
    <row r="1210">
      <c r="B1210" s="9" t="n">
        <v>1208</v>
      </c>
      <c r="C1210" s="10" t="inlineStr">
        <is>
          <t>Trưởng Phòng Kinh Doanh - CĐT Bất Động Sản</t>
        </is>
      </c>
      <c r="D1210" s="10" t="inlineStr">
        <is>
          <t>Tập đoàn An Lạc – Anlac Group</t>
        </is>
      </c>
      <c r="E1210" s="10" t="inlineStr">
        <is>
          <t>Thương lượng</t>
        </is>
      </c>
      <c r="F1210" s="10" t="inlineStr">
        <is>
          <t>Hà Nội</t>
        </is>
      </c>
      <c r="G1210" s="10" t="inlineStr">
        <is>
          <t>Trưởng phòng</t>
        </is>
      </c>
      <c r="H1210" s="10" t="inlineStr">
        <is>
          <t>06/02/2026</t>
        </is>
      </c>
      <c r="I1210" s="10" t="inlineStr">
        <is>
          <t>23/03/2026</t>
        </is>
      </c>
      <c r="J1210" s="10" t="inlineStr">
        <is>
          <t>17/03/2026</t>
        </is>
      </c>
      <c r="K1210" s="10" t="inlineStr">
        <is>
          <t>N/A</t>
        </is>
      </c>
      <c r="L1210" s="10" t="inlineStr">
        <is>
          <t>Bất Động Sản, Bán Hàng, Nghiên Cứu Thị Trường, Thị Trường Bất Động Sản, Real Estate Laws</t>
        </is>
      </c>
      <c r="M1210" s="10" t="inlineStr">
        <is>
          <t>Bonus, Healthcare Plan, Travel Opportunities</t>
        </is>
      </c>
      <c r="N1210" s="11">
        <f>HYPERLINK("https://www.vietnamworks.com/truong-phong-kinh-doanh-cdt-bat-dong-san--2010345-jv","Xem chi tiết")</f>
        <v/>
      </c>
      <c r="O1210" s="10" t="n"/>
    </row>
    <row r="1211">
      <c r="B1211" s="7" t="n">
        <v>1209</v>
      </c>
      <c r="C1211" t="inlineStr">
        <is>
          <t>Nhân Viên Điều Hành Tour Inbound</t>
        </is>
      </c>
      <c r="D1211" t="inlineStr">
        <is>
          <t>Travel Sense Asia</t>
        </is>
      </c>
      <c r="E1211" t="inlineStr">
        <is>
          <t>Từ 20tr ₫/tháng</t>
        </is>
      </c>
      <c r="F1211" t="inlineStr">
        <is>
          <t>Hà Nội, Hồ Chí Minh</t>
        </is>
      </c>
      <c r="G1211" t="inlineStr">
        <is>
          <t>Nhân viên</t>
        </is>
      </c>
      <c r="H1211" t="inlineStr">
        <is>
          <t>06/02/2026</t>
        </is>
      </c>
      <c r="I1211" t="inlineStr">
        <is>
          <t>23/03/2026</t>
        </is>
      </c>
      <c r="J1211" t="inlineStr">
        <is>
          <t>17/03/2026</t>
        </is>
      </c>
      <c r="K1211" t="inlineStr">
        <is>
          <t>N/A</t>
        </is>
      </c>
      <c r="L1211" t="inlineStr">
        <is>
          <t>Inbound Tour, Inbound Tour Operations, Travel Booking, Điều Hành Tour, Du lịch</t>
        </is>
      </c>
      <c r="M1211" t="inlineStr">
        <is>
          <t>Bonus, Awards, Travel Opportunities</t>
        </is>
      </c>
      <c r="N1211" s="8">
        <f>HYPERLINK("https://www.vietnamworks.com/nhan-vien-dieu-hanh-tour-inbound--2010342-jv","Xem chi tiết")</f>
        <v/>
      </c>
    </row>
    <row r="1212">
      <c r="B1212" s="9" t="n">
        <v>1210</v>
      </c>
      <c r="C1212" s="10" t="inlineStr">
        <is>
          <t>Trưởng Nhóm Kinh Doanh/ Sales Team Leader (Lĩnh Vực Gia Công Cơ Khí)</t>
        </is>
      </c>
      <c r="D1212" s="10" t="inlineStr">
        <is>
          <t>Công Ty TNHH CTI VN</t>
        </is>
      </c>
      <c r="E1212" s="10" t="inlineStr">
        <is>
          <t>20tr-30tr ₫/tháng</t>
        </is>
      </c>
      <c r="F1212" s="10" t="inlineStr">
        <is>
          <t>Hồ Chí Minh</t>
        </is>
      </c>
      <c r="G1212" s="10" t="inlineStr">
        <is>
          <t>Trưởng phòng</t>
        </is>
      </c>
      <c r="H1212" s="10" t="inlineStr">
        <is>
          <t>06/02/2026</t>
        </is>
      </c>
      <c r="I1212" s="10" t="inlineStr">
        <is>
          <t>23/03/2026</t>
        </is>
      </c>
      <c r="J1212" s="10" t="inlineStr">
        <is>
          <t>17/03/2026</t>
        </is>
      </c>
      <c r="K1212" s="10" t="inlineStr">
        <is>
          <t>N/A</t>
        </is>
      </c>
      <c r="L1212" s="10" t="inlineStr">
        <is>
          <t>Cơ Khí, Kinh Doanh Cơ Khí, Technical Sales, Sales Engineering, Business Development</t>
        </is>
      </c>
      <c r="M1212" s="10" t="inlineStr">
        <is>
          <t>Bonus, Healthcare Plan, Paid Leave, Training, Travel Opportunities, Team Activities, Others</t>
        </is>
      </c>
      <c r="N1212" s="11">
        <f>HYPERLINK("https://www.vietnamworks.com/truong-nhom-kinh-doanh-sales-team-leader-linh-vuc-gia-cong-co-khi-2010359-jv","Xem chi tiết")</f>
        <v/>
      </c>
      <c r="O1212" s="10" t="n"/>
    </row>
    <row r="1213">
      <c r="B1213" s="7" t="n">
        <v>1211</v>
      </c>
      <c r="C1213" t="inlineStr">
        <is>
          <t>[Tuyển Gấp] Nhân Viên Thiết Kế Khuôn Đúc Nhựa</t>
        </is>
      </c>
      <c r="D1213" t="inlineStr">
        <is>
          <t>Công Ty TNHH Kuroda Kagaku Việt Nam</t>
        </is>
      </c>
      <c r="E1213" t="inlineStr">
        <is>
          <t>$$ 550-750 /tháng</t>
        </is>
      </c>
      <c r="F1213" t="inlineStr">
        <is>
          <t>Hải Dương, Hưng Yên</t>
        </is>
      </c>
      <c r="G1213" t="inlineStr">
        <is>
          <t>Nhân viên</t>
        </is>
      </c>
      <c r="H1213" t="inlineStr">
        <is>
          <t>06/02/2026</t>
        </is>
      </c>
      <c r="I1213" t="inlineStr">
        <is>
          <t>23/03/2026</t>
        </is>
      </c>
      <c r="J1213" t="inlineStr">
        <is>
          <t>17/03/2026</t>
        </is>
      </c>
      <c r="K1213" t="inlineStr">
        <is>
          <t>N/A</t>
        </is>
      </c>
      <c r="L1213" t="inlineStr">
        <is>
          <t>Thiết Kế Khuôn, Kỹ Thuật Khuôn Đúc Nhựa, Triển Khai Bản Vẽ 2D, Tiếng Nhật N3, Đánh Giá Chất Lượng</t>
        </is>
      </c>
      <c r="M1213" t="inlineStr">
        <is>
          <t>Bonus, Healthcare Plan, Training</t>
        </is>
      </c>
      <c r="N1213" s="8">
        <f>HYPERLINK("https://www.vietnamworks.com/tuyen-gap-nhan-vien-thiet-ke-khuon-duc-nhua--2010351-jv","Xem chi tiết")</f>
        <v/>
      </c>
    </row>
    <row r="1214">
      <c r="B1214" s="9" t="n">
        <v>1212</v>
      </c>
      <c r="C1214" s="10" t="inlineStr">
        <is>
          <t>Commercial Leasing Manager – Office &amp; Co-Working</t>
        </is>
      </c>
      <c r="D1214" s="10" t="inlineStr">
        <is>
          <t>COBI GROUP</t>
        </is>
      </c>
      <c r="E1214" s="10" t="inlineStr">
        <is>
          <t>$$ 1,500-2,000 /tháng</t>
        </is>
      </c>
      <c r="F1214" s="10" t="inlineStr">
        <is>
          <t>Hồ Chí Minh</t>
        </is>
      </c>
      <c r="G1214" s="10" t="inlineStr">
        <is>
          <t>Trưởng phòng</t>
        </is>
      </c>
      <c r="H1214" s="10" t="inlineStr">
        <is>
          <t>06/02/2026</t>
        </is>
      </c>
      <c r="I1214" s="10" t="inlineStr">
        <is>
          <t>23/03/2026</t>
        </is>
      </c>
      <c r="J1214" s="10" t="inlineStr">
        <is>
          <t>17/03/2026</t>
        </is>
      </c>
      <c r="K1214" s="10" t="inlineStr">
        <is>
          <t>N/A</t>
        </is>
      </c>
      <c r="L1214" s="10" t="inlineStr">
        <is>
          <t>Đàm Phán Thương Lượng, Nghiên Cứu Thị Trường</t>
        </is>
      </c>
      <c r="M1214" s="10" t="inlineStr">
        <is>
          <t>Bonus, Travel Opportunities, Kindergarten</t>
        </is>
      </c>
      <c r="N1214" s="11">
        <f>HYPERLINK("https://www.vietnamworks.com/commercial-leasing-manager-office-co-working-2010358-jv","Xem chi tiết")</f>
        <v/>
      </c>
      <c r="O1214" s="10" t="n"/>
    </row>
    <row r="1215">
      <c r="B1215" s="7" t="n">
        <v>1213</v>
      </c>
      <c r="C1215" t="inlineStr">
        <is>
          <t>Supplier Quality Assurance Manager</t>
        </is>
      </c>
      <c r="D1215" t="inlineStr">
        <is>
          <t>Vietnamworks' Client</t>
        </is>
      </c>
      <c r="E1215" t="inlineStr">
        <is>
          <t>Thương lượng</t>
        </is>
      </c>
      <c r="F1215" t="inlineStr">
        <is>
          <t>Bắc Ninh, Hà Nội, Bắc Giang</t>
        </is>
      </c>
      <c r="G1215" t="inlineStr">
        <is>
          <t>Trưởng phòng</t>
        </is>
      </c>
      <c r="H1215" t="inlineStr">
        <is>
          <t>06/02/2026</t>
        </is>
      </c>
      <c r="I1215" t="inlineStr">
        <is>
          <t>23/03/2026</t>
        </is>
      </c>
      <c r="J1215" t="inlineStr">
        <is>
          <t>17/03/2026</t>
        </is>
      </c>
      <c r="K1215" t="inlineStr">
        <is>
          <t>N/A</t>
        </is>
      </c>
      <c r="L1215" t="inlineStr">
        <is>
          <t>Supplier Development, Quality System, Problem Solving, Project Management, SQE</t>
        </is>
      </c>
      <c r="M1215" t="inlineStr">
        <is>
          <t>Healthcare Plan, Team Activities, Others</t>
        </is>
      </c>
      <c r="N1215" s="8">
        <f>HYPERLINK("https://www.vietnamworks.com/supplier-quality-assurance-manager-2010361-jv","Xem chi tiết")</f>
        <v/>
      </c>
    </row>
    <row r="1216">
      <c r="B1216" s="9" t="n">
        <v>1214</v>
      </c>
      <c r="C1216" s="10" t="inlineStr">
        <is>
          <t>Kế Toán Trưởng (Định Hướng Giám Đốc Tài Chính)</t>
        </is>
      </c>
      <c r="D1216" s="10" t="inlineStr">
        <is>
          <t>Công Ty TNHH CTI VN</t>
        </is>
      </c>
      <c r="E1216" s="10" t="inlineStr">
        <is>
          <t>35tr-55tr ₫/tháng</t>
        </is>
      </c>
      <c r="F1216" s="10" t="inlineStr">
        <is>
          <t>Hồ Chí Minh</t>
        </is>
      </c>
      <c r="G1216" s="10" t="inlineStr">
        <is>
          <t>Trưởng phòng</t>
        </is>
      </c>
      <c r="H1216" s="10" t="inlineStr">
        <is>
          <t>06/02/2026</t>
        </is>
      </c>
      <c r="I1216" s="10" t="inlineStr">
        <is>
          <t>23/03/2026</t>
        </is>
      </c>
      <c r="J1216" s="10" t="inlineStr">
        <is>
          <t>17/03/2026</t>
        </is>
      </c>
      <c r="K1216" s="10" t="inlineStr">
        <is>
          <t>N/A</t>
        </is>
      </c>
      <c r="L1216" s="10" t="inlineStr">
        <is>
          <t>Tài Chính Kế Toán, Chief Accountant, Finance &amp; Accounting, Quản lý tài chính &amp; dòng tiền, Quản Trị Kế Toán</t>
        </is>
      </c>
      <c r="M1216" s="10" t="inlineStr">
        <is>
          <t>Bonus, Healthcare Plan, Paid Leave, Training, Travel Opportunities, Team Activities, Others</t>
        </is>
      </c>
      <c r="N1216" s="11">
        <f>HYPERLINK("https://www.vietnamworks.com/ke-toan-truong-djinh-huong-giam-djoc-tai-chinh-2010360-jv","Xem chi tiết")</f>
        <v/>
      </c>
      <c r="O1216" s="10" t="n"/>
    </row>
    <row r="1217">
      <c r="B1217" s="7" t="n">
        <v>1215</v>
      </c>
      <c r="C1217" t="inlineStr">
        <is>
          <t>Kế Toán Trưởng Khách Sạn Desyloia</t>
        </is>
      </c>
      <c r="D1217" t="inlineStr">
        <is>
          <t>Tập Đoàn Ecopark</t>
        </is>
      </c>
      <c r="E1217" t="inlineStr">
        <is>
          <t>Thương lượng</t>
        </is>
      </c>
      <c r="F1217" t="inlineStr">
        <is>
          <t>Hà Nội</t>
        </is>
      </c>
      <c r="G1217" t="inlineStr">
        <is>
          <t>Trưởng phòng</t>
        </is>
      </c>
      <c r="H1217" t="inlineStr">
        <is>
          <t>06/02/2026</t>
        </is>
      </c>
      <c r="I1217" t="inlineStr">
        <is>
          <t>23/03/2026</t>
        </is>
      </c>
      <c r="J1217" t="inlineStr">
        <is>
          <t>17/03/2026</t>
        </is>
      </c>
      <c r="K1217" t="inlineStr">
        <is>
          <t>N/A</t>
        </is>
      </c>
      <c r="L1217" t="inlineStr">
        <is>
          <t>Kế Toán, Kiểm Toán, Phân Tích Tài Chính, Hạch Toán, Kiểm Soát Tài Chính</t>
        </is>
      </c>
      <c r="M1217" t="inlineStr">
        <is>
          <t>Bonus, Healthcare Plan, Transportation, Others</t>
        </is>
      </c>
      <c r="N1217" s="8">
        <f>HYPERLINK("https://www.vietnamworks.com/ke-toan-truong-khach-san-desyloia-2010346-jv","Xem chi tiết")</f>
        <v/>
      </c>
    </row>
    <row r="1218">
      <c r="B1218" s="9" t="n">
        <v>1216</v>
      </c>
      <c r="C1218" s="10" t="inlineStr">
        <is>
          <t>Chuyên Gia Quản Lý Kế Hoạch Tiến Độ (Đặc Thù Cho BT)</t>
        </is>
      </c>
      <c r="D1218" s="10" t="inlineStr">
        <is>
          <t>Công Ty Cổ Phần Tập Đoàn Masterise</t>
        </is>
      </c>
      <c r="E1218" s="10" t="inlineStr">
        <is>
          <t>Thương lượng</t>
        </is>
      </c>
      <c r="F1218" s="10" t="inlineStr">
        <is>
          <t>Hồ Chí Minh</t>
        </is>
      </c>
      <c r="G1218" s="10" t="inlineStr">
        <is>
          <t>Nhân viên</t>
        </is>
      </c>
      <c r="H1218" s="10" t="inlineStr">
        <is>
          <t>06/02/2026</t>
        </is>
      </c>
      <c r="I1218" s="10" t="inlineStr">
        <is>
          <t>23/03/2026</t>
        </is>
      </c>
      <c r="J1218" s="10" t="inlineStr">
        <is>
          <t>17/03/2026</t>
        </is>
      </c>
      <c r="K1218" s="10" t="inlineStr">
        <is>
          <t>N/A</t>
        </is>
      </c>
      <c r="L1218" s="10" t="inlineStr">
        <is>
          <t>Quản Lý Tiến Độ, Đầu Tư Xây Dựng, Construction Project, Đấu Thầu, Điều Phối Dự Án</t>
        </is>
      </c>
      <c r="M1218" s="10" t="inlineStr">
        <is>
          <t>Bonus, Healthcare Plan, Laptop</t>
        </is>
      </c>
      <c r="N1218" s="11">
        <f>HYPERLINK("https://www.vietnamworks.com/chuyen-gia-quan-ly-ke-hoach-tien-do-dac-thu-cho-bt--2010341-jv","Xem chi tiết")</f>
        <v/>
      </c>
      <c r="O1218" s="10" t="n"/>
    </row>
    <row r="1219">
      <c r="B1219" s="7" t="n">
        <v>1217</v>
      </c>
      <c r="C1219" t="inlineStr">
        <is>
          <t>Indirect Purchasing Manager</t>
        </is>
      </c>
      <c r="D1219" t="inlineStr">
        <is>
          <t>Vietnamworks' Client</t>
        </is>
      </c>
      <c r="E1219" t="inlineStr">
        <is>
          <t>Thương lượng</t>
        </is>
      </c>
      <c r="F1219" t="inlineStr">
        <is>
          <t>Hồ Chí Minh</t>
        </is>
      </c>
      <c r="G1219" t="inlineStr">
        <is>
          <t>Trưởng phòng</t>
        </is>
      </c>
      <c r="H1219" t="inlineStr">
        <is>
          <t>06/02/2026</t>
        </is>
      </c>
      <c r="I1219" t="inlineStr">
        <is>
          <t>23/03/2026</t>
        </is>
      </c>
      <c r="J1219" t="inlineStr">
        <is>
          <t>17/03/2026</t>
        </is>
      </c>
      <c r="K1219" t="inlineStr">
        <is>
          <t>N/A</t>
        </is>
      </c>
      <c r="L1219" t="inlineStr">
        <is>
          <t>Analytical Skills, Indirect Purchasing, Inventory Management, Negotiation Skills, Strategic Sourcing</t>
        </is>
      </c>
      <c r="M1219" t="inlineStr">
        <is>
          <t>Transportation</t>
        </is>
      </c>
      <c r="N1219" s="8">
        <f>HYPERLINK("https://www.vietnamworks.com/indirect-purchasing-manager-2010372-jv","Xem chi tiết")</f>
        <v/>
      </c>
    </row>
    <row r="1220">
      <c r="B1220" s="9" t="n">
        <v>1218</v>
      </c>
      <c r="C1220" s="10" t="inlineStr">
        <is>
          <t>Kỹ Sư Cơ Khí (Làm Việc Tại KCN Tiên Sơn - Bắc Ninh)</t>
        </is>
      </c>
      <c r="D1220" s="10" t="inlineStr">
        <is>
          <t>Công Ty TNHH Thiết Bị Điện 3C Công Nghiệp</t>
        </is>
      </c>
      <c r="E1220" s="10" t="inlineStr">
        <is>
          <t>Thương lượng</t>
        </is>
      </c>
      <c r="F1220" s="10" t="inlineStr">
        <is>
          <t>Bắc Ninh</t>
        </is>
      </c>
      <c r="G1220" s="10" t="inlineStr">
        <is>
          <t>Nhân viên</t>
        </is>
      </c>
      <c r="H1220" s="10" t="inlineStr">
        <is>
          <t>06/02/2026</t>
        </is>
      </c>
      <c r="I1220" s="10" t="inlineStr">
        <is>
          <t>23/03/2026</t>
        </is>
      </c>
      <c r="J1220" s="10" t="inlineStr">
        <is>
          <t>17/03/2026</t>
        </is>
      </c>
      <c r="K1220" s="10" t="inlineStr">
        <is>
          <t>N/A</t>
        </is>
      </c>
      <c r="L1220" s="10" t="inlineStr">
        <is>
          <t>Cơ Khí Lập Trình CNC, Gia Công Cơ Khí, Bóc Tách Khối Lượng, 3D, Bóc Tách Kim Loại Tấm</t>
        </is>
      </c>
      <c r="M1220" s="10" t="inlineStr">
        <is>
          <t>Training, Library, Laptop</t>
        </is>
      </c>
      <c r="N1220" s="11">
        <f>HYPERLINK("https://www.vietnamworks.com/ky-su-co-khi-lam-viec-tai-kcn-tien-son-bac-ninh--2010363-jv","Xem chi tiết")</f>
        <v/>
      </c>
      <c r="O1220" s="10" t="n"/>
    </row>
    <row r="1221">
      <c r="B1221" s="7" t="n">
        <v>1219</v>
      </c>
      <c r="C1221" t="inlineStr">
        <is>
          <t>Nhân Viên Kế Hoạch Sản Xuất - Làm Việc Tại KCN Tiên Sơn - Bắc Ninh (Có Đào Tạo Nếu Chưa Có Kinh Nghiệm)</t>
        </is>
      </c>
      <c r="D1221" t="inlineStr">
        <is>
          <t>Công Ty TNHH Thiết Bị Điện 3C Công Nghiệp</t>
        </is>
      </c>
      <c r="E1221" t="inlineStr">
        <is>
          <t>Thương lượng</t>
        </is>
      </c>
      <c r="F1221" t="inlineStr">
        <is>
          <t>Bắc Ninh</t>
        </is>
      </c>
      <c r="G1221" t="inlineStr">
        <is>
          <t>Mới Tốt Nghiệp</t>
        </is>
      </c>
      <c r="H1221" t="inlineStr">
        <is>
          <t>06/02/2026</t>
        </is>
      </c>
      <c r="I1221" t="inlineStr">
        <is>
          <t>23/03/2026</t>
        </is>
      </c>
      <c r="J1221" t="inlineStr">
        <is>
          <t>17/03/2026</t>
        </is>
      </c>
      <c r="K1221" t="inlineStr">
        <is>
          <t>N/A</t>
        </is>
      </c>
      <c r="L1221" t="inlineStr">
        <is>
          <t>Cơ Khí, Phân Tích Thông Tin, Kỹ Thuật Sản Xuất, Theo Dõi Sản Xuất, Kế Hoạch Sản Xuất</t>
        </is>
      </c>
      <c r="M1221" t="inlineStr">
        <is>
          <t>Training, Library, Laptop</t>
        </is>
      </c>
      <c r="N1221" s="8">
        <f>HYPERLINK("https://www.vietnamworks.com/nhan-vien-ke-hoach-san-xuat-lam-viec-tai-kcn-tien-son-bac-ninh-co-dao-tao-neu-chua-co-kinh-nghiem--2010362-jv","Xem chi tiết")</f>
        <v/>
      </c>
    </row>
    <row r="1222">
      <c r="B1222" s="9" t="n">
        <v>1220</v>
      </c>
      <c r="C1222" s="10" t="inlineStr">
        <is>
          <t>Nhân Viên Kĩ Thuật | Technical</t>
        </is>
      </c>
      <c r="D1222" s="10" t="inlineStr">
        <is>
          <t>EUROCRANE VIET NAM CO., LTD</t>
        </is>
      </c>
      <c r="E1222" s="10" t="inlineStr">
        <is>
          <t>Thương lượng</t>
        </is>
      </c>
      <c r="F1222" s="10" t="inlineStr">
        <is>
          <t>Hồ Chí Minh</t>
        </is>
      </c>
      <c r="G1222" s="10" t="inlineStr">
        <is>
          <t>Mới Tốt Nghiệp</t>
        </is>
      </c>
      <c r="H1222" s="10" t="inlineStr">
        <is>
          <t>06/02/2026</t>
        </is>
      </c>
      <c r="I1222" s="10" t="inlineStr">
        <is>
          <t>23/03/2026</t>
        </is>
      </c>
      <c r="J1222" s="10" t="inlineStr">
        <is>
          <t>17/03/2026</t>
        </is>
      </c>
      <c r="K1222" s="10" t="inlineStr">
        <is>
          <t>N/A</t>
        </is>
      </c>
      <c r="L1222" s="10" t="inlineStr">
        <is>
          <t>Sửa Chữa, Bảo Trì, Cơ Khí Điện, Hỗ Trợ Kỹ Thuật, Khảo Sát Công Trình</t>
        </is>
      </c>
      <c r="M1222" s="10" t="inlineStr">
        <is>
          <t>Bonus, Healthcare Plan, Training, Others</t>
        </is>
      </c>
      <c r="N1222" s="11">
        <f>HYPERLINK("https://www.vietnamworks.com/nhan-vien-ki-thuat-or-technical-2010374-jv","Xem chi tiết")</f>
        <v/>
      </c>
      <c r="O1222" s="10" t="n"/>
    </row>
    <row r="1223">
      <c r="B1223" s="7" t="n">
        <v>1221</v>
      </c>
      <c r="C1223" t="inlineStr">
        <is>
          <t>Kế Toán Trưởng</t>
        </is>
      </c>
      <c r="D1223" t="inlineStr">
        <is>
          <t>Onelab</t>
        </is>
      </c>
      <c r="E1223" t="inlineStr">
        <is>
          <t>Thương lượng</t>
        </is>
      </c>
      <c r="F1223" t="inlineStr">
        <is>
          <t>Hồ Chí Minh</t>
        </is>
      </c>
      <c r="G1223" t="inlineStr">
        <is>
          <t>Trưởng phòng</t>
        </is>
      </c>
      <c r="H1223" t="inlineStr">
        <is>
          <t>06/02/2026</t>
        </is>
      </c>
      <c r="I1223" t="inlineStr">
        <is>
          <t>23/03/2026</t>
        </is>
      </c>
      <c r="J1223" t="inlineStr">
        <is>
          <t>17/03/2026</t>
        </is>
      </c>
      <c r="K1223" t="inlineStr">
        <is>
          <t>N/A</t>
        </is>
      </c>
      <c r="L1223" t="inlineStr">
        <is>
          <t>Kế Toán Trưởng, Tài Chính, Báo Cáo Tài Chính, Kế Toán Thuế, Kiểm Soát Nội Bộ</t>
        </is>
      </c>
      <c r="M1223" t="inlineStr">
        <is>
          <t>Bonus, Healthcare Plan, Paid Leave</t>
        </is>
      </c>
      <c r="N1223" s="8">
        <f>HYPERLINK("https://www.vietnamworks.com/ke-toan-truong--2010365-jv","Xem chi tiết")</f>
        <v/>
      </c>
    </row>
    <row r="1224">
      <c r="B1224" s="9" t="n">
        <v>1222</v>
      </c>
      <c r="C1224" s="10" t="inlineStr">
        <is>
          <t>QA Execution Team Leader</t>
        </is>
      </c>
      <c r="D1224" s="10" t="inlineStr">
        <is>
          <t>Mondelēz Kinh Đô Việt Nam</t>
        </is>
      </c>
      <c r="E1224" s="10" t="inlineStr">
        <is>
          <t>Thương lượng</t>
        </is>
      </c>
      <c r="F1224" s="10" t="inlineStr">
        <is>
          <t>Hưng Yên</t>
        </is>
      </c>
      <c r="G1224" s="10" t="inlineStr">
        <is>
          <t>Nhân viên</t>
        </is>
      </c>
      <c r="H1224" s="10" t="inlineStr">
        <is>
          <t>06/02/2026</t>
        </is>
      </c>
      <c r="I1224" s="10" t="inlineStr">
        <is>
          <t>23/03/2026</t>
        </is>
      </c>
      <c r="J1224" s="10" t="inlineStr">
        <is>
          <t>17/03/2026</t>
        </is>
      </c>
      <c r="K1224" s="10" t="inlineStr">
        <is>
          <t>N/A</t>
        </is>
      </c>
      <c r="L1224" s="10" t="inlineStr">
        <is>
          <t>Tiếp Thị B2B, food safety, 7 QC Tool, Lean Six Sigma, Lean Manufacturing</t>
        </is>
      </c>
      <c r="M1224" s="10" t="inlineStr">
        <is>
          <t>Bonus, Healthcare Plan, Training, Others</t>
        </is>
      </c>
      <c r="N1224" s="11">
        <f>HYPERLINK("https://www.vietnamworks.com/qa-execution-team-leader-2010366-jv","Xem chi tiết")</f>
        <v/>
      </c>
      <c r="O1224" s="10" t="n"/>
    </row>
    <row r="1225">
      <c r="B1225" s="7" t="n">
        <v>1223</v>
      </c>
      <c r="C1225" t="inlineStr">
        <is>
          <t>Trưởng phòng Quản Trị Vốn và Tải sản</t>
        </is>
      </c>
      <c r="D1225" t="inlineStr">
        <is>
          <t>Ngân hàng TMCP Nam Á</t>
        </is>
      </c>
      <c r="E1225" t="inlineStr">
        <is>
          <t>Thương lượng</t>
        </is>
      </c>
      <c r="F1225" t="inlineStr">
        <is>
          <t>Hồ Chí Minh</t>
        </is>
      </c>
      <c r="G1225" t="inlineStr">
        <is>
          <t>Trưởng phòng</t>
        </is>
      </c>
      <c r="H1225" t="inlineStr">
        <is>
          <t>06/02/2026</t>
        </is>
      </c>
      <c r="I1225" t="inlineStr">
        <is>
          <t>23/03/2026</t>
        </is>
      </c>
      <c r="J1225" t="inlineStr">
        <is>
          <t>17/03/2026</t>
        </is>
      </c>
      <c r="K1225" t="inlineStr">
        <is>
          <t>N/A</t>
        </is>
      </c>
      <c r="L1225" t="inlineStr">
        <is>
          <t>Lãnh Đạo, Phân Tích Thị Trường, Quản Lý Rủi Ro Thanh Khoản, Quản Lý Tài Sản, Đào Tạo Nhân Sự</t>
        </is>
      </c>
      <c r="M1225" t="inlineStr">
        <is>
          <t>Bonus, Healthcare Plan, Training, Laptop, Travel Opportunities, Vouchers</t>
        </is>
      </c>
      <c r="N1225" s="8">
        <f>HYPERLINK("https://www.vietnamworks.com/truong-phong-quan-tri-von-va-tai-san-2010367-jv","Xem chi tiết")</f>
        <v/>
      </c>
    </row>
    <row r="1226">
      <c r="B1226" s="9" t="n">
        <v>1224</v>
      </c>
      <c r="C1226" s="10" t="inlineStr">
        <is>
          <t>Sourcing &amp; Development Manager</t>
        </is>
      </c>
      <c r="D1226" s="10" t="inlineStr">
        <is>
          <t>CÔNG TY TNHH FASHION GARMENTS 2</t>
        </is>
      </c>
      <c r="E1226" s="10" t="inlineStr">
        <is>
          <t>Thương lượng</t>
        </is>
      </c>
      <c r="F1226" s="10" t="inlineStr">
        <is>
          <t>Đồng Nai</t>
        </is>
      </c>
      <c r="G1226" s="10" t="inlineStr">
        <is>
          <t>Trưởng phòng</t>
        </is>
      </c>
      <c r="H1226" s="10" t="inlineStr">
        <is>
          <t>06/02/2026</t>
        </is>
      </c>
      <c r="I1226" s="10" t="inlineStr">
        <is>
          <t>23/03/2026</t>
        </is>
      </c>
      <c r="J1226" s="10" t="inlineStr">
        <is>
          <t>17/03/2026</t>
        </is>
      </c>
      <c r="K1226" s="10" t="inlineStr">
        <is>
          <t>N/A</t>
        </is>
      </c>
      <c r="L1226" s="10" t="inlineStr">
        <is>
          <t>Garment Technology</t>
        </is>
      </c>
      <c r="M1226" s="10" t="inlineStr">
        <is>
          <t>Healthcare Plan, Paid Leave, Canteen</t>
        </is>
      </c>
      <c r="N1226" s="11">
        <f>HYPERLINK("https://www.vietnamworks.com/sourcing-and-development-manager-2010373-jv","Xem chi tiết")</f>
        <v/>
      </c>
      <c r="O1226" s="10" t="n"/>
    </row>
    <row r="1227">
      <c r="B1227" s="7" t="n">
        <v>1225</v>
      </c>
      <c r="C1227" t="inlineStr">
        <is>
          <t>[ Hưng Yên] Nhân Viên Nhân Sự (Nghỉ Thứ 7 và Chủ Nhật) - Có Xe Đưa Đón</t>
        </is>
      </c>
      <c r="D1227" t="inlineStr">
        <is>
          <t>Mektec Manufacturing Corporation (Vietnam) Ltd.</t>
        </is>
      </c>
      <c r="E1227" t="inlineStr">
        <is>
          <t>$$ 400-600 /tháng</t>
        </is>
      </c>
      <c r="F1227" t="inlineStr">
        <is>
          <t>Hưng Yên, Hải Dương, Hà Nội</t>
        </is>
      </c>
      <c r="G1227" t="inlineStr">
        <is>
          <t>Nhân viên</t>
        </is>
      </c>
      <c r="H1227" t="inlineStr">
        <is>
          <t>06/02/2026</t>
        </is>
      </c>
      <c r="I1227" t="inlineStr">
        <is>
          <t>23/03/2026</t>
        </is>
      </c>
      <c r="J1227" t="inlineStr">
        <is>
          <t>17/03/2026</t>
        </is>
      </c>
      <c r="K1227" t="inlineStr">
        <is>
          <t>N/A</t>
        </is>
      </c>
      <c r="L1227" t="inlineStr">
        <is>
          <t>Luật Lao Động, Tin Học Văn Phòng (Word- Excel- Powerpoint), Tiếng  Anh Giao Tiếp, Kỹ Năng Phân Tích, Tổng Hợp, Làm Báo Cáo</t>
        </is>
      </c>
      <c r="M1227" t="inlineStr">
        <is>
          <t>Bonus</t>
        </is>
      </c>
      <c r="N1227" s="8">
        <f>HYPERLINK("https://www.vietnamworks.com/hung-yen-nhan-vien-nhan-su-nghi-thu-7-va-chu-nhat-co-xe-dua-don-2010370-jv","Xem chi tiết")</f>
        <v/>
      </c>
    </row>
    <row r="1228">
      <c r="B1228" s="9" t="n">
        <v>1226</v>
      </c>
      <c r="C1228" s="10" t="inlineStr">
        <is>
          <t>Performance Marketing Specialist (Ad Network, Google) (Up-To $5,000)</t>
        </is>
      </c>
      <c r="D1228" s="10" t="inlineStr">
        <is>
          <t>Crossian Việt Nam</t>
        </is>
      </c>
      <c r="E1228" s="10" t="inlineStr">
        <is>
          <t>Tới $ 5,000 /tháng</t>
        </is>
      </c>
      <c r="F1228" s="10" t="inlineStr">
        <is>
          <t>Hà Nội</t>
        </is>
      </c>
      <c r="G1228" s="10" t="inlineStr">
        <is>
          <t>Nhân viên</t>
        </is>
      </c>
      <c r="H1228" s="10" t="inlineStr">
        <is>
          <t>06/02/2026</t>
        </is>
      </c>
      <c r="I1228" s="10" t="inlineStr">
        <is>
          <t>23/03/2026</t>
        </is>
      </c>
      <c r="J1228" s="10" t="inlineStr">
        <is>
          <t>17/03/2026</t>
        </is>
      </c>
      <c r="K1228" s="10" t="inlineStr">
        <is>
          <t>N/A</t>
        </is>
      </c>
      <c r="L1228" s="10" t="inlineStr">
        <is>
          <t>CPA, Data Analysis, Google Analytics, Performance Marketing, E commerce</t>
        </is>
      </c>
      <c r="M1228" s="10" t="inlineStr">
        <is>
          <t>Bonus, Training, Others</t>
        </is>
      </c>
      <c r="N1228" s="11">
        <f>HYPERLINK("https://www.vietnamworks.com/performance-marketing-specialist-ad-network-google-up-to-5-000-2010387-jv","Xem chi tiết")</f>
        <v/>
      </c>
      <c r="O1228" s="10" t="n"/>
    </row>
    <row r="1229">
      <c r="B1229" s="7" t="n">
        <v>1227</v>
      </c>
      <c r="C1229" t="inlineStr">
        <is>
          <t>Trưởng Phòng Kinh Doanh</t>
        </is>
      </c>
      <c r="D1229" t="inlineStr">
        <is>
          <t>CÔNG TY TNHH PHÁT TRIỂN HƯƠNG VIỆT</t>
        </is>
      </c>
      <c r="E1229" t="inlineStr">
        <is>
          <t>18tr-30tr ₫/tháng</t>
        </is>
      </c>
      <c r="F1229" t="inlineStr">
        <is>
          <t>Hồ Chí Minh, Hà Nội</t>
        </is>
      </c>
      <c r="G1229" t="inlineStr">
        <is>
          <t>Trưởng phòng</t>
        </is>
      </c>
      <c r="H1229" t="inlineStr">
        <is>
          <t>06/02/2026</t>
        </is>
      </c>
      <c r="I1229" t="inlineStr">
        <is>
          <t>23/03/2026</t>
        </is>
      </c>
      <c r="J1229" t="inlineStr">
        <is>
          <t>17/03/2026</t>
        </is>
      </c>
      <c r="K1229" t="inlineStr">
        <is>
          <t>N/A</t>
        </is>
      </c>
      <c r="L1229" t="inlineStr">
        <is>
          <t>Kinh Doanh B2B, Leadership, Network, Service Sales, Strategy Selling</t>
        </is>
      </c>
      <c r="M1229" t="inlineStr">
        <is>
          <t>Bonus, Laptop, Team Activities, Others</t>
        </is>
      </c>
      <c r="N1229" s="8">
        <f>HYPERLINK("https://www.vietnamworks.com/truong-phong-kinh-doanh-2010388-jv","Xem chi tiết")</f>
        <v/>
      </c>
    </row>
    <row r="1230">
      <c r="B1230" s="9" t="n">
        <v>1228</v>
      </c>
      <c r="C1230" s="10" t="inlineStr">
        <is>
          <t>Nhân Viên Triển Khai Phần Mềm MES Tiếng Trung</t>
        </is>
      </c>
      <c r="D1230" s="10" t="inlineStr">
        <is>
          <t>CÔNG TY CỔ PHẦN PHẦN MỀM DI GI WIN VIỆT NAM</t>
        </is>
      </c>
      <c r="E1230" s="10" t="inlineStr">
        <is>
          <t>Từ 18tr ₫/tháng</t>
        </is>
      </c>
      <c r="F1230" s="10" t="inlineStr">
        <is>
          <t>Hồ Chí Minh</t>
        </is>
      </c>
      <c r="G1230" s="10" t="inlineStr">
        <is>
          <t>Mới Tốt Nghiệp</t>
        </is>
      </c>
      <c r="H1230" s="10" t="inlineStr">
        <is>
          <t>06/02/2026</t>
        </is>
      </c>
      <c r="I1230" s="10" t="inlineStr">
        <is>
          <t>23/03/2026</t>
        </is>
      </c>
      <c r="J1230" s="10" t="inlineStr">
        <is>
          <t>17/03/2026</t>
        </is>
      </c>
      <c r="K1230" s="10" t="inlineStr">
        <is>
          <t>N/A</t>
        </is>
      </c>
      <c r="L1230" s="10" t="inlineStr">
        <is>
          <t>Quản Lý Sản Xuất, Hệ Thống MES, Thẩm Định Vấn Đề, Tiếng Trung Giao Tiếp, Kế Hoạch Sản Xuất</t>
        </is>
      </c>
      <c r="M1230" s="10" t="inlineStr">
        <is>
          <t>Bonus, Healthcare Plan, Travel Opportunities, Team Activities</t>
        </is>
      </c>
      <c r="N1230" s="11">
        <f>HYPERLINK("https://www.vietnamworks.com/nhan-vien-trien-khai-phan-mem-mes-tieng-trung-2010381-jv","Xem chi tiết")</f>
        <v/>
      </c>
      <c r="O1230" s="10" t="n"/>
    </row>
    <row r="1231">
      <c r="B1231" s="7" t="n">
        <v>1229</v>
      </c>
      <c r="C1231" t="inlineStr">
        <is>
          <t>General Affair Staff/ Nhân Viên Hành Chính</t>
        </is>
      </c>
      <c r="D1231" t="inlineStr">
        <is>
          <t>Yamaha Motor Parts Manufacturing Vietnam Co., Ltd</t>
        </is>
      </c>
      <c r="E1231" t="inlineStr">
        <is>
          <t>Thương lượng</t>
        </is>
      </c>
      <c r="F1231" t="inlineStr">
        <is>
          <t>Hà Nội</t>
        </is>
      </c>
      <c r="G1231" t="inlineStr">
        <is>
          <t>Nhân viên</t>
        </is>
      </c>
      <c r="H1231" t="inlineStr">
        <is>
          <t>06/02/2026</t>
        </is>
      </c>
      <c r="I1231" t="inlineStr">
        <is>
          <t>23/03/2026</t>
        </is>
      </c>
      <c r="J1231" t="inlineStr">
        <is>
          <t>17/03/2026</t>
        </is>
      </c>
      <c r="K1231" t="inlineStr">
        <is>
          <t>N/A</t>
        </is>
      </c>
      <c r="L1231" t="inlineStr">
        <is>
          <t>MS Office, English Communication, General Affairs, Planning, Report Making</t>
        </is>
      </c>
      <c r="M1231" t="inlineStr">
        <is>
          <t>Bonus, Healthcare Plan, Team Activities, Transportation, Others</t>
        </is>
      </c>
      <c r="N1231" s="8">
        <f>HYPERLINK("https://www.vietnamworks.com/general-affair-staff-nhan-vien-hanh-chinh-2010377-jv","Xem chi tiết")</f>
        <v/>
      </c>
    </row>
    <row r="1232">
      <c r="B1232" s="9" t="n">
        <v>1230</v>
      </c>
      <c r="C1232" s="10" t="inlineStr">
        <is>
          <t>Marketing Manager (25M - 40M Vnd/month)</t>
        </is>
      </c>
      <c r="D1232" s="10" t="inlineStr">
        <is>
          <t>INNOVEGA PROTEIN LIMITED</t>
        </is>
      </c>
      <c r="E1232" s="10" t="inlineStr">
        <is>
          <t>25tr-40tr ₫/tháng</t>
        </is>
      </c>
      <c r="F1232" s="10" t="inlineStr">
        <is>
          <t>Hồ Chí Minh</t>
        </is>
      </c>
      <c r="G1232" s="10" t="inlineStr">
        <is>
          <t>Trưởng phòng</t>
        </is>
      </c>
      <c r="H1232" s="10" t="inlineStr">
        <is>
          <t>06/02/2026</t>
        </is>
      </c>
      <c r="I1232" s="10" t="inlineStr">
        <is>
          <t>23/03/2026</t>
        </is>
      </c>
      <c r="J1232" s="10" t="inlineStr">
        <is>
          <t>17/03/2026</t>
        </is>
      </c>
      <c r="K1232" s="10" t="inlineStr">
        <is>
          <t>N/A</t>
        </is>
      </c>
      <c r="L1232" s="10" t="inlineStr">
        <is>
          <t>Marketing Strategy, Brand Identity, Customer Engagement, English, Marketing Design</t>
        </is>
      </c>
      <c r="M1232" s="10" t="inlineStr">
        <is>
          <t>Bonus, Training, Others</t>
        </is>
      </c>
      <c r="N1232" s="11">
        <f>HYPERLINK("https://www.vietnamworks.com/marketing-manager-25m-40m-vnd-month-2010369-jv","Xem chi tiết")</f>
        <v/>
      </c>
      <c r="O1232" s="10" t="n"/>
    </row>
    <row r="1233">
      <c r="B1233" s="7" t="n">
        <v>1231</v>
      </c>
      <c r="C1233" t="inlineStr">
        <is>
          <t>Principal Business Analyst (ERP)</t>
        </is>
      </c>
      <c r="D1233" t="inlineStr">
        <is>
          <t>Titan Dealer Management Solutions Pty. Ltd.</t>
        </is>
      </c>
      <c r="E1233" t="inlineStr">
        <is>
          <t>Thương lượng</t>
        </is>
      </c>
      <c r="F1233" t="inlineStr">
        <is>
          <t>Hồ Chí Minh</t>
        </is>
      </c>
      <c r="G1233" t="inlineStr">
        <is>
          <t>Nhân viên</t>
        </is>
      </c>
      <c r="H1233" t="inlineStr">
        <is>
          <t>06/02/2026</t>
        </is>
      </c>
      <c r="I1233" t="inlineStr">
        <is>
          <t>23/03/2026</t>
        </is>
      </c>
      <c r="J1233" t="inlineStr">
        <is>
          <t>17/03/2026</t>
        </is>
      </c>
      <c r="K1233" t="inlineStr">
        <is>
          <t>N/A</t>
        </is>
      </c>
      <c r="L1233" t="inlineStr">
        <is>
          <t>Agile Scrum, Business Analysis, Communication, ERP Systems, Stakeholder Management</t>
        </is>
      </c>
      <c r="M1233" t="inlineStr">
        <is>
          <t>Bonus, Healthcare Plan, Paid Leave, Team Activities, Others</t>
        </is>
      </c>
      <c r="N1233" s="8">
        <f>HYPERLINK("https://www.vietnamworks.com/principal-business-analyst-erp-2010386-jv","Xem chi tiết")</f>
        <v/>
      </c>
    </row>
    <row r="1234">
      <c r="B1234" s="9" t="n">
        <v>1232</v>
      </c>
      <c r="C1234" s="10" t="inlineStr">
        <is>
          <t>Production Manager</t>
        </is>
      </c>
      <c r="D1234" s="10" t="inlineStr">
        <is>
          <t>Perfetti Van Melle (Viet Nam) Limited</t>
        </is>
      </c>
      <c r="E1234" s="10" t="inlineStr">
        <is>
          <t>Thương lượng</t>
        </is>
      </c>
      <c r="F1234" s="10" t="inlineStr">
        <is>
          <t>Bình Dương</t>
        </is>
      </c>
      <c r="G1234" s="10" t="inlineStr">
        <is>
          <t>Trưởng phòng</t>
        </is>
      </c>
      <c r="H1234" s="10" t="inlineStr">
        <is>
          <t>06/02/2026</t>
        </is>
      </c>
      <c r="I1234" s="10" t="inlineStr">
        <is>
          <t>23/03/2026</t>
        </is>
      </c>
      <c r="J1234" s="10" t="inlineStr">
        <is>
          <t>17/03/2026</t>
        </is>
      </c>
      <c r="K1234" s="10" t="inlineStr">
        <is>
          <t>N/A</t>
        </is>
      </c>
      <c r="L1234" s="10" t="inlineStr">
        <is>
          <t>Industrial Management, FMCG, English, MS Office, Production Management</t>
        </is>
      </c>
      <c r="M1234" s="10" t="inlineStr">
        <is>
          <t>Training</t>
        </is>
      </c>
      <c r="N1234" s="11">
        <f>HYPERLINK("https://www.vietnamworks.com/production-manager-2010364-jv","Xem chi tiết")</f>
        <v/>
      </c>
      <c r="O1234" s="10" t="n"/>
    </row>
    <row r="1235">
      <c r="B1235" s="7" t="n">
        <v>1233</v>
      </c>
      <c r="C1235" t="inlineStr">
        <is>
          <t>Total Quality Innovation Engineer</t>
        </is>
      </c>
      <c r="D1235" t="inlineStr">
        <is>
          <t>Avery Dennison Vietnam</t>
        </is>
      </c>
      <c r="E1235" t="inlineStr">
        <is>
          <t>Thương lượng</t>
        </is>
      </c>
      <c r="F1235" t="inlineStr">
        <is>
          <t>Long An</t>
        </is>
      </c>
      <c r="G1235" t="inlineStr">
        <is>
          <t>Nhân viên</t>
        </is>
      </c>
      <c r="H1235" t="inlineStr">
        <is>
          <t>06/02/2026</t>
        </is>
      </c>
      <c r="I1235" t="inlineStr">
        <is>
          <t>23/03/2026</t>
        </is>
      </c>
      <c r="J1235" t="inlineStr">
        <is>
          <t>17/03/2026</t>
        </is>
      </c>
      <c r="K1235" t="inlineStr">
        <is>
          <t>N/A</t>
        </is>
      </c>
      <c r="L1235" t="inlineStr">
        <is>
          <t>Communication Skills, Data Analytics, Printing Technology, Quality Process Improvement, Workflow Automation</t>
        </is>
      </c>
      <c r="M1235" t="inlineStr">
        <is>
          <t>Bonus, Healthcare Plan, Laptop, Transportation, Canteen</t>
        </is>
      </c>
      <c r="N1235" s="8">
        <f>HYPERLINK("https://www.vietnamworks.com/total-quality-innovation-engineer-2010394-jv","Xem chi tiết")</f>
        <v/>
      </c>
    </row>
    <row r="1236">
      <c r="B1236" s="9" t="n">
        <v>1234</v>
      </c>
      <c r="C1236" s="10" t="inlineStr">
        <is>
          <t>Production Supervisor</t>
        </is>
      </c>
      <c r="D1236" s="10" t="inlineStr">
        <is>
          <t>La Vie Limited Liability Company</t>
        </is>
      </c>
      <c r="E1236" s="10" t="inlineStr">
        <is>
          <t>Thương lượng</t>
        </is>
      </c>
      <c r="F1236" s="10" t="inlineStr">
        <is>
          <t>Long An</t>
        </is>
      </c>
      <c r="G1236" s="10" t="inlineStr">
        <is>
          <t>Nhân viên</t>
        </is>
      </c>
      <c r="H1236" s="10" t="inlineStr">
        <is>
          <t>06/02/2026</t>
        </is>
      </c>
      <c r="I1236" s="10" t="inlineStr">
        <is>
          <t>23/03/2026</t>
        </is>
      </c>
      <c r="J1236" s="10" t="inlineStr">
        <is>
          <t>17/03/2026</t>
        </is>
      </c>
      <c r="K1236" s="10" t="inlineStr">
        <is>
          <t>N/A</t>
        </is>
      </c>
      <c r="L1236" s="10" t="inlineStr">
        <is>
          <t>Continuous Improvement, Production Management, Quality Assurance, Safety Compliance, Team Management</t>
        </is>
      </c>
      <c r="M1236" s="10" t="inlineStr">
        <is>
          <t>Bonus, Healthcare Plan, Training</t>
        </is>
      </c>
      <c r="N1236" s="11">
        <f>HYPERLINK("https://www.vietnamworks.com/production-supervisor-2010384-jv","Xem chi tiết")</f>
        <v/>
      </c>
      <c r="O1236" s="10" t="n"/>
    </row>
    <row r="1237">
      <c r="B1237" s="7" t="n">
        <v>1235</v>
      </c>
      <c r="C1237" t="inlineStr">
        <is>
          <t>Quản Lý Kinh Doanh Kinh Nghiệm Từ 5 Năm</t>
        </is>
      </c>
      <c r="D1237" t="inlineStr">
        <is>
          <t>CÔNG TY TNHH PHÁT TRIỂN HƯƠNG VIỆT</t>
        </is>
      </c>
      <c r="E1237" t="inlineStr">
        <is>
          <t>25tr-40tr ₫/tháng</t>
        </is>
      </c>
      <c r="F1237" t="inlineStr">
        <is>
          <t>Hà Nội, Hồ Chí Minh</t>
        </is>
      </c>
      <c r="G1237" t="inlineStr">
        <is>
          <t>Trưởng phòng</t>
        </is>
      </c>
      <c r="H1237" t="inlineStr">
        <is>
          <t>06/02/2026</t>
        </is>
      </c>
      <c r="I1237" t="inlineStr">
        <is>
          <t>23/03/2026</t>
        </is>
      </c>
      <c r="J1237" t="inlineStr">
        <is>
          <t>17/03/2026</t>
        </is>
      </c>
      <c r="K1237" t="inlineStr">
        <is>
          <t>N/A</t>
        </is>
      </c>
      <c r="L1237" t="inlineStr">
        <is>
          <t>B2B Sales, Business Development, Education Management, Negotiation Skills, Strategic Communications</t>
        </is>
      </c>
      <c r="M1237" t="inlineStr">
        <is>
          <t>Bonus, Others</t>
        </is>
      </c>
      <c r="N1237" s="8">
        <f>HYPERLINK("https://www.vietnamworks.com/quan-ly-kinh-doanh-kinh-nghiem-tu-5-nam-2010389-jv","Xem chi tiết")</f>
        <v/>
      </c>
    </row>
    <row r="1238">
      <c r="B1238" s="9" t="n">
        <v>1236</v>
      </c>
      <c r="C1238" s="10" t="inlineStr">
        <is>
          <t>Kỹ Sư Giám Sát Trắc Đạc (Làm Việc Tại Thái Bình/ Hòa Bình)</t>
        </is>
      </c>
      <c r="D1238" s="10" t="inlineStr">
        <is>
          <t>Green i-Park</t>
        </is>
      </c>
      <c r="E1238" s="10" t="inlineStr">
        <is>
          <t>Thương lượng</t>
        </is>
      </c>
      <c r="F1238" s="10" t="inlineStr">
        <is>
          <t>Hà Nội, Hòa Bình, Thái Bình</t>
        </is>
      </c>
      <c r="G1238" s="10" t="inlineStr">
        <is>
          <t>Nhân viên</t>
        </is>
      </c>
      <c r="H1238" s="10" t="inlineStr">
        <is>
          <t>06/02/2026</t>
        </is>
      </c>
      <c r="I1238" s="10" t="inlineStr">
        <is>
          <t>23/03/2026</t>
        </is>
      </c>
      <c r="J1238" s="10" t="inlineStr">
        <is>
          <t>17/03/2026</t>
        </is>
      </c>
      <c r="K1238" s="10" t="inlineStr">
        <is>
          <t>N/A</t>
        </is>
      </c>
      <c r="L1238" s="10" t="inlineStr">
        <is>
          <t>Hạ Tầng Kỹ Thuật, Trắc Đạc, Trắc Đạc Thi Công, Trắc Địa, Trắc Địa Công Trình</t>
        </is>
      </c>
      <c r="M1238" s="10" t="inlineStr">
        <is>
          <t>Bonus, Healthcare Plan, Others</t>
        </is>
      </c>
      <c r="N1238" s="11">
        <f>HYPERLINK("https://www.vietnamworks.com/ky-su-giam-sat-trac-dac-lam-viec-tai-thai-binh-hoa-binh-2010391-jv","Xem chi tiết")</f>
        <v/>
      </c>
      <c r="O1238" s="10" t="n"/>
    </row>
    <row r="1239">
      <c r="B1239" s="7" t="n">
        <v>1237</v>
      </c>
      <c r="C1239" t="inlineStr">
        <is>
          <t>Giảng Viên Công Nghệ Thông Tin</t>
        </is>
      </c>
      <c r="D1239" t="inlineStr">
        <is>
          <t>Trường Đại Học Nguyễn Tất Thành</t>
        </is>
      </c>
      <c r="E1239" t="inlineStr">
        <is>
          <t>Thương lượng</t>
        </is>
      </c>
      <c r="F1239" t="inlineStr">
        <is>
          <t>Hồ Chí Minh</t>
        </is>
      </c>
      <c r="G1239" t="inlineStr">
        <is>
          <t>Nhân viên</t>
        </is>
      </c>
      <c r="H1239" t="inlineStr">
        <is>
          <t>06/02/2026</t>
        </is>
      </c>
      <c r="I1239" t="inlineStr">
        <is>
          <t>23/03/2026</t>
        </is>
      </c>
      <c r="J1239" t="inlineStr">
        <is>
          <t>17/03/2026</t>
        </is>
      </c>
      <c r="K1239" t="inlineStr">
        <is>
          <t>N/A</t>
        </is>
      </c>
      <c r="L1239" t="inlineStr">
        <is>
          <t>Giảng Dạy, Công Nghệ Thông Tin, Viễn Thông, Nghiên Cứu Khoa Học, Teaching</t>
        </is>
      </c>
      <c r="M1239" t="inlineStr">
        <is>
          <t>Bonus, Healthcare Plan, Training</t>
        </is>
      </c>
      <c r="N1239" s="8">
        <f>HYPERLINK("https://www.vietnamworks.com/giang-vien-cong-nghe-thong-tin-18-1-1-1-1-1-2-1-1--2010390-jv","Xem chi tiết")</f>
        <v/>
      </c>
    </row>
    <row r="1240">
      <c r="B1240" s="9" t="n">
        <v>1238</v>
      </c>
      <c r="C1240" s="10" t="inlineStr">
        <is>
          <t>Kỹ Sư Giám Sát (Công Trình Giao Thông) - Làm Việc Tại Thái Bình</t>
        </is>
      </c>
      <c r="D1240" s="10" t="inlineStr">
        <is>
          <t>Green i-Park</t>
        </is>
      </c>
      <c r="E1240" s="10" t="inlineStr">
        <is>
          <t>Thương lượng</t>
        </is>
      </c>
      <c r="F1240" s="10" t="inlineStr">
        <is>
          <t>Hà Nội, Hải Phòng, Thái Bình</t>
        </is>
      </c>
      <c r="G1240" s="10" t="inlineStr">
        <is>
          <t>Nhân viên</t>
        </is>
      </c>
      <c r="H1240" s="10" t="inlineStr">
        <is>
          <t>06/02/2026</t>
        </is>
      </c>
      <c r="I1240" s="10" t="inlineStr">
        <is>
          <t>23/03/2026</t>
        </is>
      </c>
      <c r="J1240" s="10" t="inlineStr">
        <is>
          <t>17/03/2026</t>
        </is>
      </c>
      <c r="K1240" s="10" t="inlineStr">
        <is>
          <t>N/A</t>
        </is>
      </c>
      <c r="L1240" s="10" t="inlineStr">
        <is>
          <t>Giám Sát Công Trình, Hạ Tầng Kỹ Thuật, Cầu Đường, Giám Sát Công Trường, Xây Dựng Cầu Đường Bộ</t>
        </is>
      </c>
      <c r="M1240" s="10" t="inlineStr">
        <is>
          <t>Bonus, Healthcare Plan, Others</t>
        </is>
      </c>
      <c r="N1240" s="11">
        <f>HYPERLINK("https://www.vietnamworks.com/ky-su-giam-sat-cong-trinh-giao-thong-lam-viec-tai-thai-binh-2010393-jv","Xem chi tiết")</f>
        <v/>
      </c>
      <c r="O1240" s="10" t="n"/>
    </row>
    <row r="1241">
      <c r="B1241" s="7" t="n">
        <v>1239</v>
      </c>
      <c r="C1241" t="inlineStr">
        <is>
          <t>Technical Sale Support (Shuttle Bus from HCMC /bien Hoa)</t>
        </is>
      </c>
      <c r="D1241" t="inlineStr">
        <is>
          <t>Công Ty TNHH Công Nghiệp TruAire Việt Nam (TAVN)</t>
        </is>
      </c>
      <c r="E1241" t="inlineStr">
        <is>
          <t>Thương lượng</t>
        </is>
      </c>
      <c r="F1241" t="inlineStr">
        <is>
          <t>Đồng Nai, Bình Dương, Hồ Chí Minh</t>
        </is>
      </c>
      <c r="G1241" t="inlineStr">
        <is>
          <t>Nhân viên</t>
        </is>
      </c>
      <c r="H1241" t="inlineStr">
        <is>
          <t>06/02/2026</t>
        </is>
      </c>
      <c r="I1241" t="inlineStr">
        <is>
          <t>23/03/2026</t>
        </is>
      </c>
      <c r="J1241" t="inlineStr">
        <is>
          <t>17/03/2026</t>
        </is>
      </c>
      <c r="K1241" t="inlineStr">
        <is>
          <t>N/A</t>
        </is>
      </c>
      <c r="L1241" t="inlineStr">
        <is>
          <t>Blueprint Drawing, Quantity Survey, Mechanical Engineering, HVAC, QS</t>
        </is>
      </c>
      <c r="M1241" t="inlineStr">
        <is>
          <t>Bonus, Healthcare Plan, Others</t>
        </is>
      </c>
      <c r="N1241" s="8">
        <f>HYPERLINK("https://www.vietnamworks.com/technical-sale-support-shuttle-bus-from-hcmc-bien-hoa-2010383-jv","Xem chi tiết")</f>
        <v/>
      </c>
    </row>
    <row r="1242">
      <c r="B1242" s="9" t="n">
        <v>1240</v>
      </c>
      <c r="C1242" s="10" t="inlineStr">
        <is>
          <t>Trưởng Phòng QC - Ngành Gỗ Nội Thất</t>
        </is>
      </c>
      <c r="D1242" s="10" t="inlineStr">
        <is>
          <t>Alliance Construction &amp; Fine Furniture Company</t>
        </is>
      </c>
      <c r="E1242" s="10" t="inlineStr">
        <is>
          <t>Thương lượng</t>
        </is>
      </c>
      <c r="F1242" s="10" t="inlineStr">
        <is>
          <t>Long An, Hồ Chí Minh</t>
        </is>
      </c>
      <c r="G1242" s="10" t="inlineStr">
        <is>
          <t>Trưởng phòng</t>
        </is>
      </c>
      <c r="H1242" s="10" t="inlineStr">
        <is>
          <t>06/02/2026</t>
        </is>
      </c>
      <c r="I1242" s="10" t="inlineStr">
        <is>
          <t>23/03/2026</t>
        </is>
      </c>
      <c r="J1242" s="10" t="inlineStr">
        <is>
          <t>17/03/2026</t>
        </is>
      </c>
      <c r="K1242" s="10" t="inlineStr">
        <is>
          <t>N/A</t>
        </is>
      </c>
      <c r="L1242" s="10" t="inlineStr">
        <is>
          <t>Đọc Bản Vẽ Kỹ Thuật, Chất Lượng Sản Phẩm, Nghiệm Thu Sản Phẩm Mới, Qc, Sản Xuất Đồ Gỗ</t>
        </is>
      </c>
      <c r="M1242" s="10" t="inlineStr">
        <is>
          <t>Bonus, Team Activities, Transportation</t>
        </is>
      </c>
      <c r="N1242" s="11">
        <f>HYPERLINK("https://www.vietnamworks.com/truong-phong-qc-nganh-go-noi-that-2010412-jv","Xem chi tiết")</f>
        <v/>
      </c>
      <c r="O1242" s="10" t="n"/>
    </row>
    <row r="1243">
      <c r="B1243" s="7" t="n">
        <v>1241</v>
      </c>
      <c r="C1243" t="inlineStr">
        <is>
          <t>Chuyên Viên Cao Cấp Phát Triển Đối Tác - Kênh Digital</t>
        </is>
      </c>
      <c r="D1243" t="inlineStr">
        <is>
          <t>Bảo hiểm VietinBank (VBI)</t>
        </is>
      </c>
      <c r="E1243" t="inlineStr">
        <is>
          <t>Thương lượng</t>
        </is>
      </c>
      <c r="F1243" t="inlineStr">
        <is>
          <t>Hà Nội</t>
        </is>
      </c>
      <c r="G1243" t="inlineStr">
        <is>
          <t>Nhân viên</t>
        </is>
      </c>
      <c r="H1243" t="inlineStr">
        <is>
          <t>06/02/2026</t>
        </is>
      </c>
      <c r="I1243" t="inlineStr">
        <is>
          <t>23/03/2026</t>
        </is>
      </c>
      <c r="J1243" t="inlineStr">
        <is>
          <t>17/03/2026</t>
        </is>
      </c>
      <c r="K1243" t="inlineStr">
        <is>
          <t>N/A</t>
        </is>
      </c>
      <c r="L1243" t="inlineStr">
        <is>
          <t>Insurtech Experience, Fintech, Partnership Development, Bảo Hiểm, Quản Lý Khách Hàng</t>
        </is>
      </c>
      <c r="M1243" t="inlineStr">
        <is>
          <t>Bonus, Healthcare Plan, Paid Leave, Training, Travel Opportunities, Others</t>
        </is>
      </c>
      <c r="N1243" s="8">
        <f>HYPERLINK("https://www.vietnamworks.com/chuyen-vien-cao-cap-phat-trien-djoi-tac-kenh-digital-2010402-jv","Xem chi tiết")</f>
        <v/>
      </c>
    </row>
    <row r="1244">
      <c r="B1244" s="9" t="n">
        <v>1242</v>
      </c>
      <c r="C1244" s="10" t="inlineStr">
        <is>
          <t>HR Supervisor (Focusing on Performance &amp; Retention)</t>
        </is>
      </c>
      <c r="D1244" s="10" t="inlineStr">
        <is>
          <t>Terumo Vietnam Co., Ltd</t>
        </is>
      </c>
      <c r="E1244" s="10" t="inlineStr">
        <is>
          <t>Thương lượng</t>
        </is>
      </c>
      <c r="F1244" s="10" t="inlineStr">
        <is>
          <t>Hà Nội</t>
        </is>
      </c>
      <c r="G1244" s="10" t="inlineStr">
        <is>
          <t>Nhân viên</t>
        </is>
      </c>
      <c r="H1244" s="10" t="inlineStr">
        <is>
          <t>06/02/2026</t>
        </is>
      </c>
      <c r="I1244" s="10" t="inlineStr">
        <is>
          <t>23/03/2026</t>
        </is>
      </c>
      <c r="J1244" s="10" t="inlineStr">
        <is>
          <t>17/03/2026</t>
        </is>
      </c>
      <c r="K1244" s="10" t="inlineStr">
        <is>
          <t>N/A</t>
        </is>
      </c>
      <c r="L1244" s="10" t="inlineStr">
        <is>
          <t>Nhân Sự, Human Resources, Talent Retention, HR, Employee Development</t>
        </is>
      </c>
      <c r="M1244" s="10" t="inlineStr">
        <is>
          <t>Bonus, Healthcare Plan, Transportation</t>
        </is>
      </c>
      <c r="N1244" s="11">
        <f>HYPERLINK("https://www.vietnamworks.com/hr-supervisor-focusing-on-performance-retention-2010417-jv","Xem chi tiết")</f>
        <v/>
      </c>
      <c r="O1244" s="10" t="n"/>
    </row>
    <row r="1245">
      <c r="B1245" s="7" t="n">
        <v>1243</v>
      </c>
      <c r="C1245" t="inlineStr">
        <is>
          <t>Senior Immigration Consultant</t>
        </is>
      </c>
      <c r="D1245" t="inlineStr">
        <is>
          <t>Portico &amp; Bridge</t>
        </is>
      </c>
      <c r="E1245" t="inlineStr">
        <is>
          <t>Thương lượng</t>
        </is>
      </c>
      <c r="F1245" t="inlineStr">
        <is>
          <t>Hồ Chí Minh</t>
        </is>
      </c>
      <c r="G1245" t="inlineStr">
        <is>
          <t>Nhân viên</t>
        </is>
      </c>
      <c r="H1245" t="inlineStr">
        <is>
          <t>06/02/2026</t>
        </is>
      </c>
      <c r="I1245" t="inlineStr">
        <is>
          <t>23/03/2026</t>
        </is>
      </c>
      <c r="J1245" t="inlineStr">
        <is>
          <t>17/03/2026</t>
        </is>
      </c>
      <c r="K1245" t="inlineStr">
        <is>
          <t>N/A</t>
        </is>
      </c>
      <c r="L1245" t="inlineStr">
        <is>
          <t>Immigration Consulting, Immigration Law, Immigration Processes, Sales Management</t>
        </is>
      </c>
      <c r="M1245" t="inlineStr">
        <is>
          <t>Bonus, Paid Leave, Awards, Others</t>
        </is>
      </c>
      <c r="N1245" s="8">
        <f>HYPERLINK("https://www.vietnamworks.com/senior-immigration-consultant-2010396-jv","Xem chi tiết")</f>
        <v/>
      </c>
    </row>
    <row r="1246">
      <c r="B1246" s="9" t="n">
        <v>1244</v>
      </c>
      <c r="C1246" s="10" t="inlineStr">
        <is>
          <t>IT Support</t>
        </is>
      </c>
      <c r="D1246" s="10" t="inlineStr">
        <is>
          <t>Spiraledge Vietnam</t>
        </is>
      </c>
      <c r="E1246" s="10" t="inlineStr">
        <is>
          <t>Thương lượng</t>
        </is>
      </c>
      <c r="F1246" s="10" t="inlineStr">
        <is>
          <t>Hồ Chí Minh</t>
        </is>
      </c>
      <c r="G1246" s="10" t="inlineStr">
        <is>
          <t>Mới Tốt Nghiệp</t>
        </is>
      </c>
      <c r="H1246" s="10" t="inlineStr">
        <is>
          <t>06/02/2026</t>
        </is>
      </c>
      <c r="I1246" s="10" t="inlineStr">
        <is>
          <t>23/03/2026</t>
        </is>
      </c>
      <c r="J1246" s="10" t="inlineStr">
        <is>
          <t>17/03/2026</t>
        </is>
      </c>
      <c r="K1246" s="10" t="inlineStr">
        <is>
          <t>N/A</t>
        </is>
      </c>
      <c r="L1246" s="10" t="inlineStr">
        <is>
          <t>Technical Support, System Administration, AI Integration, Linux, Window</t>
        </is>
      </c>
      <c r="M1246" s="10" t="inlineStr">
        <is>
          <t>Training, Team Activities, Others</t>
        </is>
      </c>
      <c r="N1246" s="11">
        <f>HYPERLINK("https://www.vietnamworks.com/it-support-2010398-jv","Xem chi tiết")</f>
        <v/>
      </c>
      <c r="O1246" s="10" t="n"/>
    </row>
    <row r="1247">
      <c r="B1247" s="7" t="n">
        <v>1245</v>
      </c>
      <c r="C1247" t="inlineStr">
        <is>
          <t>Sales Team Leader (Call-Center Environment)</t>
        </is>
      </c>
      <c r="D1247" t="inlineStr">
        <is>
          <t>Công Ty TNHH The Eureka VT</t>
        </is>
      </c>
      <c r="E1247" t="inlineStr">
        <is>
          <t>Tới $ 2,000 /tháng</t>
        </is>
      </c>
      <c r="F1247" t="inlineStr">
        <is>
          <t>Hồ Chí Minh</t>
        </is>
      </c>
      <c r="G1247" t="inlineStr">
        <is>
          <t>Nhân viên</t>
        </is>
      </c>
      <c r="H1247" t="inlineStr">
        <is>
          <t>06/02/2026</t>
        </is>
      </c>
      <c r="I1247" t="inlineStr">
        <is>
          <t>23/03/2026</t>
        </is>
      </c>
      <c r="J1247" t="inlineStr">
        <is>
          <t>17/03/2026</t>
        </is>
      </c>
      <c r="K1247" t="inlineStr">
        <is>
          <t>N/A</t>
        </is>
      </c>
      <c r="L1247" t="inlineStr">
        <is>
          <t>English, Sales Development, Sales Management, Sales Strategy, Team Management</t>
        </is>
      </c>
      <c r="M1247" t="inlineStr">
        <is>
          <t>Healthcare Plan, Training, Team Activities, Canteen</t>
        </is>
      </c>
      <c r="N1247" s="8">
        <f>HYPERLINK("https://www.vietnamworks.com/sales-team-leader-call-center-environment-2010410-jv","Xem chi tiết")</f>
        <v/>
      </c>
    </row>
    <row r="1248">
      <c r="B1248" s="9" t="n">
        <v>1246</v>
      </c>
      <c r="C1248" s="10" t="inlineStr">
        <is>
          <t>Nhân Viên Kiểm Tra, Quản Lý Chất Lượng (QC) - Bắc Ninh</t>
        </is>
      </c>
      <c r="D1248" s="10" t="inlineStr">
        <is>
          <t>Micro Precision Calibration Việt Nam</t>
        </is>
      </c>
      <c r="E1248" s="10" t="inlineStr">
        <is>
          <t>10tr-20tr ₫/tháng</t>
        </is>
      </c>
      <c r="F1248" s="10" t="inlineStr">
        <is>
          <t>Bắc Ninh</t>
        </is>
      </c>
      <c r="G1248" s="10" t="inlineStr">
        <is>
          <t>Nhân viên</t>
        </is>
      </c>
      <c r="H1248" s="10" t="inlineStr">
        <is>
          <t>06/02/2026</t>
        </is>
      </c>
      <c r="I1248" s="10" t="inlineStr">
        <is>
          <t>23/03/2026</t>
        </is>
      </c>
      <c r="J1248" s="10" t="inlineStr">
        <is>
          <t>17/03/2026</t>
        </is>
      </c>
      <c r="K1248" s="10" t="inlineStr">
        <is>
          <t>N/A</t>
        </is>
      </c>
      <c r="L1248" s="10" t="inlineStr">
        <is>
          <t>Quản lý chất lượng, ISO 17025, Điện Tử, Kế Toán Phân Tích, Tiếng Anh Căn Bản</t>
        </is>
      </c>
      <c r="M1248" s="10" t="inlineStr">
        <is>
          <t>Bonus, Healthcare Plan, Paid Leave, Team Activities, Transportation, Others</t>
        </is>
      </c>
      <c r="N1248" s="11">
        <f>HYPERLINK("https://www.vietnamworks.com/nhan-vien-kiem-tra-quan-ly-chat-luong-qc-bac-ninh-2010416-jv","Xem chi tiết")</f>
        <v/>
      </c>
      <c r="O1248" s="10" t="n"/>
    </row>
    <row r="1249">
      <c r="B1249" s="7" t="n">
        <v>1247</v>
      </c>
      <c r="C1249" t="inlineStr">
        <is>
          <t>Nhân Viên Kỹ Thuật (Điện, Điện Tử, Điện Tử Viễn Thông, Cơ Khí …) - Bắc Ninh</t>
        </is>
      </c>
      <c r="D1249" t="inlineStr">
        <is>
          <t>Micro Precision Calibration Việt Nam</t>
        </is>
      </c>
      <c r="E1249" t="inlineStr">
        <is>
          <t>12tr-20tr ₫/tháng</t>
        </is>
      </c>
      <c r="F1249" t="inlineStr">
        <is>
          <t>Bắc Ninh</t>
        </is>
      </c>
      <c r="G1249" t="inlineStr">
        <is>
          <t>Nhân viên</t>
        </is>
      </c>
      <c r="H1249" t="inlineStr">
        <is>
          <t>06/02/2026</t>
        </is>
      </c>
      <c r="I1249" t="inlineStr">
        <is>
          <t>23/03/2026</t>
        </is>
      </c>
      <c r="J1249" t="inlineStr">
        <is>
          <t>17/03/2026</t>
        </is>
      </c>
      <c r="K1249" t="inlineStr">
        <is>
          <t>N/A</t>
        </is>
      </c>
      <c r="L1249" t="inlineStr">
        <is>
          <t>Điện, Điện Tử, Cơ Khí, Đo Lường Tự Động, Tiếng Anh</t>
        </is>
      </c>
      <c r="M1249" t="inlineStr">
        <is>
          <t>Bonus, Healthcare Plan, Paid Leave, Training, Team Activities, Others</t>
        </is>
      </c>
      <c r="N1249" s="8">
        <f>HYPERLINK("https://www.vietnamworks.com/nhan-vien-ky-thuat-dien-dien-tu-dien-tu-vien-thong-co-khi-bac-ninh-2010413-jv","Xem chi tiết")</f>
        <v/>
      </c>
    </row>
    <row r="1250">
      <c r="B1250" s="9" t="n">
        <v>1248</v>
      </c>
      <c r="C1250" s="10" t="inlineStr">
        <is>
          <t>Nhân Viên Xuất Nhập Khẩu</t>
        </is>
      </c>
      <c r="D1250" s="10" t="inlineStr">
        <is>
          <t>Công Ty TNHH OGINO Việt Nam Từ Sơn</t>
        </is>
      </c>
      <c r="E1250" s="10" t="inlineStr">
        <is>
          <t>Thương lượng</t>
        </is>
      </c>
      <c r="F1250" s="10" t="inlineStr">
        <is>
          <t>Bắc Ninh</t>
        </is>
      </c>
      <c r="G1250" s="10" t="inlineStr">
        <is>
          <t>Mới Tốt Nghiệp</t>
        </is>
      </c>
      <c r="H1250" s="10" t="inlineStr">
        <is>
          <t>06/02/2026</t>
        </is>
      </c>
      <c r="I1250" s="10" t="inlineStr">
        <is>
          <t>23/03/2026</t>
        </is>
      </c>
      <c r="J1250" s="10" t="inlineStr">
        <is>
          <t>17/03/2026</t>
        </is>
      </c>
      <c r="K1250" s="10" t="inlineStr">
        <is>
          <t>N/A</t>
        </is>
      </c>
      <c r="L1250" s="10" t="inlineStr">
        <is>
          <t>Giao Nhận Vận Chuyển, Thủ Tục Hải Quan, Chứng Từ Xuất Nhập Khẩu, Mua Hàng, Tiếng Anh</t>
        </is>
      </c>
      <c r="M1250" s="10" t="inlineStr">
        <is>
          <t>Bonus, Team Activities, Others</t>
        </is>
      </c>
      <c r="N1250" s="11">
        <f>HYPERLINK("https://www.vietnamworks.com/nhan-vien-xuat-nhap-khau--2010403-jv","Xem chi tiết")</f>
        <v/>
      </c>
      <c r="O1250" s="10" t="n"/>
    </row>
    <row r="1251">
      <c r="B1251" s="7" t="n">
        <v>1249</v>
      </c>
      <c r="C1251" t="inlineStr">
        <is>
          <t>Product Development Staff</t>
        </is>
      </c>
      <c r="D1251" t="inlineStr">
        <is>
          <t>Coepto Vietnam Company</t>
        </is>
      </c>
      <c r="E1251" t="inlineStr">
        <is>
          <t>Thương lượng</t>
        </is>
      </c>
      <c r="F1251" t="inlineStr">
        <is>
          <t>Long An, Hồ Chí Minh</t>
        </is>
      </c>
      <c r="G1251" t="inlineStr">
        <is>
          <t>Nhân viên</t>
        </is>
      </c>
      <c r="H1251" t="inlineStr">
        <is>
          <t>06/02/2026</t>
        </is>
      </c>
      <c r="I1251" t="inlineStr">
        <is>
          <t>23/03/2026</t>
        </is>
      </c>
      <c r="J1251" t="inlineStr">
        <is>
          <t>17/03/2026</t>
        </is>
      </c>
      <c r="K1251" t="inlineStr">
        <is>
          <t>N/A</t>
        </is>
      </c>
      <c r="L1251" t="inlineStr">
        <is>
          <t>Material Development, Kĩ Thuật Sản Phẩm, Nghiên Cứu Vật Liệu, Phát Triển Sản Phẩm, Packaging structural design</t>
        </is>
      </c>
      <c r="M1251" t="inlineStr">
        <is>
          <t>Healthcare Plan, Paid Leave, Transportation</t>
        </is>
      </c>
      <c r="N1251" s="8">
        <f>HYPERLINK("https://www.vietnamworks.com/product-development-staff-2010399-jv","Xem chi tiết")</f>
        <v/>
      </c>
    </row>
    <row r="1252">
      <c r="B1252" s="9" t="n">
        <v>1250</v>
      </c>
      <c r="C1252" s="10" t="inlineStr">
        <is>
          <t>Marketing Executive</t>
        </is>
      </c>
      <c r="D1252" s="10" t="inlineStr">
        <is>
          <t>FUSION HOTEL GROUP</t>
        </is>
      </c>
      <c r="E1252" s="10" t="inlineStr">
        <is>
          <t>Thương lượng</t>
        </is>
      </c>
      <c r="F1252" s="10" t="inlineStr">
        <is>
          <t>Hồ Chí Minh</t>
        </is>
      </c>
      <c r="G1252" s="10" t="inlineStr">
        <is>
          <t>Nhân viên</t>
        </is>
      </c>
      <c r="H1252" s="10" t="inlineStr">
        <is>
          <t>06/02/2026</t>
        </is>
      </c>
      <c r="I1252" s="10" t="inlineStr">
        <is>
          <t>23/03/2026</t>
        </is>
      </c>
      <c r="J1252" s="10" t="inlineStr">
        <is>
          <t>17/03/2026</t>
        </is>
      </c>
      <c r="K1252" s="10" t="inlineStr">
        <is>
          <t>N/A</t>
        </is>
      </c>
      <c r="L1252" s="10" t="inlineStr">
        <is>
          <t>Digital Marketing, PR Management, Market Analysis, Content Creation, Communication</t>
        </is>
      </c>
      <c r="M1252" s="10" t="inlineStr">
        <is>
          <t>Healthcare Plan, Training, Team Activities</t>
        </is>
      </c>
      <c r="N1252" s="11">
        <f>HYPERLINK("https://www.vietnamworks.com/marketing-executive-2010418-jv","Xem chi tiết")</f>
        <v/>
      </c>
      <c r="O1252" s="10" t="n"/>
    </row>
    <row r="1253">
      <c r="B1253" s="7" t="n">
        <v>1251</v>
      </c>
      <c r="C1253" t="inlineStr">
        <is>
          <t>Nhân Viên Phát Triển Sản Phẩm Số (Digital Product Executive)</t>
        </is>
      </c>
      <c r="D1253" t="inlineStr">
        <is>
          <t>Công Ty Cổ Phần Dược Phẩm Hoa Linh</t>
        </is>
      </c>
      <c r="E1253" t="inlineStr">
        <is>
          <t>Từ $ 400 /tháng</t>
        </is>
      </c>
      <c r="F1253" t="inlineStr">
        <is>
          <t>Hà Nội</t>
        </is>
      </c>
      <c r="G1253" t="inlineStr">
        <is>
          <t>Nhân viên</t>
        </is>
      </c>
      <c r="H1253" t="inlineStr">
        <is>
          <t>06/02/2026</t>
        </is>
      </c>
      <c r="I1253" t="inlineStr">
        <is>
          <t>23/03/2026</t>
        </is>
      </c>
      <c r="J1253" t="inlineStr">
        <is>
          <t>17/03/2026</t>
        </is>
      </c>
      <c r="K1253" t="inlineStr">
        <is>
          <t>N/A</t>
        </is>
      </c>
      <c r="L1253" t="inlineStr">
        <is>
          <t>Information Technology, Data Analysis, Communication, Digital Management, Digital Development</t>
        </is>
      </c>
      <c r="M1253" t="inlineStr">
        <is>
          <t>Bonus, Healthcare Plan, Paid Leave</t>
        </is>
      </c>
      <c r="N1253" s="8">
        <f>HYPERLINK("https://www.vietnamworks.com/nhan-vien-phat-trien-san-pham-so-digital-product-executive-2010400-jv","Xem chi tiết")</f>
        <v/>
      </c>
    </row>
    <row r="1254">
      <c r="B1254" s="9" t="n">
        <v>1252</v>
      </c>
      <c r="C1254" s="10" t="inlineStr">
        <is>
          <t>Senior Expert, Digital Sales Management</t>
        </is>
      </c>
      <c r="D1254" s="10" t="inlineStr">
        <is>
          <t>Techcombank</t>
        </is>
      </c>
      <c r="E1254" s="10" t="inlineStr">
        <is>
          <t>Thương lượng</t>
        </is>
      </c>
      <c r="F1254" s="10" t="inlineStr">
        <is>
          <t>Hà Nội</t>
        </is>
      </c>
      <c r="G1254" s="10" t="inlineStr">
        <is>
          <t>Nhân viên</t>
        </is>
      </c>
      <c r="H1254" s="10" t="inlineStr">
        <is>
          <t>06/02/2026</t>
        </is>
      </c>
      <c r="I1254" s="10" t="inlineStr">
        <is>
          <t>23/03/2026</t>
        </is>
      </c>
      <c r="J1254" s="10" t="inlineStr">
        <is>
          <t>17/03/2026</t>
        </is>
      </c>
      <c r="K1254" s="10" t="inlineStr">
        <is>
          <t>N/A</t>
        </is>
      </c>
      <c r="L1254" s="10" t="inlineStr">
        <is>
          <t>Digital Marketing, Sales Strategy, Agile, Digital Sales, Digital Transformation</t>
        </is>
      </c>
      <c r="M1254" s="10" t="inlineStr">
        <is>
          <t>Bonus, Healthcare Plan, Paid Leave</t>
        </is>
      </c>
      <c r="N1254" s="11">
        <f>HYPERLINK("https://www.vietnamworks.com/senior-expert-digital-sales-management--2010407-jv","Xem chi tiết")</f>
        <v/>
      </c>
      <c r="O1254" s="10" t="n"/>
    </row>
    <row r="1255">
      <c r="B1255" s="7" t="n">
        <v>1253</v>
      </c>
      <c r="C1255" t="inlineStr">
        <is>
          <t>Nhân Viên Kế Toán Lễ Tân - Thu Nhập Hấp Dẫn + Thưởng KPI Năm</t>
        </is>
      </c>
      <c r="D1255" t="inlineStr">
        <is>
          <t>Công Ty TNHH Dr. Marie</t>
        </is>
      </c>
      <c r="E1255" t="inlineStr">
        <is>
          <t>Thương lượng</t>
        </is>
      </c>
      <c r="F1255" t="inlineStr">
        <is>
          <t>Hà Nội, Nghệ An</t>
        </is>
      </c>
      <c r="G1255" t="inlineStr">
        <is>
          <t>Nhân viên</t>
        </is>
      </c>
      <c r="H1255" t="inlineStr">
        <is>
          <t>06/02/2026</t>
        </is>
      </c>
      <c r="I1255" t="inlineStr">
        <is>
          <t>23/03/2026</t>
        </is>
      </c>
      <c r="J1255" t="inlineStr">
        <is>
          <t>17/03/2026</t>
        </is>
      </c>
      <c r="K1255" t="inlineStr">
        <is>
          <t>N/A</t>
        </is>
      </c>
      <c r="L1255" t="inlineStr">
        <is>
          <t>Lễ Tân, Receptionist Experience, Hành Chính Tòa Nhà, Hành Chính Lễ Tân, Kế Toán</t>
        </is>
      </c>
      <c r="M1255" t="inlineStr">
        <is>
          <t>Bonus, Healthcare Plan, Awards</t>
        </is>
      </c>
      <c r="N1255" s="8">
        <f>HYPERLINK("https://www.vietnamworks.com/nhan-vien-ke-toan-le-tan-thu-nhap-hap-dan-thuong-kpi-nam--2010395-jv","Xem chi tiết")</f>
        <v/>
      </c>
    </row>
    <row r="1256">
      <c r="B1256" s="9" t="n">
        <v>1254</v>
      </c>
      <c r="C1256" s="10" t="inlineStr">
        <is>
          <t>Chuyên Viên Thư Ký Hành Chính (Lĩnh Vực Bất Động Sản)</t>
        </is>
      </c>
      <c r="D1256" s="10" t="inlineStr">
        <is>
          <t>Công Ty Cổ Phần Tập Đoàn BRG</t>
        </is>
      </c>
      <c r="E1256" s="10" t="inlineStr">
        <is>
          <t>Thương lượng</t>
        </is>
      </c>
      <c r="F1256" s="10" t="inlineStr">
        <is>
          <t>Hà Nội</t>
        </is>
      </c>
      <c r="G1256" s="10" t="inlineStr">
        <is>
          <t>Nhân viên</t>
        </is>
      </c>
      <c r="H1256" s="10" t="inlineStr">
        <is>
          <t>06/02/2026</t>
        </is>
      </c>
      <c r="I1256" s="10" t="inlineStr">
        <is>
          <t>23/03/2026</t>
        </is>
      </c>
      <c r="J1256" s="10" t="inlineStr">
        <is>
          <t>17/03/2026</t>
        </is>
      </c>
      <c r="K1256" s="10" t="inlineStr">
        <is>
          <t>N/A</t>
        </is>
      </c>
      <c r="L1256" s="10" t="inlineStr">
        <is>
          <t>Nghiệp Vụ Thư Ký, Văn Thư Lưu Trữ, Thư ký Giám đốc</t>
        </is>
      </c>
      <c r="M1256" s="10" t="inlineStr">
        <is>
          <t>Bonus, Healthcare Plan, Travel Opportunities</t>
        </is>
      </c>
      <c r="N1256" s="11">
        <f>HYPERLINK("https://www.vietnamworks.com/chuyen-vien-thu-ky-hanh-chinh-linh-vuc-bat-dong-san-2010421-jv","Xem chi tiết")</f>
        <v/>
      </c>
      <c r="O1256" s="10" t="n"/>
    </row>
    <row r="1257">
      <c r="B1257" s="7" t="n">
        <v>1255</v>
      </c>
      <c r="C1257" t="inlineStr">
        <is>
          <t>Nhân Viên Kế Toán - Ưu Tiên Nữ</t>
        </is>
      </c>
      <c r="D1257" t="inlineStr">
        <is>
          <t>Công Ty TNHH Xuất Khẩu Mỹ Thuật Dương Sơn</t>
        </is>
      </c>
      <c r="E1257" t="inlineStr">
        <is>
          <t>Thương lượng</t>
        </is>
      </c>
      <c r="F1257" t="inlineStr">
        <is>
          <t>Hồ Chí Minh</t>
        </is>
      </c>
      <c r="G1257" t="inlineStr">
        <is>
          <t>Nhân viên</t>
        </is>
      </c>
      <c r="H1257" t="inlineStr">
        <is>
          <t>06/02/2026</t>
        </is>
      </c>
      <c r="I1257" t="inlineStr">
        <is>
          <t>23/03/2026</t>
        </is>
      </c>
      <c r="J1257" t="inlineStr">
        <is>
          <t>17/03/2026</t>
        </is>
      </c>
      <c r="K1257" t="inlineStr">
        <is>
          <t>N/A</t>
        </is>
      </c>
      <c r="L1257" t="inlineStr">
        <is>
          <t>Báo Cáo Tài Chính, Quyết Toán Thuế, Hạch Toán, Kế Toán Doanh Nghiệp, Thanh Toán Công Nợ</t>
        </is>
      </c>
      <c r="M1257" t="inlineStr">
        <is>
          <t>Bonus, Vouchers, Others</t>
        </is>
      </c>
      <c r="N1257" s="8">
        <f>HYPERLINK("https://www.vietnamworks.com/nhan-vien-ke-toan-uu-tien-nu--2010419-jv","Xem chi tiết")</f>
        <v/>
      </c>
    </row>
    <row r="1258">
      <c r="B1258" s="9" t="n">
        <v>1256</v>
      </c>
      <c r="C1258" s="10" t="inlineStr">
        <is>
          <t>Quality Assurance Specialist (Furniture/ Binh Duong/ US MNC)</t>
        </is>
      </c>
      <c r="D1258" s="10" t="inlineStr">
        <is>
          <t>VPDD Citigroup Ltd. In Vietnam</t>
        </is>
      </c>
      <c r="E1258" s="10" t="inlineStr">
        <is>
          <t>Thương lượng</t>
        </is>
      </c>
      <c r="F1258" s="10" t="inlineStr">
        <is>
          <t>Bình Dương, Hồ Chí Minh, Đồng Nai</t>
        </is>
      </c>
      <c r="G1258" s="10" t="inlineStr">
        <is>
          <t>Nhân viên</t>
        </is>
      </c>
      <c r="H1258" s="10" t="inlineStr">
        <is>
          <t>06/02/2026</t>
        </is>
      </c>
      <c r="I1258" s="10" t="inlineStr">
        <is>
          <t>23/03/2026</t>
        </is>
      </c>
      <c r="J1258" s="10" t="inlineStr">
        <is>
          <t>17/03/2026</t>
        </is>
      </c>
      <c r="K1258" s="10" t="inlineStr">
        <is>
          <t>N/A</t>
        </is>
      </c>
      <c r="L1258" s="10" t="inlineStr">
        <is>
          <t>Quality Assurance, Furniture, Quality Control, Wood Material, English</t>
        </is>
      </c>
      <c r="M1258" s="10" t="inlineStr">
        <is>
          <t>Paid Leave, Laptop, Transportation</t>
        </is>
      </c>
      <c r="N1258" s="11">
        <f>HYPERLINK("https://www.vietnamworks.com/quality-assurance-specialist-furniture-binh-duong-us-mnc-2010405-jv","Xem chi tiết")</f>
        <v/>
      </c>
      <c r="O1258" s="10" t="n"/>
    </row>
    <row r="1259">
      <c r="B1259" s="7" t="n">
        <v>1257</v>
      </c>
      <c r="C1259" t="inlineStr">
        <is>
          <t>Chỉ Huy Phó, Chỉ Huy Trưởng Dự Án (Có Kinh Nghiệm M.E.P &amp; PCCC, Điện, Nước, HVAC, BMS) Upto 40Tr + Thưởng Dự Án Hấp Dẫn</t>
        </is>
      </c>
      <c r="D1259" t="inlineStr">
        <is>
          <t>Công ty cổ phần cơ điện Himep https://himep.vn/</t>
        </is>
      </c>
      <c r="E1259" t="inlineStr">
        <is>
          <t>Tới 40tr ₫/tháng</t>
        </is>
      </c>
      <c r="F1259" t="inlineStr">
        <is>
          <t>Quảng Ninh, Hải Phòng, Hà Nội</t>
        </is>
      </c>
      <c r="G1259" t="inlineStr">
        <is>
          <t>Trưởng phòng</t>
        </is>
      </c>
      <c r="H1259" t="inlineStr">
        <is>
          <t>06/02/2026</t>
        </is>
      </c>
      <c r="I1259" t="inlineStr">
        <is>
          <t>23/03/2026</t>
        </is>
      </c>
      <c r="J1259" t="inlineStr">
        <is>
          <t>17/03/2026</t>
        </is>
      </c>
      <c r="K1259" t="inlineStr">
        <is>
          <t>N/A</t>
        </is>
      </c>
      <c r="L1259" t="inlineStr">
        <is>
          <t>PCCC, Cơ Điện, HVAC, Điện, Điện Lạnh</t>
        </is>
      </c>
      <c r="M1259" t="inlineStr">
        <is>
          <t>Bonus, Healthcare Plan, Paid Leave, Training, Others</t>
        </is>
      </c>
      <c r="N1259" s="8">
        <f>HYPERLINK("https://www.vietnamworks.com/chi-huy-pho-chi-huy-truong-du-an-co-kinh-nghiem-m-e-p-and-pccc-djien-nuoc-hvac-bms-upto-40tr-thuong-du-an-hap-dan-2010414-jv","Xem chi tiết")</f>
        <v/>
      </c>
    </row>
    <row r="1260">
      <c r="B1260" s="9" t="n">
        <v>1258</v>
      </c>
      <c r="C1260" s="10" t="inlineStr">
        <is>
          <t>Giám Sát Nhân Sự (Làm Việc Tại Mô Rai, Quảng Ngãi)</t>
        </is>
      </c>
      <c r="D1260" s="10" t="inlineStr">
        <is>
          <t>Công Ty Cổ Phần Tập Đoàn TH</t>
        </is>
      </c>
      <c r="E1260" s="10" t="inlineStr">
        <is>
          <t>Thương lượng</t>
        </is>
      </c>
      <c r="F1260" s="10" t="inlineStr">
        <is>
          <t>Quảng Ngãi</t>
        </is>
      </c>
      <c r="G1260" s="10" t="inlineStr">
        <is>
          <t>Trưởng phòng</t>
        </is>
      </c>
      <c r="H1260" s="10" t="inlineStr">
        <is>
          <t>06/02/2026</t>
        </is>
      </c>
      <c r="I1260" s="10" t="inlineStr">
        <is>
          <t>23/03/2026</t>
        </is>
      </c>
      <c r="J1260" s="10" t="inlineStr">
        <is>
          <t>17/03/2026</t>
        </is>
      </c>
      <c r="K1260" s="10" t="inlineStr">
        <is>
          <t>N/A</t>
        </is>
      </c>
      <c r="L1260" s="10" t="inlineStr">
        <is>
          <t>Quản Lý Hành Chính, Quản Trị Nhân Sự, Tạo Nguồn Tuyển Dụng, Tuyển Dụng</t>
        </is>
      </c>
      <c r="M1260" s="10" t="inlineStr">
        <is>
          <t>Bonus</t>
        </is>
      </c>
      <c r="N1260" s="11">
        <f>HYPERLINK("https://www.vietnamworks.com/giam-sat-nhan-su-lam-viec-tai-mo-rai-quang-ngai-2010420-jv","Xem chi tiết")</f>
        <v/>
      </c>
      <c r="O1260" s="10" t="n"/>
    </row>
    <row r="1261">
      <c r="B1261" s="7" t="n">
        <v>1259</v>
      </c>
      <c r="C1261" t="inlineStr">
        <is>
          <t>Kỹ Sư Xây Dựng (Làm Việc Tại Văn Phòng)</t>
        </is>
      </c>
      <c r="D1261" t="inlineStr">
        <is>
          <t>Công Ty TNHH Kiturami Doum</t>
        </is>
      </c>
      <c r="E1261" t="inlineStr">
        <is>
          <t>22tr-30tr ₫/tháng</t>
        </is>
      </c>
      <c r="F1261" t="inlineStr">
        <is>
          <t>Hà Nội</t>
        </is>
      </c>
      <c r="G1261" t="inlineStr">
        <is>
          <t>Nhân viên</t>
        </is>
      </c>
      <c r="H1261" t="inlineStr">
        <is>
          <t>06/02/2026</t>
        </is>
      </c>
      <c r="I1261" t="inlineStr">
        <is>
          <t>23/03/2026</t>
        </is>
      </c>
      <c r="J1261" t="inlineStr">
        <is>
          <t>17/03/2026</t>
        </is>
      </c>
      <c r="K1261" t="inlineStr">
        <is>
          <t>N/A</t>
        </is>
      </c>
      <c r="L1261" t="inlineStr">
        <is>
          <t>Bóc Tách Khối Lượng, Cơ Điện, Xây Dựng, AutoCAD, Quản Lý Dự Án</t>
        </is>
      </c>
      <c r="M1261" t="inlineStr">
        <is>
          <t>Bonus, Healthcare Plan, Paid Leave, Others</t>
        </is>
      </c>
      <c r="N1261" s="8">
        <f>HYPERLINK("https://www.vietnamworks.com/ky-su-xay-dung-lam-viec-tai-van-phong-2010424-jv","Xem chi tiết")</f>
        <v/>
      </c>
    </row>
    <row r="1262">
      <c r="B1262" s="9" t="n">
        <v>1260</v>
      </c>
      <c r="C1262" s="10" t="inlineStr">
        <is>
          <t>Trợ Lý Chuyên Môn Ưu Tiên Nam (Lĩnh Vực Bất Động Sản)</t>
        </is>
      </c>
      <c r="D1262" s="10" t="inlineStr">
        <is>
          <t>Công Ty Cổ Phần Tập Đoàn BRG</t>
        </is>
      </c>
      <c r="E1262" s="10" t="inlineStr">
        <is>
          <t>Thương lượng</t>
        </is>
      </c>
      <c r="F1262" s="10" t="inlineStr">
        <is>
          <t>Hà Nội</t>
        </is>
      </c>
      <c r="G1262" s="10" t="inlineStr">
        <is>
          <t>Trưởng phòng</t>
        </is>
      </c>
      <c r="H1262" s="10" t="inlineStr">
        <is>
          <t>06/02/2026</t>
        </is>
      </c>
      <c r="I1262" s="10" t="inlineStr">
        <is>
          <t>23/03/2026</t>
        </is>
      </c>
      <c r="J1262" s="10" t="inlineStr">
        <is>
          <t>17/03/2026</t>
        </is>
      </c>
      <c r="K1262" s="10" t="inlineStr">
        <is>
          <t>N/A</t>
        </is>
      </c>
      <c r="L1262" s="10" t="inlineStr">
        <is>
          <t>Bất Động Sản, Trợ lý cá nhân</t>
        </is>
      </c>
      <c r="M1262" s="10" t="inlineStr">
        <is>
          <t>Bonus, Healthcare Plan, Travel Opportunities</t>
        </is>
      </c>
      <c r="N1262" s="11">
        <f>HYPERLINK("https://www.vietnamworks.com/tro-ly-chuyen-mon-uu-tien-nam-linh-vuc-bat-dong-san-2010426-jv","Xem chi tiết")</f>
        <v/>
      </c>
      <c r="O1262" s="10" t="n"/>
    </row>
    <row r="1263">
      <c r="B1263" s="7" t="n">
        <v>1261</v>
      </c>
      <c r="C1263" t="inlineStr">
        <is>
          <t>Chuyên Viên Cao Cấp Khách Hàng Cá Nhân( Liễu Giai - Hà Nội) - Thu Nhập Không Giới Hạn</t>
        </is>
      </c>
      <c r="D1263" t="inlineStr">
        <is>
          <t>Ngân hàng TMCP Quốc Tế Việt Nam</t>
        </is>
      </c>
      <c r="E1263" t="inlineStr">
        <is>
          <t>$$ 1,000-10,000 /tháng</t>
        </is>
      </c>
      <c r="F1263" t="inlineStr">
        <is>
          <t>Hà Nội</t>
        </is>
      </c>
      <c r="G1263" t="inlineStr">
        <is>
          <t>Nhân viên</t>
        </is>
      </c>
      <c r="H1263" t="inlineStr">
        <is>
          <t>06/02/2026</t>
        </is>
      </c>
      <c r="I1263" t="inlineStr">
        <is>
          <t>23/03/2026</t>
        </is>
      </c>
      <c r="J1263" t="inlineStr">
        <is>
          <t>17/03/2026</t>
        </is>
      </c>
      <c r="K1263" t="inlineStr">
        <is>
          <t>N/A</t>
        </is>
      </c>
      <c r="L1263" t="inlineStr">
        <is>
          <t>Tài Chính Ngân Hàng, Tín Dụng Doanh Nghiệp, Tài Chính, Quan Hệ Khách Hàng, Chăm Sóc Khách Hàng</t>
        </is>
      </c>
      <c r="M1263" t="inlineStr">
        <is>
          <t>Bonus</t>
        </is>
      </c>
      <c r="N1263" s="8">
        <f>HYPERLINK("https://www.vietnamworks.com/chuyen-vien-cao-cap-khach-hang-ca-nhan-lieu-giai-ha-noi-thu-nhap-khong-gioi-han-2010441-jv","Xem chi tiết")</f>
        <v/>
      </c>
    </row>
    <row r="1264">
      <c r="B1264" s="9" t="n">
        <v>1262</v>
      </c>
      <c r="C1264" s="10" t="inlineStr">
        <is>
          <t>Graphic Designer (Fluent In English)</t>
        </is>
      </c>
      <c r="D1264" s="10" t="inlineStr">
        <is>
          <t>ODM Group Ltd.</t>
        </is>
      </c>
      <c r="E1264" s="10" t="inlineStr">
        <is>
          <t>Thương lượng</t>
        </is>
      </c>
      <c r="F1264" s="10" t="inlineStr">
        <is>
          <t>Hồ Chí Minh</t>
        </is>
      </c>
      <c r="G1264" s="10" t="inlineStr">
        <is>
          <t>Nhân viên</t>
        </is>
      </c>
      <c r="H1264" s="10" t="inlineStr">
        <is>
          <t>06/02/2026</t>
        </is>
      </c>
      <c r="I1264" s="10" t="inlineStr">
        <is>
          <t>23/03/2026</t>
        </is>
      </c>
      <c r="J1264" s="10" t="inlineStr">
        <is>
          <t>17/03/2026</t>
        </is>
      </c>
      <c r="K1264" s="10" t="inlineStr">
        <is>
          <t>N/A</t>
        </is>
      </c>
      <c r="L1264" s="10" t="inlineStr">
        <is>
          <t>Graphic Design, Design, Adobe, Photoshop, Sketching</t>
        </is>
      </c>
      <c r="M1264" s="10" t="inlineStr">
        <is>
          <t>Bonus, Paid Leave, Laptop</t>
        </is>
      </c>
      <c r="N1264" s="11">
        <f>HYPERLINK("https://www.vietnamworks.com/graphic-designer-fluent-in-english--2010442-jv","Xem chi tiết")</f>
        <v/>
      </c>
      <c r="O1264" s="10" t="n"/>
    </row>
    <row r="1265">
      <c r="B1265" s="7" t="n">
        <v>1263</v>
      </c>
      <c r="C1265" t="inlineStr">
        <is>
          <t>Kỹ Sư Phòng Sản Xuất</t>
        </is>
      </c>
      <c r="D1265" t="inlineStr">
        <is>
          <t>SEI Electronic Components (Vietnam), Ltd.</t>
        </is>
      </c>
      <c r="E1265" t="inlineStr">
        <is>
          <t>Thương lượng</t>
        </is>
      </c>
      <c r="F1265" t="inlineStr">
        <is>
          <t>Hà Nội</t>
        </is>
      </c>
      <c r="G1265" t="inlineStr">
        <is>
          <t>Nhân viên</t>
        </is>
      </c>
      <c r="H1265" t="inlineStr">
        <is>
          <t>06/02/2026</t>
        </is>
      </c>
      <c r="I1265" t="inlineStr">
        <is>
          <t>23/03/2026</t>
        </is>
      </c>
      <c r="J1265" t="inlineStr">
        <is>
          <t>17/03/2026</t>
        </is>
      </c>
      <c r="K1265" t="inlineStr">
        <is>
          <t>N/A</t>
        </is>
      </c>
      <c r="L1265" t="inlineStr">
        <is>
          <t>Process Quality Management, Theo Dõi Tiến Độ, Cải Tiến Dây Chuyền Sản Xuất, Kế Hoạch Sản Xuất, Cải Tiến Quy Trình Sản Xuất</t>
        </is>
      </c>
      <c r="M1265" t="inlineStr">
        <is>
          <t>Bonus, Paid Leave, Transportation</t>
        </is>
      </c>
      <c r="N1265" s="8">
        <f>HYPERLINK("https://www.vietnamworks.com/ky-su-phong-san-xuat--2010428-jv","Xem chi tiết")</f>
        <v/>
      </c>
    </row>
    <row r="1266">
      <c r="B1266" s="9" t="n">
        <v>1264</v>
      </c>
      <c r="C1266" s="10" t="inlineStr">
        <is>
          <t>Nhân Viên Chất Lượng Phòng CNC</t>
        </is>
      </c>
      <c r="D1266" s="10" t="inlineStr">
        <is>
          <t>Công ty TNHH Elentec Việt Nam</t>
        </is>
      </c>
      <c r="E1266" s="10" t="inlineStr">
        <is>
          <t>Thương lượng</t>
        </is>
      </c>
      <c r="F1266" s="10" t="inlineStr">
        <is>
          <t>Hà Nội</t>
        </is>
      </c>
      <c r="G1266" s="10" t="inlineStr">
        <is>
          <t>Nhân viên</t>
        </is>
      </c>
      <c r="H1266" s="10" t="inlineStr">
        <is>
          <t>06/02/2026</t>
        </is>
      </c>
      <c r="I1266" s="10" t="inlineStr">
        <is>
          <t>23/03/2026</t>
        </is>
      </c>
      <c r="J1266" s="10" t="inlineStr">
        <is>
          <t>17/03/2026</t>
        </is>
      </c>
      <c r="K1266" s="10" t="inlineStr">
        <is>
          <t>N/A</t>
        </is>
      </c>
      <c r="L1266" s="10" t="inlineStr">
        <is>
          <t>Giám Sát Chất Lượng, Phân Tích Chất Lượng, Quản Lý Chất Lượng, Giao Tiếp, Tin Học Văn Phòng</t>
        </is>
      </c>
      <c r="M1266" s="10" t="inlineStr">
        <is>
          <t>Bonus, Healthcare Plan, Transportation, Canteen, Others</t>
        </is>
      </c>
      <c r="N1266" s="11">
        <f>HYPERLINK("https://www.vietnamworks.com/nhan-vien-chat-luong-phong-cnc-2010452-jv","Xem chi tiết")</f>
        <v/>
      </c>
      <c r="O1266" s="10" t="n"/>
    </row>
    <row r="1267">
      <c r="B1267" s="7" t="n">
        <v>1265</v>
      </c>
      <c r="C1267" t="inlineStr">
        <is>
          <t>Kỹ Thuật Lập Trình VISION</t>
        </is>
      </c>
      <c r="D1267" t="inlineStr">
        <is>
          <t>Công ty TNHH Elentec Việt Nam</t>
        </is>
      </c>
      <c r="E1267" t="inlineStr">
        <is>
          <t>Thương lượng</t>
        </is>
      </c>
      <c r="F1267" t="inlineStr">
        <is>
          <t>Hà Nội</t>
        </is>
      </c>
      <c r="G1267" t="inlineStr">
        <is>
          <t>Nhân viên</t>
        </is>
      </c>
      <c r="H1267" t="inlineStr">
        <is>
          <t>06/02/2026</t>
        </is>
      </c>
      <c r="I1267" t="inlineStr">
        <is>
          <t>23/03/2026</t>
        </is>
      </c>
      <c r="J1267" t="inlineStr">
        <is>
          <t>17/03/2026</t>
        </is>
      </c>
      <c r="K1267" t="inlineStr">
        <is>
          <t>N/A</t>
        </is>
      </c>
      <c r="L1267" t="inlineStr">
        <is>
          <t>Tự Động Hóa, Xử Lý Ảnh, Machine Vision, Điện Tử, MS Office</t>
        </is>
      </c>
      <c r="M1267" t="inlineStr">
        <is>
          <t>Bonus, Transportation, Canteen</t>
        </is>
      </c>
      <c r="N1267" s="8">
        <f>HYPERLINK("https://www.vietnamworks.com/ky-thuat-lap-trinh-vision--2010444-jv","Xem chi tiết")</f>
        <v/>
      </c>
    </row>
    <row r="1268">
      <c r="B1268" s="9" t="n">
        <v>1266</v>
      </c>
      <c r="C1268" s="10" t="inlineStr">
        <is>
          <t>Business Development Manager</t>
        </is>
      </c>
      <c r="D1268" s="10" t="inlineStr">
        <is>
          <t>Tech Data APAC</t>
        </is>
      </c>
      <c r="E1268" s="10" t="inlineStr">
        <is>
          <t>Thương lượng</t>
        </is>
      </c>
      <c r="F1268" s="10" t="inlineStr">
        <is>
          <t>Hồ Chí Minh</t>
        </is>
      </c>
      <c r="G1268" s="10" t="inlineStr">
        <is>
          <t>Trưởng phòng</t>
        </is>
      </c>
      <c r="H1268" s="10" t="inlineStr">
        <is>
          <t>06/02/2026</t>
        </is>
      </c>
      <c r="I1268" s="10" t="inlineStr">
        <is>
          <t>23/03/2026</t>
        </is>
      </c>
      <c r="J1268" s="10" t="inlineStr">
        <is>
          <t>17/03/2026</t>
        </is>
      </c>
      <c r="K1268" s="10" t="inlineStr">
        <is>
          <t>N/A</t>
        </is>
      </c>
      <c r="L1268" s="10" t="inlineStr">
        <is>
          <t>Business Development, It Distribution Experience, Communication Skills, Negotiation Skills, Interpersonal skills</t>
        </is>
      </c>
      <c r="M1268" s="10" t="inlineStr">
        <is>
          <t>Healthcare Plan, Training, Team Activities, Others</t>
        </is>
      </c>
      <c r="N1268" s="11">
        <f>HYPERLINK("https://www.vietnamworks.com/business-development-manager-2010450-jv","Xem chi tiết")</f>
        <v/>
      </c>
      <c r="O1268" s="10" t="n"/>
    </row>
    <row r="1269">
      <c r="B1269" s="7" t="n">
        <v>1267</v>
      </c>
      <c r="C1269" t="inlineStr">
        <is>
          <t>Customer Service Officer</t>
        </is>
      </c>
      <c r="D1269" t="inlineStr">
        <is>
          <t>Rochdale Spears Co., Ltd.</t>
        </is>
      </c>
      <c r="E1269" t="inlineStr">
        <is>
          <t>Thương lượng</t>
        </is>
      </c>
      <c r="F1269" t="inlineStr">
        <is>
          <t>Bình Dương</t>
        </is>
      </c>
      <c r="G1269" t="inlineStr">
        <is>
          <t>Nhân viên</t>
        </is>
      </c>
      <c r="H1269" t="inlineStr">
        <is>
          <t>06/02/2026</t>
        </is>
      </c>
      <c r="I1269" t="inlineStr">
        <is>
          <t>23/03/2026</t>
        </is>
      </c>
      <c r="J1269" t="inlineStr">
        <is>
          <t>17/03/2026</t>
        </is>
      </c>
      <c r="K1269" t="inlineStr">
        <is>
          <t>N/A</t>
        </is>
      </c>
      <c r="L1269" t="inlineStr">
        <is>
          <t>Customer Service, Communication, Furniture, Reporting</t>
        </is>
      </c>
      <c r="M1269" t="inlineStr">
        <is>
          <t>Bonus, Transportation</t>
        </is>
      </c>
      <c r="N1269" s="8">
        <f>HYPERLINK("https://www.vietnamworks.com/customer-service-officer--2010446-jv","Xem chi tiết")</f>
        <v/>
      </c>
    </row>
    <row r="1270">
      <c r="B1270" s="9" t="n">
        <v>1268</v>
      </c>
      <c r="C1270" s="10" t="inlineStr">
        <is>
          <t>Senior Pre-Sales Consultant</t>
        </is>
      </c>
      <c r="D1270" s="10" t="inlineStr">
        <is>
          <t>Tech Data APAC</t>
        </is>
      </c>
      <c r="E1270" s="10" t="inlineStr">
        <is>
          <t>Thương lượng</t>
        </is>
      </c>
      <c r="F1270" s="10" t="inlineStr">
        <is>
          <t>Hồ Chí Minh</t>
        </is>
      </c>
      <c r="G1270" s="10" t="inlineStr">
        <is>
          <t>Nhân viên</t>
        </is>
      </c>
      <c r="H1270" s="10" t="inlineStr">
        <is>
          <t>06/02/2026</t>
        </is>
      </c>
      <c r="I1270" s="10" t="inlineStr">
        <is>
          <t>23/03/2026</t>
        </is>
      </c>
      <c r="J1270" s="10" t="inlineStr">
        <is>
          <t>17/03/2026</t>
        </is>
      </c>
      <c r="K1270" s="10" t="inlineStr">
        <is>
          <t>N/A</t>
        </is>
      </c>
      <c r="L1270" s="10" t="inlineStr">
        <is>
          <t>Presales Technical, Provide Demonstration, Problem-solving, Independent work, English Communication</t>
        </is>
      </c>
      <c r="M1270" s="10" t="inlineStr">
        <is>
          <t>Others</t>
        </is>
      </c>
      <c r="N1270" s="11">
        <f>HYPERLINK("https://www.vietnamworks.com/senior-pre-sales-consultant-2010448-jv","Xem chi tiết")</f>
        <v/>
      </c>
      <c r="O1270" s="10" t="n"/>
    </row>
    <row r="1271">
      <c r="B1271" s="7" t="n">
        <v>1269</v>
      </c>
      <c r="C1271" t="inlineStr">
        <is>
          <t>Chuyên Viên Phân Tích Tài Chính FP&amp;A</t>
        </is>
      </c>
      <c r="D1271" t="inlineStr">
        <is>
          <t>CÔNG TY CỔ PHẦN TẬP ĐOÀN ĐẦU TƯ HOÀNG GIA VIỆT NAM</t>
        </is>
      </c>
      <c r="E1271" t="inlineStr">
        <is>
          <t>Thương lượng</t>
        </is>
      </c>
      <c r="F1271" t="inlineStr">
        <is>
          <t>Hồ Chí Minh</t>
        </is>
      </c>
      <c r="G1271" t="inlineStr">
        <is>
          <t>Nhân viên</t>
        </is>
      </c>
      <c r="H1271" t="inlineStr">
        <is>
          <t>06/02/2026</t>
        </is>
      </c>
      <c r="I1271" t="inlineStr">
        <is>
          <t>23/03/2026</t>
        </is>
      </c>
      <c r="J1271" t="inlineStr">
        <is>
          <t>17/03/2026</t>
        </is>
      </c>
      <c r="K1271" t="inlineStr">
        <is>
          <t>N/A</t>
        </is>
      </c>
      <c r="L1271" t="inlineStr">
        <is>
          <t>Tài Chính, Finance Analyst, Finance Planning</t>
        </is>
      </c>
      <c r="M1271" t="inlineStr">
        <is>
          <t>Healthcare Plan, Training, Travel Opportunities</t>
        </is>
      </c>
      <c r="N1271" s="8">
        <f>HYPERLINK("https://www.vietnamworks.com/chuyen-vien-phan-tich-tai-chinh-fp-a-2010432-jv","Xem chi tiết")</f>
        <v/>
      </c>
    </row>
    <row r="1272">
      <c r="B1272" s="9" t="n">
        <v>1270</v>
      </c>
      <c r="C1272" s="10" t="inlineStr">
        <is>
          <t>KẾ TOÁN TRƯỞNG (Chief Accountant)</t>
        </is>
      </c>
      <c r="D1272" s="10" t="inlineStr">
        <is>
          <t>Công ty Cổ Phần Vạn Phát Hưng</t>
        </is>
      </c>
      <c r="E1272" s="10" t="inlineStr">
        <is>
          <t>$$ 1,500-2,000 /tháng</t>
        </is>
      </c>
      <c r="F1272" s="10" t="inlineStr">
        <is>
          <t>Hồ Chí Minh</t>
        </is>
      </c>
      <c r="G1272" s="10" t="inlineStr">
        <is>
          <t>Trưởng phòng</t>
        </is>
      </c>
      <c r="H1272" s="10" t="inlineStr">
        <is>
          <t>06/02/2026</t>
        </is>
      </c>
      <c r="I1272" s="10" t="inlineStr">
        <is>
          <t>23/03/2026</t>
        </is>
      </c>
      <c r="J1272" s="10" t="inlineStr">
        <is>
          <t>17/03/2026</t>
        </is>
      </c>
      <c r="K1272" s="10" t="inlineStr">
        <is>
          <t>N/A</t>
        </is>
      </c>
      <c r="L1272" s="10" t="inlineStr">
        <is>
          <t>Kỹ năng giao tiếp, Phân Tích Tài Chính, Quản Lý Kế Toán, Quản Lý Ngân Sách, Thủ Tục Kế Toán</t>
        </is>
      </c>
      <c r="M1272" s="10" t="inlineStr">
        <is>
          <t>Bonus, Healthcare Plan, Paid Leave, Training, Others</t>
        </is>
      </c>
      <c r="N1272" s="11">
        <f>HYPERLINK("https://www.vietnamworks.com/ke-toan-truong-chief-accountant-2010431-jv","Xem chi tiết")</f>
        <v/>
      </c>
      <c r="O1272" s="10" t="n"/>
    </row>
    <row r="1273">
      <c r="B1273" s="7" t="n">
        <v>1271</v>
      </c>
      <c r="C1273" t="inlineStr">
        <is>
          <t>Kế Toán Tổng Hợp (General Accountant)</t>
        </is>
      </c>
      <c r="D1273" t="inlineStr">
        <is>
          <t>Tiim Group Co., Ltd.</t>
        </is>
      </c>
      <c r="E1273" t="inlineStr">
        <is>
          <t>Thương lượng</t>
        </is>
      </c>
      <c r="F1273" t="inlineStr">
        <is>
          <t>Hồ Chí Minh</t>
        </is>
      </c>
      <c r="G1273" t="inlineStr">
        <is>
          <t>Nhân viên</t>
        </is>
      </c>
      <c r="H1273" t="inlineStr">
        <is>
          <t>06/02/2026</t>
        </is>
      </c>
      <c r="I1273" t="inlineStr">
        <is>
          <t>23/03/2026</t>
        </is>
      </c>
      <c r="J1273" t="inlineStr">
        <is>
          <t>17/03/2026</t>
        </is>
      </c>
      <c r="K1273" t="inlineStr">
        <is>
          <t>N/A</t>
        </is>
      </c>
      <c r="L1273" t="inlineStr">
        <is>
          <t>Excel, Hạch Toán, Kế Toán Tổng Hợp, Luật Thuế, MISA Accounting Software</t>
        </is>
      </c>
      <c r="M1273" t="inlineStr">
        <is>
          <t>Bonus, Healthcare Plan, Paid Leave, Travel Opportunities, Others</t>
        </is>
      </c>
      <c r="N1273" s="8">
        <f>HYPERLINK("https://www.vietnamworks.com/ke-toan-tong-hop-general-accountant-2010454-jv","Xem chi tiết")</f>
        <v/>
      </c>
    </row>
    <row r="1274">
      <c r="B1274" s="9" t="n">
        <v>1272</v>
      </c>
      <c r="C1274" s="10" t="inlineStr">
        <is>
          <t>Nhân Viên Kho / Thủ Kho</t>
        </is>
      </c>
      <c r="D1274" s="10" t="inlineStr">
        <is>
          <t>Công ty TNHH Julie Sandlau Việt Nam</t>
        </is>
      </c>
      <c r="E1274" s="10" t="inlineStr">
        <is>
          <t>7tr-10tr ₫/tháng</t>
        </is>
      </c>
      <c r="F1274" s="10" t="inlineStr">
        <is>
          <t>Hà Nội</t>
        </is>
      </c>
      <c r="G1274" s="10" t="inlineStr">
        <is>
          <t>Mới Tốt Nghiệp</t>
        </is>
      </c>
      <c r="H1274" s="10" t="inlineStr">
        <is>
          <t>06/02/2026</t>
        </is>
      </c>
      <c r="I1274" s="10" t="inlineStr">
        <is>
          <t>23/03/2026</t>
        </is>
      </c>
      <c r="J1274" s="10" t="inlineStr">
        <is>
          <t>17/03/2026</t>
        </is>
      </c>
      <c r="K1274" s="10" t="inlineStr">
        <is>
          <t>N/A</t>
        </is>
      </c>
      <c r="L1274" s="10" t="inlineStr">
        <is>
          <t>Quản Lý Kho, SAP, Misa, Excel, kho</t>
        </is>
      </c>
      <c r="M1274" s="10" t="inlineStr">
        <is>
          <t>Bonus, Healthcare Plan, Others</t>
        </is>
      </c>
      <c r="N1274" s="11">
        <f>HYPERLINK("https://www.vietnamworks.com/nhan-vien-kho-thu-kho--2010449-jv","Xem chi tiết")</f>
        <v/>
      </c>
      <c r="O1274" s="10" t="n"/>
    </row>
    <row r="1275">
      <c r="B1275" s="7" t="n">
        <v>1273</v>
      </c>
      <c r="C1275" t="inlineStr">
        <is>
          <t>Trợ Lý Chủ Tịch Tập Đoàn (Kiêm Phiên Dịch)</t>
        </is>
      </c>
      <c r="D1275" t="inlineStr">
        <is>
          <t>CÔNG TY CỔ PHẦN TẬP ĐOÀN MEDIPHA</t>
        </is>
      </c>
      <c r="E1275" t="inlineStr">
        <is>
          <t>Thương lượng</t>
        </is>
      </c>
      <c r="F1275" t="inlineStr">
        <is>
          <t>Thanh Hóa</t>
        </is>
      </c>
      <c r="G1275" t="inlineStr">
        <is>
          <t>Nhân viên</t>
        </is>
      </c>
      <c r="H1275" t="inlineStr">
        <is>
          <t>06/02/2026</t>
        </is>
      </c>
      <c r="I1275" t="inlineStr">
        <is>
          <t>23/03/2026</t>
        </is>
      </c>
      <c r="J1275" t="inlineStr">
        <is>
          <t>17/03/2026</t>
        </is>
      </c>
      <c r="K1275" t="inlineStr">
        <is>
          <t>N/A</t>
        </is>
      </c>
      <c r="L1275" t="inlineStr">
        <is>
          <t>Quản Lý Thời Gian, Soạn Thảo Văn Bản, Tổ Chức Thi Công, Phiên Dịch Song Song/Tức Thời</t>
        </is>
      </c>
      <c r="M1275" t="inlineStr">
        <is>
          <t>Bonus, Paid Leave, Travel Opportunities, Others</t>
        </is>
      </c>
      <c r="N1275" s="8">
        <f>HYPERLINK("https://www.vietnamworks.com/tro-ly-chu-tich-tap-djoan-kiem-phien-dich-2010451-jv","Xem chi tiết")</f>
        <v/>
      </c>
    </row>
    <row r="1276">
      <c r="B1276" s="9" t="n">
        <v>1274</v>
      </c>
      <c r="C1276" s="10" t="inlineStr">
        <is>
          <t>Trade Marketing Admin (6 Months)</t>
        </is>
      </c>
      <c r="D1276" s="10" t="inlineStr">
        <is>
          <t>TCPVN Company Limited</t>
        </is>
      </c>
      <c r="E1276" s="10" t="inlineStr">
        <is>
          <t>Thương lượng</t>
        </is>
      </c>
      <c r="F1276" s="10" t="inlineStr">
        <is>
          <t>Hồ Chí Minh</t>
        </is>
      </c>
      <c r="G1276" s="10" t="inlineStr">
        <is>
          <t>Mới Tốt Nghiệp</t>
        </is>
      </c>
      <c r="H1276" s="10" t="inlineStr">
        <is>
          <t>06/02/2026</t>
        </is>
      </c>
      <c r="I1276" s="10" t="inlineStr">
        <is>
          <t>23/03/2026</t>
        </is>
      </c>
      <c r="J1276" s="10" t="inlineStr">
        <is>
          <t>17/03/2026</t>
        </is>
      </c>
      <c r="K1276" s="10" t="inlineStr">
        <is>
          <t>N/A</t>
        </is>
      </c>
      <c r="L1276" s="10" t="inlineStr">
        <is>
          <t>Communication, MS Office, Attention To Detail, Data Entry, Teamwork</t>
        </is>
      </c>
      <c r="M1276" s="10" t="inlineStr">
        <is>
          <t>Laptop, Others</t>
        </is>
      </c>
      <c r="N1276" s="11">
        <f>HYPERLINK("https://www.vietnamworks.com/trade-marketing-admin-6-months-2010439-jv","Xem chi tiết")</f>
        <v/>
      </c>
      <c r="O1276" s="10" t="n"/>
    </row>
    <row r="1277">
      <c r="B1277" s="7" t="n">
        <v>1275</v>
      </c>
      <c r="C1277" t="inlineStr">
        <is>
          <t>Kỹ Thuật Viên Thiết Kế Tự Động Hóa Đội Auto</t>
        </is>
      </c>
      <c r="D1277" t="inlineStr">
        <is>
          <t>Công ty TNHH Elentec Việt Nam</t>
        </is>
      </c>
      <c r="E1277" t="inlineStr">
        <is>
          <t>Thương lượng</t>
        </is>
      </c>
      <c r="F1277" t="inlineStr">
        <is>
          <t>Hà Nội</t>
        </is>
      </c>
      <c r="G1277" t="inlineStr">
        <is>
          <t>Nhân viên</t>
        </is>
      </c>
      <c r="H1277" t="inlineStr">
        <is>
          <t>06/02/2026</t>
        </is>
      </c>
      <c r="I1277" t="inlineStr">
        <is>
          <t>23/03/2026</t>
        </is>
      </c>
      <c r="J1277" t="inlineStr">
        <is>
          <t>17/03/2026</t>
        </is>
      </c>
      <c r="K1277" t="inlineStr">
        <is>
          <t>N/A</t>
        </is>
      </c>
      <c r="L1277" t="inlineStr">
        <is>
          <t>Thiết Kế Chế Tạo Máy, Auto CAD, Thiết Kế Jig, Cơ Khí</t>
        </is>
      </c>
      <c r="M1277" t="inlineStr">
        <is>
          <t>Awards, Transportation, Canteen</t>
        </is>
      </c>
      <c r="N1277" s="8">
        <f>HYPERLINK("https://www.vietnamworks.com/ky-thuat-vien-thiet-ke-tu-dong-hoa-doi-auto--2010447-jv","Xem chi tiết")</f>
        <v/>
      </c>
    </row>
    <row r="1278">
      <c r="B1278" s="9" t="n">
        <v>1276</v>
      </c>
      <c r="C1278" s="10" t="inlineStr">
        <is>
          <t>Quản Lý Kinh Doanh - Thu Nhập 30 Triệu</t>
        </is>
      </c>
      <c r="D1278" s="10" t="inlineStr">
        <is>
          <t>NOUS By Sun Life - Sun Life Việt Nam</t>
        </is>
      </c>
      <c r="E1278" s="10" t="inlineStr">
        <is>
          <t>Từ 30tr ₫/tháng</t>
        </is>
      </c>
      <c r="F1278" s="10" t="inlineStr">
        <is>
          <t>Hà Nội</t>
        </is>
      </c>
      <c r="G1278" s="10" t="inlineStr">
        <is>
          <t>Trưởng phòng</t>
        </is>
      </c>
      <c r="H1278" s="10" t="inlineStr">
        <is>
          <t>06/02/2026</t>
        </is>
      </c>
      <c r="I1278" s="10" t="inlineStr">
        <is>
          <t>23/03/2026</t>
        </is>
      </c>
      <c r="J1278" s="10" t="inlineStr">
        <is>
          <t>17/03/2026</t>
        </is>
      </c>
      <c r="K1278" s="10" t="inlineStr">
        <is>
          <t>N/A</t>
        </is>
      </c>
      <c r="L1278" s="10" t="inlineStr">
        <is>
          <t>Tư Vấn Bán Hàng, Chăm Sóc Khách Hàng, Kế Hoạch Kinh Doanh, Quản Lý Kinh Doanh, Quản Lý Đội Ngũ</t>
        </is>
      </c>
      <c r="M1278" s="10" t="inlineStr">
        <is>
          <t>Bonus, Healthcare Plan, Training, Travel Opportunities, Others</t>
        </is>
      </c>
      <c r="N1278" s="11">
        <f>HYPERLINK("https://www.vietnamworks.com/quan-ly-kinh-doanh-thu-nhap-30-trieu-2010443-jv","Xem chi tiết")</f>
        <v/>
      </c>
      <c r="O1278" s="10" t="n"/>
    </row>
    <row r="1279">
      <c r="B1279" s="7" t="n">
        <v>1277</v>
      </c>
      <c r="C1279" t="inlineStr">
        <is>
          <t>Senior Recruitment Consultant (Headhunting Service)</t>
        </is>
      </c>
      <c r="D1279" t="inlineStr">
        <is>
          <t>Navigos Group</t>
        </is>
      </c>
      <c r="E1279" t="inlineStr">
        <is>
          <t>Từ $ 700 /tháng</t>
        </is>
      </c>
      <c r="F1279" t="inlineStr">
        <is>
          <t>Hồ Chí Minh</t>
        </is>
      </c>
      <c r="G1279" t="inlineStr">
        <is>
          <t>Nhân viên</t>
        </is>
      </c>
      <c r="H1279" t="inlineStr">
        <is>
          <t>06/02/2026</t>
        </is>
      </c>
      <c r="I1279" t="inlineStr">
        <is>
          <t>23/03/2026</t>
        </is>
      </c>
      <c r="J1279" t="inlineStr">
        <is>
          <t>17/03/2026</t>
        </is>
      </c>
      <c r="K1279" t="inlineStr">
        <is>
          <t>N/A</t>
        </is>
      </c>
      <c r="L1279" t="inlineStr">
        <is>
          <t>Recruitment, Talent Acquisition, Business Development, Sales, Manufacturing</t>
        </is>
      </c>
      <c r="M1279" t="inlineStr">
        <is>
          <t>Bonus, Paid Leave, Training</t>
        </is>
      </c>
      <c r="N1279" s="8">
        <f>HYPERLINK("https://www.vietnamworks.com/senior-recruitment-consultant-headhunting-service--2010427-jv","Xem chi tiết")</f>
        <v/>
      </c>
    </row>
    <row r="1280">
      <c r="B1280" s="9" t="n">
        <v>1278</v>
      </c>
      <c r="C1280" s="10" t="inlineStr">
        <is>
          <t>Nhân Viên QC</t>
        </is>
      </c>
      <c r="D1280" s="10" t="inlineStr">
        <is>
          <t>Công Ty TNHH Trace - Tec Việt Nam</t>
        </is>
      </c>
      <c r="E1280" s="10" t="inlineStr">
        <is>
          <t>Thương lượng</t>
        </is>
      </c>
      <c r="F1280" s="10" t="inlineStr">
        <is>
          <t>Hà Nội</t>
        </is>
      </c>
      <c r="G1280" s="10" t="inlineStr">
        <is>
          <t>Nhân viên</t>
        </is>
      </c>
      <c r="H1280" s="10" t="inlineStr">
        <is>
          <t>06/02/2026</t>
        </is>
      </c>
      <c r="I1280" s="10" t="inlineStr">
        <is>
          <t>23/03/2026</t>
        </is>
      </c>
      <c r="J1280" s="10" t="inlineStr">
        <is>
          <t>17/03/2026</t>
        </is>
      </c>
      <c r="K1280" s="10" t="inlineStr">
        <is>
          <t>N/A</t>
        </is>
      </c>
      <c r="L1280" s="10" t="inlineStr">
        <is>
          <t>Quality Control, QC, QA, Kiểm Soát Chất Lượng</t>
        </is>
      </c>
      <c r="M1280" s="10" t="inlineStr">
        <is>
          <t>Bonus, Healthcare Plan, Team Activities</t>
        </is>
      </c>
      <c r="N1280" s="11">
        <f>HYPERLINK("https://www.vietnamworks.com/nhan-vien-qc--2010453-jv","Xem chi tiết")</f>
        <v/>
      </c>
      <c r="O1280" s="10" t="n"/>
    </row>
    <row r="1281">
      <c r="B1281" s="7" t="n">
        <v>1279</v>
      </c>
      <c r="C1281" t="inlineStr">
        <is>
          <t>Nhân Viên Kỹ Thuật Sửa Khuôn</t>
        </is>
      </c>
      <c r="D1281" t="inlineStr">
        <is>
          <t>Công ty TNHH Elentec Việt Nam</t>
        </is>
      </c>
      <c r="E1281" t="inlineStr">
        <is>
          <t>Thương lượng</t>
        </is>
      </c>
      <c r="F1281" t="inlineStr">
        <is>
          <t>Hà Nội</t>
        </is>
      </c>
      <c r="G1281" t="inlineStr">
        <is>
          <t>Nhân viên</t>
        </is>
      </c>
      <c r="H1281" t="inlineStr">
        <is>
          <t>06/02/2026</t>
        </is>
      </c>
      <c r="I1281" t="inlineStr">
        <is>
          <t>23/03/2026</t>
        </is>
      </c>
      <c r="J1281" t="inlineStr">
        <is>
          <t>17/03/2026</t>
        </is>
      </c>
      <c r="K1281" t="inlineStr">
        <is>
          <t>N/A</t>
        </is>
      </c>
      <c r="L1281" t="inlineStr">
        <is>
          <t>Tháo Lắp Khuôn, Cải Tiến Sản Phẩm, Cơ Khí, Sửa Chữa, Kỹ Thuật Khuôn Đúc Nhựa</t>
        </is>
      </c>
      <c r="M1281" t="inlineStr">
        <is>
          <t>Bonus, Transportation, Canteen</t>
        </is>
      </c>
      <c r="N1281" s="8">
        <f>HYPERLINK("https://www.vietnamworks.com/nhan-vien-ky-thuat-sua-khuon--2010445-jv","Xem chi tiết")</f>
        <v/>
      </c>
    </row>
    <row r="1282">
      <c r="B1282" s="9" t="n">
        <v>1280</v>
      </c>
      <c r="C1282" s="10" t="inlineStr">
        <is>
          <t>Nhân Viên Kỹ Thuật Vận Hành Máy Xung EDM</t>
        </is>
      </c>
      <c r="D1282" s="10" t="inlineStr">
        <is>
          <t>Công ty TNHH Elentec Việt Nam</t>
        </is>
      </c>
      <c r="E1282" s="10" t="inlineStr">
        <is>
          <t>Thương lượng</t>
        </is>
      </c>
      <c r="F1282" s="10" t="inlineStr">
        <is>
          <t>Hà Nội</t>
        </is>
      </c>
      <c r="G1282" s="10" t="inlineStr">
        <is>
          <t>Nhân viên</t>
        </is>
      </c>
      <c r="H1282" s="10" t="inlineStr">
        <is>
          <t>06/02/2026</t>
        </is>
      </c>
      <c r="I1282" s="10" t="inlineStr">
        <is>
          <t>23/03/2026</t>
        </is>
      </c>
      <c r="J1282" s="10" t="inlineStr">
        <is>
          <t>17/03/2026</t>
        </is>
      </c>
      <c r="K1282" s="10" t="inlineStr">
        <is>
          <t>N/A</t>
        </is>
      </c>
      <c r="L1282" s="10" t="inlineStr">
        <is>
          <t>Cơ Khí, Đọc Hiểu Bản Vẽ, Vận Hành Máy EDM, Kỹ Thuật Vận Hành, Vận Hành Thiết Bị</t>
        </is>
      </c>
      <c r="M1282" s="10" t="inlineStr">
        <is>
          <t>Awards, Transportation, Canteen</t>
        </is>
      </c>
      <c r="N1282" s="11">
        <f>HYPERLINK("https://www.vietnamworks.com/nhan-vien-ky-thuat-van-hanh-may-xung-edm--2010456-jv","Xem chi tiết")</f>
        <v/>
      </c>
      <c r="O1282" s="10" t="n"/>
    </row>
    <row r="1283">
      <c r="B1283" s="7" t="n">
        <v>1281</v>
      </c>
      <c r="C1283" t="inlineStr">
        <is>
          <t>Kỹ Thuật Lập Trình CAM Phòng CNC</t>
        </is>
      </c>
      <c r="D1283" t="inlineStr">
        <is>
          <t>Công ty TNHH Elentec Việt Nam</t>
        </is>
      </c>
      <c r="E1283" t="inlineStr">
        <is>
          <t>Thương lượng</t>
        </is>
      </c>
      <c r="F1283" t="inlineStr">
        <is>
          <t>Hà Nội</t>
        </is>
      </c>
      <c r="G1283" t="inlineStr">
        <is>
          <t>Nhân viên</t>
        </is>
      </c>
      <c r="H1283" t="inlineStr">
        <is>
          <t>06/02/2026</t>
        </is>
      </c>
      <c r="I1283" t="inlineStr">
        <is>
          <t>23/03/2026</t>
        </is>
      </c>
      <c r="J1283" t="inlineStr">
        <is>
          <t>17/03/2026</t>
        </is>
      </c>
      <c r="K1283" t="inlineStr">
        <is>
          <t>N/A</t>
        </is>
      </c>
      <c r="L1283" t="inlineStr">
        <is>
          <t>Cải Tiến Chất Lượng, Lập Trình CAM, Jig Design, An Toàn Lao Động, Gia Công Khuôn</t>
        </is>
      </c>
      <c r="M1283" t="inlineStr">
        <is>
          <t>Bonus, Healthcare Plan, Awards, Transportation, Canteen, Others</t>
        </is>
      </c>
      <c r="N1283" s="8">
        <f>HYPERLINK("https://www.vietnamworks.com/ky-thuat-lap-trinh-cam-phong-cnc-2010455-jv","Xem chi tiết")</f>
        <v/>
      </c>
    </row>
    <row r="1284">
      <c r="B1284" s="9" t="n">
        <v>1282</v>
      </c>
      <c r="C1284" s="10" t="inlineStr">
        <is>
          <t>Shopper Marketing Executive - GT</t>
        </is>
      </c>
      <c r="D1284" s="10" t="inlineStr">
        <is>
          <t>Công Ty TNHH Fonterra Brands Việt Nam</t>
        </is>
      </c>
      <c r="E1284" s="10" t="inlineStr">
        <is>
          <t>Thương lượng</t>
        </is>
      </c>
      <c r="F1284" s="10" t="inlineStr">
        <is>
          <t>Hồ Chí Minh</t>
        </is>
      </c>
      <c r="G1284" s="10" t="inlineStr">
        <is>
          <t>Nhân viên</t>
        </is>
      </c>
      <c r="H1284" s="10" t="inlineStr">
        <is>
          <t>06/02/2026</t>
        </is>
      </c>
      <c r="I1284" s="10" t="inlineStr">
        <is>
          <t>23/03/2026</t>
        </is>
      </c>
      <c r="J1284" s="10" t="inlineStr">
        <is>
          <t>17/03/2026</t>
        </is>
      </c>
      <c r="K1284" s="10" t="inlineStr">
        <is>
          <t>N/A</t>
        </is>
      </c>
      <c r="L1284" s="10" t="inlineStr">
        <is>
          <t>FMCG, Trade Marketing, POSM, Shopper Marketing, GT Channel</t>
        </is>
      </c>
      <c r="M1284" s="10" t="inlineStr">
        <is>
          <t>Bonus, Healthcare Plan, Paid Leave</t>
        </is>
      </c>
      <c r="N1284" s="11">
        <f>HYPERLINK("https://www.vietnamworks.com/shopper-marketing-executive-gt--2010465-jv","Xem chi tiết")</f>
        <v/>
      </c>
      <c r="O1284" s="10" t="n"/>
    </row>
    <row r="1285">
      <c r="B1285" s="7" t="n">
        <v>1283</v>
      </c>
      <c r="C1285" t="inlineStr">
        <is>
          <t>Kế Toán Tổng Hợp</t>
        </is>
      </c>
      <c r="D1285" t="inlineStr">
        <is>
          <t>Công ty Cổ phần Tư vấn Văn Phú</t>
        </is>
      </c>
      <c r="E1285" t="inlineStr">
        <is>
          <t>Thương lượng</t>
        </is>
      </c>
      <c r="F1285" t="inlineStr">
        <is>
          <t>Hà Nội</t>
        </is>
      </c>
      <c r="G1285" t="inlineStr">
        <is>
          <t>Nhân viên</t>
        </is>
      </c>
      <c r="H1285" t="inlineStr">
        <is>
          <t>06/02/2026</t>
        </is>
      </c>
      <c r="I1285" t="inlineStr">
        <is>
          <t>23/03/2026</t>
        </is>
      </c>
      <c r="J1285" t="inlineStr">
        <is>
          <t>17/03/2026</t>
        </is>
      </c>
      <c r="K1285" t="inlineStr">
        <is>
          <t>N/A</t>
        </is>
      </c>
      <c r="L1285" t="inlineStr">
        <is>
          <t>Kế Toán, Tài Chính, Kiểm Soát Tài Liệu, Báo Cáo Thuế, Quản Lý Tài Sản</t>
        </is>
      </c>
      <c r="M1285" t="inlineStr">
        <is>
          <t>Bonus, Healthcare Plan, Others</t>
        </is>
      </c>
      <c r="N1285" s="8">
        <f>HYPERLINK("https://www.vietnamworks.com/ke-toan-tong-hop-2010461-jv","Xem chi tiết")</f>
        <v/>
      </c>
    </row>
    <row r="1286">
      <c r="B1286" s="9" t="n">
        <v>1284</v>
      </c>
      <c r="C1286" s="10" t="inlineStr">
        <is>
          <t>Finance Manager - Based in Manila, Philippines</t>
        </is>
      </c>
      <c r="D1286" s="10" t="inlineStr">
        <is>
          <t>CÔNG TY CỔ PHẦN NĂNG LƯỢNG VINENERGO</t>
        </is>
      </c>
      <c r="E1286" s="10" t="inlineStr">
        <is>
          <t>Thương lượng</t>
        </is>
      </c>
      <c r="F1286" s="10" t="inlineStr">
        <is>
          <t>Quốc tế</t>
        </is>
      </c>
      <c r="G1286" s="10" t="inlineStr">
        <is>
          <t>Trưởng phòng</t>
        </is>
      </c>
      <c r="H1286" s="10" t="inlineStr">
        <is>
          <t>06/02/2026</t>
        </is>
      </c>
      <c r="I1286" s="10" t="inlineStr">
        <is>
          <t>23/03/2026</t>
        </is>
      </c>
      <c r="J1286" s="10" t="inlineStr">
        <is>
          <t>17/03/2026</t>
        </is>
      </c>
      <c r="K1286" s="10" t="inlineStr">
        <is>
          <t>N/A</t>
        </is>
      </c>
      <c r="L1286" s="10" t="inlineStr">
        <is>
          <t>Financial Modeling, Financial Planning, Financial Reporting, Leadership, Regulatory Compliance</t>
        </is>
      </c>
      <c r="M1286" s="10" t="inlineStr">
        <is>
          <t>Bonus, Healthcare Plan, Paid Leave, Training, Others</t>
        </is>
      </c>
      <c r="N1286" s="11">
        <f>HYPERLINK("https://www.vietnamworks.com/finance-manager-based-in-manila-philippines-2010458-jv","Xem chi tiết")</f>
        <v/>
      </c>
      <c r="O1286" s="10" t="n"/>
    </row>
    <row r="1287">
      <c r="B1287" s="7" t="n">
        <v>1285</v>
      </c>
      <c r="C1287" t="inlineStr">
        <is>
          <t>Event Expert</t>
        </is>
      </c>
      <c r="D1287" t="inlineStr">
        <is>
          <t>Tiim Group Co., Ltd.</t>
        </is>
      </c>
      <c r="E1287" t="inlineStr">
        <is>
          <t>Thương lượng</t>
        </is>
      </c>
      <c r="F1287" t="inlineStr">
        <is>
          <t>Hồ Chí Minh</t>
        </is>
      </c>
      <c r="G1287" t="inlineStr">
        <is>
          <t>Nhân viên</t>
        </is>
      </c>
      <c r="H1287" t="inlineStr">
        <is>
          <t>06/02/2026</t>
        </is>
      </c>
      <c r="I1287" t="inlineStr">
        <is>
          <t>23/03/2026</t>
        </is>
      </c>
      <c r="J1287" t="inlineStr">
        <is>
          <t>17/03/2026</t>
        </is>
      </c>
      <c r="K1287" t="inlineStr">
        <is>
          <t>N/A</t>
        </is>
      </c>
      <c r="L1287" t="inlineStr">
        <is>
          <t>Creative Thinking, Event Planning, Pitching, Problem Solving, Proposal Writing</t>
        </is>
      </c>
      <c r="M1287" t="inlineStr">
        <is>
          <t>Bonus, Paid Leave, Travel Opportunities, Others</t>
        </is>
      </c>
      <c r="N1287" s="8">
        <f>HYPERLINK("https://www.vietnamworks.com/event-expert-2010469-jv","Xem chi tiết")</f>
        <v/>
      </c>
    </row>
    <row r="1288">
      <c r="B1288" s="9" t="n">
        <v>1286</v>
      </c>
      <c r="C1288" s="10" t="inlineStr">
        <is>
          <t>Content Creator</t>
        </is>
      </c>
      <c r="D1288" s="10" t="inlineStr">
        <is>
          <t>Tiim Group Co., Ltd.</t>
        </is>
      </c>
      <c r="E1288" s="10" t="inlineStr">
        <is>
          <t>Thương lượng</t>
        </is>
      </c>
      <c r="F1288" s="10" t="inlineStr">
        <is>
          <t>Hồ Chí Minh</t>
        </is>
      </c>
      <c r="G1288" s="10" t="inlineStr">
        <is>
          <t>Mới Tốt Nghiệp</t>
        </is>
      </c>
      <c r="H1288" s="10" t="inlineStr">
        <is>
          <t>06/02/2026</t>
        </is>
      </c>
      <c r="I1288" s="10" t="inlineStr">
        <is>
          <t>23/03/2026</t>
        </is>
      </c>
      <c r="J1288" s="10" t="inlineStr">
        <is>
          <t>17/03/2026</t>
        </is>
      </c>
      <c r="K1288" s="10" t="inlineStr">
        <is>
          <t>N/A</t>
        </is>
      </c>
      <c r="L1288" s="10" t="inlineStr">
        <is>
          <t>Content Creation, Creative Thinking, Sáng Tạo Nội Dung, Đề Xuất Ý Tưởng</t>
        </is>
      </c>
      <c r="M1288" s="10" t="inlineStr">
        <is>
          <t>Bonus, Paid Leave, Travel Opportunities, Others</t>
        </is>
      </c>
      <c r="N1288" s="11">
        <f>HYPERLINK("https://www.vietnamworks.com/content-creator-2010463-jv","Xem chi tiết")</f>
        <v/>
      </c>
      <c r="O1288" s="10" t="n"/>
    </row>
    <row r="1289">
      <c r="B1289" s="7" t="n">
        <v>1287</v>
      </c>
      <c r="C1289" t="inlineStr">
        <is>
          <t>[Hot] Nhân Viên Vận Hành Máy - Thu Nhập và Đãi Ngộ Hấp Dẫn</t>
        </is>
      </c>
      <c r="D1289" t="inlineStr">
        <is>
          <t>CÔNG TY CỔ PHẦN  TẬP ĐOÀN BIA RƯỢU NƯỚC GIẢI KHÁT HƯNG YÊN - HÀ NỘI</t>
        </is>
      </c>
      <c r="E1289" t="inlineStr">
        <is>
          <t>$$ 10tr-12tr /tháng</t>
        </is>
      </c>
      <c r="F1289" t="inlineStr">
        <is>
          <t>Hà Nội, Hưng Yên</t>
        </is>
      </c>
      <c r="G1289" t="inlineStr">
        <is>
          <t>Nhân viên</t>
        </is>
      </c>
      <c r="H1289" t="inlineStr">
        <is>
          <t>06/02/2026</t>
        </is>
      </c>
      <c r="I1289" t="inlineStr">
        <is>
          <t>23/03/2026</t>
        </is>
      </c>
      <c r="J1289" t="inlineStr">
        <is>
          <t>17/03/2026</t>
        </is>
      </c>
      <c r="K1289" t="inlineStr">
        <is>
          <t>N/A</t>
        </is>
      </c>
      <c r="L1289" t="inlineStr">
        <is>
          <t>Vận Hành Máy Móc, Xử Lý Sự Cố, An Toàn Lao Động, Giao Tiếp, Thiết Bị</t>
        </is>
      </c>
      <c r="M1289" t="inlineStr">
        <is>
          <t>Bonus, Healthcare Plan, Others</t>
        </is>
      </c>
      <c r="N1289" s="8">
        <f>HYPERLINK("https://www.vietnamworks.com/hot-nhan-vien-van-hanh-may-thu-nhap-va-djai-ngo-hap-dan-2010468-jv","Xem chi tiết")</f>
        <v/>
      </c>
    </row>
    <row r="1290">
      <c r="B1290" s="9" t="n">
        <v>1288</v>
      </c>
      <c r="C1290" s="10" t="inlineStr">
        <is>
          <t>Giám Đốc Quản Lý Thiết Kế</t>
        </is>
      </c>
      <c r="D1290" s="10" t="inlineStr">
        <is>
          <t>Tập Đoàn Đất Xanh</t>
        </is>
      </c>
      <c r="E1290" s="10" t="inlineStr">
        <is>
          <t>Thương lượng</t>
        </is>
      </c>
      <c r="F1290" s="10" t="inlineStr">
        <is>
          <t>Hồ Chí Minh</t>
        </is>
      </c>
      <c r="G1290" s="10" t="inlineStr">
        <is>
          <t>Giám Đốc và Cấp Cao Hơn</t>
        </is>
      </c>
      <c r="H1290" s="10" t="inlineStr">
        <is>
          <t>06/02/2026</t>
        </is>
      </c>
      <c r="I1290" s="10" t="inlineStr">
        <is>
          <t>23/03/2026</t>
        </is>
      </c>
      <c r="J1290" s="10" t="inlineStr">
        <is>
          <t>17/03/2026</t>
        </is>
      </c>
      <c r="K1290" s="10" t="inlineStr">
        <is>
          <t>N/A</t>
        </is>
      </c>
      <c r="L1290" s="10" t="inlineStr">
        <is>
          <t>Bất Động Sản Thương Mại, Kiến Trúc, Quản Lý Dự Án, Quản Lý Thiết Kế</t>
        </is>
      </c>
      <c r="M1290" s="10" t="inlineStr">
        <is>
          <t>Bonus, Healthcare Plan, Training, Laptop</t>
        </is>
      </c>
      <c r="N1290" s="11">
        <f>HYPERLINK("https://www.vietnamworks.com/giam-djoc-quan-ly-thiet-ke-2010457-jv","Xem chi tiết")</f>
        <v/>
      </c>
      <c r="O1290" s="10" t="n"/>
    </row>
    <row r="1291">
      <c r="B1291" s="7" t="n">
        <v>1289</v>
      </c>
      <c r="C1291" t="inlineStr">
        <is>
          <t>Giám Sát Công Trình</t>
        </is>
      </c>
      <c r="D1291" t="inlineStr">
        <is>
          <t>Công Ty Sản Xuất Và Kinh Doanh Sản Phẩm Nội Thất Cao Cấp Jager</t>
        </is>
      </c>
      <c r="E1291" t="inlineStr">
        <is>
          <t>Thương lượng</t>
        </is>
      </c>
      <c r="F1291" t="inlineStr">
        <is>
          <t>Hà Nội</t>
        </is>
      </c>
      <c r="G1291" t="inlineStr">
        <is>
          <t>Trưởng phòng</t>
        </is>
      </c>
      <c r="H1291" t="inlineStr">
        <is>
          <t>06/02/2026</t>
        </is>
      </c>
      <c r="I1291" t="inlineStr">
        <is>
          <t>23/03/2026</t>
        </is>
      </c>
      <c r="J1291" t="inlineStr">
        <is>
          <t>17/03/2026</t>
        </is>
      </c>
      <c r="K1291" t="inlineStr">
        <is>
          <t>N/A</t>
        </is>
      </c>
      <c r="L1291" t="inlineStr">
        <is>
          <t>Giám Sát Thi Công, AutoCAD, Xây Dựng, Nội Thất, Tiếng  Anh Giao Tiếp</t>
        </is>
      </c>
      <c r="M1291" t="inlineStr">
        <is>
          <t>Bonus, Healthcare Plan</t>
        </is>
      </c>
      <c r="N1291" s="8">
        <f>HYPERLINK("https://www.vietnamworks.com/giam-sat-cong-trinh--2010466-jv","Xem chi tiết")</f>
        <v/>
      </c>
    </row>
    <row r="1292">
      <c r="B1292" s="9" t="n">
        <v>1290</v>
      </c>
      <c r="C1292" s="10" t="inlineStr">
        <is>
          <t>Trưởng Nhóm Kế Hoạch</t>
        </is>
      </c>
      <c r="D1292" s="10" t="inlineStr">
        <is>
          <t>Công Ty TNHH Thanh An</t>
        </is>
      </c>
      <c r="E1292" s="10" t="inlineStr">
        <is>
          <t>Từ 20tr ₫/tháng</t>
        </is>
      </c>
      <c r="F1292" s="10" t="inlineStr">
        <is>
          <t>Hà Nội</t>
        </is>
      </c>
      <c r="G1292" s="10" t="inlineStr">
        <is>
          <t>Trưởng phòng</t>
        </is>
      </c>
      <c r="H1292" s="10" t="inlineStr">
        <is>
          <t>06/02/2026</t>
        </is>
      </c>
      <c r="I1292" s="10" t="inlineStr">
        <is>
          <t>23/03/2026</t>
        </is>
      </c>
      <c r="J1292" s="10" t="inlineStr">
        <is>
          <t>17/03/2026</t>
        </is>
      </c>
      <c r="K1292" s="10" t="inlineStr">
        <is>
          <t>N/A</t>
        </is>
      </c>
      <c r="L1292" s="10" t="inlineStr">
        <is>
          <t>Negotiation Skills, Planning Capability, Cung Ứng, Demand Planning</t>
        </is>
      </c>
      <c r="M1292" s="10" t="inlineStr">
        <is>
          <t>Bonus, Healthcare Plan, Training, Others</t>
        </is>
      </c>
      <c r="N1292" s="11">
        <f>HYPERLINK("https://www.vietnamworks.com/truong-nhom-ke-hoach-2010459-jv","Xem chi tiết")</f>
        <v/>
      </c>
      <c r="O1292" s="10" t="n"/>
    </row>
    <row r="1293">
      <c r="B1293" s="7" t="n">
        <v>1291</v>
      </c>
      <c r="C1293" t="inlineStr">
        <is>
          <t>Chuyên Viên Hoạch Định Tài Chính - Thu Nhập Tới 350Tr/Năm Đầu - Cùng Đi Cùng Lớn Với AIA</t>
        </is>
      </c>
      <c r="D1293" t="inlineStr">
        <is>
          <t>AIA VN</t>
        </is>
      </c>
      <c r="E1293" t="inlineStr">
        <is>
          <t>300tr-350tr ₫/năm</t>
        </is>
      </c>
      <c r="F1293" t="inlineStr">
        <is>
          <t>Hồ Chí Minh</t>
        </is>
      </c>
      <c r="G1293" t="inlineStr">
        <is>
          <t>Nhân viên</t>
        </is>
      </c>
      <c r="H1293" t="inlineStr">
        <is>
          <t>06/02/2026</t>
        </is>
      </c>
      <c r="I1293" t="inlineStr">
        <is>
          <t>23/03/2026</t>
        </is>
      </c>
      <c r="J1293" t="inlineStr">
        <is>
          <t>17/03/2026</t>
        </is>
      </c>
      <c r="K1293" t="inlineStr">
        <is>
          <t>N/A</t>
        </is>
      </c>
      <c r="L1293" t="inlineStr">
        <is>
          <t>Mô Hình Tài Chính, Kiến Thức Bảo Hiểm, Tư Vấn Bảo Hiểm, Hoạch Định Tài Chính</t>
        </is>
      </c>
      <c r="M1293" t="inlineStr">
        <is>
          <t>Bonus, Travel Opportunities, Others</t>
        </is>
      </c>
      <c r="N1293" s="8">
        <f>HYPERLINK("https://www.vietnamworks.com/chuyen-vien-hoach-djinh-tai-chinh-thu-nhap-toi-350trnam-djau-cung-dji-cung-lon-voi-aia-2010470-jv","Xem chi tiết")</f>
        <v/>
      </c>
    </row>
    <row r="1294">
      <c r="B1294" s="9" t="n">
        <v>1292</v>
      </c>
      <c r="C1294" s="10" t="inlineStr">
        <is>
          <t>Kế Toán Trưởng (Upto 40 Triệu)</t>
        </is>
      </c>
      <c r="D1294" s="10" t="inlineStr">
        <is>
          <t>Công Ty Cổ Phần Tập đoàn Vinapro</t>
        </is>
      </c>
      <c r="E1294" s="10" t="inlineStr">
        <is>
          <t>30tr-40tr ₫/tháng</t>
        </is>
      </c>
      <c r="F1294" s="10" t="inlineStr">
        <is>
          <t>Hà Nội</t>
        </is>
      </c>
      <c r="G1294" s="10" t="inlineStr">
        <is>
          <t>Trưởng phòng</t>
        </is>
      </c>
      <c r="H1294" s="10" t="inlineStr">
        <is>
          <t>06/02/2026</t>
        </is>
      </c>
      <c r="I1294" s="10" t="inlineStr">
        <is>
          <t>23/03/2026</t>
        </is>
      </c>
      <c r="J1294" s="10" t="inlineStr">
        <is>
          <t>17/03/2026</t>
        </is>
      </c>
      <c r="K1294" s="10" t="inlineStr">
        <is>
          <t>N/A</t>
        </is>
      </c>
      <c r="L1294" s="10" t="inlineStr">
        <is>
          <t>Finance &amp; Accounting, Quyết Toán Thuế, Báo Cáo Tài Chính</t>
        </is>
      </c>
      <c r="M1294" s="10" t="inlineStr">
        <is>
          <t>Bonus, Healthcare Plan, Library, Team Activities, Others</t>
        </is>
      </c>
      <c r="N1294" s="11">
        <f>HYPERLINK("https://www.vietnamworks.com/ke-toan-truong-upto-40-trieu-2010467-jv","Xem chi tiết")</f>
        <v/>
      </c>
      <c r="O1294" s="10" t="n"/>
    </row>
    <row r="1295">
      <c r="B1295" s="7" t="n">
        <v>1293</v>
      </c>
      <c r="C1295" t="inlineStr">
        <is>
          <t>Fullstack Developer (Fresher/ Intern)</t>
        </is>
      </c>
      <c r="D1295" t="inlineStr">
        <is>
          <t>Công Ty TNHH Trace - Tec Việt Nam</t>
        </is>
      </c>
      <c r="E1295" t="inlineStr">
        <is>
          <t>Thương lượng</t>
        </is>
      </c>
      <c r="F1295" t="inlineStr">
        <is>
          <t>Hà Nội</t>
        </is>
      </c>
      <c r="G1295" t="inlineStr">
        <is>
          <t>Nhân viên</t>
        </is>
      </c>
      <c r="H1295" t="inlineStr">
        <is>
          <t>06/02/2026</t>
        </is>
      </c>
      <c r="I1295" t="inlineStr">
        <is>
          <t>23/03/2026</t>
        </is>
      </c>
      <c r="J1295" t="inlineStr">
        <is>
          <t>17/03/2026</t>
        </is>
      </c>
      <c r="K1295" t="inlineStr">
        <is>
          <t>N/A</t>
        </is>
      </c>
      <c r="L1295" t="inlineStr">
        <is>
          <t>NodeJS, Phát Triển Phần Mềm, PostgreSQL, ReactJs, Web Development</t>
        </is>
      </c>
      <c r="M1295" t="inlineStr">
        <is>
          <t>Bonus, Healthcare Plan, Paid Leave, Laptop, Team Activities, Others</t>
        </is>
      </c>
      <c r="N1295" s="8">
        <f>HYPERLINK("https://www.vietnamworks.com/fullstack-developer-fresher-intern-2010472-jv","Xem chi tiết")</f>
        <v/>
      </c>
    </row>
    <row r="1296">
      <c r="B1296" s="9" t="n">
        <v>1294</v>
      </c>
      <c r="C1296" s="10" t="inlineStr">
        <is>
          <t>Quản Lý Rạp - Cinema Manager</t>
        </is>
      </c>
      <c r="D1296" s="10" t="inlineStr">
        <is>
          <t>CÔNG TY TNHH AEON ENTERTAINMENT VIỆT NAM</t>
        </is>
      </c>
      <c r="E1296" s="10" t="inlineStr">
        <is>
          <t>Thương lượng</t>
        </is>
      </c>
      <c r="F1296" s="10" t="inlineStr">
        <is>
          <t>Hồ Chí Minh</t>
        </is>
      </c>
      <c r="G1296" s="10" t="inlineStr">
        <is>
          <t>Trưởng phòng</t>
        </is>
      </c>
      <c r="H1296" s="10" t="inlineStr">
        <is>
          <t>06/02/2026</t>
        </is>
      </c>
      <c r="I1296" s="10" t="inlineStr">
        <is>
          <t>23/03/2026</t>
        </is>
      </c>
      <c r="J1296" s="10" t="inlineStr">
        <is>
          <t>17/03/2026</t>
        </is>
      </c>
      <c r="K1296" s="10" t="inlineStr">
        <is>
          <t>N/A</t>
        </is>
      </c>
      <c r="L1296" s="10" t="inlineStr">
        <is>
          <t>Quản Lý Tạp Vụ, Đào Tạo Nhân Sự, Phim Ảnh, Quản Lý Vận Hành, Điện Ảnh Giải Trí</t>
        </is>
      </c>
      <c r="M1296" s="10" t="inlineStr">
        <is>
          <t>Bonus, Healthcare Plan, Paid Leave, Training, Others</t>
        </is>
      </c>
      <c r="N1296" s="11">
        <f>HYPERLINK("https://www.vietnamworks.com/quan-ly-rap-cinema-manager-2010464-jv","Xem chi tiết")</f>
        <v/>
      </c>
      <c r="O1296" s="10" t="n"/>
    </row>
    <row r="1297">
      <c r="B1297" s="7" t="n">
        <v>1295</v>
      </c>
      <c r="C1297" t="inlineStr">
        <is>
          <t>Sales Hotel (B2B + B2C)</t>
        </is>
      </c>
      <c r="D1297" t="inlineStr">
        <is>
          <t>Tiim Group Co., Ltd.</t>
        </is>
      </c>
      <c r="E1297" t="inlineStr">
        <is>
          <t>20tr-50tr ₫/tháng</t>
        </is>
      </c>
      <c r="F1297" t="inlineStr">
        <is>
          <t>Hồ Chí Minh</t>
        </is>
      </c>
      <c r="G1297" t="inlineStr">
        <is>
          <t>Nhân viên</t>
        </is>
      </c>
      <c r="H1297" t="inlineStr">
        <is>
          <t>06/02/2026</t>
        </is>
      </c>
      <c r="I1297" t="inlineStr">
        <is>
          <t>23/03/2026</t>
        </is>
      </c>
      <c r="J1297" t="inlineStr">
        <is>
          <t>17/03/2026</t>
        </is>
      </c>
      <c r="K1297" t="inlineStr">
        <is>
          <t>N/A</t>
        </is>
      </c>
      <c r="L1297" t="inlineStr">
        <is>
          <t>B2B Sales, B2C Sales, Chăm Sóc Khách Hàng, Tìm Kiếm Khách Hàng, Tư Vấn Khách Sạn</t>
        </is>
      </c>
      <c r="M1297" t="inlineStr">
        <is>
          <t>Bonus, Paid Leave, Travel Opportunities, Others</t>
        </is>
      </c>
      <c r="N1297" s="8">
        <f>HYPERLINK("https://www.vietnamworks.com/sales-hotel-b2b-b2c-2010476-jv","Xem chi tiết")</f>
        <v/>
      </c>
    </row>
    <row r="1298">
      <c r="B1298" s="9" t="n">
        <v>1296</v>
      </c>
      <c r="C1298" s="10" t="inlineStr">
        <is>
          <t>Regulatory Affairs Manager</t>
        </is>
      </c>
      <c r="D1298" s="10" t="inlineStr">
        <is>
          <t>Công Ty TNHH Fonterra Brands Việt Nam</t>
        </is>
      </c>
      <c r="E1298" s="10" t="inlineStr">
        <is>
          <t>Thương lượng</t>
        </is>
      </c>
      <c r="F1298" s="10" t="inlineStr">
        <is>
          <t>Hồ Chí Minh</t>
        </is>
      </c>
      <c r="G1298" s="10" t="inlineStr">
        <is>
          <t>Trưởng phòng</t>
        </is>
      </c>
      <c r="H1298" s="10" t="inlineStr">
        <is>
          <t>06/02/2026</t>
        </is>
      </c>
      <c r="I1298" s="10" t="inlineStr">
        <is>
          <t>23/03/2026</t>
        </is>
      </c>
      <c r="J1298" s="10" t="inlineStr">
        <is>
          <t>17/03/2026</t>
        </is>
      </c>
      <c r="K1298" s="10" t="inlineStr">
        <is>
          <t>N/A</t>
        </is>
      </c>
      <c r="L1298" s="10" t="inlineStr">
        <is>
          <t>Human Nutrition, Regulatory Strategy Development, Communication Skills, Relationship Management, Product Research</t>
        </is>
      </c>
      <c r="M1298" s="10" t="inlineStr">
        <is>
          <t>Bonus, Healthcare Plan, Paid Leave</t>
        </is>
      </c>
      <c r="N1298" s="11">
        <f>HYPERLINK("https://www.vietnamworks.com/regulatory-affairs-manager-2010471-jv","Xem chi tiết")</f>
        <v/>
      </c>
      <c r="O1298" s="10" t="n"/>
    </row>
    <row r="1299">
      <c r="B1299" s="7" t="n">
        <v>1297</v>
      </c>
      <c r="C1299" t="inlineStr">
        <is>
          <t>Designer</t>
        </is>
      </c>
      <c r="D1299" t="inlineStr">
        <is>
          <t>Tiim Group Co., Ltd.</t>
        </is>
      </c>
      <c r="E1299" t="inlineStr">
        <is>
          <t>Thương lượng</t>
        </is>
      </c>
      <c r="F1299" t="inlineStr">
        <is>
          <t>Hồ Chí Minh</t>
        </is>
      </c>
      <c r="G1299" t="inlineStr">
        <is>
          <t>Nhân viên</t>
        </is>
      </c>
      <c r="H1299" t="inlineStr">
        <is>
          <t>06/02/2026</t>
        </is>
      </c>
      <c r="I1299" t="inlineStr">
        <is>
          <t>23/03/2026</t>
        </is>
      </c>
      <c r="J1299" t="inlineStr">
        <is>
          <t>17/03/2026</t>
        </is>
      </c>
      <c r="K1299" t="inlineStr">
        <is>
          <t>N/A</t>
        </is>
      </c>
      <c r="L1299" t="inlineStr">
        <is>
          <t>Collaboration, Creative Thinking, Design Software, Digital Storytelling, Visual Concept</t>
        </is>
      </c>
      <c r="M1299" t="inlineStr">
        <is>
          <t>Bonus, Healthcare Plan, Paid Leave, Travel Opportunities, Others</t>
        </is>
      </c>
      <c r="N1299" s="8">
        <f>HYPERLINK("https://www.vietnamworks.com/designer-2010473-jv","Xem chi tiết")</f>
        <v/>
      </c>
    </row>
    <row r="1300">
      <c r="B1300" s="9" t="n">
        <v>1298</v>
      </c>
      <c r="C1300" s="10" t="inlineStr">
        <is>
          <t>Beauty &amp; Cosmetic Key Account Manager (B2B Wholesaler Channel)</t>
        </is>
      </c>
      <c r="D1300" s="10" t="inlineStr">
        <is>
          <t>Công Ty TNHH ActsOne Việt Nam (Bbia, Hince BRAND)</t>
        </is>
      </c>
      <c r="E1300" s="10" t="inlineStr">
        <is>
          <t>$$ 600-1,000 /tháng</t>
        </is>
      </c>
      <c r="F1300" s="10" t="inlineStr">
        <is>
          <t>Hồ Chí Minh</t>
        </is>
      </c>
      <c r="G1300" s="10" t="inlineStr">
        <is>
          <t>Nhân viên</t>
        </is>
      </c>
      <c r="H1300" s="10" t="inlineStr">
        <is>
          <t>06/02/2026</t>
        </is>
      </c>
      <c r="I1300" s="10" t="inlineStr">
        <is>
          <t>23/03/2026</t>
        </is>
      </c>
      <c r="J1300" s="10" t="inlineStr">
        <is>
          <t>17/03/2026</t>
        </is>
      </c>
      <c r="K1300" s="10" t="inlineStr">
        <is>
          <t>N/A</t>
        </is>
      </c>
      <c r="L1300" s="10" t="inlineStr">
        <is>
          <t>Key Account Development, Business Development, B2B Sales, Cosmetic, FMCG &amp; B2B Sales and Trade Marketing</t>
        </is>
      </c>
      <c r="M1300" s="10" t="inlineStr">
        <is>
          <t>Training, Laptop, Vouchers</t>
        </is>
      </c>
      <c r="N1300" s="11">
        <f>HYPERLINK("https://www.vietnamworks.com/beauty-cosmetic-key-account-manager-b2b-wholesaler-channel-2010474-jv","Xem chi tiết")</f>
        <v/>
      </c>
      <c r="O1300" s="10" t="n"/>
    </row>
    <row r="1301">
      <c r="B1301" s="7" t="n">
        <v>1299</v>
      </c>
      <c r="C1301" t="inlineStr">
        <is>
          <t>Sales Manager, HVAC</t>
        </is>
      </c>
      <c r="D1301" t="inlineStr">
        <is>
          <t>Michael Page Vietnam</t>
        </is>
      </c>
      <c r="E1301" t="inlineStr">
        <is>
          <t>Thương lượng</t>
        </is>
      </c>
      <c r="F1301" t="inlineStr">
        <is>
          <t>Hồ Chí Minh</t>
        </is>
      </c>
      <c r="G1301" t="inlineStr">
        <is>
          <t>Trưởng phòng</t>
        </is>
      </c>
      <c r="H1301" t="inlineStr">
        <is>
          <t>06/02/2026</t>
        </is>
      </c>
      <c r="I1301" t="inlineStr">
        <is>
          <t>23/03/2026</t>
        </is>
      </c>
      <c r="J1301" t="inlineStr">
        <is>
          <t>17/03/2026</t>
        </is>
      </c>
      <c r="K1301" t="inlineStr">
        <is>
          <t>N/A</t>
        </is>
      </c>
      <c r="L1301" t="inlineStr">
        <is>
          <t>Sales Management, HVAC, Environmental engineering, B2B, Channel Management</t>
        </is>
      </c>
      <c r="M1301" t="inlineStr">
        <is>
          <t>Bonus</t>
        </is>
      </c>
      <c r="N1301" s="8">
        <f>HYPERLINK("https://www.vietnamworks.com/sales-manager-hvac-3-2010475-jv","Xem chi tiết")</f>
        <v/>
      </c>
    </row>
    <row r="1302">
      <c r="B1302" s="9" t="n">
        <v>1300</v>
      </c>
      <c r="C1302" s="10" t="inlineStr">
        <is>
          <t>Nhân Viên Ngôn Ngữ Dữ Liệu - Tiếng Pháp/tây Ba Nha/bồ Đào Nha/thái (Không Yêu Cầu Kinh Nghiệm)</t>
        </is>
      </c>
      <c r="D1302" s="10" t="inlineStr">
        <is>
          <t>CÔNG TY TNHH APPEN DATA TECHNOLOGY VIỆT NAM</t>
        </is>
      </c>
      <c r="E1302" s="10" t="inlineStr">
        <is>
          <t>Thương lượng</t>
        </is>
      </c>
      <c r="F1302" s="10" t="inlineStr">
        <is>
          <t>Hà Nội</t>
        </is>
      </c>
      <c r="G1302" s="10" t="inlineStr">
        <is>
          <t>Mới Tốt Nghiệp</t>
        </is>
      </c>
      <c r="H1302" s="10" t="inlineStr">
        <is>
          <t>06/02/2026</t>
        </is>
      </c>
      <c r="I1302" s="10" t="inlineStr">
        <is>
          <t>23/03/2026</t>
        </is>
      </c>
      <c r="J1302" s="10" t="inlineStr">
        <is>
          <t>17/03/2026</t>
        </is>
      </c>
      <c r="K1302" s="10" t="inlineStr">
        <is>
          <t>N/A</t>
        </is>
      </c>
      <c r="L1302" s="10" t="inlineStr">
        <is>
          <t>Content Annotation, Data Annotation, French, Spanish, Thai Language</t>
        </is>
      </c>
      <c r="M1302" s="10" t="inlineStr">
        <is>
          <t>Paid Leave, Laptop, Others</t>
        </is>
      </c>
      <c r="N1302" s="11">
        <f>HYPERLINK("https://www.vietnamworks.com/nhan-vien-ngon-ngu-du-lieu-tieng-phap-tay-ba-nha-bo-dao-nha-thai-khong-yeu-cau-kinh-nghiem-2010480-jv","Xem chi tiết")</f>
        <v/>
      </c>
      <c r="O1302" s="10" t="n"/>
    </row>
    <row r="1303">
      <c r="B1303" s="7" t="n">
        <v>1301</v>
      </c>
      <c r="C1303" t="inlineStr">
        <is>
          <t>Sales Executive (Dự Án - B2B)/ Độ Tuổi: 24-35 Tuổi</t>
        </is>
      </c>
      <c r="D1303" t="inlineStr">
        <is>
          <t>Công ty Cổ phần Furicco Việt Nam</t>
        </is>
      </c>
      <c r="E1303" t="inlineStr">
        <is>
          <t>Tới 25tr ₫/tháng</t>
        </is>
      </c>
      <c r="F1303" t="inlineStr">
        <is>
          <t>Hà Nội, Đà Nẵng</t>
        </is>
      </c>
      <c r="G1303" t="inlineStr">
        <is>
          <t>Nhân viên</t>
        </is>
      </c>
      <c r="H1303" t="inlineStr">
        <is>
          <t>06/02/2026</t>
        </is>
      </c>
      <c r="I1303" t="inlineStr">
        <is>
          <t>23/03/2026</t>
        </is>
      </c>
      <c r="J1303" t="inlineStr">
        <is>
          <t>17/03/2026</t>
        </is>
      </c>
      <c r="K1303" t="inlineStr">
        <is>
          <t>N/A</t>
        </is>
      </c>
      <c r="L1303" t="inlineStr">
        <is>
          <t>Sales B2B, Presales Technical, Project Coordination, Customer Service, nhân viên kinh doanh</t>
        </is>
      </c>
      <c r="M1303" t="inlineStr">
        <is>
          <t>Bonus, Healthcare Plan, Training, Awards, Travel Opportunities, Others</t>
        </is>
      </c>
      <c r="N1303" s="8">
        <f>HYPERLINK("https://www.vietnamworks.com/sales-executive-du-an-b2b-do-tuoi-24-35-tuoi-2010478-jv","Xem chi tiết")</f>
        <v/>
      </c>
    </row>
    <row r="1304">
      <c r="B1304" s="9" t="n">
        <v>1302</v>
      </c>
      <c r="C1304" s="10" t="inlineStr">
        <is>
          <t>Sales Tour Outbound</t>
        </is>
      </c>
      <c r="D1304" s="10" t="inlineStr">
        <is>
          <t>Tiim Group Co., Ltd.</t>
        </is>
      </c>
      <c r="E1304" s="10" t="inlineStr">
        <is>
          <t>20tr-50tr ₫/tháng</t>
        </is>
      </c>
      <c r="F1304" s="10" t="inlineStr">
        <is>
          <t>Hồ Chí Minh</t>
        </is>
      </c>
      <c r="G1304" s="10" t="inlineStr">
        <is>
          <t>Mới Tốt Nghiệp</t>
        </is>
      </c>
      <c r="H1304" s="10" t="inlineStr">
        <is>
          <t>06/02/2026</t>
        </is>
      </c>
      <c r="I1304" s="10" t="inlineStr">
        <is>
          <t>23/03/2026</t>
        </is>
      </c>
      <c r="J1304" s="10" t="inlineStr">
        <is>
          <t>17/03/2026</t>
        </is>
      </c>
      <c r="K1304" s="10" t="inlineStr">
        <is>
          <t>N/A</t>
        </is>
      </c>
      <c r="L1304" s="10" t="inlineStr">
        <is>
          <t>Communication, Customer Service, English, Outbound Sales, Travel Consulting</t>
        </is>
      </c>
      <c r="M1304" s="10" t="inlineStr">
        <is>
          <t>Bonus, Healthcare Plan, Paid Leave, Travel Opportunities, Others</t>
        </is>
      </c>
      <c r="N1304" s="11">
        <f>HYPERLINK("https://www.vietnamworks.com/sales-tour-outbound-2010479-jv","Xem chi tiết")</f>
        <v/>
      </c>
      <c r="O1304" s="10" t="n"/>
    </row>
    <row r="1305">
      <c r="B1305" s="7" t="n">
        <v>1303</v>
      </c>
      <c r="C1305" t="inlineStr">
        <is>
          <t>Sales Executive (Chinese Speaking)</t>
        </is>
      </c>
      <c r="D1305" t="inlineStr">
        <is>
          <t>Công Ty TNHH Khí Công Nghiệp Messer Việt Nam</t>
        </is>
      </c>
      <c r="E1305" t="inlineStr">
        <is>
          <t>17tr-20tr ₫/tháng</t>
        </is>
      </c>
      <c r="F1305" t="inlineStr">
        <is>
          <t>Nghệ An, Hà Nội</t>
        </is>
      </c>
      <c r="G1305" t="inlineStr">
        <is>
          <t>Nhân viên</t>
        </is>
      </c>
      <c r="H1305" t="inlineStr">
        <is>
          <t>06/02/2026</t>
        </is>
      </c>
      <c r="I1305" t="inlineStr">
        <is>
          <t>23/03/2026</t>
        </is>
      </c>
      <c r="J1305" t="inlineStr">
        <is>
          <t>17/03/2026</t>
        </is>
      </c>
      <c r="K1305" t="inlineStr">
        <is>
          <t>N/A</t>
        </is>
      </c>
      <c r="L1305" t="inlineStr">
        <is>
          <t>Business Development, Chinese Speaking, Contract Negotiation, Business Administration, FDI</t>
        </is>
      </c>
      <c r="M1305" t="inlineStr">
        <is>
          <t>Bonus, Healthcare Plan, Others</t>
        </is>
      </c>
      <c r="N1305" s="8">
        <f>HYPERLINK("https://www.vietnamworks.com/sales-executive-chinese-speaking-2010477-jv","Xem chi tiết")</f>
        <v/>
      </c>
    </row>
    <row r="1306">
      <c r="B1306" s="9" t="n">
        <v>1304</v>
      </c>
      <c r="C1306" s="10" t="inlineStr">
        <is>
          <t>Kỹ Sư Điện Tử Y Sinh</t>
        </is>
      </c>
      <c r="D1306" s="10" t="inlineStr">
        <is>
          <t>Công ty TNHH Thiết bị y tế SonoU</t>
        </is>
      </c>
      <c r="E1306" s="10" t="inlineStr">
        <is>
          <t>13tr-15tr ₫/tháng</t>
        </is>
      </c>
      <c r="F1306" s="10" t="inlineStr">
        <is>
          <t>Hà Nội</t>
        </is>
      </c>
      <c r="G1306" s="10" t="inlineStr">
        <is>
          <t>Nhân viên</t>
        </is>
      </c>
      <c r="H1306" s="10" t="inlineStr">
        <is>
          <t>06/02/2026</t>
        </is>
      </c>
      <c r="I1306" s="10" t="inlineStr">
        <is>
          <t>23/03/2026</t>
        </is>
      </c>
      <c r="J1306" s="10" t="inlineStr">
        <is>
          <t>17/03/2026</t>
        </is>
      </c>
      <c r="K1306" s="10" t="inlineStr">
        <is>
          <t>N/A</t>
        </is>
      </c>
      <c r="L1306" s="10" t="inlineStr">
        <is>
          <t>Thiết Bị Y Tế, Hỗ Trợ Kỹ Thuật, Sửa Chữa Thiết Bị, Kỹ Thuật Y Sinh, Phát Triển Sản Phẩm</t>
        </is>
      </c>
      <c r="M1306" s="10" t="inlineStr">
        <is>
          <t>Bonus, Healthcare Plan, Awards</t>
        </is>
      </c>
      <c r="N1306" s="11">
        <f>HYPERLINK("https://www.vietnamworks.com/ky-su-dien-tu-y-sinh--2010502-jv","Xem chi tiết")</f>
        <v/>
      </c>
      <c r="O1306" s="10" t="n"/>
    </row>
    <row r="1307">
      <c r="B1307" s="7" t="n">
        <v>1305</v>
      </c>
      <c r="C1307" t="inlineStr">
        <is>
          <t>Supervisor, Quality (Process/product Audit)</t>
        </is>
      </c>
      <c r="D1307" t="inlineStr">
        <is>
          <t>Công Ty TNHH Pandora Production Việt Nam</t>
        </is>
      </c>
      <c r="E1307" t="inlineStr">
        <is>
          <t>Thương lượng</t>
        </is>
      </c>
      <c r="F1307" t="inlineStr">
        <is>
          <t>Bình Dương</t>
        </is>
      </c>
      <c r="G1307" t="inlineStr">
        <is>
          <t>Nhân viên</t>
        </is>
      </c>
      <c r="H1307" t="inlineStr">
        <is>
          <t>06/02/2026</t>
        </is>
      </c>
      <c r="I1307" t="inlineStr">
        <is>
          <t>23/03/2026</t>
        </is>
      </c>
      <c r="J1307" t="inlineStr">
        <is>
          <t>17/03/2026</t>
        </is>
      </c>
      <c r="K1307" t="inlineStr">
        <is>
          <t>N/A</t>
        </is>
      </c>
      <c r="L1307" t="inlineStr">
        <is>
          <t>Quality Auditing, Quality Engineer, Qa Methodologies</t>
        </is>
      </c>
      <c r="M1307" t="inlineStr">
        <is>
          <t>Bonus, Transportation</t>
        </is>
      </c>
      <c r="N1307" s="8">
        <f>HYPERLINK("https://www.vietnamworks.com/supervisor-quality-process-product-audit-2010486-jv","Xem chi tiết")</f>
        <v/>
      </c>
    </row>
    <row r="1308">
      <c r="B1308" s="9" t="n">
        <v>1306</v>
      </c>
      <c r="C1308" s="10" t="inlineStr">
        <is>
          <t>Reservation Support - Vietnamese (Relocate to Bangkok)</t>
        </is>
      </c>
      <c r="D1308" s="10" t="inlineStr">
        <is>
          <t>Teleperformance</t>
        </is>
      </c>
      <c r="E1308" s="10" t="inlineStr">
        <is>
          <t>Tới $ 1,076 /tháng</t>
        </is>
      </c>
      <c r="F1308" s="10" t="inlineStr">
        <is>
          <t>Quốc tế, Hồ Chí Minh, Hà Nội</t>
        </is>
      </c>
      <c r="G1308" s="10" t="inlineStr">
        <is>
          <t>Mới Tốt Nghiệp</t>
        </is>
      </c>
      <c r="H1308" s="10" t="inlineStr">
        <is>
          <t>06/02/2026</t>
        </is>
      </c>
      <c r="I1308" s="10" t="inlineStr">
        <is>
          <t>23/03/2026</t>
        </is>
      </c>
      <c r="J1308" s="10" t="inlineStr">
        <is>
          <t>17/03/2026</t>
        </is>
      </c>
      <c r="K1308" s="10" t="inlineStr">
        <is>
          <t>N/A</t>
        </is>
      </c>
      <c r="L1308" s="10" t="inlineStr">
        <is>
          <t>Customer Support, English, Customer Handling, Reservation System, Microsoft Office</t>
        </is>
      </c>
      <c r="M1308" s="10" t="inlineStr">
        <is>
          <t>Bonus, Healthcare Plan, Travel Opportunities</t>
        </is>
      </c>
      <c r="N1308" s="11">
        <f>HYPERLINK("https://www.vietnamworks.com/reservation-support-vietnamese-relocate-to-bangkok--2010485-jv","Xem chi tiết")</f>
        <v/>
      </c>
      <c r="O1308" s="10" t="n"/>
    </row>
    <row r="1309">
      <c r="B1309" s="7" t="n">
        <v>1307</v>
      </c>
      <c r="C1309" t="inlineStr">
        <is>
          <t>Specialist, Accounting (Gl&amp;reporting)</t>
        </is>
      </c>
      <c r="D1309" t="inlineStr">
        <is>
          <t>Công Ty TNHH Pandora Production Việt Nam</t>
        </is>
      </c>
      <c r="E1309" t="inlineStr">
        <is>
          <t>Thương lượng</t>
        </is>
      </c>
      <c r="F1309" t="inlineStr">
        <is>
          <t>Bình Dương</t>
        </is>
      </c>
      <c r="G1309" t="inlineStr">
        <is>
          <t>Nhân viên</t>
        </is>
      </c>
      <c r="H1309" t="inlineStr">
        <is>
          <t>06/02/2026</t>
        </is>
      </c>
      <c r="I1309" t="inlineStr">
        <is>
          <t>23/03/2026</t>
        </is>
      </c>
      <c r="J1309" t="inlineStr">
        <is>
          <t>17/03/2026</t>
        </is>
      </c>
      <c r="K1309" t="inlineStr">
        <is>
          <t>N/A</t>
        </is>
      </c>
      <c r="L1309" t="inlineStr">
        <is>
          <t>Kế Toán, Tiếng Anh</t>
        </is>
      </c>
      <c r="M1309" t="inlineStr">
        <is>
          <t>Bonus, Healthcare Plan, Laptop</t>
        </is>
      </c>
      <c r="N1309" s="8">
        <f>HYPERLINK("https://www.vietnamworks.com/specialist-accounting-gl-reporting-2010491-jv","Xem chi tiết")</f>
        <v/>
      </c>
    </row>
    <row r="1310">
      <c r="B1310" s="9" t="n">
        <v>1308</v>
      </c>
      <c r="C1310" s="10" t="inlineStr">
        <is>
          <t>Game Planner</t>
        </is>
      </c>
      <c r="D1310" s="10" t="inlineStr">
        <is>
          <t>NEXON DEV VINA</t>
        </is>
      </c>
      <c r="E1310" s="10" t="inlineStr">
        <is>
          <t>Thương lượng</t>
        </is>
      </c>
      <c r="F1310" s="10" t="inlineStr">
        <is>
          <t>Hồ Chí Minh</t>
        </is>
      </c>
      <c r="G1310" s="10" t="inlineStr">
        <is>
          <t>Nhân viên</t>
        </is>
      </c>
      <c r="H1310" s="10" t="inlineStr">
        <is>
          <t>06/02/2026</t>
        </is>
      </c>
      <c r="I1310" s="10" t="inlineStr">
        <is>
          <t>23/03/2026</t>
        </is>
      </c>
      <c r="J1310" s="10" t="inlineStr">
        <is>
          <t>17/03/2026</t>
        </is>
      </c>
      <c r="K1310" s="10" t="inlineStr">
        <is>
          <t>N/A</t>
        </is>
      </c>
      <c r="L1310" s="10" t="inlineStr">
        <is>
          <t>Unity Engine, Concept, Game, PlayableAds, KẾ HOẠCH</t>
        </is>
      </c>
      <c r="M1310" s="10" t="inlineStr">
        <is>
          <t>Healthcare Plan, Paid Leave, Travel Opportunities</t>
        </is>
      </c>
      <c r="N1310" s="11">
        <f>HYPERLINK("https://www.vietnamworks.com/game-planner--2010507-jv","Xem chi tiết")</f>
        <v/>
      </c>
      <c r="O1310" s="10" t="n"/>
    </row>
    <row r="1311">
      <c r="B1311" s="7" t="n">
        <v>1309</v>
      </c>
      <c r="C1311" t="inlineStr">
        <is>
          <t>Nhân Viên Ngôn Ngữ Dữ Liệu - Tiếng Hàn (Không Yêu Cầu Kinh Nghiệm)</t>
        </is>
      </c>
      <c r="D1311" t="inlineStr">
        <is>
          <t>CÔNG TY TNHH APPEN DATA TECHNOLOGY VIỆT NAM</t>
        </is>
      </c>
      <c r="E1311" t="inlineStr">
        <is>
          <t>19tr-25tr ₫/tháng</t>
        </is>
      </c>
      <c r="F1311" t="inlineStr">
        <is>
          <t>Hà Nội</t>
        </is>
      </c>
      <c r="G1311" t="inlineStr">
        <is>
          <t>Mới Tốt Nghiệp</t>
        </is>
      </c>
      <c r="H1311" t="inlineStr">
        <is>
          <t>06/02/2026</t>
        </is>
      </c>
      <c r="I1311" t="inlineStr">
        <is>
          <t>23/03/2026</t>
        </is>
      </c>
      <c r="J1311" t="inlineStr">
        <is>
          <t>17/03/2026</t>
        </is>
      </c>
      <c r="K1311" t="inlineStr">
        <is>
          <t>N/A</t>
        </is>
      </c>
      <c r="L1311" t="inlineStr">
        <is>
          <t>Data Annotation, Content Annotation, Kiểm Duyệt Tài Liệu, Korean, TOPIK - Level 6</t>
        </is>
      </c>
      <c r="M1311" t="inlineStr">
        <is>
          <t>Paid Leave, Laptop, Others</t>
        </is>
      </c>
      <c r="N1311" s="8">
        <f>HYPERLINK("https://www.vietnamworks.com/nhan-vien-ngon-ngu-du-lieu-tieng-han-khong-yeu-cau-kinh-nghiem-2010492-jv","Xem chi tiết")</f>
        <v/>
      </c>
    </row>
    <row r="1312">
      <c r="B1312" s="9" t="n">
        <v>1310</v>
      </c>
      <c r="C1312" s="10" t="inlineStr">
        <is>
          <t>Kỹ Sư Xây Dựng Thiết Kế Kết Cấu</t>
        </is>
      </c>
      <c r="D1312" s="10" t="inlineStr">
        <is>
          <t>Tổng công ty Tư vấn Xây dựng Việt Nam - CTCP</t>
        </is>
      </c>
      <c r="E1312" s="10" t="inlineStr">
        <is>
          <t>15tr-20tr ₫/tháng</t>
        </is>
      </c>
      <c r="F1312" s="10" t="inlineStr">
        <is>
          <t>Hà Nội</t>
        </is>
      </c>
      <c r="G1312" s="10" t="inlineStr">
        <is>
          <t>Mới Tốt Nghiệp</t>
        </is>
      </c>
      <c r="H1312" s="10" t="inlineStr">
        <is>
          <t>06/02/2026</t>
        </is>
      </c>
      <c r="I1312" s="10" t="inlineStr">
        <is>
          <t>23/03/2026</t>
        </is>
      </c>
      <c r="J1312" s="10" t="inlineStr">
        <is>
          <t>17/03/2026</t>
        </is>
      </c>
      <c r="K1312" s="10" t="inlineStr">
        <is>
          <t>N/A</t>
        </is>
      </c>
      <c r="L1312" s="10" t="inlineStr">
        <is>
          <t>Xây Dựng Dân Dụng, Etab, SAP, Tính Toán Kết Cấu, Triển Khai Bản Vẽ</t>
        </is>
      </c>
      <c r="M1312" s="10" t="inlineStr">
        <is>
          <t>Bonus, Healthcare Plan, Training, Travel Opportunities, Others</t>
        </is>
      </c>
      <c r="N1312" s="11">
        <f>HYPERLINK("https://www.vietnamworks.com/ky-su-xay-dung-thiet-ke-ket-cau-2010499-jv","Xem chi tiết")</f>
        <v/>
      </c>
      <c r="O1312" s="10" t="n"/>
    </row>
    <row r="1313">
      <c r="B1313" s="7" t="n">
        <v>1311</v>
      </c>
      <c r="C1313" t="inlineStr">
        <is>
          <t>General Accountant</t>
        </is>
      </c>
      <c r="D1313" t="inlineStr">
        <is>
          <t>LVHA Manufacturing Company Limited</t>
        </is>
      </c>
      <c r="E1313" t="inlineStr">
        <is>
          <t>Thương lượng</t>
        </is>
      </c>
      <c r="F1313" t="inlineStr">
        <is>
          <t>Đồng Nai</t>
        </is>
      </c>
      <c r="G1313" t="inlineStr">
        <is>
          <t>Nhân viên</t>
        </is>
      </c>
      <c r="H1313" t="inlineStr">
        <is>
          <t>06/02/2026</t>
        </is>
      </c>
      <c r="I1313" t="inlineStr">
        <is>
          <t>23/03/2026</t>
        </is>
      </c>
      <c r="J1313" t="inlineStr">
        <is>
          <t>17/03/2026</t>
        </is>
      </c>
      <c r="K1313" t="inlineStr">
        <is>
          <t>N/A</t>
        </is>
      </c>
      <c r="L1313" t="inlineStr">
        <is>
          <t>Kế Toán Tổng Hợp, Báo Cáo Tài Chính, Kế Toán, Kiểm Toán, Tài Chính</t>
        </is>
      </c>
      <c r="M1313" t="inlineStr">
        <is>
          <t>Bonus, Healthcare Plan, Laptop</t>
        </is>
      </c>
      <c r="N1313" s="8">
        <f>HYPERLINK("https://www.vietnamworks.com/general-accountant--2010493-jv","Xem chi tiết")</f>
        <v/>
      </c>
    </row>
    <row r="1314">
      <c r="B1314" s="9" t="n">
        <v>1312</v>
      </c>
      <c r="C1314" s="10" t="inlineStr">
        <is>
          <t>Giám Đốc Nhân Sự</t>
        </is>
      </c>
      <c r="D1314" s="10" t="inlineStr">
        <is>
          <t>Công ty cổ phần dưỡng sinh y dược Sao Phương Đông</t>
        </is>
      </c>
      <c r="E1314" s="10" t="inlineStr">
        <is>
          <t>50tr-60tr ₫/tháng</t>
        </is>
      </c>
      <c r="F1314" s="10" t="inlineStr">
        <is>
          <t>Hà Nội</t>
        </is>
      </c>
      <c r="G1314" s="10" t="inlineStr">
        <is>
          <t>Giám Đốc và Cấp Cao Hơn</t>
        </is>
      </c>
      <c r="H1314" s="10" t="inlineStr">
        <is>
          <t>06/02/2026</t>
        </is>
      </c>
      <c r="I1314" s="10" t="inlineStr">
        <is>
          <t>23/03/2026</t>
        </is>
      </c>
      <c r="J1314" s="10" t="inlineStr">
        <is>
          <t>17/03/2026</t>
        </is>
      </c>
      <c r="K1314" s="10" t="inlineStr">
        <is>
          <t>N/A</t>
        </is>
      </c>
      <c r="L1314" s="10" t="inlineStr">
        <is>
          <t>Quản Trị Nhân Sự, Lãnh Đạo, HR Analytics, Phát triển văn hoá doanh nghiệp</t>
        </is>
      </c>
      <c r="M1314" s="10" t="inlineStr">
        <is>
          <t>Bonus, Healthcare Plan, Awards, Others</t>
        </is>
      </c>
      <c r="N1314" s="11">
        <f>HYPERLINK("https://www.vietnamworks.com/giam-djoc-nhan-su-2010490-jv","Xem chi tiết")</f>
        <v/>
      </c>
      <c r="O1314" s="10" t="n"/>
    </row>
    <row r="1315">
      <c r="B1315" s="7" t="n">
        <v>1313</v>
      </c>
      <c r="C1315" t="inlineStr">
        <is>
          <t>Kỹ Sư Kỹ Thuật Hiện Trường Và Nội Nghiệp (Cầu Đường)</t>
        </is>
      </c>
      <c r="D1315" t="inlineStr">
        <is>
          <t>Tổng Công Ty Cổ Phần Xuất Nhập Khẩu Và Xây Dựng Việt Nam (VINACONEX)</t>
        </is>
      </c>
      <c r="E1315" t="inlineStr">
        <is>
          <t>18tr-24tr ₫/tháng</t>
        </is>
      </c>
      <c r="F1315" t="inlineStr">
        <is>
          <t>Tuyên Quang, Hà Nội, Hà Giang</t>
        </is>
      </c>
      <c r="G1315" t="inlineStr">
        <is>
          <t>Nhân viên</t>
        </is>
      </c>
      <c r="H1315" t="inlineStr">
        <is>
          <t>06/02/2026</t>
        </is>
      </c>
      <c r="I1315" t="inlineStr">
        <is>
          <t>23/03/2026</t>
        </is>
      </c>
      <c r="J1315" t="inlineStr">
        <is>
          <t>17/03/2026</t>
        </is>
      </c>
      <c r="K1315" t="inlineStr">
        <is>
          <t>N/A</t>
        </is>
      </c>
      <c r="L1315" t="inlineStr">
        <is>
          <t>AutoCAD, Luật Xây Dựng, Quản Lý Chi Phí, Bóc Tách Khối Lượng, Giám Sát Thi Công</t>
        </is>
      </c>
      <c r="M1315" t="inlineStr">
        <is>
          <t>Bonus, Healthcare Plan, Training, Team Activities, Others</t>
        </is>
      </c>
      <c r="N1315" s="8">
        <f>HYPERLINK("https://www.vietnamworks.com/ky-su-ky-thuat-hien-truong-va-noi-nghiep-cau-djuong-2010488-jv","Xem chi tiết")</f>
        <v/>
      </c>
    </row>
    <row r="1316">
      <c r="B1316" s="9" t="n">
        <v>1314</v>
      </c>
      <c r="C1316" s="10" t="inlineStr">
        <is>
          <t>Production Manager (Working in Hai Phong)</t>
        </is>
      </c>
      <c r="D1316" s="10" t="inlineStr">
        <is>
          <t>VINFAST TRADING AND PRODUCTION JSC</t>
        </is>
      </c>
      <c r="E1316" s="10" t="inlineStr">
        <is>
          <t>Thương lượng</t>
        </is>
      </c>
      <c r="F1316" s="10" t="inlineStr">
        <is>
          <t>Hải Phòng, Hà Nội, Hải Dương</t>
        </is>
      </c>
      <c r="G1316" s="10" t="inlineStr">
        <is>
          <t>Trưởng phòng</t>
        </is>
      </c>
      <c r="H1316" s="10" t="inlineStr">
        <is>
          <t>06/02/2026</t>
        </is>
      </c>
      <c r="I1316" s="10" t="inlineStr">
        <is>
          <t>23/03/2026</t>
        </is>
      </c>
      <c r="J1316" s="10" t="inlineStr">
        <is>
          <t>17/03/2026</t>
        </is>
      </c>
      <c r="K1316" s="10" t="inlineStr">
        <is>
          <t>N/A</t>
        </is>
      </c>
      <c r="L1316" s="10" t="inlineStr">
        <is>
          <t>Manufacturing Experience, Automotive, Production, Operation, Leadership</t>
        </is>
      </c>
      <c r="M1316" s="10" t="inlineStr">
        <is>
          <t>Bonus, Healthcare Plan, Others</t>
        </is>
      </c>
      <c r="N1316" s="11">
        <f>HYPERLINK("https://www.vietnamworks.com/production-manager-working-in-hai-phong--2010484-jv","Xem chi tiết")</f>
        <v/>
      </c>
      <c r="O1316" s="10" t="n"/>
    </row>
    <row r="1317">
      <c r="B1317" s="7" t="n">
        <v>1315</v>
      </c>
      <c r="C1317" t="inlineStr">
        <is>
          <t>QA Game Tester</t>
        </is>
      </c>
      <c r="D1317" t="inlineStr">
        <is>
          <t>Nexon Networks Vina Co. Ltd,</t>
        </is>
      </c>
      <c r="E1317" t="inlineStr">
        <is>
          <t>Thương lượng</t>
        </is>
      </c>
      <c r="F1317" t="inlineStr">
        <is>
          <t>Hồ Chí Minh</t>
        </is>
      </c>
      <c r="G1317" t="inlineStr">
        <is>
          <t>Nhân viên</t>
        </is>
      </c>
      <c r="H1317" t="inlineStr">
        <is>
          <t>06/02/2026</t>
        </is>
      </c>
      <c r="I1317" t="inlineStr">
        <is>
          <t>23/03/2026</t>
        </is>
      </c>
      <c r="J1317" t="inlineStr">
        <is>
          <t>17/03/2026</t>
        </is>
      </c>
      <c r="K1317" t="inlineStr">
        <is>
          <t>N/A</t>
        </is>
      </c>
      <c r="L1317" t="inlineStr">
        <is>
          <t>Game Testing, Quality Assurance, Manual Testing, English, Test Cases</t>
        </is>
      </c>
      <c r="M1317" t="inlineStr">
        <is>
          <t>Bonus, Healthcare Plan, Training</t>
        </is>
      </c>
      <c r="N1317" s="8">
        <f>HYPERLINK("https://www.vietnamworks.com/qa-game-tester--2010501-jv","Xem chi tiết")</f>
        <v/>
      </c>
    </row>
    <row r="1318">
      <c r="B1318" s="9" t="n">
        <v>1316</v>
      </c>
      <c r="C1318" s="10" t="inlineStr">
        <is>
          <t>Technical Service Engineer (Power Tools Segment)</t>
        </is>
      </c>
      <c r="D1318" s="10" t="inlineStr">
        <is>
          <t>Stanley Black &amp; Decker Vietnam</t>
        </is>
      </c>
      <c r="E1318" s="10" t="inlineStr">
        <is>
          <t>Thương lượng</t>
        </is>
      </c>
      <c r="F1318" s="10" t="inlineStr">
        <is>
          <t>Bình Dương</t>
        </is>
      </c>
      <c r="G1318" s="10" t="inlineStr">
        <is>
          <t>Nhân viên</t>
        </is>
      </c>
      <c r="H1318" s="10" t="inlineStr">
        <is>
          <t>06/02/2026</t>
        </is>
      </c>
      <c r="I1318" s="10" t="inlineStr">
        <is>
          <t>23/03/2026</t>
        </is>
      </c>
      <c r="J1318" s="10" t="inlineStr">
        <is>
          <t>17/03/2026</t>
        </is>
      </c>
      <c r="K1318" s="10" t="inlineStr">
        <is>
          <t>N/A</t>
        </is>
      </c>
      <c r="L1318" s="10" t="inlineStr">
        <is>
          <t>Mechanical Repair, Power System, Technical Development, Technical Engineering, Technical Maintenance</t>
        </is>
      </c>
      <c r="M1318" s="10" t="inlineStr">
        <is>
          <t>Training, Team Activities</t>
        </is>
      </c>
      <c r="N1318" s="11">
        <f>HYPERLINK("https://www.vietnamworks.com/technical-service-engineer-power-tools-segment-2010495-jv","Xem chi tiết")</f>
        <v/>
      </c>
      <c r="O1318" s="10" t="n"/>
    </row>
    <row r="1319">
      <c r="B1319" s="7" t="n">
        <v>1317</v>
      </c>
      <c r="C1319" t="inlineStr">
        <is>
          <t>Nhân Viên Cấp Cao – Phân Tích &amp; Lập Kế Hoạch Tài Chính</t>
        </is>
      </c>
      <c r="D1319" t="inlineStr">
        <is>
          <t>Masan High-Tech Materials</t>
        </is>
      </c>
      <c r="E1319" t="inlineStr">
        <is>
          <t>Thương lượng</t>
        </is>
      </c>
      <c r="F1319" t="inlineStr">
        <is>
          <t>Hà Nội</t>
        </is>
      </c>
      <c r="G1319" t="inlineStr">
        <is>
          <t>Nhân viên</t>
        </is>
      </c>
      <c r="H1319" t="inlineStr">
        <is>
          <t>06/02/2026</t>
        </is>
      </c>
      <c r="I1319" t="inlineStr">
        <is>
          <t>23/03/2026</t>
        </is>
      </c>
      <c r="J1319" t="inlineStr">
        <is>
          <t>17/03/2026</t>
        </is>
      </c>
      <c r="K1319" t="inlineStr">
        <is>
          <t>N/A</t>
        </is>
      </c>
      <c r="L1319" t="inlineStr">
        <is>
          <t>Analytical Skills, Budgeting, Financial Accounting, Forecasting, Management Accounting</t>
        </is>
      </c>
      <c r="M1319" t="inlineStr">
        <is>
          <t>Bonus, Healthcare Plan, Paid Leave, Training, Laptop</t>
        </is>
      </c>
      <c r="N1319" s="8">
        <f>HYPERLINK("https://www.vietnamworks.com/nhan-vien-cap-cao-phan-tich-and-lap-ke-hoach-tai-chinh-2010489-jv","Xem chi tiết")</f>
        <v/>
      </c>
    </row>
    <row r="1320">
      <c r="B1320" s="9" t="n">
        <v>1318</v>
      </c>
      <c r="C1320" s="10" t="inlineStr">
        <is>
          <t>Chuyên Viên Kinh Doanh Hóa Chất Ngành Phụ Gia</t>
        </is>
      </c>
      <c r="D1320" s="10" t="inlineStr">
        <is>
          <t>Công ty TNHH TOP Solvent (Việt Nam)</t>
        </is>
      </c>
      <c r="E1320" s="10" t="inlineStr">
        <is>
          <t>Thương lượng</t>
        </is>
      </c>
      <c r="F1320" s="10" t="inlineStr">
        <is>
          <t>Hồ Chí Minh</t>
        </is>
      </c>
      <c r="G1320" s="10" t="inlineStr">
        <is>
          <t>Nhân viên</t>
        </is>
      </c>
      <c r="H1320" s="10" t="inlineStr">
        <is>
          <t>06/02/2026</t>
        </is>
      </c>
      <c r="I1320" s="10" t="inlineStr">
        <is>
          <t>23/03/2026</t>
        </is>
      </c>
      <c r="J1320" s="10" t="inlineStr">
        <is>
          <t>17/03/2026</t>
        </is>
      </c>
      <c r="K1320" s="10" t="inlineStr">
        <is>
          <t>N/A</t>
        </is>
      </c>
      <c r="L1320" s="10" t="inlineStr">
        <is>
          <t>B2B Sales, Bán Hàng, Chemical Sales, Phát Triển Thị Trường, Nghiên Cứu Thị Trường</t>
        </is>
      </c>
      <c r="M1320" s="10" t="inlineStr">
        <is>
          <t>Bonus, Healthcare Plan, Team Activities</t>
        </is>
      </c>
      <c r="N1320" s="11">
        <f>HYPERLINK("https://www.vietnamworks.com/chuyen-vien-kinh-doanh-hoa-chat-nganh-phu-gia--2010506-jv","Xem chi tiết")</f>
        <v/>
      </c>
      <c r="O1320" s="10" t="n"/>
    </row>
    <row r="1321">
      <c r="B1321" s="7" t="n">
        <v>1319</v>
      </c>
      <c r="C1321" t="inlineStr">
        <is>
          <t>Chuyên Viên Kinh Doanh Hóa Chất Dung Môi</t>
        </is>
      </c>
      <c r="D1321" t="inlineStr">
        <is>
          <t>Công ty TNHH TOP Solvent (Việt Nam)</t>
        </is>
      </c>
      <c r="E1321" t="inlineStr">
        <is>
          <t>Thương lượng</t>
        </is>
      </c>
      <c r="F1321" t="inlineStr">
        <is>
          <t>Hồ Chí Minh</t>
        </is>
      </c>
      <c r="G1321" t="inlineStr">
        <is>
          <t>Nhân viên</t>
        </is>
      </c>
      <c r="H1321" t="inlineStr">
        <is>
          <t>06/02/2026</t>
        </is>
      </c>
      <c r="I1321" t="inlineStr">
        <is>
          <t>23/03/2026</t>
        </is>
      </c>
      <c r="J1321" t="inlineStr">
        <is>
          <t>17/03/2026</t>
        </is>
      </c>
      <c r="K1321" t="inlineStr">
        <is>
          <t>N/A</t>
        </is>
      </c>
      <c r="L1321" t="inlineStr">
        <is>
          <t>Sales experience, Market Research, Health Supplement, Cosmetics, Biopharmaceuticals</t>
        </is>
      </c>
      <c r="M1321" t="inlineStr">
        <is>
          <t>Bonus, Healthcare Plan, Team Activities</t>
        </is>
      </c>
      <c r="N1321" s="8">
        <f>HYPERLINK("https://www.vietnamworks.com/chuyen-vien-kinh-doanh-hoa-chat-dung-moi--2010508-jv","Xem chi tiết")</f>
        <v/>
      </c>
    </row>
    <row r="1322">
      <c r="B1322" s="9" t="n">
        <v>1320</v>
      </c>
      <c r="C1322" s="10" t="inlineStr">
        <is>
          <t>Kế Toán Thanh Toán</t>
        </is>
      </c>
      <c r="D1322" s="10" t="inlineStr">
        <is>
          <t>CÔNG TY CỔ PHẦN TẬP ĐOÀN NGỌC LÂM</t>
        </is>
      </c>
      <c r="E1322" s="10" t="inlineStr">
        <is>
          <t>Thương lượng</t>
        </is>
      </c>
      <c r="F1322" s="10" t="inlineStr">
        <is>
          <t>Hà Nội</t>
        </is>
      </c>
      <c r="G1322" s="10" t="inlineStr">
        <is>
          <t>Nhân viên</t>
        </is>
      </c>
      <c r="H1322" s="10" t="inlineStr">
        <is>
          <t>06/02/2026</t>
        </is>
      </c>
      <c r="I1322" s="10" t="inlineStr">
        <is>
          <t>23/03/2026</t>
        </is>
      </c>
      <c r="J1322" s="10" t="inlineStr">
        <is>
          <t>17/03/2026</t>
        </is>
      </c>
      <c r="K1322" s="10" t="inlineStr">
        <is>
          <t>N/A</t>
        </is>
      </c>
      <c r="L1322" s="10" t="inlineStr">
        <is>
          <t>Hạch Toán, Kế Toán, Nghiệm Thu Thanh Toán, Tài Chính, Theo Dõi Tồn Kho</t>
        </is>
      </c>
      <c r="M1322" s="10" t="inlineStr">
        <is>
          <t>Healthcare Plan, Training, Others</t>
        </is>
      </c>
      <c r="N1322" s="11">
        <f>HYPERLINK("https://www.vietnamworks.com/ke-toan-thanh-toan-2010522-jv","Xem chi tiết")</f>
        <v/>
      </c>
      <c r="O1322" s="10" t="n"/>
    </row>
    <row r="1323">
      <c r="B1323" s="7" t="n">
        <v>1321</v>
      </c>
      <c r="C1323" t="inlineStr">
        <is>
          <t>Automation Senior Sales Engineer</t>
        </is>
      </c>
      <c r="D1323" t="inlineStr">
        <is>
          <t>Công Ty TNHH A-Sung International VINA</t>
        </is>
      </c>
      <c r="E1323" t="inlineStr">
        <is>
          <t>15tr-25tr ₫/tháng</t>
        </is>
      </c>
      <c r="F1323" t="inlineStr">
        <is>
          <t>Hà Nội</t>
        </is>
      </c>
      <c r="G1323" t="inlineStr">
        <is>
          <t>Nhân viên</t>
        </is>
      </c>
      <c r="H1323" t="inlineStr">
        <is>
          <t>06/02/2026</t>
        </is>
      </c>
      <c r="I1323" t="inlineStr">
        <is>
          <t>23/03/2026</t>
        </is>
      </c>
      <c r="J1323" t="inlineStr">
        <is>
          <t>17/03/2026</t>
        </is>
      </c>
      <c r="K1323" t="inlineStr">
        <is>
          <t>N/A</t>
        </is>
      </c>
      <c r="L1323" t="inlineStr">
        <is>
          <t>Chăm Sóc Khách Hàng, Kinh Doanh Kỹ Thuật, Lập Kế Hoạch Kinh Doanh, Thiết Bị Tự Động Hóa, Tìm Kiếm Khách Hàng</t>
        </is>
      </c>
      <c r="M1323" t="inlineStr">
        <is>
          <t>Bonus, Healthcare Plan, Paid Leave, Training, Others</t>
        </is>
      </c>
      <c r="N1323" s="8">
        <f>HYPERLINK("https://www.vietnamworks.com/automation-senior-sales-engineer-2010511-jv","Xem chi tiết")</f>
        <v/>
      </c>
    </row>
    <row r="1324">
      <c r="B1324" s="9" t="n">
        <v>1322</v>
      </c>
      <c r="C1324" s="10" t="inlineStr">
        <is>
          <t>Trợ Lý Bán Hàng (Sales Assistant)</t>
        </is>
      </c>
      <c r="D1324" s="10" t="inlineStr">
        <is>
          <t>Công ty TNHH Thiết bị y tế SonoU</t>
        </is>
      </c>
      <c r="E1324" s="10" t="inlineStr">
        <is>
          <t>10tr-12tr ₫/tháng</t>
        </is>
      </c>
      <c r="F1324" s="10" t="inlineStr">
        <is>
          <t>Hồ Chí Minh</t>
        </is>
      </c>
      <c r="G1324" s="10" t="inlineStr">
        <is>
          <t>Nhân viên</t>
        </is>
      </c>
      <c r="H1324" s="10" t="inlineStr">
        <is>
          <t>06/02/2026</t>
        </is>
      </c>
      <c r="I1324" s="10" t="inlineStr">
        <is>
          <t>23/03/2026</t>
        </is>
      </c>
      <c r="J1324" s="10" t="inlineStr">
        <is>
          <t>17/03/2026</t>
        </is>
      </c>
      <c r="K1324" s="10" t="inlineStr">
        <is>
          <t>N/A</t>
        </is>
      </c>
      <c r="L1324" s="10" t="inlineStr">
        <is>
          <t>Thiết Bị Y Tế, Tư Vấn Sản Phẩm, Kinh Doanh Thiết Bị Y Tế, Xử Lý Đơn Hàng, Phát Triển Khách Hàng</t>
        </is>
      </c>
      <c r="M1324" s="10" t="inlineStr">
        <is>
          <t>Bonus, Healthcare Plan, Awards</t>
        </is>
      </c>
      <c r="N1324" s="11">
        <f>HYPERLINK("https://www.vietnamworks.com/tro-ly-ban-hang-sales-assistant--2010509-jv","Xem chi tiết")</f>
        <v/>
      </c>
      <c r="O1324" s="10" t="n"/>
    </row>
    <row r="1325">
      <c r="B1325" s="7" t="n">
        <v>1323</v>
      </c>
      <c r="C1325" t="inlineStr">
        <is>
          <t>Kế Toán Tổng Hợp</t>
        </is>
      </c>
      <c r="D1325" t="inlineStr">
        <is>
          <t>CÔNG TY CỔ PHẦN TẬP ĐOÀN NGỌC LÂM</t>
        </is>
      </c>
      <c r="E1325" t="inlineStr">
        <is>
          <t>Thương lượng</t>
        </is>
      </c>
      <c r="F1325" t="inlineStr">
        <is>
          <t>Hà Nội</t>
        </is>
      </c>
      <c r="G1325" t="inlineStr">
        <is>
          <t>Nhân viên</t>
        </is>
      </c>
      <c r="H1325" t="inlineStr">
        <is>
          <t>06/02/2026</t>
        </is>
      </c>
      <c r="I1325" t="inlineStr">
        <is>
          <t>23/03/2026</t>
        </is>
      </c>
      <c r="J1325" t="inlineStr">
        <is>
          <t>17/03/2026</t>
        </is>
      </c>
      <c r="K1325" t="inlineStr">
        <is>
          <t>N/A</t>
        </is>
      </c>
      <c r="L1325" t="inlineStr">
        <is>
          <t>Hạch Toán, Kế Toán Tổng Hợp, Lập Báo Cáo Tài Chính, Phân Tích Số Liệu, Đối Chiếu Công Nợ</t>
        </is>
      </c>
      <c r="M1325" t="inlineStr">
        <is>
          <t>Healthcare Plan, Training, Others</t>
        </is>
      </c>
      <c r="N1325" s="8">
        <f>HYPERLINK("https://www.vietnamworks.com/ke-toan-tong-hop-2010527-jv","Xem chi tiết")</f>
        <v/>
      </c>
    </row>
    <row r="1326">
      <c r="B1326" s="9" t="n">
        <v>1324</v>
      </c>
      <c r="C1326" s="10" t="inlineStr">
        <is>
          <t>Nhân Viên Kinh Doanh - Thu Nhập Hấp Dẫn</t>
        </is>
      </c>
      <c r="D1326" s="10" t="inlineStr">
        <is>
          <t>CÔNG TY TNHH BX BUNKA VIỆT NAM</t>
        </is>
      </c>
      <c r="E1326" s="10" t="inlineStr">
        <is>
          <t>Thương lượng</t>
        </is>
      </c>
      <c r="F1326" s="10" t="inlineStr">
        <is>
          <t>Hồ Chí Minh</t>
        </is>
      </c>
      <c r="G1326" s="10" t="inlineStr">
        <is>
          <t>Nhân viên</t>
        </is>
      </c>
      <c r="H1326" s="10" t="inlineStr">
        <is>
          <t>06/02/2026</t>
        </is>
      </c>
      <c r="I1326" s="10" t="inlineStr">
        <is>
          <t>23/03/2026</t>
        </is>
      </c>
      <c r="J1326" s="10" t="inlineStr">
        <is>
          <t>17/03/2026</t>
        </is>
      </c>
      <c r="K1326" s="10" t="inlineStr">
        <is>
          <t>N/A</t>
        </is>
      </c>
      <c r="L1326" s="10" t="inlineStr">
        <is>
          <t>Business Development, CAD, Kinh Doanh, Tìm Kiếm Khách Hàng</t>
        </is>
      </c>
      <c r="M1326" s="10" t="inlineStr">
        <is>
          <t>Bonus, Healthcare Plan, Paid Leave, Training, Travel Opportunities, Transportation, Others</t>
        </is>
      </c>
      <c r="N1326" s="11">
        <f>HYPERLINK("https://www.vietnamworks.com/nhan-vien-kinh-doanh-thu-nhap-hap-dan-2010524-jv","Xem chi tiết")</f>
        <v/>
      </c>
      <c r="O1326" s="10" t="n"/>
    </row>
    <row r="1327">
      <c r="B1327" s="7" t="n">
        <v>1325</v>
      </c>
      <c r="C1327" t="inlineStr">
        <is>
          <t>Kỹ Sư An Toàn (Safety Engineer)</t>
        </is>
      </c>
      <c r="D1327" t="inlineStr">
        <is>
          <t>POSCO VST CO., Ltd</t>
        </is>
      </c>
      <c r="E1327" t="inlineStr">
        <is>
          <t>Thương lượng</t>
        </is>
      </c>
      <c r="F1327" t="inlineStr">
        <is>
          <t>Đồng Nai</t>
        </is>
      </c>
      <c r="G1327" t="inlineStr">
        <is>
          <t>Mới Tốt Nghiệp</t>
        </is>
      </c>
      <c r="H1327" t="inlineStr">
        <is>
          <t>06/02/2026</t>
        </is>
      </c>
      <c r="I1327" t="inlineStr">
        <is>
          <t>23/03/2026</t>
        </is>
      </c>
      <c r="J1327" t="inlineStr">
        <is>
          <t>17/03/2026</t>
        </is>
      </c>
      <c r="K1327" t="inlineStr">
        <is>
          <t>N/A</t>
        </is>
      </c>
      <c r="L1327" t="inlineStr">
        <is>
          <t>An Toàn Lao Động, Giao Tiếp, Phân Tích Rủi Ro, Phòng Cháy Chữa Cháy, Đào Tạo Nhân Sự</t>
        </is>
      </c>
      <c r="M1327" t="inlineStr">
        <is>
          <t>Bonus, Healthcare Plan, Paid Leave, Training, Transportation, Canteen, Kindergarten, Others</t>
        </is>
      </c>
      <c r="N1327" s="8">
        <f>HYPERLINK("https://www.vietnamworks.com/ky-su-an-toan-safety-engineer-2010510-jv","Xem chi tiết")</f>
        <v/>
      </c>
    </row>
    <row r="1328">
      <c r="B1328" s="9" t="n">
        <v>1326</v>
      </c>
      <c r="C1328" s="10" t="inlineStr">
        <is>
          <t>English Interpreter</t>
        </is>
      </c>
      <c r="D1328" s="10" t="inlineStr">
        <is>
          <t>Terumo Vietnam Co., Ltd</t>
        </is>
      </c>
      <c r="E1328" s="10" t="inlineStr">
        <is>
          <t>Thương lượng</t>
        </is>
      </c>
      <c r="F1328" s="10" t="inlineStr">
        <is>
          <t>Hà Nội</t>
        </is>
      </c>
      <c r="G1328" s="10" t="inlineStr">
        <is>
          <t>Nhân viên</t>
        </is>
      </c>
      <c r="H1328" s="10" t="inlineStr">
        <is>
          <t>06/02/2026</t>
        </is>
      </c>
      <c r="I1328" s="10" t="inlineStr">
        <is>
          <t>23/03/2026</t>
        </is>
      </c>
      <c r="J1328" s="10" t="inlineStr">
        <is>
          <t>17/03/2026</t>
        </is>
      </c>
      <c r="K1328" s="10" t="inlineStr">
        <is>
          <t>N/A</t>
        </is>
      </c>
      <c r="L1328" s="10" t="inlineStr">
        <is>
          <t>Phiên Dịch Tiếng Anh, Biên Phiên Dịch, English, Phiên Dịch Tài Liệu, Phiên Dịch Trong Các Cuộc Họp</t>
        </is>
      </c>
      <c r="M1328" s="10" t="inlineStr">
        <is>
          <t>Bonus, Healthcare Plan, Transportation</t>
        </is>
      </c>
      <c r="N1328" s="11">
        <f>HYPERLINK("https://www.vietnamworks.com/english-interpreter--2010525-jv","Xem chi tiết")</f>
        <v/>
      </c>
      <c r="O1328" s="10" t="n"/>
    </row>
    <row r="1329">
      <c r="B1329" s="7" t="n">
        <v>1327</v>
      </c>
      <c r="C1329" t="inlineStr">
        <is>
          <t>Nhân Viên Dự Án Mở Rộng</t>
        </is>
      </c>
      <c r="D1329" t="inlineStr">
        <is>
          <t>Ahamove - Công Ty Cổ Phần Dịch Vụ Tức Thời</t>
        </is>
      </c>
      <c r="E1329" t="inlineStr">
        <is>
          <t>Thương lượng</t>
        </is>
      </c>
      <c r="F1329" t="inlineStr">
        <is>
          <t>Hồ Chí Minh</t>
        </is>
      </c>
      <c r="G1329" t="inlineStr">
        <is>
          <t>Nhân viên</t>
        </is>
      </c>
      <c r="H1329" t="inlineStr">
        <is>
          <t>06/02/2026</t>
        </is>
      </c>
      <c r="I1329" t="inlineStr">
        <is>
          <t>23/03/2026</t>
        </is>
      </c>
      <c r="J1329" t="inlineStr">
        <is>
          <t>17/03/2026</t>
        </is>
      </c>
      <c r="K1329" t="inlineStr">
        <is>
          <t>N/A</t>
        </is>
      </c>
      <c r="L1329" t="inlineStr">
        <is>
          <t>Quản Lý Cung Ứng, Quản lý đội xe, Logistics Operation, Phát Triển Đối Tác, Điều Hành Xe Tải</t>
        </is>
      </c>
      <c r="M1329" t="inlineStr">
        <is>
          <t>Bonus, Healthcare Plan, Paid Leave</t>
        </is>
      </c>
      <c r="N1329" s="8">
        <f>HYPERLINK("https://www.vietnamworks.com/nhan-vien-du-an-mo-rong-2010532-jv","Xem chi tiết")</f>
        <v/>
      </c>
    </row>
    <row r="1330">
      <c r="B1330" s="9" t="n">
        <v>1328</v>
      </c>
      <c r="C1330" s="10" t="inlineStr">
        <is>
          <t>Kế Toán Trưởng (Mảng Xây Lắp)</t>
        </is>
      </c>
      <c r="D1330" s="10" t="inlineStr">
        <is>
          <t>CÔNG TY CỔ PHẦN TẬP ĐOÀN NGỌC LÂM</t>
        </is>
      </c>
      <c r="E1330" s="10" t="inlineStr">
        <is>
          <t>Thương lượng</t>
        </is>
      </c>
      <c r="F1330" s="10" t="inlineStr">
        <is>
          <t>Hà Nội</t>
        </is>
      </c>
      <c r="G1330" s="10" t="inlineStr">
        <is>
          <t>Trưởng phòng</t>
        </is>
      </c>
      <c r="H1330" s="10" t="inlineStr">
        <is>
          <t>06/02/2026</t>
        </is>
      </c>
      <c r="I1330" s="10" t="inlineStr">
        <is>
          <t>23/03/2026</t>
        </is>
      </c>
      <c r="J1330" s="10" t="inlineStr">
        <is>
          <t>17/03/2026</t>
        </is>
      </c>
      <c r="K1330" s="10" t="inlineStr">
        <is>
          <t>N/A</t>
        </is>
      </c>
      <c r="L1330" s="10" t="inlineStr">
        <is>
          <t>Báo Cáo Thuế, Hạch Toán, Kế Toán, Phân Tích Số Liệu, Quản Lý Tài Chính</t>
        </is>
      </c>
      <c r="M1330" s="10" t="inlineStr">
        <is>
          <t>Training, Others</t>
        </is>
      </c>
      <c r="N1330" s="11">
        <f>HYPERLINK("https://www.vietnamworks.com/ke-toan-truong-mang-xay-lap-2010529-jv","Xem chi tiết")</f>
        <v/>
      </c>
      <c r="O1330" s="10" t="n"/>
    </row>
    <row r="1331">
      <c r="B1331" s="7" t="n">
        <v>1329</v>
      </c>
      <c r="C1331" t="inlineStr">
        <is>
          <t>Chuyên Viên Kiểm Soát Tuân Thủ</t>
        </is>
      </c>
      <c r="D1331" t="inlineStr">
        <is>
          <t>Công Ty Cổ Phần Dược Phẩm Thiết Bị Y Tế Hà Nội - Hapharco</t>
        </is>
      </c>
      <c r="E1331" t="inlineStr">
        <is>
          <t>Thương lượng</t>
        </is>
      </c>
      <c r="F1331" t="inlineStr">
        <is>
          <t>Hà Nội</t>
        </is>
      </c>
      <c r="G1331" t="inlineStr">
        <is>
          <t>Nhân viên</t>
        </is>
      </c>
      <c r="H1331" t="inlineStr">
        <is>
          <t>06/02/2026</t>
        </is>
      </c>
      <c r="I1331" t="inlineStr">
        <is>
          <t>23/03/2026</t>
        </is>
      </c>
      <c r="J1331" t="inlineStr">
        <is>
          <t>17/03/2026</t>
        </is>
      </c>
      <c r="K1331" t="inlineStr">
        <is>
          <t>N/A</t>
        </is>
      </c>
      <c r="L1331" t="inlineStr">
        <is>
          <t>Compliance Auditing, Giám Sát Tuân Thủ, Internal Audit, Kiểm Soát Nội Bộ, Kiểm Soát Tuân Thủ</t>
        </is>
      </c>
      <c r="M1331" t="inlineStr">
        <is>
          <t>Bonus, Healthcare Plan, Training, Travel Opportunities, Team Activities, Canteen, Others</t>
        </is>
      </c>
      <c r="N1331" s="8">
        <f>HYPERLINK("https://www.vietnamworks.com/chuyen-vien-kiem-soat-tuan-thu-2010530-jv","Xem chi tiết")</f>
        <v/>
      </c>
    </row>
    <row r="1332">
      <c r="B1332" s="9" t="n">
        <v>1330</v>
      </c>
      <c r="C1332" s="10" t="inlineStr">
        <is>
          <t>Game UI Designer</t>
        </is>
      </c>
      <c r="D1332" s="10" t="inlineStr">
        <is>
          <t>Công ty TNHH NEXON Creative Studio VINA</t>
        </is>
      </c>
      <c r="E1332" s="10" t="inlineStr">
        <is>
          <t>Thương lượng</t>
        </is>
      </c>
      <c r="F1332" s="10" t="inlineStr">
        <is>
          <t>Hồ Chí Minh</t>
        </is>
      </c>
      <c r="G1332" s="10" t="inlineStr">
        <is>
          <t>Nhân viên</t>
        </is>
      </c>
      <c r="H1332" s="10" t="inlineStr">
        <is>
          <t>06/02/2026</t>
        </is>
      </c>
      <c r="I1332" s="10" t="inlineStr">
        <is>
          <t>23/03/2026</t>
        </is>
      </c>
      <c r="J1332" s="10" t="inlineStr">
        <is>
          <t>17/03/2026</t>
        </is>
      </c>
      <c r="K1332" s="10" t="inlineStr">
        <is>
          <t>N/A</t>
        </is>
      </c>
      <c r="L1332" s="10" t="inlineStr">
        <is>
          <t>UI/UX, Graphic, UI, Unity, Game</t>
        </is>
      </c>
      <c r="M1332" s="10" t="inlineStr">
        <is>
          <t>Bonus, Healthcare Plan, Travel Opportunities</t>
        </is>
      </c>
      <c r="N1332" s="11">
        <f>HYPERLINK("https://www.vietnamworks.com/game-ui-designer--2010516-jv","Xem chi tiết")</f>
        <v/>
      </c>
      <c r="O1332" s="10" t="n"/>
    </row>
    <row r="1333">
      <c r="B1333" s="7" t="n">
        <v>1331</v>
      </c>
      <c r="C1333" t="inlineStr">
        <is>
          <t>UA Graphic Designer</t>
        </is>
      </c>
      <c r="D1333" t="inlineStr">
        <is>
          <t>Công ty TNHH NEXON Creative Studio VINA</t>
        </is>
      </c>
      <c r="E1333" t="inlineStr">
        <is>
          <t>Thương lượng</t>
        </is>
      </c>
      <c r="F1333" t="inlineStr">
        <is>
          <t>Hồ Chí Minh</t>
        </is>
      </c>
      <c r="G1333" t="inlineStr">
        <is>
          <t>Nhân viên</t>
        </is>
      </c>
      <c r="H1333" t="inlineStr">
        <is>
          <t>06/02/2026</t>
        </is>
      </c>
      <c r="I1333" t="inlineStr">
        <is>
          <t>23/03/2026</t>
        </is>
      </c>
      <c r="J1333" t="inlineStr">
        <is>
          <t>17/03/2026</t>
        </is>
      </c>
      <c r="K1333" t="inlineStr">
        <is>
          <t>N/A</t>
        </is>
      </c>
      <c r="L1333" t="inlineStr">
        <is>
          <t>Thiết Kế Đồ Họa, Đồ Họa, Photoshop Illustrator, Photoshop, Ads Design</t>
        </is>
      </c>
      <c r="M1333" t="inlineStr">
        <is>
          <t>Bonus, Healthcare Plan, Travel Opportunities</t>
        </is>
      </c>
      <c r="N1333" s="8">
        <f>HYPERLINK("https://www.vietnamworks.com/ua-graphic-designer--2010514-jv","Xem chi tiết")</f>
        <v/>
      </c>
    </row>
    <row r="1334">
      <c r="B1334" s="9" t="n">
        <v>1332</v>
      </c>
      <c r="C1334" s="10" t="inlineStr">
        <is>
          <t>Data Protection Officer</t>
        </is>
      </c>
      <c r="D1334" s="10" t="inlineStr">
        <is>
          <t>BIS - British International School</t>
        </is>
      </c>
      <c r="E1334" s="10" t="inlineStr">
        <is>
          <t>Thương lượng</t>
        </is>
      </c>
      <c r="F1334" s="10" t="inlineStr">
        <is>
          <t>Hồ Chí Minh</t>
        </is>
      </c>
      <c r="G1334" s="10" t="inlineStr">
        <is>
          <t>Nhân viên</t>
        </is>
      </c>
      <c r="H1334" s="10" t="inlineStr">
        <is>
          <t>06/02/2026</t>
        </is>
      </c>
      <c r="I1334" s="10" t="inlineStr">
        <is>
          <t>23/03/2026</t>
        </is>
      </c>
      <c r="J1334" s="10" t="inlineStr">
        <is>
          <t>17/03/2026</t>
        </is>
      </c>
      <c r="K1334" s="10" t="inlineStr">
        <is>
          <t>N/A</t>
        </is>
      </c>
      <c r="L1334" s="10" t="inlineStr">
        <is>
          <t>Legal Counsel &amp; Compliance, DPO, Legal advice, Legal Consultancy, Data protection regulations</t>
        </is>
      </c>
      <c r="M1334" s="10" t="inlineStr">
        <is>
          <t>Bonus, Paid Leave, Training</t>
        </is>
      </c>
      <c r="N1334" s="11">
        <f>HYPERLINK("https://www.vietnamworks.com/data-protection-officer--2010512-jv","Xem chi tiết")</f>
        <v/>
      </c>
      <c r="O1334" s="10" t="n"/>
    </row>
    <row r="1335">
      <c r="B1335" s="7" t="n">
        <v>1333</v>
      </c>
      <c r="C1335" t="inlineStr">
        <is>
          <t>Kế Toán Tổng Hợp ( Công Ty Con Về Nhà Thầu Xây Dựng) Ưu Tiên Đi Làm Ngay hoặc Sau Tết</t>
        </is>
      </c>
      <c r="D1335" t="inlineStr">
        <is>
          <t>Công Ty Cổ Phần Tập đoàn Sơn Phúc</t>
        </is>
      </c>
      <c r="E1335" t="inlineStr">
        <is>
          <t>Thương lượng</t>
        </is>
      </c>
      <c r="F1335" t="inlineStr">
        <is>
          <t>Hà Nội</t>
        </is>
      </c>
      <c r="G1335" t="inlineStr">
        <is>
          <t>Nhân viên</t>
        </is>
      </c>
      <c r="H1335" t="inlineStr">
        <is>
          <t>06/02/2026</t>
        </is>
      </c>
      <c r="I1335" t="inlineStr">
        <is>
          <t>23/03/2026</t>
        </is>
      </c>
      <c r="J1335" t="inlineStr">
        <is>
          <t>17/03/2026</t>
        </is>
      </c>
      <c r="K1335" t="inlineStr">
        <is>
          <t>N/A</t>
        </is>
      </c>
      <c r="L1335" t="inlineStr">
        <is>
          <t>Kế Toán Tổng Hợp, Kế Toán Chi Phí, Quản Lý Dòng Tiền, Kê Khai Thuế, Kế Toán Xây Dựng</t>
        </is>
      </c>
      <c r="M1335" t="inlineStr">
        <is>
          <t>Bonus, Healthcare Plan, Training, Awards, Travel Opportunities, Others</t>
        </is>
      </c>
      <c r="N1335" s="8">
        <f>HYPERLINK("https://www.vietnamworks.com/ke-toan-tong-hop-cong-ty-con-ve-nha-thau-xay-dung-uu-tien-dji-lam-ngay-hoac-sau-tet-2010519-jv","Xem chi tiết")</f>
        <v/>
      </c>
    </row>
    <row r="1336">
      <c r="B1336" s="9" t="n">
        <v>1334</v>
      </c>
      <c r="C1336" s="10" t="inlineStr">
        <is>
          <t>Senior Specialist, Agency Support</t>
        </is>
      </c>
      <c r="D1336" s="10" t="inlineStr">
        <is>
          <t>CÔNG TY TNHH BẢO HIỂM SHINHAN LIFE VIỆT NAM</t>
        </is>
      </c>
      <c r="E1336" s="10" t="inlineStr">
        <is>
          <t>Thương lượng</t>
        </is>
      </c>
      <c r="F1336" s="10" t="inlineStr">
        <is>
          <t>Hồ Chí Minh</t>
        </is>
      </c>
      <c r="G1336" s="10" t="inlineStr">
        <is>
          <t>Nhân viên</t>
        </is>
      </c>
      <c r="H1336" s="10" t="inlineStr">
        <is>
          <t>06/02/2026</t>
        </is>
      </c>
      <c r="I1336" s="10" t="inlineStr">
        <is>
          <t>23/03/2026</t>
        </is>
      </c>
      <c r="J1336" s="10" t="inlineStr">
        <is>
          <t>17/03/2026</t>
        </is>
      </c>
      <c r="K1336" s="10" t="inlineStr">
        <is>
          <t>N/A</t>
        </is>
      </c>
      <c r="L1336" s="10" t="inlineStr">
        <is>
          <t>Agent support, Customer Service, Life Insurance, Insurance Operations, Administrative Support</t>
        </is>
      </c>
      <c r="M1336" s="10" t="inlineStr">
        <is>
          <t>Bonus, Healthcare Plan</t>
        </is>
      </c>
      <c r="N1336" s="11">
        <f>HYPERLINK("https://www.vietnamworks.com/senior-specialist-agency-support-2010517-jv","Xem chi tiết")</f>
        <v/>
      </c>
      <c r="O1336" s="10" t="n"/>
    </row>
    <row r="1337">
      <c r="B1337" s="7" t="n">
        <v>1335</v>
      </c>
      <c r="C1337" t="inlineStr">
        <is>
          <t>Kế Toán Nội Bộ Kiêm Nhân Viên Kho</t>
        </is>
      </c>
      <c r="D1337" t="inlineStr">
        <is>
          <t>CÔNG TY TNHH LOGATECH VIỆT NAM</t>
        </is>
      </c>
      <c r="E1337" t="inlineStr">
        <is>
          <t>Thương lượng</t>
        </is>
      </c>
      <c r="F1337" t="inlineStr">
        <is>
          <t>Vĩnh Phúc</t>
        </is>
      </c>
      <c r="G1337" t="inlineStr">
        <is>
          <t>Nhân viên</t>
        </is>
      </c>
      <c r="H1337" t="inlineStr">
        <is>
          <t>06/02/2026</t>
        </is>
      </c>
      <c r="I1337" t="inlineStr">
        <is>
          <t>23/03/2026</t>
        </is>
      </c>
      <c r="J1337" t="inlineStr">
        <is>
          <t>17/03/2026</t>
        </is>
      </c>
      <c r="K1337" t="inlineStr">
        <is>
          <t>N/A</t>
        </is>
      </c>
      <c r="L1337" t="inlineStr">
        <is>
          <t>Excel, Kế Toán Nội Bộ, Quản Lý Kho, Theo Dõi Thu Chi Nội Bộ, Theo Dõi Tồn Kho</t>
        </is>
      </c>
      <c r="M1337" t="inlineStr">
        <is>
          <t>Bonus, Healthcare Plan, Paid Leave, Laptop, Others</t>
        </is>
      </c>
      <c r="N1337" s="8">
        <f>HYPERLINK("https://www.vietnamworks.com/ke-toan-noi-bo-kiem-nhan-vien-kho-2010520-jv","Xem chi tiết")</f>
        <v/>
      </c>
    </row>
    <row r="1338">
      <c r="B1338" s="9" t="n">
        <v>1336</v>
      </c>
      <c r="C1338" s="10" t="inlineStr">
        <is>
          <t>Operation cum Reservation Executive</t>
        </is>
      </c>
      <c r="D1338" s="10" t="inlineStr">
        <is>
          <t>Exotic Voyages</t>
        </is>
      </c>
      <c r="E1338" s="10" t="inlineStr">
        <is>
          <t>Thương lượng</t>
        </is>
      </c>
      <c r="F1338" s="10" t="inlineStr">
        <is>
          <t>Hồ Chí Minh</t>
        </is>
      </c>
      <c r="G1338" s="10" t="inlineStr">
        <is>
          <t>Nhân viên</t>
        </is>
      </c>
      <c r="H1338" s="10" t="inlineStr">
        <is>
          <t>06/02/2026</t>
        </is>
      </c>
      <c r="I1338" s="10" t="inlineStr">
        <is>
          <t>23/03/2026</t>
        </is>
      </c>
      <c r="J1338" s="10" t="inlineStr">
        <is>
          <t>17/03/2026</t>
        </is>
      </c>
      <c r="K1338" s="10" t="inlineStr">
        <is>
          <t>N/A</t>
        </is>
      </c>
      <c r="L1338" s="10" t="inlineStr">
        <is>
          <t>Inbound Tour, Kinh Doanh Du Lịch, English, Tourism, Reservation</t>
        </is>
      </c>
      <c r="M1338" s="10" t="inlineStr">
        <is>
          <t>Bonus, Healthcare Plan, Others</t>
        </is>
      </c>
      <c r="N1338" s="11">
        <f>HYPERLINK("https://www.vietnamworks.com/operation-cum-reservation-executive--2010528-jv","Xem chi tiết")</f>
        <v/>
      </c>
      <c r="O1338" s="10" t="n"/>
    </row>
    <row r="1339">
      <c r="B1339" s="7" t="n">
        <v>1337</v>
      </c>
      <c r="C1339" t="inlineStr">
        <is>
          <t>Chuyên Viên Tố Tụng</t>
        </is>
      </c>
      <c r="D1339" t="inlineStr">
        <is>
          <t>Công Ty TNHH Một Thành Viên Quản Lý Tài Sản Của Các Tổ Chức Tín Dụng Việt Nam (VAMC)</t>
        </is>
      </c>
      <c r="E1339" t="inlineStr">
        <is>
          <t>Thương lượng</t>
        </is>
      </c>
      <c r="F1339" t="inlineStr">
        <is>
          <t>Hà Nội</t>
        </is>
      </c>
      <c r="G1339" t="inlineStr">
        <is>
          <t>Nhân viên</t>
        </is>
      </c>
      <c r="H1339" t="inlineStr">
        <is>
          <t>06/02/2026</t>
        </is>
      </c>
      <c r="I1339" t="inlineStr">
        <is>
          <t>23/03/2026</t>
        </is>
      </c>
      <c r="J1339" t="inlineStr">
        <is>
          <t>17/03/2026</t>
        </is>
      </c>
      <c r="K1339" t="inlineStr">
        <is>
          <t>N/A</t>
        </is>
      </c>
      <c r="L1339" t="inlineStr">
        <is>
          <t>Thu Hồi Công Nợ, Xử Lý Nợ Xấu, Thẩm Định, Pháp Lý, Kiểm Soát Nợ Xấu</t>
        </is>
      </c>
      <c r="M1339" t="inlineStr">
        <is>
          <t>Bonus, Healthcare Plan, Paid Leave</t>
        </is>
      </c>
      <c r="N1339" s="8">
        <f>HYPERLINK("https://www.vietnamworks.com/chuyen-vien-to-tung--2010531-jv","Xem chi tiết")</f>
        <v/>
      </c>
    </row>
    <row r="1340">
      <c r="B1340" s="9" t="n">
        <v>1338</v>
      </c>
      <c r="C1340" s="10" t="inlineStr">
        <is>
          <t>Nhân Viên Hành Chính Nhân Sự</t>
        </is>
      </c>
      <c r="D1340" s="10" t="inlineStr">
        <is>
          <t>Công ty cổ phần Tập đoàn OSB</t>
        </is>
      </c>
      <c r="E1340" s="10" t="inlineStr">
        <is>
          <t>10tr-18tr ₫/tháng</t>
        </is>
      </c>
      <c r="F1340" s="10" t="inlineStr">
        <is>
          <t>Hà Nội</t>
        </is>
      </c>
      <c r="G1340" s="10" t="inlineStr">
        <is>
          <t>Nhân viên</t>
        </is>
      </c>
      <c r="H1340" s="10" t="inlineStr">
        <is>
          <t>06/02/2026</t>
        </is>
      </c>
      <c r="I1340" s="10" t="inlineStr">
        <is>
          <t>23/03/2026</t>
        </is>
      </c>
      <c r="J1340" s="10" t="inlineStr">
        <is>
          <t>17/03/2026</t>
        </is>
      </c>
      <c r="K1340" s="10" t="inlineStr">
        <is>
          <t>N/A</t>
        </is>
      </c>
      <c r="L1340" s="10" t="inlineStr">
        <is>
          <t>Quản Trị Nhân Lực, Luật, Recruitment, Talent Acquisition, Tuyển Dụng</t>
        </is>
      </c>
      <c r="M1340" s="10" t="inlineStr">
        <is>
          <t>Bonus, Healthcare Plan, Training, Others</t>
        </is>
      </c>
      <c r="N1340" s="11">
        <f>HYPERLINK("https://www.vietnamworks.com/nhan-vien-hanh-chinh-nhan-su--2010515-jv","Xem chi tiết")</f>
        <v/>
      </c>
      <c r="O1340" s="10" t="n"/>
    </row>
    <row r="1341">
      <c r="B1341" s="7" t="n">
        <v>1339</v>
      </c>
      <c r="C1341" t="inlineStr">
        <is>
          <t>C&amp;B Specialist</t>
        </is>
      </c>
      <c r="D1341" t="inlineStr">
        <is>
          <t>CÔNG TY TNHH AJAX SYSTEMS VIỆT NAM</t>
        </is>
      </c>
      <c r="E1341" t="inlineStr">
        <is>
          <t>Thương lượng</t>
        </is>
      </c>
      <c r="F1341" t="inlineStr">
        <is>
          <t>Hưng Yên, Hà Nội, Hải Dương</t>
        </is>
      </c>
      <c r="G1341" t="inlineStr">
        <is>
          <t>Nhân viên</t>
        </is>
      </c>
      <c r="H1341" t="inlineStr">
        <is>
          <t>06/02/2026</t>
        </is>
      </c>
      <c r="I1341" t="inlineStr">
        <is>
          <t>23/03/2026</t>
        </is>
      </c>
      <c r="J1341" t="inlineStr">
        <is>
          <t>17/03/2026</t>
        </is>
      </c>
      <c r="K1341" t="inlineStr">
        <is>
          <t>N/A</t>
        </is>
      </c>
      <c r="L1341" t="inlineStr">
        <is>
          <t>Compensation &amp; Benefits, HR, Labor Contract, Payroll, Total Rewards</t>
        </is>
      </c>
      <c r="M1341" t="inlineStr">
        <is>
          <t>Bonus, Paid Leave, Training, Laptop, Transportation, Canteen</t>
        </is>
      </c>
      <c r="N1341" s="8">
        <f>HYPERLINK("https://www.vietnamworks.com/candb-specialist-2010521-jv","Xem chi tiết")</f>
        <v/>
      </c>
    </row>
    <row r="1342">
      <c r="B1342" s="9" t="n">
        <v>1340</v>
      </c>
      <c r="C1342" s="10" t="inlineStr">
        <is>
          <t>Senior Accountant - CPA (Chứng Chỉ Kế Toán Viên)</t>
        </is>
      </c>
      <c r="D1342" s="10" t="inlineStr">
        <is>
          <t>FIDINAM</t>
        </is>
      </c>
      <c r="E1342" s="10" t="inlineStr">
        <is>
          <t>Thương lượng</t>
        </is>
      </c>
      <c r="F1342" s="10" t="inlineStr">
        <is>
          <t>Hà Nội</t>
        </is>
      </c>
      <c r="G1342" s="10" t="inlineStr">
        <is>
          <t>Nhân viên</t>
        </is>
      </c>
      <c r="H1342" s="10" t="inlineStr">
        <is>
          <t>06/02/2026</t>
        </is>
      </c>
      <c r="I1342" s="10" t="inlineStr">
        <is>
          <t>23/03/2026</t>
        </is>
      </c>
      <c r="J1342" s="10" t="inlineStr">
        <is>
          <t>17/03/2026</t>
        </is>
      </c>
      <c r="K1342" s="10" t="inlineStr">
        <is>
          <t>N/A</t>
        </is>
      </c>
      <c r="L1342" s="10" t="inlineStr">
        <is>
          <t>Tax Declaration, Payroll, English, Tax Finalization, VAS Report</t>
        </is>
      </c>
      <c r="M1342" s="10" t="inlineStr">
        <is>
          <t>Healthcare Plan, Paid Leave, Team Activities, Others</t>
        </is>
      </c>
      <c r="N1342" s="11">
        <f>HYPERLINK("https://www.vietnamworks.com/senior-accountant-cpa-chung-chi-ke-toan-vien-2010537-jv","Xem chi tiết")</f>
        <v/>
      </c>
      <c r="O1342" s="10" t="n"/>
    </row>
    <row r="1343">
      <c r="B1343" s="7" t="n">
        <v>1341</v>
      </c>
      <c r="C1343" t="inlineStr">
        <is>
          <t>Supplier Quality Engineer (Senior) - Home-Based</t>
        </is>
      </c>
      <c r="D1343" t="inlineStr">
        <is>
          <t>Michael Page Vietnam</t>
        </is>
      </c>
      <c r="E1343" t="inlineStr">
        <is>
          <t>$$ 3,000-4,000 /tháng</t>
        </is>
      </c>
      <c r="F1343" t="inlineStr">
        <is>
          <t>Hồ Chí Minh</t>
        </is>
      </c>
      <c r="G1343" t="inlineStr">
        <is>
          <t>Nhân viên</t>
        </is>
      </c>
      <c r="H1343" t="inlineStr">
        <is>
          <t>06/02/2026</t>
        </is>
      </c>
      <c r="I1343" t="inlineStr">
        <is>
          <t>23/03/2026</t>
        </is>
      </c>
      <c r="J1343" t="inlineStr">
        <is>
          <t>17/03/2026</t>
        </is>
      </c>
      <c r="K1343" t="inlineStr">
        <is>
          <t>N/A</t>
        </is>
      </c>
      <c r="L1343" t="inlineStr">
        <is>
          <t>Quality Engineer, PPAP, Audit, Inspection, APQP</t>
        </is>
      </c>
      <c r="M1343" t="inlineStr">
        <is>
          <t>Bonus, Paid Leave, Transportation</t>
        </is>
      </c>
      <c r="N1343" s="8">
        <f>HYPERLINK("https://www.vietnamworks.com/supplier-quality-engineer-senior-home-based-2010546-jv","Xem chi tiết")</f>
        <v/>
      </c>
    </row>
    <row r="1344">
      <c r="B1344" s="9" t="n">
        <v>1342</v>
      </c>
      <c r="C1344" s="10" t="inlineStr">
        <is>
          <t>Production Supervisor</t>
        </is>
      </c>
      <c r="D1344" s="10" t="inlineStr">
        <is>
          <t>Quickpack Vietnam Co.ltd</t>
        </is>
      </c>
      <c r="E1344" s="10" t="inlineStr">
        <is>
          <t>$$ 700-900 /tháng</t>
        </is>
      </c>
      <c r="F1344" s="10" t="inlineStr">
        <is>
          <t>Hồ Chí Minh</t>
        </is>
      </c>
      <c r="G1344" s="10" t="inlineStr">
        <is>
          <t>Nhân viên</t>
        </is>
      </c>
      <c r="H1344" s="10" t="inlineStr">
        <is>
          <t>06/02/2026</t>
        </is>
      </c>
      <c r="I1344" s="10" t="inlineStr">
        <is>
          <t>23/03/2026</t>
        </is>
      </c>
      <c r="J1344" s="10" t="inlineStr">
        <is>
          <t>17/03/2026</t>
        </is>
      </c>
      <c r="K1344" s="10" t="inlineStr">
        <is>
          <t>N/A</t>
        </is>
      </c>
      <c r="L1344" s="10" t="inlineStr">
        <is>
          <t>Analytical Skills, Production Monitoring, 5S, Data Analytics, SOP Management</t>
        </is>
      </c>
      <c r="M1344" s="10" t="inlineStr">
        <is>
          <t>Bonus, Healthcare Plan, Training, Others</t>
        </is>
      </c>
      <c r="N1344" s="11">
        <f>HYPERLINK("https://www.vietnamworks.com/production-supervisor-2010542-jv","Xem chi tiết")</f>
        <v/>
      </c>
      <c r="O1344" s="10" t="n"/>
    </row>
    <row r="1345">
      <c r="B1345" s="7" t="n">
        <v>1343</v>
      </c>
      <c r="C1345" t="inlineStr">
        <is>
          <t>Global Accountant (Good English, Upto 2000$)</t>
        </is>
      </c>
      <c r="D1345" t="inlineStr">
        <is>
          <t>Công Ty TNHH Outcubator Việt Nam</t>
        </is>
      </c>
      <c r="E1345" t="inlineStr">
        <is>
          <t>$$ 800-2,000 /tháng</t>
        </is>
      </c>
      <c r="F1345" t="inlineStr">
        <is>
          <t>Hà Nội</t>
        </is>
      </c>
      <c r="G1345" t="inlineStr">
        <is>
          <t>Nhân viên</t>
        </is>
      </c>
      <c r="H1345" t="inlineStr">
        <is>
          <t>06/02/2026</t>
        </is>
      </c>
      <c r="I1345" t="inlineStr">
        <is>
          <t>23/03/2026</t>
        </is>
      </c>
      <c r="J1345" t="inlineStr">
        <is>
          <t>17/03/2026</t>
        </is>
      </c>
      <c r="K1345" t="inlineStr">
        <is>
          <t>N/A</t>
        </is>
      </c>
      <c r="L1345" t="inlineStr">
        <is>
          <t>Accounting Transactions, Bookkeeping, Tax Regulation, IFRS, MS Excel</t>
        </is>
      </c>
      <c r="M1345" t="inlineStr">
        <is>
          <t>Healthcare Plan, Laptop, Canteen</t>
        </is>
      </c>
      <c r="N1345" s="8">
        <f>HYPERLINK("https://www.vietnamworks.com/global-accountant-good-english-upto-2000-2010550-jv","Xem chi tiết")</f>
        <v/>
      </c>
    </row>
    <row r="1346">
      <c r="B1346" s="9" t="n">
        <v>1344</v>
      </c>
      <c r="C1346" s="10" t="inlineStr">
        <is>
          <t>Senior Production Planner</t>
        </is>
      </c>
      <c r="D1346" s="10" t="inlineStr">
        <is>
          <t>Quickpack Vietnam Co.ltd</t>
        </is>
      </c>
      <c r="E1346" s="10" t="inlineStr">
        <is>
          <t>Từ 25tr ₫/tháng</t>
        </is>
      </c>
      <c r="F1346" s="10" t="inlineStr">
        <is>
          <t>Long An</t>
        </is>
      </c>
      <c r="G1346" s="10" t="inlineStr">
        <is>
          <t>Nhân viên</t>
        </is>
      </c>
      <c r="H1346" s="10" t="inlineStr">
        <is>
          <t>06/02/2026</t>
        </is>
      </c>
      <c r="I1346" s="10" t="inlineStr">
        <is>
          <t>23/03/2026</t>
        </is>
      </c>
      <c r="J1346" s="10" t="inlineStr">
        <is>
          <t>17/03/2026</t>
        </is>
      </c>
      <c r="K1346" s="10" t="inlineStr">
        <is>
          <t>N/A</t>
        </is>
      </c>
      <c r="L1346" s="10" t="inlineStr">
        <is>
          <t>ERP, Industrial Engineering, New Product Development, Production Planning, Supply Chain Management</t>
        </is>
      </c>
      <c r="M1346" s="10" t="inlineStr">
        <is>
          <t>Bonus, Laptop, Travel Opportunities, Canteen</t>
        </is>
      </c>
      <c r="N1346" s="11">
        <f>HYPERLINK("https://www.vietnamworks.com/senior-production-planner-2010549-jv","Xem chi tiết")</f>
        <v/>
      </c>
      <c r="O1346" s="10" t="n"/>
    </row>
    <row r="1347">
      <c r="B1347" s="7" t="n">
        <v>1345</v>
      </c>
      <c r="C1347" t="inlineStr">
        <is>
          <t>Head of Function Secured Products</t>
        </is>
      </c>
      <c r="D1347" t="inlineStr">
        <is>
          <t>Ngân Hàng TMCP Quốc Dân ( NCB )</t>
        </is>
      </c>
      <c r="E1347" t="inlineStr">
        <is>
          <t>Thương lượng</t>
        </is>
      </c>
      <c r="F1347" t="inlineStr">
        <is>
          <t>Hà Nội</t>
        </is>
      </c>
      <c r="G1347" t="inlineStr">
        <is>
          <t>Trưởng phòng</t>
        </is>
      </c>
      <c r="H1347" t="inlineStr">
        <is>
          <t>06/02/2026</t>
        </is>
      </c>
      <c r="I1347" t="inlineStr">
        <is>
          <t>23/03/2026</t>
        </is>
      </c>
      <c r="J1347" t="inlineStr">
        <is>
          <t>17/03/2026</t>
        </is>
      </c>
      <c r="K1347" t="inlineStr">
        <is>
          <t>N/A</t>
        </is>
      </c>
      <c r="L1347" t="inlineStr">
        <is>
          <t>Quản Trị Kinh Doanh, Tín dụng, Tài Chính, Ngân hàng, Quản Trị Rủi Ro</t>
        </is>
      </c>
      <c r="M1347" t="inlineStr">
        <is>
          <t>Bonus, Training, Awards</t>
        </is>
      </c>
      <c r="N1347" s="8">
        <f>HYPERLINK("https://www.vietnamworks.com/head-of-function-secured-products-2010553-jv","Xem chi tiết")</f>
        <v/>
      </c>
    </row>
    <row r="1348">
      <c r="B1348" s="9" t="n">
        <v>1346</v>
      </c>
      <c r="C1348" s="10" t="inlineStr">
        <is>
          <t>Product Training &amp; Scientific Activation Specialist</t>
        </is>
      </c>
      <c r="D1348" s="10" t="inlineStr">
        <is>
          <t>URGO Việt Nam</t>
        </is>
      </c>
      <c r="E1348" s="10" t="inlineStr">
        <is>
          <t>Thương lượng</t>
        </is>
      </c>
      <c r="F1348" s="10" t="inlineStr">
        <is>
          <t>Hồ Chí Minh</t>
        </is>
      </c>
      <c r="G1348" s="10" t="inlineStr">
        <is>
          <t>Nhân viên</t>
        </is>
      </c>
      <c r="H1348" s="10" t="inlineStr">
        <is>
          <t>06/02/2026</t>
        </is>
      </c>
      <c r="I1348" s="10" t="inlineStr">
        <is>
          <t>23/03/2026</t>
        </is>
      </c>
      <c r="J1348" s="10" t="inlineStr">
        <is>
          <t>17/03/2026</t>
        </is>
      </c>
      <c r="K1348" s="10" t="inlineStr">
        <is>
          <t>N/A</t>
        </is>
      </c>
      <c r="L1348" s="10" t="inlineStr">
        <is>
          <t>Communication Skills, Leadership Skills, Sales Training, Scientific Research, Training Design</t>
        </is>
      </c>
      <c r="M1348" s="10" t="inlineStr">
        <is>
          <t>Bonus, Healthcare Plan</t>
        </is>
      </c>
      <c r="N1348" s="11">
        <f>HYPERLINK("https://www.vietnamworks.com/product-training-and-scientific-activation-specialist-2010534-jv","Xem chi tiết")</f>
        <v/>
      </c>
      <c r="O1348" s="10" t="n"/>
    </row>
    <row r="1349">
      <c r="B1349" s="7" t="n">
        <v>1347</v>
      </c>
      <c r="C1349" t="inlineStr">
        <is>
          <t>Project Finance Officer - Blue Corridor</t>
        </is>
      </c>
      <c r="D1349" t="inlineStr">
        <is>
          <t>World Vision International in Viet Nam</t>
        </is>
      </c>
      <c r="E1349" t="inlineStr">
        <is>
          <t>Thương lượng</t>
        </is>
      </c>
      <c r="F1349" t="inlineStr">
        <is>
          <t>Đà Nẵng</t>
        </is>
      </c>
      <c r="G1349" t="inlineStr">
        <is>
          <t>Nhân viên</t>
        </is>
      </c>
      <c r="H1349" t="inlineStr">
        <is>
          <t>06/02/2026</t>
        </is>
      </c>
      <c r="I1349" t="inlineStr">
        <is>
          <t>23/03/2026</t>
        </is>
      </c>
      <c r="J1349" t="inlineStr">
        <is>
          <t>17/03/2026</t>
        </is>
      </c>
      <c r="K1349" t="inlineStr">
        <is>
          <t>N/A</t>
        </is>
      </c>
      <c r="L1349" t="inlineStr">
        <is>
          <t>Budgeting, Compliance, English, Financial Reporting, Project Accounting</t>
        </is>
      </c>
      <c r="M1349" t="inlineStr">
        <is>
          <t>Laptop</t>
        </is>
      </c>
      <c r="N1349" s="8">
        <f>HYPERLINK("https://www.vietnamworks.com/project-finance-officer-blue-corridor-2010539-jv","Xem chi tiết")</f>
        <v/>
      </c>
    </row>
    <row r="1350">
      <c r="B1350" s="9" t="n">
        <v>1348</v>
      </c>
      <c r="C1350" s="10" t="inlineStr">
        <is>
          <t>Customs Broker/ Customs Clearance Executive</t>
        </is>
      </c>
      <c r="D1350" s="10" t="inlineStr">
        <is>
          <t>CÔNG TY TNHH ACHILLES LOGISTICS</t>
        </is>
      </c>
      <c r="E1350" s="10" t="inlineStr">
        <is>
          <t>15tr-20tr ₫/tháng</t>
        </is>
      </c>
      <c r="F1350" s="10" t="inlineStr">
        <is>
          <t>Hà Nội, Hồ Chí Minh</t>
        </is>
      </c>
      <c r="G1350" s="10" t="inlineStr">
        <is>
          <t>Nhân viên</t>
        </is>
      </c>
      <c r="H1350" s="10" t="inlineStr">
        <is>
          <t>06/02/2026</t>
        </is>
      </c>
      <c r="I1350" s="10" t="inlineStr">
        <is>
          <t>23/03/2026</t>
        </is>
      </c>
      <c r="J1350" s="10" t="inlineStr">
        <is>
          <t>17/03/2026</t>
        </is>
      </c>
      <c r="K1350" s="10" t="inlineStr">
        <is>
          <t>N/A</t>
        </is>
      </c>
      <c r="L1350" s="10" t="inlineStr">
        <is>
          <t>Communication Skills, Customs Declare, Negotiation Skills, Solution Oriented</t>
        </is>
      </c>
      <c r="M1350" s="10" t="inlineStr">
        <is>
          <t>Bonus, Healthcare Plan, Others</t>
        </is>
      </c>
      <c r="N1350" s="11">
        <f>HYPERLINK("https://www.vietnamworks.com/customs-broker-customs-clearance-executive-2010548-jv","Xem chi tiết")</f>
        <v/>
      </c>
      <c r="O1350" s="10" t="n"/>
    </row>
    <row r="1351">
      <c r="B1351" s="7" t="n">
        <v>1349</v>
      </c>
      <c r="C1351" t="inlineStr">
        <is>
          <t>Nhân Viên Chứng Từ (Japanese Speaking) (Operation)</t>
        </is>
      </c>
      <c r="D1351" t="inlineStr">
        <is>
          <t>CÔNG TY TNHH ACHILLES LOGISTICS</t>
        </is>
      </c>
      <c r="E1351" t="inlineStr">
        <is>
          <t>15tr-20tr ₫/tháng</t>
        </is>
      </c>
      <c r="F1351" t="inlineStr">
        <is>
          <t>Hà Nội</t>
        </is>
      </c>
      <c r="G1351" t="inlineStr">
        <is>
          <t>Nhân viên</t>
        </is>
      </c>
      <c r="H1351" t="inlineStr">
        <is>
          <t>06/02/2026</t>
        </is>
      </c>
      <c r="I1351" t="inlineStr">
        <is>
          <t>23/03/2026</t>
        </is>
      </c>
      <c r="J1351" t="inlineStr">
        <is>
          <t>17/03/2026</t>
        </is>
      </c>
      <c r="K1351" t="inlineStr">
        <is>
          <t>N/A</t>
        </is>
      </c>
      <c r="L1351" t="inlineStr">
        <is>
          <t>Customer Service, English Communication, Logistics, Operation, Shipping Documents</t>
        </is>
      </c>
      <c r="M1351" t="inlineStr">
        <is>
          <t>Bonus, Healthcare Plan, Others</t>
        </is>
      </c>
      <c r="N1351" s="8">
        <f>HYPERLINK("https://www.vietnamworks.com/nhan-vien-chung-tu-japanese-speaking-operation-2010551-jv","Xem chi tiết")</f>
        <v/>
      </c>
    </row>
    <row r="1352">
      <c r="B1352" s="9" t="n">
        <v>1350</v>
      </c>
      <c r="C1352" s="10" t="inlineStr">
        <is>
          <t>Chăm Sóc Khách Hàng (Customer Service) - 100% Lương Khi Thử Việc</t>
        </is>
      </c>
      <c r="D1352" s="10" t="inlineStr">
        <is>
          <t>Seacret Limited Company</t>
        </is>
      </c>
      <c r="E1352" s="10" t="inlineStr">
        <is>
          <t>$$ 400-700 /tháng</t>
        </is>
      </c>
      <c r="F1352" s="10" t="inlineStr">
        <is>
          <t>Hà Nội</t>
        </is>
      </c>
      <c r="G1352" s="10" t="inlineStr">
        <is>
          <t>Nhân viên</t>
        </is>
      </c>
      <c r="H1352" s="10" t="inlineStr">
        <is>
          <t>06/02/2026</t>
        </is>
      </c>
      <c r="I1352" s="10" t="inlineStr">
        <is>
          <t>23/03/2026</t>
        </is>
      </c>
      <c r="J1352" s="10" t="inlineStr">
        <is>
          <t>17/03/2026</t>
        </is>
      </c>
      <c r="K1352" s="10" t="inlineStr">
        <is>
          <t>N/A</t>
        </is>
      </c>
      <c r="L1352" s="10" t="inlineStr">
        <is>
          <t>Chăm Sóc Khách Hàng, Lưu Trữ Hồ Sơ, Quản Lý Đặt Hàng, Tin Học Văn Phòng, Xử Lý Khiếu Nại</t>
        </is>
      </c>
      <c r="M1352" s="10" t="inlineStr">
        <is>
          <t>Bonus, Healthcare Plan, Training, Awards, Travel Opportunities, Vouchers, Others</t>
        </is>
      </c>
      <c r="N1352" s="11">
        <f>HYPERLINK("https://www.vietnamworks.com/cham-soc-khach-hang-customer-service-100percent-luong-khi-thu-viec-2010541-jv","Xem chi tiết")</f>
        <v/>
      </c>
      <c r="O1352" s="10" t="n"/>
    </row>
    <row r="1353">
      <c r="B1353" s="7" t="n">
        <v>1351</v>
      </c>
      <c r="C1353" t="inlineStr">
        <is>
          <t>Chuyên Viên Kế Toán</t>
        </is>
      </c>
      <c r="D1353" t="inlineStr">
        <is>
          <t>Công Ty Cổ Phần Cung Ứng Lao Động Hàng Không (ALSUCO)</t>
        </is>
      </c>
      <c r="E1353" t="inlineStr">
        <is>
          <t>Thương lượng</t>
        </is>
      </c>
      <c r="F1353" t="inlineStr">
        <is>
          <t>Hà Nội</t>
        </is>
      </c>
      <c r="G1353" t="inlineStr">
        <is>
          <t>Nhân viên</t>
        </is>
      </c>
      <c r="H1353" t="inlineStr">
        <is>
          <t>06/02/2026</t>
        </is>
      </c>
      <c r="I1353" t="inlineStr">
        <is>
          <t>23/03/2026</t>
        </is>
      </c>
      <c r="J1353" t="inlineStr">
        <is>
          <t>17/03/2026</t>
        </is>
      </c>
      <c r="K1353" t="inlineStr">
        <is>
          <t>N/A</t>
        </is>
      </c>
      <c r="L1353" t="inlineStr">
        <is>
          <t>TOEIC, Excel, Kế Toán, Tài Chính, Thuế</t>
        </is>
      </c>
      <c r="M1353" t="inlineStr">
        <is>
          <t>Bonus, Healthcare Plan, Training, Vouchers, Others</t>
        </is>
      </c>
      <c r="N1353" s="8">
        <f>HYPERLINK("https://www.vietnamworks.com/chuyen-vien-ke-toan-2010540-jv","Xem chi tiết")</f>
        <v/>
      </c>
    </row>
    <row r="1354">
      <c r="B1354" s="9" t="n">
        <v>1352</v>
      </c>
      <c r="C1354" s="10" t="inlineStr">
        <is>
          <t>Chuyên Gia Quản Lý Xây Dựng - Mảng Hạ Tầng/cầu Đường</t>
        </is>
      </c>
      <c r="D1354" s="10" t="inlineStr">
        <is>
          <t>Công Ty Cổ Phần Tập Đoàn Masterise</t>
        </is>
      </c>
      <c r="E1354" s="10" t="inlineStr">
        <is>
          <t>Thương lượng</t>
        </is>
      </c>
      <c r="F1354" s="10" t="inlineStr">
        <is>
          <t>Hồ Chí Minh</t>
        </is>
      </c>
      <c r="G1354" s="10" t="inlineStr">
        <is>
          <t>Trưởng phòng</t>
        </is>
      </c>
      <c r="H1354" s="10" t="inlineStr">
        <is>
          <t>06/02/2026</t>
        </is>
      </c>
      <c r="I1354" s="10" t="inlineStr">
        <is>
          <t>23/03/2026</t>
        </is>
      </c>
      <c r="J1354" s="10" t="inlineStr">
        <is>
          <t>17/03/2026</t>
        </is>
      </c>
      <c r="K1354" s="10" t="inlineStr">
        <is>
          <t>N/A</t>
        </is>
      </c>
      <c r="L1354" s="10" t="inlineStr">
        <is>
          <t>Thẩm Định Thiết Kế, Kiểm Soát Tiến Độ Dự Án, Quản Lý Chất Lượng Xây Dựng, Quản Lý Dự Án, Bridge Design</t>
        </is>
      </c>
      <c r="M1354" s="10" t="inlineStr">
        <is>
          <t>Bonus, Healthcare Plan, Laptop</t>
        </is>
      </c>
      <c r="N1354" s="11">
        <f>HYPERLINK("https://www.vietnamworks.com/chuyen-gia-quan-ly-xay-dung-mang-ha-tang-cau-duong--2010547-jv","Xem chi tiết")</f>
        <v/>
      </c>
      <c r="O1354" s="10" t="n"/>
    </row>
    <row r="1355">
      <c r="B1355" s="7" t="n">
        <v>1353</v>
      </c>
      <c r="C1355" t="inlineStr">
        <is>
          <t>[HCM] Nhân Viên Kinh Doanh (Lĩnh Vực Hóa Chất Công Nghiệp)</t>
        </is>
      </c>
      <c r="D1355" t="inlineStr">
        <is>
          <t>CÔNG TY TNHH THƯƠNG MẠI SHL VINA</t>
        </is>
      </c>
      <c r="E1355" t="inlineStr">
        <is>
          <t>Thương lượng</t>
        </is>
      </c>
      <c r="F1355" t="inlineStr">
        <is>
          <t>Hồ Chí Minh</t>
        </is>
      </c>
      <c r="G1355" t="inlineStr">
        <is>
          <t>Nhân viên</t>
        </is>
      </c>
      <c r="H1355" t="inlineStr">
        <is>
          <t>06/02/2026</t>
        </is>
      </c>
      <c r="I1355" t="inlineStr">
        <is>
          <t>23/03/2026</t>
        </is>
      </c>
      <c r="J1355" t="inlineStr">
        <is>
          <t>17/03/2026</t>
        </is>
      </c>
      <c r="K1355" t="inlineStr">
        <is>
          <t>N/A</t>
        </is>
      </c>
      <c r="L1355" t="inlineStr">
        <is>
          <t>Tìm Kiếm Khách Hàng, Kinh Doanh, Chemical, Business Development, Bán Hàng</t>
        </is>
      </c>
      <c r="M1355" t="inlineStr">
        <is>
          <t>Bonus</t>
        </is>
      </c>
      <c r="N1355" s="8">
        <f>HYPERLINK("https://www.vietnamworks.com/hcm-nhan-vien-kinh-doanh-linh-vuc-hoa-chat-cong-nghiep--2010555-jv","Xem chi tiết")</f>
        <v/>
      </c>
    </row>
    <row r="1356">
      <c r="B1356" s="9" t="n">
        <v>1354</v>
      </c>
      <c r="C1356" s="10" t="inlineStr">
        <is>
          <t>(Urgent) Program Manager</t>
        </is>
      </c>
      <c r="D1356" s="10" t="inlineStr">
        <is>
          <t>Unigen Vietnam Hanoi Co.Ltd</t>
        </is>
      </c>
      <c r="E1356" s="10" t="inlineStr">
        <is>
          <t>Thương lượng</t>
        </is>
      </c>
      <c r="F1356" s="10" t="inlineStr">
        <is>
          <t>Bắc Ninh, Bắc Giang, Hà Nội</t>
        </is>
      </c>
      <c r="G1356" s="10" t="inlineStr">
        <is>
          <t>Trưởng phòng</t>
        </is>
      </c>
      <c r="H1356" s="10" t="inlineStr">
        <is>
          <t>06/02/2026</t>
        </is>
      </c>
      <c r="I1356" s="10" t="inlineStr">
        <is>
          <t>23/03/2026</t>
        </is>
      </c>
      <c r="J1356" s="10" t="inlineStr">
        <is>
          <t>17/03/2026</t>
        </is>
      </c>
      <c r="K1356" s="10" t="inlineStr">
        <is>
          <t>N/A</t>
        </is>
      </c>
      <c r="L1356" s="10" t="inlineStr">
        <is>
          <t>Industrial Engineering, Engineering Drawings, Technical Management, CAM, BOM Control</t>
        </is>
      </c>
      <c r="M1356" s="10" t="inlineStr">
        <is>
          <t>Bonus, Healthcare Plan, Paid Leave</t>
        </is>
      </c>
      <c r="N1356" s="11">
        <f>HYPERLINK("https://www.vietnamworks.com/urgent-program-manager-2010545-jv","Xem chi tiết")</f>
        <v/>
      </c>
      <c r="O1356" s="10" t="n"/>
    </row>
    <row r="1357">
      <c r="B1357" s="7" t="n">
        <v>1355</v>
      </c>
      <c r="C1357" t="inlineStr">
        <is>
          <t>Accounting &amp; Administration Staff</t>
        </is>
      </c>
      <c r="D1357" t="inlineStr">
        <is>
          <t>CÔNG TY TNHH ACHILLES LOGISTICS</t>
        </is>
      </c>
      <c r="E1357" t="inlineStr">
        <is>
          <t>16tr-21tr ₫/tháng</t>
        </is>
      </c>
      <c r="F1357" t="inlineStr">
        <is>
          <t>Hà Nội</t>
        </is>
      </c>
      <c r="G1357" t="inlineStr">
        <is>
          <t>Nhân viên</t>
        </is>
      </c>
      <c r="H1357" t="inlineStr">
        <is>
          <t>06/02/2026</t>
        </is>
      </c>
      <c r="I1357" t="inlineStr">
        <is>
          <t>23/03/2026</t>
        </is>
      </c>
      <c r="J1357" t="inlineStr">
        <is>
          <t>17/03/2026</t>
        </is>
      </c>
      <c r="K1357" t="inlineStr">
        <is>
          <t>N/A</t>
        </is>
      </c>
      <c r="L1357" t="inlineStr">
        <is>
          <t>Kế Toán, General accounting /kế toán tổng hợp, Accounting, Accounting &amp; Administration</t>
        </is>
      </c>
      <c r="M1357" t="inlineStr">
        <is>
          <t>Bonus, Healthcare Plan, Others</t>
        </is>
      </c>
      <c r="N1357" s="8">
        <f>HYPERLINK("https://www.vietnamworks.com/accounting-and-administration-staff-2010543-jv","Xem chi tiết")</f>
        <v/>
      </c>
    </row>
    <row r="1358">
      <c r="B1358" s="9" t="n">
        <v>1356</v>
      </c>
      <c r="C1358" s="10" t="inlineStr">
        <is>
          <t>Business Development Manager</t>
        </is>
      </c>
      <c r="D1358" s="10" t="inlineStr">
        <is>
          <t>Fr. Meyer's Sohn Vietnam Company Limited</t>
        </is>
      </c>
      <c r="E1358" s="10" t="inlineStr">
        <is>
          <t>Thương lượng</t>
        </is>
      </c>
      <c r="F1358" s="10" t="inlineStr">
        <is>
          <t>Hồ Chí Minh</t>
        </is>
      </c>
      <c r="G1358" s="10" t="inlineStr">
        <is>
          <t>Trưởng phòng</t>
        </is>
      </c>
      <c r="H1358" s="10" t="inlineStr">
        <is>
          <t>06/02/2026</t>
        </is>
      </c>
      <c r="I1358" s="10" t="inlineStr">
        <is>
          <t>23/03/2026</t>
        </is>
      </c>
      <c r="J1358" s="10" t="inlineStr">
        <is>
          <t>17/03/2026</t>
        </is>
      </c>
      <c r="K1358" s="10" t="inlineStr">
        <is>
          <t>N/A</t>
        </is>
      </c>
      <c r="L1358" s="10" t="inlineStr">
        <is>
          <t>Freight Forwarding Sales, Sales Strategy, CRM System, Mandarin, Relationship Maintaining</t>
        </is>
      </c>
      <c r="M1358" s="10" t="inlineStr">
        <is>
          <t>Bonus, Awards, Team Activities</t>
        </is>
      </c>
      <c r="N1358" s="11">
        <f>HYPERLINK("https://www.vietnamworks.com/business-development-manager--2010552-jv","Xem chi tiết")</f>
        <v/>
      </c>
      <c r="O1358" s="10" t="n"/>
    </row>
    <row r="1359">
      <c r="B1359" s="7" t="n">
        <v>1357</v>
      </c>
      <c r="C1359" t="inlineStr">
        <is>
          <t>Sales Logistics Executive (Japanese) (Individual Contributor/ Player)</t>
        </is>
      </c>
      <c r="D1359" t="inlineStr">
        <is>
          <t>CÔNG TY TNHH ACHILLES LOGISTICS</t>
        </is>
      </c>
      <c r="E1359" t="inlineStr">
        <is>
          <t>10tr-30tr ₫/tháng</t>
        </is>
      </c>
      <c r="F1359" t="inlineStr">
        <is>
          <t>Hà Nội, Hồ Chí Minh</t>
        </is>
      </c>
      <c r="G1359" t="inlineStr">
        <is>
          <t>Nhân viên</t>
        </is>
      </c>
      <c r="H1359" t="inlineStr">
        <is>
          <t>06/02/2026</t>
        </is>
      </c>
      <c r="I1359" t="inlineStr">
        <is>
          <t>23/03/2026</t>
        </is>
      </c>
      <c r="J1359" t="inlineStr">
        <is>
          <t>17/03/2026</t>
        </is>
      </c>
      <c r="K1359" t="inlineStr">
        <is>
          <t>N/A</t>
        </is>
      </c>
      <c r="L1359" t="inlineStr">
        <is>
          <t>Customer Relation, Logistics, New Customer Acquisitions, Sales, Problem Solving</t>
        </is>
      </c>
      <c r="M1359" t="inlineStr">
        <is>
          <t>Bonus, Healthcare Plan</t>
        </is>
      </c>
      <c r="N1359" s="8">
        <f>HYPERLINK("https://www.vietnamworks.com/sales-logistics-executive-japanese-individual-contributor-player-2010544-jv","Xem chi tiết")</f>
        <v/>
      </c>
    </row>
    <row r="1360">
      <c r="B1360" s="9" t="n">
        <v>1358</v>
      </c>
      <c r="C1360" s="10" t="inlineStr">
        <is>
          <t>Trưởng Nhóm Thiết Kế (Điện/ Xây Dựng) Design Team Leader (Electrical Engineering/ Civil Engineering)</t>
        </is>
      </c>
      <c r="D1360" s="10" t="inlineStr">
        <is>
          <t>CÔNG TY TNHH TƯ VẤN KỸ THUẬT ECOPOWER</t>
        </is>
      </c>
      <c r="E1360" s="10" t="inlineStr">
        <is>
          <t>35tr-55tr ₫/tháng</t>
        </is>
      </c>
      <c r="F1360" s="10" t="inlineStr">
        <is>
          <t>Hồ Chí Minh</t>
        </is>
      </c>
      <c r="G1360" s="10" t="inlineStr">
        <is>
          <t>Nhân viên</t>
        </is>
      </c>
      <c r="H1360" s="10" t="inlineStr">
        <is>
          <t>06/02/2026</t>
        </is>
      </c>
      <c r="I1360" s="10" t="inlineStr">
        <is>
          <t>23/03/2026</t>
        </is>
      </c>
      <c r="J1360" s="10" t="inlineStr">
        <is>
          <t>17/03/2026</t>
        </is>
      </c>
      <c r="K1360" s="10" t="inlineStr">
        <is>
          <t>N/A</t>
        </is>
      </c>
      <c r="L1360" s="10" t="inlineStr">
        <is>
          <t>Xây Dựng Dân Dụng, Civil Engineering, Electrical Engineering, Kỹ sư thiết kế, Thiết Kế Điện</t>
        </is>
      </c>
      <c r="M1360" s="10" t="inlineStr">
        <is>
          <t>Bonus, Healthcare Plan, Laptop, Others</t>
        </is>
      </c>
      <c r="N1360" s="11">
        <f>HYPERLINK("https://www.vietnamworks.com/truong-nhom-thiet-ke-djien-xay-dung-design-team-leader-electrical-engineering-civil-engineering-2010538-jv","Xem chi tiết")</f>
        <v/>
      </c>
      <c r="O1360" s="10" t="n"/>
    </row>
    <row r="1361">
      <c r="B1361" s="7" t="n">
        <v>1359</v>
      </c>
      <c r="C1361" t="inlineStr">
        <is>
          <t>Purchasing Officer (Gia Lai)</t>
        </is>
      </c>
      <c r="D1361" t="inlineStr">
        <is>
          <t>Công Ty TNHH Kurz Việt Nam</t>
        </is>
      </c>
      <c r="E1361" t="inlineStr">
        <is>
          <t>Thương lượng</t>
        </is>
      </c>
      <c r="F1361" t="inlineStr">
        <is>
          <t>Bình Định, Gia Lai</t>
        </is>
      </c>
      <c r="G1361" t="inlineStr">
        <is>
          <t>Nhân viên</t>
        </is>
      </c>
      <c r="H1361" t="inlineStr">
        <is>
          <t>06/02/2026</t>
        </is>
      </c>
      <c r="I1361" t="inlineStr">
        <is>
          <t>23/03/2026</t>
        </is>
      </c>
      <c r="J1361" t="inlineStr">
        <is>
          <t>17/03/2026</t>
        </is>
      </c>
      <c r="K1361" t="inlineStr">
        <is>
          <t>N/A</t>
        </is>
      </c>
      <c r="L1361" t="inlineStr">
        <is>
          <t>Purchasing, Chemical Engineering, Thu Mua, Mua Hàng, Purchase Management</t>
        </is>
      </c>
      <c r="M1361" t="inlineStr">
        <is>
          <t>Bonus, Healthcare Plan, Transportation</t>
        </is>
      </c>
      <c r="N1361" s="8">
        <f>HYPERLINK("https://www.vietnamworks.com/purchasing-officer-gia-lai-2010556-jv","Xem chi tiết")</f>
        <v/>
      </c>
    </row>
    <row r="1362">
      <c r="B1362" s="9" t="n">
        <v>1360</v>
      </c>
      <c r="C1362" s="10" t="inlineStr">
        <is>
          <t>Nhân Viên Kỹ Thuật Cơ Khí</t>
        </is>
      </c>
      <c r="D1362" s="10" t="inlineStr">
        <is>
          <t>CÔNG TY TNHH MDTECH VIỆT NAM</t>
        </is>
      </c>
      <c r="E1362" s="10" t="inlineStr">
        <is>
          <t>10tr-20tr ₫/tháng</t>
        </is>
      </c>
      <c r="F1362" s="10" t="inlineStr">
        <is>
          <t>Hà Nội</t>
        </is>
      </c>
      <c r="G1362" s="10" t="inlineStr">
        <is>
          <t>Mới Tốt Nghiệp</t>
        </is>
      </c>
      <c r="H1362" s="10" t="inlineStr">
        <is>
          <t>06/02/2026</t>
        </is>
      </c>
      <c r="I1362" s="10" t="inlineStr">
        <is>
          <t>23/03/2026</t>
        </is>
      </c>
      <c r="J1362" s="10" t="inlineStr">
        <is>
          <t>17/03/2026</t>
        </is>
      </c>
      <c r="K1362" s="10" t="inlineStr">
        <is>
          <t>N/A</t>
        </is>
      </c>
      <c r="L1362" s="10" t="inlineStr">
        <is>
          <t>AutoCAD, SolidWorks, Cơ Khí, Cơ Khí Chế Tạo Máy, Cơ Điện</t>
        </is>
      </c>
      <c r="M1362" s="10" t="inlineStr">
        <is>
          <t>Bonus, Healthcare Plan, Paid Leave, Travel Opportunities, Canteen, Others</t>
        </is>
      </c>
      <c r="N1362" s="11">
        <f>HYPERLINK("https://www.vietnamworks.com/nhan-vien-ky-thuat-co-khi-2010570-jv","Xem chi tiết")</f>
        <v/>
      </c>
      <c r="O1362" s="10" t="n"/>
    </row>
    <row r="1363">
      <c r="B1363" s="7" t="n">
        <v>1361</v>
      </c>
      <c r="C1363" t="inlineStr">
        <is>
          <t>KOL Influencer Affilate Manager - Cosmetic &amp; Makeup</t>
        </is>
      </c>
      <c r="D1363" t="inlineStr">
        <is>
          <t>Công Ty TNHH ActsOne Việt Nam (Bbia, Hince BRAND)</t>
        </is>
      </c>
      <c r="E1363" t="inlineStr">
        <is>
          <t>Thương lượng</t>
        </is>
      </c>
      <c r="F1363" t="inlineStr">
        <is>
          <t>Hồ Chí Minh</t>
        </is>
      </c>
      <c r="G1363" t="inlineStr">
        <is>
          <t>Trưởng phòng</t>
        </is>
      </c>
      <c r="H1363" t="inlineStr">
        <is>
          <t>06/02/2026</t>
        </is>
      </c>
      <c r="I1363" t="inlineStr">
        <is>
          <t>23/03/2026</t>
        </is>
      </c>
      <c r="J1363" t="inlineStr">
        <is>
          <t>17/03/2026</t>
        </is>
      </c>
      <c r="K1363" t="inlineStr">
        <is>
          <t>N/A</t>
        </is>
      </c>
      <c r="L1363" t="inlineStr">
        <is>
          <t>Business Development Manager, B2B Development, B2B Sale, Cosmetic, Key Account Development</t>
        </is>
      </c>
      <c r="M1363" t="inlineStr">
        <is>
          <t>Training, Laptop, Vouchers</t>
        </is>
      </c>
      <c r="N1363" s="8">
        <f>HYPERLINK("https://www.vietnamworks.com/kol-influencer-affilate-manager-cosmetic-makeup-2010568-jv","Xem chi tiết")</f>
        <v/>
      </c>
    </row>
    <row r="1364">
      <c r="B1364" s="9" t="n">
        <v>1362</v>
      </c>
      <c r="C1364" s="10" t="inlineStr">
        <is>
          <t>Trưởng Phòng Thu Mua Vật Tư Công Trình (Head Of Procurement Department)</t>
        </is>
      </c>
      <c r="D1364" s="10" t="inlineStr">
        <is>
          <t>CÔNG TY CỔ PHẦN TƯ VẤN - THIẾT KẾ - XÂY DỰNG BÌNH DOANH</t>
        </is>
      </c>
      <c r="E1364" s="10" t="inlineStr">
        <is>
          <t>Thương lượng</t>
        </is>
      </c>
      <c r="F1364" s="10" t="inlineStr">
        <is>
          <t>Đồng Nai, Hồ Chí Minh</t>
        </is>
      </c>
      <c r="G1364" s="10" t="inlineStr">
        <is>
          <t>Trưởng phòng</t>
        </is>
      </c>
      <c r="H1364" s="10" t="inlineStr">
        <is>
          <t>06/02/2026</t>
        </is>
      </c>
      <c r="I1364" s="10" t="inlineStr">
        <is>
          <t>23/03/2026</t>
        </is>
      </c>
      <c r="J1364" s="10" t="inlineStr">
        <is>
          <t>17/03/2026</t>
        </is>
      </c>
      <c r="K1364" s="10" t="inlineStr">
        <is>
          <t>N/A</t>
        </is>
      </c>
      <c r="L1364" s="10" t="inlineStr">
        <is>
          <t>Dự Thảo Hợp Đồng, Giao Tiếp, Phân Tích Chi Phí, Quản Lý Thu Mua, Quản Lý Tồn Kho</t>
        </is>
      </c>
      <c r="M1364" s="10" t="inlineStr">
        <is>
          <t>Bonus, Healthcare Plan, Training, Others</t>
        </is>
      </c>
      <c r="N1364" s="11">
        <f>HYPERLINK("https://www.vietnamworks.com/truong-phong-thu-mua-vat-tu-cong-trinh-head-of-procurement-department-2010566-jv","Xem chi tiết")</f>
        <v/>
      </c>
      <c r="O1364" s="10" t="n"/>
    </row>
    <row r="1365">
      <c r="B1365" s="7" t="n">
        <v>1363</v>
      </c>
      <c r="C1365" t="inlineStr">
        <is>
          <t>Nhân Viên Admin Phòng Kỹ Thuật (Điện, Điện Tử, Cơ Điện Tử, Công Nghệ Thông Tin ) - Bắc Ninh</t>
        </is>
      </c>
      <c r="D1365" t="inlineStr">
        <is>
          <t>Micro Precision Calibration Việt Nam</t>
        </is>
      </c>
      <c r="E1365" t="inlineStr">
        <is>
          <t>12tr-20tr ₫/tháng</t>
        </is>
      </c>
      <c r="F1365" t="inlineStr">
        <is>
          <t>Bắc Ninh</t>
        </is>
      </c>
      <c r="G1365" t="inlineStr">
        <is>
          <t>Nhân viên</t>
        </is>
      </c>
      <c r="H1365" t="inlineStr">
        <is>
          <t>06/02/2026</t>
        </is>
      </c>
      <c r="I1365" t="inlineStr">
        <is>
          <t>23/03/2026</t>
        </is>
      </c>
      <c r="J1365" t="inlineStr">
        <is>
          <t>17/03/2026</t>
        </is>
      </c>
      <c r="K1365" t="inlineStr">
        <is>
          <t>N/A</t>
        </is>
      </c>
      <c r="L1365" t="inlineStr">
        <is>
          <t>Điện Tử, Cơ Khí, ISO 17025, MS Excel, Đọc Hiểu Tiếng Anh</t>
        </is>
      </c>
      <c r="M1365" t="inlineStr">
        <is>
          <t>Bonus, Healthcare Plan, Paid Leave, Training, Team Activities, Others</t>
        </is>
      </c>
      <c r="N1365" s="8">
        <f>HYPERLINK("https://www.vietnamworks.com/nhan-vien-admin-phong-ky-thuat-dien-dien-tu-co-dien-tu-cong-nghe-thong-tin-bac-ninh-2010564-jv","Xem chi tiết")</f>
        <v/>
      </c>
    </row>
    <row r="1366">
      <c r="B1366" s="9" t="n">
        <v>1364</v>
      </c>
      <c r="C1366" s="10" t="inlineStr">
        <is>
          <t>Kỹ Sư Dự Án (Civil, MEP, HVAC, Mechanical)</t>
        </is>
      </c>
      <c r="D1366" s="10" t="inlineStr">
        <is>
          <t>CÔNG TY TNHH EPCIC</t>
        </is>
      </c>
      <c r="E1366" s="10" t="inlineStr">
        <is>
          <t>Thương lượng</t>
        </is>
      </c>
      <c r="F1366" s="10" t="inlineStr">
        <is>
          <t>Hồ Chí Minh</t>
        </is>
      </c>
      <c r="G1366" s="10" t="inlineStr">
        <is>
          <t>Nhân viên</t>
        </is>
      </c>
      <c r="H1366" s="10" t="inlineStr">
        <is>
          <t>06/02/2026</t>
        </is>
      </c>
      <c r="I1366" s="10" t="inlineStr">
        <is>
          <t>23/03/2026</t>
        </is>
      </c>
      <c r="J1366" s="10" t="inlineStr">
        <is>
          <t>17/03/2026</t>
        </is>
      </c>
      <c r="K1366" s="10" t="inlineStr">
        <is>
          <t>N/A</t>
        </is>
      </c>
      <c r="L1366" s="10" t="inlineStr">
        <is>
          <t>AutoCAD 2D, Construction Supervision, English Reading, MS Project, Revit 3D</t>
        </is>
      </c>
      <c r="M1366" s="10" t="inlineStr">
        <is>
          <t>Bonus, Healthcare Plan, Paid Leave, Training, Others</t>
        </is>
      </c>
      <c r="N1366" s="11">
        <f>HYPERLINK("https://www.vietnamworks.com/ky-su-du-an-civil-mep-hvac-mechanical-2010574-jv","Xem chi tiết")</f>
        <v/>
      </c>
      <c r="O1366" s="10" t="n"/>
    </row>
    <row r="1367">
      <c r="B1367" s="7" t="n">
        <v>1365</v>
      </c>
      <c r="C1367" t="inlineStr">
        <is>
          <t>Warehouse Officer - Attractive Salary</t>
        </is>
      </c>
      <c r="D1367" t="inlineStr">
        <is>
          <t>VDL ETG VIETNAM COMPANY LIMITED</t>
        </is>
      </c>
      <c r="E1367" t="inlineStr">
        <is>
          <t>Thương lượng</t>
        </is>
      </c>
      <c r="F1367" t="inlineStr">
        <is>
          <t>Quảng Ninh</t>
        </is>
      </c>
      <c r="G1367" t="inlineStr">
        <is>
          <t>Nhân viên</t>
        </is>
      </c>
      <c r="H1367" t="inlineStr">
        <is>
          <t>06/02/2026</t>
        </is>
      </c>
      <c r="I1367" t="inlineStr">
        <is>
          <t>23/03/2026</t>
        </is>
      </c>
      <c r="J1367" t="inlineStr">
        <is>
          <t>17/03/2026</t>
        </is>
      </c>
      <c r="K1367" t="inlineStr">
        <is>
          <t>N/A</t>
        </is>
      </c>
      <c r="L1367" t="inlineStr">
        <is>
          <t>Warehouse Management, Inventory Checking, Microsoft Office, 5S Management</t>
        </is>
      </c>
      <c r="M1367" t="inlineStr">
        <is>
          <t>Team Activities, Transportation, Others</t>
        </is>
      </c>
      <c r="N1367" s="8">
        <f>HYPERLINK("https://www.vietnamworks.com/warehouse-officer-attractive-salary-2010572-jv","Xem chi tiết")</f>
        <v/>
      </c>
    </row>
    <row r="1368">
      <c r="B1368" s="9" t="n">
        <v>1366</v>
      </c>
      <c r="C1368" s="10" t="inlineStr">
        <is>
          <t>Nhân Viên Sale / Kinh Doanh Quốc Tế</t>
        </is>
      </c>
      <c r="D1368" s="10" t="inlineStr">
        <is>
          <t>VĂN PHÒNG ĐẠI DIỆN SINO PAPER LIMITED TẠI THÀNH PHỐ HỒ CHÍ MINH</t>
        </is>
      </c>
      <c r="E1368" s="10" t="inlineStr">
        <is>
          <t>Thương lượng</t>
        </is>
      </c>
      <c r="F1368" s="10" t="inlineStr">
        <is>
          <t>Hồ Chí Minh</t>
        </is>
      </c>
      <c r="G1368" s="10" t="inlineStr">
        <is>
          <t>Nhân viên</t>
        </is>
      </c>
      <c r="H1368" s="10" t="inlineStr">
        <is>
          <t>06/02/2026</t>
        </is>
      </c>
      <c r="I1368" s="10" t="inlineStr">
        <is>
          <t>23/03/2026</t>
        </is>
      </c>
      <c r="J1368" s="10" t="inlineStr">
        <is>
          <t>17/03/2026</t>
        </is>
      </c>
      <c r="K1368" s="10" t="inlineStr">
        <is>
          <t>N/A</t>
        </is>
      </c>
      <c r="L1368" s="10" t="inlineStr">
        <is>
          <t>Giao Tiếp Tiếng Anh, Tiếng Trung Giao Tiếp, Tin Học Văn Phòng, Đàm Phán Khách Hàng</t>
        </is>
      </c>
      <c r="M1368" s="10" t="inlineStr">
        <is>
          <t>Training, Others</t>
        </is>
      </c>
      <c r="N1368" s="11">
        <f>HYPERLINK("https://www.vietnamworks.com/nhan-vien-sale-kinh-doanh-quoc-te-2010575-jv","Xem chi tiết")</f>
        <v/>
      </c>
      <c r="O1368" s="10" t="n"/>
    </row>
    <row r="1369">
      <c r="B1369" s="7" t="n">
        <v>1367</v>
      </c>
      <c r="C1369" t="inlineStr">
        <is>
          <t>Chuyên Viên Tư Vấn Tuyển Sinh</t>
        </is>
      </c>
      <c r="D1369" t="inlineStr">
        <is>
          <t>Công ty TNHH Giáo dục Hoàn Vũ</t>
        </is>
      </c>
      <c r="E1369" t="inlineStr">
        <is>
          <t>15tr-40tr ₫/tháng</t>
        </is>
      </c>
      <c r="F1369" t="inlineStr">
        <is>
          <t>Hồ Chí Minh</t>
        </is>
      </c>
      <c r="G1369" t="inlineStr">
        <is>
          <t>Nhân viên</t>
        </is>
      </c>
      <c r="H1369" t="inlineStr">
        <is>
          <t>06/02/2026</t>
        </is>
      </c>
      <c r="I1369" t="inlineStr">
        <is>
          <t>23/03/2026</t>
        </is>
      </c>
      <c r="J1369" t="inlineStr">
        <is>
          <t>17/03/2026</t>
        </is>
      </c>
      <c r="K1369" t="inlineStr">
        <is>
          <t>N/A</t>
        </is>
      </c>
      <c r="L1369" t="inlineStr">
        <is>
          <t>Communication, Customer Care, English Language Proficiency, Sales Reporting, Telesales</t>
        </is>
      </c>
      <c r="M1369" t="inlineStr">
        <is>
          <t>Healthcare Plan, Training, Team Activities, Others</t>
        </is>
      </c>
      <c r="N1369" s="8">
        <f>HYPERLINK("https://www.vietnamworks.com/chuyen-vien-tu-van-tuyen-sinh-2010600-jv","Xem chi tiết")</f>
        <v/>
      </c>
    </row>
    <row r="1370">
      <c r="B1370" s="9" t="n">
        <v>1368</v>
      </c>
      <c r="C1370" s="10" t="inlineStr">
        <is>
          <t>Chemical Engineer (Gia Lai)</t>
        </is>
      </c>
      <c r="D1370" s="10" t="inlineStr">
        <is>
          <t>Công Ty TNHH Kurz Việt Nam</t>
        </is>
      </c>
      <c r="E1370" s="10" t="inlineStr">
        <is>
          <t>Thương lượng</t>
        </is>
      </c>
      <c r="F1370" s="10" t="inlineStr">
        <is>
          <t>Gia Lai, Bình Định</t>
        </is>
      </c>
      <c r="G1370" s="10" t="inlineStr">
        <is>
          <t>Nhân viên</t>
        </is>
      </c>
      <c r="H1370" s="10" t="inlineStr">
        <is>
          <t>06/02/2026</t>
        </is>
      </c>
      <c r="I1370" s="10" t="inlineStr">
        <is>
          <t>23/03/2026</t>
        </is>
      </c>
      <c r="J1370" s="10" t="inlineStr">
        <is>
          <t>17/03/2026</t>
        </is>
      </c>
      <c r="K1370" s="10" t="inlineStr">
        <is>
          <t>N/A</t>
        </is>
      </c>
      <c r="L1370" s="10" t="inlineStr">
        <is>
          <t>Chemical Laboratory, Chemical, Chemistry, Polymer, English</t>
        </is>
      </c>
      <c r="M1370" s="10" t="inlineStr">
        <is>
          <t>Bonus, Transportation, Canteen</t>
        </is>
      </c>
      <c r="N1370" s="11">
        <f>HYPERLINK("https://www.vietnamworks.com/chemical-engineer-gia-lai-2010578-jv","Xem chi tiết")</f>
        <v/>
      </c>
      <c r="O1370" s="10" t="n"/>
    </row>
    <row r="1371">
      <c r="B1371" s="7" t="n">
        <v>1369</v>
      </c>
      <c r="C1371" t="inlineStr">
        <is>
          <t>Senior Web Frontend Developer (Gia Lai)</t>
        </is>
      </c>
      <c r="D1371" t="inlineStr">
        <is>
          <t>Công Ty TNHH Kurz Việt Nam</t>
        </is>
      </c>
      <c r="E1371" t="inlineStr">
        <is>
          <t>Thương lượng</t>
        </is>
      </c>
      <c r="F1371" t="inlineStr">
        <is>
          <t>Gia Lai</t>
        </is>
      </c>
      <c r="G1371" t="inlineStr">
        <is>
          <t>Nhân viên</t>
        </is>
      </c>
      <c r="H1371" t="inlineStr">
        <is>
          <t>06/02/2026</t>
        </is>
      </c>
      <c r="I1371" t="inlineStr">
        <is>
          <t>23/03/2026</t>
        </is>
      </c>
      <c r="J1371" t="inlineStr">
        <is>
          <t>17/03/2026</t>
        </is>
      </c>
      <c r="K1371" t="inlineStr">
        <is>
          <t>N/A</t>
        </is>
      </c>
      <c r="L1371" t="inlineStr">
        <is>
          <t>HTML5, JavaScript, Docker, OData, REST</t>
        </is>
      </c>
      <c r="M1371" t="inlineStr">
        <is>
          <t>Bonus, Healthcare Plan, Transportation</t>
        </is>
      </c>
      <c r="N1371" s="8">
        <f>HYPERLINK("https://www.vietnamworks.com/senior-web-frontend-developer-gia-lai-2010580-jv","Xem chi tiết")</f>
        <v/>
      </c>
    </row>
    <row r="1372">
      <c r="B1372" s="9" t="n">
        <v>1370</v>
      </c>
      <c r="C1372" s="10" t="inlineStr">
        <is>
          <t>Account Executive - Events &amp; Activations (HCM)</t>
        </is>
      </c>
      <c r="D1372" s="10" t="inlineStr">
        <is>
          <t>Cty TNHH Kingsmen Việt Nam</t>
        </is>
      </c>
      <c r="E1372" s="10" t="inlineStr">
        <is>
          <t>Thương lượng</t>
        </is>
      </c>
      <c r="F1372" s="10" t="inlineStr">
        <is>
          <t>Hồ Chí Minh</t>
        </is>
      </c>
      <c r="G1372" s="10" t="inlineStr">
        <is>
          <t>Nhân viên</t>
        </is>
      </c>
      <c r="H1372" s="10" t="inlineStr">
        <is>
          <t>06/02/2026</t>
        </is>
      </c>
      <c r="I1372" s="10" t="inlineStr">
        <is>
          <t>23/03/2026</t>
        </is>
      </c>
      <c r="J1372" s="10" t="inlineStr">
        <is>
          <t>17/03/2026</t>
        </is>
      </c>
      <c r="K1372" s="10" t="inlineStr">
        <is>
          <t>N/A</t>
        </is>
      </c>
      <c r="L1372" s="10" t="inlineStr">
        <is>
          <t>Event Planning, Business Development, Marketing strategies, Account Management, Marketing</t>
        </is>
      </c>
      <c r="M1372" s="10" t="inlineStr">
        <is>
          <t>Bonus, Healthcare Plan, Others</t>
        </is>
      </c>
      <c r="N1372" s="11">
        <f>HYPERLINK("https://www.vietnamworks.com/account-executive-events-activations-hcm--2010588-jv","Xem chi tiết")</f>
        <v/>
      </c>
      <c r="O1372" s="10" t="n"/>
    </row>
    <row r="1373">
      <c r="B1373" s="7" t="n">
        <v>1371</v>
      </c>
      <c r="C1373" t="inlineStr">
        <is>
          <t>[Hot Job] Trưởng Nhóm Pháp Chế</t>
        </is>
      </c>
      <c r="D1373" t="inlineStr">
        <is>
          <t>Công Ty TNHH Thương Mại &amp; Xuất Nhập Khẩu Nhất Lâm</t>
        </is>
      </c>
      <c r="E1373" t="inlineStr">
        <is>
          <t>16tr-25tr ₫/tháng</t>
        </is>
      </c>
      <c r="F1373" t="inlineStr">
        <is>
          <t>Hà Nội</t>
        </is>
      </c>
      <c r="G1373" t="inlineStr">
        <is>
          <t>Trưởng phòng</t>
        </is>
      </c>
      <c r="H1373" t="inlineStr">
        <is>
          <t>06/02/2026</t>
        </is>
      </c>
      <c r="I1373" t="inlineStr">
        <is>
          <t>23/03/2026</t>
        </is>
      </c>
      <c r="J1373" t="inlineStr">
        <is>
          <t>17/03/2026</t>
        </is>
      </c>
      <c r="K1373" t="inlineStr">
        <is>
          <t>N/A</t>
        </is>
      </c>
      <c r="L1373" t="inlineStr">
        <is>
          <t>Pháp Chế, Pháp Luật, Pháp Lý, Quy Trình Pháp Lý Đầu Tư, Đầu Tư</t>
        </is>
      </c>
      <c r="M1373" t="inlineStr">
        <is>
          <t>Bonus, Training, Team Activities, Others</t>
        </is>
      </c>
      <c r="N1373" s="8">
        <f>HYPERLINK("https://www.vietnamworks.com/hot-job-truong-nhom-phap-che-2010594-jv","Xem chi tiết")</f>
        <v/>
      </c>
    </row>
    <row r="1374">
      <c r="B1374" s="9" t="n">
        <v>1372</v>
      </c>
      <c r="C1374" s="10" t="inlineStr">
        <is>
          <t>Chuyên Viên Giám Sát Nội Thất | Operations Executive (Retail Interiors, Fit-Out Works)</t>
        </is>
      </c>
      <c r="D1374" s="10" t="inlineStr">
        <is>
          <t>Cty TNHH Kingsmen Việt Nam</t>
        </is>
      </c>
      <c r="E1374" s="10" t="inlineStr">
        <is>
          <t>Thương lượng</t>
        </is>
      </c>
      <c r="F1374" s="10" t="inlineStr">
        <is>
          <t>Hồ Chí Minh</t>
        </is>
      </c>
      <c r="G1374" s="10" t="inlineStr">
        <is>
          <t>Mới Tốt Nghiệp</t>
        </is>
      </c>
      <c r="H1374" s="10" t="inlineStr">
        <is>
          <t>06/02/2026</t>
        </is>
      </c>
      <c r="I1374" s="10" t="inlineStr">
        <is>
          <t>23/03/2026</t>
        </is>
      </c>
      <c r="J1374" s="10" t="inlineStr">
        <is>
          <t>17/03/2026</t>
        </is>
      </c>
      <c r="K1374" s="10" t="inlineStr">
        <is>
          <t>N/A</t>
        </is>
      </c>
      <c r="L1374" s="10" t="inlineStr">
        <is>
          <t>Phân Tích Bản Vẽ, Giám sát Dự án, Giám Sát Nội Thất, Kiến Trúc, Thi Công Nội Thất</t>
        </is>
      </c>
      <c r="M1374" s="10" t="inlineStr">
        <is>
          <t>Bonus, Healthcare Plan, Others</t>
        </is>
      </c>
      <c r="N1374" s="11">
        <f>HYPERLINK("https://www.vietnamworks.com/chuyen-vien-giam-sat-noi-that-operations-executive-retail-interiors-fit-out-works--2010582-jv","Xem chi tiết")</f>
        <v/>
      </c>
      <c r="O1374" s="10" t="n"/>
    </row>
    <row r="1375">
      <c r="B1375" s="7" t="n">
        <v>1373</v>
      </c>
      <c r="C1375" t="inlineStr">
        <is>
          <t>Chuyên Viên C&amp;B - Lương Upto 20 Triệu</t>
        </is>
      </c>
      <c r="D1375" t="inlineStr">
        <is>
          <t>Công ty cổ phần Viglacera Hưng Yên</t>
        </is>
      </c>
      <c r="E1375" t="inlineStr">
        <is>
          <t>Tới 20tr ₫/tháng</t>
        </is>
      </c>
      <c r="F1375" t="inlineStr">
        <is>
          <t>Hưng Yên</t>
        </is>
      </c>
      <c r="G1375" t="inlineStr">
        <is>
          <t>Nhân viên</t>
        </is>
      </c>
      <c r="H1375" t="inlineStr">
        <is>
          <t>06/02/2026</t>
        </is>
      </c>
      <c r="I1375" t="inlineStr">
        <is>
          <t>23/03/2026</t>
        </is>
      </c>
      <c r="J1375" t="inlineStr">
        <is>
          <t>17/03/2026</t>
        </is>
      </c>
      <c r="K1375" t="inlineStr">
        <is>
          <t>N/A</t>
        </is>
      </c>
      <c r="L1375" t="inlineStr">
        <is>
          <t>C&amp;B, Compensation &amp; Benefits, Compensation Management, Compensation Process, Compensation Review</t>
        </is>
      </c>
      <c r="M1375" t="inlineStr">
        <is>
          <t>Bonus, Healthcare Plan, Others</t>
        </is>
      </c>
      <c r="N1375" s="8">
        <f>HYPERLINK("https://www.vietnamworks.com/chuyen-vien-candb-luong-upto-20-trieu-2010573-jv","Xem chi tiết")</f>
        <v/>
      </c>
    </row>
    <row r="1376">
      <c r="B1376" s="9" t="n">
        <v>1374</v>
      </c>
      <c r="C1376" s="10" t="inlineStr">
        <is>
          <t>Nhân Viên Kinh Doanh Bất Động Sản Công Nghiệp</t>
        </is>
      </c>
      <c r="D1376" s="10" t="inlineStr">
        <is>
          <t>Công ty cổ phần Viglacera Hưng Yên</t>
        </is>
      </c>
      <c r="E1376" s="10" t="inlineStr">
        <is>
          <t>Tới 30tr ₫/tháng</t>
        </is>
      </c>
      <c r="F1376" s="10" t="inlineStr">
        <is>
          <t>Hưng Yên</t>
        </is>
      </c>
      <c r="G1376" s="10" t="inlineStr">
        <is>
          <t>Nhân viên</t>
        </is>
      </c>
      <c r="H1376" s="10" t="inlineStr">
        <is>
          <t>06/02/2026</t>
        </is>
      </c>
      <c r="I1376" s="10" t="inlineStr">
        <is>
          <t>23/03/2026</t>
        </is>
      </c>
      <c r="J1376" s="10" t="inlineStr">
        <is>
          <t>17/03/2026</t>
        </is>
      </c>
      <c r="K1376" s="10" t="inlineStr">
        <is>
          <t>N/A</t>
        </is>
      </c>
      <c r="L1376" s="10" t="inlineStr">
        <is>
          <t>Bán hàng, Bất Động Sản, Kinh Doanh, Kinh Doanh Bất Động Sản, Tư Vấn</t>
        </is>
      </c>
      <c r="M1376" s="10" t="inlineStr">
        <is>
          <t>Bonus, Healthcare Plan, Paid Leave, Team Activities, Others</t>
        </is>
      </c>
      <c r="N1376" s="11">
        <f>HYPERLINK("https://www.vietnamworks.com/nhan-vien-kinh-doanh-bat-djong-san-cong-nghiep-2010585-jv","Xem chi tiết")</f>
        <v/>
      </c>
      <c r="O1376" s="10" t="n"/>
    </row>
    <row r="1377">
      <c r="B1377" s="7" t="n">
        <v>1375</v>
      </c>
      <c r="C1377" t="inlineStr">
        <is>
          <t>Chỉ Huy Trưởng Xây Dựng</t>
        </is>
      </c>
      <c r="D1377" t="inlineStr">
        <is>
          <t>CÔNG TY CỔ PHẦN TẬP ĐOÀN ĐẦU TƯ HOÀNG GIA VIỆT NAM</t>
        </is>
      </c>
      <c r="E1377" t="inlineStr">
        <is>
          <t>$$ 30tr-45tr /tháng</t>
        </is>
      </c>
      <c r="F1377" t="inlineStr">
        <is>
          <t>Lâm Đồng, Đà Nẵng</t>
        </is>
      </c>
      <c r="G1377" t="inlineStr">
        <is>
          <t>Trưởng phòng</t>
        </is>
      </c>
      <c r="H1377" t="inlineStr">
        <is>
          <t>06/02/2026</t>
        </is>
      </c>
      <c r="I1377" t="inlineStr">
        <is>
          <t>23/03/2026</t>
        </is>
      </c>
      <c r="J1377" t="inlineStr">
        <is>
          <t>17/03/2026</t>
        </is>
      </c>
      <c r="K1377" t="inlineStr">
        <is>
          <t>N/A</t>
        </is>
      </c>
      <c r="L1377" t="inlineStr">
        <is>
          <t>An Toàn Lao Động, Lãnh Đạo, Quản Trị Tiến Độ</t>
        </is>
      </c>
      <c r="M1377" t="inlineStr">
        <is>
          <t>Bonus, Healthcare Plan, Paid Leave, Training, Laptop, Travel Opportunities, Transportation, Canteen, Others</t>
        </is>
      </c>
      <c r="N1377" s="8">
        <f>HYPERLINK("https://www.vietnamworks.com/chi-huy-truong-xay-dung-2010598-jv","Xem chi tiết")</f>
        <v/>
      </c>
    </row>
    <row r="1378">
      <c r="B1378" s="9" t="n">
        <v>1376</v>
      </c>
      <c r="C1378" s="10" t="inlineStr">
        <is>
          <t>Chuyên Viên Dự Toán – Đấu Thầu</t>
        </is>
      </c>
      <c r="D1378" s="10" t="inlineStr">
        <is>
          <t>Công ty cổ phần Viglacera Hưng Yên</t>
        </is>
      </c>
      <c r="E1378" s="10" t="inlineStr">
        <is>
          <t>Tới 28tr ₫/tháng</t>
        </is>
      </c>
      <c r="F1378" s="10" t="inlineStr">
        <is>
          <t>Hưng Yên</t>
        </is>
      </c>
      <c r="G1378" s="10" t="inlineStr">
        <is>
          <t>Nhân viên</t>
        </is>
      </c>
      <c r="H1378" s="10" t="inlineStr">
        <is>
          <t>06/02/2026</t>
        </is>
      </c>
      <c r="I1378" s="10" t="inlineStr">
        <is>
          <t>23/03/2026</t>
        </is>
      </c>
      <c r="J1378" s="10" t="inlineStr">
        <is>
          <t>17/03/2026</t>
        </is>
      </c>
      <c r="K1378" s="10" t="inlineStr">
        <is>
          <t>N/A</t>
        </is>
      </c>
      <c r="L1378" s="10" t="inlineStr">
        <is>
          <t>Autocad, Dự Toán, Kinh Tế Xây Dựng, Kỹ Thuật Xây Dựng, Xây Dựng Dân Dụng</t>
        </is>
      </c>
      <c r="M1378" s="10" t="inlineStr">
        <is>
          <t>Bonus, Healthcare Plan, Paid Leave, Team Activities, Others</t>
        </is>
      </c>
      <c r="N1378" s="11">
        <f>HYPERLINK("https://www.vietnamworks.com/chuyen-vien-du-toan-djau-thau-2010589-jv","Xem chi tiết")</f>
        <v/>
      </c>
      <c r="O1378" s="10" t="n"/>
    </row>
    <row r="1379">
      <c r="B1379" s="7" t="n">
        <v>1377</v>
      </c>
      <c r="C1379" t="inlineStr">
        <is>
          <t>Quản Lý Bán Hàng Khu Vực (ASM)</t>
        </is>
      </c>
      <c r="D1379" t="inlineStr">
        <is>
          <t>Công Ty Cổ Phần Sản Xuất TLG Việt Nam</t>
        </is>
      </c>
      <c r="E1379" t="inlineStr">
        <is>
          <t>$$ 900-2,000 /tháng</t>
        </is>
      </c>
      <c r="F1379" t="inlineStr">
        <is>
          <t>Thái Bình</t>
        </is>
      </c>
      <c r="G1379" t="inlineStr">
        <is>
          <t>Trưởng phòng</t>
        </is>
      </c>
      <c r="H1379" t="inlineStr">
        <is>
          <t>06/02/2026</t>
        </is>
      </c>
      <c r="I1379" t="inlineStr">
        <is>
          <t>23/03/2026</t>
        </is>
      </c>
      <c r="J1379" t="inlineStr">
        <is>
          <t>17/03/2026</t>
        </is>
      </c>
      <c r="K1379" t="inlineStr">
        <is>
          <t>N/A</t>
        </is>
      </c>
      <c r="L1379" t="inlineStr">
        <is>
          <t>Quản Lý Bán Hàng, Sales Management, Bán Hàng, Kinh Doanh, Hàng Vật Liệu Xây Dựng</t>
        </is>
      </c>
      <c r="M1379" t="inlineStr">
        <is>
          <t>Bonus, Healthcare Plan, Awards</t>
        </is>
      </c>
      <c r="N1379" s="8">
        <f>HYPERLINK("https://www.vietnamworks.com/quan-ly-ban-hang-khu-vuc-asm--2010591-jv","Xem chi tiết")</f>
        <v/>
      </c>
    </row>
    <row r="1380">
      <c r="B1380" s="9" t="n">
        <v>1378</v>
      </c>
      <c r="C1380" s="10" t="inlineStr">
        <is>
          <t>Phú Thọ - Trưởng Phòng Hành Chính Nhân Sự</t>
        </is>
      </c>
      <c r="D1380" s="10" t="inlineStr">
        <is>
          <t>BIM Group</t>
        </is>
      </c>
      <c r="E1380" s="10" t="inlineStr">
        <is>
          <t>Thương lượng</t>
        </is>
      </c>
      <c r="F1380" s="10" t="inlineStr">
        <is>
          <t>Phú Thọ</t>
        </is>
      </c>
      <c r="G1380" s="10" t="inlineStr">
        <is>
          <t>Trưởng phòng</t>
        </is>
      </c>
      <c r="H1380" s="10" t="inlineStr">
        <is>
          <t>06/02/2026</t>
        </is>
      </c>
      <c r="I1380" s="10" t="inlineStr">
        <is>
          <t>23/03/2026</t>
        </is>
      </c>
      <c r="J1380" s="10" t="inlineStr">
        <is>
          <t>17/03/2026</t>
        </is>
      </c>
      <c r="K1380" s="10" t="inlineStr">
        <is>
          <t>N/A</t>
        </is>
      </c>
      <c r="L1380" s="10" t="inlineStr">
        <is>
          <t>Quản Trị Nguồn Nhân Lực, Pháp Luật Lao Động, Nghiệp Vụ Tín Dụng, Microsoft Office, Giao Tiếp</t>
        </is>
      </c>
      <c r="M1380" s="10" t="inlineStr">
        <is>
          <t>Bonus, Healthcare Plan, Paid Leave, Training, Laptop, Team Activities, Others</t>
        </is>
      </c>
      <c r="N1380" s="11">
        <f>HYPERLINK("https://www.vietnamworks.com/phu-tho-truong-phong-hanh-chinh-nhan-su-2010584-jv","Xem chi tiết")</f>
        <v/>
      </c>
      <c r="O1380" s="10" t="n"/>
    </row>
    <row r="1381">
      <c r="B1381" s="7" t="n">
        <v>1379</v>
      </c>
      <c r="C1381" t="inlineStr">
        <is>
          <t>Business Analysis cum Assistant Project Manager (Supervisor)</t>
        </is>
      </c>
      <c r="D1381" t="inlineStr">
        <is>
          <t>Mirae Asset Prévoir Life Insurance Company Ltd.</t>
        </is>
      </c>
      <c r="E1381" t="inlineStr">
        <is>
          <t>Thương lượng</t>
        </is>
      </c>
      <c r="F1381" t="inlineStr">
        <is>
          <t>Hồ Chí Minh</t>
        </is>
      </c>
      <c r="G1381" t="inlineStr">
        <is>
          <t>Nhân viên</t>
        </is>
      </c>
      <c r="H1381" t="inlineStr">
        <is>
          <t>06/02/2026</t>
        </is>
      </c>
      <c r="I1381" t="inlineStr">
        <is>
          <t>23/03/2026</t>
        </is>
      </c>
      <c r="J1381" t="inlineStr">
        <is>
          <t>17/03/2026</t>
        </is>
      </c>
      <c r="K1381" t="inlineStr">
        <is>
          <t>N/A</t>
        </is>
      </c>
      <c r="L1381" t="inlineStr">
        <is>
          <t>Business Analysis, Project Management, Data Analytics, Problem Solving, Communication</t>
        </is>
      </c>
      <c r="M1381" t="inlineStr">
        <is>
          <t>Bonus, Healthcare Plan, Paid Leave</t>
        </is>
      </c>
      <c r="N1381" s="8">
        <f>HYPERLINK("https://www.vietnamworks.com/business-analysis-cum-assistant-project-manager-supervisor-2010593-jv","Xem chi tiết")</f>
        <v/>
      </c>
    </row>
    <row r="1382">
      <c r="B1382" s="9" t="n">
        <v>1380</v>
      </c>
      <c r="C1382" s="10" t="inlineStr">
        <is>
          <t>Giám Đốc Chi Nhánh Miền Nam</t>
        </is>
      </c>
      <c r="D1382" s="10" t="inlineStr">
        <is>
          <t>Công Ty Cổ Phần Sản Xuất TLG Việt Nam</t>
        </is>
      </c>
      <c r="E1382" s="10" t="inlineStr">
        <is>
          <t>Thương lượng</t>
        </is>
      </c>
      <c r="F1382" s="10" t="inlineStr">
        <is>
          <t>Hồ Chí Minh</t>
        </is>
      </c>
      <c r="G1382" s="10" t="inlineStr">
        <is>
          <t>Giám Đốc và Cấp Cao Hơn</t>
        </is>
      </c>
      <c r="H1382" s="10" t="inlineStr">
        <is>
          <t>06/02/2026</t>
        </is>
      </c>
      <c r="I1382" s="10" t="inlineStr">
        <is>
          <t>23/03/2026</t>
        </is>
      </c>
      <c r="J1382" s="10" t="inlineStr">
        <is>
          <t>17/03/2026</t>
        </is>
      </c>
      <c r="K1382" s="10" t="inlineStr">
        <is>
          <t>N/A</t>
        </is>
      </c>
      <c r="L1382" s="10" t="inlineStr">
        <is>
          <t>Bán Hàng Xây Dựng, Kinh Doanh Kỹ Thuật, Phát Triển Kinh Doanh, Quản Lý, Điều Hành</t>
        </is>
      </c>
      <c r="M1382" s="10" t="inlineStr">
        <is>
          <t>Others</t>
        </is>
      </c>
      <c r="N1382" s="11">
        <f>HYPERLINK("https://www.vietnamworks.com/giam-djoc-chi-nhanh-mien-nam-2010601-jv","Xem chi tiết")</f>
        <v/>
      </c>
      <c r="O1382" s="10" t="n"/>
    </row>
    <row r="1383">
      <c r="B1383" s="7" t="n">
        <v>1381</v>
      </c>
      <c r="C1383" t="inlineStr">
        <is>
          <t>Nhân Viên Lái Xe Giao Hàng (Đà Nẵng, Miền Trung)</t>
        </is>
      </c>
      <c r="D1383" t="inlineStr">
        <is>
          <t>Công Ty Cổ Phần Sữa Việt Nam (Vinamilk)</t>
        </is>
      </c>
      <c r="E1383" t="inlineStr">
        <is>
          <t>$$ 100-1,000 /tháng</t>
        </is>
      </c>
      <c r="F1383" t="inlineStr">
        <is>
          <t>Đà Nẵng</t>
        </is>
      </c>
      <c r="G1383" t="inlineStr">
        <is>
          <t>Mới Tốt Nghiệp</t>
        </is>
      </c>
      <c r="H1383" t="inlineStr">
        <is>
          <t>06/02/2026</t>
        </is>
      </c>
      <c r="I1383" t="inlineStr">
        <is>
          <t>23/03/2026</t>
        </is>
      </c>
      <c r="J1383" t="inlineStr">
        <is>
          <t>17/03/2026</t>
        </is>
      </c>
      <c r="K1383" t="inlineStr">
        <is>
          <t>N/A</t>
        </is>
      </c>
      <c r="L1383" t="inlineStr">
        <is>
          <t>Bảo Quản Vật Tư, Kỹ năng giao tiếp, Lái Xe Ô Tô, Luật Thực Phẩm, Quản Lý</t>
        </is>
      </c>
      <c r="M1383" t="inlineStr">
        <is>
          <t>Bonus, Healthcare Plan, Paid Leave, Training, Others</t>
        </is>
      </c>
      <c r="N1383" s="8">
        <f>HYPERLINK("https://www.vietnamworks.com/nhan-vien-lai-xe-giao-hang-dja-nang-mien-trung-2010604-jv","Xem chi tiết")</f>
        <v/>
      </c>
    </row>
    <row r="1384">
      <c r="B1384" s="9" t="n">
        <v>1382</v>
      </c>
      <c r="C1384" s="10" t="inlineStr">
        <is>
          <t>Chuyên Viên Tổng Hợp và Phân Tích Dữ Liệu Dự Án</t>
        </is>
      </c>
      <c r="D1384" s="10" t="inlineStr">
        <is>
          <t>Công Ty Cổ Phần Thép Hòa Phát Dung Quất</t>
        </is>
      </c>
      <c r="E1384" s="10" t="inlineStr">
        <is>
          <t>Thương lượng</t>
        </is>
      </c>
      <c r="F1384" s="10" t="inlineStr">
        <is>
          <t>Hà Nội</t>
        </is>
      </c>
      <c r="G1384" s="10" t="inlineStr">
        <is>
          <t>Nhân viên</t>
        </is>
      </c>
      <c r="H1384" s="10" t="inlineStr">
        <is>
          <t>07/02/2026</t>
        </is>
      </c>
      <c r="I1384" s="10" t="inlineStr">
        <is>
          <t>24/03/2026</t>
        </is>
      </c>
      <c r="J1384" s="10" t="inlineStr">
        <is>
          <t>17/03/2026</t>
        </is>
      </c>
      <c r="K1384" s="10" t="inlineStr">
        <is>
          <t>N/A</t>
        </is>
      </c>
      <c r="L1384" s="10" t="inlineStr">
        <is>
          <t>Phân Tích Hồ Sơ, Tổng hợp dữ liệu, Dự Án Công Nghiệp, Thu Thập Dữ Liệu</t>
        </is>
      </c>
      <c r="M1384" s="10" t="inlineStr">
        <is>
          <t>Bonus, Travel Opportunities, Transportation</t>
        </is>
      </c>
      <c r="N1384" s="11">
        <f>HYPERLINK("https://www.vietnamworks.com/chuyen-vien-tong-hop-va-phan-tich-du-lieu-du-an-2010626-jv","Xem chi tiết")</f>
        <v/>
      </c>
      <c r="O1384" s="10" t="n"/>
    </row>
    <row r="1385">
      <c r="B1385" s="7" t="n">
        <v>1383</v>
      </c>
      <c r="C1385" t="inlineStr">
        <is>
          <t>Product Engineer</t>
        </is>
      </c>
      <c r="D1385" t="inlineStr">
        <is>
          <t>Boyd Vietnam Company Limited.,</t>
        </is>
      </c>
      <c r="E1385" t="inlineStr">
        <is>
          <t>Thương lượng</t>
        </is>
      </c>
      <c r="F1385" t="inlineStr">
        <is>
          <t>Bắc Ninh</t>
        </is>
      </c>
      <c r="G1385" t="inlineStr">
        <is>
          <t>Nhân viên</t>
        </is>
      </c>
      <c r="H1385" t="inlineStr">
        <is>
          <t>06/02/2026</t>
        </is>
      </c>
      <c r="I1385" t="inlineStr">
        <is>
          <t>23/03/2026</t>
        </is>
      </c>
      <c r="J1385" t="inlineStr">
        <is>
          <t>17/03/2026</t>
        </is>
      </c>
      <c r="K1385" t="inlineStr">
        <is>
          <t>N/A</t>
        </is>
      </c>
      <c r="L1385" t="inlineStr">
        <is>
          <t>AutoCAD, Automation, Metal Material, Mechanical Engineering, Product Development</t>
        </is>
      </c>
      <c r="M1385" t="inlineStr">
        <is>
          <t>Bonus, Healthcare Plan, Paid Leave</t>
        </is>
      </c>
      <c r="N1385" s="8">
        <f>HYPERLINK("https://www.vietnamworks.com/product-engineer--2010614-jv","Xem chi tiết")</f>
        <v/>
      </c>
    </row>
    <row r="1386">
      <c r="B1386" s="9" t="n">
        <v>1384</v>
      </c>
      <c r="C1386" s="10" t="inlineStr">
        <is>
          <t>Kế Toán Trưởng</t>
        </is>
      </c>
      <c r="D1386" s="10" t="inlineStr">
        <is>
          <t>Công Ty Cổ Phần Sản Xuất TLG Việt Nam</t>
        </is>
      </c>
      <c r="E1386" s="10" t="inlineStr">
        <is>
          <t>Thương lượng</t>
        </is>
      </c>
      <c r="F1386" s="10" t="inlineStr">
        <is>
          <t>Thái Bình</t>
        </is>
      </c>
      <c r="G1386" s="10" t="inlineStr">
        <is>
          <t>Trưởng phòng</t>
        </is>
      </c>
      <c r="H1386" s="10" t="inlineStr">
        <is>
          <t>06/02/2026</t>
        </is>
      </c>
      <c r="I1386" s="10" t="inlineStr">
        <is>
          <t>23/03/2026</t>
        </is>
      </c>
      <c r="J1386" s="10" t="inlineStr">
        <is>
          <t>17/03/2026</t>
        </is>
      </c>
      <c r="K1386" s="10" t="inlineStr">
        <is>
          <t>N/A</t>
        </is>
      </c>
      <c r="L1386" s="10" t="inlineStr">
        <is>
          <t>Chief Accountant, Chief Accountant Certificate, General Accounting Principals, Kế Toán Trưởng, Tài Chính Kế Toán</t>
        </is>
      </c>
      <c r="M1386" s="10" t="inlineStr">
        <is>
          <t>Others</t>
        </is>
      </c>
      <c r="N1386" s="11">
        <f>HYPERLINK("https://www.vietnamworks.com/ke-toan-truong-2010608-jv","Xem chi tiết")</f>
        <v/>
      </c>
      <c r="O1386" s="10" t="n"/>
    </row>
    <row r="1387">
      <c r="B1387" s="7" t="n">
        <v>1385</v>
      </c>
      <c r="C1387" t="inlineStr">
        <is>
          <t>Chuyên Viên Phân Tích Nghiệp Vụ (Business Analyst BA)</t>
        </is>
      </c>
      <c r="D1387" t="inlineStr">
        <is>
          <t>CÔNG TY CỔ PHẦN CÔNG NGHỆ PAVANA</t>
        </is>
      </c>
      <c r="E1387" t="inlineStr">
        <is>
          <t>20tr-30tr ₫/tháng</t>
        </is>
      </c>
      <c r="F1387" t="inlineStr">
        <is>
          <t>Hà Nội</t>
        </is>
      </c>
      <c r="G1387" t="inlineStr">
        <is>
          <t>Nhân viên</t>
        </is>
      </c>
      <c r="H1387" t="inlineStr">
        <is>
          <t>06/02/2026</t>
        </is>
      </c>
      <c r="I1387" t="inlineStr">
        <is>
          <t>23/03/2026</t>
        </is>
      </c>
      <c r="J1387" t="inlineStr">
        <is>
          <t>17/03/2026</t>
        </is>
      </c>
      <c r="K1387" t="inlineStr">
        <is>
          <t>N/A</t>
        </is>
      </c>
      <c r="L1387" t="inlineStr">
        <is>
          <t>API Integration, Business Analysis, Communication Skills, Project Management, Technical Documentation</t>
        </is>
      </c>
      <c r="M1387" t="inlineStr">
        <is>
          <t>Bonus, Healthcare Plan, Travel Opportunities, Others</t>
        </is>
      </c>
      <c r="N1387" s="8">
        <f>HYPERLINK("https://www.vietnamworks.com/chuyen-vien-phan-tich-nghiep-vu-business-analyst-ba-2010606-jv","Xem chi tiết")</f>
        <v/>
      </c>
    </row>
    <row r="1388">
      <c r="B1388" s="9" t="n">
        <v>1386</v>
      </c>
      <c r="C1388" s="10" t="inlineStr">
        <is>
          <t>Quality Manager (Gia Lai, Binh Dinh)</t>
        </is>
      </c>
      <c r="D1388" s="10" t="inlineStr">
        <is>
          <t>Công Ty TNHH Kurz Việt Nam</t>
        </is>
      </c>
      <c r="E1388" s="10" t="inlineStr">
        <is>
          <t>Thương lượng</t>
        </is>
      </c>
      <c r="F1388" s="10" t="inlineStr">
        <is>
          <t>Gia Lai</t>
        </is>
      </c>
      <c r="G1388" s="10" t="inlineStr">
        <is>
          <t>Trưởng phòng</t>
        </is>
      </c>
      <c r="H1388" s="10" t="inlineStr">
        <is>
          <t>07/02/2026</t>
        </is>
      </c>
      <c r="I1388" s="10" t="inlineStr">
        <is>
          <t>24/03/2026</t>
        </is>
      </c>
      <c r="J1388" s="10" t="inlineStr">
        <is>
          <t>17/03/2026</t>
        </is>
      </c>
      <c r="K1388" s="10" t="inlineStr">
        <is>
          <t>N/A</t>
        </is>
      </c>
      <c r="L1388" s="10" t="inlineStr">
        <is>
          <t>Quality System, Chemistry Analysis, Quality Auditing, Quality Management, Chemical Engineering</t>
        </is>
      </c>
      <c r="M1388" s="10" t="inlineStr">
        <is>
          <t>Bonus, Healthcare Plan, Transportation</t>
        </is>
      </c>
      <c r="N1388" s="11">
        <f>HYPERLINK("https://www.vietnamworks.com/quality-manager-gia-lai-binh-dinh-2010627-jv","Xem chi tiết")</f>
        <v/>
      </c>
      <c r="O1388" s="10" t="n"/>
    </row>
    <row r="1389">
      <c r="B1389" s="7" t="n">
        <v>1387</v>
      </c>
      <c r="C1389" t="inlineStr">
        <is>
          <t>Founding Engineering Manager (Vietnam)</t>
        </is>
      </c>
      <c r="D1389" t="inlineStr">
        <is>
          <t>Sum Capital Partners</t>
        </is>
      </c>
      <c r="E1389" t="inlineStr">
        <is>
          <t>$$ 3,000-5,000 /tháng</t>
        </is>
      </c>
      <c r="F1389" t="inlineStr">
        <is>
          <t>Hồ Chí Minh</t>
        </is>
      </c>
      <c r="G1389" t="inlineStr">
        <is>
          <t>Giám Đốc và Cấp Cao Hơn</t>
        </is>
      </c>
      <c r="H1389" t="inlineStr">
        <is>
          <t>04/02/2026</t>
        </is>
      </c>
      <c r="I1389" t="inlineStr">
        <is>
          <t>24/03/2026</t>
        </is>
      </c>
      <c r="J1389" t="inlineStr">
        <is>
          <t>17/03/2026</t>
        </is>
      </c>
      <c r="K1389" t="inlineStr">
        <is>
          <t>N/A</t>
        </is>
      </c>
      <c r="L1389" t="inlineStr">
        <is>
          <t>Cloud Infrastructure, English Communication, Machine Engineering, Team Building, Technical Lead</t>
        </is>
      </c>
      <c r="M1389" t="inlineStr">
        <is>
          <t>Others</t>
        </is>
      </c>
      <c r="N1389" s="8">
        <f>HYPERLINK("https://www.vietnamworks.com/founding-engineering-manager-vietnam-2009526-jv","Xem chi tiết")</f>
        <v/>
      </c>
    </row>
    <row r="1390">
      <c r="B1390" s="9" t="n">
        <v>1388</v>
      </c>
      <c r="C1390" s="10" t="inlineStr">
        <is>
          <t xml:space="preserve">Trưởng phòng Bán hàng Đại lý </t>
        </is>
      </c>
      <c r="D1390" s="10" t="inlineStr">
        <is>
          <t>Công Ty Cổ Phần Sản Xuất TLG Việt Nam</t>
        </is>
      </c>
      <c r="E1390" s="10" t="inlineStr">
        <is>
          <t>Thương lượng</t>
        </is>
      </c>
      <c r="F1390" s="10" t="inlineStr">
        <is>
          <t>Thái Bình</t>
        </is>
      </c>
      <c r="G1390" s="10" t="inlineStr">
        <is>
          <t>Trưởng phòng</t>
        </is>
      </c>
      <c r="H1390" s="10" t="inlineStr">
        <is>
          <t>06/02/2026</t>
        </is>
      </c>
      <c r="I1390" s="10" t="inlineStr">
        <is>
          <t>23/03/2026</t>
        </is>
      </c>
      <c r="J1390" s="10" t="inlineStr">
        <is>
          <t>17/03/2026</t>
        </is>
      </c>
      <c r="K1390" s="10" t="inlineStr">
        <is>
          <t>N/A</t>
        </is>
      </c>
      <c r="L1390" s="10" t="inlineStr">
        <is>
          <t>Bán hàng, Kinh Doanh, Quản Lý Kinh Doanh, Sales Management, Tư Vấn</t>
        </is>
      </c>
      <c r="M1390" s="10" t="inlineStr">
        <is>
          <t>Others</t>
        </is>
      </c>
      <c r="N1390" s="11">
        <f>HYPERLINK("https://www.vietnamworks.com/truong-phong-ban-hang-djai-ly-2010610-jv","Xem chi tiết")</f>
        <v/>
      </c>
      <c r="O1390" s="10" t="n"/>
    </row>
    <row r="1391">
      <c r="B1391" s="7" t="n">
        <v>1389</v>
      </c>
      <c r="C1391" t="inlineStr">
        <is>
          <t>Process Engineer (Brazing)</t>
        </is>
      </c>
      <c r="D1391" t="inlineStr">
        <is>
          <t>Boyd Vietnam Company Limited.,</t>
        </is>
      </c>
      <c r="E1391" t="inlineStr">
        <is>
          <t>Thương lượng</t>
        </is>
      </c>
      <c r="F1391" t="inlineStr">
        <is>
          <t>Bắc Ninh</t>
        </is>
      </c>
      <c r="G1391" t="inlineStr">
        <is>
          <t>Nhân viên</t>
        </is>
      </c>
      <c r="H1391" t="inlineStr">
        <is>
          <t>06/02/2026</t>
        </is>
      </c>
      <c r="I1391" t="inlineStr">
        <is>
          <t>23/03/2026</t>
        </is>
      </c>
      <c r="J1391" t="inlineStr">
        <is>
          <t>17/03/2026</t>
        </is>
      </c>
      <c r="K1391" t="inlineStr">
        <is>
          <t>N/A</t>
        </is>
      </c>
      <c r="L1391" t="inlineStr">
        <is>
          <t>Technical Production, Production Process, Process Quality Improvement, Process Development, Process Control</t>
        </is>
      </c>
      <c r="M1391" t="inlineStr">
        <is>
          <t>Bonus, Healthcare Plan, Paid Leave</t>
        </is>
      </c>
      <c r="N1391" s="8">
        <f>HYPERLINK("https://www.vietnamworks.com/process-engineer-brazing--2010613-jv","Xem chi tiết")</f>
        <v/>
      </c>
    </row>
    <row r="1392">
      <c r="B1392" s="9" t="n">
        <v>1390</v>
      </c>
      <c r="C1392" s="10" t="inlineStr">
        <is>
          <t>Supervisor - Operations</t>
        </is>
      </c>
      <c r="D1392" s="10" t="inlineStr">
        <is>
          <t>MAERSK</t>
        </is>
      </c>
      <c r="E1392" s="10" t="inlineStr">
        <is>
          <t>Thương lượng</t>
        </is>
      </c>
      <c r="F1392" s="10" t="inlineStr">
        <is>
          <t>Bình Dương</t>
        </is>
      </c>
      <c r="G1392" s="10" t="inlineStr">
        <is>
          <t>Nhân viên</t>
        </is>
      </c>
      <c r="H1392" s="10" t="inlineStr">
        <is>
          <t>07/02/2026</t>
        </is>
      </c>
      <c r="I1392" s="10" t="inlineStr">
        <is>
          <t>24/03/2026</t>
        </is>
      </c>
      <c r="J1392" s="10" t="inlineStr">
        <is>
          <t>17/03/2026</t>
        </is>
      </c>
      <c r="K1392" s="10" t="inlineStr">
        <is>
          <t>N/A</t>
        </is>
      </c>
      <c r="L1392" s="10" t="inlineStr">
        <is>
          <t>Fulfillment Management, Inventory Planning, Logistics Operations, Warehouse Management, Warehouse Operations</t>
        </is>
      </c>
      <c r="M1392" s="10" t="inlineStr">
        <is>
          <t>Bonus</t>
        </is>
      </c>
      <c r="N1392" s="11">
        <f>HYPERLINK("https://www.vietnamworks.com/supervisor-operations-2010628-jv","Xem chi tiết")</f>
        <v/>
      </c>
      <c r="O1392" s="10" t="n"/>
    </row>
    <row r="1393">
      <c r="B1393" s="7" t="n">
        <v>1391</v>
      </c>
      <c r="C1393" t="inlineStr">
        <is>
          <t>Quality Engineer</t>
        </is>
      </c>
      <c r="D1393" t="inlineStr">
        <is>
          <t>Boyd Vietnam Company Limited.,</t>
        </is>
      </c>
      <c r="E1393" t="inlineStr">
        <is>
          <t>$$ 1,000-1,200 /tháng</t>
        </is>
      </c>
      <c r="F1393" t="inlineStr">
        <is>
          <t>Bắc Ninh</t>
        </is>
      </c>
      <c r="G1393" t="inlineStr">
        <is>
          <t>Nhân viên</t>
        </is>
      </c>
      <c r="H1393" t="inlineStr">
        <is>
          <t>06/02/2026</t>
        </is>
      </c>
      <c r="I1393" t="inlineStr">
        <is>
          <t>23/03/2026</t>
        </is>
      </c>
      <c r="J1393" t="inlineStr">
        <is>
          <t>17/03/2026</t>
        </is>
      </c>
      <c r="K1393" t="inlineStr">
        <is>
          <t>N/A</t>
        </is>
      </c>
      <c r="L1393" t="inlineStr">
        <is>
          <t>ISO, Quality Management, Quality Control, Product Quality, IQC</t>
        </is>
      </c>
      <c r="M1393" t="inlineStr">
        <is>
          <t>Bonus, Healthcare Plan, Paid Leave</t>
        </is>
      </c>
      <c r="N1393" s="8">
        <f>HYPERLINK("https://www.vietnamworks.com/quality-engineer--2010615-jv","Xem chi tiết")</f>
        <v/>
      </c>
    </row>
    <row r="1394">
      <c r="B1394" s="9" t="n">
        <v>1392</v>
      </c>
      <c r="C1394" s="10" t="inlineStr">
        <is>
          <t>(Senior) Experienced Consultant - Corporate Tax Advisory (M&amp;A Tax)</t>
        </is>
      </c>
      <c r="D1394" s="10" t="inlineStr">
        <is>
          <t>Ernst &amp; Young Vietnam Limited (EY Vietnam)</t>
        </is>
      </c>
      <c r="E1394" s="10" t="inlineStr">
        <is>
          <t>Thương lượng</t>
        </is>
      </c>
      <c r="F1394" s="10" t="inlineStr">
        <is>
          <t>Hồ Chí Minh</t>
        </is>
      </c>
      <c r="G1394" s="10" t="inlineStr">
        <is>
          <t>Nhân viên</t>
        </is>
      </c>
      <c r="H1394" s="10" t="inlineStr">
        <is>
          <t>06/02/2026</t>
        </is>
      </c>
      <c r="I1394" s="10" t="inlineStr">
        <is>
          <t>23/03/2026</t>
        </is>
      </c>
      <c r="J1394" s="10" t="inlineStr">
        <is>
          <t>17/03/2026</t>
        </is>
      </c>
      <c r="K1394" s="10" t="inlineStr">
        <is>
          <t>N/A</t>
        </is>
      </c>
      <c r="L1394" s="10" t="inlineStr">
        <is>
          <t>Corporate Tax, Transaction Tax</t>
        </is>
      </c>
      <c r="M1394" s="10" t="inlineStr">
        <is>
          <t>Bonus, Awards, Others</t>
        </is>
      </c>
      <c r="N1394" s="11">
        <f>HYPERLINK("https://www.vietnamworks.com/senior-experienced-consultant-corporate-tax-advisory-m-a-tax--2010617-jv","Xem chi tiết")</f>
        <v/>
      </c>
      <c r="O1394" s="10" t="n"/>
    </row>
    <row r="1395">
      <c r="B1395" s="7" t="n">
        <v>1393</v>
      </c>
      <c r="C1395" t="inlineStr">
        <is>
          <t>Full Stack Developer (Level Middle)</t>
        </is>
      </c>
      <c r="D1395" t="inlineStr">
        <is>
          <t>Công Ty Cổ Phần Đầu Tư Xây Dựng SOL E&amp;C</t>
        </is>
      </c>
      <c r="E1395" t="inlineStr">
        <is>
          <t>Thương lượng</t>
        </is>
      </c>
      <c r="F1395" t="inlineStr">
        <is>
          <t>Hồ Chí Minh</t>
        </is>
      </c>
      <c r="G1395" t="inlineStr">
        <is>
          <t>Nhân viên</t>
        </is>
      </c>
      <c r="H1395" t="inlineStr">
        <is>
          <t>07/02/2026</t>
        </is>
      </c>
      <c r="I1395" t="inlineStr">
        <is>
          <t>24/03/2026</t>
        </is>
      </c>
      <c r="J1395" t="inlineStr">
        <is>
          <t>17/03/2026</t>
        </is>
      </c>
      <c r="K1395" t="inlineStr">
        <is>
          <t>N/A</t>
        </is>
      </c>
      <c r="L1395" t="inlineStr">
        <is>
          <t>Full Stack Developer, Sql Server, FrontEnd, Back-End, Database</t>
        </is>
      </c>
      <c r="M1395" t="inlineStr">
        <is>
          <t>Bonus, Healthcare Plan, Travel Opportunities, Others</t>
        </is>
      </c>
      <c r="N1395" s="8">
        <f>HYPERLINK("https://www.vietnamworks.com/full-stack-developer-level-middle-2010631-jv","Xem chi tiết")</f>
        <v/>
      </c>
    </row>
    <row r="1396">
      <c r="B1396" s="9" t="n">
        <v>1394</v>
      </c>
      <c r="C1396" s="10" t="inlineStr">
        <is>
          <t>Quản Lý Dự Án / Project Manager (Nội Thất)</t>
        </is>
      </c>
      <c r="D1396" s="10" t="inlineStr">
        <is>
          <t>ADP - Công ty CP Nội thất cơ bản</t>
        </is>
      </c>
      <c r="E1396" s="10" t="inlineStr">
        <is>
          <t>Thương lượng</t>
        </is>
      </c>
      <c r="F1396" s="10" t="inlineStr">
        <is>
          <t>Hồ Chí Minh, Hà Nội</t>
        </is>
      </c>
      <c r="G1396" s="10" t="inlineStr">
        <is>
          <t>Nhân viên</t>
        </is>
      </c>
      <c r="H1396" s="10" t="inlineStr">
        <is>
          <t>07/02/2026</t>
        </is>
      </c>
      <c r="I1396" s="10" t="inlineStr">
        <is>
          <t>24/03/2026</t>
        </is>
      </c>
      <c r="J1396" s="10" t="inlineStr">
        <is>
          <t>17/03/2026</t>
        </is>
      </c>
      <c r="K1396" s="10" t="inlineStr">
        <is>
          <t>N/A</t>
        </is>
      </c>
      <c r="L1396" s="10" t="inlineStr">
        <is>
          <t>Chỉ Huy Công Trình, Quản Lý Dự Án, Xây Dựng, Thi Công Nội Thất, AutoCAD</t>
        </is>
      </c>
      <c r="M1396" s="10" t="inlineStr">
        <is>
          <t>Bonus, Healthcare Plan, Awards</t>
        </is>
      </c>
      <c r="N1396" s="11">
        <f>HYPERLINK("https://www.vietnamworks.com/quan-ly-du-an-project-manager-noi-that--2010634-jv","Xem chi tiết")</f>
        <v/>
      </c>
      <c r="O1396" s="10" t="n"/>
    </row>
    <row r="1397">
      <c r="B1397" s="7" t="n">
        <v>1395</v>
      </c>
      <c r="C1397" t="inlineStr">
        <is>
          <t>Chuyên Viên Thiết Kế Thời Trang (Cơ Hội Công Tác Mỹ/châu Âu)</t>
        </is>
      </c>
      <c r="D1397" t="inlineStr">
        <is>
          <t>Văn Phòng Pro-Sports Tại Hà Nội</t>
        </is>
      </c>
      <c r="E1397" t="inlineStr">
        <is>
          <t>Thương lượng</t>
        </is>
      </c>
      <c r="F1397" t="inlineStr">
        <is>
          <t>Hà Nội</t>
        </is>
      </c>
      <c r="G1397" t="inlineStr">
        <is>
          <t>Nhân viên</t>
        </is>
      </c>
      <c r="H1397" t="inlineStr">
        <is>
          <t>06/02/2026</t>
        </is>
      </c>
      <c r="I1397" t="inlineStr">
        <is>
          <t>24/03/2026</t>
        </is>
      </c>
      <c r="J1397" t="inlineStr">
        <is>
          <t>17/03/2026</t>
        </is>
      </c>
      <c r="K1397" t="inlineStr">
        <is>
          <t>N/A</t>
        </is>
      </c>
      <c r="L1397" t="inlineStr">
        <is>
          <t>Design, Fashion, Design concepts</t>
        </is>
      </c>
      <c r="M1397" t="inlineStr">
        <is>
          <t>Bonus, Healthcare Plan</t>
        </is>
      </c>
      <c r="N1397" s="8">
        <f>HYPERLINK("https://www.vietnamworks.com/chuyen-vien-thiet-ke-thoi-trang-co-hoi-cong-tac-my-chau-au-2010518-jv","Xem chi tiết")</f>
        <v/>
      </c>
    </row>
    <row r="1398">
      <c r="B1398" s="9" t="n">
        <v>1396</v>
      </c>
      <c r="C1398" s="10" t="inlineStr">
        <is>
          <t>50 Automation Engineer</t>
        </is>
      </c>
      <c r="D1398" s="10" t="inlineStr">
        <is>
          <t>Fushan Technology Vietnam</t>
        </is>
      </c>
      <c r="E1398" s="10" t="inlineStr">
        <is>
          <t>$$ 500-2,000 /tháng</t>
        </is>
      </c>
      <c r="F1398" s="10" t="inlineStr">
        <is>
          <t>Bắc Ninh, Hà Nội, Bắc Giang</t>
        </is>
      </c>
      <c r="G1398" s="10" t="inlineStr">
        <is>
          <t>Nhân viên</t>
        </is>
      </c>
      <c r="H1398" s="10" t="inlineStr">
        <is>
          <t>06/02/2026</t>
        </is>
      </c>
      <c r="I1398" s="10" t="inlineStr">
        <is>
          <t>23/03/2026</t>
        </is>
      </c>
      <c r="J1398" s="10" t="inlineStr">
        <is>
          <t>17/03/2026</t>
        </is>
      </c>
      <c r="K1398" s="10" t="inlineStr">
        <is>
          <t>N/A</t>
        </is>
      </c>
      <c r="L1398" s="10" t="inlineStr">
        <is>
          <t>ABB Robotics, Automation Process, HMI, Mitsubishi Plc, Working Pressure</t>
        </is>
      </c>
      <c r="M1398" s="10" t="inlineStr">
        <is>
          <t>Healthcare Plan, Awards, Laptop</t>
        </is>
      </c>
      <c r="N1398" s="11">
        <f>HYPERLINK("https://www.vietnamworks.com/50-automation-engineer-2010619-jv","Xem chi tiết")</f>
        <v/>
      </c>
      <c r="O1398" s="10" t="n"/>
    </row>
    <row r="1399">
      <c r="B1399" s="7" t="n">
        <v>1397</v>
      </c>
      <c r="C1399" t="inlineStr">
        <is>
          <t xml:space="preserve">Nhân Viên Kiểm Thử Phần mềm (Software Tester) </t>
        </is>
      </c>
      <c r="D1399" t="inlineStr">
        <is>
          <t>CÔNG TY CỔ PHẦN CÔNG NGHỆ PAVANA</t>
        </is>
      </c>
      <c r="E1399" t="inlineStr">
        <is>
          <t>18tr-25tr ₫/tháng</t>
        </is>
      </c>
      <c r="F1399" t="inlineStr">
        <is>
          <t>Hà Nội</t>
        </is>
      </c>
      <c r="G1399" t="inlineStr">
        <is>
          <t>Nhân viên</t>
        </is>
      </c>
      <c r="H1399" t="inlineStr">
        <is>
          <t>06/02/2026</t>
        </is>
      </c>
      <c r="I1399" t="inlineStr">
        <is>
          <t>23/03/2026</t>
        </is>
      </c>
      <c r="J1399" t="inlineStr">
        <is>
          <t>17/03/2026</t>
        </is>
      </c>
      <c r="K1399" t="inlineStr">
        <is>
          <t>N/A</t>
        </is>
      </c>
      <c r="L1399" t="inlineStr">
        <is>
          <t>Kiểm Thử, Kiểm Thử Phần Mềm, Kiểm Thử Tính Năng, Tư Duy Logic, Lập Test Plan</t>
        </is>
      </c>
      <c r="M1399" t="inlineStr">
        <is>
          <t>Bonus, Healthcare Plan, Paid Leave, Training, Team Activities, Others</t>
        </is>
      </c>
      <c r="N1399" s="8">
        <f>HYPERLINK("https://www.vietnamworks.com/nhan-vien-kiem-thu-phan-mem-software-tester-2010609-jv","Xem chi tiết")</f>
        <v/>
      </c>
    </row>
    <row r="1400">
      <c r="B1400" s="9" t="n">
        <v>1398</v>
      </c>
      <c r="C1400" s="10" t="inlineStr">
        <is>
          <t>Chuyên Viên Cao Cấp Tài Chính Đầu Tư</t>
        </is>
      </c>
      <c r="D1400" s="10" t="inlineStr">
        <is>
          <t>Công Ty Cổ Phần Phát Triển Và Tăng Trưởng Xanh - Edge</t>
        </is>
      </c>
      <c r="E1400" s="10" t="inlineStr">
        <is>
          <t>Thương lượng</t>
        </is>
      </c>
      <c r="F1400" s="10" t="inlineStr">
        <is>
          <t>Hà Nội</t>
        </is>
      </c>
      <c r="G1400" s="10" t="inlineStr">
        <is>
          <t>Nhân viên</t>
        </is>
      </c>
      <c r="H1400" s="10" t="inlineStr">
        <is>
          <t>07/02/2026</t>
        </is>
      </c>
      <c r="I1400" s="10" t="inlineStr">
        <is>
          <t>24/03/2026</t>
        </is>
      </c>
      <c r="J1400" s="10" t="inlineStr">
        <is>
          <t>17/03/2026</t>
        </is>
      </c>
      <c r="K1400" s="10" t="inlineStr">
        <is>
          <t>N/A</t>
        </is>
      </c>
      <c r="L1400" s="10" t="inlineStr">
        <is>
          <t>Đầu Tư, Tài Chính</t>
        </is>
      </c>
      <c r="M1400" s="10" t="inlineStr">
        <is>
          <t>Bonus, Paid Leave, Training</t>
        </is>
      </c>
      <c r="N1400" s="11">
        <f>HYPERLINK("https://www.vietnamworks.com/chuyen-vien-cao-cap-tai-chinh-dau-tu-2010632-jv","Xem chi tiết")</f>
        <v/>
      </c>
      <c r="O1400" s="10" t="n"/>
    </row>
    <row r="1401">
      <c r="B1401" s="7" t="n">
        <v>1399</v>
      </c>
      <c r="C1401" t="inlineStr">
        <is>
          <t>Branch Service Manager</t>
        </is>
      </c>
      <c r="D1401" t="inlineStr">
        <is>
          <t>United Overseas Bank (Vietnam) Limited (UOB)</t>
        </is>
      </c>
      <c r="E1401" t="inlineStr">
        <is>
          <t>Thương lượng</t>
        </is>
      </c>
      <c r="F1401" t="inlineStr">
        <is>
          <t>Hồ Chí Minh</t>
        </is>
      </c>
      <c r="G1401" t="inlineStr">
        <is>
          <t>Trưởng phòng</t>
        </is>
      </c>
      <c r="H1401" t="inlineStr">
        <is>
          <t>06/02/2026</t>
        </is>
      </c>
      <c r="I1401" t="inlineStr">
        <is>
          <t>23/03/2026</t>
        </is>
      </c>
      <c r="J1401" t="inlineStr">
        <is>
          <t>17/03/2026</t>
        </is>
      </c>
      <c r="K1401" t="inlineStr">
        <is>
          <t>N/A</t>
        </is>
      </c>
      <c r="L1401" t="inlineStr">
        <is>
          <t>Analytical Skills, Banking Operation Control, Client Service, Communication Skills, Leadership Skills</t>
        </is>
      </c>
      <c r="M1401" t="inlineStr">
        <is>
          <t>Bonus, Healthcare Plan, Paid Leave, Others</t>
        </is>
      </c>
      <c r="N1401" s="8">
        <f>HYPERLINK("https://www.vietnamworks.com/branch-service-manager-2010618-jv","Xem chi tiết")</f>
        <v/>
      </c>
    </row>
    <row r="1402">
      <c r="B1402" s="9" t="n">
        <v>1400</v>
      </c>
      <c r="C1402" s="10" t="inlineStr">
        <is>
          <t>Costing Accountant (European garment factory)</t>
        </is>
      </c>
      <c r="D1402" s="10" t="inlineStr">
        <is>
          <t>Deutsche Bekleidungswerke Co., Ltd</t>
        </is>
      </c>
      <c r="E1402" s="10" t="inlineStr">
        <is>
          <t>Thương lượng</t>
        </is>
      </c>
      <c r="F1402" s="10" t="inlineStr">
        <is>
          <t>Hồ Chí Minh</t>
        </is>
      </c>
      <c r="G1402" s="10" t="inlineStr">
        <is>
          <t>Nhân viên</t>
        </is>
      </c>
      <c r="H1402" s="10" t="inlineStr">
        <is>
          <t>07/02/2026</t>
        </is>
      </c>
      <c r="I1402" s="10" t="inlineStr">
        <is>
          <t>24/03/2026</t>
        </is>
      </c>
      <c r="J1402" s="10" t="inlineStr">
        <is>
          <t>17/03/2026</t>
        </is>
      </c>
      <c r="K1402" s="10" t="inlineStr">
        <is>
          <t>N/A</t>
        </is>
      </c>
      <c r="L1402" s="10" t="inlineStr">
        <is>
          <t>Accounting Software, Communication, Cost Accounting, English proficiency, Microsoft Excel</t>
        </is>
      </c>
      <c r="M1402" s="10" t="inlineStr">
        <is>
          <t>Bonus, Healthcare Plan, Training, Transportation, Canteen, Others</t>
        </is>
      </c>
      <c r="N1402" s="11">
        <f>HYPERLINK("https://www.vietnamworks.com/costing-accountant-european-garment-factory-2010640-jv","Xem chi tiết")</f>
        <v/>
      </c>
      <c r="O1402" s="10" t="n"/>
    </row>
    <row r="1403">
      <c r="B1403" s="7" t="n">
        <v>1401</v>
      </c>
      <c r="C1403" t="inlineStr">
        <is>
          <t>Manager - Strategy Consulting | EY Parthenon (HCMC Office)</t>
        </is>
      </c>
      <c r="D1403" t="inlineStr">
        <is>
          <t>Ernst &amp; Young Vietnam Limited (EY Vietnam)</t>
        </is>
      </c>
      <c r="E1403" t="inlineStr">
        <is>
          <t>Thương lượng</t>
        </is>
      </c>
      <c r="F1403" t="inlineStr">
        <is>
          <t>Hồ Chí Minh</t>
        </is>
      </c>
      <c r="G1403" t="inlineStr">
        <is>
          <t>Trưởng phòng</t>
        </is>
      </c>
      <c r="H1403" t="inlineStr">
        <is>
          <t>07/02/2026</t>
        </is>
      </c>
      <c r="I1403" t="inlineStr">
        <is>
          <t>24/03/2026</t>
        </is>
      </c>
      <c r="J1403" t="inlineStr">
        <is>
          <t>17/03/2026</t>
        </is>
      </c>
      <c r="K1403" t="inlineStr">
        <is>
          <t>N/A</t>
        </is>
      </c>
      <c r="L1403" t="inlineStr">
        <is>
          <t>Consulting, Strategy Consulting, Project Management, Planning, Researching</t>
        </is>
      </c>
      <c r="M1403" t="inlineStr">
        <is>
          <t>Bonus, Awards, Others</t>
        </is>
      </c>
      <c r="N1403" s="8">
        <f>HYPERLINK("https://www.vietnamworks.com/manager-strategy-consulting-ey-parthenon-hcmc-office-1--2010642-jv","Xem chi tiết")</f>
        <v/>
      </c>
    </row>
    <row r="1404">
      <c r="B1404" s="9" t="n">
        <v>1402</v>
      </c>
      <c r="C1404" s="10" t="inlineStr">
        <is>
          <t>Business Development</t>
        </is>
      </c>
      <c r="D1404" s="10" t="inlineStr">
        <is>
          <t>ADP - Công ty CP Nội thất cơ bản</t>
        </is>
      </c>
      <c r="E1404" s="10" t="inlineStr">
        <is>
          <t>Thương lượng</t>
        </is>
      </c>
      <c r="F1404" s="10" t="inlineStr">
        <is>
          <t>Hà Nội, Hồ Chí Minh</t>
        </is>
      </c>
      <c r="G1404" s="10" t="inlineStr">
        <is>
          <t>Mới Tốt Nghiệp</t>
        </is>
      </c>
      <c r="H1404" s="10" t="inlineStr">
        <is>
          <t>07/02/2026</t>
        </is>
      </c>
      <c r="I1404" s="10" t="inlineStr">
        <is>
          <t>24/03/2026</t>
        </is>
      </c>
      <c r="J1404" s="10" t="inlineStr">
        <is>
          <t>17/03/2026</t>
        </is>
      </c>
      <c r="K1404" s="10" t="inlineStr">
        <is>
          <t>N/A</t>
        </is>
      </c>
      <c r="L1404" s="10" t="inlineStr">
        <is>
          <t>Business Administration, Kinh Doanh, Customer Service, Phát Triển Kinh Doanh, Quan Hệ Khách Hàng</t>
        </is>
      </c>
      <c r="M1404" s="10" t="inlineStr">
        <is>
          <t>Bonus, Healthcare Plan, Awards</t>
        </is>
      </c>
      <c r="N1404" s="11">
        <f>HYPERLINK("https://www.vietnamworks.com/business-development--2010635-jv","Xem chi tiết")</f>
        <v/>
      </c>
      <c r="O1404" s="10" t="n"/>
    </row>
    <row r="1405">
      <c r="B1405" s="7" t="n">
        <v>1403</v>
      </c>
      <c r="C1405" t="inlineStr">
        <is>
          <t>Sales Executive</t>
        </is>
      </c>
      <c r="D1405" t="inlineStr">
        <is>
          <t>bld.ai</t>
        </is>
      </c>
      <c r="E1405" t="inlineStr">
        <is>
          <t>$$ 450-500 /tháng</t>
        </is>
      </c>
      <c r="F1405" t="inlineStr">
        <is>
          <t>Hồ Chí Minh</t>
        </is>
      </c>
      <c r="G1405" t="inlineStr">
        <is>
          <t>Nhân viên</t>
        </is>
      </c>
      <c r="H1405" t="inlineStr">
        <is>
          <t>04/02/2026</t>
        </is>
      </c>
      <c r="I1405" t="inlineStr">
        <is>
          <t>25/03/2026</t>
        </is>
      </c>
      <c r="J1405" t="inlineStr">
        <is>
          <t>17/03/2026</t>
        </is>
      </c>
      <c r="K1405" t="inlineStr">
        <is>
          <t>N/A</t>
        </is>
      </c>
      <c r="L1405" t="inlineStr">
        <is>
          <t>English proficiency, Communication  Effective Skill, Excel Spreadsheet, Internet Technologies, Artificial Intelligence</t>
        </is>
      </c>
      <c r="M1405" t="inlineStr">
        <is>
          <t>Bonus</t>
        </is>
      </c>
      <c r="N1405" s="8">
        <f>HYPERLINK("https://www.vietnamworks.com/sales-executive--2009682-jv","Xem chi tiết")</f>
        <v/>
      </c>
    </row>
    <row r="1406">
      <c r="B1406" s="9" t="n">
        <v>1404</v>
      </c>
      <c r="C1406" s="10" t="inlineStr">
        <is>
          <t>C&amp;B Specialist</t>
        </is>
      </c>
      <c r="D1406" s="10" t="inlineStr">
        <is>
          <t>TPF Group</t>
        </is>
      </c>
      <c r="E1406" s="10" t="inlineStr">
        <is>
          <t>Thương lượng</t>
        </is>
      </c>
      <c r="F1406" s="10" t="inlineStr">
        <is>
          <t>Hồ Chí Minh</t>
        </is>
      </c>
      <c r="G1406" s="10" t="inlineStr">
        <is>
          <t>Nhân viên</t>
        </is>
      </c>
      <c r="H1406" s="10" t="inlineStr">
        <is>
          <t>02/01/2026</t>
        </is>
      </c>
      <c r="I1406" s="10" t="inlineStr">
        <is>
          <t>25/03/2026</t>
        </is>
      </c>
      <c r="J1406" s="10" t="inlineStr">
        <is>
          <t>17/03/2026</t>
        </is>
      </c>
      <c r="K1406" s="10" t="inlineStr">
        <is>
          <t>N/A</t>
        </is>
      </c>
      <c r="L1406" s="10" t="inlineStr">
        <is>
          <t>Detail-oriented, Labour Law Compliance Assurance, Total Reward, Salary Calculation, Payroll Management</t>
        </is>
      </c>
      <c r="M1406" s="10" t="inlineStr">
        <is>
          <t>Healthcare Plan, Paid Leave, Training, Canteen, Others</t>
        </is>
      </c>
      <c r="N1406" s="11">
        <f>HYPERLINK("https://www.vietnamworks.com/candb-specialist-1999118-jv","Xem chi tiết")</f>
        <v/>
      </c>
      <c r="O1406" s="10" t="n"/>
    </row>
    <row r="1407">
      <c r="B1407" s="7" t="n">
        <v>1405</v>
      </c>
      <c r="C1407" t="inlineStr">
        <is>
          <t>Admin Associate</t>
        </is>
      </c>
      <c r="D1407" t="inlineStr">
        <is>
          <t>WHA Vietnam</t>
        </is>
      </c>
      <c r="E1407" t="inlineStr">
        <is>
          <t>Tới $ 400 /tháng</t>
        </is>
      </c>
      <c r="F1407" t="inlineStr">
        <is>
          <t>Nghệ An</t>
        </is>
      </c>
      <c r="G1407" t="inlineStr">
        <is>
          <t>Nhân viên</t>
        </is>
      </c>
      <c r="H1407" t="inlineStr">
        <is>
          <t>08/02/2026</t>
        </is>
      </c>
      <c r="I1407" t="inlineStr">
        <is>
          <t>25/03/2026</t>
        </is>
      </c>
      <c r="J1407" t="inlineStr">
        <is>
          <t>17/03/2026</t>
        </is>
      </c>
      <c r="K1407" t="inlineStr">
        <is>
          <t>N/A</t>
        </is>
      </c>
      <c r="L1407" t="inlineStr">
        <is>
          <t>Tiếng Anh, Hành Chính, Administration, MS Office</t>
        </is>
      </c>
      <c r="M1407" t="inlineStr">
        <is>
          <t>Bonus, Healthcare Plan, Training</t>
        </is>
      </c>
      <c r="N1407" s="8">
        <f>HYPERLINK("https://www.vietnamworks.com/admin-associate--2010659-jv","Xem chi tiết")</f>
        <v/>
      </c>
    </row>
    <row r="1408">
      <c r="B1408" s="9" t="n">
        <v>1406</v>
      </c>
      <c r="C1408" s="10" t="inlineStr">
        <is>
          <t>Calibration Engineer – Quality Team (DSS Division)</t>
        </is>
      </c>
      <c r="D1408" s="10" t="inlineStr">
        <is>
          <t>Molex Vietnam Co., Ltd.</t>
        </is>
      </c>
      <c r="E1408" s="10" t="inlineStr">
        <is>
          <t>Thương lượng</t>
        </is>
      </c>
      <c r="F1408" s="10" t="inlineStr">
        <is>
          <t>Hưng Yên, Hà Nội</t>
        </is>
      </c>
      <c r="G1408" s="10" t="inlineStr">
        <is>
          <t>Nhân viên</t>
        </is>
      </c>
      <c r="H1408" s="10" t="inlineStr">
        <is>
          <t>07/02/2026</t>
        </is>
      </c>
      <c r="I1408" s="10" t="inlineStr">
        <is>
          <t>24/03/2026</t>
        </is>
      </c>
      <c r="J1408" s="10" t="inlineStr">
        <is>
          <t>17/03/2026</t>
        </is>
      </c>
      <c r="K1408" s="10" t="inlineStr">
        <is>
          <t>N/A</t>
        </is>
      </c>
      <c r="L1408" s="10" t="inlineStr">
        <is>
          <t>Calibration Management, English Language Proficiency, Interpersonal Communication, Quality Assurance, Statistical Analysis</t>
        </is>
      </c>
      <c r="M1408" s="10" t="inlineStr">
        <is>
          <t>Healthcare Plan, Training, Laptop, Team Activities, Transportation, Canteen, Others</t>
        </is>
      </c>
      <c r="N1408" s="11">
        <f>HYPERLINK("https://www.vietnamworks.com/calibration-engineer-quality-team-dss-division-2010644-jv","Xem chi tiết")</f>
        <v/>
      </c>
      <c r="O1408" s="10" t="n"/>
    </row>
    <row r="1409">
      <c r="B1409" s="7" t="n">
        <v>1407</v>
      </c>
      <c r="C1409" t="inlineStr">
        <is>
          <t>Kỹ Sư Thiết Kế NHÔM Kính (Shopdrawing / Bóc Tách Khối Lượng)</t>
        </is>
      </c>
      <c r="D1409" t="inlineStr">
        <is>
          <t>CÔNG TY CỔ PHẦN ĐẦU TƯ VÀ XÂY DỰNG PHONG SƠN</t>
        </is>
      </c>
      <c r="E1409" t="inlineStr">
        <is>
          <t>Tới 20tr ₫/tháng</t>
        </is>
      </c>
      <c r="F1409" t="inlineStr">
        <is>
          <t>Hà Nội</t>
        </is>
      </c>
      <c r="G1409" t="inlineStr">
        <is>
          <t>Mới Tốt Nghiệp</t>
        </is>
      </c>
      <c r="H1409" t="inlineStr">
        <is>
          <t>19/08/2024</t>
        </is>
      </c>
      <c r="I1409" t="inlineStr">
        <is>
          <t>25/03/2026</t>
        </is>
      </c>
      <c r="J1409" t="inlineStr">
        <is>
          <t>17/03/2026</t>
        </is>
      </c>
      <c r="K1409" t="inlineStr">
        <is>
          <t>N/A</t>
        </is>
      </c>
      <c r="L1409" t="inlineStr">
        <is>
          <t>Bóc Tách Vật Tư, CAD Design, Giao Tiếp Đàm Phán, Thi Công Nhôm Kính, Đọc Hiểu Bản Vẽ</t>
        </is>
      </c>
      <c r="M1409" t="inlineStr">
        <is>
          <t>Bonus, Paid Leave, Training, Awards, Travel Opportunities, Team Activities, Canteen</t>
        </is>
      </c>
      <c r="N1409" s="8">
        <f>HYPERLINK("https://www.vietnamworks.com/ky-su-thiet-ke-nhom-kinh-shopdrawing-boc-tach-khoi-luong-1812485-jv","Xem chi tiết")</f>
        <v/>
      </c>
    </row>
    <row r="1410">
      <c r="B1410" s="9" t="n">
        <v>1408</v>
      </c>
      <c r="C1410" s="10" t="inlineStr">
        <is>
          <t>Supply Chain Director</t>
        </is>
      </c>
      <c r="D1410" s="10" t="inlineStr">
        <is>
          <t>CÔNG TY TNHH ERYSON AESTHETICS VIETNAM</t>
        </is>
      </c>
      <c r="E1410" s="10" t="inlineStr">
        <is>
          <t>60tr-100tr ₫/tháng</t>
        </is>
      </c>
      <c r="F1410" s="10" t="inlineStr">
        <is>
          <t>Bình Dương, Hồ Chí Minh</t>
        </is>
      </c>
      <c r="G1410" s="10" t="inlineStr">
        <is>
          <t>Giám Đốc và Cấp Cao Hơn</t>
        </is>
      </c>
      <c r="H1410" s="10" t="inlineStr">
        <is>
          <t>03/02/2026</t>
        </is>
      </c>
      <c r="I1410" s="10" t="inlineStr">
        <is>
          <t>25/03/2026</t>
        </is>
      </c>
      <c r="J1410" s="10" t="inlineStr">
        <is>
          <t>17/03/2026</t>
        </is>
      </c>
      <c r="K1410" s="10" t="inlineStr">
        <is>
          <t>N/A</t>
        </is>
      </c>
      <c r="L1410" s="10" t="inlineStr">
        <is>
          <t>Giao Tiếp, Lãnh Đạo, Phân Tích Tài Chính, Quản Lý Cung Ứng, Quản Lý Rủi Ro</t>
        </is>
      </c>
      <c r="M1410" s="10" t="inlineStr">
        <is>
          <t>Bonus, Paid Leave, Laptop</t>
        </is>
      </c>
      <c r="N1410" s="11">
        <f>HYPERLINK("https://www.vietnamworks.com/supply-chain-director-2009215-jv","Xem chi tiết")</f>
        <v/>
      </c>
      <c r="O1410" s="10" t="n"/>
    </row>
    <row r="1411">
      <c r="B1411" s="7" t="n">
        <v>1409</v>
      </c>
      <c r="C1411" t="inlineStr">
        <is>
          <t>[HN] Accounting Manager</t>
        </is>
      </c>
      <c r="D1411" t="inlineStr">
        <is>
          <t>Vietnamworks' Client</t>
        </is>
      </c>
      <c r="E1411" t="inlineStr">
        <is>
          <t>Thương lượng</t>
        </is>
      </c>
      <c r="F1411" t="inlineStr">
        <is>
          <t>Hà Nội</t>
        </is>
      </c>
      <c r="G1411" t="inlineStr">
        <is>
          <t>Trưởng phòng</t>
        </is>
      </c>
      <c r="H1411" t="inlineStr">
        <is>
          <t>07/02/2026</t>
        </is>
      </c>
      <c r="I1411" t="inlineStr">
        <is>
          <t>24/03/2026</t>
        </is>
      </c>
      <c r="J1411" t="inlineStr">
        <is>
          <t>17/03/2026</t>
        </is>
      </c>
      <c r="K1411" t="inlineStr">
        <is>
          <t>N/A</t>
        </is>
      </c>
      <c r="L1411" t="inlineStr">
        <is>
          <t>Accounting, Analytical Skills, Business Administration, Excel, Finance</t>
        </is>
      </c>
      <c r="M1411" t="inlineStr">
        <is>
          <t>Bonus, Healthcare Plan, Paid Leave, Training, Laptop, Team Activities, Others</t>
        </is>
      </c>
      <c r="N1411" s="8">
        <f>HYPERLINK("https://www.vietnamworks.com/hn-accounting-manager-2010643-jv","Xem chi tiết")</f>
        <v/>
      </c>
    </row>
    <row r="1412">
      <c r="B1412" s="9" t="n">
        <v>1410</v>
      </c>
      <c r="C1412" s="10" t="inlineStr">
        <is>
          <t>Project Management Engineer (Hanoi/ Hung Yen)</t>
        </is>
      </c>
      <c r="D1412" s="10" t="inlineStr">
        <is>
          <t>Molex Vietnam Co., Ltd.</t>
        </is>
      </c>
      <c r="E1412" s="10" t="inlineStr">
        <is>
          <t>Thương lượng</t>
        </is>
      </c>
      <c r="F1412" s="10" t="inlineStr">
        <is>
          <t>Hà Nội, Hưng Yên</t>
        </is>
      </c>
      <c r="G1412" s="10" t="inlineStr">
        <is>
          <t>Nhân viên</t>
        </is>
      </c>
      <c r="H1412" s="10" t="inlineStr">
        <is>
          <t>07/02/2026</t>
        </is>
      </c>
      <c r="I1412" s="10" t="inlineStr">
        <is>
          <t>24/03/2026</t>
        </is>
      </c>
      <c r="J1412" s="10" t="inlineStr">
        <is>
          <t>17/03/2026</t>
        </is>
      </c>
      <c r="K1412" s="10" t="inlineStr">
        <is>
          <t>N/A</t>
        </is>
      </c>
      <c r="L1412" s="10" t="inlineStr">
        <is>
          <t>Costing Analysis, Engineering Design, ISO Standards, Problem-solving, Project Management</t>
        </is>
      </c>
      <c r="M1412" s="10" t="inlineStr">
        <is>
          <t>Bonus, Healthcare Plan, Paid Leave, Team Activities, Transportation, Canteen, Others</t>
        </is>
      </c>
      <c r="N1412" s="11">
        <f>HYPERLINK("https://www.vietnamworks.com/project-management-engineer-hanoi-hung-yen-2010651-jv","Xem chi tiết")</f>
        <v/>
      </c>
      <c r="O1412" s="10" t="n"/>
    </row>
    <row r="1413">
      <c r="B1413" s="7" t="n">
        <v>1411</v>
      </c>
      <c r="C1413" t="inlineStr">
        <is>
          <t>Chief Accountant/ Kế Toán Trưởng</t>
        </is>
      </c>
      <c r="D1413" t="inlineStr">
        <is>
          <t>Công Ty Cổ Phần Phương Tiện Điện Thông Minh Selex</t>
        </is>
      </c>
      <c r="E1413" t="inlineStr">
        <is>
          <t>$$ 1,000-1,500 /tháng</t>
        </is>
      </c>
      <c r="F1413" t="inlineStr">
        <is>
          <t>Hà Nội</t>
        </is>
      </c>
      <c r="G1413" t="inlineStr">
        <is>
          <t>Trưởng phòng</t>
        </is>
      </c>
      <c r="H1413" t="inlineStr">
        <is>
          <t>08/01/2026</t>
        </is>
      </c>
      <c r="I1413" t="inlineStr">
        <is>
          <t>25/03/2026</t>
        </is>
      </c>
      <c r="J1413" t="inlineStr">
        <is>
          <t>17/03/2026</t>
        </is>
      </c>
      <c r="K1413" t="inlineStr">
        <is>
          <t>N/A</t>
        </is>
      </c>
      <c r="L1413" t="inlineStr">
        <is>
          <t>Tài Chính, Kiểm Toán, Kế Toán, Kế Toán Tổng Hợp, Kế Toán Thuế</t>
        </is>
      </c>
      <c r="M1413" t="inlineStr">
        <is>
          <t>Bonus, Awards, Others</t>
        </is>
      </c>
      <c r="N1413" s="8">
        <f>HYPERLINK("https://www.vietnamworks.com/chief-accountant-ke-toan-truong--2000859-jv","Xem chi tiết")</f>
        <v/>
      </c>
    </row>
    <row r="1414">
      <c r="B1414" s="9" t="n">
        <v>1412</v>
      </c>
      <c r="C1414" s="10" t="inlineStr">
        <is>
          <t>Logistics Director</t>
        </is>
      </c>
      <c r="D1414" s="10" t="inlineStr">
        <is>
          <t>CÔNG TY TNHH ERYSON AESTHETICS VIETNAM</t>
        </is>
      </c>
      <c r="E1414" s="10" t="inlineStr">
        <is>
          <t>Thương lượng</t>
        </is>
      </c>
      <c r="F1414" s="10" t="inlineStr">
        <is>
          <t>Hồ Chí Minh, Bình Dương</t>
        </is>
      </c>
      <c r="G1414" s="10" t="inlineStr">
        <is>
          <t>Giám Đốc và Cấp Cao Hơn</t>
        </is>
      </c>
      <c r="H1414" s="10" t="inlineStr">
        <is>
          <t>03/02/2026</t>
        </is>
      </c>
      <c r="I1414" s="10" t="inlineStr">
        <is>
          <t>25/03/2026</t>
        </is>
      </c>
      <c r="J1414" s="10" t="inlineStr">
        <is>
          <t>17/03/2026</t>
        </is>
      </c>
      <c r="K1414" s="10" t="inlineStr">
        <is>
          <t>N/A</t>
        </is>
      </c>
      <c r="L1414" s="10" t="inlineStr">
        <is>
          <t>3PL Logistics Management, Budget Management, Logistics Planning, Supply Chain Management</t>
        </is>
      </c>
      <c r="M1414" s="10" t="inlineStr">
        <is>
          <t>Bonus, Paid Leave, Laptop</t>
        </is>
      </c>
      <c r="N1414" s="11">
        <f>HYPERLINK("https://www.vietnamworks.com/logistics-director-2009230-jv","Xem chi tiết")</f>
        <v/>
      </c>
      <c r="O1414" s="10" t="n"/>
    </row>
    <row r="1415">
      <c r="B1415" s="7" t="n">
        <v>1413</v>
      </c>
      <c r="C1415" t="inlineStr">
        <is>
          <t>Nhân Viên Đảm Bảo Chất Lượng (Assistant, Quality Assurance)</t>
        </is>
      </c>
      <c r="D1415" t="inlineStr">
        <is>
          <t>DKSH Vietnam Co., Ltd.</t>
        </is>
      </c>
      <c r="E1415" t="inlineStr">
        <is>
          <t>Thương lượng</t>
        </is>
      </c>
      <c r="F1415" t="inlineStr">
        <is>
          <t>Bình Dương</t>
        </is>
      </c>
      <c r="G1415" t="inlineStr">
        <is>
          <t>Nhân viên</t>
        </is>
      </c>
      <c r="H1415" t="inlineStr">
        <is>
          <t>06/01/2026</t>
        </is>
      </c>
      <c r="I1415" t="inlineStr">
        <is>
          <t>25/03/2026</t>
        </is>
      </c>
      <c r="J1415" t="inlineStr">
        <is>
          <t>17/03/2026</t>
        </is>
      </c>
      <c r="K1415" t="inlineStr">
        <is>
          <t>N/A</t>
        </is>
      </c>
      <c r="L1415" t="inlineStr">
        <is>
          <t>QA, Quality assuance, Đảm Bảo Chất Lượng, Quản lý chất lượng</t>
        </is>
      </c>
      <c r="M1415" t="inlineStr">
        <is>
          <t>Bonus, Healthcare Plan, Training</t>
        </is>
      </c>
      <c r="N1415" s="8">
        <f>HYPERLINK("https://www.vietnamworks.com/nhan-vien-dam-bao-chat-luong-assistant-quality-assurance-1999976-jv","Xem chi tiết")</f>
        <v/>
      </c>
    </row>
    <row r="1416">
      <c r="B1416" s="9" t="n">
        <v>1414</v>
      </c>
      <c r="C1416" s="10" t="inlineStr">
        <is>
          <t>Commission Based Business Development &amp; Sales Agent (Travel Tech / Hospitality Partnerships)</t>
        </is>
      </c>
      <c r="D1416" s="10" t="inlineStr">
        <is>
          <t>Every Sim</t>
        </is>
      </c>
      <c r="E1416" s="10" t="inlineStr">
        <is>
          <t>$$ 1,000-2,500 /tháng</t>
        </is>
      </c>
      <c r="F1416" s="10" t="inlineStr">
        <is>
          <t>Hồ Chí Minh</t>
        </is>
      </c>
      <c r="G1416" s="10" t="inlineStr">
        <is>
          <t>Nhân viên</t>
        </is>
      </c>
      <c r="H1416" s="10" t="inlineStr">
        <is>
          <t>07/02/2026</t>
        </is>
      </c>
      <c r="I1416" s="10" t="inlineStr">
        <is>
          <t>25/03/2026</t>
        </is>
      </c>
      <c r="J1416" s="10" t="inlineStr">
        <is>
          <t>17/03/2026</t>
        </is>
      </c>
      <c r="K1416" s="10" t="inlineStr">
        <is>
          <t>N/A</t>
        </is>
      </c>
      <c r="L1416" s="10" t="inlineStr">
        <is>
          <t>Business Development, Hospitality Knowledge, Relationship Building, Sales Experience, Self Planning</t>
        </is>
      </c>
      <c r="M1416" s="10" t="inlineStr">
        <is>
          <t>Others</t>
        </is>
      </c>
      <c r="N1416" s="11">
        <f>HYPERLINK("https://www.vietnamworks.com/commission-based-business-development-and-sales-agent-travel-tech-hospitality-partnerships-2010652-jv","Xem chi tiết")</f>
        <v/>
      </c>
      <c r="O1416" s="10" t="n"/>
    </row>
    <row r="1417">
      <c r="B1417" s="7" t="n">
        <v>1415</v>
      </c>
      <c r="C1417" t="inlineStr">
        <is>
          <t>[Gấp] Trưởng Nhóm Kỹ Sư Chất Lượng/khối Lượng và Kỹ Sư Chất Lượng/khối Lượng - Qcm/qsm/qs/qc</t>
        </is>
      </c>
      <c r="D1417" t="inlineStr">
        <is>
          <t>Tập Đoàn FECON</t>
        </is>
      </c>
      <c r="E1417" t="inlineStr">
        <is>
          <t>$$ 1,000-1,200 /tháng</t>
        </is>
      </c>
      <c r="F1417" t="inlineStr">
        <is>
          <t>Hà Nội, Hồ Chí Minh</t>
        </is>
      </c>
      <c r="G1417" t="inlineStr">
        <is>
          <t>Nhân viên</t>
        </is>
      </c>
      <c r="H1417" t="inlineStr">
        <is>
          <t>10/10/2025</t>
        </is>
      </c>
      <c r="I1417" t="inlineStr">
        <is>
          <t>25/03/2026</t>
        </is>
      </c>
      <c r="J1417" t="inlineStr">
        <is>
          <t>17/03/2026</t>
        </is>
      </c>
      <c r="K1417" t="inlineStr">
        <is>
          <t>N/A</t>
        </is>
      </c>
      <c r="L1417" t="inlineStr">
        <is>
          <t>QC Management, Construction Controlling, Xây Dựng, Chất Lượng Xây Dựng, Quản Lý Chất Lượng Xây Dựng</t>
        </is>
      </c>
      <c r="M1417" t="inlineStr">
        <is>
          <t>Bonus, Healthcare Plan, Training</t>
        </is>
      </c>
      <c r="N1417" s="8">
        <f>HYPERLINK("https://www.vietnamworks.com/gap-truong-nhom-ky-su-chat-luong-khoi-luong-va-ky-su-chat-luong-khoi-luong-qcm-qsm-qs-qc-1968528-jv","Xem chi tiết")</f>
        <v/>
      </c>
    </row>
    <row r="1418">
      <c r="B1418" s="9" t="n">
        <v>1416</v>
      </c>
      <c r="C1418" s="10" t="inlineStr">
        <is>
          <t>Giáo Viên Khoa Học Công Nghệ</t>
        </is>
      </c>
      <c r="D1418" s="10" t="inlineStr">
        <is>
          <t>RT Holdings</t>
        </is>
      </c>
      <c r="E1418" s="10" t="inlineStr">
        <is>
          <t>Thương lượng</t>
        </is>
      </c>
      <c r="F1418" s="10" t="inlineStr">
        <is>
          <t>Hồ Chí Minh</t>
        </is>
      </c>
      <c r="G1418" s="10" t="inlineStr">
        <is>
          <t>Nhân viên</t>
        </is>
      </c>
      <c r="H1418" s="10" t="inlineStr">
        <is>
          <t>10/01/2026</t>
        </is>
      </c>
      <c r="I1418" s="10" t="inlineStr">
        <is>
          <t>25/03/2026</t>
        </is>
      </c>
      <c r="J1418" s="10" t="inlineStr">
        <is>
          <t>17/03/2026</t>
        </is>
      </c>
      <c r="K1418" s="10" t="inlineStr">
        <is>
          <t>N/A</t>
        </is>
      </c>
      <c r="L1418" s="10" t="inlineStr">
        <is>
          <t>ICT, Steam, Robotic Programming, Giảng Dạy Vật Lí, Công Nghệ Thông Tin</t>
        </is>
      </c>
      <c r="M1418" s="10" t="inlineStr">
        <is>
          <t>Bonus, Travel Opportunities, Canteen</t>
        </is>
      </c>
      <c r="N1418" s="11">
        <f>HYPERLINK("https://www.vietnamworks.com/giao-vien-khoa-hoc-cong-nghe--2001185-jv","Xem chi tiết")</f>
        <v/>
      </c>
      <c r="O1418" s="10" t="n"/>
    </row>
    <row r="1419">
      <c r="B1419" s="7" t="n">
        <v>1417</v>
      </c>
      <c r="C1419" t="inlineStr">
        <is>
          <t>Nhân Viên Mua Hàng Vật Tư (Senior Staff)</t>
        </is>
      </c>
      <c r="D1419" t="inlineStr">
        <is>
          <t>Son Ha Spice &amp; Flavorings/Pacific Basin Partnership - Mitani Corporation</t>
        </is>
      </c>
      <c r="E1419" t="inlineStr">
        <is>
          <t>Thương lượng</t>
        </is>
      </c>
      <c r="F1419" t="inlineStr">
        <is>
          <t>Bắc Ninh, Hà Nội</t>
        </is>
      </c>
      <c r="G1419" t="inlineStr">
        <is>
          <t>Nhân viên</t>
        </is>
      </c>
      <c r="H1419" t="inlineStr">
        <is>
          <t>08/02/2026</t>
        </is>
      </c>
      <c r="I1419" t="inlineStr">
        <is>
          <t>25/03/2026</t>
        </is>
      </c>
      <c r="J1419" t="inlineStr">
        <is>
          <t>17/03/2026</t>
        </is>
      </c>
      <c r="K1419" t="inlineStr">
        <is>
          <t>N/A</t>
        </is>
      </c>
      <c r="L1419" t="inlineStr">
        <is>
          <t>Contract Negotiation, Project Management, Quality Control, Sourcing Management, Sap Management</t>
        </is>
      </c>
      <c r="M1419" t="inlineStr">
        <is>
          <t>Bonus, Healthcare Plan, Paid Leave, Training, Awards, Laptop, Transportation, Canteen, Others</t>
        </is>
      </c>
      <c r="N1419" s="8">
        <f>HYPERLINK("https://www.vietnamworks.com/nhan-vien-mua-hang-vat-tu-senior-staff-2010654-jv","Xem chi tiết")</f>
        <v/>
      </c>
    </row>
    <row r="1420">
      <c r="B1420" s="9" t="n">
        <v>1418</v>
      </c>
      <c r="C1420" s="10" t="inlineStr">
        <is>
          <t>Thư Ký Chủ Tịch (Công Ty Xây Dựng Hàn Quốc)</t>
        </is>
      </c>
      <c r="D1420" s="10" t="inlineStr">
        <is>
          <t>KAS E&amp;C (Vietnam) Ltd Company</t>
        </is>
      </c>
      <c r="E1420" s="10" t="inlineStr">
        <is>
          <t>Thương lượng</t>
        </is>
      </c>
      <c r="F1420" s="10" t="inlineStr">
        <is>
          <t>Hà Nội</t>
        </is>
      </c>
      <c r="G1420" s="10" t="inlineStr">
        <is>
          <t>Nhân viên</t>
        </is>
      </c>
      <c r="H1420" s="10" t="inlineStr">
        <is>
          <t>09/01/2026</t>
        </is>
      </c>
      <c r="I1420" s="10" t="inlineStr">
        <is>
          <t>25/03/2026</t>
        </is>
      </c>
      <c r="J1420" s="10" t="inlineStr">
        <is>
          <t>17/03/2026</t>
        </is>
      </c>
      <c r="K1420" s="10" t="inlineStr">
        <is>
          <t>N/A</t>
        </is>
      </c>
      <c r="L1420" s="10" t="inlineStr">
        <is>
          <t>Thư ký</t>
        </is>
      </c>
      <c r="M1420" s="10" t="inlineStr">
        <is>
          <t>Bonus, Healthcare Plan, Team Activities</t>
        </is>
      </c>
      <c r="N1420" s="11">
        <f>HYPERLINK("https://www.vietnamworks.com/thu-ky-chu-tich-cong-ty-xay-dung-han-quoc-2001153-jv","Xem chi tiết")</f>
        <v/>
      </c>
      <c r="O1420" s="10" t="n"/>
    </row>
    <row r="1421">
      <c r="B1421" s="7" t="n">
        <v>1419</v>
      </c>
      <c r="C1421" t="inlineStr">
        <is>
          <t>Senior Mill Supervisor (Green Coffee Production)</t>
        </is>
      </c>
      <c r="D1421" t="inlineStr">
        <is>
          <t>Louis Dreyfus Company (LDC) Vietnam</t>
        </is>
      </c>
      <c r="E1421" t="inlineStr">
        <is>
          <t>Thương lượng</t>
        </is>
      </c>
      <c r="F1421" t="inlineStr">
        <is>
          <t>Bình Dương</t>
        </is>
      </c>
      <c r="G1421" t="inlineStr">
        <is>
          <t>Nhân viên</t>
        </is>
      </c>
      <c r="H1421" t="inlineStr">
        <is>
          <t>06/02/2026</t>
        </is>
      </c>
      <c r="I1421" t="inlineStr">
        <is>
          <t>25/03/2026</t>
        </is>
      </c>
      <c r="J1421" t="inlineStr">
        <is>
          <t>17/03/2026</t>
        </is>
      </c>
      <c r="K1421" t="inlineStr">
        <is>
          <t>N/A</t>
        </is>
      </c>
      <c r="L1421" t="inlineStr">
        <is>
          <t>Production Management, Mechanical Engineering, Team Management, Quality Control, Communication Skills</t>
        </is>
      </c>
      <c r="M1421" t="inlineStr">
        <is>
          <t>Bonus, Healthcare Plan, Training, Awards, Team Activities, Others</t>
        </is>
      </c>
      <c r="N1421" s="8">
        <f>HYPERLINK("https://www.vietnamworks.com/senior-mill-supervisor-green-coffee-production-2010462-jv","Xem chi tiết")</f>
        <v/>
      </c>
    </row>
    <row r="1422">
      <c r="B1422" s="9" t="n">
        <v>1420</v>
      </c>
      <c r="C1422" s="10" t="inlineStr">
        <is>
          <t>E-Commerce Executive (Amazon &amp; TikTok Shop - US Market)</t>
        </is>
      </c>
      <c r="D1422" s="10" t="inlineStr">
        <is>
          <t>Công Ty TNHH Bowery Commerce VN</t>
        </is>
      </c>
      <c r="E1422" s="10" t="inlineStr">
        <is>
          <t>10tr-13tr ₫/tháng</t>
        </is>
      </c>
      <c r="F1422" s="10" t="inlineStr">
        <is>
          <t>Hà Nội</t>
        </is>
      </c>
      <c r="G1422" s="10" t="inlineStr">
        <is>
          <t>Nhân viên</t>
        </is>
      </c>
      <c r="H1422" s="10" t="inlineStr">
        <is>
          <t>20/02/2026</t>
        </is>
      </c>
      <c r="I1422" s="10" t="inlineStr">
        <is>
          <t>25/03/2026</t>
        </is>
      </c>
      <c r="J1422" s="10" t="inlineStr">
        <is>
          <t>17/03/2026</t>
        </is>
      </c>
      <c r="K1422" s="10" t="inlineStr">
        <is>
          <t>N/A</t>
        </is>
      </c>
      <c r="L1422" s="10" t="inlineStr">
        <is>
          <t>Communication, E-Commerce Logistics, Excel, Kol/Koc Sourcing</t>
        </is>
      </c>
      <c r="M1422" s="10" t="inlineStr">
        <is>
          <t>Paid Leave, Others</t>
        </is>
      </c>
      <c r="N1422" s="11">
        <f>HYPERLINK("https://www.vietnamworks.com/e-commerce-executive-amazon-and-tiktok-shop-us-market-2012205-jv","Xem chi tiết")</f>
        <v/>
      </c>
      <c r="O1422" s="10" t="n"/>
    </row>
    <row r="1423">
      <c r="B1423" s="7" t="n">
        <v>1421</v>
      </c>
      <c r="C1423" t="inlineStr">
        <is>
          <t>Senior Manager, Compliance (Aml/atf)</t>
        </is>
      </c>
      <c r="D1423" t="inlineStr">
        <is>
          <t>Sun Life Vietnam (Sun Life)</t>
        </is>
      </c>
      <c r="E1423" t="inlineStr">
        <is>
          <t>Thương lượng</t>
        </is>
      </c>
      <c r="F1423" t="inlineStr">
        <is>
          <t>Hồ Chí Minh</t>
        </is>
      </c>
      <c r="G1423" t="inlineStr">
        <is>
          <t>Trưởng phòng</t>
        </is>
      </c>
      <c r="H1423" t="inlineStr">
        <is>
          <t>08/02/2026</t>
        </is>
      </c>
      <c r="I1423" t="inlineStr">
        <is>
          <t>25/03/2026</t>
        </is>
      </c>
      <c r="J1423" t="inlineStr">
        <is>
          <t>17/03/2026</t>
        </is>
      </c>
      <c r="K1423" t="inlineStr">
        <is>
          <t>N/A</t>
        </is>
      </c>
      <c r="L1423" t="inlineStr">
        <is>
          <t>Aml Compliance, FCC, Anti–Money Laundering, Compliance Control, English</t>
        </is>
      </c>
      <c r="M1423" t="inlineStr">
        <is>
          <t>Healthcare Plan, Team Activities, Others</t>
        </is>
      </c>
      <c r="N1423" s="8">
        <f>HYPERLINK("https://www.vietnamworks.com/senior-manager-compliance-aml-atf--2010663-jv","Xem chi tiết")</f>
        <v/>
      </c>
    </row>
    <row r="1424">
      <c r="B1424" s="9" t="n">
        <v>1422</v>
      </c>
      <c r="C1424" s="10" t="inlineStr">
        <is>
          <t>Key Account Coordinator (Good English, Support Singapore Sales Team)</t>
        </is>
      </c>
      <c r="D1424" s="10" t="inlineStr">
        <is>
          <t>Rentokil Initial (Viet Nam) Limited Company</t>
        </is>
      </c>
      <c r="E1424" s="10" t="inlineStr">
        <is>
          <t>$$ 700-900 /tháng</t>
        </is>
      </c>
      <c r="F1424" s="10" t="inlineStr">
        <is>
          <t>Hồ Chí Minh</t>
        </is>
      </c>
      <c r="G1424" s="10" t="inlineStr">
        <is>
          <t>Nhân viên</t>
        </is>
      </c>
      <c r="H1424" s="10" t="inlineStr">
        <is>
          <t>23/02/2026</t>
        </is>
      </c>
      <c r="I1424" s="10" t="inlineStr">
        <is>
          <t>25/03/2026</t>
        </is>
      </c>
      <c r="J1424" s="10" t="inlineStr">
        <is>
          <t>17/03/2026</t>
        </is>
      </c>
      <c r="K1424" s="10" t="inlineStr">
        <is>
          <t>N/A</t>
        </is>
      </c>
      <c r="L1424" s="10" t="inlineStr">
        <is>
          <t>Sales Administration, Sales Support, Business Administration</t>
        </is>
      </c>
      <c r="M1424" s="10" t="inlineStr">
        <is>
          <t>Bonus</t>
        </is>
      </c>
      <c r="N1424" s="11">
        <f>HYPERLINK("https://www.vietnamworks.com/key-account-coordinator-good-english-support-singapore-sales-team--2012275-jv","Xem chi tiết")</f>
        <v/>
      </c>
      <c r="O1424" s="10" t="n"/>
    </row>
    <row r="1425">
      <c r="B1425" s="7" t="n">
        <v>1423</v>
      </c>
      <c r="C1425" t="inlineStr">
        <is>
          <t>Hospital Area Manager - Ha Noi</t>
        </is>
      </c>
      <c r="D1425" t="inlineStr">
        <is>
          <t>Servier (Vietnam) Pharmaceutical Company</t>
        </is>
      </c>
      <c r="E1425" t="inlineStr">
        <is>
          <t>Thương lượng</t>
        </is>
      </c>
      <c r="F1425" t="inlineStr">
        <is>
          <t>Hà Nội</t>
        </is>
      </c>
      <c r="G1425" t="inlineStr">
        <is>
          <t>Trưởng phòng</t>
        </is>
      </c>
      <c r="H1425" t="inlineStr">
        <is>
          <t>23/02/2026</t>
        </is>
      </c>
      <c r="I1425" t="inlineStr">
        <is>
          <t>25/03/2026</t>
        </is>
      </c>
      <c r="J1425" t="inlineStr">
        <is>
          <t>17/03/2026</t>
        </is>
      </c>
      <c r="K1425" t="inlineStr">
        <is>
          <t>N/A</t>
        </is>
      </c>
      <c r="L1425" t="inlineStr">
        <is>
          <t>Trình Dược Viên Kênh ETC, Quản Lý Dược Phẩm, Bán Hàng Kênh Bệnh Viện, Quản Lý Kênh Bệnh Viện</t>
        </is>
      </c>
      <c r="M1425" t="inlineStr">
        <is>
          <t>Bonus, Healthcare Plan, Team Activities</t>
        </is>
      </c>
      <c r="N1425" s="8">
        <f>HYPERLINK("https://www.vietnamworks.com/hospital-area-manager-ha-noi-2012283-jv","Xem chi tiết")</f>
        <v/>
      </c>
    </row>
    <row r="1426">
      <c r="B1426" s="9" t="n">
        <v>1424</v>
      </c>
      <c r="C1426" s="10" t="inlineStr">
        <is>
          <t>Giám Đốc Vận Hành Bệnh Viện</t>
        </is>
      </c>
      <c r="D1426" s="10" t="inlineStr">
        <is>
          <t>Công Ty CP Bệnh Viện Đa Khoa Quốc Tế Vinmec</t>
        </is>
      </c>
      <c r="E1426" s="10" t="inlineStr">
        <is>
          <t>Thương lượng</t>
        </is>
      </c>
      <c r="F1426" s="10" t="inlineStr">
        <is>
          <t>Hà Nội, Hồ Chí Minh, Quảng Ninh</t>
        </is>
      </c>
      <c r="G1426" s="10" t="inlineStr">
        <is>
          <t>Giám Đốc và Cấp Cao Hơn</t>
        </is>
      </c>
      <c r="H1426" s="10" t="inlineStr">
        <is>
          <t>08/02/2026</t>
        </is>
      </c>
      <c r="I1426" s="10" t="inlineStr">
        <is>
          <t>25/03/2026</t>
        </is>
      </c>
      <c r="J1426" s="10" t="inlineStr">
        <is>
          <t>17/03/2026</t>
        </is>
      </c>
      <c r="K1426" s="10" t="inlineStr">
        <is>
          <t>N/A</t>
        </is>
      </c>
      <c r="L1426" s="10" t="inlineStr">
        <is>
          <t>Quản Trị, Giám đốc vận hành, Quản Trị Bệnh Viện, Y Tế, Bệnh Viện</t>
        </is>
      </c>
      <c r="M1426" s="10" t="inlineStr">
        <is>
          <t>Bonus</t>
        </is>
      </c>
      <c r="N1426" s="11">
        <f>HYPERLINK("https://www.vietnamworks.com/giam-doc-van-hanh-benh-vien--2010660-jv","Xem chi tiết")</f>
        <v/>
      </c>
      <c r="O1426" s="10" t="n"/>
    </row>
    <row r="1427">
      <c r="B1427" s="7" t="n">
        <v>1425</v>
      </c>
      <c r="C1427" t="inlineStr">
        <is>
          <t>Utility Engineer (Working in Binh Phuoc)</t>
        </is>
      </c>
      <c r="D1427" t="inlineStr">
        <is>
          <t>Hayat Việt Nam</t>
        </is>
      </c>
      <c r="E1427" t="inlineStr">
        <is>
          <t>Thương lượng</t>
        </is>
      </c>
      <c r="F1427" t="inlineStr">
        <is>
          <t>Bình Phước, Hồ Chí Minh</t>
        </is>
      </c>
      <c r="G1427" t="inlineStr">
        <is>
          <t>Nhân viên</t>
        </is>
      </c>
      <c r="H1427" t="inlineStr">
        <is>
          <t>23/02/2026</t>
        </is>
      </c>
      <c r="I1427" t="inlineStr">
        <is>
          <t>25/03/2026</t>
        </is>
      </c>
      <c r="J1427" t="inlineStr">
        <is>
          <t>17/03/2026</t>
        </is>
      </c>
      <c r="K1427" t="inlineStr">
        <is>
          <t>N/A</t>
        </is>
      </c>
      <c r="L1427" t="inlineStr">
        <is>
          <t>Utility Maintenance, Utility System, Project Management, Chiller Maintenance, Mechanical</t>
        </is>
      </c>
      <c r="M1427" t="inlineStr">
        <is>
          <t>Bonus, Healthcare Plan, Laptop</t>
        </is>
      </c>
      <c r="N1427" s="8">
        <f>HYPERLINK("https://www.vietnamworks.com/utility-engineer-working-in-binh-phuoc--2012279-jv","Xem chi tiết")</f>
        <v/>
      </c>
    </row>
    <row r="1428">
      <c r="B1428" s="9" t="n">
        <v>1426</v>
      </c>
      <c r="C1428" s="10" t="inlineStr">
        <is>
          <t>Production Planning Officer/ Nhân Viên Kế Hoạch (PPC)</t>
        </is>
      </c>
      <c r="D1428" s="10" t="inlineStr">
        <is>
          <t>Crystal Martin (Vietnam) Company Limited</t>
        </is>
      </c>
      <c r="E1428" s="10" t="inlineStr">
        <is>
          <t>Thương lượng</t>
        </is>
      </c>
      <c r="F1428" s="10" t="inlineStr">
        <is>
          <t>Bắc Giang, Bắc Ninh, Hà Nội</t>
        </is>
      </c>
      <c r="G1428" s="10" t="inlineStr">
        <is>
          <t>Nhân viên</t>
        </is>
      </c>
      <c r="H1428" s="10" t="inlineStr">
        <is>
          <t>23/02/2026</t>
        </is>
      </c>
      <c r="I1428" s="10" t="inlineStr">
        <is>
          <t>25/03/2026</t>
        </is>
      </c>
      <c r="J1428" s="10" t="inlineStr">
        <is>
          <t>17/03/2026</t>
        </is>
      </c>
      <c r="K1428" s="10" t="inlineStr">
        <is>
          <t>N/A</t>
        </is>
      </c>
      <c r="L1428" s="10" t="inlineStr">
        <is>
          <t>English, Planning, Planetary Science, Lên Kế Hoạch</t>
        </is>
      </c>
      <c r="M1428" s="10" t="inlineStr">
        <is>
          <t>Bonus, Transportation, Canteen</t>
        </is>
      </c>
      <c r="N1428" s="11">
        <f>HYPERLINK("https://www.vietnamworks.com/production-planning-officer-nhan-vien-ke-hoach-ppc-2012277-jv","Xem chi tiết")</f>
        <v/>
      </c>
      <c r="O1428" s="10" t="n"/>
    </row>
    <row r="1429">
      <c r="B1429" s="7" t="n">
        <v>1427</v>
      </c>
      <c r="C1429" t="inlineStr">
        <is>
          <t>Brand Director</t>
        </is>
      </c>
      <c r="D1429" t="inlineStr">
        <is>
          <t>GS Engineering &amp; Construction</t>
        </is>
      </c>
      <c r="E1429" t="inlineStr">
        <is>
          <t>Thương lượng</t>
        </is>
      </c>
      <c r="F1429" t="inlineStr">
        <is>
          <t>Hồ Chí Minh</t>
        </is>
      </c>
      <c r="G1429" t="inlineStr">
        <is>
          <t>Giám Đốc và Cấp Cao Hơn</t>
        </is>
      </c>
      <c r="H1429" t="inlineStr">
        <is>
          <t>13/02/2026</t>
        </is>
      </c>
      <c r="I1429" t="inlineStr">
        <is>
          <t>25/03/2026</t>
        </is>
      </c>
      <c r="J1429" t="inlineStr">
        <is>
          <t>17/03/2026</t>
        </is>
      </c>
      <c r="K1429" t="inlineStr">
        <is>
          <t>N/A</t>
        </is>
      </c>
      <c r="L1429" t="inlineStr">
        <is>
          <t>Truyền Thông, Quảng Bá Thương Hiệu, Branding, Marketing, Luxury Brand Marketing</t>
        </is>
      </c>
      <c r="M1429" t="inlineStr">
        <is>
          <t>Laptop, Others</t>
        </is>
      </c>
      <c r="N1429" s="8">
        <f>HYPERLINK("https://www.vietnamworks.com/brand-director--2011974-jv","Xem chi tiết")</f>
        <v/>
      </c>
    </row>
    <row r="1430">
      <c r="B1430" s="9" t="n">
        <v>1428</v>
      </c>
      <c r="C1430" s="10" t="inlineStr">
        <is>
          <t>Specifier</t>
        </is>
      </c>
      <c r="D1430" s="10" t="inlineStr">
        <is>
          <t>ROCKWOOL VIETNAM COMPANY LIMITED</t>
        </is>
      </c>
      <c r="E1430" s="10" t="inlineStr">
        <is>
          <t>Thương lượng</t>
        </is>
      </c>
      <c r="F1430" s="10" t="inlineStr">
        <is>
          <t>Hồ Chí Minh</t>
        </is>
      </c>
      <c r="G1430" s="10" t="inlineStr">
        <is>
          <t>Nhân viên</t>
        </is>
      </c>
      <c r="H1430" s="10" t="inlineStr">
        <is>
          <t>23/02/2026</t>
        </is>
      </c>
      <c r="I1430" s="10" t="inlineStr">
        <is>
          <t>25/03/2026</t>
        </is>
      </c>
      <c r="J1430" s="10" t="inlineStr">
        <is>
          <t>17/03/2026</t>
        </is>
      </c>
      <c r="K1430" s="10" t="inlineStr">
        <is>
          <t>N/A</t>
        </is>
      </c>
      <c r="L1430" s="10" t="inlineStr">
        <is>
          <t>Building Technology, Communication Skills, Network Architecture, Sales Specification Background, Technical Standard</t>
        </is>
      </c>
      <c r="M1430" s="10" t="inlineStr">
        <is>
          <t>Bonus, Healthcare Plan, Paid Leave, Training, Laptop, Travel Opportunities</t>
        </is>
      </c>
      <c r="N1430" s="11">
        <f>HYPERLINK("https://www.vietnamworks.com/specifier-2012281-jv","Xem chi tiết")</f>
        <v/>
      </c>
      <c r="O1430" s="10" t="n"/>
    </row>
    <row r="1431">
      <c r="B1431" s="7" t="n">
        <v>1429</v>
      </c>
      <c r="C1431" t="inlineStr">
        <is>
          <t>Cộng Tác Viên Thu Thập Dữ Liệu Wifi (Freelance - Hợp Đồng 1 Tháng)</t>
        </is>
      </c>
      <c r="D1431" t="inlineStr">
        <is>
          <t>Teleperformance</t>
        </is>
      </c>
      <c r="E1431" t="inlineStr">
        <is>
          <t>Thương lượng</t>
        </is>
      </c>
      <c r="F1431" t="inlineStr">
        <is>
          <t>Quốc tế, Hà Nội, Hồ Chí Minh</t>
        </is>
      </c>
      <c r="G1431" t="inlineStr">
        <is>
          <t>Mới Tốt Nghiệp</t>
        </is>
      </c>
      <c r="H1431" t="inlineStr">
        <is>
          <t>14/02/2026</t>
        </is>
      </c>
      <c r="I1431" t="inlineStr">
        <is>
          <t>25/03/2026</t>
        </is>
      </c>
      <c r="J1431" t="inlineStr">
        <is>
          <t>17/03/2026</t>
        </is>
      </c>
      <c r="K1431" t="inlineStr">
        <is>
          <t>N/A</t>
        </is>
      </c>
      <c r="L1431" t="inlineStr">
        <is>
          <t>Fieldwork Experience, Data Collection, Wifi Solutions, SOP</t>
        </is>
      </c>
      <c r="M1431" t="inlineStr">
        <is>
          <t>Bonus</t>
        </is>
      </c>
      <c r="N1431" s="8">
        <f>HYPERLINK("https://www.vietnamworks.com/cong-tac-vien-thu-thap-du-lieu-wifi-freelance-hop-dong-1-thang-2012094-jv","Xem chi tiết")</f>
        <v/>
      </c>
    </row>
    <row r="1432">
      <c r="B1432" s="9" t="n">
        <v>1430</v>
      </c>
      <c r="C1432" s="10" t="inlineStr">
        <is>
          <t xml:space="preserve">Ink Technician </t>
        </is>
      </c>
      <c r="D1432" s="10" t="inlineStr">
        <is>
          <t>Flint Group Vietnam</t>
        </is>
      </c>
      <c r="E1432" s="10" t="inlineStr">
        <is>
          <t>Thương lượng</t>
        </is>
      </c>
      <c r="F1432" s="10" t="inlineStr">
        <is>
          <t>Bình Dương</t>
        </is>
      </c>
      <c r="G1432" s="10" t="inlineStr">
        <is>
          <t>Mới Tốt Nghiệp</t>
        </is>
      </c>
      <c r="H1432" s="10" t="inlineStr">
        <is>
          <t>13/02/2026</t>
        </is>
      </c>
      <c r="I1432" s="10" t="inlineStr">
        <is>
          <t>25/03/2026</t>
        </is>
      </c>
      <c r="J1432" s="10" t="inlineStr">
        <is>
          <t>17/03/2026</t>
        </is>
      </c>
      <c r="K1432" s="10" t="inlineStr">
        <is>
          <t>N/A</t>
        </is>
      </c>
      <c r="L1432" s="10" t="inlineStr">
        <is>
          <t>Collaboration, Colour Matching, Digital Printing, Printing Process, Technical Support</t>
        </is>
      </c>
      <c r="M1432" s="10" t="inlineStr">
        <is>
          <t>Bonus</t>
        </is>
      </c>
      <c r="N1432" s="11">
        <f>HYPERLINK("https://www.vietnamworks.com/ink-technician-2012008-jv","Xem chi tiết")</f>
        <v/>
      </c>
      <c r="O1432" s="10" t="n"/>
    </row>
    <row r="1433">
      <c r="B1433" s="7" t="n">
        <v>1431</v>
      </c>
      <c r="C1433" t="inlineStr">
        <is>
          <t>Giám Sát Bán Hàng - Khu Vực Hải Phòng</t>
        </is>
      </c>
      <c r="D1433" t="inlineStr">
        <is>
          <t>PepsiCo Foods Vietnam Company</t>
        </is>
      </c>
      <c r="E1433" t="inlineStr">
        <is>
          <t>Thương lượng</t>
        </is>
      </c>
      <c r="F1433" t="inlineStr">
        <is>
          <t>Hải Phòng, Hải Dương</t>
        </is>
      </c>
      <c r="G1433" t="inlineStr">
        <is>
          <t>Trưởng phòng</t>
        </is>
      </c>
      <c r="H1433" t="inlineStr">
        <is>
          <t>23/02/2026</t>
        </is>
      </c>
      <c r="I1433" t="inlineStr">
        <is>
          <t>25/03/2026</t>
        </is>
      </c>
      <c r="J1433" t="inlineStr">
        <is>
          <t>17/03/2026</t>
        </is>
      </c>
      <c r="K1433" t="inlineStr">
        <is>
          <t>N/A</t>
        </is>
      </c>
      <c r="L1433" t="inlineStr">
        <is>
          <t>Bán Hàng, FMCG, Giám Sát Bán Hàng, Sales, Sales Supervisor</t>
        </is>
      </c>
      <c r="M1433" t="inlineStr">
        <is>
          <t>Bonus, Healthcare Plan, Paid Leave</t>
        </is>
      </c>
      <c r="N1433" s="8">
        <f>HYPERLINK("https://www.vietnamworks.com/giam-sat-ban-hang-khu-vuc-hai-phong-2012293-jv","Xem chi tiết")</f>
        <v/>
      </c>
    </row>
    <row r="1434">
      <c r="B1434" s="9" t="n">
        <v>1432</v>
      </c>
      <c r="C1434" s="10" t="inlineStr">
        <is>
          <t>[Gấp] Nhân Viên Vận Hành Sàn Thương Mại Điện Tử (Khu Vực Quận 9, Thủ Đức - Có Thể Đi Làm Ngay)</t>
        </is>
      </c>
      <c r="D1434" s="10" t="inlineStr">
        <is>
          <t>Công Ty TNHH Đầu Tư Thương Mại Dịch Vụ Lido</t>
        </is>
      </c>
      <c r="E1434" s="10" t="inlineStr">
        <is>
          <t>$$ 300-500 /tháng</t>
        </is>
      </c>
      <c r="F1434" s="10" t="inlineStr">
        <is>
          <t>Hồ Chí Minh</t>
        </is>
      </c>
      <c r="G1434" s="10" t="inlineStr">
        <is>
          <t>Nhân viên</t>
        </is>
      </c>
      <c r="H1434" s="10" t="inlineStr">
        <is>
          <t>22/02/2026</t>
        </is>
      </c>
      <c r="I1434" s="10" t="inlineStr">
        <is>
          <t>25/03/2026</t>
        </is>
      </c>
      <c r="J1434" s="10" t="inlineStr">
        <is>
          <t>17/03/2026</t>
        </is>
      </c>
      <c r="K1434" s="10" t="inlineStr">
        <is>
          <t>N/A</t>
        </is>
      </c>
      <c r="L1434" s="10" t="inlineStr">
        <is>
          <t>E-commerce, Thương Mại Điện Tử, Livestream, Marketing, Online Sales &amp; Customer Service</t>
        </is>
      </c>
      <c r="M1434" s="10" t="inlineStr">
        <is>
          <t>Bonus, Awards, Others</t>
        </is>
      </c>
      <c r="N1434" s="11">
        <f>HYPERLINK("https://www.vietnamworks.com/gap-nhan-vien-van-hanh-san-thuong-mai-dien-tu-khu-vuc-quan-9-thu-duc-co-the-di-lam-ngay-2012270-jv","Xem chi tiết")</f>
        <v/>
      </c>
      <c r="O1434" s="10" t="n"/>
    </row>
    <row r="1435">
      <c r="B1435" s="7" t="n">
        <v>1433</v>
      </c>
      <c r="C1435" t="inlineStr">
        <is>
          <t>Market Access Executive/ Hospital Sales &amp; Business Development</t>
        </is>
      </c>
      <c r="D1435" t="inlineStr">
        <is>
          <t>OPELLA</t>
        </is>
      </c>
      <c r="E1435" t="inlineStr">
        <is>
          <t>Thương lượng</t>
        </is>
      </c>
      <c r="F1435" t="inlineStr">
        <is>
          <t>Hồ Chí Minh</t>
        </is>
      </c>
      <c r="G1435" t="inlineStr">
        <is>
          <t>Nhân viên</t>
        </is>
      </c>
      <c r="H1435" t="inlineStr">
        <is>
          <t>23/02/2026</t>
        </is>
      </c>
      <c r="I1435" t="inlineStr">
        <is>
          <t>25/03/2026</t>
        </is>
      </c>
      <c r="J1435" t="inlineStr">
        <is>
          <t>17/03/2026</t>
        </is>
      </c>
      <c r="K1435" t="inlineStr">
        <is>
          <t>N/A</t>
        </is>
      </c>
      <c r="L1435" t="inlineStr">
        <is>
          <t>Business Development, Bidding, Tendering, pharmaceutical, English</t>
        </is>
      </c>
      <c r="M1435" t="inlineStr">
        <is>
          <t>Bonus, Healthcare Plan, Paid Leave</t>
        </is>
      </c>
      <c r="N1435" s="8">
        <f>HYPERLINK("https://www.vietnamworks.com/market-access-executive-hospital-sales-business-development-2012284-jv","Xem chi tiết")</f>
        <v/>
      </c>
    </row>
    <row r="1436">
      <c r="B1436" s="9" t="n">
        <v>1434</v>
      </c>
      <c r="C1436" s="10" t="inlineStr">
        <is>
          <t>Head, Business Support, Retail Brokerage (Securities)</t>
        </is>
      </c>
      <c r="D1436" s="10" t="inlineStr">
        <is>
          <t>Maybank Securities Limited</t>
        </is>
      </c>
      <c r="E1436" s="10" t="inlineStr">
        <is>
          <t>$$ 1,800-2,200 /tháng</t>
        </is>
      </c>
      <c r="F1436" s="10" t="inlineStr">
        <is>
          <t>Hồ Chí Minh</t>
        </is>
      </c>
      <c r="G1436" s="10" t="inlineStr">
        <is>
          <t>Trưởng phòng</t>
        </is>
      </c>
      <c r="H1436" s="10" t="inlineStr">
        <is>
          <t>23/02/2026</t>
        </is>
      </c>
      <c r="I1436" s="10" t="inlineStr">
        <is>
          <t>25/03/2026</t>
        </is>
      </c>
      <c r="J1436" s="10" t="inlineStr">
        <is>
          <t>17/03/2026</t>
        </is>
      </c>
      <c r="K1436" s="10" t="inlineStr">
        <is>
          <t>N/A</t>
        </is>
      </c>
      <c r="L1436" s="10" t="inlineStr">
        <is>
          <t>Business Support, Securities, Chứng Khoán, Hỗ Trợ Kinh Doanh</t>
        </is>
      </c>
      <c r="M1436" s="10" t="inlineStr">
        <is>
          <t>Bonus, Healthcare Plan, Training</t>
        </is>
      </c>
      <c r="N1436" s="11">
        <f>HYPERLINK("https://www.vietnamworks.com/head-business-support-retail-brokerage-securities-2012285-jv","Xem chi tiết")</f>
        <v/>
      </c>
      <c r="O1436" s="10" t="n"/>
    </row>
    <row r="1437">
      <c r="B1437" s="7" t="n">
        <v>1435</v>
      </c>
      <c r="C1437" t="inlineStr">
        <is>
          <t>Transport Manager</t>
        </is>
      </c>
      <c r="D1437" t="inlineStr">
        <is>
          <t>CÔNG TY TNHH RHENUS WAREHOUSING SOLUTIONS VIỆT NAM</t>
        </is>
      </c>
      <c r="E1437" t="inlineStr">
        <is>
          <t>Thương lượng</t>
        </is>
      </c>
      <c r="F1437" t="inlineStr">
        <is>
          <t>Bình Dương</t>
        </is>
      </c>
      <c r="G1437" t="inlineStr">
        <is>
          <t>Trưởng phòng</t>
        </is>
      </c>
      <c r="H1437" t="inlineStr">
        <is>
          <t>23/02/2026</t>
        </is>
      </c>
      <c r="I1437" t="inlineStr">
        <is>
          <t>25/03/2026</t>
        </is>
      </c>
      <c r="J1437" t="inlineStr">
        <is>
          <t>17/03/2026</t>
        </is>
      </c>
      <c r="K1437" t="inlineStr">
        <is>
          <t>N/A</t>
        </is>
      </c>
      <c r="L1437" t="inlineStr">
        <is>
          <t>Analytical, Budgeting, Financial Report, GPS, Transportation Operations</t>
        </is>
      </c>
      <c r="M1437" t="inlineStr">
        <is>
          <t>Bonus, Healthcare Plan, Training, Laptop, Travel Opportunities, Team Activities, Others</t>
        </is>
      </c>
      <c r="N1437" s="8">
        <f>HYPERLINK("https://www.vietnamworks.com/transport-manager--2012292-jv","Xem chi tiết")</f>
        <v/>
      </c>
    </row>
    <row r="1438">
      <c r="B1438" s="9" t="n">
        <v>1436</v>
      </c>
      <c r="C1438" s="10" t="inlineStr">
        <is>
          <t xml:space="preserve">National Sales Manager - kênh Retail/Pharmacy </t>
        </is>
      </c>
      <c r="D1438" s="10" t="inlineStr">
        <is>
          <t>CÔNG TY TNHH DƯỢC PHẨM GIGAMED</t>
        </is>
      </c>
      <c r="E1438" s="10" t="inlineStr">
        <is>
          <t>70tr-80tr ₫/tháng</t>
        </is>
      </c>
      <c r="F1438" s="10" t="inlineStr">
        <is>
          <t>Hồ Chí Minh</t>
        </is>
      </c>
      <c r="G1438" s="10" t="inlineStr">
        <is>
          <t>Trưởng phòng</t>
        </is>
      </c>
      <c r="H1438" s="10" t="inlineStr">
        <is>
          <t>12/02/2026</t>
        </is>
      </c>
      <c r="I1438" s="10" t="inlineStr">
        <is>
          <t>25/03/2026</t>
        </is>
      </c>
      <c r="J1438" s="10" t="inlineStr">
        <is>
          <t>17/03/2026</t>
        </is>
      </c>
      <c r="K1438" s="10" t="inlineStr">
        <is>
          <t>N/A</t>
        </is>
      </c>
      <c r="L1438" s="10" t="inlineStr">
        <is>
          <t>Giải Quyết Vấn Đề, Kỹ năng văn phòng, Lãnh Đạo, Quản Lý Kinh Doanh, Ra Quyết Định</t>
        </is>
      </c>
      <c r="M1438" s="10" t="inlineStr">
        <is>
          <t>Bonus, Healthcare Plan</t>
        </is>
      </c>
      <c r="N1438" s="11">
        <f>HYPERLINK("https://www.vietnamworks.com/national-sales-manager-kenh-retailpharmacy-2011908-jv","Xem chi tiết")</f>
        <v/>
      </c>
      <c r="O1438" s="10" t="n"/>
    </row>
    <row r="1439">
      <c r="B1439" s="7" t="n">
        <v>1437</v>
      </c>
      <c r="C1439" t="inlineStr">
        <is>
          <t>Nhân Viên Phụ Trách Kinh Doanh (Tìm Bệnh Nhân/ Khách Hàng Có Nhu Cầu Sử Dụng Dịch Vụ Y Tế Tại Nhật)</t>
        </is>
      </c>
      <c r="D1439" t="inlineStr">
        <is>
          <t>Công Ty TNHH Hỗ Trợ Y Tế Quốc Tế IMS Việt Nam</t>
        </is>
      </c>
      <c r="E1439" t="inlineStr">
        <is>
          <t>18tr-22tr ₫/tháng</t>
        </is>
      </c>
      <c r="F1439" t="inlineStr">
        <is>
          <t>Hà Nội</t>
        </is>
      </c>
      <c r="G1439" t="inlineStr">
        <is>
          <t>Nhân viên</t>
        </is>
      </c>
      <c r="H1439" t="inlineStr">
        <is>
          <t>10/02/2026</t>
        </is>
      </c>
      <c r="I1439" t="inlineStr">
        <is>
          <t>25/03/2026</t>
        </is>
      </c>
      <c r="J1439" t="inlineStr">
        <is>
          <t>17/03/2026</t>
        </is>
      </c>
      <c r="K1439" t="inlineStr">
        <is>
          <t>N/A</t>
        </is>
      </c>
      <c r="L1439" t="inlineStr">
        <is>
          <t>Tiếng Anh, Tiếng Nhật, Giao Tiếp, B2B, B2C</t>
        </is>
      </c>
      <c r="M1439" t="inlineStr">
        <is>
          <t>Bonus, Healthcare Plan, Awards, Team Activities, Others</t>
        </is>
      </c>
      <c r="N1439" s="8">
        <f>HYPERLINK("https://www.vietnamworks.com/nhan-vien-phu-trach-kinh-doanh-tim-benh-nhan-khach-hang-co-nhu-cau-su-dung-dich-vu-y-te-tai-nhat-2011138-jv","Xem chi tiết")</f>
        <v/>
      </c>
    </row>
    <row r="1440">
      <c r="B1440" s="9" t="n">
        <v>1438</v>
      </c>
      <c r="C1440" s="10" t="inlineStr">
        <is>
          <t>[HN] Cán Bộ Marketing / Field Marketing Officer (Video &amp; Content)</t>
        </is>
      </c>
      <c r="D1440" s="10" t="inlineStr">
        <is>
          <t>Diana Unicharm JSC</t>
        </is>
      </c>
      <c r="E1440" s="10" t="inlineStr">
        <is>
          <t>Thương lượng</t>
        </is>
      </c>
      <c r="F1440" s="10" t="inlineStr">
        <is>
          <t>Hà Nội</t>
        </is>
      </c>
      <c r="G1440" s="10" t="inlineStr">
        <is>
          <t>Nhân viên</t>
        </is>
      </c>
      <c r="H1440" s="10" t="inlineStr">
        <is>
          <t>23/02/2026</t>
        </is>
      </c>
      <c r="I1440" s="10" t="inlineStr">
        <is>
          <t>25/03/2026</t>
        </is>
      </c>
      <c r="J1440" s="10" t="inlineStr">
        <is>
          <t>17/03/2026</t>
        </is>
      </c>
      <c r="K1440" s="10" t="inlineStr">
        <is>
          <t>N/A</t>
        </is>
      </c>
      <c r="L1440" s="10" t="inlineStr">
        <is>
          <t>E- Commerce, Content Creative, Video Editor, Marketing Online</t>
        </is>
      </c>
      <c r="M1440" s="10" t="inlineStr">
        <is>
          <t>Bonus, Healthcare Plan, Others</t>
        </is>
      </c>
      <c r="N1440" s="11">
        <f>HYPERLINK("https://www.vietnamworks.com/hn-can-bo-marketing-field-marketing-officer-video-content-2012288-jv","Xem chi tiết")</f>
        <v/>
      </c>
      <c r="O1440" s="10" t="n"/>
    </row>
    <row r="1441">
      <c r="B1441" s="7" t="n">
        <v>1439</v>
      </c>
      <c r="C1441" t="inlineStr">
        <is>
          <t>[Remote] Motion Graphic Designer</t>
        </is>
      </c>
      <c r="D1441" t="inlineStr">
        <is>
          <t>PICKDI CORP</t>
        </is>
      </c>
      <c r="E1441" t="inlineStr">
        <is>
          <t>12tr-14tr ₫/tháng</t>
        </is>
      </c>
      <c r="F1441" t="inlineStr">
        <is>
          <t>Hà Nội, Quốc tế, Hồ Chí Minh</t>
        </is>
      </c>
      <c r="G1441" t="inlineStr">
        <is>
          <t>Nhân viên</t>
        </is>
      </c>
      <c r="H1441" t="inlineStr">
        <is>
          <t>23/02/2026</t>
        </is>
      </c>
      <c r="I1441" t="inlineStr">
        <is>
          <t>25/03/2026</t>
        </is>
      </c>
      <c r="J1441" t="inlineStr">
        <is>
          <t>17/03/2026</t>
        </is>
      </c>
      <c r="K1441" t="inlineStr">
        <is>
          <t>N/A</t>
        </is>
      </c>
      <c r="L1441" t="inlineStr">
        <is>
          <t>After Effect, Motion Design , Motion Graphic Design, Motion Graphic, Motion graphics</t>
        </is>
      </c>
      <c r="M1441" t="inlineStr">
        <is>
          <t>Others</t>
        </is>
      </c>
      <c r="N1441" s="8">
        <f>HYPERLINK("https://www.vietnamworks.com/remote-motion-graphic-designer-2012289-jv","Xem chi tiết")</f>
        <v/>
      </c>
    </row>
    <row r="1442">
      <c r="B1442" s="9" t="n">
        <v>1440</v>
      </c>
      <c r="C1442" s="10" t="inlineStr">
        <is>
          <t>Paraplanner_Fresh Graduate &amp; Experience</t>
        </is>
      </c>
      <c r="D1442" s="10" t="inlineStr">
        <is>
          <t>Công Ty TNHH Deetwo</t>
        </is>
      </c>
      <c r="E1442" s="10" t="inlineStr">
        <is>
          <t>Thương lượng</t>
        </is>
      </c>
      <c r="F1442" s="10" t="inlineStr">
        <is>
          <t>Hồ Chí Minh</t>
        </is>
      </c>
      <c r="G1442" s="10" t="inlineStr">
        <is>
          <t>Nhân viên</t>
        </is>
      </c>
      <c r="H1442" s="10" t="inlineStr">
        <is>
          <t>23/02/2026</t>
        </is>
      </c>
      <c r="I1442" s="10" t="inlineStr">
        <is>
          <t>25/03/2026</t>
        </is>
      </c>
      <c r="J1442" s="10" t="inlineStr">
        <is>
          <t>17/03/2026</t>
        </is>
      </c>
      <c r="K1442" s="10" t="inlineStr">
        <is>
          <t>N/A</t>
        </is>
      </c>
      <c r="L1442" s="10" t="inlineStr">
        <is>
          <t>Financial Planning, Drafting Documents, Analysis Report, Data-Driven, Attention To Detail</t>
        </is>
      </c>
      <c r="M1442" s="10" t="inlineStr">
        <is>
          <t>Bonus, Paid Leave, Training</t>
        </is>
      </c>
      <c r="N1442" s="11">
        <f>HYPERLINK("https://www.vietnamworks.com/paraplanner-fresh-graduate-experience--2012321-jv","Xem chi tiết")</f>
        <v/>
      </c>
      <c r="O1442" s="10" t="n"/>
    </row>
    <row r="1443">
      <c r="B1443" s="7" t="n">
        <v>1441</v>
      </c>
      <c r="C1443" t="inlineStr">
        <is>
          <t>Warehouse Supervisor - Life Science</t>
        </is>
      </c>
      <c r="D1443" t="inlineStr">
        <is>
          <t>Merck Vietnam</t>
        </is>
      </c>
      <c r="E1443" t="inlineStr">
        <is>
          <t>Thương lượng</t>
        </is>
      </c>
      <c r="F1443" t="inlineStr">
        <is>
          <t>Hồ Chí Minh</t>
        </is>
      </c>
      <c r="G1443" t="inlineStr">
        <is>
          <t>Nhân viên</t>
        </is>
      </c>
      <c r="H1443" t="inlineStr">
        <is>
          <t>23/02/2026</t>
        </is>
      </c>
      <c r="I1443" t="inlineStr">
        <is>
          <t>25/03/2026</t>
        </is>
      </c>
      <c r="J1443" t="inlineStr">
        <is>
          <t>17/03/2026</t>
        </is>
      </c>
      <c r="K1443" t="inlineStr">
        <is>
          <t>N/A</t>
        </is>
      </c>
      <c r="L1443" t="inlineStr">
        <is>
          <t>Chemical Distribution, Leadership, Negotiation, Time Management, Warehouse Management</t>
        </is>
      </c>
      <c r="M1443" t="inlineStr">
        <is>
          <t>Bonus, Healthcare Plan, Laptop</t>
        </is>
      </c>
      <c r="N1443" s="8">
        <f>HYPERLINK("https://www.vietnamworks.com/warehouse-supervisor-life-science-2012315-jv","Xem chi tiết")</f>
        <v/>
      </c>
    </row>
    <row r="1444">
      <c r="B1444" s="9" t="n">
        <v>1442</v>
      </c>
      <c r="C1444" s="10" t="inlineStr">
        <is>
          <t>Giám sát bán hàng - Khu vực Bình Dương (Bến Cát)</t>
        </is>
      </c>
      <c r="D1444" s="10" t="inlineStr">
        <is>
          <t>PepsiCo Foods Vietnam Company</t>
        </is>
      </c>
      <c r="E1444" s="10" t="inlineStr">
        <is>
          <t>Thương lượng</t>
        </is>
      </c>
      <c r="F1444" s="10" t="inlineStr">
        <is>
          <t>Bình Dương</t>
        </is>
      </c>
      <c r="G1444" s="10" t="inlineStr">
        <is>
          <t>Nhân viên</t>
        </is>
      </c>
      <c r="H1444" s="10" t="inlineStr">
        <is>
          <t>23/02/2026</t>
        </is>
      </c>
      <c r="I1444" s="10" t="inlineStr">
        <is>
          <t>25/03/2026</t>
        </is>
      </c>
      <c r="J1444" s="10" t="inlineStr">
        <is>
          <t>17/03/2026</t>
        </is>
      </c>
      <c r="K1444" s="10" t="inlineStr">
        <is>
          <t>N/A</t>
        </is>
      </c>
      <c r="L1444" s="10" t="inlineStr">
        <is>
          <t>Bán hàng, Giám Sát Bán Hàng, Sales, Sales Supervisor</t>
        </is>
      </c>
      <c r="M1444" s="10" t="inlineStr">
        <is>
          <t>Bonus</t>
        </is>
      </c>
      <c r="N1444" s="11">
        <f>HYPERLINK("https://www.vietnamworks.com/giam-sat-ban-hang-khu-vuc-binh-duong-ben-cat-2012302-jv","Xem chi tiết")</f>
        <v/>
      </c>
      <c r="O1444" s="10" t="n"/>
    </row>
    <row r="1445">
      <c r="B1445" s="7" t="n">
        <v>1443</v>
      </c>
      <c r="C1445" t="inlineStr">
        <is>
          <t>Kỹ Sư Tư vấn kỹ thuật (Technical Consultant) | Xi măng/Bê tông</t>
        </is>
      </c>
      <c r="D1445" t="inlineStr">
        <is>
          <t>INSEE Vietnam</t>
        </is>
      </c>
      <c r="E1445" t="inlineStr">
        <is>
          <t>Thương lượng</t>
        </is>
      </c>
      <c r="F1445" t="inlineStr">
        <is>
          <t>Hồ Chí Minh</t>
        </is>
      </c>
      <c r="G1445" t="inlineStr">
        <is>
          <t>Nhân viên</t>
        </is>
      </c>
      <c r="H1445" t="inlineStr">
        <is>
          <t>23/02/2026</t>
        </is>
      </c>
      <c r="I1445" t="inlineStr">
        <is>
          <t>25/03/2026</t>
        </is>
      </c>
      <c r="J1445" t="inlineStr">
        <is>
          <t>17/03/2026</t>
        </is>
      </c>
      <c r="K1445" t="inlineStr">
        <is>
          <t>N/A</t>
        </is>
      </c>
      <c r="L1445" t="inlineStr">
        <is>
          <t>Communication Skills, Problem Solving, Technical Expertise</t>
        </is>
      </c>
      <c r="M1445" t="inlineStr">
        <is>
          <t>Bonus, Healthcare Plan, Paid Leave, Training, Laptop</t>
        </is>
      </c>
      <c r="N1445" s="8">
        <f>HYPERLINK("https://www.vietnamworks.com/ky-su-tu-van-ky-thuat-technical-consultant-or-xi-mangbe-tong-2012295-jv","Xem chi tiết")</f>
        <v/>
      </c>
    </row>
    <row r="1446">
      <c r="B1446" s="9" t="n">
        <v>1444</v>
      </c>
      <c r="C1446" s="10" t="inlineStr">
        <is>
          <t>Nhân Viên Logistics</t>
        </is>
      </c>
      <c r="D1446" s="10" t="inlineStr">
        <is>
          <t>CÔNG TY CỔ PHẦN PIN ẮC QUY MIỀN NAM</t>
        </is>
      </c>
      <c r="E1446" s="10" t="inlineStr">
        <is>
          <t>$$ 600-800 /tháng</t>
        </is>
      </c>
      <c r="F1446" s="10" t="inlineStr">
        <is>
          <t>Hồ Chí Minh</t>
        </is>
      </c>
      <c r="G1446" s="10" t="inlineStr">
        <is>
          <t>Nhân viên</t>
        </is>
      </c>
      <c r="H1446" s="10" t="inlineStr">
        <is>
          <t>23/02/2026</t>
        </is>
      </c>
      <c r="I1446" s="10" t="inlineStr">
        <is>
          <t>25/03/2026</t>
        </is>
      </c>
      <c r="J1446" s="10" t="inlineStr">
        <is>
          <t>17/03/2026</t>
        </is>
      </c>
      <c r="K1446" s="10" t="inlineStr">
        <is>
          <t>N/A</t>
        </is>
      </c>
      <c r="L1446" s="10" t="inlineStr">
        <is>
          <t>Khai Báo Hải Quan, Logistics &amp; Coordination, Logistics/Transportation Degree, SAP, Shipping Logistics</t>
        </is>
      </c>
      <c r="M1446" s="10" t="inlineStr">
        <is>
          <t>Bonus</t>
        </is>
      </c>
      <c r="N1446" s="11">
        <f>HYPERLINK("https://www.vietnamworks.com/nhan-vien-logistics-2012336-jv","Xem chi tiết")</f>
        <v/>
      </c>
      <c r="O1446" s="10" t="n"/>
    </row>
    <row r="1447">
      <c r="B1447" s="7" t="n">
        <v>1445</v>
      </c>
      <c r="C1447" t="inlineStr">
        <is>
          <t>[Đà Nẵng] E-Commerce Specialist (Amazon Platform)</t>
        </is>
      </c>
      <c r="D1447" t="inlineStr">
        <is>
          <t>Công Ty TNHH Gigacloud Trading Việt Nam</t>
        </is>
      </c>
      <c r="E1447" t="inlineStr">
        <is>
          <t>Từ 18tr ₫/tháng</t>
        </is>
      </c>
      <c r="F1447" t="inlineStr">
        <is>
          <t>Đà Nẵng</t>
        </is>
      </c>
      <c r="G1447" t="inlineStr">
        <is>
          <t>Nhân viên</t>
        </is>
      </c>
      <c r="H1447" t="inlineStr">
        <is>
          <t>23/02/2026</t>
        </is>
      </c>
      <c r="I1447" t="inlineStr">
        <is>
          <t>25/03/2026</t>
        </is>
      </c>
      <c r="J1447" t="inlineStr">
        <is>
          <t>17/03/2026</t>
        </is>
      </c>
      <c r="K1447" t="inlineStr">
        <is>
          <t>N/A</t>
        </is>
      </c>
      <c r="L1447" t="inlineStr">
        <is>
          <t>Product Management, SEO Research, Ecommerce Platforms, Content Creative, Amazon</t>
        </is>
      </c>
      <c r="M1447" t="inlineStr">
        <is>
          <t>Bonus, Healthcare Plan, Others</t>
        </is>
      </c>
      <c r="N1447" s="8">
        <f>HYPERLINK("https://www.vietnamworks.com/da-nang-e-commerce-specialist-amazon-platform--2012328-jv","Xem chi tiết")</f>
        <v/>
      </c>
    </row>
    <row r="1448">
      <c r="B1448" s="9" t="n">
        <v>1446</v>
      </c>
      <c r="C1448" s="10" t="inlineStr">
        <is>
          <t>Chuyên Viên Pháp Lý Dự Án</t>
        </is>
      </c>
      <c r="D1448" s="10" t="inlineStr">
        <is>
          <t>Công ty Cổ phần Xây dựng Hợp Lực</t>
        </is>
      </c>
      <c r="E1448" s="10" t="inlineStr">
        <is>
          <t>Thương lượng</t>
        </is>
      </c>
      <c r="F1448" s="10" t="inlineStr">
        <is>
          <t>Hà Nội</t>
        </is>
      </c>
      <c r="G1448" s="10" t="inlineStr">
        <is>
          <t>Nhân viên</t>
        </is>
      </c>
      <c r="H1448" s="10" t="inlineStr">
        <is>
          <t>23/02/2026</t>
        </is>
      </c>
      <c r="I1448" s="10" t="inlineStr">
        <is>
          <t>25/03/2026</t>
        </is>
      </c>
      <c r="J1448" s="10" t="inlineStr">
        <is>
          <t>17/03/2026</t>
        </is>
      </c>
      <c r="K1448" s="10" t="inlineStr">
        <is>
          <t>N/A</t>
        </is>
      </c>
      <c r="L1448" s="10" t="inlineStr">
        <is>
          <t>Quản Lý Dự Án, Pháp Lý, Xây Dựng, Nghiệm Thu Công Trình, Môi Trường</t>
        </is>
      </c>
      <c r="M1448" s="10" t="inlineStr">
        <is>
          <t>Bonus, Healthcare Plan, Travel Opportunities</t>
        </is>
      </c>
      <c r="N1448" s="11">
        <f>HYPERLINK("https://www.vietnamworks.com/chuyen-vien-phap-ly-du-an--2012323-jv","Xem chi tiết")</f>
        <v/>
      </c>
      <c r="O1448" s="10" t="n"/>
    </row>
    <row r="1449">
      <c r="B1449" s="7" t="n">
        <v>1447</v>
      </c>
      <c r="C1449" t="inlineStr">
        <is>
          <t>Receptionist &amp; Administration Officer</t>
        </is>
      </c>
      <c r="D1449" t="inlineStr">
        <is>
          <t>Little Genius International Kindergarten &amp; Educational Center</t>
        </is>
      </c>
      <c r="E1449" t="inlineStr">
        <is>
          <t>Thương lượng</t>
        </is>
      </c>
      <c r="F1449" t="inlineStr">
        <is>
          <t>Hồ Chí Minh</t>
        </is>
      </c>
      <c r="G1449" t="inlineStr">
        <is>
          <t>Nhân viên</t>
        </is>
      </c>
      <c r="H1449" t="inlineStr">
        <is>
          <t>23/02/2026</t>
        </is>
      </c>
      <c r="I1449" t="inlineStr">
        <is>
          <t>25/03/2026</t>
        </is>
      </c>
      <c r="J1449" t="inlineStr">
        <is>
          <t>17/03/2026</t>
        </is>
      </c>
      <c r="K1449" t="inlineStr">
        <is>
          <t>N/A</t>
        </is>
      </c>
      <c r="L1449" t="inlineStr">
        <is>
          <t>English Education, Teaching Children</t>
        </is>
      </c>
      <c r="M1449" t="inlineStr">
        <is>
          <t>Bonus, Training, Canteen</t>
        </is>
      </c>
      <c r="N1449" s="8">
        <f>HYPERLINK("https://www.vietnamworks.com/receptionist-administration-officer--2012326-jv","Xem chi tiết")</f>
        <v/>
      </c>
    </row>
    <row r="1450">
      <c r="B1450" s="9" t="n">
        <v>1448</v>
      </c>
      <c r="C1450" s="10" t="inlineStr">
        <is>
          <t>Supervisor Planning and Revenue Management</t>
        </is>
      </c>
      <c r="D1450" s="10" t="inlineStr">
        <is>
          <t>Vietjetair Cargo JSC</t>
        </is>
      </c>
      <c r="E1450" s="10" t="inlineStr">
        <is>
          <t>Thương lượng</t>
        </is>
      </c>
      <c r="F1450" s="10" t="inlineStr">
        <is>
          <t>Hồ Chí Minh</t>
        </is>
      </c>
      <c r="G1450" s="10" t="inlineStr">
        <is>
          <t>Nhân viên</t>
        </is>
      </c>
      <c r="H1450" s="10" t="inlineStr">
        <is>
          <t>23/02/2026</t>
        </is>
      </c>
      <c r="I1450" s="10" t="inlineStr">
        <is>
          <t>25/03/2026</t>
        </is>
      </c>
      <c r="J1450" s="10" t="inlineStr">
        <is>
          <t>17/03/2026</t>
        </is>
      </c>
      <c r="K1450" s="10" t="inlineStr">
        <is>
          <t>N/A</t>
        </is>
      </c>
      <c r="L1450" s="10" t="inlineStr">
        <is>
          <t>Revenue Management, Business Analysis, Strategic Planning, Performance Monitoring, Market Research</t>
        </is>
      </c>
      <c r="M1450" s="10" t="inlineStr">
        <is>
          <t>Bonus, Travel Opportunities</t>
        </is>
      </c>
      <c r="N1450" s="11">
        <f>HYPERLINK("https://www.vietnamworks.com/supervisor-planning-and-revenue-management-2012304-jv","Xem chi tiết")</f>
        <v/>
      </c>
      <c r="O1450" s="10" t="n"/>
    </row>
    <row r="1451">
      <c r="B1451" s="7" t="n">
        <v>1449</v>
      </c>
      <c r="C1451" t="inlineStr">
        <is>
          <t>Nhân Viên Viên Kỹ Thuật</t>
        </is>
      </c>
      <c r="D1451" t="inlineStr">
        <is>
          <t>CÔNG TY TNHH VMD HVAC VIỆT NAM</t>
        </is>
      </c>
      <c r="E1451" t="inlineStr">
        <is>
          <t>Thương lượng</t>
        </is>
      </c>
      <c r="F1451" t="inlineStr">
        <is>
          <t>Hà Nội</t>
        </is>
      </c>
      <c r="G1451" t="inlineStr">
        <is>
          <t>Nhân viên</t>
        </is>
      </c>
      <c r="H1451" t="inlineStr">
        <is>
          <t>23/02/2026</t>
        </is>
      </c>
      <c r="I1451" t="inlineStr">
        <is>
          <t>25/03/2026</t>
        </is>
      </c>
      <c r="J1451" t="inlineStr">
        <is>
          <t>17/03/2026</t>
        </is>
      </c>
      <c r="K1451" t="inlineStr">
        <is>
          <t>N/A</t>
        </is>
      </c>
      <c r="L1451" t="inlineStr">
        <is>
          <t>Báo Giá, Giải Pháp Kỹ Thuật, Tư vấn kỹ thuật HVAC, VRF, HVAC</t>
        </is>
      </c>
      <c r="M1451" t="inlineStr">
        <is>
          <t>Bonus, Healthcare Plan, Training, Canteen, Others</t>
        </is>
      </c>
      <c r="N1451" s="8">
        <f>HYPERLINK("https://www.vietnamworks.com/nhan-vien-vien-ky-thuat-2012333-jv","Xem chi tiết")</f>
        <v/>
      </c>
    </row>
    <row r="1452">
      <c r="B1452" s="9" t="n">
        <v>1450</v>
      </c>
      <c r="C1452" s="10" t="inlineStr">
        <is>
          <t>Chuyên Viên Chính/Chuyên Viên Cao Cấp Quản Trị Hệ Thống</t>
        </is>
      </c>
      <c r="D1452" s="10" t="inlineStr">
        <is>
          <t>Ngân hàng TMCP Tiên Phong (TPBank)</t>
        </is>
      </c>
      <c r="E1452" s="10" t="inlineStr">
        <is>
          <t>Thương lượng</t>
        </is>
      </c>
      <c r="F1452" s="10" t="inlineStr">
        <is>
          <t>Hà Nội</t>
        </is>
      </c>
      <c r="G1452" s="10" t="inlineStr">
        <is>
          <t>Nhân viên</t>
        </is>
      </c>
      <c r="H1452" s="10" t="inlineStr">
        <is>
          <t>23/02/2026</t>
        </is>
      </c>
      <c r="I1452" s="10" t="inlineStr">
        <is>
          <t>25/03/2026</t>
        </is>
      </c>
      <c r="J1452" s="10" t="inlineStr">
        <is>
          <t>17/03/2026</t>
        </is>
      </c>
      <c r="K1452" s="10" t="inlineStr">
        <is>
          <t>N/A</t>
        </is>
      </c>
      <c r="L1452" s="10" t="inlineStr">
        <is>
          <t>Mail Server Management, Quản Trị Hệ Thống CNTT, Quản Trị Máy Chủ Server, Quản trị người dùng</t>
        </is>
      </c>
      <c r="M1452" s="10" t="inlineStr">
        <is>
          <t>Bonus, Awards, Others</t>
        </is>
      </c>
      <c r="N1452" s="11">
        <f>HYPERLINK("https://www.vietnamworks.com/chuyen-vien-chinhchuyen-vien-cao-cap-quan-tri-he-thong-2012337-jv","Xem chi tiết")</f>
        <v/>
      </c>
      <c r="O1452" s="10" t="n"/>
    </row>
    <row r="1453">
      <c r="B1453" s="7" t="n">
        <v>1451</v>
      </c>
      <c r="C1453" t="inlineStr">
        <is>
          <t>Fresher Mechanical Design Engineer (Must Have 3D Inventor)</t>
        </is>
      </c>
      <c r="D1453" t="inlineStr">
        <is>
          <t>Danieli – Industrielle Beteiligung Co., Ltd</t>
        </is>
      </c>
      <c r="E1453" t="inlineStr">
        <is>
          <t>Thương lượng</t>
        </is>
      </c>
      <c r="F1453" t="inlineStr">
        <is>
          <t>Hồ Chí Minh</t>
        </is>
      </c>
      <c r="G1453" t="inlineStr">
        <is>
          <t>Mới Tốt Nghiệp</t>
        </is>
      </c>
      <c r="H1453" t="inlineStr">
        <is>
          <t>23/02/2026</t>
        </is>
      </c>
      <c r="I1453" t="inlineStr">
        <is>
          <t>25/03/2026</t>
        </is>
      </c>
      <c r="J1453" t="inlineStr">
        <is>
          <t>17/03/2026</t>
        </is>
      </c>
      <c r="K1453" t="inlineStr">
        <is>
          <t>N/A</t>
        </is>
      </c>
      <c r="L1453" t="inlineStr">
        <is>
          <t>Auto Cad, 3D Modeling, Autodesk, Industrial Design, Mechanical Engineering</t>
        </is>
      </c>
      <c r="M1453" t="inlineStr">
        <is>
          <t>Bonus, Healthcare Plan, Paid Leave, Training, Team Activities, Transportation, Canteen</t>
        </is>
      </c>
      <c r="N1453" s="8">
        <f>HYPERLINK("https://www.vietnamworks.com/fresher-mechanical-design-engineer-must-have-3d-inventor-2012341-jv","Xem chi tiết")</f>
        <v/>
      </c>
    </row>
    <row r="1454">
      <c r="B1454" s="9" t="n">
        <v>1452</v>
      </c>
      <c r="C1454" s="10" t="inlineStr">
        <is>
          <t>Accounting Assistant Section Leader / Trợ Lý Trưởng Bộ Phận Kế Toán - Work in Nui Thanh, Da Nang (Huyện Núi Thành, Tỉnh Quảng Nam Cũ)- Reporting Work to Singapore</t>
        </is>
      </c>
      <c r="D1454" s="10" t="inlineStr">
        <is>
          <t>Công Ty TNHH CCI Việt Nam</t>
        </is>
      </c>
      <c r="E1454" s="10" t="inlineStr">
        <is>
          <t>Thương lượng</t>
        </is>
      </c>
      <c r="F1454" s="10" t="inlineStr">
        <is>
          <t>Đà Nẵng</t>
        </is>
      </c>
      <c r="G1454" s="10" t="inlineStr">
        <is>
          <t>Nhân viên</t>
        </is>
      </c>
      <c r="H1454" s="10" t="inlineStr">
        <is>
          <t>23/02/2026</t>
        </is>
      </c>
      <c r="I1454" s="10" t="inlineStr">
        <is>
          <t>25/03/2026</t>
        </is>
      </c>
      <c r="J1454" s="10" t="inlineStr">
        <is>
          <t>17/03/2026</t>
        </is>
      </c>
      <c r="K1454" s="10" t="inlineStr">
        <is>
          <t>N/A</t>
        </is>
      </c>
      <c r="L1454" s="10" t="inlineStr">
        <is>
          <t>Leadership, Communication, Analytical Skills, English, MS Excel</t>
        </is>
      </c>
      <c r="M1454" s="10" t="inlineStr">
        <is>
          <t>Bonus, Healthcare Plan, Paid Leave</t>
        </is>
      </c>
      <c r="N1454" s="11">
        <f>HYPERLINK("https://www.vietnamworks.com/accounting-assistant-section-leader-tro-ly-truong-bo-phan-ke-toan-work-in-nui-thanh-da-nang-huyen-nui-thanh-tinh-quang-nam-cu-reporting-work-to-singapore-2012297-jv","Xem chi tiết")</f>
        <v/>
      </c>
      <c r="O1454" s="10" t="n"/>
    </row>
    <row r="1455">
      <c r="B1455" s="7" t="n">
        <v>1453</v>
      </c>
      <c r="C1455" t="inlineStr">
        <is>
          <t>Accounting Senior Section Leader / Trưởng Bộ Phận Cấp Cao Bộ Phận Kế Toán - Work in Nui Thanh, Da Nang (Huyện Núi Thành, Tỉnh Quảng Nam Cũ) - Reporting Work to Singapore</t>
        </is>
      </c>
      <c r="D1455" t="inlineStr">
        <is>
          <t>Công Ty TNHH CCI Việt Nam</t>
        </is>
      </c>
      <c r="E1455" t="inlineStr">
        <is>
          <t>Thương lượng</t>
        </is>
      </c>
      <c r="F1455" t="inlineStr">
        <is>
          <t>Đà Nẵng</t>
        </is>
      </c>
      <c r="G1455" t="inlineStr">
        <is>
          <t>Nhân viên</t>
        </is>
      </c>
      <c r="H1455" t="inlineStr">
        <is>
          <t>23/02/2026</t>
        </is>
      </c>
      <c r="I1455" t="inlineStr">
        <is>
          <t>25/03/2026</t>
        </is>
      </c>
      <c r="J1455" t="inlineStr">
        <is>
          <t>17/03/2026</t>
        </is>
      </c>
      <c r="K1455" t="inlineStr">
        <is>
          <t>N/A</t>
        </is>
      </c>
      <c r="L1455" t="inlineStr">
        <is>
          <t>Internal Control, Cost &amp; Benefit Analysis, Quản Trị Kế Toán, Accounting Management, Fianancial analyst</t>
        </is>
      </c>
      <c r="M1455" t="inlineStr">
        <is>
          <t>Bonus, Healthcare Plan, Paid Leave</t>
        </is>
      </c>
      <c r="N1455" s="8">
        <f>HYPERLINK("https://www.vietnamworks.com/accounting-senior-section-leader-truong-bo-phan-cap-cao-bo-phan-ke-toan-work-in-nui-thanh-da-nang-huyen-nui-thanh-tinh-quang-nam-cu-reporting-work-to-singapore--2012303-jv","Xem chi tiết")</f>
        <v/>
      </c>
    </row>
    <row r="1456">
      <c r="B1456" s="9" t="n">
        <v>1454</v>
      </c>
      <c r="C1456" s="10" t="inlineStr">
        <is>
          <t>Supplier Quality Manager - Mechanical Background</t>
        </is>
      </c>
      <c r="D1456" s="10" t="inlineStr">
        <is>
          <t>Michael Page Vietnam</t>
        </is>
      </c>
      <c r="E1456" s="10" t="inlineStr">
        <is>
          <t>$$ 3,000-4,000 /tháng</t>
        </is>
      </c>
      <c r="F1456" s="10" t="inlineStr">
        <is>
          <t>Hồ Chí Minh</t>
        </is>
      </c>
      <c r="G1456" s="10" t="inlineStr">
        <is>
          <t>Nhân viên</t>
        </is>
      </c>
      <c r="H1456" s="10" t="inlineStr">
        <is>
          <t>23/02/2026</t>
        </is>
      </c>
      <c r="I1456" s="10" t="inlineStr">
        <is>
          <t>25/03/2026</t>
        </is>
      </c>
      <c r="J1456" s="10" t="inlineStr">
        <is>
          <t>17/03/2026</t>
        </is>
      </c>
      <c r="K1456" s="10" t="inlineStr">
        <is>
          <t>N/A</t>
        </is>
      </c>
      <c r="L1456" s="10" t="inlineStr">
        <is>
          <t>PPAP, Quality Analysis, Quality Management, Manufacturing Engineering, NPI Processing</t>
        </is>
      </c>
      <c r="M1456" s="10" t="inlineStr">
        <is>
          <t>Bonus, Paid Leave, Transportation</t>
        </is>
      </c>
      <c r="N1456" s="11">
        <f>HYPERLINK("https://www.vietnamworks.com/supplier-quality-manager-mechanical-background-2012306-jv","Xem chi tiết")</f>
        <v/>
      </c>
      <c r="O1456" s="10" t="n"/>
    </row>
    <row r="1457">
      <c r="B1457" s="7" t="n">
        <v>1455</v>
      </c>
      <c r="C1457" t="inlineStr">
        <is>
          <t>Engineer Manager Tại Nhà Máy Đắk Lắk</t>
        </is>
      </c>
      <c r="D1457" t="inlineStr">
        <is>
          <t>Công Ty TNHH Thai Nakorn Patana Việt Nam</t>
        </is>
      </c>
      <c r="E1457" t="inlineStr">
        <is>
          <t>Thương lượng</t>
        </is>
      </c>
      <c r="F1457" t="inlineStr">
        <is>
          <t>Phú Yên, Đắk Lắk</t>
        </is>
      </c>
      <c r="G1457" t="inlineStr">
        <is>
          <t>Nhân viên</t>
        </is>
      </c>
      <c r="H1457" t="inlineStr">
        <is>
          <t>23/02/2026</t>
        </is>
      </c>
      <c r="I1457" t="inlineStr">
        <is>
          <t>25/03/2026</t>
        </is>
      </c>
      <c r="J1457" t="inlineStr">
        <is>
          <t>17/03/2026</t>
        </is>
      </c>
      <c r="K1457" t="inlineStr">
        <is>
          <t>N/A</t>
        </is>
      </c>
      <c r="L1457" t="inlineStr">
        <is>
          <t>Kỹ Thuật, Bảo Trì, Predictive Maintenance, Kỹ Thuật Điện, Cơ Điện</t>
        </is>
      </c>
      <c r="M1457" t="inlineStr">
        <is>
          <t>Bonus, Healthcare Plan</t>
        </is>
      </c>
      <c r="N1457" s="8">
        <f>HYPERLINK("https://www.vietnamworks.com/engineer-manager-tai-nha-may-dak-lak-2012305-jv","Xem chi tiết")</f>
        <v/>
      </c>
    </row>
    <row r="1458">
      <c r="B1458" s="9" t="n">
        <v>1456</v>
      </c>
      <c r="C1458" s="10" t="inlineStr">
        <is>
          <t>Operation Staff</t>
        </is>
      </c>
      <c r="D1458" s="10" t="inlineStr">
        <is>
          <t>Trancy Logistics (Vietnam) CO., LTD/ Trancy Distribution (Vietnam) CO., LTD</t>
        </is>
      </c>
      <c r="E1458" s="10" t="inlineStr">
        <is>
          <t>$$ 350-500 /tháng</t>
        </is>
      </c>
      <c r="F1458" s="10" t="inlineStr">
        <is>
          <t>Đồng Nai</t>
        </is>
      </c>
      <c r="G1458" s="10" t="inlineStr">
        <is>
          <t>Nhân viên</t>
        </is>
      </c>
      <c r="H1458" s="10" t="inlineStr">
        <is>
          <t>23/02/2026</t>
        </is>
      </c>
      <c r="I1458" s="10" t="inlineStr">
        <is>
          <t>25/03/2026</t>
        </is>
      </c>
      <c r="J1458" s="10" t="inlineStr">
        <is>
          <t>17/03/2026</t>
        </is>
      </c>
      <c r="K1458" s="10" t="inlineStr">
        <is>
          <t>N/A</t>
        </is>
      </c>
      <c r="L1458" s="10" t="inlineStr">
        <is>
          <t>Customs Clearance, English Fluency, Shipping Documents, Status Tracking, Booking To Shipping Line</t>
        </is>
      </c>
      <c r="M1458" s="10" t="inlineStr">
        <is>
          <t>Others</t>
        </is>
      </c>
      <c r="N1458" s="11">
        <f>HYPERLINK("https://www.vietnamworks.com/operation-staff-2012342-jv","Xem chi tiết")</f>
        <v/>
      </c>
      <c r="O1458" s="10" t="n"/>
    </row>
    <row r="1459">
      <c r="B1459" s="7" t="n">
        <v>1457</v>
      </c>
      <c r="C1459" t="inlineStr">
        <is>
          <t>Chuyên Viên Quản Trị Nhãn Hiệu/ Assistant Brand Manager</t>
        </is>
      </c>
      <c r="D1459" t="inlineStr">
        <is>
          <t>Tổng Công Ty Cổ Phần Bia-Rượu-Nước Giải Khát Hà Nội (Habeco)</t>
        </is>
      </c>
      <c r="E1459" t="inlineStr">
        <is>
          <t>13tr-25tr ₫/tháng</t>
        </is>
      </c>
      <c r="F1459" t="inlineStr">
        <is>
          <t>Hà Nội</t>
        </is>
      </c>
      <c r="G1459" t="inlineStr">
        <is>
          <t>Nhân viên</t>
        </is>
      </c>
      <c r="H1459" t="inlineStr">
        <is>
          <t>23/02/2026</t>
        </is>
      </c>
      <c r="I1459" t="inlineStr">
        <is>
          <t>25/03/2026</t>
        </is>
      </c>
      <c r="J1459" t="inlineStr">
        <is>
          <t>17/03/2026</t>
        </is>
      </c>
      <c r="K1459" t="inlineStr">
        <is>
          <t>N/A</t>
        </is>
      </c>
      <c r="L1459" t="inlineStr">
        <is>
          <t>Quản Lý Thương Hiệu, Truyền Thông Thương Hiệu, Marketing Planning, Nghiên Cứu Thị Trường, Quản Lý Ngân Sách</t>
        </is>
      </c>
      <c r="M1459" t="inlineStr">
        <is>
          <t>Bonus, Healthcare Plan, Training, Team Activities, Canteen</t>
        </is>
      </c>
      <c r="N1459" s="8">
        <f>HYPERLINK("https://www.vietnamworks.com/chuyen-vien-quan-tri-nhan-hieu-assistant-brand-manager-2012309-jv","Xem chi tiết")</f>
        <v/>
      </c>
    </row>
    <row r="1460">
      <c r="B1460" s="9" t="n">
        <v>1458</v>
      </c>
      <c r="C1460" s="10" t="inlineStr">
        <is>
          <t>Nhân Viên Kê Khai Đóng Thuế (Không Cần Kinh Nghiệm)- Làm Việc Tại Quận 2</t>
        </is>
      </c>
      <c r="D1460" s="10" t="inlineStr">
        <is>
          <t>Công Ty TNHH Không Gian VN</t>
        </is>
      </c>
      <c r="E1460" s="10" t="inlineStr">
        <is>
          <t>11tr-12tr ₫/tháng</t>
        </is>
      </c>
      <c r="F1460" s="10" t="inlineStr">
        <is>
          <t>Hồ Chí Minh</t>
        </is>
      </c>
      <c r="G1460" s="10" t="inlineStr">
        <is>
          <t>Mới Tốt Nghiệp</t>
        </is>
      </c>
      <c r="H1460" s="10" t="inlineStr">
        <is>
          <t>23/02/2026</t>
        </is>
      </c>
      <c r="I1460" s="10" t="inlineStr">
        <is>
          <t>25/03/2026</t>
        </is>
      </c>
      <c r="J1460" s="10" t="inlineStr">
        <is>
          <t>17/03/2026</t>
        </is>
      </c>
      <c r="K1460" s="10" t="inlineStr">
        <is>
          <t>N/A</t>
        </is>
      </c>
      <c r="L1460" s="10" t="inlineStr">
        <is>
          <t>Lưu Trữ Hồ Sơ, Thanh Toán Thuế, Thủ Tục Kê Khai, Bất Động Sản, Kê Khai Thuế</t>
        </is>
      </c>
      <c r="M1460" s="10" t="inlineStr">
        <is>
          <t>Healthcare Plan, Training, Travel Opportunities</t>
        </is>
      </c>
      <c r="N1460" s="11">
        <f>HYPERLINK("https://www.vietnamworks.com/nhan-vien-ke-khai-dong-thue-khong-can-kinh-nghiem-lam-viec-tai-quan-2-2012322-jv","Xem chi tiết")</f>
        <v/>
      </c>
      <c r="O1460" s="10" t="n"/>
    </row>
    <row r="1461">
      <c r="B1461" s="7" t="n">
        <v>1459</v>
      </c>
      <c r="C1461" t="inlineStr">
        <is>
          <t>Project Manager</t>
        </is>
      </c>
      <c r="D1461" t="inlineStr">
        <is>
          <t>CST Industries Vietnam</t>
        </is>
      </c>
      <c r="E1461" t="inlineStr">
        <is>
          <t>Thương lượng</t>
        </is>
      </c>
      <c r="F1461" t="inlineStr">
        <is>
          <t>Hồ Chí Minh</t>
        </is>
      </c>
      <c r="G1461" t="inlineStr">
        <is>
          <t>Trưởng phòng</t>
        </is>
      </c>
      <c r="H1461" t="inlineStr">
        <is>
          <t>23/02/2026</t>
        </is>
      </c>
      <c r="I1461" t="inlineStr">
        <is>
          <t>25/03/2026</t>
        </is>
      </c>
      <c r="J1461" t="inlineStr">
        <is>
          <t>17/03/2026</t>
        </is>
      </c>
      <c r="K1461" t="inlineStr">
        <is>
          <t>N/A</t>
        </is>
      </c>
      <c r="L1461" t="inlineStr">
        <is>
          <t>Project Management, Organizational skills, Interpersonal skills, English, ERP System</t>
        </is>
      </c>
      <c r="M1461" t="inlineStr">
        <is>
          <t>Bonus, Healthcare Plan, Team Activities</t>
        </is>
      </c>
      <c r="N1461" s="8">
        <f>HYPERLINK("https://www.vietnamworks.com/project-manager-2012320-jv","Xem chi tiết")</f>
        <v/>
      </c>
    </row>
    <row r="1462">
      <c r="B1462" s="9" t="n">
        <v>1460</v>
      </c>
      <c r="C1462" s="10" t="inlineStr">
        <is>
          <t>Buyer (English Language)</t>
        </is>
      </c>
      <c r="D1462" s="10" t="inlineStr">
        <is>
          <t>Cong Ty TNHH EMI Asia VietNam</t>
        </is>
      </c>
      <c r="E1462" s="10" t="inlineStr">
        <is>
          <t>$$ 420-550 /tháng</t>
        </is>
      </c>
      <c r="F1462" s="10" t="inlineStr">
        <is>
          <t>Long An, Hồ Chí Minh</t>
        </is>
      </c>
      <c r="G1462" s="10" t="inlineStr">
        <is>
          <t>Nhân viên</t>
        </is>
      </c>
      <c r="H1462" s="10" t="inlineStr">
        <is>
          <t>23/02/2026</t>
        </is>
      </c>
      <c r="I1462" s="10" t="inlineStr">
        <is>
          <t>25/03/2026</t>
        </is>
      </c>
      <c r="J1462" s="10" t="inlineStr">
        <is>
          <t>17/03/2026</t>
        </is>
      </c>
      <c r="K1462" s="10" t="inlineStr">
        <is>
          <t>N/A</t>
        </is>
      </c>
      <c r="L1462" s="10" t="inlineStr">
        <is>
          <t>Xuất Nhập Khẩu, Purchase Management, Good English Skills, Chinese Speaking, Negotiation Skills</t>
        </is>
      </c>
      <c r="M1462" s="10" t="inlineStr">
        <is>
          <t>Bonus, Paid Leave, Travel Opportunities</t>
        </is>
      </c>
      <c r="N1462" s="11">
        <f>HYPERLINK("https://www.vietnamworks.com/buyer-english-language-2012349-jv","Xem chi tiết")</f>
        <v/>
      </c>
      <c r="O1462" s="10" t="n"/>
    </row>
    <row r="1463">
      <c r="B1463" s="7" t="n">
        <v>1461</v>
      </c>
      <c r="C1463" t="inlineStr">
        <is>
          <t>Senior Talent Acquisition</t>
        </is>
      </c>
      <c r="D1463" t="inlineStr">
        <is>
          <t>Box Việt Nam</t>
        </is>
      </c>
      <c r="E1463" t="inlineStr">
        <is>
          <t>Thương lượng</t>
        </is>
      </c>
      <c r="F1463" t="inlineStr">
        <is>
          <t>Hồ Chí Minh</t>
        </is>
      </c>
      <c r="G1463" t="inlineStr">
        <is>
          <t>Nhân viên</t>
        </is>
      </c>
      <c r="H1463" t="inlineStr">
        <is>
          <t>23/02/2026</t>
        </is>
      </c>
      <c r="I1463" t="inlineStr">
        <is>
          <t>25/03/2026</t>
        </is>
      </c>
      <c r="J1463" t="inlineStr">
        <is>
          <t>17/03/2026</t>
        </is>
      </c>
      <c r="K1463" t="inlineStr">
        <is>
          <t>N/A</t>
        </is>
      </c>
      <c r="L1463" t="inlineStr">
        <is>
          <t>Candidate Sourcing, Goal Oriented, Network Development, Recruitment Tools, Time Management</t>
        </is>
      </c>
      <c r="M1463" t="inlineStr">
        <is>
          <t>Bonus, Training, Team Activities, Others</t>
        </is>
      </c>
      <c r="N1463" s="8">
        <f>HYPERLINK("https://www.vietnamworks.com/senior-talent-acquisition--2012346-jv","Xem chi tiết")</f>
        <v/>
      </c>
    </row>
    <row r="1464">
      <c r="B1464" s="9" t="n">
        <v>1462</v>
      </c>
      <c r="C1464" s="10" t="inlineStr">
        <is>
          <t>Chuyên Viên Chính/ Chuyên Viên Cao Cấp Quản Trị Mạng</t>
        </is>
      </c>
      <c r="D1464" s="10" t="inlineStr">
        <is>
          <t>Ngân hàng TMCP Tiên Phong (TPBank)</t>
        </is>
      </c>
      <c r="E1464" s="10" t="inlineStr">
        <is>
          <t>Thương lượng</t>
        </is>
      </c>
      <c r="F1464" s="10" t="inlineStr">
        <is>
          <t>Hà Nội</t>
        </is>
      </c>
      <c r="G1464" s="10" t="inlineStr">
        <is>
          <t>Nhân viên</t>
        </is>
      </c>
      <c r="H1464" s="10" t="inlineStr">
        <is>
          <t>23/02/2026</t>
        </is>
      </c>
      <c r="I1464" s="10" t="inlineStr">
        <is>
          <t>25/03/2026</t>
        </is>
      </c>
      <c r="J1464" s="10" t="inlineStr">
        <is>
          <t>17/03/2026</t>
        </is>
      </c>
      <c r="K1464" s="10" t="inlineStr">
        <is>
          <t>N/A</t>
        </is>
      </c>
      <c r="L1464" s="10" t="inlineStr">
        <is>
          <t>Quản Trị Mạng, Thiết Kế Hệ Thống Mạng, Giám Sát Hệ Thống, Phân Tích Logging, Quản Trị Hệ Thống</t>
        </is>
      </c>
      <c r="M1464" s="10" t="inlineStr">
        <is>
          <t>Bonus, Awards, Others</t>
        </is>
      </c>
      <c r="N1464" s="11">
        <f>HYPERLINK("https://www.vietnamworks.com/chuyen-vien-chinh-chuyen-vien-cao-cap-quan-tri-mang-2012345-jv","Xem chi tiết")</f>
        <v/>
      </c>
      <c r="O1464" s="10" t="n"/>
    </row>
    <row r="1465">
      <c r="B1465" s="7" t="n">
        <v>1463</v>
      </c>
      <c r="C1465" t="inlineStr">
        <is>
          <t>Marketing &amp; Communications Associate</t>
        </is>
      </c>
      <c r="D1465" t="inlineStr">
        <is>
          <t>First Trust ACPA Vietnam CO., LTD</t>
        </is>
      </c>
      <c r="E1465" t="inlineStr">
        <is>
          <t>Thương lượng</t>
        </is>
      </c>
      <c r="F1465" t="inlineStr">
        <is>
          <t>Hà Nội</t>
        </is>
      </c>
      <c r="G1465" t="inlineStr">
        <is>
          <t>Mới Tốt Nghiệp</t>
        </is>
      </c>
      <c r="H1465" t="inlineStr">
        <is>
          <t>23/02/2026</t>
        </is>
      </c>
      <c r="I1465" t="inlineStr">
        <is>
          <t>25/03/2026</t>
        </is>
      </c>
      <c r="J1465" t="inlineStr">
        <is>
          <t>17/03/2026</t>
        </is>
      </c>
      <c r="K1465" t="inlineStr">
        <is>
          <t>N/A</t>
        </is>
      </c>
      <c r="L1465" t="inlineStr">
        <is>
          <t>Communication, Content Creation, Digital Marketing, Graphics Design, Media Tools Proficiency</t>
        </is>
      </c>
      <c r="M1465" t="inlineStr">
        <is>
          <t>Others</t>
        </is>
      </c>
      <c r="N1465" s="8">
        <f>HYPERLINK("https://www.vietnamworks.com/marketing-and-communications-associate-2012355-jv","Xem chi tiết")</f>
        <v/>
      </c>
    </row>
    <row r="1466">
      <c r="B1466" s="9" t="n">
        <v>1464</v>
      </c>
      <c r="C1466" s="10" t="inlineStr">
        <is>
          <t>Senior Legal Officer</t>
        </is>
      </c>
      <c r="D1466" s="10" t="inlineStr">
        <is>
          <t>FORD VIETNAM LIMITED</t>
        </is>
      </c>
      <c r="E1466" s="10" t="inlineStr">
        <is>
          <t>$$ 2,000-3,500 /tháng</t>
        </is>
      </c>
      <c r="F1466" s="10" t="inlineStr">
        <is>
          <t>Hà Nội</t>
        </is>
      </c>
      <c r="G1466" s="10" t="inlineStr">
        <is>
          <t>Nhân viên</t>
        </is>
      </c>
      <c r="H1466" s="10" t="inlineStr">
        <is>
          <t>23/02/2026</t>
        </is>
      </c>
      <c r="I1466" s="10" t="inlineStr">
        <is>
          <t>25/03/2026</t>
        </is>
      </c>
      <c r="J1466" s="10" t="inlineStr">
        <is>
          <t>17/03/2026</t>
        </is>
      </c>
      <c r="K1466" s="10" t="inlineStr">
        <is>
          <t>N/A</t>
        </is>
      </c>
      <c r="L1466" s="10" t="inlineStr">
        <is>
          <t>Legal &amp; Compliance, Pháp Chế, Legal, Luật</t>
        </is>
      </c>
      <c r="M1466" s="10" t="inlineStr">
        <is>
          <t>Bonus, Healthcare Plan, Laptop</t>
        </is>
      </c>
      <c r="N1466" s="11">
        <f>HYPERLINK("https://www.vietnamworks.com/senior-legal-officer-2012352-jv","Xem chi tiết")</f>
        <v/>
      </c>
      <c r="O1466" s="10" t="n"/>
    </row>
    <row r="1467">
      <c r="B1467" s="7" t="n">
        <v>1465</v>
      </c>
      <c r="C1467" t="inlineStr">
        <is>
          <t>Giám Sát Kinh Doanh Xe Tải (20-30 Triệu + % Hoa Hồng)</t>
        </is>
      </c>
      <c r="D1467" t="inlineStr">
        <is>
          <t>FOTON VIETNAM VEHICLE COMPANY LIMITED</t>
        </is>
      </c>
      <c r="E1467" t="inlineStr">
        <is>
          <t>20tr-30tr ₫/tháng</t>
        </is>
      </c>
      <c r="F1467" t="inlineStr">
        <is>
          <t>Hồ Chí Minh, Hà Nội, Hải Phòng</t>
        </is>
      </c>
      <c r="G1467" t="inlineStr">
        <is>
          <t>Nhân viên</t>
        </is>
      </c>
      <c r="H1467" t="inlineStr">
        <is>
          <t>23/02/2026</t>
        </is>
      </c>
      <c r="I1467" t="inlineStr">
        <is>
          <t>25/03/2026</t>
        </is>
      </c>
      <c r="J1467" t="inlineStr">
        <is>
          <t>17/03/2026</t>
        </is>
      </c>
      <c r="K1467" t="inlineStr">
        <is>
          <t>N/A</t>
        </is>
      </c>
      <c r="L1467" t="inlineStr">
        <is>
          <t>Phát Triển Khách Hàng, Kinh Doanh, Sales, Ô Tô</t>
        </is>
      </c>
      <c r="M1467" t="inlineStr">
        <is>
          <t>Bonus, Healthcare Plan, Paid Leave, Training, Team Activities, Others</t>
        </is>
      </c>
      <c r="N1467" s="8">
        <f>HYPERLINK("https://www.vietnamworks.com/giam-sat-kinh-doanh-xe-tai-20-30-trieu-percent-hoa-hong-2012353-jv","Xem chi tiết")</f>
        <v/>
      </c>
    </row>
    <row r="1468">
      <c r="B1468" s="9" t="n">
        <v>1466</v>
      </c>
      <c r="C1468" s="10" t="inlineStr">
        <is>
          <t>CAD Operator, Tiếng Nhật N4</t>
        </is>
      </c>
      <c r="D1468" s="10" t="inlineStr">
        <is>
          <t>Noble Engineering Việt Nam Co.,ltd</t>
        </is>
      </c>
      <c r="E1468" s="10" t="inlineStr">
        <is>
          <t>Thương lượng</t>
        </is>
      </c>
      <c r="F1468" s="10" t="inlineStr">
        <is>
          <t>Hà Nội</t>
        </is>
      </c>
      <c r="G1468" s="10" t="inlineStr">
        <is>
          <t>Nhân viên</t>
        </is>
      </c>
      <c r="H1468" s="10" t="inlineStr">
        <is>
          <t>23/02/2026</t>
        </is>
      </c>
      <c r="I1468" s="10" t="inlineStr">
        <is>
          <t>25/03/2026</t>
        </is>
      </c>
      <c r="J1468" s="10" t="inlineStr">
        <is>
          <t>17/03/2026</t>
        </is>
      </c>
      <c r="K1468" s="10" t="inlineStr">
        <is>
          <t>N/A</t>
        </is>
      </c>
      <c r="L1468" s="10" t="inlineStr">
        <is>
          <t>CAD, BMS, Tiếng Nhật, Bản Vẽ Kỹ Thuật, Hệ Thống Điều Hòa Không Khí</t>
        </is>
      </c>
      <c r="M1468" s="10" t="inlineStr">
        <is>
          <t>Bonus, Healthcare Plan, Others</t>
        </is>
      </c>
      <c r="N1468" s="11">
        <f>HYPERLINK("https://www.vietnamworks.com/cad-operator-tieng-nhat-n4-2012348-jv","Xem chi tiết")</f>
        <v/>
      </c>
      <c r="O1468" s="10" t="n"/>
    </row>
    <row r="1469">
      <c r="B1469" s="7" t="n">
        <v>1467</v>
      </c>
      <c r="C1469" t="inlineStr">
        <is>
          <t>[ Hot Job ] Chuyên Viên Pháp Chế (Upto 20 Triệu Trở Lên)</t>
        </is>
      </c>
      <c r="D1469" t="inlineStr">
        <is>
          <t>Công Ty Cổ Phần Tập Đoàn Amdi</t>
        </is>
      </c>
      <c r="E1469" t="inlineStr">
        <is>
          <t>Từ 20tr ₫/tháng</t>
        </is>
      </c>
      <c r="F1469" t="inlineStr">
        <is>
          <t>Hà Nội</t>
        </is>
      </c>
      <c r="G1469" t="inlineStr">
        <is>
          <t>Nhân viên</t>
        </is>
      </c>
      <c r="H1469" t="inlineStr">
        <is>
          <t>23/02/2026</t>
        </is>
      </c>
      <c r="I1469" t="inlineStr">
        <is>
          <t>25/03/2026</t>
        </is>
      </c>
      <c r="J1469" t="inlineStr">
        <is>
          <t>17/03/2026</t>
        </is>
      </c>
      <c r="K1469" t="inlineStr">
        <is>
          <t>N/A</t>
        </is>
      </c>
      <c r="L1469" t="inlineStr">
        <is>
          <t>Luật, Bất Động Sản, Thủ Tục Pháp lý, Pháp Lý, Pháp Luật</t>
        </is>
      </c>
      <c r="M1469" t="inlineStr">
        <is>
          <t>Bonus, Healthcare Plan, Others</t>
        </is>
      </c>
      <c r="N1469" s="8">
        <f>HYPERLINK("https://www.vietnamworks.com/hot-job-chuyen-vien-phap-che-upto-20-trieu-tro-len-2012357-jv","Xem chi tiết")</f>
        <v/>
      </c>
    </row>
    <row r="1470">
      <c r="B1470" s="9" t="n">
        <v>1468</v>
      </c>
      <c r="C1470" s="10" t="inlineStr">
        <is>
          <t>Chuyên Viên Sáng Chế (Patent Specialist)</t>
        </is>
      </c>
      <c r="D1470" s="10" t="inlineStr">
        <is>
          <t>Seoul Semiconductor Vina</t>
        </is>
      </c>
      <c r="E1470" s="10" t="inlineStr">
        <is>
          <t>Thương lượng</t>
        </is>
      </c>
      <c r="F1470" s="10" t="inlineStr">
        <is>
          <t>Hà Nội, Hà Nam, Hưng Yên</t>
        </is>
      </c>
      <c r="G1470" s="10" t="inlineStr">
        <is>
          <t>Nhân viên</t>
        </is>
      </c>
      <c r="H1470" s="10" t="inlineStr">
        <is>
          <t>23/02/2026</t>
        </is>
      </c>
      <c r="I1470" s="10" t="inlineStr">
        <is>
          <t>25/03/2026</t>
        </is>
      </c>
      <c r="J1470" s="10" t="inlineStr">
        <is>
          <t>17/03/2026</t>
        </is>
      </c>
      <c r="K1470" s="10" t="inlineStr">
        <is>
          <t>N/A</t>
        </is>
      </c>
      <c r="L1470" s="10" t="inlineStr">
        <is>
          <t>Sở hữu trí tuệ, Patent Searching, Luật Sở Hữu Trí Tuệ, Patent Analysis, R&amp;D</t>
        </is>
      </c>
      <c r="M1470" s="10" t="inlineStr">
        <is>
          <t>Bonus, Laptop, Transportation</t>
        </is>
      </c>
      <c r="N1470" s="11">
        <f>HYPERLINK("https://www.vietnamworks.com/chuyen-vien-sang-che-patent-specialist-2012347-jv","Xem chi tiết")</f>
        <v/>
      </c>
      <c r="O1470" s="10" t="n"/>
    </row>
    <row r="1471">
      <c r="B1471" s="7" t="n">
        <v>1469</v>
      </c>
      <c r="C1471" t="inlineStr">
        <is>
          <t>Trưởng Phòng Quản Lý Chất Lượng</t>
        </is>
      </c>
      <c r="D1471" t="inlineStr">
        <is>
          <t>Công Ty TNHH Atai Fuji Electric Việt Nam</t>
        </is>
      </c>
      <c r="E1471" t="inlineStr">
        <is>
          <t>Thương lượng</t>
        </is>
      </c>
      <c r="F1471" t="inlineStr">
        <is>
          <t>Đồng Nai</t>
        </is>
      </c>
      <c r="G1471" t="inlineStr">
        <is>
          <t>Trưởng phòng</t>
        </is>
      </c>
      <c r="H1471" t="inlineStr">
        <is>
          <t>23/02/2026</t>
        </is>
      </c>
      <c r="I1471" t="inlineStr">
        <is>
          <t>25/03/2026</t>
        </is>
      </c>
      <c r="J1471" t="inlineStr">
        <is>
          <t>17/03/2026</t>
        </is>
      </c>
      <c r="K1471" t="inlineStr">
        <is>
          <t>N/A</t>
        </is>
      </c>
      <c r="L1471" t="inlineStr">
        <is>
          <t>Quality Control, Tiếng Anh, QC, QA, Kiểm Soát Chất Lượng</t>
        </is>
      </c>
      <c r="M1471" t="inlineStr">
        <is>
          <t>Healthcare Plan, Training, Canteen</t>
        </is>
      </c>
      <c r="N1471" s="8">
        <f>HYPERLINK("https://www.vietnamworks.com/truong-phong-quan-ly-chat-luong--2012343-jv","Xem chi tiết")</f>
        <v/>
      </c>
    </row>
    <row r="1472">
      <c r="B1472" s="9" t="n">
        <v>1470</v>
      </c>
      <c r="C1472" s="10" t="inlineStr">
        <is>
          <t>Sales Admin Intern</t>
        </is>
      </c>
      <c r="D1472" s="10" t="inlineStr">
        <is>
          <t>Navigos Group</t>
        </is>
      </c>
      <c r="E1472" s="10" t="inlineStr">
        <is>
          <t>Từ 3tr ₫/tháng</t>
        </is>
      </c>
      <c r="F1472" s="10" t="inlineStr">
        <is>
          <t>Hồ Chí Minh</t>
        </is>
      </c>
      <c r="G1472" s="10" t="inlineStr">
        <is>
          <t>Thực tập sinh/Sinh viên</t>
        </is>
      </c>
      <c r="H1472" s="10" t="inlineStr">
        <is>
          <t>23/02/2026</t>
        </is>
      </c>
      <c r="I1472" s="10" t="inlineStr">
        <is>
          <t>25/03/2026</t>
        </is>
      </c>
      <c r="J1472" s="10" t="inlineStr">
        <is>
          <t>17/03/2026</t>
        </is>
      </c>
      <c r="K1472" s="10" t="inlineStr">
        <is>
          <t>N/A</t>
        </is>
      </c>
      <c r="L1472" s="10" t="inlineStr">
        <is>
          <t>Communication Skills, Data Analysis, Event Planning, Japanese Communication, Report Preparation</t>
        </is>
      </c>
      <c r="M1472" s="10" t="inlineStr">
        <is>
          <t>Training, Laptop</t>
        </is>
      </c>
      <c r="N1472" s="11">
        <f>HYPERLINK("https://www.vietnamworks.com/sales-admin-intern-2012350-jv","Xem chi tiết")</f>
        <v/>
      </c>
      <c r="O1472" s="10" t="n"/>
    </row>
    <row r="1473">
      <c r="B1473" s="7" t="n">
        <v>1471</v>
      </c>
      <c r="C1473" t="inlineStr">
        <is>
          <t>Nhân Viên Kế Toán Sản Xuất / Production Accountant</t>
        </is>
      </c>
      <c r="D1473" t="inlineStr">
        <is>
          <t>Glazedfrog Australia Pty. Ltd.</t>
        </is>
      </c>
      <c r="E1473" t="inlineStr">
        <is>
          <t>15tr-20tr ₫/tháng</t>
        </is>
      </c>
      <c r="F1473" t="inlineStr">
        <is>
          <t>Hồ Chí Minh</t>
        </is>
      </c>
      <c r="G1473" t="inlineStr">
        <is>
          <t>Nhân viên</t>
        </is>
      </c>
      <c r="H1473" t="inlineStr">
        <is>
          <t>23/02/2026</t>
        </is>
      </c>
      <c r="I1473" t="inlineStr">
        <is>
          <t>25/03/2026</t>
        </is>
      </c>
      <c r="J1473" t="inlineStr">
        <is>
          <t>17/03/2026</t>
        </is>
      </c>
      <c r="K1473" t="inlineStr">
        <is>
          <t>N/A</t>
        </is>
      </c>
      <c r="L1473" t="inlineStr">
        <is>
          <t>Kế Toán Sản Xuất, Báo Cáo Tài Chính, Phần mềm kế toán, Kế Toán Nội Bộ, Phần Mềm Kế Toán Fast</t>
        </is>
      </c>
      <c r="M1473" t="inlineStr">
        <is>
          <t>Healthcare Plan, Paid Leave, Training, Team Activities, Others</t>
        </is>
      </c>
      <c r="N1473" s="8">
        <f>HYPERLINK("https://www.vietnamworks.com/nhan-vien-ke-toan-san-xuat-production-accountant-2012354-jv","Xem chi tiết")</f>
        <v/>
      </c>
    </row>
    <row r="1474">
      <c r="B1474" s="9" t="n">
        <v>1472</v>
      </c>
      <c r="C1474" s="10" t="inlineStr">
        <is>
          <t>Mid-Level Interior Designer (Hospitality)</t>
        </is>
      </c>
      <c r="D1474" s="10" t="inlineStr">
        <is>
          <t>Noor Vietnam Limited</t>
        </is>
      </c>
      <c r="E1474" s="10" t="inlineStr">
        <is>
          <t>Thương lượng</t>
        </is>
      </c>
      <c r="F1474" s="10" t="inlineStr">
        <is>
          <t>Hồ Chí Minh</t>
        </is>
      </c>
      <c r="G1474" s="10" t="inlineStr">
        <is>
          <t>Nhân viên</t>
        </is>
      </c>
      <c r="H1474" s="10" t="inlineStr">
        <is>
          <t>23/02/2026</t>
        </is>
      </c>
      <c r="I1474" s="10" t="inlineStr">
        <is>
          <t>25/03/2026</t>
        </is>
      </c>
      <c r="J1474" s="10" t="inlineStr">
        <is>
          <t>17/03/2026</t>
        </is>
      </c>
      <c r="K1474" s="10" t="inlineStr">
        <is>
          <t>N/A</t>
        </is>
      </c>
      <c r="L1474" s="10" t="inlineStr">
        <is>
          <t>Technical Drawing, AutoCAD, Revit, Project Coordination, English Communication</t>
        </is>
      </c>
      <c r="M1474" s="10" t="inlineStr">
        <is>
          <t>Bonus, Healthcare Plan, Paid Leave</t>
        </is>
      </c>
      <c r="N1474" s="11">
        <f>HYPERLINK("https://www.vietnamworks.com/mid-level-interior-designer-hospitality-2012362-jv","Xem chi tiết")</f>
        <v/>
      </c>
      <c r="O1474" s="10" t="n"/>
    </row>
    <row r="1475">
      <c r="B1475" s="7" t="n">
        <v>1473</v>
      </c>
      <c r="C1475" t="inlineStr">
        <is>
          <t>Kế Toán Kiểm Soát Doanh Thu Sàn TMĐT</t>
        </is>
      </c>
      <c r="D1475" t="inlineStr">
        <is>
          <t>CÔNG TY TNHH PJSB</t>
        </is>
      </c>
      <c r="E1475" t="inlineStr">
        <is>
          <t>Thương lượng</t>
        </is>
      </c>
      <c r="F1475" t="inlineStr">
        <is>
          <t>Hà Nội</t>
        </is>
      </c>
      <c r="G1475" t="inlineStr">
        <is>
          <t>Nhân viên</t>
        </is>
      </c>
      <c r="H1475" t="inlineStr">
        <is>
          <t>23/02/2026</t>
        </is>
      </c>
      <c r="I1475" t="inlineStr">
        <is>
          <t>25/03/2026</t>
        </is>
      </c>
      <c r="J1475" t="inlineStr">
        <is>
          <t>17/03/2026</t>
        </is>
      </c>
      <c r="K1475" t="inlineStr">
        <is>
          <t>N/A</t>
        </is>
      </c>
      <c r="L1475" t="inlineStr">
        <is>
          <t>Kế Toán Doanh Thu, Đối Soát Số, Kỹ năng Excel, Quản Lý Công Nợ, Gia Công Áp Lực</t>
        </is>
      </c>
      <c r="M1475" t="inlineStr">
        <is>
          <t>Bonus, Healthcare Plan</t>
        </is>
      </c>
      <c r="N1475" s="8">
        <f>HYPERLINK("https://www.vietnamworks.com/ke-toan-kiem-soat-doanh-thu-san-tmdjt-2012360-jv","Xem chi tiết")</f>
        <v/>
      </c>
    </row>
    <row r="1476">
      <c r="B1476" s="9" t="n">
        <v>1474</v>
      </c>
      <c r="C1476" s="10" t="inlineStr">
        <is>
          <t>Chuyên Viên Thiết Kế Quản Lý Dự Án - Làm Việc Tại Cảng Chân Mây Huế</t>
        </is>
      </c>
      <c r="D1476" s="10" t="inlineStr">
        <is>
          <t>Công Ty Cổ Phần Hàng Hải Vsico</t>
        </is>
      </c>
      <c r="E1476" s="10" t="inlineStr">
        <is>
          <t>22tr-24tr ₫/tháng</t>
        </is>
      </c>
      <c r="F1476" s="10" t="inlineStr">
        <is>
          <t>Thừa Thiên Huế, Đà Nẵng</t>
        </is>
      </c>
      <c r="G1476" s="10" t="inlineStr">
        <is>
          <t>Nhân viên</t>
        </is>
      </c>
      <c r="H1476" s="10" t="inlineStr">
        <is>
          <t>23/02/2026</t>
        </is>
      </c>
      <c r="I1476" s="10" t="inlineStr">
        <is>
          <t>25/03/2026</t>
        </is>
      </c>
      <c r="J1476" s="10" t="inlineStr">
        <is>
          <t>17/03/2026</t>
        </is>
      </c>
      <c r="K1476" s="10" t="inlineStr">
        <is>
          <t>N/A</t>
        </is>
      </c>
      <c r="L1476" s="10" t="inlineStr">
        <is>
          <t>Hạ Tầng Giao Thông, Kiểm Soát Khối Lượng, Thanh Quyết Toán, Thiết Kê Công Trình Giao Thông, Tư Vấn Thiết Kế Xây Dựng</t>
        </is>
      </c>
      <c r="M1476" s="10" t="inlineStr">
        <is>
          <t>Bonus, Healthcare Plan, Training, Team Activities, Canteen, Others</t>
        </is>
      </c>
      <c r="N1476" s="11">
        <f>HYPERLINK("https://www.vietnamworks.com/chuyen-vien-thiet-ke-quan-ly-du-an-lam-viec-tai-cang-chan-may-hue-2012358-jv","Xem chi tiết")</f>
        <v/>
      </c>
      <c r="O1476" s="10" t="n"/>
    </row>
    <row r="1477">
      <c r="B1477" s="7" t="n">
        <v>1475</v>
      </c>
      <c r="C1477" t="inlineStr">
        <is>
          <t>Process Engineer (Sterilization)</t>
        </is>
      </c>
      <c r="D1477" t="inlineStr">
        <is>
          <t>Terumo BCT Viet Nam</t>
        </is>
      </c>
      <c r="E1477" t="inlineStr">
        <is>
          <t>Thương lượng</t>
        </is>
      </c>
      <c r="F1477" t="inlineStr">
        <is>
          <t>Đồng Nai</t>
        </is>
      </c>
      <c r="G1477" t="inlineStr">
        <is>
          <t>Nhân viên</t>
        </is>
      </c>
      <c r="H1477" t="inlineStr">
        <is>
          <t>23/02/2026</t>
        </is>
      </c>
      <c r="I1477" t="inlineStr">
        <is>
          <t>25/03/2026</t>
        </is>
      </c>
      <c r="J1477" t="inlineStr">
        <is>
          <t>17/03/2026</t>
        </is>
      </c>
      <c r="K1477" t="inlineStr">
        <is>
          <t>N/A</t>
        </is>
      </c>
      <c r="L1477" t="inlineStr">
        <is>
          <t>Communication, Engineering Chemical, GMP, Mechanical Engineering, Technological Innovation</t>
        </is>
      </c>
      <c r="M1477" t="inlineStr">
        <is>
          <t>Bonus, Healthcare Plan, Paid Leave, Laptop, Mobile, Transportation, Canteen</t>
        </is>
      </c>
      <c r="N1477" s="8">
        <f>HYPERLINK("https://www.vietnamworks.com/process-engineer-sterilization-2012363-jv","Xem chi tiết")</f>
        <v/>
      </c>
    </row>
    <row r="1478">
      <c r="B1478" s="9" t="n">
        <v>1476</v>
      </c>
      <c r="C1478" s="10" t="inlineStr">
        <is>
          <t>30 Nhân viên Thiết kế kết cấu - Ưu tiên Mới ra trường, Được đào tạo</t>
        </is>
      </c>
      <c r="D1478" s="10" t="inlineStr">
        <is>
          <t>MiTek Việt Nam</t>
        </is>
      </c>
      <c r="E1478" s="10" t="inlineStr">
        <is>
          <t>10tr-12tr ₫/tháng</t>
        </is>
      </c>
      <c r="F1478" s="10" t="inlineStr">
        <is>
          <t>Hồ Chí Minh</t>
        </is>
      </c>
      <c r="G1478" s="10" t="inlineStr">
        <is>
          <t>Mới Tốt Nghiệp</t>
        </is>
      </c>
      <c r="H1478" s="10" t="inlineStr">
        <is>
          <t>23/02/2026</t>
        </is>
      </c>
      <c r="I1478" s="10" t="inlineStr">
        <is>
          <t>25/03/2026</t>
        </is>
      </c>
      <c r="J1478" s="10" t="inlineStr">
        <is>
          <t>17/03/2026</t>
        </is>
      </c>
      <c r="K1478" s="10" t="inlineStr">
        <is>
          <t>N/A</t>
        </is>
      </c>
      <c r="L1478" s="10" t="inlineStr">
        <is>
          <t>Thiết Kế Kết Cấu, Phần Mềm CAD, Kiến Trúc, Kiến Trúc Xây Dựng, Thiết Kế Cơ Khí 2D</t>
        </is>
      </c>
      <c r="M1478" s="10" t="inlineStr">
        <is>
          <t>Bonus, Healthcare Plan, Paid Leave, Training, Awards, Team Activities, Canteen, Others</t>
        </is>
      </c>
      <c r="N1478" s="11">
        <f>HYPERLINK("https://www.vietnamworks.com/30-nhan-vien-thiet-ke-ket-cau-uu-tien-moi-ra-truong-djuoc-djao-tao-2012365-jv","Xem chi tiết")</f>
        <v/>
      </c>
      <c r="O1478" s="10" t="n"/>
    </row>
    <row r="1479">
      <c r="B1479" s="7" t="n">
        <v>1477</v>
      </c>
      <c r="C1479" t="inlineStr">
        <is>
          <t>Legal Advisor</t>
        </is>
      </c>
      <c r="D1479" t="inlineStr">
        <is>
          <t>DELIGHT CONNECTION VIETNAM COMPANY LIMITED</t>
        </is>
      </c>
      <c r="E1479" t="inlineStr">
        <is>
          <t>Thương lượng</t>
        </is>
      </c>
      <c r="F1479" t="inlineStr">
        <is>
          <t>Hồ Chí Minh</t>
        </is>
      </c>
      <c r="G1479" t="inlineStr">
        <is>
          <t>Nhân viên</t>
        </is>
      </c>
      <c r="H1479" t="inlineStr">
        <is>
          <t>23/02/2026</t>
        </is>
      </c>
      <c r="I1479" t="inlineStr">
        <is>
          <t>25/03/2026</t>
        </is>
      </c>
      <c r="J1479" t="inlineStr">
        <is>
          <t>17/03/2026</t>
        </is>
      </c>
      <c r="K1479" t="inlineStr">
        <is>
          <t>N/A</t>
        </is>
      </c>
      <c r="L1479" t="inlineStr">
        <is>
          <t>Legal Compliance, Legal Advise, Contracts Management, Documentation Compliance, Regulatory Affairs</t>
        </is>
      </c>
      <c r="M1479" t="inlineStr">
        <is>
          <t>Bonus</t>
        </is>
      </c>
      <c r="N1479" s="8">
        <f>HYPERLINK("https://www.vietnamworks.com/legal-advisor--2012366-jv","Xem chi tiết")</f>
        <v/>
      </c>
    </row>
    <row r="1480">
      <c r="B1480" s="9" t="n">
        <v>1478</v>
      </c>
      <c r="C1480" s="10" t="inlineStr">
        <is>
          <t>Production Manager</t>
        </is>
      </c>
      <c r="D1480" s="10" t="inlineStr">
        <is>
          <t>Công Ty TNHH Pandora Production Việt Nam</t>
        </is>
      </c>
      <c r="E1480" s="10" t="inlineStr">
        <is>
          <t>Thương lượng</t>
        </is>
      </c>
      <c r="F1480" s="10" t="inlineStr">
        <is>
          <t>Hồ Chí Minh</t>
        </is>
      </c>
      <c r="G1480" s="10" t="inlineStr">
        <is>
          <t>Trưởng phòng</t>
        </is>
      </c>
      <c r="H1480" s="10" t="inlineStr">
        <is>
          <t>23/02/2026</t>
        </is>
      </c>
      <c r="I1480" s="10" t="inlineStr">
        <is>
          <t>25/03/2026</t>
        </is>
      </c>
      <c r="J1480" s="10" t="inlineStr">
        <is>
          <t>17/03/2026</t>
        </is>
      </c>
      <c r="K1480" s="10" t="inlineStr">
        <is>
          <t>N/A</t>
        </is>
      </c>
      <c r="L1480" s="10" t="inlineStr">
        <is>
          <t>Production and Operations Management, Production Experience, Production Leadership</t>
        </is>
      </c>
      <c r="M1480" s="10" t="inlineStr">
        <is>
          <t>Transportation</t>
        </is>
      </c>
      <c r="N1480" s="11">
        <f>HYPERLINK("https://www.vietnamworks.com/production-manager-2012364-jv","Xem chi tiết")</f>
        <v/>
      </c>
      <c r="O1480" s="10" t="n"/>
    </row>
    <row r="1481">
      <c r="B1481" s="7" t="n">
        <v>1479</v>
      </c>
      <c r="C1481" t="inlineStr">
        <is>
          <t>Officer, Career Services Engagement (Event &amp; Communication)</t>
        </is>
      </c>
      <c r="D1481" t="inlineStr">
        <is>
          <t>British University Vietnam (Buv)</t>
        </is>
      </c>
      <c r="E1481" t="inlineStr">
        <is>
          <t>Thương lượng</t>
        </is>
      </c>
      <c r="F1481" t="inlineStr">
        <is>
          <t>Hà Nội, Hưng Yên</t>
        </is>
      </c>
      <c r="G1481" t="inlineStr">
        <is>
          <t>Nhân viên</t>
        </is>
      </c>
      <c r="H1481" t="inlineStr">
        <is>
          <t>23/02/2026</t>
        </is>
      </c>
      <c r="I1481" t="inlineStr">
        <is>
          <t>25/03/2026</t>
        </is>
      </c>
      <c r="J1481" t="inlineStr">
        <is>
          <t>17/03/2026</t>
        </is>
      </c>
      <c r="K1481" t="inlineStr">
        <is>
          <t>N/A</t>
        </is>
      </c>
      <c r="L1481" t="inlineStr">
        <is>
          <t>Marketing, Event Organizing, Communications, Workshop Design, Social Media Communication</t>
        </is>
      </c>
      <c r="M1481" t="inlineStr">
        <is>
          <t>Bonus, Paid Leave, Training</t>
        </is>
      </c>
      <c r="N1481" s="8">
        <f>HYPERLINK("https://www.vietnamworks.com/officer-career-services-engagement-event-communication--2012367-jv","Xem chi tiết")</f>
        <v/>
      </c>
    </row>
    <row r="1482">
      <c r="B1482" s="9" t="n">
        <v>1480</v>
      </c>
      <c r="C1482" s="10" t="inlineStr">
        <is>
          <t>Nhân Viên Chứng Từ Hàng Xuất &amp; SOC Quốc Tế</t>
        </is>
      </c>
      <c r="D1482" s="10" t="inlineStr">
        <is>
          <t>CHI NHÁNH TẠI TP ĐÀ NẴNG – CÔNG TY TNHH VẬN TẢI CONTAINER HẢI AN</t>
        </is>
      </c>
      <c r="E1482" s="10" t="inlineStr">
        <is>
          <t>Thương lượng</t>
        </is>
      </c>
      <c r="F1482" s="10" t="inlineStr">
        <is>
          <t>Đà Nẵng</t>
        </is>
      </c>
      <c r="G1482" s="10" t="inlineStr">
        <is>
          <t>Nhân viên</t>
        </is>
      </c>
      <c r="H1482" s="10" t="inlineStr">
        <is>
          <t>23/02/2026</t>
        </is>
      </c>
      <c r="I1482" s="10" t="inlineStr">
        <is>
          <t>25/03/2026</t>
        </is>
      </c>
      <c r="J1482" s="10" t="inlineStr">
        <is>
          <t>17/03/2026</t>
        </is>
      </c>
      <c r="K1482" s="10" t="inlineStr">
        <is>
          <t>N/A</t>
        </is>
      </c>
      <c r="L1482" s="10" t="inlineStr">
        <is>
          <t>Chăm Sóc Khách Hàng, Tiếng Anh, Tin Học Văn Phòng, Hàng Hải, Kinh Tế</t>
        </is>
      </c>
      <c r="M1482" s="10" t="inlineStr">
        <is>
          <t>Bonus, Paid Leave, Travel Opportunities, Others</t>
        </is>
      </c>
      <c r="N1482" s="11">
        <f>HYPERLINK("https://www.vietnamworks.com/nhan-vien-chung-tu-hang-xuat-and-soc-quoc-te-2012374-jv","Xem chi tiết")</f>
        <v/>
      </c>
      <c r="O1482" s="10" t="n"/>
    </row>
    <row r="1483">
      <c r="B1483" s="7" t="n">
        <v>1481</v>
      </c>
      <c r="C1483" t="inlineStr">
        <is>
          <t>Accounting Supervisor</t>
        </is>
      </c>
      <c r="D1483" t="inlineStr">
        <is>
          <t>Aux Cloud Commerce (Vietnam) Company</t>
        </is>
      </c>
      <c r="E1483" t="inlineStr">
        <is>
          <t>Thương lượng</t>
        </is>
      </c>
      <c r="F1483" t="inlineStr">
        <is>
          <t>Hồ Chí Minh</t>
        </is>
      </c>
      <c r="G1483" t="inlineStr">
        <is>
          <t>Trưởng phòng</t>
        </is>
      </c>
      <c r="H1483" t="inlineStr">
        <is>
          <t>23/02/2026</t>
        </is>
      </c>
      <c r="I1483" t="inlineStr">
        <is>
          <t>25/03/2026</t>
        </is>
      </c>
      <c r="J1483" t="inlineStr">
        <is>
          <t>17/03/2026</t>
        </is>
      </c>
      <c r="K1483" t="inlineStr">
        <is>
          <t>N/A</t>
        </is>
      </c>
      <c r="L1483" t="inlineStr">
        <is>
          <t>Accounting Software, Audit Management, Communication Skills, Financial Statement, Tax Compliance</t>
        </is>
      </c>
      <c r="M1483" t="inlineStr">
        <is>
          <t>Team Activities, Others</t>
        </is>
      </c>
      <c r="N1483" s="8">
        <f>HYPERLINK("https://www.vietnamworks.com/accounting-supervisor-2012382-jv","Xem chi tiết")</f>
        <v/>
      </c>
    </row>
    <row r="1484">
      <c r="B1484" s="9" t="n">
        <v>1482</v>
      </c>
      <c r="C1484" s="10" t="inlineStr">
        <is>
          <t>Paralegal</t>
        </is>
      </c>
      <c r="D1484" s="10" t="inlineStr">
        <is>
          <t>Dilinh Legal</t>
        </is>
      </c>
      <c r="E1484" s="10" t="inlineStr">
        <is>
          <t>Thương lượng</t>
        </is>
      </c>
      <c r="F1484" s="10" t="inlineStr">
        <is>
          <t>Hồ Chí Minh</t>
        </is>
      </c>
      <c r="G1484" s="10" t="inlineStr">
        <is>
          <t>Nhân viên</t>
        </is>
      </c>
      <c r="H1484" s="10" t="inlineStr">
        <is>
          <t>23/02/2026</t>
        </is>
      </c>
      <c r="I1484" s="10" t="inlineStr">
        <is>
          <t>25/03/2026</t>
        </is>
      </c>
      <c r="J1484" s="10" t="inlineStr">
        <is>
          <t>17/03/2026</t>
        </is>
      </c>
      <c r="K1484" s="10" t="inlineStr">
        <is>
          <t>N/A</t>
        </is>
      </c>
      <c r="L1484" s="10" t="inlineStr">
        <is>
          <t>Contract Negotiation, Legal Drafting, Law, English, Legal Document</t>
        </is>
      </c>
      <c r="M1484" s="10" t="inlineStr">
        <is>
          <t>Bonus, Healthcare Plan, Training, Others</t>
        </is>
      </c>
      <c r="N1484" s="11">
        <f>HYPERLINK("https://www.vietnamworks.com/paralegal-2012381-jv","Xem chi tiết")</f>
        <v/>
      </c>
      <c r="O1484" s="10" t="n"/>
    </row>
    <row r="1485">
      <c r="B1485" s="7" t="n">
        <v>1483</v>
      </c>
      <c r="C1485" t="inlineStr">
        <is>
          <t>Process Maintenance Engineer (3 shift working)</t>
        </is>
      </c>
      <c r="D1485" t="inlineStr">
        <is>
          <t>Terumo BCT Viet Nam</t>
        </is>
      </c>
      <c r="E1485" t="inlineStr">
        <is>
          <t>Thương lượng</t>
        </is>
      </c>
      <c r="F1485" t="inlineStr">
        <is>
          <t>Đồng Nai</t>
        </is>
      </c>
      <c r="G1485" t="inlineStr">
        <is>
          <t>Nhân viên</t>
        </is>
      </c>
      <c r="H1485" t="inlineStr">
        <is>
          <t>23/02/2026</t>
        </is>
      </c>
      <c r="I1485" t="inlineStr">
        <is>
          <t>25/03/2026</t>
        </is>
      </c>
      <c r="J1485" t="inlineStr">
        <is>
          <t>17/03/2026</t>
        </is>
      </c>
      <c r="K1485" t="inlineStr">
        <is>
          <t>N/A</t>
        </is>
      </c>
      <c r="L1485" t="inlineStr">
        <is>
          <t>Electrical Systems, Mechanical System, Mechatronics Engineering, Quality Tools, Technical Translation</t>
        </is>
      </c>
      <c r="M1485" t="inlineStr">
        <is>
          <t>Bonus, Healthcare Plan, Paid Leave, Laptop, Mobile, Transportation, Canteen</t>
        </is>
      </c>
      <c r="N1485" s="8">
        <f>HYPERLINK("https://www.vietnamworks.com/process-maintenance-engineer-3-shift-working-2012377-jv","Xem chi tiết")</f>
        <v/>
      </c>
    </row>
    <row r="1486">
      <c r="B1486" s="9" t="n">
        <v>1484</v>
      </c>
      <c r="C1486" s="10" t="inlineStr">
        <is>
          <t>Senior Finance Executive</t>
        </is>
      </c>
      <c r="D1486" s="10" t="inlineStr">
        <is>
          <t>Columbia Asia Hospital Binh Duong</t>
        </is>
      </c>
      <c r="E1486" s="10" t="inlineStr">
        <is>
          <t>$$ 1,100-1,500 /tháng</t>
        </is>
      </c>
      <c r="F1486" s="10" t="inlineStr">
        <is>
          <t>Bình Dương</t>
        </is>
      </c>
      <c r="G1486" s="10" t="inlineStr">
        <is>
          <t>Trưởng phòng</t>
        </is>
      </c>
      <c r="H1486" s="10" t="inlineStr">
        <is>
          <t>23/02/2026</t>
        </is>
      </c>
      <c r="I1486" s="10" t="inlineStr">
        <is>
          <t>25/03/2026</t>
        </is>
      </c>
      <c r="J1486" s="10" t="inlineStr">
        <is>
          <t>17/03/2026</t>
        </is>
      </c>
      <c r="K1486" s="10" t="inlineStr">
        <is>
          <t>N/A</t>
        </is>
      </c>
      <c r="L1486" s="10" t="inlineStr">
        <is>
          <t>Finance, Audit, Accounting System, ACCA, IFRS</t>
        </is>
      </c>
      <c r="M1486" s="10" t="inlineStr">
        <is>
          <t>Bonus, Healthcare Plan, Training</t>
        </is>
      </c>
      <c r="N1486" s="11">
        <f>HYPERLINK("https://www.vietnamworks.com/senior-finance-executive--2012385-jv","Xem chi tiết")</f>
        <v/>
      </c>
      <c r="O1486" s="10" t="n"/>
    </row>
    <row r="1487">
      <c r="B1487" s="7" t="n">
        <v>1485</v>
      </c>
      <c r="C1487" t="inlineStr">
        <is>
          <t>Trợ Lý Đặc Biệt Tổng Giám Đốc (總經理特助)</t>
        </is>
      </c>
      <c r="D1487" t="inlineStr">
        <is>
          <t>Tập đoàn Dịch vụ Ever Win</t>
        </is>
      </c>
      <c r="E1487" t="inlineStr">
        <is>
          <t>20tr-40tr ₫/tháng</t>
        </is>
      </c>
      <c r="F1487" t="inlineStr">
        <is>
          <t>Hồ Chí Minh</t>
        </is>
      </c>
      <c r="G1487" t="inlineStr">
        <is>
          <t>Nhân viên</t>
        </is>
      </c>
      <c r="H1487" t="inlineStr">
        <is>
          <t>23/02/2026</t>
        </is>
      </c>
      <c r="I1487" t="inlineStr">
        <is>
          <t>25/03/2026</t>
        </is>
      </c>
      <c r="J1487" t="inlineStr">
        <is>
          <t>17/03/2026</t>
        </is>
      </c>
      <c r="K1487" t="inlineStr">
        <is>
          <t>N/A</t>
        </is>
      </c>
      <c r="L1487" t="inlineStr">
        <is>
          <t>Office Software, Kỹ Năng Sắp Xếp Lịch Trình, Thư ký Giám đốc, Tiếng Trung, Trợ Lý</t>
        </is>
      </c>
      <c r="M1487" t="inlineStr">
        <is>
          <t>Bonus, Healthcare Plan, Training, Others</t>
        </is>
      </c>
      <c r="N1487" s="8">
        <f>HYPERLINK("https://www.vietnamworks.com/tro-ly-djac-biet-tong-giam-djoc-2012370-jv","Xem chi tiết")</f>
        <v/>
      </c>
    </row>
    <row r="1488">
      <c r="B1488" s="9" t="n">
        <v>1486</v>
      </c>
      <c r="C1488" s="10" t="inlineStr">
        <is>
          <t>Quality Assurance Engineer (QA Engineer)</t>
        </is>
      </c>
      <c r="D1488" s="10" t="inlineStr">
        <is>
          <t>Spindex Industries (Hanoi) Co., Ltd</t>
        </is>
      </c>
      <c r="E1488" s="10" t="inlineStr">
        <is>
          <t>$$ 700-1,000 /tháng</t>
        </is>
      </c>
      <c r="F1488" s="10" t="inlineStr">
        <is>
          <t>Hà Nội</t>
        </is>
      </c>
      <c r="G1488" s="10" t="inlineStr">
        <is>
          <t>Nhân viên</t>
        </is>
      </c>
      <c r="H1488" s="10" t="inlineStr">
        <is>
          <t>23/02/2026</t>
        </is>
      </c>
      <c r="I1488" s="10" t="inlineStr">
        <is>
          <t>25/03/2026</t>
        </is>
      </c>
      <c r="J1488" s="10" t="inlineStr">
        <is>
          <t>17/03/2026</t>
        </is>
      </c>
      <c r="K1488" s="10" t="inlineStr">
        <is>
          <t>N/A</t>
        </is>
      </c>
      <c r="L1488" s="10" t="inlineStr">
        <is>
          <t>Quality Control, Audit, ISO, Equipment Measurement, Customer Negotiation</t>
        </is>
      </c>
      <c r="M1488" s="10" t="inlineStr">
        <is>
          <t>Bonus, Healthcare Plan, Paid Leave</t>
        </is>
      </c>
      <c r="N1488" s="11">
        <f>HYPERLINK("https://www.vietnamworks.com/quality-assurance-engineer-qa-engineer--2012379-jv","Xem chi tiết")</f>
        <v/>
      </c>
      <c r="O1488" s="10" t="n"/>
    </row>
    <row r="1489">
      <c r="B1489" s="7" t="n">
        <v>1487</v>
      </c>
      <c r="C1489" t="inlineStr">
        <is>
          <t>Nhân Viên Nhân Sự Tổng Hợp</t>
        </is>
      </c>
      <c r="D1489" t="inlineStr">
        <is>
          <t>Công ty TNHH Đầu tư thương mại ADA Việt Nam</t>
        </is>
      </c>
      <c r="E1489" t="inlineStr">
        <is>
          <t>10tr-13tr ₫/tháng</t>
        </is>
      </c>
      <c r="F1489" t="inlineStr">
        <is>
          <t>Hà Nội</t>
        </is>
      </c>
      <c r="G1489" t="inlineStr">
        <is>
          <t>Nhân viên</t>
        </is>
      </c>
      <c r="H1489" t="inlineStr">
        <is>
          <t>23/02/2026</t>
        </is>
      </c>
      <c r="I1489" t="inlineStr">
        <is>
          <t>25/03/2026</t>
        </is>
      </c>
      <c r="J1489" t="inlineStr">
        <is>
          <t>17/03/2026</t>
        </is>
      </c>
      <c r="K1489" t="inlineStr">
        <is>
          <t>N/A</t>
        </is>
      </c>
      <c r="L1489" t="inlineStr">
        <is>
          <t>Hành chính văn phòng, Nhân sự (Luật lao động, luật Bảo hiểm), Quan Hệ Lao Động, Truyền Thông Nội Bộ, Tuyển Dụng Nhân Sự</t>
        </is>
      </c>
      <c r="M1489" t="inlineStr">
        <is>
          <t>Bonus, Laptop, Travel Opportunities, Team Activities, Vouchers</t>
        </is>
      </c>
      <c r="N1489" s="8">
        <f>HYPERLINK("https://www.vietnamworks.com/nhan-vien-nhan-su-tong-hop-2012395-jv","Xem chi tiết")</f>
        <v/>
      </c>
    </row>
    <row r="1490">
      <c r="B1490" s="9" t="n">
        <v>1488</v>
      </c>
      <c r="C1490" s="10" t="inlineStr">
        <is>
          <t>Quản Lý Mua Hàng Trái Cây (Fruit Category Manager)</t>
        </is>
      </c>
      <c r="D1490" s="10" t="inlineStr">
        <is>
          <t>Vietnamworks' Client</t>
        </is>
      </c>
      <c r="E1490" s="10" t="inlineStr">
        <is>
          <t>Thương lượng</t>
        </is>
      </c>
      <c r="F1490" s="10" t="inlineStr">
        <is>
          <t>Hồ Chí Minh</t>
        </is>
      </c>
      <c r="G1490" s="10" t="inlineStr">
        <is>
          <t>Trưởng phòng</t>
        </is>
      </c>
      <c r="H1490" s="10" t="inlineStr">
        <is>
          <t>23/02/2026</t>
        </is>
      </c>
      <c r="I1490" s="10" t="inlineStr">
        <is>
          <t>25/03/2026</t>
        </is>
      </c>
      <c r="J1490" s="10" t="inlineStr">
        <is>
          <t>17/03/2026</t>
        </is>
      </c>
      <c r="K1490" s="10" t="inlineStr">
        <is>
          <t>N/A</t>
        </is>
      </c>
      <c r="L1490" s="10" t="inlineStr">
        <is>
          <t>Đàm Phán Nhà Cung Cấp, Phát Triển Thị Trường, Supply Chain, Mua hàng &amp; Tìm nguồn cung ứng, Nông Sản</t>
        </is>
      </c>
      <c r="M1490" s="10" t="inlineStr">
        <is>
          <t>Bonus, Paid Leave</t>
        </is>
      </c>
      <c r="N1490" s="11">
        <f>HYPERLINK("https://www.vietnamworks.com/quan-ly-mua-hang-trai-cay-fruit-category-manager-2012371-jv","Xem chi tiết")</f>
        <v/>
      </c>
      <c r="O1490" s="10" t="n"/>
    </row>
    <row r="1491">
      <c r="B1491" s="7" t="n">
        <v>1489</v>
      </c>
      <c r="C1491" t="inlineStr">
        <is>
          <t>Chuyên Viên Tư Vấn Đầu Tư - 投資諮詢專員</t>
        </is>
      </c>
      <c r="D1491" t="inlineStr">
        <is>
          <t>Tập đoàn Dịch vụ Ever Win</t>
        </is>
      </c>
      <c r="E1491" t="inlineStr">
        <is>
          <t>Thương lượng</t>
        </is>
      </c>
      <c r="F1491" t="inlineStr">
        <is>
          <t>Hồ Chí Minh</t>
        </is>
      </c>
      <c r="G1491" t="inlineStr">
        <is>
          <t>Mới Tốt Nghiệp</t>
        </is>
      </c>
      <c r="H1491" t="inlineStr">
        <is>
          <t>23/02/2026</t>
        </is>
      </c>
      <c r="I1491" t="inlineStr">
        <is>
          <t>25/03/2026</t>
        </is>
      </c>
      <c r="J1491" t="inlineStr">
        <is>
          <t>17/03/2026</t>
        </is>
      </c>
      <c r="K1491" t="inlineStr">
        <is>
          <t>N/A</t>
        </is>
      </c>
      <c r="L1491" t="inlineStr">
        <is>
          <t>Investment Advisory, Word, Excel, 勤奮好學, Phân Tích Tài Chính</t>
        </is>
      </c>
      <c r="M1491" t="inlineStr">
        <is>
          <t>Bonus, Healthcare Plan, Training, Others</t>
        </is>
      </c>
      <c r="N1491" s="8">
        <f>HYPERLINK("https://www.vietnamworks.com/chuyen-vien-tu-van-djau-tu-2012372-jv","Xem chi tiết")</f>
        <v/>
      </c>
    </row>
    <row r="1492">
      <c r="B1492" s="9" t="n">
        <v>1490</v>
      </c>
      <c r="C1492" s="10" t="inlineStr">
        <is>
          <t>Senior Tax Specialist</t>
        </is>
      </c>
      <c r="D1492" s="10" t="inlineStr">
        <is>
          <t>Be Group Joint Stock Company</t>
        </is>
      </c>
      <c r="E1492" s="10" t="inlineStr">
        <is>
          <t>Thương lượng</t>
        </is>
      </c>
      <c r="F1492" s="10" t="inlineStr">
        <is>
          <t>Hồ Chí Minh</t>
        </is>
      </c>
      <c r="G1492" s="10" t="inlineStr">
        <is>
          <t>Trưởng phòng</t>
        </is>
      </c>
      <c r="H1492" s="10" t="inlineStr">
        <is>
          <t>23/02/2026</t>
        </is>
      </c>
      <c r="I1492" s="10" t="inlineStr">
        <is>
          <t>25/03/2026</t>
        </is>
      </c>
      <c r="J1492" s="10" t="inlineStr">
        <is>
          <t>17/03/2026</t>
        </is>
      </c>
      <c r="K1492" s="10" t="inlineStr">
        <is>
          <t>N/A</t>
        </is>
      </c>
      <c r="L1492" s="10" t="inlineStr">
        <is>
          <t>Analytical Skills, Communication Skills, Compliance Management, Tax Consulting, Team Management</t>
        </is>
      </c>
      <c r="M1492" s="10" t="inlineStr">
        <is>
          <t>Bonus, Healthcare Plan, Travel Opportunities, Transportation</t>
        </is>
      </c>
      <c r="N1492" s="11">
        <f>HYPERLINK("https://www.vietnamworks.com/senior-tax-specialist-2012375-jv","Xem chi tiết")</f>
        <v/>
      </c>
      <c r="O1492" s="10" t="n"/>
    </row>
    <row r="1493">
      <c r="B1493" s="7" t="n">
        <v>1491</v>
      </c>
      <c r="C1493" t="inlineStr">
        <is>
          <t>Nhân Viên Content Marketing</t>
        </is>
      </c>
      <c r="D1493" t="inlineStr">
        <is>
          <t>CÔNG TY TNHH TRANG THIẾT BỊ Y TẾ MINH HOÀNG</t>
        </is>
      </c>
      <c r="E1493" t="inlineStr">
        <is>
          <t>$$ 400-600 /tháng</t>
        </is>
      </c>
      <c r="F1493" t="inlineStr">
        <is>
          <t>Hồ Chí Minh</t>
        </is>
      </c>
      <c r="G1493" t="inlineStr">
        <is>
          <t>Nhân viên</t>
        </is>
      </c>
      <c r="H1493" t="inlineStr">
        <is>
          <t>23/02/2026</t>
        </is>
      </c>
      <c r="I1493" t="inlineStr">
        <is>
          <t>25/03/2026</t>
        </is>
      </c>
      <c r="J1493" t="inlineStr">
        <is>
          <t>17/03/2026</t>
        </is>
      </c>
      <c r="K1493" t="inlineStr">
        <is>
          <t>N/A</t>
        </is>
      </c>
      <c r="L1493" t="inlineStr">
        <is>
          <t>Digital Marketing, Content Writing, Content Marketing, Content, SEO</t>
        </is>
      </c>
      <c r="M1493" t="inlineStr">
        <is>
          <t>Bonus, Canteen, Others</t>
        </is>
      </c>
      <c r="N1493" s="8">
        <f>HYPERLINK("https://www.vietnamworks.com/nhan-vien-content-marketing--2012368-jv","Xem chi tiết")</f>
        <v/>
      </c>
    </row>
    <row r="1494">
      <c r="B1494" s="9" t="n">
        <v>1492</v>
      </c>
      <c r="C1494" s="10" t="inlineStr">
        <is>
          <t>Chuyên Viên Nhân Sự (Tuyển Dụng+ C&amp;B) - HR Executive</t>
        </is>
      </c>
      <c r="D1494" s="10" t="inlineStr">
        <is>
          <t>Momentum Industrial (Vietnam) Limited</t>
        </is>
      </c>
      <c r="E1494" s="10" t="inlineStr">
        <is>
          <t>Từ $ 800 /tháng</t>
        </is>
      </c>
      <c r="F1494" s="10" t="inlineStr">
        <is>
          <t>Hồ Chí Minh</t>
        </is>
      </c>
      <c r="G1494" s="10" t="inlineStr">
        <is>
          <t>Nhân viên</t>
        </is>
      </c>
      <c r="H1494" s="10" t="inlineStr">
        <is>
          <t>23/02/2026</t>
        </is>
      </c>
      <c r="I1494" s="10" t="inlineStr">
        <is>
          <t>25/03/2026</t>
        </is>
      </c>
      <c r="J1494" s="10" t="inlineStr">
        <is>
          <t>17/03/2026</t>
        </is>
      </c>
      <c r="K1494" s="10" t="inlineStr">
        <is>
          <t>N/A</t>
        </is>
      </c>
      <c r="L1494" s="10" t="inlineStr">
        <is>
          <t>Tiếng Trung, C&amp;B, Recruitment, HR Recruitment, Tuyển Dụng</t>
        </is>
      </c>
      <c r="M1494" s="10" t="inlineStr">
        <is>
          <t>Bonus, Healthcare Plan, Others</t>
        </is>
      </c>
      <c r="N1494" s="11">
        <f>HYPERLINK("https://www.vietnamworks.com/chuyen-vien-nhan-su-tuyen-dung-c-b-hr-executive-2012400-jv","Xem chi tiết")</f>
        <v/>
      </c>
      <c r="O1494" s="10" t="n"/>
    </row>
    <row r="1495">
      <c r="B1495" s="7" t="n">
        <v>1493</v>
      </c>
      <c r="C1495" t="inlineStr">
        <is>
          <t>Nhân Viên Kinh Doanh</t>
        </is>
      </c>
      <c r="D1495" t="inlineStr">
        <is>
          <t>Công Ty Cổ Phần Onefood Việt Nam</t>
        </is>
      </c>
      <c r="E1495" t="inlineStr">
        <is>
          <t>Từ 14tr ₫/tháng</t>
        </is>
      </c>
      <c r="F1495" t="inlineStr">
        <is>
          <t>Hà Nội</t>
        </is>
      </c>
      <c r="G1495" t="inlineStr">
        <is>
          <t>Nhân viên</t>
        </is>
      </c>
      <c r="H1495" t="inlineStr">
        <is>
          <t>23/02/2026</t>
        </is>
      </c>
      <c r="I1495" t="inlineStr">
        <is>
          <t>25/03/2026</t>
        </is>
      </c>
      <c r="J1495" t="inlineStr">
        <is>
          <t>17/03/2026</t>
        </is>
      </c>
      <c r="K1495" t="inlineStr">
        <is>
          <t>N/A</t>
        </is>
      </c>
      <c r="L1495" t="inlineStr">
        <is>
          <t>Phát Triển Thị Trường, Sales Business Development, Nhân viên kinh doanh, Food &amp; Beverage, Kinh Doanh Thực Phẩm</t>
        </is>
      </c>
      <c r="M1495" t="inlineStr">
        <is>
          <t>Healthcare Plan, Training, Team Activities, Others</t>
        </is>
      </c>
      <c r="N1495" s="8">
        <f>HYPERLINK("https://www.vietnamworks.com/nhan-vien-kinh-doanh-2012394-jv","Xem chi tiết")</f>
        <v/>
      </c>
    </row>
    <row r="1496">
      <c r="B1496" s="9" t="n">
        <v>1494</v>
      </c>
      <c r="C1496" s="10" t="inlineStr">
        <is>
          <t>Kỹ Sư AOI</t>
        </is>
      </c>
      <c r="D1496" s="10" t="inlineStr">
        <is>
          <t>Wistron Neweb CORPORATION (WNC)</t>
        </is>
      </c>
      <c r="E1496" s="10" t="inlineStr">
        <is>
          <t>Thương lượng</t>
        </is>
      </c>
      <c r="F1496" s="10" t="inlineStr">
        <is>
          <t>Hà Nam</t>
        </is>
      </c>
      <c r="G1496" s="10" t="inlineStr">
        <is>
          <t>Nhân viên</t>
        </is>
      </c>
      <c r="H1496" s="10" t="inlineStr">
        <is>
          <t>23/02/2026</t>
        </is>
      </c>
      <c r="I1496" s="10" t="inlineStr">
        <is>
          <t>25/03/2026</t>
        </is>
      </c>
      <c r="J1496" s="10" t="inlineStr">
        <is>
          <t>17/03/2026</t>
        </is>
      </c>
      <c r="K1496" s="10" t="inlineStr">
        <is>
          <t>N/A</t>
        </is>
      </c>
      <c r="L1496" s="10" t="inlineStr">
        <is>
          <t>Phân Tích Dữ Liệu, Vận Hành Thiết Bị, SPI, Quản Lý Dây Chuyền Sản Xuất</t>
        </is>
      </c>
      <c r="M1496" s="10" t="inlineStr">
        <is>
          <t>Bonus, Healthcare Plan, Training</t>
        </is>
      </c>
      <c r="N1496" s="11">
        <f>HYPERLINK("https://www.vietnamworks.com/ky-su-aoi--2012391-jv","Xem chi tiết")</f>
        <v/>
      </c>
      <c r="O1496" s="10" t="n"/>
    </row>
    <row r="1497">
      <c r="B1497" s="7" t="n">
        <v>1495</v>
      </c>
      <c r="C1497" t="inlineStr">
        <is>
          <t>Senior Production Planner</t>
        </is>
      </c>
      <c r="D1497" t="inlineStr">
        <is>
          <t>Pizza 4P's</t>
        </is>
      </c>
      <c r="E1497" t="inlineStr">
        <is>
          <t>Thương lượng</t>
        </is>
      </c>
      <c r="F1497" t="inlineStr">
        <is>
          <t>Hồ Chí Minh</t>
        </is>
      </c>
      <c r="G1497" t="inlineStr">
        <is>
          <t>Nhân viên</t>
        </is>
      </c>
      <c r="H1497" t="inlineStr">
        <is>
          <t>23/02/2026</t>
        </is>
      </c>
      <c r="I1497" t="inlineStr">
        <is>
          <t>25/03/2026</t>
        </is>
      </c>
      <c r="J1497" t="inlineStr">
        <is>
          <t>17/03/2026</t>
        </is>
      </c>
      <c r="K1497" t="inlineStr">
        <is>
          <t>N/A</t>
        </is>
      </c>
      <c r="L1497" t="inlineStr">
        <is>
          <t>Communication, Data Analysis, Inventory Management, Production Schedule, Task Coordination</t>
        </is>
      </c>
      <c r="M1497" t="inlineStr">
        <is>
          <t>Vouchers</t>
        </is>
      </c>
      <c r="N1497" s="8">
        <f>HYPERLINK("https://www.vietnamworks.com/senior-production-planner-2012384-jv","Xem chi tiết")</f>
        <v/>
      </c>
    </row>
    <row r="1498">
      <c r="B1498" s="9" t="n">
        <v>1496</v>
      </c>
      <c r="C1498" s="10" t="inlineStr">
        <is>
          <t>Sales Supervisor (Nganh Hang: Điêu hoa không khi)</t>
        </is>
      </c>
      <c r="D1498" s="10" t="inlineStr">
        <is>
          <t>Aux Cloud Commerce (Vietnam) Company</t>
        </is>
      </c>
      <c r="E1498" s="10" t="inlineStr">
        <is>
          <t>Thương lượng</t>
        </is>
      </c>
      <c r="F1498" s="10" t="inlineStr">
        <is>
          <t>Hồ Chí Minh, Đắk Lắk</t>
        </is>
      </c>
      <c r="G1498" s="10" t="inlineStr">
        <is>
          <t>Trưởng phòng</t>
        </is>
      </c>
      <c r="H1498" s="10" t="inlineStr">
        <is>
          <t>23/02/2026</t>
        </is>
      </c>
      <c r="I1498" s="10" t="inlineStr">
        <is>
          <t>25/03/2026</t>
        </is>
      </c>
      <c r="J1498" s="10" t="inlineStr">
        <is>
          <t>17/03/2026</t>
        </is>
      </c>
      <c r="K1498" s="10" t="inlineStr">
        <is>
          <t>N/A</t>
        </is>
      </c>
      <c r="L1498" s="10" t="inlineStr">
        <is>
          <t>Distributor System Management, Market Development, Negotiation, Sales Target, Air Conditioning Sales</t>
        </is>
      </c>
      <c r="M1498" s="10" t="inlineStr">
        <is>
          <t>Team Activities, Others</t>
        </is>
      </c>
      <c r="N1498" s="11">
        <f>HYPERLINK("https://www.vietnamworks.com/sales-supervisor-nganh-hang-djieu-hoa-khong-khi-2012388-jv","Xem chi tiết")</f>
        <v/>
      </c>
      <c r="O1498" s="10" t="n"/>
    </row>
    <row r="1499">
      <c r="B1499" s="7" t="n">
        <v>1497</v>
      </c>
      <c r="C1499" t="inlineStr">
        <is>
          <t>Kỹ Sư Thiết Bị SMT</t>
        </is>
      </c>
      <c r="D1499" t="inlineStr">
        <is>
          <t>Wistron Neweb CORPORATION (WNC)</t>
        </is>
      </c>
      <c r="E1499" t="inlineStr">
        <is>
          <t>Tới $ 1,200 /tháng</t>
        </is>
      </c>
      <c r="F1499" t="inlineStr">
        <is>
          <t>Hà Nam</t>
        </is>
      </c>
      <c r="G1499" t="inlineStr">
        <is>
          <t>Nhân viên</t>
        </is>
      </c>
      <c r="H1499" t="inlineStr">
        <is>
          <t>23/02/2026</t>
        </is>
      </c>
      <c r="I1499" t="inlineStr">
        <is>
          <t>25/03/2026</t>
        </is>
      </c>
      <c r="J1499" t="inlineStr">
        <is>
          <t>17/03/2026</t>
        </is>
      </c>
      <c r="K1499" t="inlineStr">
        <is>
          <t>N/A</t>
        </is>
      </c>
      <c r="L1499" t="inlineStr">
        <is>
          <t>Dây Chuyền Sản Xuất, Xử Lý Sự Cố, SMT Technology, SMT Production</t>
        </is>
      </c>
      <c r="M1499" t="inlineStr">
        <is>
          <t>Bonus, Healthcare Plan, Training</t>
        </is>
      </c>
      <c r="N1499" s="8">
        <f>HYPERLINK("https://www.vietnamworks.com/ky-su-thiet-bi-smt--2012392-jv","Xem chi tiết")</f>
        <v/>
      </c>
    </row>
    <row r="1500">
      <c r="B1500" s="9" t="n">
        <v>1498</v>
      </c>
      <c r="C1500" s="10" t="inlineStr">
        <is>
          <t>Nhân Viên Kiểm Toán Nội Bộ - Internal Audit Staff (Experienced)</t>
        </is>
      </c>
      <c r="D1500" s="10" t="inlineStr">
        <is>
          <t>Hyosung Vietnam Corp</t>
        </is>
      </c>
      <c r="E1500" s="10" t="inlineStr">
        <is>
          <t>Thương lượng</t>
        </is>
      </c>
      <c r="F1500" s="10" t="inlineStr">
        <is>
          <t>Đồng Nai</t>
        </is>
      </c>
      <c r="G1500" s="10" t="inlineStr">
        <is>
          <t>Nhân viên</t>
        </is>
      </c>
      <c r="H1500" s="10" t="inlineStr">
        <is>
          <t>23/02/2026</t>
        </is>
      </c>
      <c r="I1500" s="10" t="inlineStr">
        <is>
          <t>25/03/2026</t>
        </is>
      </c>
      <c r="J1500" s="10" t="inlineStr">
        <is>
          <t>17/03/2026</t>
        </is>
      </c>
      <c r="K1500" s="10" t="inlineStr">
        <is>
          <t>N/A</t>
        </is>
      </c>
      <c r="L1500" s="10" t="inlineStr">
        <is>
          <t>Kiểm Toán Nội Bộ, Kiểm Toán, Internal Audit, Compliance Auditing, Investigation</t>
        </is>
      </c>
      <c r="M1500" s="10" t="inlineStr">
        <is>
          <t>Bonus</t>
        </is>
      </c>
      <c r="N1500" s="11">
        <f>HYPERLINK("https://www.vietnamworks.com/nhan-vien-kiem-toan-noi-bo-internal-audit-staff-experienced--2012393-jv","Xem chi tiết")</f>
        <v/>
      </c>
      <c r="O1500" s="10" t="n"/>
    </row>
    <row r="1501">
      <c r="B1501" s="7" t="n">
        <v>1499</v>
      </c>
      <c r="C1501" t="inlineStr">
        <is>
          <t>Marketing Manager - B2B Product &amp; Brand Marketing (Sapp Business | T2-T6)</t>
        </is>
      </c>
      <c r="D1501" t="inlineStr">
        <is>
          <t>SAPP Academy</t>
        </is>
      </c>
      <c r="E1501" t="inlineStr">
        <is>
          <t>30tr-40tr ₫/tháng</t>
        </is>
      </c>
      <c r="F1501" t="inlineStr">
        <is>
          <t>Hà Nội</t>
        </is>
      </c>
      <c r="G1501" t="inlineStr">
        <is>
          <t>Trưởng phòng</t>
        </is>
      </c>
      <c r="H1501" t="inlineStr">
        <is>
          <t>23/02/2026</t>
        </is>
      </c>
      <c r="I1501" t="inlineStr">
        <is>
          <t>25/03/2026</t>
        </is>
      </c>
      <c r="J1501" t="inlineStr">
        <is>
          <t>17/03/2026</t>
        </is>
      </c>
      <c r="K1501" t="inlineStr">
        <is>
          <t>N/A</t>
        </is>
      </c>
      <c r="L1501" t="inlineStr">
        <is>
          <t>B2B Marketing, Content Strategy, Leadership, Brand Marketing, Marketing Strategy</t>
        </is>
      </c>
      <c r="M1501" t="inlineStr">
        <is>
          <t>Bonus, Healthcare Plan, Paid Leave, Training, Travel Opportunities, Team Activities, Others</t>
        </is>
      </c>
      <c r="N1501" s="8">
        <f>HYPERLINK("https://www.vietnamworks.com/marketing-manager-b2b-product-and-brand-marketing-sapp-business-or-t2-t6-2012397-jv","Xem chi tiết")</f>
        <v/>
      </c>
    </row>
    <row r="1502">
      <c r="B1502" s="9" t="n">
        <v>1500</v>
      </c>
      <c r="C1502" s="10" t="inlineStr">
        <is>
          <t>Trưởng Bộ Phận M&amp;E (Low Voltage &amp; Water Systems)</t>
        </is>
      </c>
      <c r="D1502" s="10" t="inlineStr">
        <is>
          <t>New World Fashion Group</t>
        </is>
      </c>
      <c r="E1502" s="10" t="inlineStr">
        <is>
          <t>Thương lượng</t>
        </is>
      </c>
      <c r="F1502" s="10" t="inlineStr">
        <is>
          <t>Thái Bình</t>
        </is>
      </c>
      <c r="G1502" s="10" t="inlineStr">
        <is>
          <t>Nhân viên</t>
        </is>
      </c>
      <c r="H1502" s="10" t="inlineStr">
        <is>
          <t>23/02/2026</t>
        </is>
      </c>
      <c r="I1502" s="10" t="inlineStr">
        <is>
          <t>25/03/2026</t>
        </is>
      </c>
      <c r="J1502" s="10" t="inlineStr">
        <is>
          <t>17/03/2026</t>
        </is>
      </c>
      <c r="K1502" s="10" t="inlineStr">
        <is>
          <t>N/A</t>
        </is>
      </c>
      <c r="L1502" s="10" t="inlineStr">
        <is>
          <t>Xử Lý Nước Thải, Vệ Sinh Môi Trường, Cấp Thoát Nước, Vận Hành Điện, Bảo Trì Cơ Điện</t>
        </is>
      </c>
      <c r="M1502" s="10" t="inlineStr">
        <is>
          <t>Bonus, Healthcare Plan, Others</t>
        </is>
      </c>
      <c r="N1502" s="11">
        <f>HYPERLINK("https://www.vietnamworks.com/truong-bo-phan-m-e-low-voltage-water-systems-2012401-jv","Xem chi tiết")</f>
        <v/>
      </c>
      <c r="O1502" s="10" t="n"/>
    </row>
    <row r="1503">
      <c r="B1503" s="7" t="n">
        <v>1501</v>
      </c>
      <c r="C1503" t="inlineStr">
        <is>
          <t>Giám Sát Tiếp Thị Kênh Truyền Thống (Giám Sát PG Kênh GT)</t>
        </is>
      </c>
      <c r="D1503" t="inlineStr">
        <is>
          <t>Abbott</t>
        </is>
      </c>
      <c r="E1503" t="inlineStr">
        <is>
          <t>Thương lượng</t>
        </is>
      </c>
      <c r="F1503" t="inlineStr">
        <is>
          <t>Tiền Giang, Đồng Tháp, Khánh Hòa</t>
        </is>
      </c>
      <c r="G1503" t="inlineStr">
        <is>
          <t>Trưởng phòng</t>
        </is>
      </c>
      <c r="H1503" t="inlineStr">
        <is>
          <t>23/02/2026</t>
        </is>
      </c>
      <c r="I1503" t="inlineStr">
        <is>
          <t>25/03/2026</t>
        </is>
      </c>
      <c r="J1503" t="inlineStr">
        <is>
          <t>17/03/2026</t>
        </is>
      </c>
      <c r="K1503" t="inlineStr">
        <is>
          <t>N/A</t>
        </is>
      </c>
      <c r="L1503" t="inlineStr">
        <is>
          <t>Giám Sát Bán Hàng, Trade Management, Sales Supervisor, PG Training, Giám Sát Kênh Phân Phối</t>
        </is>
      </c>
      <c r="M1503" t="inlineStr">
        <is>
          <t>Bonus, Healthcare Plan, Training</t>
        </is>
      </c>
      <c r="N1503" s="8">
        <f>HYPERLINK("https://www.vietnamworks.com/giam-sat-tiep-thi-kenh-truyen-thong-giam-sat-pg-kenh-gt-2012422-jv","Xem chi tiết")</f>
        <v/>
      </c>
    </row>
    <row r="1504">
      <c r="B1504" s="9" t="n">
        <v>1502</v>
      </c>
      <c r="C1504" s="10" t="inlineStr">
        <is>
          <t>Business Development Manager (Audio Visual)</t>
        </is>
      </c>
      <c r="D1504" s="10" t="inlineStr">
        <is>
          <t>Công ty TNHH Giải pháp ESCO AV Việt Nam</t>
        </is>
      </c>
      <c r="E1504" s="10" t="inlineStr">
        <is>
          <t>Thương lượng</t>
        </is>
      </c>
      <c r="F1504" s="10" t="inlineStr">
        <is>
          <t>Hồ Chí Minh</t>
        </is>
      </c>
      <c r="G1504" s="10" t="inlineStr">
        <is>
          <t>Trưởng phòng</t>
        </is>
      </c>
      <c r="H1504" s="10" t="inlineStr">
        <is>
          <t>23/02/2026</t>
        </is>
      </c>
      <c r="I1504" s="10" t="inlineStr">
        <is>
          <t>25/03/2026</t>
        </is>
      </c>
      <c r="J1504" s="10" t="inlineStr">
        <is>
          <t>17/03/2026</t>
        </is>
      </c>
      <c r="K1504" s="10" t="inlineStr">
        <is>
          <t>N/A</t>
        </is>
      </c>
      <c r="L1504" s="10" t="inlineStr">
        <is>
          <t>Audiovisual, Kinh Doanh, Audio Visual Equipment, Business Management, Tư Vấn Giải Pháp</t>
        </is>
      </c>
      <c r="M1504" s="10" t="inlineStr">
        <is>
          <t>Bonus, Team Activities, Others</t>
        </is>
      </c>
      <c r="N1504" s="11">
        <f>HYPERLINK("https://www.vietnamworks.com/business-development-manager-audio-visual--2012416-jv","Xem chi tiết")</f>
        <v/>
      </c>
      <c r="O1504" s="10" t="n"/>
    </row>
    <row r="1505">
      <c r="B1505" s="7" t="n">
        <v>1503</v>
      </c>
      <c r="C1505" t="inlineStr">
        <is>
          <t>Điều Phối Viên KOL/ Influencer Co-Ordinator</t>
        </is>
      </c>
      <c r="D1505" t="inlineStr">
        <is>
          <t>Doyoe Ambition Trading Co.,Ltd</t>
        </is>
      </c>
      <c r="E1505" t="inlineStr">
        <is>
          <t>8tr-12tr ₫/tháng</t>
        </is>
      </c>
      <c r="F1505" t="inlineStr">
        <is>
          <t>Hồ Chí Minh</t>
        </is>
      </c>
      <c r="G1505" t="inlineStr">
        <is>
          <t>Mới Tốt Nghiệp</t>
        </is>
      </c>
      <c r="H1505" t="inlineStr">
        <is>
          <t>23/02/2026</t>
        </is>
      </c>
      <c r="I1505" t="inlineStr">
        <is>
          <t>25/03/2026</t>
        </is>
      </c>
      <c r="J1505" t="inlineStr">
        <is>
          <t>17/03/2026</t>
        </is>
      </c>
      <c r="K1505" t="inlineStr">
        <is>
          <t>N/A</t>
        </is>
      </c>
      <c r="L1505" t="inlineStr">
        <is>
          <t>Online Platforms, Social Media Platform, Influencer &amp; KOL Management, Influencer Management, Influencer Engagement</t>
        </is>
      </c>
      <c r="M1505" t="inlineStr">
        <is>
          <t>Others</t>
        </is>
      </c>
      <c r="N1505" s="8">
        <f>HYPERLINK("https://www.vietnamworks.com/djieu-phoi-vien-kol-influencer-co-ordinator-2012419-jv","Xem chi tiết")</f>
        <v/>
      </c>
    </row>
    <row r="1506">
      <c r="B1506" s="9" t="n">
        <v>1504</v>
      </c>
      <c r="C1506" s="10" t="inlineStr">
        <is>
          <t>Quality Control Inspector</t>
        </is>
      </c>
      <c r="D1506" s="10" t="inlineStr">
        <is>
          <t>Công Ty TNHH Dịch Vụ Lidl &amp; Kaufland (Việt Nam)</t>
        </is>
      </c>
      <c r="E1506" s="10" t="inlineStr">
        <is>
          <t>Thương lượng</t>
        </is>
      </c>
      <c r="F1506" s="10" t="inlineStr">
        <is>
          <t>Hồ Chí Minh</t>
        </is>
      </c>
      <c r="G1506" s="10" t="inlineStr">
        <is>
          <t>Nhân viên</t>
        </is>
      </c>
      <c r="H1506" s="10" t="inlineStr">
        <is>
          <t>23/02/2026</t>
        </is>
      </c>
      <c r="I1506" s="10" t="inlineStr">
        <is>
          <t>25/03/2026</t>
        </is>
      </c>
      <c r="J1506" s="10" t="inlineStr">
        <is>
          <t>17/03/2026</t>
        </is>
      </c>
      <c r="K1506" s="10" t="inlineStr">
        <is>
          <t>N/A</t>
        </is>
      </c>
      <c r="L1506" s="10" t="inlineStr">
        <is>
          <t>Cost Control, MS Office, Production Management, Quality Control, Quality Inspection</t>
        </is>
      </c>
      <c r="M1506" s="10" t="inlineStr">
        <is>
          <t>Bonus, Others</t>
        </is>
      </c>
      <c r="N1506" s="11">
        <f>HYPERLINK("https://www.vietnamworks.com/quality-control-inspector-2012421-jv","Xem chi tiết")</f>
        <v/>
      </c>
      <c r="O1506" s="10" t="n"/>
    </row>
    <row r="1507">
      <c r="B1507" s="7" t="n">
        <v>1505</v>
      </c>
      <c r="C1507" t="inlineStr">
        <is>
          <t>IT Communicator (Inexperience/Experienced)</t>
        </is>
      </c>
      <c r="D1507" t="inlineStr">
        <is>
          <t>Briswell Việt Nam Co.,ltd</t>
        </is>
      </c>
      <c r="E1507" t="inlineStr">
        <is>
          <t>Thương lượng</t>
        </is>
      </c>
      <c r="F1507" t="inlineStr">
        <is>
          <t>Hồ Chí Minh</t>
        </is>
      </c>
      <c r="G1507" t="inlineStr">
        <is>
          <t>Mới Tốt Nghiệp</t>
        </is>
      </c>
      <c r="H1507" t="inlineStr">
        <is>
          <t>23/02/2026</t>
        </is>
      </c>
      <c r="I1507" t="inlineStr">
        <is>
          <t>25/03/2026</t>
        </is>
      </c>
      <c r="J1507" t="inlineStr">
        <is>
          <t>17/03/2026</t>
        </is>
      </c>
      <c r="K1507" t="inlineStr">
        <is>
          <t>N/A</t>
        </is>
      </c>
      <c r="L1507" t="inlineStr">
        <is>
          <t>Application Development, User Experience Testing, It Terminology Understanding, IT Communications, Japanese</t>
        </is>
      </c>
      <c r="M1507" t="inlineStr">
        <is>
          <t>Bonus, Healthcare Plan, Awards, Travel Opportunities, Team Activities, Others</t>
        </is>
      </c>
      <c r="N1507" s="8">
        <f>HYPERLINK("https://www.vietnamworks.com/it-communicator-inexperienceexperienced-2012412-jv","Xem chi tiết")</f>
        <v/>
      </c>
    </row>
    <row r="1508">
      <c r="B1508" s="9" t="n">
        <v>1506</v>
      </c>
      <c r="C1508" s="10" t="inlineStr">
        <is>
          <t>Kế toán Doanh thu kiêm hỗ trợ HR</t>
        </is>
      </c>
      <c r="D1508" s="10" t="inlineStr">
        <is>
          <t>CÔNG TY TNHH FINHELP</t>
        </is>
      </c>
      <c r="E1508" s="10" t="inlineStr">
        <is>
          <t>$$ 400-550 /tháng</t>
        </is>
      </c>
      <c r="F1508" s="10" t="inlineStr">
        <is>
          <t>Hồ Chí Minh</t>
        </is>
      </c>
      <c r="G1508" s="10" t="inlineStr">
        <is>
          <t>Nhân viên</t>
        </is>
      </c>
      <c r="H1508" s="10" t="inlineStr">
        <is>
          <t>23/02/2026</t>
        </is>
      </c>
      <c r="I1508" s="10" t="inlineStr">
        <is>
          <t>25/03/2026</t>
        </is>
      </c>
      <c r="J1508" s="10" t="inlineStr">
        <is>
          <t>17/03/2026</t>
        </is>
      </c>
      <c r="K1508" s="10" t="inlineStr">
        <is>
          <t>N/A</t>
        </is>
      </c>
      <c r="L1508" s="10" t="inlineStr">
        <is>
          <t>Account Receivable, Accounting, Finance, English Language Proficiency, Multitasking</t>
        </is>
      </c>
      <c r="M1508" s="10" t="inlineStr">
        <is>
          <t>Bonus, Healthcare Plan, Paid Leave, Laptop, Others</t>
        </is>
      </c>
      <c r="N1508" s="11">
        <f>HYPERLINK("https://www.vietnamworks.com/ke-toan-doanh-thu-kiem-ho-tro-hr-2012407-jv","Xem chi tiết")</f>
        <v/>
      </c>
      <c r="O1508" s="10" t="n"/>
    </row>
    <row r="1509">
      <c r="B1509" s="7" t="n">
        <v>1507</v>
      </c>
      <c r="C1509" t="inlineStr">
        <is>
          <t>Intern Nodejs/PHP Developer</t>
        </is>
      </c>
      <c r="D1509" t="inlineStr">
        <is>
          <t>Briswell Việt Nam Co.,ltd</t>
        </is>
      </c>
      <c r="E1509" t="inlineStr">
        <is>
          <t>Từ 4tr ₫/tháng</t>
        </is>
      </c>
      <c r="F1509" t="inlineStr">
        <is>
          <t>Hồ Chí Minh</t>
        </is>
      </c>
      <c r="G1509" t="inlineStr">
        <is>
          <t>Thực tập sinh/Sinh viên</t>
        </is>
      </c>
      <c r="H1509" t="inlineStr">
        <is>
          <t>23/02/2026</t>
        </is>
      </c>
      <c r="I1509" t="inlineStr">
        <is>
          <t>25/03/2026</t>
        </is>
      </c>
      <c r="J1509" t="inlineStr">
        <is>
          <t>17/03/2026</t>
        </is>
      </c>
      <c r="K1509" t="inlineStr">
        <is>
          <t>N/A</t>
        </is>
      </c>
      <c r="L1509" t="inlineStr">
        <is>
          <t>Node.js, PHP, HTML/CSS, JavaScript, Mvc</t>
        </is>
      </c>
      <c r="M1509" t="inlineStr">
        <is>
          <t>Healthcare Plan, Awards, Travel Opportunities, Team Activities, Others</t>
        </is>
      </c>
      <c r="N1509" s="8">
        <f>HYPERLINK("https://www.vietnamworks.com/intern-nodejsphp-developer-2012405-jv","Xem chi tiết")</f>
        <v/>
      </c>
    </row>
    <row r="1510">
      <c r="B1510" s="9" t="n">
        <v>1508</v>
      </c>
      <c r="C1510" s="10" t="inlineStr">
        <is>
          <t>Kế Toán Thuế</t>
        </is>
      </c>
      <c r="D1510" s="10" t="inlineStr">
        <is>
          <t>Thami Corporation</t>
        </is>
      </c>
      <c r="E1510" s="10" t="inlineStr">
        <is>
          <t>$$ 600-1,000 /tháng</t>
        </is>
      </c>
      <c r="F1510" s="10" t="inlineStr">
        <is>
          <t>Hồ Chí Minh</t>
        </is>
      </c>
      <c r="G1510" s="10" t="inlineStr">
        <is>
          <t>Nhân viên</t>
        </is>
      </c>
      <c r="H1510" s="10" t="inlineStr">
        <is>
          <t>23/02/2026</t>
        </is>
      </c>
      <c r="I1510" s="10" t="inlineStr">
        <is>
          <t>25/03/2026</t>
        </is>
      </c>
      <c r="J1510" s="10" t="inlineStr">
        <is>
          <t>17/03/2026</t>
        </is>
      </c>
      <c r="K1510" s="10" t="inlineStr">
        <is>
          <t>N/A</t>
        </is>
      </c>
      <c r="L1510" s="10" t="inlineStr">
        <is>
          <t>Theo Dõi Công Nợ, Quản Lý Chứng Từ, Lưu Trữ Hồ Sơ, Báo Cáo Công Nợ, Tiếng Anh</t>
        </is>
      </c>
      <c r="M1510" s="10" t="inlineStr">
        <is>
          <t>Bonus, Healthcare Plan, Paid Leave</t>
        </is>
      </c>
      <c r="N1510" s="11">
        <f>HYPERLINK("https://www.vietnamworks.com/ke-toan-thue--2012426-jv","Xem chi tiết")</f>
        <v/>
      </c>
      <c r="O1510" s="10" t="n"/>
    </row>
    <row r="1511">
      <c r="B1511" s="7" t="n">
        <v>1509</v>
      </c>
      <c r="C1511" t="inlineStr">
        <is>
          <t>Senior Pricing Executive - Ha Noi Branch</t>
        </is>
      </c>
      <c r="D1511" t="inlineStr">
        <is>
          <t>Dachser Vietnam Co., Ltd</t>
        </is>
      </c>
      <c r="E1511" t="inlineStr">
        <is>
          <t>Thương lượng</t>
        </is>
      </c>
      <c r="F1511" t="inlineStr">
        <is>
          <t>Hà Nội</t>
        </is>
      </c>
      <c r="G1511" t="inlineStr">
        <is>
          <t>Nhân viên</t>
        </is>
      </c>
      <c r="H1511" t="inlineStr">
        <is>
          <t>23/02/2026</t>
        </is>
      </c>
      <c r="I1511" t="inlineStr">
        <is>
          <t>25/03/2026</t>
        </is>
      </c>
      <c r="J1511" t="inlineStr">
        <is>
          <t>17/03/2026</t>
        </is>
      </c>
      <c r="K1511" t="inlineStr">
        <is>
          <t>N/A</t>
        </is>
      </c>
      <c r="L1511" t="inlineStr">
        <is>
          <t>English Communicate, Pricing Hàng Xuất Nhập Khẩu, Negotiation Skills, Communication Skills, Teamworks</t>
        </is>
      </c>
      <c r="M1511" t="inlineStr">
        <is>
          <t>Bonus, Healthcare Plan, Team Activities</t>
        </is>
      </c>
      <c r="N1511" s="8">
        <f>HYPERLINK("https://www.vietnamworks.com/senior-pricing-executive-ha-noi-branch--2012425-jv","Xem chi tiết")</f>
        <v/>
      </c>
    </row>
    <row r="1512">
      <c r="B1512" s="9" t="n">
        <v>1510</v>
      </c>
      <c r="C1512" s="10" t="inlineStr">
        <is>
          <t>Customer Service Section Leader</t>
        </is>
      </c>
      <c r="D1512" s="10" t="inlineStr">
        <is>
          <t>LX Pantos Vietnam</t>
        </is>
      </c>
      <c r="E1512" s="10" t="inlineStr">
        <is>
          <t>Thương lượng</t>
        </is>
      </c>
      <c r="F1512" s="10" t="inlineStr">
        <is>
          <t>Hải Phòng</t>
        </is>
      </c>
      <c r="G1512" s="10" t="inlineStr">
        <is>
          <t>Trưởng phòng</t>
        </is>
      </c>
      <c r="H1512" s="10" t="inlineStr">
        <is>
          <t>23/02/2026</t>
        </is>
      </c>
      <c r="I1512" s="10" t="inlineStr">
        <is>
          <t>25/03/2026</t>
        </is>
      </c>
      <c r="J1512" s="10" t="inlineStr">
        <is>
          <t>17/03/2026</t>
        </is>
      </c>
      <c r="K1512" s="10" t="inlineStr">
        <is>
          <t>N/A</t>
        </is>
      </c>
      <c r="L1512" s="10" t="inlineStr">
        <is>
          <t>Customer Service, Logistics, English, Negotiation Skills, Communications</t>
        </is>
      </c>
      <c r="M1512" s="10" t="inlineStr">
        <is>
          <t>Bonus, Healthcare Plan, Training</t>
        </is>
      </c>
      <c r="N1512" s="11">
        <f>HYPERLINK("https://www.vietnamworks.com/customer-service-section-leader-2012424-jv","Xem chi tiết")</f>
        <v/>
      </c>
      <c r="O1512" s="10" t="n"/>
    </row>
    <row r="1513">
      <c r="B1513" s="7" t="n">
        <v>1511</v>
      </c>
      <c r="C1513" t="inlineStr">
        <is>
          <t>Trưởng Phòng Tuyển Dụng (Recruitment Manager)</t>
        </is>
      </c>
      <c r="D1513" t="inlineStr">
        <is>
          <t>Công Ty CP Tập Đoàn Everland</t>
        </is>
      </c>
      <c r="E1513" t="inlineStr">
        <is>
          <t>Thương lượng</t>
        </is>
      </c>
      <c r="F1513" t="inlineStr">
        <is>
          <t>Hà Nội</t>
        </is>
      </c>
      <c r="G1513" t="inlineStr">
        <is>
          <t>Trưởng phòng</t>
        </is>
      </c>
      <c r="H1513" t="inlineStr">
        <is>
          <t>23/02/2026</t>
        </is>
      </c>
      <c r="I1513" t="inlineStr">
        <is>
          <t>25/03/2026</t>
        </is>
      </c>
      <c r="J1513" t="inlineStr">
        <is>
          <t>17/03/2026</t>
        </is>
      </c>
      <c r="K1513" t="inlineStr">
        <is>
          <t>N/A</t>
        </is>
      </c>
      <c r="L1513" t="inlineStr">
        <is>
          <t>Tuyển Dụng, Thương Lượng, Giao Tiếp, Lên Kế Hoạch Báo Cáo, Headhunt</t>
        </is>
      </c>
      <c r="M1513" t="inlineStr">
        <is>
          <t>Healthcare Plan, Training, Team Activities, Others</t>
        </is>
      </c>
      <c r="N1513" s="8">
        <f>HYPERLINK("https://www.vietnamworks.com/truong-phong-tuyen-dung-recruitment-manager--2012404-jv","Xem chi tiết")</f>
        <v/>
      </c>
    </row>
    <row r="1514">
      <c r="B1514" s="9" t="n">
        <v>1512</v>
      </c>
      <c r="C1514" s="10" t="inlineStr">
        <is>
          <t>Assistant Site Manager (C&amp;S)</t>
        </is>
      </c>
      <c r="D1514" s="10" t="inlineStr">
        <is>
          <t>CapitaLand Development (Vietnam)</t>
        </is>
      </c>
      <c r="E1514" s="10" t="inlineStr">
        <is>
          <t>Thương lượng</t>
        </is>
      </c>
      <c r="F1514" s="10" t="inlineStr">
        <is>
          <t>Hưng Yên</t>
        </is>
      </c>
      <c r="G1514" s="10" t="inlineStr">
        <is>
          <t>Nhân viên</t>
        </is>
      </c>
      <c r="H1514" s="10" t="inlineStr">
        <is>
          <t>23/02/2026</t>
        </is>
      </c>
      <c r="I1514" s="10" t="inlineStr">
        <is>
          <t>25/03/2026</t>
        </is>
      </c>
      <c r="J1514" s="10" t="inlineStr">
        <is>
          <t>17/03/2026</t>
        </is>
      </c>
      <c r="K1514" s="10" t="inlineStr">
        <is>
          <t>N/A</t>
        </is>
      </c>
      <c r="L1514" s="10" t="inlineStr">
        <is>
          <t>Project Management, Site Construction, Structural Engineering, Civil Engineering</t>
        </is>
      </c>
      <c r="M1514" s="10" t="inlineStr">
        <is>
          <t>Bonus, Healthcare Plan, Paid Leave</t>
        </is>
      </c>
      <c r="N1514" s="11">
        <f>HYPERLINK("https://www.vietnamworks.com/assistant-site-manager-c-s--2012402-jv","Xem chi tiết")</f>
        <v/>
      </c>
      <c r="O1514" s="10" t="n"/>
    </row>
    <row r="1515">
      <c r="B1515" s="7" t="n">
        <v>1513</v>
      </c>
      <c r="C1515" t="inlineStr">
        <is>
          <t xml:space="preserve">Online Trading Assistant Manager </t>
        </is>
      </c>
      <c r="D1515" t="inlineStr">
        <is>
          <t>Social Bella Vietnam</t>
        </is>
      </c>
      <c r="E1515" t="inlineStr">
        <is>
          <t>Thương lượng</t>
        </is>
      </c>
      <c r="F1515" t="inlineStr">
        <is>
          <t>Hồ Chí Minh</t>
        </is>
      </c>
      <c r="G1515" t="inlineStr">
        <is>
          <t>Trưởng phòng</t>
        </is>
      </c>
      <c r="H1515" t="inlineStr">
        <is>
          <t>23/02/2026</t>
        </is>
      </c>
      <c r="I1515" t="inlineStr">
        <is>
          <t>25/03/2026</t>
        </is>
      </c>
      <c r="J1515" t="inlineStr">
        <is>
          <t>17/03/2026</t>
        </is>
      </c>
      <c r="K1515" t="inlineStr">
        <is>
          <t>N/A</t>
        </is>
      </c>
      <c r="L1515" t="inlineStr">
        <is>
          <t>Data Analysis, Data Management, E commerce, Web Analysis</t>
        </is>
      </c>
      <c r="M1515" t="inlineStr">
        <is>
          <t>Bonus, Healthcare Plan, Paid Leave, Laptop, Mobile</t>
        </is>
      </c>
      <c r="N1515" s="8">
        <f>HYPERLINK("https://www.vietnamworks.com/online-trading-assistant-manager-2012409-jv","Xem chi tiết")</f>
        <v/>
      </c>
    </row>
    <row r="1516">
      <c r="B1516" s="9" t="n">
        <v>1514</v>
      </c>
      <c r="C1516" s="10" t="inlineStr">
        <is>
          <t>Accountant Manager</t>
        </is>
      </c>
      <c r="D1516" s="10" t="inlineStr">
        <is>
          <t>CÔNG TY TNHH GOURMET NUT</t>
        </is>
      </c>
      <c r="E1516" s="10" t="inlineStr">
        <is>
          <t>$$ 500-1,500 /tháng</t>
        </is>
      </c>
      <c r="F1516" s="10" t="inlineStr">
        <is>
          <t>Đồng Nai</t>
        </is>
      </c>
      <c r="G1516" s="10" t="inlineStr">
        <is>
          <t>Trưởng phòng</t>
        </is>
      </c>
      <c r="H1516" s="10" t="inlineStr">
        <is>
          <t>23/02/2026</t>
        </is>
      </c>
      <c r="I1516" s="10" t="inlineStr">
        <is>
          <t>25/03/2026</t>
        </is>
      </c>
      <c r="J1516" s="10" t="inlineStr">
        <is>
          <t>17/03/2026</t>
        </is>
      </c>
      <c r="K1516" s="10" t="inlineStr">
        <is>
          <t>N/A</t>
        </is>
      </c>
      <c r="L1516" s="10" t="inlineStr">
        <is>
          <t>Fast Accounting, MISA system, Phần Mềm Kế Toán Fast</t>
        </is>
      </c>
      <c r="M1516" s="10" t="inlineStr">
        <is>
          <t>Bonus, Laptop, Mobile, Others</t>
        </is>
      </c>
      <c r="N1516" s="11">
        <f>HYPERLINK("https://www.vietnamworks.com/accountant-manager-2012435-jv","Xem chi tiết")</f>
        <v/>
      </c>
      <c r="O1516" s="10" t="n"/>
    </row>
    <row r="1517">
      <c r="B1517" s="7" t="n">
        <v>1515</v>
      </c>
      <c r="C1517" t="inlineStr">
        <is>
          <t>Administration Officer / Admin Support</t>
        </is>
      </c>
      <c r="D1517" t="inlineStr">
        <is>
          <t>CÔNG TY TNHH FINHELP</t>
        </is>
      </c>
      <c r="E1517" t="inlineStr">
        <is>
          <t>$$ 400-640 /tháng</t>
        </is>
      </c>
      <c r="F1517" t="inlineStr">
        <is>
          <t>Hồ Chí Minh</t>
        </is>
      </c>
      <c r="G1517" t="inlineStr">
        <is>
          <t>Nhân viên</t>
        </is>
      </c>
      <c r="H1517" t="inlineStr">
        <is>
          <t>23/02/2026</t>
        </is>
      </c>
      <c r="I1517" t="inlineStr">
        <is>
          <t>25/03/2026</t>
        </is>
      </c>
      <c r="J1517" t="inlineStr">
        <is>
          <t>17/03/2026</t>
        </is>
      </c>
      <c r="K1517" t="inlineStr">
        <is>
          <t>N/A</t>
        </is>
      </c>
      <c r="L1517" t="inlineStr">
        <is>
          <t>Accounting, Finance, Organizational skills, Communication Skills, Attention To Detail</t>
        </is>
      </c>
      <c r="M1517" t="inlineStr">
        <is>
          <t>Bonus, Healthcare Plan, Paid Leave, Laptop, Others</t>
        </is>
      </c>
      <c r="N1517" s="8">
        <f>HYPERLINK("https://www.vietnamworks.com/administration-officer-admin-support-2012403-jv","Xem chi tiết")</f>
        <v/>
      </c>
    </row>
    <row r="1518">
      <c r="B1518" s="9" t="n">
        <v>1516</v>
      </c>
      <c r="C1518" s="10" t="inlineStr">
        <is>
          <t>[Ha Noi] Talent Development Executive</t>
        </is>
      </c>
      <c r="D1518" s="10" t="inlineStr">
        <is>
          <t>Công Ty TNHH Aeon Việt Nam</t>
        </is>
      </c>
      <c r="E1518" s="10" t="inlineStr">
        <is>
          <t>$$ 800-1,000 /tháng</t>
        </is>
      </c>
      <c r="F1518" s="10" t="inlineStr">
        <is>
          <t>Hà Nội</t>
        </is>
      </c>
      <c r="G1518" s="10" t="inlineStr">
        <is>
          <t>Nhân viên</t>
        </is>
      </c>
      <c r="H1518" s="10" t="inlineStr">
        <is>
          <t>23/02/2026</t>
        </is>
      </c>
      <c r="I1518" s="10" t="inlineStr">
        <is>
          <t>25/03/2026</t>
        </is>
      </c>
      <c r="J1518" s="10" t="inlineStr">
        <is>
          <t>17/03/2026</t>
        </is>
      </c>
      <c r="K1518" s="10" t="inlineStr">
        <is>
          <t>N/A</t>
        </is>
      </c>
      <c r="L1518" s="10" t="inlineStr">
        <is>
          <t>Training Skills, Training, Talent Development</t>
        </is>
      </c>
      <c r="M1518" s="10" t="inlineStr">
        <is>
          <t>Bonus, Healthcare Plan, Training</t>
        </is>
      </c>
      <c r="N1518" s="11">
        <f>HYPERLINK("https://www.vietnamworks.com/ha-noi-talent-development-executive-2012436-jv","Xem chi tiết")</f>
        <v/>
      </c>
      <c r="O1518" s="10" t="n"/>
    </row>
    <row r="1519">
      <c r="B1519" s="7" t="n">
        <v>1517</v>
      </c>
      <c r="C1519" t="inlineStr">
        <is>
          <t>Cán Bộ Truyền Thông</t>
        </is>
      </c>
      <c r="D1519" t="inlineStr">
        <is>
          <t>Tổ Chức Giáo Dục FPT</t>
        </is>
      </c>
      <c r="E1519" t="inlineStr">
        <is>
          <t>Thương lượng</t>
        </is>
      </c>
      <c r="F1519" t="inlineStr">
        <is>
          <t>Hà Nội</t>
        </is>
      </c>
      <c r="G1519" t="inlineStr">
        <is>
          <t>Nhân viên</t>
        </is>
      </c>
      <c r="H1519" t="inlineStr">
        <is>
          <t>23/02/2026</t>
        </is>
      </c>
      <c r="I1519" t="inlineStr">
        <is>
          <t>25/03/2026</t>
        </is>
      </c>
      <c r="J1519" t="inlineStr">
        <is>
          <t>17/03/2026</t>
        </is>
      </c>
      <c r="K1519" t="inlineStr">
        <is>
          <t>N/A</t>
        </is>
      </c>
      <c r="L1519" t="inlineStr">
        <is>
          <t>Truyền Thông Thương Hiệu, Truyền Thông, Communication, Content Creative, Kiến Thức Truyền Thông Mạng Xã Hội</t>
        </is>
      </c>
      <c r="M1519" t="inlineStr">
        <is>
          <t>Bonus, Healthcare Plan, Travel Opportunities</t>
        </is>
      </c>
      <c r="N1519" s="8">
        <f>HYPERLINK("https://www.vietnamworks.com/can-bo-truyen-thong--2012427-jv","Xem chi tiết")</f>
        <v/>
      </c>
    </row>
    <row r="1520">
      <c r="B1520" s="9" t="n">
        <v>1518</v>
      </c>
      <c r="C1520" s="10" t="inlineStr">
        <is>
          <t>[HCM, Haiphong, Hanoi] Advisor, Business Development</t>
        </is>
      </c>
      <c r="D1520" s="10" t="inlineStr">
        <is>
          <t>APL Logistics Vietnam Company Limited</t>
        </is>
      </c>
      <c r="E1520" s="10" t="inlineStr">
        <is>
          <t>Thương lượng</t>
        </is>
      </c>
      <c r="F1520" s="10" t="inlineStr">
        <is>
          <t>Hồ Chí Minh, Hải Phòng, Hà Nội</t>
        </is>
      </c>
      <c r="G1520" s="10" t="inlineStr">
        <is>
          <t>Trưởng phòng</t>
        </is>
      </c>
      <c r="H1520" s="10" t="inlineStr">
        <is>
          <t>23/02/2026</t>
        </is>
      </c>
      <c r="I1520" s="10" t="inlineStr">
        <is>
          <t>25/03/2026</t>
        </is>
      </c>
      <c r="J1520" s="10" t="inlineStr">
        <is>
          <t>17/03/2026</t>
        </is>
      </c>
      <c r="K1520" s="10" t="inlineStr">
        <is>
          <t>N/A</t>
        </is>
      </c>
      <c r="L1520" s="10" t="inlineStr">
        <is>
          <t>3PL, Business Development, Freight Forwarding Sales, Supply Chain Logistics, Sales</t>
        </is>
      </c>
      <c r="M1520" s="10" t="inlineStr">
        <is>
          <t>Bonus, Healthcare Plan, Paid Leave, Training</t>
        </is>
      </c>
      <c r="N1520" s="11">
        <f>HYPERLINK("https://www.vietnamworks.com/hcm-haiphong-hanoi-advisor-business-development-2012432-jv","Xem chi tiết")</f>
        <v/>
      </c>
      <c r="O1520" s="10" t="n"/>
    </row>
    <row r="1521">
      <c r="B1521" s="7" t="n">
        <v>1519</v>
      </c>
      <c r="C1521" t="inlineStr">
        <is>
          <t>Giám Đốc Pháp Chế</t>
        </is>
      </c>
      <c r="D1521" t="inlineStr">
        <is>
          <t>Công Ty CP Tập đoàn MCST</t>
        </is>
      </c>
      <c r="E1521" t="inlineStr">
        <is>
          <t>Thương lượng</t>
        </is>
      </c>
      <c r="F1521" t="inlineStr">
        <is>
          <t>Hà Nội</t>
        </is>
      </c>
      <c r="G1521" t="inlineStr">
        <is>
          <t>Trưởng phòng</t>
        </is>
      </c>
      <c r="H1521" t="inlineStr">
        <is>
          <t>23/02/2026</t>
        </is>
      </c>
      <c r="I1521" t="inlineStr">
        <is>
          <t>25/03/2026</t>
        </is>
      </c>
      <c r="J1521" t="inlineStr">
        <is>
          <t>17/03/2026</t>
        </is>
      </c>
      <c r="K1521" t="inlineStr">
        <is>
          <t>N/A</t>
        </is>
      </c>
      <c r="L1521" t="inlineStr">
        <is>
          <t>Pháp Lý Doanh Nghiệp, Pháp Chế Doanh Nghiệp, Pháp Lý, Luật</t>
        </is>
      </c>
      <c r="M1521" t="inlineStr">
        <is>
          <t>Bonus, Healthcare Plan, Paid Leave</t>
        </is>
      </c>
      <c r="N1521" s="8">
        <f>HYPERLINK("https://www.vietnamworks.com/giam-doc-phap-che--2012437-jv","Xem chi tiết")</f>
        <v/>
      </c>
    </row>
    <row r="1522">
      <c r="B1522" s="9" t="n">
        <v>1520</v>
      </c>
      <c r="C1522" s="10" t="inlineStr">
        <is>
          <t>Designer/ Drafter (2D &amp; 3D Cabinetry Design)</t>
        </is>
      </c>
      <c r="D1522" s="10" t="inlineStr">
        <is>
          <t>VĂN PHÒNG ĐẠI DIỆN ZEN LIVING LTD. TẠI THÀNH PHỐ HỒ CHÍ MINH</t>
        </is>
      </c>
      <c r="E1522" s="10" t="inlineStr">
        <is>
          <t>$$ 500-900 /tháng</t>
        </is>
      </c>
      <c r="F1522" s="10" t="inlineStr">
        <is>
          <t>Hồ Chí Minh</t>
        </is>
      </c>
      <c r="G1522" s="10" t="inlineStr">
        <is>
          <t>Nhân viên</t>
        </is>
      </c>
      <c r="H1522" s="10" t="inlineStr">
        <is>
          <t>23/02/2026</t>
        </is>
      </c>
      <c r="I1522" s="10" t="inlineStr">
        <is>
          <t>25/03/2026</t>
        </is>
      </c>
      <c r="J1522" s="10" t="inlineStr">
        <is>
          <t>17/03/2026</t>
        </is>
      </c>
      <c r="K1522" s="10" t="inlineStr">
        <is>
          <t>N/A</t>
        </is>
      </c>
      <c r="L1522" s="10" t="inlineStr">
        <is>
          <t>AutoCAD, Sketchup, Thiết Kế Nội Thất, Thiết Kế Xây Dựng, Đọc Hiểu Bản Vẽ Kỹ Thuật</t>
        </is>
      </c>
      <c r="M1522" s="10" t="inlineStr">
        <is>
          <t>Bonus, Healthcare Plan, Awards, Others</t>
        </is>
      </c>
      <c r="N1522" s="11">
        <f>HYPERLINK("https://www.vietnamworks.com/designer-drafter-2d-and-3d-cabinetry-design-2012447-jv","Xem chi tiết")</f>
        <v/>
      </c>
      <c r="O1522" s="10" t="n"/>
    </row>
    <row r="1523">
      <c r="B1523" s="7" t="n">
        <v>1521</v>
      </c>
      <c r="C1523" t="inlineStr">
        <is>
          <t>Garment Colorist - Nhân Viên Kiểm Định Màu (Leader/staff)</t>
        </is>
      </c>
      <c r="D1523" t="inlineStr">
        <is>
          <t>Tp Inc. - Hanoi Business Center</t>
        </is>
      </c>
      <c r="E1523" t="inlineStr">
        <is>
          <t>Thương lượng</t>
        </is>
      </c>
      <c r="F1523" t="inlineStr">
        <is>
          <t>Hà Nội</t>
        </is>
      </c>
      <c r="G1523" t="inlineStr">
        <is>
          <t>Nhân viên</t>
        </is>
      </c>
      <c r="H1523" t="inlineStr">
        <is>
          <t>23/02/2026</t>
        </is>
      </c>
      <c r="I1523" t="inlineStr">
        <is>
          <t>25/03/2026</t>
        </is>
      </c>
      <c r="J1523" t="inlineStr">
        <is>
          <t>17/03/2026</t>
        </is>
      </c>
      <c r="K1523" t="inlineStr">
        <is>
          <t>N/A</t>
        </is>
      </c>
      <c r="L1523" t="inlineStr">
        <is>
          <t>Garment, Công Nghệ Dệt Nhuộm, Dệt May, Phân Biệt Vải</t>
        </is>
      </c>
      <c r="M1523" t="inlineStr">
        <is>
          <t>Bonus, Training, Team Activities</t>
        </is>
      </c>
      <c r="N1523" s="8">
        <f>HYPERLINK("https://www.vietnamworks.com/garment-colorist-nhan-vien-kiem-dinh-mau-leader-staff-2012463-jv","Xem chi tiết")</f>
        <v/>
      </c>
    </row>
    <row r="1524">
      <c r="B1524" s="9" t="n">
        <v>1522</v>
      </c>
      <c r="C1524" s="10" t="inlineStr">
        <is>
          <t>Hardware Engineer Electronics (Ha Noi &amp; Hai Phong)</t>
        </is>
      </c>
      <c r="D1524" s="10" t="inlineStr">
        <is>
          <t>Praxis Automation VIETNAM CO., LTD</t>
        </is>
      </c>
      <c r="E1524" s="10" t="inlineStr">
        <is>
          <t>Thương lượng</t>
        </is>
      </c>
      <c r="F1524" s="10" t="inlineStr">
        <is>
          <t>Hải Phòng, Hà Nội</t>
        </is>
      </c>
      <c r="G1524" s="10" t="inlineStr">
        <is>
          <t>Nhân viên</t>
        </is>
      </c>
      <c r="H1524" s="10" t="inlineStr">
        <is>
          <t>23/02/2026</t>
        </is>
      </c>
      <c r="I1524" s="10" t="inlineStr">
        <is>
          <t>25/03/2026</t>
        </is>
      </c>
      <c r="J1524" s="10" t="inlineStr">
        <is>
          <t>17/03/2026</t>
        </is>
      </c>
      <c r="K1524" s="10" t="inlineStr">
        <is>
          <t>N/A</t>
        </is>
      </c>
      <c r="L1524" s="10" t="inlineStr">
        <is>
          <t>Automation System Design, Design tool, Electronic Engineering, English, PCB Design</t>
        </is>
      </c>
      <c r="M1524" s="10" t="inlineStr">
        <is>
          <t>Training, Others</t>
        </is>
      </c>
      <c r="N1524" s="11">
        <f>HYPERLINK("https://www.vietnamworks.com/hardware-engineer-electronics-ha-noi-and-hai-phong-2012444-jv","Xem chi tiết")</f>
        <v/>
      </c>
      <c r="O1524" s="10" t="n"/>
    </row>
    <row r="1525">
      <c r="B1525" s="7" t="n">
        <v>1523</v>
      </c>
      <c r="C1525" t="inlineStr">
        <is>
          <t>Kế Toán Viên / Accounting Staff (Junior)</t>
        </is>
      </c>
      <c r="D1525" t="inlineStr">
        <is>
          <t>CÔNG TY TNHH CON TRAU PLUS</t>
        </is>
      </c>
      <c r="E1525" t="inlineStr">
        <is>
          <t>10tr-15tr ₫/tháng</t>
        </is>
      </c>
      <c r="F1525" t="inlineStr">
        <is>
          <t>Hồ Chí Minh</t>
        </is>
      </c>
      <c r="G1525" t="inlineStr">
        <is>
          <t>Nhân viên</t>
        </is>
      </c>
      <c r="H1525" t="inlineStr">
        <is>
          <t>23/02/2026</t>
        </is>
      </c>
      <c r="I1525" t="inlineStr">
        <is>
          <t>25/03/2026</t>
        </is>
      </c>
      <c r="J1525" t="inlineStr">
        <is>
          <t>17/03/2026</t>
        </is>
      </c>
      <c r="K1525" t="inlineStr">
        <is>
          <t>N/A</t>
        </is>
      </c>
      <c r="L1525" t="inlineStr">
        <is>
          <t>Kế Toán, Kế Toán Tổng Hợp, MISA, Excel, Finance</t>
        </is>
      </c>
      <c r="M1525" t="inlineStr">
        <is>
          <t>Bonus, Healthcare Plan, Paid Leave</t>
        </is>
      </c>
      <c r="N1525" s="8">
        <f>HYPERLINK("https://www.vietnamworks.com/ke-toan-vien-accounting-staff-junior-2012459-jv","Xem chi tiết")</f>
        <v/>
      </c>
    </row>
    <row r="1526">
      <c r="B1526" s="9" t="n">
        <v>1524</v>
      </c>
      <c r="C1526" s="10" t="inlineStr">
        <is>
          <t>Embedded Software Engineer High-Power Applications (Ha Noi &amp; Hai Phong)</t>
        </is>
      </c>
      <c r="D1526" s="10" t="inlineStr">
        <is>
          <t>Praxis Automation VIETNAM CO., LTD</t>
        </is>
      </c>
      <c r="E1526" s="10" t="inlineStr">
        <is>
          <t>Thương lượng</t>
        </is>
      </c>
      <c r="F1526" s="10" t="inlineStr">
        <is>
          <t>Hải Phòng, Hà Nội</t>
        </is>
      </c>
      <c r="G1526" s="10" t="inlineStr">
        <is>
          <t>Nhân viên</t>
        </is>
      </c>
      <c r="H1526" s="10" t="inlineStr">
        <is>
          <t>23/02/2026</t>
        </is>
      </c>
      <c r="I1526" s="10" t="inlineStr">
        <is>
          <t>25/03/2026</t>
        </is>
      </c>
      <c r="J1526" s="10" t="inlineStr">
        <is>
          <t>17/03/2026</t>
        </is>
      </c>
      <c r="K1526" s="10" t="inlineStr">
        <is>
          <t>N/A</t>
        </is>
      </c>
      <c r="L1526" s="10" t="inlineStr">
        <is>
          <t>C/C++ Programming, Embedded Systems, Jira, PWM, Real-Time Firmware Development</t>
        </is>
      </c>
      <c r="M1526" s="10" t="inlineStr">
        <is>
          <t>Training, Others</t>
        </is>
      </c>
      <c r="N1526" s="11">
        <f>HYPERLINK("https://www.vietnamworks.com/embedded-software-engineer-high-power-applications-ha-noi-and-hai-phong-2012446-jv","Xem chi tiết")</f>
        <v/>
      </c>
      <c r="O1526" s="10" t="n"/>
    </row>
    <row r="1527">
      <c r="B1527" s="7" t="n">
        <v>1525</v>
      </c>
      <c r="C1527" t="inlineStr">
        <is>
          <t>Thực Tập Sinh / Fresher - Thương Mại Điện Tử (E-Commerce Global)</t>
        </is>
      </c>
      <c r="D1527" t="inlineStr">
        <is>
          <t>LEE DUNG COMPANY LIMITED</t>
        </is>
      </c>
      <c r="E1527" t="inlineStr">
        <is>
          <t>3.5tr-30tr ₫/tháng</t>
        </is>
      </c>
      <c r="F1527" t="inlineStr">
        <is>
          <t>Hồ Chí Minh, Đà Nẵng, Hải Phòng</t>
        </is>
      </c>
      <c r="G1527" t="inlineStr">
        <is>
          <t>Mới Tốt Nghiệp</t>
        </is>
      </c>
      <c r="H1527" t="inlineStr">
        <is>
          <t>23/02/2026</t>
        </is>
      </c>
      <c r="I1527" t="inlineStr">
        <is>
          <t>25/03/2026</t>
        </is>
      </c>
      <c r="J1527" t="inlineStr">
        <is>
          <t>17/03/2026</t>
        </is>
      </c>
      <c r="K1527" t="inlineStr">
        <is>
          <t>N/A</t>
        </is>
      </c>
      <c r="L1527" t="inlineStr">
        <is>
          <t>Thương Mại Điện Tử, Facebook Ads, Google Ads, International Sales &amp; Marketing, Website SEO</t>
        </is>
      </c>
      <c r="M1527" t="inlineStr">
        <is>
          <t>Bonus, Training, Awards, Others</t>
        </is>
      </c>
      <c r="N1527" s="8">
        <f>HYPERLINK("https://www.vietnamworks.com/thuc-tap-sinh-fresher-thuong-mai-djien-tu-e-commerce-global-2012457-jv","Xem chi tiết")</f>
        <v/>
      </c>
    </row>
    <row r="1528">
      <c r="B1528" s="9" t="n">
        <v>1526</v>
      </c>
      <c r="C1528" s="10" t="inlineStr">
        <is>
          <t>C &amp; C++ Software Engineer (Ha Noi &amp; Hai Phong)</t>
        </is>
      </c>
      <c r="D1528" s="10" t="inlineStr">
        <is>
          <t>Praxis Automation VIETNAM CO., LTD</t>
        </is>
      </c>
      <c r="E1528" s="10" t="inlineStr">
        <is>
          <t>Thương lượng</t>
        </is>
      </c>
      <c r="F1528" s="10" t="inlineStr">
        <is>
          <t>Hải Phòng, Hà Nội</t>
        </is>
      </c>
      <c r="G1528" s="10" t="inlineStr">
        <is>
          <t>Nhân viên</t>
        </is>
      </c>
      <c r="H1528" s="10" t="inlineStr">
        <is>
          <t>23/02/2026</t>
        </is>
      </c>
      <c r="I1528" s="10" t="inlineStr">
        <is>
          <t>25/03/2026</t>
        </is>
      </c>
      <c r="J1528" s="10" t="inlineStr">
        <is>
          <t>17/03/2026</t>
        </is>
      </c>
      <c r="K1528" s="10" t="inlineStr">
        <is>
          <t>N/A</t>
        </is>
      </c>
      <c r="L1528" s="10" t="inlineStr">
        <is>
          <t>Analytical Skills, C/C++ Programming, Embedded Software, ICT, Visual Studio</t>
        </is>
      </c>
      <c r="M1528" s="10" t="inlineStr">
        <is>
          <t>Training, Others</t>
        </is>
      </c>
      <c r="N1528" s="11">
        <f>HYPERLINK("https://www.vietnamworks.com/c-and-c-software-engineer-ha-noi-and-hai-phong-2012443-jv","Xem chi tiết")</f>
        <v/>
      </c>
      <c r="O1528" s="10" t="n"/>
    </row>
    <row r="1529">
      <c r="B1529" s="7" t="n">
        <v>1527</v>
      </c>
      <c r="C1529" t="inlineStr">
        <is>
          <t>Nhân Viên Kế Hoạch Sản Xuất PC N3 (Tiếng Anh hoặc Tiếng Nhật N3)</t>
        </is>
      </c>
      <c r="D1529" t="inlineStr">
        <is>
          <t>Công Ty TNHH Taishodo Việt Nam</t>
        </is>
      </c>
      <c r="E1529" t="inlineStr">
        <is>
          <t>Thương lượng</t>
        </is>
      </c>
      <c r="F1529" t="inlineStr">
        <is>
          <t>Hải Phòng, Hải Dương</t>
        </is>
      </c>
      <c r="G1529" t="inlineStr">
        <is>
          <t>Nhân viên</t>
        </is>
      </c>
      <c r="H1529" t="inlineStr">
        <is>
          <t>23/02/2026</t>
        </is>
      </c>
      <c r="I1529" t="inlineStr">
        <is>
          <t>25/03/2026</t>
        </is>
      </c>
      <c r="J1529" t="inlineStr">
        <is>
          <t>17/03/2026</t>
        </is>
      </c>
      <c r="K1529" t="inlineStr">
        <is>
          <t>N/A</t>
        </is>
      </c>
      <c r="L1529" t="inlineStr">
        <is>
          <t>Kế Hoạch Sản Xuất, Order Processing, Production Planning, Tiếng Nhật N3, Điều Phối Đơn Hàng</t>
        </is>
      </c>
      <c r="M1529" t="inlineStr">
        <is>
          <t>Bonus, Healthcare Plan, Awards, Travel Opportunities, Team Activities, Others</t>
        </is>
      </c>
      <c r="N1529" s="8">
        <f>HYPERLINK("https://www.vietnamworks.com/nhan-vien-ke-hoach-san-xuat-pc-n3-tieng-anh-hoac-tieng-nhat-n3-2012462-jv","Xem chi tiết")</f>
        <v/>
      </c>
    </row>
    <row r="1530">
      <c r="B1530" s="9" t="n">
        <v>1528</v>
      </c>
      <c r="C1530" s="10" t="inlineStr">
        <is>
          <t>Full Stack Software Engineer (Tauri + Angular + C#) (Ha Noi &amp; Hai Phong)</t>
        </is>
      </c>
      <c r="D1530" s="10" t="inlineStr">
        <is>
          <t>Praxis Automation VIETNAM CO., LTD</t>
        </is>
      </c>
      <c r="E1530" s="10" t="inlineStr">
        <is>
          <t>Thương lượng</t>
        </is>
      </c>
      <c r="F1530" s="10" t="inlineStr">
        <is>
          <t>Hải Phòng, Hà Nội</t>
        </is>
      </c>
      <c r="G1530" s="10" t="inlineStr">
        <is>
          <t>Nhân viên</t>
        </is>
      </c>
      <c r="H1530" s="10" t="inlineStr">
        <is>
          <t>23/02/2026</t>
        </is>
      </c>
      <c r="I1530" s="10" t="inlineStr">
        <is>
          <t>25/03/2026</t>
        </is>
      </c>
      <c r="J1530" s="10" t="inlineStr">
        <is>
          <t>17/03/2026</t>
        </is>
      </c>
      <c r="K1530" s="10" t="inlineStr">
        <is>
          <t>N/A</t>
        </is>
      </c>
      <c r="L1530" s="10" t="inlineStr">
        <is>
          <t>Analytical Skills, Angular, C#, Full Stack Development, Tauri</t>
        </is>
      </c>
      <c r="M1530" s="10" t="inlineStr">
        <is>
          <t>Training, Others</t>
        </is>
      </c>
      <c r="N1530" s="11">
        <f>HYPERLINK("https://www.vietnamworks.com/full-stack-software-engineer-tauri-angular-c-ha-noi-and-hai-phong-2012442-jv","Xem chi tiết")</f>
        <v/>
      </c>
      <c r="O1530" s="10" t="n"/>
    </row>
    <row r="1531">
      <c r="B1531" s="7" t="n">
        <v>1529</v>
      </c>
      <c r="C1531" t="inlineStr">
        <is>
          <t>Assistant Sales Manager/ Sales Manager (B2B)</t>
        </is>
      </c>
      <c r="D1531" t="inlineStr">
        <is>
          <t>Q Industries &amp; Trade JSC</t>
        </is>
      </c>
      <c r="E1531" t="inlineStr">
        <is>
          <t>$$ 700-1,100 /tháng</t>
        </is>
      </c>
      <c r="F1531" t="inlineStr">
        <is>
          <t>Hồ Chí Minh</t>
        </is>
      </c>
      <c r="G1531" t="inlineStr">
        <is>
          <t>Trưởng phòng</t>
        </is>
      </c>
      <c r="H1531" t="inlineStr">
        <is>
          <t>23/02/2026</t>
        </is>
      </c>
      <c r="I1531" t="inlineStr">
        <is>
          <t>25/03/2026</t>
        </is>
      </c>
      <c r="J1531" t="inlineStr">
        <is>
          <t>17/03/2026</t>
        </is>
      </c>
      <c r="K1531" t="inlineStr">
        <is>
          <t>N/A</t>
        </is>
      </c>
      <c r="L1531" t="inlineStr">
        <is>
          <t>Leadership, Horeca, Business Development, B2B Sales, Trading Business Knowledge</t>
        </is>
      </c>
      <c r="M1531" t="inlineStr">
        <is>
          <t>Bonus, Healthcare Plan, Training</t>
        </is>
      </c>
      <c r="N1531" s="8">
        <f>HYPERLINK("https://www.vietnamworks.com/assistant-sales-manager-sales-manager-b2b--2012453-jv","Xem chi tiết")</f>
        <v/>
      </c>
    </row>
    <row r="1532">
      <c r="B1532" s="9" t="n">
        <v>1530</v>
      </c>
      <c r="C1532" s="10" t="inlineStr">
        <is>
          <t>CHUYÊN VIÊN TUYỂN DỤNG TUYỂN MASS_HCM &amp; HN</t>
        </is>
      </c>
      <c r="D1532" s="10" t="inlineStr">
        <is>
          <t>Smartpay JSC</t>
        </is>
      </c>
      <c r="E1532" s="10" t="inlineStr">
        <is>
          <t>Thương lượng</t>
        </is>
      </c>
      <c r="F1532" s="10" t="inlineStr">
        <is>
          <t>Hà Nội</t>
        </is>
      </c>
      <c r="G1532" s="10" t="inlineStr">
        <is>
          <t>Nhân viên</t>
        </is>
      </c>
      <c r="H1532" s="10" t="inlineStr">
        <is>
          <t>23/02/2026</t>
        </is>
      </c>
      <c r="I1532" s="10" t="inlineStr">
        <is>
          <t>25/03/2026</t>
        </is>
      </c>
      <c r="J1532" s="10" t="inlineStr">
        <is>
          <t>17/03/2026</t>
        </is>
      </c>
      <c r="K1532" s="10" t="inlineStr">
        <is>
          <t>N/A</t>
        </is>
      </c>
      <c r="L1532" s="10" t="inlineStr">
        <is>
          <t>Thuyết Phục, Tuyển Dụng, Đánh Giá Ứng Viên</t>
        </is>
      </c>
      <c r="M1532" s="10" t="inlineStr">
        <is>
          <t>Healthcare Plan, Paid Leave, Laptop, Others</t>
        </is>
      </c>
      <c r="N1532" s="11">
        <f>HYPERLINK("https://www.vietnamworks.com/chuyen-vien-tuyen-dung-tuyen-mass_hcm-and-hn-2012456-jv","Xem chi tiết")</f>
        <v/>
      </c>
      <c r="O1532" s="10" t="n"/>
    </row>
    <row r="1533">
      <c r="B1533" s="7" t="n">
        <v>1531</v>
      </c>
      <c r="C1533" t="inlineStr">
        <is>
          <t>Senior Admin Executive (Chuyên Viên Hành Chính)</t>
        </is>
      </c>
      <c r="D1533" t="inlineStr">
        <is>
          <t>Công ty TNHH Thương Mại Dịch Vụ Kỹ Thuật Cao Hùng _ Oshima</t>
        </is>
      </c>
      <c r="E1533" t="inlineStr">
        <is>
          <t>Thương lượng</t>
        </is>
      </c>
      <c r="F1533" t="inlineStr">
        <is>
          <t>Hồ Chí Minh</t>
        </is>
      </c>
      <c r="G1533" t="inlineStr">
        <is>
          <t>Nhân viên</t>
        </is>
      </c>
      <c r="H1533" t="inlineStr">
        <is>
          <t>23/02/2026</t>
        </is>
      </c>
      <c r="I1533" t="inlineStr">
        <is>
          <t>25/03/2026</t>
        </is>
      </c>
      <c r="J1533" t="inlineStr">
        <is>
          <t>17/03/2026</t>
        </is>
      </c>
      <c r="K1533" t="inlineStr">
        <is>
          <t>N/A</t>
        </is>
      </c>
      <c r="L1533" t="inlineStr">
        <is>
          <t>Kiểm Soát Chi Phí, Xây Dựng Quy Trình, Hành chính văn phòng, Chi Tiết Và Cẩn Thận</t>
        </is>
      </c>
      <c r="M1533" t="inlineStr">
        <is>
          <t>Bonus, Healthcare Plan, Others</t>
        </is>
      </c>
      <c r="N1533" s="8">
        <f>HYPERLINK("https://www.vietnamworks.com/senior-admin-executive-chuyen-vien-hanh-chinh-2012445-jv","Xem chi tiết")</f>
        <v/>
      </c>
    </row>
    <row r="1534">
      <c r="B1534" s="9" t="n">
        <v>1532</v>
      </c>
      <c r="C1534" s="10" t="inlineStr">
        <is>
          <t>Sales Engineer</t>
        </is>
      </c>
      <c r="D1534" s="10" t="inlineStr">
        <is>
          <t>Praxis Automation VIETNAM CO., LTD</t>
        </is>
      </c>
      <c r="E1534" s="10" t="inlineStr">
        <is>
          <t>Thương lượng</t>
        </is>
      </c>
      <c r="F1534" s="10" t="inlineStr">
        <is>
          <t>Hải Phòng, Hà Nội</t>
        </is>
      </c>
      <c r="G1534" s="10" t="inlineStr">
        <is>
          <t>Nhân viên</t>
        </is>
      </c>
      <c r="H1534" s="10" t="inlineStr">
        <is>
          <t>23/02/2026</t>
        </is>
      </c>
      <c r="I1534" s="10" t="inlineStr">
        <is>
          <t>25/03/2026</t>
        </is>
      </c>
      <c r="J1534" s="10" t="inlineStr">
        <is>
          <t>17/03/2026</t>
        </is>
      </c>
      <c r="K1534" s="10" t="inlineStr">
        <is>
          <t>N/A</t>
        </is>
      </c>
      <c r="L1534" s="10" t="inlineStr">
        <is>
          <t>Customer Orientation, Electrical Installation, Shipbuilding Industry, English, Sales Engineering</t>
        </is>
      </c>
      <c r="M1534" s="10" t="inlineStr">
        <is>
          <t>Training, Others</t>
        </is>
      </c>
      <c r="N1534" s="11">
        <f>HYPERLINK("https://www.vietnamworks.com/sales-engineer-2012441-jv","Xem chi tiết")</f>
        <v/>
      </c>
      <c r="O1534" s="10" t="n"/>
    </row>
    <row r="1535">
      <c r="B1535" s="7" t="n">
        <v>1533</v>
      </c>
      <c r="C1535" t="inlineStr">
        <is>
          <t>Kỹ Sư Bảo Trì Khuôn</t>
        </is>
      </c>
      <c r="D1535" t="inlineStr">
        <is>
          <t>Công ty TNHH công nghiệp Vĩnh Tường miền bắc Việt Nam</t>
        </is>
      </c>
      <c r="E1535" t="inlineStr">
        <is>
          <t>Từ $ 800 /tháng</t>
        </is>
      </c>
      <c r="F1535" t="inlineStr">
        <is>
          <t>Hồ Chí Minh</t>
        </is>
      </c>
      <c r="G1535" t="inlineStr">
        <is>
          <t>Nhân viên</t>
        </is>
      </c>
      <c r="H1535" t="inlineStr">
        <is>
          <t>23/02/2026</t>
        </is>
      </c>
      <c r="I1535" t="inlineStr">
        <is>
          <t>25/03/2026</t>
        </is>
      </c>
      <c r="J1535" t="inlineStr">
        <is>
          <t>17/03/2026</t>
        </is>
      </c>
      <c r="K1535" t="inlineStr">
        <is>
          <t>N/A</t>
        </is>
      </c>
      <c r="L1535" t="inlineStr">
        <is>
          <t>Bảo Trì Bảo Dưỡng Cơ Khí, Bảo Trì Khuôn</t>
        </is>
      </c>
      <c r="M1535" t="inlineStr">
        <is>
          <t>Healthcare Plan, Training, Laptop</t>
        </is>
      </c>
      <c r="N1535" s="8">
        <f>HYPERLINK("https://www.vietnamworks.com/ky-su-bao-tri-khuon--2012464-jv","Xem chi tiết")</f>
        <v/>
      </c>
    </row>
    <row r="1536">
      <c r="B1536" s="9" t="n">
        <v>1534</v>
      </c>
      <c r="C1536" s="10" t="inlineStr">
        <is>
          <t>Assistant to the Chief Operating Officer (COO) Korean Speaking</t>
        </is>
      </c>
      <c r="D1536" s="10" t="inlineStr">
        <is>
          <t>Công Ty TNHH Trung Sơn Alpha (Hệ Thống Nhà Thuốc Trung Sơn)</t>
        </is>
      </c>
      <c r="E1536" s="10" t="inlineStr">
        <is>
          <t>Thương lượng</t>
        </is>
      </c>
      <c r="F1536" s="10" t="inlineStr">
        <is>
          <t>Cần Thơ, Hồ Chí Minh</t>
        </is>
      </c>
      <c r="G1536" s="10" t="inlineStr">
        <is>
          <t>Nhân viên</t>
        </is>
      </c>
      <c r="H1536" s="10" t="inlineStr">
        <is>
          <t>23/02/2026</t>
        </is>
      </c>
      <c r="I1536" s="10" t="inlineStr">
        <is>
          <t>25/03/2026</t>
        </is>
      </c>
      <c r="J1536" s="10" t="inlineStr">
        <is>
          <t>17/03/2026</t>
        </is>
      </c>
      <c r="K1536" s="10" t="inlineStr">
        <is>
          <t>N/A</t>
        </is>
      </c>
      <c r="L1536" s="10" t="inlineStr">
        <is>
          <t>Administrative Support, English, Confidentiality Awareness, Interpretation &amp; Translation, Communication Support</t>
        </is>
      </c>
      <c r="M1536" s="10" t="inlineStr">
        <is>
          <t>Bonus, Healthcare Plan, Training, Team Activities</t>
        </is>
      </c>
      <c r="N1536" s="11">
        <f>HYPERLINK("https://www.vietnamworks.com/assistant-to-the-chief-operating-officer-coo-korean-speaking-2012461-jv","Xem chi tiết")</f>
        <v/>
      </c>
      <c r="O1536" s="10" t="n"/>
    </row>
    <row r="1537">
      <c r="B1537" s="7" t="n">
        <v>1535</v>
      </c>
      <c r="C1537" t="inlineStr">
        <is>
          <t>Kế Toán Viên</t>
        </is>
      </c>
      <c r="D1537" t="inlineStr">
        <is>
          <t>Công Ty TNHH Techno Quartz Việt Nam</t>
        </is>
      </c>
      <c r="E1537" t="inlineStr">
        <is>
          <t>Thương lượng</t>
        </is>
      </c>
      <c r="F1537" t="inlineStr">
        <is>
          <t>Hà Nội</t>
        </is>
      </c>
      <c r="G1537" t="inlineStr">
        <is>
          <t>Mới Tốt Nghiệp</t>
        </is>
      </c>
      <c r="H1537" t="inlineStr">
        <is>
          <t>23/02/2026</t>
        </is>
      </c>
      <c r="I1537" t="inlineStr">
        <is>
          <t>25/03/2026</t>
        </is>
      </c>
      <c r="J1537" t="inlineStr">
        <is>
          <t>17/03/2026</t>
        </is>
      </c>
      <c r="K1537" t="inlineStr">
        <is>
          <t>N/A</t>
        </is>
      </c>
      <c r="L1537" t="inlineStr">
        <is>
          <t>Kiểm Tra Chứng Từ, Kê Khai Thuế, Kế Toán, Thuế Tài Chính, Chứng Từ Kế Toán</t>
        </is>
      </c>
      <c r="M1537" t="inlineStr">
        <is>
          <t>Bonus, Healthcare Plan, Others</t>
        </is>
      </c>
      <c r="N1537" s="8">
        <f>HYPERLINK("https://www.vietnamworks.com/ke-toan-vien-667-1-1--2012450-jv","Xem chi tiết")</f>
        <v/>
      </c>
    </row>
    <row r="1538">
      <c r="B1538" s="9" t="n">
        <v>1536</v>
      </c>
      <c r="C1538" s="10" t="inlineStr">
        <is>
          <t>Purchasing &amp; Supply Manager (A Subsidiary of Sabeco)</t>
        </is>
      </c>
      <c r="D1538" s="10" t="inlineStr">
        <is>
          <t>Saigon Beer - Alcohol - Beverage Corporation (Sabeco)</t>
        </is>
      </c>
      <c r="E1538" s="10" t="inlineStr">
        <is>
          <t>Thương lượng</t>
        </is>
      </c>
      <c r="F1538" s="10" t="inlineStr">
        <is>
          <t>Hồ Chí Minh</t>
        </is>
      </c>
      <c r="G1538" s="10" t="inlineStr">
        <is>
          <t>Trưởng phòng</t>
        </is>
      </c>
      <c r="H1538" s="10" t="inlineStr">
        <is>
          <t>23/02/2026</t>
        </is>
      </c>
      <c r="I1538" s="10" t="inlineStr">
        <is>
          <t>25/03/2026</t>
        </is>
      </c>
      <c r="J1538" s="10" t="inlineStr">
        <is>
          <t>17/03/2026</t>
        </is>
      </c>
      <c r="K1538" s="10" t="inlineStr">
        <is>
          <t>N/A</t>
        </is>
      </c>
      <c r="L1538" s="10" t="inlineStr">
        <is>
          <t>Supply Chains, Procurement, Transportation Operations, Negotiation</t>
        </is>
      </c>
      <c r="M1538" s="10" t="inlineStr">
        <is>
          <t>Bonus, Laptop, Mobile</t>
        </is>
      </c>
      <c r="N1538" s="11">
        <f>HYPERLINK("https://www.vietnamworks.com/purchasing-supply-manager-a-subsidiary-of-sabeco-2012460-jv","Xem chi tiết")</f>
        <v/>
      </c>
      <c r="O1538" s="10" t="n"/>
    </row>
    <row r="1539">
      <c r="B1539" s="7" t="n">
        <v>1537</v>
      </c>
      <c r="C1539" t="inlineStr">
        <is>
          <t>Telesales Representative (2 Vị Trí)</t>
        </is>
      </c>
      <c r="D1539" t="inlineStr">
        <is>
          <t>UPS Vietnam</t>
        </is>
      </c>
      <c r="E1539" t="inlineStr">
        <is>
          <t>Thương lượng</t>
        </is>
      </c>
      <c r="F1539" t="inlineStr">
        <is>
          <t>Hồ Chí Minh</t>
        </is>
      </c>
      <c r="G1539" t="inlineStr">
        <is>
          <t>Nhân viên</t>
        </is>
      </c>
      <c r="H1539" t="inlineStr">
        <is>
          <t>23/02/2026</t>
        </is>
      </c>
      <c r="I1539" t="inlineStr">
        <is>
          <t>25/03/2026</t>
        </is>
      </c>
      <c r="J1539" t="inlineStr">
        <is>
          <t>17/03/2026</t>
        </is>
      </c>
      <c r="K1539" t="inlineStr">
        <is>
          <t>N/A</t>
        </is>
      </c>
      <c r="L1539" t="inlineStr">
        <is>
          <t>Sales Overseas, Sales Logistics, Result Oriented, Customer Handling, Problem Solving</t>
        </is>
      </c>
      <c r="M1539" t="inlineStr">
        <is>
          <t>Healthcare Plan, Team Activities, Others</t>
        </is>
      </c>
      <c r="N1539" s="8">
        <f>HYPERLINK("https://www.vietnamworks.com/telesales-representative-2-vi-tri-2012454-jv","Xem chi tiết")</f>
        <v/>
      </c>
    </row>
    <row r="1540">
      <c r="B1540" s="9" t="n">
        <v>1538</v>
      </c>
      <c r="C1540" s="10" t="inlineStr">
        <is>
          <t>Autonomous Vessel Software Engineer (Ha Noi &amp; Hai Phong)</t>
        </is>
      </c>
      <c r="D1540" s="10" t="inlineStr">
        <is>
          <t>Praxis Automation VIETNAM CO., LTD</t>
        </is>
      </c>
      <c r="E1540" s="10" t="inlineStr">
        <is>
          <t>Thương lượng</t>
        </is>
      </c>
      <c r="F1540" s="10" t="inlineStr">
        <is>
          <t>Hà Nội, Hải Phòng</t>
        </is>
      </c>
      <c r="G1540" s="10" t="inlineStr">
        <is>
          <t>Nhân viên</t>
        </is>
      </c>
      <c r="H1540" s="10" t="inlineStr">
        <is>
          <t>23/02/2026</t>
        </is>
      </c>
      <c r="I1540" s="10" t="inlineStr">
        <is>
          <t>25/03/2026</t>
        </is>
      </c>
      <c r="J1540" s="10" t="inlineStr">
        <is>
          <t>17/03/2026</t>
        </is>
      </c>
      <c r="K1540" s="10" t="inlineStr">
        <is>
          <t>N/A</t>
        </is>
      </c>
      <c r="L1540" s="10" t="inlineStr">
        <is>
          <t>C++, Jira, Linux Embedded, Multithreading, Navigation System</t>
        </is>
      </c>
      <c r="M1540" s="10" t="inlineStr">
        <is>
          <t>Others</t>
        </is>
      </c>
      <c r="N1540" s="11">
        <f>HYPERLINK("https://www.vietnamworks.com/autonomous-vessel-software-engineer-ha-noi-and-hai-phong-2012439-jv","Xem chi tiết")</f>
        <v/>
      </c>
      <c r="O1540" s="10" t="n"/>
    </row>
    <row r="1541">
      <c r="B1541" s="7" t="n">
        <v>1539</v>
      </c>
      <c r="C1541" t="inlineStr">
        <is>
          <t>Giám Sát Khu Vực Trồng Nguyên Liệu (Thuốc Lá)</t>
        </is>
      </c>
      <c r="D1541" t="inlineStr">
        <is>
          <t>BAT Vietnam</t>
        </is>
      </c>
      <c r="E1541" t="inlineStr">
        <is>
          <t>Thương lượng</t>
        </is>
      </c>
      <c r="F1541" t="inlineStr">
        <is>
          <t>Gia Lai</t>
        </is>
      </c>
      <c r="G1541" t="inlineStr">
        <is>
          <t>Nhân viên</t>
        </is>
      </c>
      <c r="H1541" t="inlineStr">
        <is>
          <t>23/02/2026</t>
        </is>
      </c>
      <c r="I1541" t="inlineStr">
        <is>
          <t>25/03/2026</t>
        </is>
      </c>
      <c r="J1541" t="inlineStr">
        <is>
          <t>17/03/2026</t>
        </is>
      </c>
      <c r="K1541" t="inlineStr">
        <is>
          <t>N/A</t>
        </is>
      </c>
      <c r="L1541" t="inlineStr">
        <is>
          <t>Bảo Vệ Thực Vật, Giao Tiếp, Khoa Học Môi Trường, Nông Nghiệp Đô Thị, Tư Vấn Cây Trồng</t>
        </is>
      </c>
      <c r="M1541" t="inlineStr">
        <is>
          <t>Bonus, Healthcare Plan, Paid Leave, Awards, Mobile, Travel Opportunities</t>
        </is>
      </c>
      <c r="N1541" s="8">
        <f>HYPERLINK("https://www.vietnamworks.com/giam-sat-khu-vuc-trong-nguyen-lieu-thuoc-la-2012452-jv","Xem chi tiết")</f>
        <v/>
      </c>
    </row>
    <row r="1542">
      <c r="B1542" s="9" t="n">
        <v>1540</v>
      </c>
      <c r="C1542" s="10" t="inlineStr">
        <is>
          <t>Associate, Relationship Manager</t>
        </is>
      </c>
      <c r="D1542" s="10" t="inlineStr">
        <is>
          <t>CÔNG TY TNHH ROBERT WALTERS VIỆT NAM</t>
        </is>
      </c>
      <c r="E1542" s="10" t="inlineStr">
        <is>
          <t>Thương lượng</t>
        </is>
      </c>
      <c r="F1542" s="10" t="inlineStr">
        <is>
          <t>Hà Nội</t>
        </is>
      </c>
      <c r="G1542" s="10" t="inlineStr">
        <is>
          <t>Nhân viên</t>
        </is>
      </c>
      <c r="H1542" s="10" t="inlineStr">
        <is>
          <t>23/02/2026</t>
        </is>
      </c>
      <c r="I1542" s="10" t="inlineStr">
        <is>
          <t>25/03/2026</t>
        </is>
      </c>
      <c r="J1542" s="10" t="inlineStr">
        <is>
          <t>17/03/2026</t>
        </is>
      </c>
      <c r="K1542" s="10" t="inlineStr">
        <is>
          <t>N/A</t>
        </is>
      </c>
      <c r="L1542" s="10" t="inlineStr">
        <is>
          <t>Economics, Banking, Finance, Relationship Management, English</t>
        </is>
      </c>
      <c r="M1542" s="10" t="inlineStr">
        <is>
          <t>Healthcare Plan, Paid Leave, Laptop</t>
        </is>
      </c>
      <c r="N1542" s="11">
        <f>HYPERLINK("https://www.vietnamworks.com/associate-relationship-manager--2012465-jv","Xem chi tiết")</f>
        <v/>
      </c>
      <c r="O1542" s="10" t="n"/>
    </row>
    <row r="1543">
      <c r="B1543" s="7" t="n">
        <v>1541</v>
      </c>
      <c r="C1543" t="inlineStr">
        <is>
          <t>Nhân Viên Văn Phòng</t>
        </is>
      </c>
      <c r="D1543" t="inlineStr">
        <is>
          <t>CÔNG TY CỔ PHẦN TẬP ĐOÀN SAO VÀNG</t>
        </is>
      </c>
      <c r="E1543" t="inlineStr">
        <is>
          <t>7tr-10tr ₫/tháng</t>
        </is>
      </c>
      <c r="F1543" t="inlineStr">
        <is>
          <t>Hải Phòng</t>
        </is>
      </c>
      <c r="G1543" t="inlineStr">
        <is>
          <t>Mới Tốt Nghiệp</t>
        </is>
      </c>
      <c r="H1543" t="inlineStr">
        <is>
          <t>23/02/2026</t>
        </is>
      </c>
      <c r="I1543" t="inlineStr">
        <is>
          <t>25/03/2026</t>
        </is>
      </c>
      <c r="J1543" t="inlineStr">
        <is>
          <t>17/03/2026</t>
        </is>
      </c>
      <c r="K1543" t="inlineStr">
        <is>
          <t>N/A</t>
        </is>
      </c>
      <c r="L1543" t="inlineStr">
        <is>
          <t>Word, Excel, Giao Tiếp, Hành Chính Văn Phòng, Lưu Trữ Hồ Sơ</t>
        </is>
      </c>
      <c r="M1543" t="inlineStr">
        <is>
          <t>Bonus, Healthcare Plan, Training, Awards</t>
        </is>
      </c>
      <c r="N1543" s="8">
        <f>HYPERLINK("https://www.vietnamworks.com/nhan-vien-van-phong-2012475-jv","Xem chi tiết")</f>
        <v/>
      </c>
    </row>
    <row r="1544">
      <c r="B1544" s="9" t="n">
        <v>1542</v>
      </c>
      <c r="C1544" s="10" t="inlineStr">
        <is>
          <t>AVP, Legal &amp; Secretariat</t>
        </is>
      </c>
      <c r="D1544" s="10" t="inlineStr">
        <is>
          <t>United Overseas Bank (Vietnam) Limited (UOB)</t>
        </is>
      </c>
      <c r="E1544" s="10" t="inlineStr">
        <is>
          <t>Thương lượng</t>
        </is>
      </c>
      <c r="F1544" s="10" t="inlineStr">
        <is>
          <t>Hồ Chí Minh</t>
        </is>
      </c>
      <c r="G1544" s="10" t="inlineStr">
        <is>
          <t>Nhân viên</t>
        </is>
      </c>
      <c r="H1544" s="10" t="inlineStr">
        <is>
          <t>23/02/2026</t>
        </is>
      </c>
      <c r="I1544" s="10" t="inlineStr">
        <is>
          <t>25/03/2026</t>
        </is>
      </c>
      <c r="J1544" s="10" t="inlineStr">
        <is>
          <t>17/03/2026</t>
        </is>
      </c>
      <c r="K1544" s="10" t="inlineStr">
        <is>
          <t>N/A</t>
        </is>
      </c>
      <c r="L1544" s="10" t="inlineStr">
        <is>
          <t>Banking Law, Corporate Legal Experience, Drafting Documents, Interpersonal Skills, Legal Advise</t>
        </is>
      </c>
      <c r="M1544" s="10" t="inlineStr">
        <is>
          <t>Bonus, Healthcare Plan, Paid Leave, Others</t>
        </is>
      </c>
      <c r="N1544" s="11">
        <f>HYPERLINK("https://www.vietnamworks.com/avp-legal-and-secretariat-2012473-jv","Xem chi tiết")</f>
        <v/>
      </c>
      <c r="O1544" s="10" t="n"/>
    </row>
    <row r="1545">
      <c r="B1545" s="7" t="n">
        <v>1543</v>
      </c>
      <c r="C1545" t="inlineStr">
        <is>
          <t>[HCMC] Medical Science Liaison</t>
        </is>
      </c>
      <c r="D1545" t="inlineStr">
        <is>
          <t>Công Ty Cổ Phần Dược Phẩm Am Vi</t>
        </is>
      </c>
      <c r="E1545" t="inlineStr">
        <is>
          <t>$$ 800-1,200 /tháng</t>
        </is>
      </c>
      <c r="F1545" t="inlineStr">
        <is>
          <t>Hồ Chí Minh</t>
        </is>
      </c>
      <c r="G1545" t="inlineStr">
        <is>
          <t>Nhân viên</t>
        </is>
      </c>
      <c r="H1545" t="inlineStr">
        <is>
          <t>23/02/2026</t>
        </is>
      </c>
      <c r="I1545" t="inlineStr">
        <is>
          <t>25/03/2026</t>
        </is>
      </c>
      <c r="J1545" t="inlineStr">
        <is>
          <t>17/03/2026</t>
        </is>
      </c>
      <c r="K1545" t="inlineStr">
        <is>
          <t>N/A</t>
        </is>
      </c>
      <c r="L1545" t="inlineStr">
        <is>
          <t>Communication Skills, Goal Oriented, Medical Education, Technical Demonstrations, Training Frameworks</t>
        </is>
      </c>
      <c r="M1545" t="inlineStr">
        <is>
          <t>Training, Others</t>
        </is>
      </c>
      <c r="N1545" s="8">
        <f>HYPERLINK("https://www.vietnamworks.com/hcmc-medical-science-liaison-2012482-jv","Xem chi tiết")</f>
        <v/>
      </c>
    </row>
    <row r="1546">
      <c r="B1546" s="9" t="n">
        <v>1544</v>
      </c>
      <c r="C1546" s="10" t="inlineStr">
        <is>
          <t>Chief Accountant (Work At Ninh Binh)</t>
        </is>
      </c>
      <c r="D1546" s="10" t="inlineStr">
        <is>
          <t>Saigon Beer - Alcohol - Beverage Corporation (Sabeco)</t>
        </is>
      </c>
      <c r="E1546" s="10" t="inlineStr">
        <is>
          <t>Thương lượng</t>
        </is>
      </c>
      <c r="F1546" s="10" t="inlineStr">
        <is>
          <t>Ninh Bình</t>
        </is>
      </c>
      <c r="G1546" s="10" t="inlineStr">
        <is>
          <t>Trưởng phòng</t>
        </is>
      </c>
      <c r="H1546" s="10" t="inlineStr">
        <is>
          <t>23/02/2026</t>
        </is>
      </c>
      <c r="I1546" s="10" t="inlineStr">
        <is>
          <t>25/03/2026</t>
        </is>
      </c>
      <c r="J1546" s="10" t="inlineStr">
        <is>
          <t>17/03/2026</t>
        </is>
      </c>
      <c r="K1546" s="10" t="inlineStr">
        <is>
          <t>N/A</t>
        </is>
      </c>
      <c r="L1546" s="10" t="inlineStr">
        <is>
          <t>Management Accounting, Accounting Management, Chief Accountant, Kế Toán, Tài Chính</t>
        </is>
      </c>
      <c r="M1546" s="10" t="inlineStr">
        <is>
          <t>Bonus, Laptop, Mobile</t>
        </is>
      </c>
      <c r="N1546" s="11">
        <f>HYPERLINK("https://www.vietnamworks.com/chief-accountant-work-at-ninh-binh-2012467-jv","Xem chi tiết")</f>
        <v/>
      </c>
      <c r="O1546" s="10" t="n"/>
    </row>
    <row r="1547">
      <c r="B1547" s="7" t="n">
        <v>1545</v>
      </c>
      <c r="C1547" t="inlineStr">
        <is>
          <t>Cán Bộ Truyền Thông Tuyển sinh - Trường Đại Học FPT</t>
        </is>
      </c>
      <c r="D1547" t="inlineStr">
        <is>
          <t>Tổ Chức Giáo Dục FPT</t>
        </is>
      </c>
      <c r="E1547" t="inlineStr">
        <is>
          <t>Thương lượng</t>
        </is>
      </c>
      <c r="F1547" t="inlineStr">
        <is>
          <t>Hà Nội</t>
        </is>
      </c>
      <c r="G1547" t="inlineStr">
        <is>
          <t>Nhân viên</t>
        </is>
      </c>
      <c r="H1547" t="inlineStr">
        <is>
          <t>23/02/2026</t>
        </is>
      </c>
      <c r="I1547" t="inlineStr">
        <is>
          <t>25/03/2026</t>
        </is>
      </c>
      <c r="J1547" t="inlineStr">
        <is>
          <t>17/03/2026</t>
        </is>
      </c>
      <c r="K1547" t="inlineStr">
        <is>
          <t>N/A</t>
        </is>
      </c>
      <c r="L1547" t="inlineStr">
        <is>
          <t>Giao Tiếp, Phân Tích Dữ Liệu, Quan Hệ Công Chúng, Tạo Nội Dung, Truyền Thông</t>
        </is>
      </c>
      <c r="M1547" t="inlineStr">
        <is>
          <t>Healthcare Plan, Training, Others</t>
        </is>
      </c>
      <c r="N1547" s="8">
        <f>HYPERLINK("https://www.vietnamworks.com/can-bo-truyen-thong-tuyen-sinh-truong-djai-hoc-fpt-2012481-jv","Xem chi tiết")</f>
        <v/>
      </c>
    </row>
    <row r="1548">
      <c r="B1548" s="9" t="n">
        <v>1546</v>
      </c>
      <c r="C1548" s="10" t="inlineStr">
        <is>
          <t>HSE Supervisor | Nhơn Trạch Grinding Station</t>
        </is>
      </c>
      <c r="D1548" s="10" t="inlineStr">
        <is>
          <t>INSEE Vietnam</t>
        </is>
      </c>
      <c r="E1548" s="10" t="inlineStr">
        <is>
          <t>Thương lượng</t>
        </is>
      </c>
      <c r="F1548" s="10" t="inlineStr">
        <is>
          <t>Đồng Nai</t>
        </is>
      </c>
      <c r="G1548" s="10" t="inlineStr">
        <is>
          <t>Trưởng phòng</t>
        </is>
      </c>
      <c r="H1548" s="10" t="inlineStr">
        <is>
          <t>23/02/2026</t>
        </is>
      </c>
      <c r="I1548" s="10" t="inlineStr">
        <is>
          <t>25/03/2026</t>
        </is>
      </c>
      <c r="J1548" s="10" t="inlineStr">
        <is>
          <t>17/03/2026</t>
        </is>
      </c>
      <c r="K1548" s="10" t="inlineStr">
        <is>
          <t>N/A</t>
        </is>
      </c>
      <c r="L1548" s="10" t="inlineStr">
        <is>
          <t>Communication, HSE Management, Incident Response, Risk Assessment, Subcontractor Supervision</t>
        </is>
      </c>
      <c r="M1548" s="10" t="inlineStr">
        <is>
          <t>Bonus, Healthcare Plan, Paid Leave, Training, Laptop</t>
        </is>
      </c>
      <c r="N1548" s="11">
        <f>HYPERLINK("https://www.vietnamworks.com/hse-supervisor-or-nhon-trach-grinding-station-2012490-jv","Xem chi tiết")</f>
        <v/>
      </c>
      <c r="O1548" s="10" t="n"/>
    </row>
    <row r="1549">
      <c r="B1549" s="7" t="n">
        <v>1547</v>
      </c>
      <c r="C1549" t="inlineStr">
        <is>
          <t>Senior Systems Engineer</t>
        </is>
      </c>
      <c r="D1549" t="inlineStr">
        <is>
          <t>Wide Viet Nam CO., LTD.</t>
        </is>
      </c>
      <c r="E1549" t="inlineStr">
        <is>
          <t>Thương lượng</t>
        </is>
      </c>
      <c r="F1549" t="inlineStr">
        <is>
          <t>Hồ Chí Minh</t>
        </is>
      </c>
      <c r="G1549" t="inlineStr">
        <is>
          <t>Nhân viên</t>
        </is>
      </c>
      <c r="H1549" t="inlineStr">
        <is>
          <t>23/02/2026</t>
        </is>
      </c>
      <c r="I1549" t="inlineStr">
        <is>
          <t>25/03/2026</t>
        </is>
      </c>
      <c r="J1549" t="inlineStr">
        <is>
          <t>17/03/2026</t>
        </is>
      </c>
      <c r="K1549" t="inlineStr">
        <is>
          <t>N/A</t>
        </is>
      </c>
      <c r="L1549" t="inlineStr">
        <is>
          <t>N/A</t>
        </is>
      </c>
      <c r="M1549" t="inlineStr">
        <is>
          <t>Others</t>
        </is>
      </c>
      <c r="N1549" s="8">
        <f>HYPERLINK("https://www.vietnamworks.com/senior-systems-engineer-2012495-jv","Xem chi tiết")</f>
        <v/>
      </c>
    </row>
    <row r="1550">
      <c r="B1550" s="9" t="n">
        <v>1548</v>
      </c>
      <c r="C1550" s="10" t="inlineStr">
        <is>
          <t>Marketing Leader</t>
        </is>
      </c>
      <c r="D1550" s="10" t="inlineStr">
        <is>
          <t>Công Ty TNHH A G Steel Manufacture</t>
        </is>
      </c>
      <c r="E1550" s="10" t="inlineStr">
        <is>
          <t>$$ 770-1,150 /tháng</t>
        </is>
      </c>
      <c r="F1550" s="10" t="inlineStr">
        <is>
          <t>Hồ Chí Minh</t>
        </is>
      </c>
      <c r="G1550" s="10" t="inlineStr">
        <is>
          <t>Trưởng phòng</t>
        </is>
      </c>
      <c r="H1550" s="10" t="inlineStr">
        <is>
          <t>23/02/2026</t>
        </is>
      </c>
      <c r="I1550" s="10" t="inlineStr">
        <is>
          <t>25/03/2026</t>
        </is>
      </c>
      <c r="J1550" s="10" t="inlineStr">
        <is>
          <t>17/03/2026</t>
        </is>
      </c>
      <c r="K1550" s="10" t="inlineStr">
        <is>
          <t>N/A</t>
        </is>
      </c>
      <c r="L1550" s="10" t="inlineStr">
        <is>
          <t>Truyền Thông, SEO, Quảng Cáo, Marketing Planning, Digital Marketing</t>
        </is>
      </c>
      <c r="M1550" s="10" t="inlineStr">
        <is>
          <t>Bonus, Laptop, Team Activities</t>
        </is>
      </c>
      <c r="N1550" s="11">
        <f>HYPERLINK("https://www.vietnamworks.com/marketing-leader--2012478-jv","Xem chi tiết")</f>
        <v/>
      </c>
      <c r="O1550" s="10" t="n"/>
    </row>
    <row r="1551">
      <c r="B1551" s="7" t="n">
        <v>1549</v>
      </c>
      <c r="C1551" t="inlineStr">
        <is>
          <t>Tuyển Nhân Viên Làm Phòng An Toàn, PCCC, Môi Trường (Không Yêu Cầu Kinh Nghiệm)</t>
        </is>
      </c>
      <c r="D1551" t="inlineStr">
        <is>
          <t>INOAC Vietnam CO., LTD.</t>
        </is>
      </c>
      <c r="E1551" t="inlineStr">
        <is>
          <t>Thương lượng</t>
        </is>
      </c>
      <c r="F1551" t="inlineStr">
        <is>
          <t>Hà Nội</t>
        </is>
      </c>
      <c r="G1551" t="inlineStr">
        <is>
          <t>Nhân viên</t>
        </is>
      </c>
      <c r="H1551" t="inlineStr">
        <is>
          <t>23/02/2026</t>
        </is>
      </c>
      <c r="I1551" t="inlineStr">
        <is>
          <t>25/03/2026</t>
        </is>
      </c>
      <c r="J1551" t="inlineStr">
        <is>
          <t>17/03/2026</t>
        </is>
      </c>
      <c r="K1551" t="inlineStr">
        <is>
          <t>N/A</t>
        </is>
      </c>
      <c r="L1551" t="inlineStr">
        <is>
          <t>Phòng Cháy Chữa Cháy, An Toàn Lao Động, Môi Trường An Toàn, Môi Trường, Sản xuất</t>
        </is>
      </c>
      <c r="M1551" t="inlineStr">
        <is>
          <t>Bonus, Training, Transportation</t>
        </is>
      </c>
      <c r="N1551" s="8">
        <f>HYPERLINK("https://www.vietnamworks.com/tuyen-nhan-vien-lam-phong-an-toan-pccc-moi-truong-khong-yeu-cau-kinh-nghiem-2012479-jv","Xem chi tiết")</f>
        <v/>
      </c>
    </row>
    <row r="1552">
      <c r="B1552" s="9" t="n">
        <v>1550</v>
      </c>
      <c r="C1552" s="10" t="inlineStr">
        <is>
          <t>Customer Services Manager</t>
        </is>
      </c>
      <c r="D1552" s="10" t="inlineStr">
        <is>
          <t>Coats Phong Phu</t>
        </is>
      </c>
      <c r="E1552" s="10" t="inlineStr">
        <is>
          <t>Thương lượng</t>
        </is>
      </c>
      <c r="F1552" s="10" t="inlineStr">
        <is>
          <t>Hồ Chí Minh</t>
        </is>
      </c>
      <c r="G1552" s="10" t="inlineStr">
        <is>
          <t>Trưởng phòng</t>
        </is>
      </c>
      <c r="H1552" s="10" t="inlineStr">
        <is>
          <t>23/02/2026</t>
        </is>
      </c>
      <c r="I1552" s="10" t="inlineStr">
        <is>
          <t>25/03/2026</t>
        </is>
      </c>
      <c r="J1552" s="10" t="inlineStr">
        <is>
          <t>17/03/2026</t>
        </is>
      </c>
      <c r="K1552" s="10" t="inlineStr">
        <is>
          <t>N/A</t>
        </is>
      </c>
      <c r="L1552" s="10" t="inlineStr">
        <is>
          <t>Analytical Problem Solving, Customer Consultation, Customer-Oriented Service, Problem-solving, Sales &amp; Business Development</t>
        </is>
      </c>
      <c r="M1552" s="10" t="inlineStr">
        <is>
          <t>Bonus, Healthcare Plan, Paid Leave, Laptop, Others</t>
        </is>
      </c>
      <c r="N1552" s="11">
        <f>HYPERLINK("https://www.vietnamworks.com/customer-services-manager-2012474-jv","Xem chi tiết")</f>
        <v/>
      </c>
      <c r="O1552" s="10" t="n"/>
    </row>
    <row r="1553">
      <c r="B1553" s="7" t="n">
        <v>1551</v>
      </c>
      <c r="C1553" t="inlineStr">
        <is>
          <t>Sale Executive - Chuyên Viên Kinh Doanh B2B - HCM và HN</t>
        </is>
      </c>
      <c r="D1553" t="inlineStr">
        <is>
          <t>Công Ty TNHH Thương Mại Rồng Phương Bắc</t>
        </is>
      </c>
      <c r="E1553" t="inlineStr">
        <is>
          <t>$$ 500-1,000 /tháng</t>
        </is>
      </c>
      <c r="F1553" t="inlineStr">
        <is>
          <t>Hồ Chí Minh, Hà Nội</t>
        </is>
      </c>
      <c r="G1553" t="inlineStr">
        <is>
          <t>Nhân viên</t>
        </is>
      </c>
      <c r="H1553" t="inlineStr">
        <is>
          <t>23/02/2026</t>
        </is>
      </c>
      <c r="I1553" t="inlineStr">
        <is>
          <t>25/03/2026</t>
        </is>
      </c>
      <c r="J1553" t="inlineStr">
        <is>
          <t>17/03/2026</t>
        </is>
      </c>
      <c r="K1553" t="inlineStr">
        <is>
          <t>N/A</t>
        </is>
      </c>
      <c r="L1553" t="inlineStr">
        <is>
          <t>Kinh Doanh B2B, Bán Hàng, B2B Sales, Kinh Doanh</t>
        </is>
      </c>
      <c r="M1553" t="inlineStr">
        <is>
          <t>Bonus, Paid Leave, Travel Opportunities</t>
        </is>
      </c>
      <c r="N1553" s="8">
        <f>HYPERLINK("https://www.vietnamworks.com/sale-executive-chuyen-vien-kinh-doanh-b2b-hcm-va-hn-2012469-jv","Xem chi tiết")</f>
        <v/>
      </c>
    </row>
    <row r="1554">
      <c r="B1554" s="9" t="n">
        <v>1552</v>
      </c>
      <c r="C1554" s="10" t="inlineStr">
        <is>
          <t>Chuyên Viên Kế Toán Tổng Hợp</t>
        </is>
      </c>
      <c r="D1554" s="10" t="inlineStr">
        <is>
          <t>Tổng Công Ty Cổ Phần Dịch Vụ Tổng Hợp Dầu Khí (PET)</t>
        </is>
      </c>
      <c r="E1554" s="10" t="inlineStr">
        <is>
          <t>Thương lượng</t>
        </is>
      </c>
      <c r="F1554" s="10" t="inlineStr">
        <is>
          <t>Hồ Chí Minh</t>
        </is>
      </c>
      <c r="G1554" s="10" t="inlineStr">
        <is>
          <t>Nhân viên</t>
        </is>
      </c>
      <c r="H1554" s="10" t="inlineStr">
        <is>
          <t>23/02/2026</t>
        </is>
      </c>
      <c r="I1554" s="10" t="inlineStr">
        <is>
          <t>25/03/2026</t>
        </is>
      </c>
      <c r="J1554" s="10" t="inlineStr">
        <is>
          <t>17/03/2026</t>
        </is>
      </c>
      <c r="K1554" s="10" t="inlineStr">
        <is>
          <t>N/A</t>
        </is>
      </c>
      <c r="L1554" s="10" t="inlineStr">
        <is>
          <t>Kế Toán Tổng Hợp, Tài Chính, Kế Toán, Báo Cáo Tài Chính, Kiểm Toán</t>
        </is>
      </c>
      <c r="M1554" s="10" t="inlineStr">
        <is>
          <t>Bonus, Healthcare Plan, Team Activities</t>
        </is>
      </c>
      <c r="N1554" s="11">
        <f>HYPERLINK("https://www.vietnamworks.com/chuyen-vien-ke-toan-tong-hop--2012472-jv","Xem chi tiết")</f>
        <v/>
      </c>
      <c r="O1554" s="10" t="n"/>
    </row>
    <row r="1555">
      <c r="B1555" s="7" t="n">
        <v>1553</v>
      </c>
      <c r="C1555" t="inlineStr">
        <is>
          <t>[HCMC] Graphic Designer</t>
        </is>
      </c>
      <c r="D1555" t="inlineStr">
        <is>
          <t>Công Ty Cổ Phần Dược Phẩm Am Vi</t>
        </is>
      </c>
      <c r="E1555" t="inlineStr">
        <is>
          <t>$$ 500-600 /tháng</t>
        </is>
      </c>
      <c r="F1555" t="inlineStr">
        <is>
          <t>Hồ Chí Minh</t>
        </is>
      </c>
      <c r="G1555" t="inlineStr">
        <is>
          <t>Nhân viên</t>
        </is>
      </c>
      <c r="H1555" t="inlineStr">
        <is>
          <t>23/02/2026</t>
        </is>
      </c>
      <c r="I1555" t="inlineStr">
        <is>
          <t>25/03/2026</t>
        </is>
      </c>
      <c r="J1555" t="inlineStr">
        <is>
          <t>17/03/2026</t>
        </is>
      </c>
      <c r="K1555" t="inlineStr">
        <is>
          <t>N/A</t>
        </is>
      </c>
      <c r="L1555" t="inlineStr">
        <is>
          <t>Adobe Illustrator, Adobe InDesign, Adobe Photoshop, Collaboration, Graphic Design</t>
        </is>
      </c>
      <c r="M1555" t="inlineStr">
        <is>
          <t>Training, Others</t>
        </is>
      </c>
      <c r="N1555" s="8">
        <f>HYPERLINK("https://www.vietnamworks.com/hcmc-graphic-designer-2012494-jv","Xem chi tiết")</f>
        <v/>
      </c>
    </row>
    <row r="1556">
      <c r="B1556" s="9" t="n">
        <v>1554</v>
      </c>
      <c r="C1556" s="10" t="inlineStr">
        <is>
          <t>Operation And Customer Service Staff</t>
        </is>
      </c>
      <c r="D1556" s="10" t="inlineStr">
        <is>
          <t>CÔNG TY TNHH CIMC WETRANS (VIỆT NAM)</t>
        </is>
      </c>
      <c r="E1556" s="10" t="inlineStr">
        <is>
          <t>Thương lượng</t>
        </is>
      </c>
      <c r="F1556" s="10" t="inlineStr">
        <is>
          <t>Hồ Chí Minh</t>
        </is>
      </c>
      <c r="G1556" s="10" t="inlineStr">
        <is>
          <t>Nhân viên</t>
        </is>
      </c>
      <c r="H1556" s="10" t="inlineStr">
        <is>
          <t>23/02/2026</t>
        </is>
      </c>
      <c r="I1556" s="10" t="inlineStr">
        <is>
          <t>25/03/2026</t>
        </is>
      </c>
      <c r="J1556" s="10" t="inlineStr">
        <is>
          <t>17/03/2026</t>
        </is>
      </c>
      <c r="K1556" s="10" t="inlineStr">
        <is>
          <t>N/A</t>
        </is>
      </c>
      <c r="L1556" s="10" t="inlineStr">
        <is>
          <t>Export Operation, Import Management, Logistics Management, Problem-solving, Communication Skills</t>
        </is>
      </c>
      <c r="M1556" s="10" t="inlineStr">
        <is>
          <t>Bonus, Healthcare Plan, Paid Leave, Laptop, Travel Opportunities, Team Activities, Others</t>
        </is>
      </c>
      <c r="N1556" s="11">
        <f>HYPERLINK("https://www.vietnamworks.com/operation-and-customer-service-staff-2012477-jv","Xem chi tiết")</f>
        <v/>
      </c>
      <c r="O1556" s="10" t="n"/>
    </row>
    <row r="1557">
      <c r="B1557" s="7" t="n">
        <v>1555</v>
      </c>
      <c r="C1557" t="inlineStr">
        <is>
          <t>Site Supervisor</t>
        </is>
      </c>
      <c r="D1557" t="inlineStr">
        <is>
          <t>LX Pantos Vietnam</t>
        </is>
      </c>
      <c r="E1557" t="inlineStr">
        <is>
          <t>Thương lượng</t>
        </is>
      </c>
      <c r="F1557" t="inlineStr">
        <is>
          <t>Hải Phòng</t>
        </is>
      </c>
      <c r="G1557" t="inlineStr">
        <is>
          <t>Trưởng phòng</t>
        </is>
      </c>
      <c r="H1557" t="inlineStr">
        <is>
          <t>23/02/2026</t>
        </is>
      </c>
      <c r="I1557" t="inlineStr">
        <is>
          <t>25/03/2026</t>
        </is>
      </c>
      <c r="J1557" t="inlineStr">
        <is>
          <t>17/03/2026</t>
        </is>
      </c>
      <c r="K1557" t="inlineStr">
        <is>
          <t>N/A</t>
        </is>
      </c>
      <c r="L1557" t="inlineStr">
        <is>
          <t>communication, english skill, logistic management</t>
        </is>
      </c>
      <c r="M1557" t="inlineStr">
        <is>
          <t>Bonus, Healthcare Plan, Training</t>
        </is>
      </c>
      <c r="N1557" s="8">
        <f>HYPERLINK("https://www.vietnamworks.com/site-supervisor--2012470-jv","Xem chi tiết")</f>
        <v/>
      </c>
    </row>
    <row r="1558">
      <c r="B1558" s="9" t="n">
        <v>1556</v>
      </c>
      <c r="C1558" s="10" t="inlineStr">
        <is>
          <t>[Hà Nội] Nhân Viên Quản Lý Nhãn Hàng ETC - PM ( TN Đại Học Dược) - Không Yêu Cầu Kinh Nghiệm</t>
        </is>
      </c>
      <c r="D1558" s="10" t="inlineStr">
        <is>
          <t>Công Ty Cổ Phần Dược Phẩm Thiên Thảo</t>
        </is>
      </c>
      <c r="E1558" s="10" t="inlineStr">
        <is>
          <t>15tr-30tr ₫/tháng</t>
        </is>
      </c>
      <c r="F1558" s="10" t="inlineStr">
        <is>
          <t>Hà Nội</t>
        </is>
      </c>
      <c r="G1558" s="10" t="inlineStr">
        <is>
          <t>Nhân viên</t>
        </is>
      </c>
      <c r="H1558" s="10" t="inlineStr">
        <is>
          <t>23/02/2026</t>
        </is>
      </c>
      <c r="I1558" s="10" t="inlineStr">
        <is>
          <t>25/03/2026</t>
        </is>
      </c>
      <c r="J1558" s="10" t="inlineStr">
        <is>
          <t>17/03/2026</t>
        </is>
      </c>
      <c r="K1558" s="10" t="inlineStr">
        <is>
          <t>N/A</t>
        </is>
      </c>
      <c r="L1558" s="10" t="inlineStr">
        <is>
          <t>R&amp;D Dược Phẩm, Nghiên Cứu Sản Phẩm, Phát Triển Sản Phẩm, Đăng Ký Thuốc, ETC</t>
        </is>
      </c>
      <c r="M1558" s="10" t="inlineStr">
        <is>
          <t>Bonus, Healthcare Plan, Others</t>
        </is>
      </c>
      <c r="N1558" s="11">
        <f>HYPERLINK("https://www.vietnamworks.com/ha-noi-nhan-vien-quan-ly-nhan-hang-etc-pm-tn-dai-hoc-duoc-khong-yeu-cau-kinh-nghiem--2012492-jv","Xem chi tiết")</f>
        <v/>
      </c>
      <c r="O1558" s="10" t="n"/>
    </row>
    <row r="1559">
      <c r="B1559" s="7" t="n">
        <v>1557</v>
      </c>
      <c r="C1559" t="inlineStr">
        <is>
          <t>Nhân Viên Chứng Từ Logistics (Documentation Staff)</t>
        </is>
      </c>
      <c r="D1559" t="inlineStr">
        <is>
          <t>Công Ty Cổ Phần Sea And Air Services Việt Nam</t>
        </is>
      </c>
      <c r="E1559" t="inlineStr">
        <is>
          <t>8tr-13tr ₫/tháng</t>
        </is>
      </c>
      <c r="F1559" t="inlineStr">
        <is>
          <t>Hồ Chí Minh</t>
        </is>
      </c>
      <c r="G1559" t="inlineStr">
        <is>
          <t>Mới Tốt Nghiệp</t>
        </is>
      </c>
      <c r="H1559" t="inlineStr">
        <is>
          <t>23/02/2026</t>
        </is>
      </c>
      <c r="I1559" t="inlineStr">
        <is>
          <t>25/03/2026</t>
        </is>
      </c>
      <c r="J1559" t="inlineStr">
        <is>
          <t>17/03/2026</t>
        </is>
      </c>
      <c r="K1559" t="inlineStr">
        <is>
          <t>N/A</t>
        </is>
      </c>
      <c r="L1559" t="inlineStr">
        <is>
          <t>HS Code, Chứng Từ Hải Quan, Quản Lý Chứng Từ, Quản Lý Hàng Hoá, Tiếng Anh</t>
        </is>
      </c>
      <c r="M1559" t="inlineStr">
        <is>
          <t>Bonus, Healthcare Plan, Paid Leave, Awards, Travel Opportunities, Others</t>
        </is>
      </c>
      <c r="N1559" s="8">
        <f>HYPERLINK("https://www.vietnamworks.com/nhan-vien-chung-tu-logistics-documentation-staff-2012489-jv","Xem chi tiết")</f>
        <v/>
      </c>
    </row>
    <row r="1560">
      <c r="B1560" s="9" t="n">
        <v>1558</v>
      </c>
      <c r="C1560" s="10" t="inlineStr">
        <is>
          <t>Giám Sát Xây Dựng</t>
        </is>
      </c>
      <c r="D1560" s="10" t="inlineStr">
        <is>
          <t>Công Ty Cổ Phần Đầu Tư Xây Dựng Newtecons</t>
        </is>
      </c>
      <c r="E1560" s="10" t="inlineStr">
        <is>
          <t>Thương lượng</t>
        </is>
      </c>
      <c r="F1560" s="10" t="inlineStr">
        <is>
          <t>Hồ Chí Minh, Hà Nội, Bà Rịa - Vũng Tàu</t>
        </is>
      </c>
      <c r="G1560" s="10" t="inlineStr">
        <is>
          <t>Nhân viên</t>
        </is>
      </c>
      <c r="H1560" s="10" t="inlineStr">
        <is>
          <t>23/02/2026</t>
        </is>
      </c>
      <c r="I1560" s="10" t="inlineStr">
        <is>
          <t>25/03/2026</t>
        </is>
      </c>
      <c r="J1560" s="10" t="inlineStr">
        <is>
          <t>17/03/2026</t>
        </is>
      </c>
      <c r="K1560" s="10" t="inlineStr">
        <is>
          <t>N/A</t>
        </is>
      </c>
      <c r="L1560" s="10" t="inlineStr">
        <is>
          <t>Giám Sát Xây Dựng, Kinh Tế Xây Dựng, Quản Lý Chất Lượng Xây Dựng, Giám Sát, Xây Dựng</t>
        </is>
      </c>
      <c r="M1560" s="10" t="inlineStr">
        <is>
          <t>Bonus, Healthcare Plan, Training, Others</t>
        </is>
      </c>
      <c r="N1560" s="11">
        <f>HYPERLINK("https://www.vietnamworks.com/giam-sat-xay-dung-2012488-jv","Xem chi tiết")</f>
        <v/>
      </c>
      <c r="O1560" s="10" t="n"/>
    </row>
    <row r="1561">
      <c r="B1561" s="7" t="n">
        <v>1559</v>
      </c>
      <c r="C1561" t="inlineStr">
        <is>
          <t>Nhân Viên Kỹ Thuật QC</t>
        </is>
      </c>
      <c r="D1561" t="inlineStr">
        <is>
          <t>Công Ty TNHH Công Nghệ Index</t>
        </is>
      </c>
      <c r="E1561" t="inlineStr">
        <is>
          <t>12tr-15tr ₫/tháng</t>
        </is>
      </c>
      <c r="F1561" t="inlineStr">
        <is>
          <t>Hà Nội</t>
        </is>
      </c>
      <c r="G1561" t="inlineStr">
        <is>
          <t>Nhân viên</t>
        </is>
      </c>
      <c r="H1561" t="inlineStr">
        <is>
          <t>23/02/2026</t>
        </is>
      </c>
      <c r="I1561" t="inlineStr">
        <is>
          <t>25/03/2026</t>
        </is>
      </c>
      <c r="J1561" t="inlineStr">
        <is>
          <t>17/03/2026</t>
        </is>
      </c>
      <c r="K1561" t="inlineStr">
        <is>
          <t>N/A</t>
        </is>
      </c>
      <c r="L1561" t="inlineStr">
        <is>
          <t>Kiểm Soát Chất Lượng, Lập Kế Hoạch, Kiểm Tra Hàng Hóa, Đọc Hiểu Bản Vẽ Kỹ Thuật, QC</t>
        </is>
      </c>
      <c r="M1561" t="inlineStr">
        <is>
          <t>Bonus, Healthcare Plan, Paid Leave, Training, Travel Opportunities, Others</t>
        </is>
      </c>
      <c r="N1561" s="8">
        <f>HYPERLINK("https://www.vietnamworks.com/nhan-vien-ky-thuat-qc--2012493-jv","Xem chi tiết")</f>
        <v/>
      </c>
    </row>
    <row r="1562">
      <c r="B1562" s="9" t="n">
        <v>1560</v>
      </c>
      <c r="C1562" s="10" t="inlineStr">
        <is>
          <t>Kỹ Sư Điện - Lương Từ 12-25 Triệu</t>
        </is>
      </c>
      <c r="D1562" s="10" t="inlineStr">
        <is>
          <t>Công Ty Cổ Phần Cơ Điện Benzen Việt Nam</t>
        </is>
      </c>
      <c r="E1562" s="10" t="inlineStr">
        <is>
          <t>12tr-25tr ₫/tháng</t>
        </is>
      </c>
      <c r="F1562" s="10" t="inlineStr">
        <is>
          <t>Hà Nội</t>
        </is>
      </c>
      <c r="G1562" s="10" t="inlineStr">
        <is>
          <t>Nhân viên</t>
        </is>
      </c>
      <c r="H1562" s="10" t="inlineStr">
        <is>
          <t>23/02/2026</t>
        </is>
      </c>
      <c r="I1562" s="10" t="inlineStr">
        <is>
          <t>25/03/2026</t>
        </is>
      </c>
      <c r="J1562" s="10" t="inlineStr">
        <is>
          <t>17/03/2026</t>
        </is>
      </c>
      <c r="K1562" s="10" t="inlineStr">
        <is>
          <t>N/A</t>
        </is>
      </c>
      <c r="L1562" s="10" t="inlineStr">
        <is>
          <t>AutoCAD, Hệ Thống Điện, Giám Sát Thi Công, MEP, Triển Khai Bản Vẽ</t>
        </is>
      </c>
      <c r="M1562" s="10" t="inlineStr">
        <is>
          <t>Bonus, Healthcare Plan, Training, Others</t>
        </is>
      </c>
      <c r="N1562" s="11">
        <f>HYPERLINK("https://www.vietnamworks.com/ky-su-dien-luong-tu-12-25-trieu-2012498-jv","Xem chi tiết")</f>
        <v/>
      </c>
      <c r="O1562" s="10" t="n"/>
    </row>
    <row r="1563">
      <c r="B1563" s="7" t="n">
        <v>1561</v>
      </c>
      <c r="C1563" t="inlineStr">
        <is>
          <t>Import Officer - Experienced Only</t>
        </is>
      </c>
      <c r="D1563" t="inlineStr">
        <is>
          <t>Betagen Vietnam Co., Ltd.</t>
        </is>
      </c>
      <c r="E1563" t="inlineStr">
        <is>
          <t>Thương lượng</t>
        </is>
      </c>
      <c r="F1563" t="inlineStr">
        <is>
          <t>Hồ Chí Minh</t>
        </is>
      </c>
      <c r="G1563" t="inlineStr">
        <is>
          <t>Nhân viên</t>
        </is>
      </c>
      <c r="H1563" t="inlineStr">
        <is>
          <t>23/02/2026</t>
        </is>
      </c>
      <c r="I1563" t="inlineStr">
        <is>
          <t>25/03/2026</t>
        </is>
      </c>
      <c r="J1563" t="inlineStr">
        <is>
          <t>17/03/2026</t>
        </is>
      </c>
      <c r="K1563" t="inlineStr">
        <is>
          <t>N/A</t>
        </is>
      </c>
      <c r="L1563" t="inlineStr">
        <is>
          <t>Import, English, SAP, Incoterms</t>
        </is>
      </c>
      <c r="M1563" t="inlineStr">
        <is>
          <t>Bonus, Paid Leave, Others</t>
        </is>
      </c>
      <c r="N1563" s="8">
        <f>HYPERLINK("https://www.vietnamworks.com/import-officer-experienced-only-2012497-jv","Xem chi tiết")</f>
        <v/>
      </c>
    </row>
    <row r="1564">
      <c r="B1564" s="9" t="n">
        <v>1562</v>
      </c>
      <c r="C1564" s="10" t="inlineStr">
        <is>
          <t>Finance Assistant (6 month)</t>
        </is>
      </c>
      <c r="D1564" s="10" t="inlineStr">
        <is>
          <t>Columbia Asia Hospital Binh Duong</t>
        </is>
      </c>
      <c r="E1564" s="10" t="inlineStr">
        <is>
          <t>$$ 650-750 /tháng</t>
        </is>
      </c>
      <c r="F1564" s="10" t="inlineStr">
        <is>
          <t>Bình Dương</t>
        </is>
      </c>
      <c r="G1564" s="10" t="inlineStr">
        <is>
          <t>Nhân viên</t>
        </is>
      </c>
      <c r="H1564" s="10" t="inlineStr">
        <is>
          <t>23/02/2026</t>
        </is>
      </c>
      <c r="I1564" s="10" t="inlineStr">
        <is>
          <t>25/03/2026</t>
        </is>
      </c>
      <c r="J1564" s="10" t="inlineStr">
        <is>
          <t>17/03/2026</t>
        </is>
      </c>
      <c r="K1564" s="10" t="inlineStr">
        <is>
          <t>N/A</t>
        </is>
      </c>
      <c r="L1564" s="10" t="inlineStr">
        <is>
          <t>Tài Chính, Thuế, Hóa Đơn Điện Tử</t>
        </is>
      </c>
      <c r="M1564" s="10" t="inlineStr">
        <is>
          <t>Bonus, Healthcare Plan, Training</t>
        </is>
      </c>
      <c r="N1564" s="11">
        <f>HYPERLINK("https://www.vietnamworks.com/finance-assistant-6-month-2012525-jv","Xem chi tiết")</f>
        <v/>
      </c>
      <c r="O1564" s="10" t="n"/>
    </row>
    <row r="1565">
      <c r="B1565" s="7" t="n">
        <v>1563</v>
      </c>
      <c r="C1565" t="inlineStr">
        <is>
          <t>Kế Toán</t>
        </is>
      </c>
      <c r="D1565" t="inlineStr">
        <is>
          <t>Công ty cổ phần SiliconZ</t>
        </is>
      </c>
      <c r="E1565" t="inlineStr">
        <is>
          <t>15tr-18tr ₫/tháng</t>
        </is>
      </c>
      <c r="F1565" t="inlineStr">
        <is>
          <t>Hồ Chí Minh</t>
        </is>
      </c>
      <c r="G1565" t="inlineStr">
        <is>
          <t>Nhân viên</t>
        </is>
      </c>
      <c r="H1565" t="inlineStr">
        <is>
          <t>23/02/2026</t>
        </is>
      </c>
      <c r="I1565" t="inlineStr">
        <is>
          <t>25/03/2026</t>
        </is>
      </c>
      <c r="J1565" t="inlineStr">
        <is>
          <t>17/03/2026</t>
        </is>
      </c>
      <c r="K1565" t="inlineStr">
        <is>
          <t>N/A</t>
        </is>
      </c>
      <c r="L1565" t="inlineStr">
        <is>
          <t>Tài Chính, Kiểm Toán, Kế Toán Tổng Hợp, Bất Động Sản, Báo Cáo Thuế</t>
        </is>
      </c>
      <c r="M1565" t="inlineStr">
        <is>
          <t>Bonus</t>
        </is>
      </c>
      <c r="N1565" s="8">
        <f>HYPERLINK("https://www.vietnamworks.com/ke-toan--2012523-jv","Xem chi tiết")</f>
        <v/>
      </c>
    </row>
    <row r="1566">
      <c r="B1566" s="9" t="n">
        <v>1564</v>
      </c>
      <c r="C1566" s="10" t="inlineStr">
        <is>
          <t>Sales Admin Staff</t>
        </is>
      </c>
      <c r="D1566" s="10" t="inlineStr">
        <is>
          <t>Arneplant Vietnam Company</t>
        </is>
      </c>
      <c r="E1566" s="10" t="inlineStr">
        <is>
          <t>Thương lượng</t>
        </is>
      </c>
      <c r="F1566" s="10" t="inlineStr">
        <is>
          <t>Hồ Chí Minh</t>
        </is>
      </c>
      <c r="G1566" s="10" t="inlineStr">
        <is>
          <t>Nhân viên</t>
        </is>
      </c>
      <c r="H1566" s="10" t="inlineStr">
        <is>
          <t>23/02/2026</t>
        </is>
      </c>
      <c r="I1566" s="10" t="inlineStr">
        <is>
          <t>25/03/2026</t>
        </is>
      </c>
      <c r="J1566" s="10" t="inlineStr">
        <is>
          <t>17/03/2026</t>
        </is>
      </c>
      <c r="K1566" s="10" t="inlineStr">
        <is>
          <t>N/A</t>
        </is>
      </c>
      <c r="L1566" s="10" t="inlineStr">
        <is>
          <t>Communication, Customer Service, Data Management, ERP Systems, Sales Administration</t>
        </is>
      </c>
      <c r="M1566" s="10" t="inlineStr">
        <is>
          <t>Bonus, Healthcare Plan, Paid Leave, Others</t>
        </is>
      </c>
      <c r="N1566" s="11">
        <f>HYPERLINK("https://www.vietnamworks.com/sales-admin-staff-2012519-jv","Xem chi tiết")</f>
        <v/>
      </c>
      <c r="O1566" s="10" t="n"/>
    </row>
    <row r="1567">
      <c r="B1567" s="7" t="n">
        <v>1565</v>
      </c>
      <c r="C1567" t="inlineStr">
        <is>
          <t>Kỹ Sư Cơ (Cấp Thoát Nước – Pccc)- Lương Từ 12-25 Triệu</t>
        </is>
      </c>
      <c r="D1567" t="inlineStr">
        <is>
          <t>Công Ty Cổ Phần Cơ Điện Benzen Việt Nam</t>
        </is>
      </c>
      <c r="E1567" t="inlineStr">
        <is>
          <t>12tr-25tr ₫/tháng</t>
        </is>
      </c>
      <c r="F1567" t="inlineStr">
        <is>
          <t>Hà Nội</t>
        </is>
      </c>
      <c r="G1567" t="inlineStr">
        <is>
          <t>Nhân viên</t>
        </is>
      </c>
      <c r="H1567" t="inlineStr">
        <is>
          <t>23/02/2026</t>
        </is>
      </c>
      <c r="I1567" t="inlineStr">
        <is>
          <t>25/03/2026</t>
        </is>
      </c>
      <c r="J1567" t="inlineStr">
        <is>
          <t>17/03/2026</t>
        </is>
      </c>
      <c r="K1567" t="inlineStr">
        <is>
          <t>N/A</t>
        </is>
      </c>
      <c r="L1567" t="inlineStr">
        <is>
          <t>AutoCAD, Cấp Thoát Nước, Bóc Tách Khối Lượng, Cơ Điện Công Trình, Triển Khai Bản Vẽ</t>
        </is>
      </c>
      <c r="M1567" t="inlineStr">
        <is>
          <t>Bonus, Healthcare Plan, Training, Others</t>
        </is>
      </c>
      <c r="N1567" s="8">
        <f>HYPERLINK("https://www.vietnamworks.com/ky-su-co-cap-thoat-nuoc-pccc-luong-tu-12-25-trieu-2012520-jv","Xem chi tiết")</f>
        <v/>
      </c>
    </row>
    <row r="1568">
      <c r="B1568" s="9" t="n">
        <v>1566</v>
      </c>
      <c r="C1568" s="10" t="inlineStr">
        <is>
          <t>Nhân Viên Kế Toán</t>
        </is>
      </c>
      <c r="D1568" s="10" t="inlineStr">
        <is>
          <t>Alpla Packaging (Vietnam) Co. Ltd.</t>
        </is>
      </c>
      <c r="E1568" s="10" t="inlineStr">
        <is>
          <t>11tr-14tr ₫/tháng</t>
        </is>
      </c>
      <c r="F1568" s="10" t="inlineStr">
        <is>
          <t>Hồ Chí Minh</t>
        </is>
      </c>
      <c r="G1568" s="10" t="inlineStr">
        <is>
          <t>Nhân viên</t>
        </is>
      </c>
      <c r="H1568" s="10" t="inlineStr">
        <is>
          <t>23/02/2026</t>
        </is>
      </c>
      <c r="I1568" s="10" t="inlineStr">
        <is>
          <t>25/03/2026</t>
        </is>
      </c>
      <c r="J1568" s="10" t="inlineStr">
        <is>
          <t>17/03/2026</t>
        </is>
      </c>
      <c r="K1568" s="10" t="inlineStr">
        <is>
          <t>N/A</t>
        </is>
      </c>
      <c r="L1568" s="10" t="inlineStr">
        <is>
          <t>Báo Cáo Thuế, Phần Mềm Kế Toán, Kế Toán Tài Chính, Kế Toán Thuế, Kế Toán Tổng Hợp</t>
        </is>
      </c>
      <c r="M1568" s="10" t="inlineStr">
        <is>
          <t>Bonus, Healthcare Plan, Travel Opportunities</t>
        </is>
      </c>
      <c r="N1568" s="11">
        <f>HYPERLINK("https://www.vietnamworks.com/nhan-vien-ke-toan--2012533-jv","Xem chi tiết")</f>
        <v/>
      </c>
      <c r="O1568" s="10" t="n"/>
    </row>
    <row r="1569">
      <c r="B1569" s="7" t="n">
        <v>1567</v>
      </c>
      <c r="C1569" t="inlineStr">
        <is>
          <t>Assistant Vice President to Director (Subject to Working Experience)- Global Transaction Banking Division (Gtbd) - Hanoi Desk</t>
        </is>
      </c>
      <c r="D1569" t="inlineStr">
        <is>
          <t>Mizuho Bank, Ltd.</t>
        </is>
      </c>
      <c r="E1569" t="inlineStr">
        <is>
          <t>Thương lượng</t>
        </is>
      </c>
      <c r="F1569" t="inlineStr">
        <is>
          <t>Hà Nội</t>
        </is>
      </c>
      <c r="G1569" t="inlineStr">
        <is>
          <t>Giám Đốc và Cấp Cao Hơn</t>
        </is>
      </c>
      <c r="H1569" t="inlineStr">
        <is>
          <t>23/02/2026</t>
        </is>
      </c>
      <c r="I1569" t="inlineStr">
        <is>
          <t>25/03/2026</t>
        </is>
      </c>
      <c r="J1569" t="inlineStr">
        <is>
          <t>17/03/2026</t>
        </is>
      </c>
      <c r="K1569" t="inlineStr">
        <is>
          <t>N/A</t>
        </is>
      </c>
      <c r="L1569" t="inlineStr">
        <is>
          <t>Communication Skills, Negotiation Skills, Teamwork, Trade Finance, Transactional Banking</t>
        </is>
      </c>
      <c r="M1569" t="inlineStr">
        <is>
          <t>Bonus, Healthcare Plan, Paid Leave, Others</t>
        </is>
      </c>
      <c r="N1569" s="8">
        <f>HYPERLINK("https://www.vietnamworks.com/assistant-vice-president-to-director-subject-to-working-experience-global-transaction-banking-division-gtbd-hanoi-desk-2012502-jv","Xem chi tiết")</f>
        <v/>
      </c>
    </row>
    <row r="1570">
      <c r="B1570" s="9" t="n">
        <v>1568</v>
      </c>
      <c r="C1570" s="10" t="inlineStr">
        <is>
          <t>Kế Toán Tiếng Nhật (Giao Tiếp Cơ Bản)</t>
        </is>
      </c>
      <c r="D1570" s="10" t="inlineStr">
        <is>
          <t>CÔNG TY TNHH CÔNG NGHỆ REFLEX VIỆT NAM</t>
        </is>
      </c>
      <c r="E1570" s="10" t="inlineStr">
        <is>
          <t>25tr-35tr ₫/tháng</t>
        </is>
      </c>
      <c r="F1570" s="10" t="inlineStr">
        <is>
          <t>Hồ Chí Minh</t>
        </is>
      </c>
      <c r="G1570" s="10" t="inlineStr">
        <is>
          <t>Nhân viên</t>
        </is>
      </c>
      <c r="H1570" s="10" t="inlineStr">
        <is>
          <t>23/02/2026</t>
        </is>
      </c>
      <c r="I1570" s="10" t="inlineStr">
        <is>
          <t>25/03/2026</t>
        </is>
      </c>
      <c r="J1570" s="10" t="inlineStr">
        <is>
          <t>17/03/2026</t>
        </is>
      </c>
      <c r="K1570" s="10" t="inlineStr">
        <is>
          <t>N/A</t>
        </is>
      </c>
      <c r="L1570" s="10" t="inlineStr">
        <is>
          <t>Kế Toán Tổng Hợp, Giao Tiếp Tiếng Nhật, Hành Chính Tổng Hợp, Tiếng Nhật N2, Kế Toán</t>
        </is>
      </c>
      <c r="M1570" s="10" t="inlineStr">
        <is>
          <t>Bonus, Healthcare Plan, Training, Team Activities, Others</t>
        </is>
      </c>
      <c r="N1570" s="11">
        <f>HYPERLINK("https://www.vietnamworks.com/ke-toan-tieng-nhat-giao-tiep-co-ban-2012499-jv","Xem chi tiết")</f>
        <v/>
      </c>
      <c r="O1570" s="10" t="n"/>
    </row>
    <row r="1571">
      <c r="B1571" s="7" t="n">
        <v>1569</v>
      </c>
      <c r="C1571" t="inlineStr">
        <is>
          <t>Nhân Viên Tư Vấn Khóa Học Và Phát Quản Lý CTV Mảng Giáo Dục</t>
        </is>
      </c>
      <c r="D1571" t="inlineStr">
        <is>
          <t>Công ty TNHH Mathpresso Việt Nam</t>
        </is>
      </c>
      <c r="E1571" t="inlineStr">
        <is>
          <t>15tr-30tr ₫/tháng</t>
        </is>
      </c>
      <c r="F1571" t="inlineStr">
        <is>
          <t>Hà Nội</t>
        </is>
      </c>
      <c r="G1571" t="inlineStr">
        <is>
          <t>Nhân viên</t>
        </is>
      </c>
      <c r="H1571" t="inlineStr">
        <is>
          <t>23/02/2026</t>
        </is>
      </c>
      <c r="I1571" t="inlineStr">
        <is>
          <t>25/03/2026</t>
        </is>
      </c>
      <c r="J1571" t="inlineStr">
        <is>
          <t>17/03/2026</t>
        </is>
      </c>
      <c r="K1571" t="inlineStr">
        <is>
          <t>N/A</t>
        </is>
      </c>
      <c r="L1571" t="inlineStr">
        <is>
          <t>Sales, Team Management, Tìm Kiếm Khách Hàng, Tư Vấn Bán Hàng</t>
        </is>
      </c>
      <c r="M1571" t="inlineStr">
        <is>
          <t>Bonus, Paid Leave, Training, Laptop, Travel Opportunities, Others</t>
        </is>
      </c>
      <c r="N1571" s="8">
        <f>HYPERLINK("https://www.vietnamworks.com/nhan-vien-tu-van-khoa-hoc-va-phat-quan-ly-ctv-mang-giao-duc-2012532-jv","Xem chi tiết")</f>
        <v/>
      </c>
    </row>
    <row r="1572">
      <c r="B1572" s="9" t="n">
        <v>1570</v>
      </c>
      <c r="C1572" s="10" t="inlineStr">
        <is>
          <t>Nhân Viên Logistics</t>
        </is>
      </c>
      <c r="D1572" s="10" t="inlineStr">
        <is>
          <t>CÔNG TY TNHH INDUS COFFEE (VIỆT NAM)</t>
        </is>
      </c>
      <c r="E1572" s="10" t="inlineStr">
        <is>
          <t>Từ $ 500 /tháng</t>
        </is>
      </c>
      <c r="F1572" s="10" t="inlineStr">
        <is>
          <t>Gia Lai</t>
        </is>
      </c>
      <c r="G1572" s="10" t="inlineStr">
        <is>
          <t>Nhân viên</t>
        </is>
      </c>
      <c r="H1572" s="10" t="inlineStr">
        <is>
          <t>23/02/2026</t>
        </is>
      </c>
      <c r="I1572" s="10" t="inlineStr">
        <is>
          <t>25/03/2026</t>
        </is>
      </c>
      <c r="J1572" s="10" t="inlineStr">
        <is>
          <t>17/03/2026</t>
        </is>
      </c>
      <c r="K1572" s="10" t="inlineStr">
        <is>
          <t>N/A</t>
        </is>
      </c>
      <c r="L1572" s="10" t="inlineStr">
        <is>
          <t>Customs Clearance, Electronic Document Management System, International Trade, Problem-solving, Hs Classification</t>
        </is>
      </c>
      <c r="M1572" s="10" t="inlineStr">
        <is>
          <t>Bonus, Healthcare Plan</t>
        </is>
      </c>
      <c r="N1572" s="11">
        <f>HYPERLINK("https://www.vietnamworks.com/nhan-vien-logistics-2012506-jv","Xem chi tiết")</f>
        <v/>
      </c>
      <c r="O1572" s="10" t="n"/>
    </row>
    <row r="1573">
      <c r="B1573" s="7" t="n">
        <v>1571</v>
      </c>
      <c r="C1573" t="inlineStr">
        <is>
          <t>HR Admin Executive</t>
        </is>
      </c>
      <c r="D1573" t="inlineStr">
        <is>
          <t>Công Ty TNHH MTV Chăm Sóc Sức Khỏe Bờ Biển Tây</t>
        </is>
      </c>
      <c r="E1573" t="inlineStr">
        <is>
          <t>Thương lượng</t>
        </is>
      </c>
      <c r="F1573" t="inlineStr">
        <is>
          <t>Hồ Chí Minh</t>
        </is>
      </c>
      <c r="G1573" t="inlineStr">
        <is>
          <t>Nhân viên</t>
        </is>
      </c>
      <c r="H1573" t="inlineStr">
        <is>
          <t>23/02/2026</t>
        </is>
      </c>
      <c r="I1573" t="inlineStr">
        <is>
          <t>25/03/2026</t>
        </is>
      </c>
      <c r="J1573" t="inlineStr">
        <is>
          <t>17/03/2026</t>
        </is>
      </c>
      <c r="K1573" t="inlineStr">
        <is>
          <t>N/A</t>
        </is>
      </c>
      <c r="L1573" t="inlineStr">
        <is>
          <t>Administration, Hành Chính Nhân Sự, HR &amp; Admin General, HR, HR &amp; Admin</t>
        </is>
      </c>
      <c r="M1573" t="inlineStr">
        <is>
          <t>Bonus, Healthcare Plan, Travel Opportunities, Team Activities, Others</t>
        </is>
      </c>
      <c r="N1573" s="8">
        <f>HYPERLINK("https://www.vietnamworks.com/hr-admin-executive-2012503-jv","Xem chi tiết")</f>
        <v/>
      </c>
    </row>
    <row r="1574">
      <c r="B1574" s="9" t="n">
        <v>1572</v>
      </c>
      <c r="C1574" s="10" t="inlineStr">
        <is>
          <t>Technical Sales Engineer (Hanoi)</t>
        </is>
      </c>
      <c r="D1574" s="10" t="inlineStr">
        <is>
          <t>CÔNG TY TNHH AUROMEX VIỆT NAM</t>
        </is>
      </c>
      <c r="E1574" s="10" t="inlineStr">
        <is>
          <t>Từ 20tr ₫/tháng</t>
        </is>
      </c>
      <c r="F1574" s="10" t="inlineStr">
        <is>
          <t>Hà Nội</t>
        </is>
      </c>
      <c r="G1574" s="10" t="inlineStr">
        <is>
          <t>Nhân viên</t>
        </is>
      </c>
      <c r="H1574" s="10" t="inlineStr">
        <is>
          <t>23/02/2026</t>
        </is>
      </c>
      <c r="I1574" s="10" t="inlineStr">
        <is>
          <t>25/03/2026</t>
        </is>
      </c>
      <c r="J1574" s="10" t="inlineStr">
        <is>
          <t>17/03/2026</t>
        </is>
      </c>
      <c r="K1574" s="10" t="inlineStr">
        <is>
          <t>N/A</t>
        </is>
      </c>
      <c r="L1574" s="10" t="inlineStr">
        <is>
          <t>Sales Strategy, Technical Service Experience, Chemical, Technical Support, Plating</t>
        </is>
      </c>
      <c r="M1574" s="10" t="inlineStr">
        <is>
          <t>Bonus, Healthcare Plan, Paid Leave, Training, Laptop, Mobile, Travel Opportunities, Transportation</t>
        </is>
      </c>
      <c r="N1574" s="11">
        <f>HYPERLINK("https://www.vietnamworks.com/technical-sales-engineer-hanoi-2012513-jv","Xem chi tiết")</f>
        <v/>
      </c>
      <c r="O1574" s="10" t="n"/>
    </row>
    <row r="1575">
      <c r="B1575" s="7" t="n">
        <v>1573</v>
      </c>
      <c r="C1575" t="inlineStr">
        <is>
          <t>Senior Communications Executive - Healthcare</t>
        </is>
      </c>
      <c r="D1575" t="inlineStr">
        <is>
          <t>CÔNG TY CỔ PHẦN UNIK XANH</t>
        </is>
      </c>
      <c r="E1575" t="inlineStr">
        <is>
          <t>Thương lượng</t>
        </is>
      </c>
      <c r="F1575" t="inlineStr">
        <is>
          <t>Hà Nội</t>
        </is>
      </c>
      <c r="G1575" t="inlineStr">
        <is>
          <t>Nhân viên</t>
        </is>
      </c>
      <c r="H1575" t="inlineStr">
        <is>
          <t>23/02/2026</t>
        </is>
      </c>
      <c r="I1575" t="inlineStr">
        <is>
          <t>25/03/2026</t>
        </is>
      </c>
      <c r="J1575" t="inlineStr">
        <is>
          <t>17/03/2026</t>
        </is>
      </c>
      <c r="K1575" t="inlineStr">
        <is>
          <t>N/A</t>
        </is>
      </c>
      <c r="L1575" t="inlineStr">
        <is>
          <t>Assistant, business analyst, Corporate Governance, Strategic Analysis</t>
        </is>
      </c>
      <c r="M1575" t="inlineStr">
        <is>
          <t>Bonus, Healthcare Plan, Training, Others</t>
        </is>
      </c>
      <c r="N1575" s="8">
        <f>HYPERLINK("https://www.vietnamworks.com/senior-communications-executive-healthcare-2012508-jv","Xem chi tiết")</f>
        <v/>
      </c>
    </row>
    <row r="1576">
      <c r="B1576" s="9" t="n">
        <v>1574</v>
      </c>
      <c r="C1576" s="10" t="inlineStr">
        <is>
          <t>Kỹ Sư HVAC - Lương Từ 12 - 25 Triệu</t>
        </is>
      </c>
      <c r="D1576" s="10" t="inlineStr">
        <is>
          <t>Công Ty Cổ Phần Cơ Điện Benzen Việt Nam</t>
        </is>
      </c>
      <c r="E1576" s="10" t="inlineStr">
        <is>
          <t>12tr-25tr ₫/tháng</t>
        </is>
      </c>
      <c r="F1576" s="10" t="inlineStr">
        <is>
          <t>Hà Nội</t>
        </is>
      </c>
      <c r="G1576" s="10" t="inlineStr">
        <is>
          <t>Nhân viên</t>
        </is>
      </c>
      <c r="H1576" s="10" t="inlineStr">
        <is>
          <t>23/02/2026</t>
        </is>
      </c>
      <c r="I1576" s="10" t="inlineStr">
        <is>
          <t>25/03/2026</t>
        </is>
      </c>
      <c r="J1576" s="10" t="inlineStr">
        <is>
          <t>17/03/2026</t>
        </is>
      </c>
      <c r="K1576" s="10" t="inlineStr">
        <is>
          <t>N/A</t>
        </is>
      </c>
      <c r="L1576" s="10" t="inlineStr">
        <is>
          <t>AutoCAD, HVAC, Nhiệt Lạnh, MS Excel, Điều Hòa Thông Gió</t>
        </is>
      </c>
      <c r="M1576" s="10" t="inlineStr">
        <is>
          <t>Bonus, Healthcare Plan, Training, Others</t>
        </is>
      </c>
      <c r="N1576" s="11">
        <f>HYPERLINK("https://www.vietnamworks.com/ky-su-hvac-luong-tu-12-25-trieu-2012526-jv","Xem chi tiết")</f>
        <v/>
      </c>
      <c r="O1576" s="10" t="n"/>
    </row>
    <row r="1577">
      <c r="B1577" s="7" t="n">
        <v>1575</v>
      </c>
      <c r="C1577" t="inlineStr">
        <is>
          <t>Kế Toán Nội Bộ - Hành Chính Văn Phòng</t>
        </is>
      </c>
      <c r="D1577" t="inlineStr">
        <is>
          <t>CÔNG TY CỔ PHẦN TẦM NHÌN MỸ THUẬT ĐÔNG DƯƠNG</t>
        </is>
      </c>
      <c r="E1577" t="inlineStr">
        <is>
          <t>11tr-13tr ₫/tháng</t>
        </is>
      </c>
      <c r="F1577" t="inlineStr">
        <is>
          <t>Hà Nội</t>
        </is>
      </c>
      <c r="G1577" t="inlineStr">
        <is>
          <t>Mới Tốt Nghiệp</t>
        </is>
      </c>
      <c r="H1577" t="inlineStr">
        <is>
          <t>23/02/2026</t>
        </is>
      </c>
      <c r="I1577" t="inlineStr">
        <is>
          <t>25/03/2026</t>
        </is>
      </c>
      <c r="J1577" t="inlineStr">
        <is>
          <t>17/03/2026</t>
        </is>
      </c>
      <c r="K1577" t="inlineStr">
        <is>
          <t>N/A</t>
        </is>
      </c>
      <c r="L1577" t="inlineStr">
        <is>
          <t>Hành Chính, Kế Toán Nội Bộ, Tài Chính, Báo Cáo Tài Chính, Kế toán</t>
        </is>
      </c>
      <c r="M1577" t="inlineStr">
        <is>
          <t>Bonus, Healthcare Plan, Others</t>
        </is>
      </c>
      <c r="N1577" s="8">
        <f>HYPERLINK("https://www.vietnamworks.com/ke-toan-noi-bo-hanh-chinh-van-phong-2012504-jv","Xem chi tiết")</f>
        <v/>
      </c>
    </row>
    <row r="1578">
      <c r="B1578" s="9" t="n">
        <v>1576</v>
      </c>
      <c r="C1578" s="10" t="inlineStr">
        <is>
          <t>Social &amp; Community Executive</t>
        </is>
      </c>
      <c r="D1578" s="10" t="inlineStr">
        <is>
          <t>Slimcase</t>
        </is>
      </c>
      <c r="E1578" s="10" t="inlineStr">
        <is>
          <t>$$ 380-550 /tháng</t>
        </is>
      </c>
      <c r="F1578" s="10" t="inlineStr">
        <is>
          <t>Hồ Chí Minh</t>
        </is>
      </c>
      <c r="G1578" s="10" t="inlineStr">
        <is>
          <t>Nhân viên</t>
        </is>
      </c>
      <c r="H1578" s="10" t="inlineStr">
        <is>
          <t>23/02/2026</t>
        </is>
      </c>
      <c r="I1578" s="10" t="inlineStr">
        <is>
          <t>25/03/2026</t>
        </is>
      </c>
      <c r="J1578" s="10" t="inlineStr">
        <is>
          <t>17/03/2026</t>
        </is>
      </c>
      <c r="K1578" s="10" t="inlineStr">
        <is>
          <t>N/A</t>
        </is>
      </c>
      <c r="L1578" s="10" t="inlineStr">
        <is>
          <t>Marketing, Social Commerce, Communications, Digital Marketing, Advertising Media</t>
        </is>
      </c>
      <c r="M1578" s="10" t="inlineStr">
        <is>
          <t>Bonus, Healthcare Plan, Team Activities</t>
        </is>
      </c>
      <c r="N1578" s="11">
        <f>HYPERLINK("https://www.vietnamworks.com/social-community-executive--2012521-jv","Xem chi tiết")</f>
        <v/>
      </c>
      <c r="O1578" s="10" t="n"/>
    </row>
    <row r="1579">
      <c r="B1579" s="7" t="n">
        <v>1577</v>
      </c>
      <c r="C1579" t="inlineStr">
        <is>
          <t>Lab Team Leader</t>
        </is>
      </c>
      <c r="D1579" t="inlineStr">
        <is>
          <t>VIETNAM HOUSEWARES CORP</t>
        </is>
      </c>
      <c r="E1579" t="inlineStr">
        <is>
          <t>Thương lượng</t>
        </is>
      </c>
      <c r="F1579" t="inlineStr">
        <is>
          <t>Bình Dương</t>
        </is>
      </c>
      <c r="G1579" t="inlineStr">
        <is>
          <t>Nhân viên</t>
        </is>
      </c>
      <c r="H1579" t="inlineStr">
        <is>
          <t>23/02/2026</t>
        </is>
      </c>
      <c r="I1579" t="inlineStr">
        <is>
          <t>25/03/2026</t>
        </is>
      </c>
      <c r="J1579" t="inlineStr">
        <is>
          <t>17/03/2026</t>
        </is>
      </c>
      <c r="K1579" t="inlineStr">
        <is>
          <t>N/A</t>
        </is>
      </c>
      <c r="L1579" t="inlineStr">
        <is>
          <t>Consumer Product Testing, Quality Control, Equipment Maintenance, Solution Oriented, Wood Products</t>
        </is>
      </c>
      <c r="M1579" t="inlineStr">
        <is>
          <t>Awards</t>
        </is>
      </c>
      <c r="N1579" s="8">
        <f>HYPERLINK("https://www.vietnamworks.com/lab-team-leader-2012517-jv","Xem chi tiết")</f>
        <v/>
      </c>
    </row>
    <row r="1580">
      <c r="B1580" s="9" t="n">
        <v>1578</v>
      </c>
      <c r="C1580" s="10" t="inlineStr">
        <is>
          <t>Chuyên Viên Quản Lý Dự Án</t>
        </is>
      </c>
      <c r="D1580" s="10" t="inlineStr">
        <is>
          <t>Công ty cổ phần Tập đoàn OSB</t>
        </is>
      </c>
      <c r="E1580" s="10" t="inlineStr">
        <is>
          <t>Thương lượng</t>
        </is>
      </c>
      <c r="F1580" s="10" t="inlineStr">
        <is>
          <t>Hà Nội, Bà Rịa - Vũng Tàu, Hồ Chí Minh</t>
        </is>
      </c>
      <c r="G1580" s="10" t="inlineStr">
        <is>
          <t>Nhân viên</t>
        </is>
      </c>
      <c r="H1580" s="10" t="inlineStr">
        <is>
          <t>23/02/2026</t>
        </is>
      </c>
      <c r="I1580" s="10" t="inlineStr">
        <is>
          <t>25/03/2026</t>
        </is>
      </c>
      <c r="J1580" s="10" t="inlineStr">
        <is>
          <t>17/03/2026</t>
        </is>
      </c>
      <c r="K1580" s="10" t="inlineStr">
        <is>
          <t>N/A</t>
        </is>
      </c>
      <c r="L1580" s="10" t="inlineStr">
        <is>
          <t>Quản Lý Dự Án, Quản Lý Dự Án Viễn Thông, Chăm Sóc Khách Hàng, Hỗ Trợ Kinh Doanh, Làm Hồ Sơ Thầu</t>
        </is>
      </c>
      <c r="M1580" s="10" t="inlineStr">
        <is>
          <t>Bonus, Training, Others</t>
        </is>
      </c>
      <c r="N1580" s="11">
        <f>HYPERLINK("https://www.vietnamworks.com/chuyen-vien-quan-ly-du-an--2012524-jv","Xem chi tiết")</f>
        <v/>
      </c>
      <c r="O1580" s="10" t="n"/>
    </row>
    <row r="1581">
      <c r="B1581" s="7" t="n">
        <v>1579</v>
      </c>
      <c r="C1581" t="inlineStr">
        <is>
          <t>Chief Accountant</t>
        </is>
      </c>
      <c r="D1581" t="inlineStr">
        <is>
          <t>Công Ty TNHH Con Đường Giáo Dục (EduPath)</t>
        </is>
      </c>
      <c r="E1581" t="inlineStr">
        <is>
          <t>Thương lượng</t>
        </is>
      </c>
      <c r="F1581" t="inlineStr">
        <is>
          <t>Hồ Chí Minh</t>
        </is>
      </c>
      <c r="G1581" t="inlineStr">
        <is>
          <t>Nhân viên</t>
        </is>
      </c>
      <c r="H1581" t="inlineStr">
        <is>
          <t>23/02/2026</t>
        </is>
      </c>
      <c r="I1581" t="inlineStr">
        <is>
          <t>25/03/2026</t>
        </is>
      </c>
      <c r="J1581" t="inlineStr">
        <is>
          <t>17/03/2026</t>
        </is>
      </c>
      <c r="K1581" t="inlineStr">
        <is>
          <t>N/A</t>
        </is>
      </c>
      <c r="L1581" t="inlineStr">
        <is>
          <t>Kế Toán Tài Chính, Chief Accountant Certificate, Báo Cáo Tài Chính, Phân Tích Doanh Thu, Báo Cáo Thuế</t>
        </is>
      </c>
      <c r="M1581" t="inlineStr">
        <is>
          <t>Bonus, Healthcare Plan, Laptop</t>
        </is>
      </c>
      <c r="N1581" s="8">
        <f>HYPERLINK("https://www.vietnamworks.com/chief-accountant--2012510-jv","Xem chi tiết")</f>
        <v/>
      </c>
    </row>
    <row r="1582">
      <c r="B1582" s="9" t="n">
        <v>1580</v>
      </c>
      <c r="C1582" s="10" t="inlineStr">
        <is>
          <t>Content Creator / MC Host</t>
        </is>
      </c>
      <c r="D1582" s="10" t="inlineStr">
        <is>
          <t>Công ty TNHH Nha Khoa Greenfield</t>
        </is>
      </c>
      <c r="E1582" s="10" t="inlineStr">
        <is>
          <t>Thương lượng</t>
        </is>
      </c>
      <c r="F1582" s="10" t="inlineStr">
        <is>
          <t>Hà Nội</t>
        </is>
      </c>
      <c r="G1582" s="10" t="inlineStr">
        <is>
          <t>Nhân viên</t>
        </is>
      </c>
      <c r="H1582" s="10" t="inlineStr">
        <is>
          <t>23/02/2026</t>
        </is>
      </c>
      <c r="I1582" s="10" t="inlineStr">
        <is>
          <t>25/03/2026</t>
        </is>
      </c>
      <c r="J1582" s="10" t="inlineStr">
        <is>
          <t>17/03/2026</t>
        </is>
      </c>
      <c r="K1582" s="10" t="inlineStr">
        <is>
          <t>N/A</t>
        </is>
      </c>
      <c r="L1582" s="10" t="inlineStr">
        <is>
          <t>Content Creation, Social Media Management, Video Production, Confidence On Camera, English</t>
        </is>
      </c>
      <c r="M1582" s="10" t="inlineStr">
        <is>
          <t>Bonus, Training, Others</t>
        </is>
      </c>
      <c r="N1582" s="11">
        <f>HYPERLINK("https://www.vietnamworks.com/content-creator-mc-host-2012543-jv","Xem chi tiết")</f>
        <v/>
      </c>
      <c r="O1582" s="10" t="n"/>
    </row>
    <row r="1583">
      <c r="B1583" s="7" t="n">
        <v>1581</v>
      </c>
      <c r="C1583" t="inlineStr">
        <is>
          <t>Education Counsellor (Chuyên Viên Tư Vấn Du Học)</t>
        </is>
      </c>
      <c r="D1583" t="inlineStr">
        <is>
          <t>Acecelent Vietnam Education and Migration Company Limited</t>
        </is>
      </c>
      <c r="E1583" t="inlineStr">
        <is>
          <t>15tr-30tr ₫/tháng</t>
        </is>
      </c>
      <c r="F1583" t="inlineStr">
        <is>
          <t>Hà Nội</t>
        </is>
      </c>
      <c r="G1583" t="inlineStr">
        <is>
          <t>Nhân viên</t>
        </is>
      </c>
      <c r="H1583" t="inlineStr">
        <is>
          <t>23/02/2026</t>
        </is>
      </c>
      <c r="I1583" t="inlineStr">
        <is>
          <t>25/03/2026</t>
        </is>
      </c>
      <c r="J1583" t="inlineStr">
        <is>
          <t>17/03/2026</t>
        </is>
      </c>
      <c r="K1583" t="inlineStr">
        <is>
          <t>N/A</t>
        </is>
      </c>
      <c r="L1583" t="inlineStr">
        <is>
          <t>Tư Vấn Du Học, Tư Vấn Tuyển Sinh, Education, Customer-Focus Mindset, Persuasion</t>
        </is>
      </c>
      <c r="M1583" t="inlineStr">
        <is>
          <t>Bonus, Healthcare Plan, Training, Team Activities, Others</t>
        </is>
      </c>
      <c r="N1583" s="8">
        <f>HYPERLINK("https://www.vietnamworks.com/education-counsellor-chuyen-vien-tu-van-du-hoc-2012538-jv","Xem chi tiết")</f>
        <v/>
      </c>
    </row>
    <row r="1584">
      <c r="B1584" s="9" t="n">
        <v>1582</v>
      </c>
      <c r="C1584" s="10" t="inlineStr">
        <is>
          <t>Nhân Viên Thủ Kho - Phỏng Vấn Đi Làm Luôn</t>
        </is>
      </c>
      <c r="D1584" s="10" t="inlineStr">
        <is>
          <t>Công Ty Cổ Phần Chế Tạo Và Lắp Ráp Thiết Bị Điện Việt Nam</t>
        </is>
      </c>
      <c r="E1584" s="10" t="inlineStr">
        <is>
          <t>Từ 9tr ₫/tháng</t>
        </is>
      </c>
      <c r="F1584" s="10" t="inlineStr">
        <is>
          <t>Hà Nội</t>
        </is>
      </c>
      <c r="G1584" s="10" t="inlineStr">
        <is>
          <t>Nhân viên</t>
        </is>
      </c>
      <c r="H1584" s="10" t="inlineStr">
        <is>
          <t>23/02/2026</t>
        </is>
      </c>
      <c r="I1584" s="10" t="inlineStr">
        <is>
          <t>25/03/2026</t>
        </is>
      </c>
      <c r="J1584" s="10" t="inlineStr">
        <is>
          <t>17/03/2026</t>
        </is>
      </c>
      <c r="K1584" s="10" t="inlineStr">
        <is>
          <t>N/A</t>
        </is>
      </c>
      <c r="L1584" s="10" t="inlineStr">
        <is>
          <t>Quản Lý Kho, Kiểm Tra Chứng Từ, Theo Dõi Đơn Hàng, Xếp Dỡ Hàng Hóa, thủ kho</t>
        </is>
      </c>
      <c r="M1584" s="10" t="inlineStr">
        <is>
          <t>Bonus, Healthcare Plan, Travel Opportunities, Transportation, Others</t>
        </is>
      </c>
      <c r="N1584" s="11">
        <f>HYPERLINK("https://www.vietnamworks.com/nhan-vien-thu-kho-phong-van-di-lam-luon-2012555-jv","Xem chi tiết")</f>
        <v/>
      </c>
      <c r="O1584" s="10" t="n"/>
    </row>
    <row r="1585">
      <c r="B1585" s="7" t="n">
        <v>1583</v>
      </c>
      <c r="C1585" t="inlineStr">
        <is>
          <t>Nhân Viên Xử Lý Hồ Sơ Visa Du Lịch</t>
        </is>
      </c>
      <c r="D1585" t="inlineStr">
        <is>
          <t>CÔNG TY TNHH VISAS4U</t>
        </is>
      </c>
      <c r="E1585" t="inlineStr">
        <is>
          <t>8tr-15tr ₫/tháng</t>
        </is>
      </c>
      <c r="F1585" t="inlineStr">
        <is>
          <t>Hồ Chí Minh</t>
        </is>
      </c>
      <c r="G1585" t="inlineStr">
        <is>
          <t>Nhân viên</t>
        </is>
      </c>
      <c r="H1585" t="inlineStr">
        <is>
          <t>23/02/2026</t>
        </is>
      </c>
      <c r="I1585" t="inlineStr">
        <is>
          <t>25/03/2026</t>
        </is>
      </c>
      <c r="J1585" t="inlineStr">
        <is>
          <t>17/03/2026</t>
        </is>
      </c>
      <c r="K1585" t="inlineStr">
        <is>
          <t>N/A</t>
        </is>
      </c>
      <c r="L1585" t="inlineStr">
        <is>
          <t>Xử Lý Hồ Sơ, Chính Sách Visa, Giải Đáp Thắc Mắc, Tiếng Anh, Tin Học Văn Phòng</t>
        </is>
      </c>
      <c r="M1585" t="inlineStr">
        <is>
          <t>Bonus, Healthcare Plan, Paid Leave, Training, Team Activities, Others</t>
        </is>
      </c>
      <c r="N1585" s="8">
        <f>HYPERLINK("https://www.vietnamworks.com/nhan-vien-xu-ly-ho-so-visa-du-lich-2012536-jv","Xem chi tiết")</f>
        <v/>
      </c>
    </row>
    <row r="1586">
      <c r="B1586" s="9" t="n">
        <v>1584</v>
      </c>
      <c r="C1586" s="10" t="inlineStr">
        <is>
          <t>Quản Lý Chất Lượng</t>
        </is>
      </c>
      <c r="D1586" s="10" t="inlineStr">
        <is>
          <t>Công Ty TNHH Prominent ( Việt Nam ) / Itochu Group</t>
        </is>
      </c>
      <c r="E1586" s="10" t="inlineStr">
        <is>
          <t>Thương lượng</t>
        </is>
      </c>
      <c r="F1586" s="10" t="inlineStr">
        <is>
          <t>Bến Tre</t>
        </is>
      </c>
      <c r="G1586" s="10" t="inlineStr">
        <is>
          <t>Nhân viên</t>
        </is>
      </c>
      <c r="H1586" s="10" t="inlineStr">
        <is>
          <t>23/02/2026</t>
        </is>
      </c>
      <c r="I1586" s="10" t="inlineStr">
        <is>
          <t>25/03/2026</t>
        </is>
      </c>
      <c r="J1586" s="10" t="inlineStr">
        <is>
          <t>17/03/2026</t>
        </is>
      </c>
      <c r="K1586" s="10" t="inlineStr">
        <is>
          <t>N/A</t>
        </is>
      </c>
      <c r="L1586" s="10" t="inlineStr">
        <is>
          <t>May Mặc Thời Trang, Kiểm Soát Chất Lượng, Qc, Sản xuất may mặc, Tiếng Trung</t>
        </is>
      </c>
      <c r="M1586" s="10" t="inlineStr">
        <is>
          <t>Bonus, Healthcare Plan, Team Activities</t>
        </is>
      </c>
      <c r="N1586" s="11">
        <f>HYPERLINK("https://www.vietnamworks.com/quan-ly-chat-luong--2012537-jv","Xem chi tiết")</f>
        <v/>
      </c>
      <c r="O1586" s="10" t="n"/>
    </row>
    <row r="1587">
      <c r="B1587" s="7" t="n">
        <v>1585</v>
      </c>
      <c r="C1587" t="inlineStr">
        <is>
          <t>Area Sales Manager</t>
        </is>
      </c>
      <c r="D1587" t="inlineStr">
        <is>
          <t>Công ty CP Điện tử Viễn thông Bắc Á</t>
        </is>
      </c>
      <c r="E1587" t="inlineStr">
        <is>
          <t>30tr-70tr ₫/tháng</t>
        </is>
      </c>
      <c r="F1587" t="inlineStr">
        <is>
          <t>Hà Nội</t>
        </is>
      </c>
      <c r="G1587" t="inlineStr">
        <is>
          <t>Nhân viên</t>
        </is>
      </c>
      <c r="H1587" t="inlineStr">
        <is>
          <t>23/02/2026</t>
        </is>
      </c>
      <c r="I1587" t="inlineStr">
        <is>
          <t>25/03/2026</t>
        </is>
      </c>
      <c r="J1587" t="inlineStr">
        <is>
          <t>17/03/2026</t>
        </is>
      </c>
      <c r="K1587" t="inlineStr">
        <is>
          <t>N/A</t>
        </is>
      </c>
      <c r="L1587" t="inlineStr">
        <is>
          <t>Kỹ năng lập kế hoạch, Kỹ năng giao tiêp, Kỹ năng đàm phán, Kế Toán Phân Tích, kỹ năng tuyển dụng</t>
        </is>
      </c>
      <c r="M1587" t="inlineStr">
        <is>
          <t>Bonus, Healthcare Plan, Travel Opportunities, Others</t>
        </is>
      </c>
      <c r="N1587" s="8">
        <f>HYPERLINK("https://www.vietnamworks.com/area-sales-manager-2012552-jv","Xem chi tiết")</f>
        <v/>
      </c>
    </row>
    <row r="1588">
      <c r="B1588" s="9" t="n">
        <v>1586</v>
      </c>
      <c r="C1588" s="10" t="inlineStr">
        <is>
          <t>Senior Data Analyst</t>
        </is>
      </c>
      <c r="D1588" s="10" t="inlineStr">
        <is>
          <t>Công ty Cổ phần Tập đoàn Golden Gate</t>
        </is>
      </c>
      <c r="E1588" s="10" t="inlineStr">
        <is>
          <t>Thương lượng</t>
        </is>
      </c>
      <c r="F1588" s="10" t="inlineStr">
        <is>
          <t>Hồ Chí Minh</t>
        </is>
      </c>
      <c r="G1588" s="10" t="inlineStr">
        <is>
          <t>Nhân viên</t>
        </is>
      </c>
      <c r="H1588" s="10" t="inlineStr">
        <is>
          <t>23/02/2026</t>
        </is>
      </c>
      <c r="I1588" s="10" t="inlineStr">
        <is>
          <t>25/03/2026</t>
        </is>
      </c>
      <c r="J1588" s="10" t="inlineStr">
        <is>
          <t>17/03/2026</t>
        </is>
      </c>
      <c r="K1588" s="10" t="inlineStr">
        <is>
          <t>N/A</t>
        </is>
      </c>
      <c r="L1588" s="10" t="inlineStr">
        <is>
          <t>Analytical Skills, Excel, Power BI, Python, SQL</t>
        </is>
      </c>
      <c r="M1588" s="10" t="inlineStr">
        <is>
          <t>Bonus</t>
        </is>
      </c>
      <c r="N1588" s="11">
        <f>HYPERLINK("https://www.vietnamworks.com/senior-data-analyst-2012550-jv","Xem chi tiết")</f>
        <v/>
      </c>
      <c r="O1588" s="10" t="n"/>
    </row>
    <row r="1589">
      <c r="B1589" s="7" t="n">
        <v>1587</v>
      </c>
      <c r="C1589" t="inlineStr">
        <is>
          <t>Product Operation Executive</t>
        </is>
      </c>
      <c r="D1589" t="inlineStr">
        <is>
          <t>Shinhan Vietnam Finance Company Limited</t>
        </is>
      </c>
      <c r="E1589" t="inlineStr">
        <is>
          <t>Thương lượng</t>
        </is>
      </c>
      <c r="F1589" t="inlineStr">
        <is>
          <t>Hồ Chí Minh</t>
        </is>
      </c>
      <c r="G1589" t="inlineStr">
        <is>
          <t>Nhân viên</t>
        </is>
      </c>
      <c r="H1589" t="inlineStr">
        <is>
          <t>23/02/2026</t>
        </is>
      </c>
      <c r="I1589" t="inlineStr">
        <is>
          <t>25/03/2026</t>
        </is>
      </c>
      <c r="J1589" t="inlineStr">
        <is>
          <t>17/03/2026</t>
        </is>
      </c>
      <c r="K1589" t="inlineStr">
        <is>
          <t>N/A</t>
        </is>
      </c>
      <c r="L1589" t="inlineStr">
        <is>
          <t>Collaboration, Operation System, Presentation Skills, Problem Solving, Project Management</t>
        </is>
      </c>
      <c r="M1589" t="inlineStr">
        <is>
          <t>Bonus, Healthcare Plan, Paid Leave, Library, Travel Opportunities, Canteen</t>
        </is>
      </c>
      <c r="N1589" s="8">
        <f>HYPERLINK("https://www.vietnamworks.com/product-operation-executive-2012534-jv","Xem chi tiết")</f>
        <v/>
      </c>
    </row>
    <row r="1590">
      <c r="B1590" s="9" t="n">
        <v>1588</v>
      </c>
      <c r="C1590" s="10" t="inlineStr">
        <is>
          <t>Marketing Executive - Chuyên Viên Marketing (Education)</t>
        </is>
      </c>
      <c r="D1590" s="10" t="inlineStr">
        <is>
          <t>Đức Anh Educonnect</t>
        </is>
      </c>
      <c r="E1590" s="10" t="inlineStr">
        <is>
          <t>Thương lượng</t>
        </is>
      </c>
      <c r="F1590" s="10" t="inlineStr">
        <is>
          <t>Hồ Chí Minh, Hà Nội</t>
        </is>
      </c>
      <c r="G1590" s="10" t="inlineStr">
        <is>
          <t>Nhân viên</t>
        </is>
      </c>
      <c r="H1590" s="10" t="inlineStr">
        <is>
          <t>23/02/2026</t>
        </is>
      </c>
      <c r="I1590" s="10" t="inlineStr">
        <is>
          <t>25/03/2026</t>
        </is>
      </c>
      <c r="J1590" s="10" t="inlineStr">
        <is>
          <t>17/03/2026</t>
        </is>
      </c>
      <c r="K1590" s="10" t="inlineStr">
        <is>
          <t>N/A</t>
        </is>
      </c>
      <c r="L1590" s="10" t="inlineStr">
        <is>
          <t>Marketing, Education, SEO Content Writing, Strategic Marketing Management</t>
        </is>
      </c>
      <c r="M1590" s="10" t="inlineStr">
        <is>
          <t>Bonus, Healthcare Plan, Travel Opportunities</t>
        </is>
      </c>
      <c r="N1590" s="11">
        <f>HYPERLINK("https://www.vietnamworks.com/marketing-executive-chuyen-vien-marketing-education--2012564-jv","Xem chi tiết")</f>
        <v/>
      </c>
      <c r="O1590" s="10" t="n"/>
    </row>
    <row r="1591">
      <c r="B1591" s="7" t="n">
        <v>1589</v>
      </c>
      <c r="C1591" t="inlineStr">
        <is>
          <t>Merchandiser (1-10 Years Experience in Garment Industry)</t>
        </is>
      </c>
      <c r="D1591" t="inlineStr">
        <is>
          <t>CÔNG TY TNHH FEV ETERNO (VIETNAM)</t>
        </is>
      </c>
      <c r="E1591" t="inlineStr">
        <is>
          <t>Thương lượng</t>
        </is>
      </c>
      <c r="F1591" t="inlineStr">
        <is>
          <t>Hà Nội</t>
        </is>
      </c>
      <c r="G1591" t="inlineStr">
        <is>
          <t>Nhân viên</t>
        </is>
      </c>
      <c r="H1591" t="inlineStr">
        <is>
          <t>23/02/2026</t>
        </is>
      </c>
      <c r="I1591" t="inlineStr">
        <is>
          <t>25/03/2026</t>
        </is>
      </c>
      <c r="J1591" t="inlineStr">
        <is>
          <t>17/03/2026</t>
        </is>
      </c>
      <c r="K1591" t="inlineStr">
        <is>
          <t>N/A</t>
        </is>
      </c>
      <c r="L1591" t="inlineStr">
        <is>
          <t>Merchandising, Material Sourcing, English, Garment Industry Experience, Sample Development</t>
        </is>
      </c>
      <c r="M1591" t="inlineStr">
        <is>
          <t>Bonus, Healthcare Plan, Paid Leave</t>
        </is>
      </c>
      <c r="N1591" s="8">
        <f>HYPERLINK("https://www.vietnamworks.com/merchandiser-1-10-years-experience-in-garment-industry-2012541-jv","Xem chi tiết")</f>
        <v/>
      </c>
    </row>
    <row r="1592">
      <c r="B1592" s="9" t="n">
        <v>1590</v>
      </c>
      <c r="C1592" s="10" t="inlineStr">
        <is>
          <t>Inbound Tour Sales – Income: 15–25 Million Vnd/month (No Experience required – Training Provided)</t>
        </is>
      </c>
      <c r="D1592" s="10" t="inlineStr">
        <is>
          <t>Asia Authentic Travel Co.,Ltd</t>
        </is>
      </c>
      <c r="E1592" s="10" t="inlineStr">
        <is>
          <t>15tr-25tr ₫/tháng</t>
        </is>
      </c>
      <c r="F1592" s="10" t="inlineStr">
        <is>
          <t>Hà Nội</t>
        </is>
      </c>
      <c r="G1592" s="10" t="inlineStr">
        <is>
          <t>Nhân viên</t>
        </is>
      </c>
      <c r="H1592" s="10" t="inlineStr">
        <is>
          <t>23/02/2026</t>
        </is>
      </c>
      <c r="I1592" s="10" t="inlineStr">
        <is>
          <t>25/03/2026</t>
        </is>
      </c>
      <c r="J1592" s="10" t="inlineStr">
        <is>
          <t>17/03/2026</t>
        </is>
      </c>
      <c r="K1592" s="10" t="inlineStr">
        <is>
          <t>N/A</t>
        </is>
      </c>
      <c r="L1592" s="10" t="inlineStr">
        <is>
          <t>Inbound Sales, Inbound Tour, Relationship Management, B2B Sales, Travel Consulting</t>
        </is>
      </c>
      <c r="M1592" s="10" t="inlineStr">
        <is>
          <t>Bonus, Healthcare Plan, Others</t>
        </is>
      </c>
      <c r="N1592" s="11">
        <f>HYPERLINK("https://www.vietnamworks.com/inbound-tour-sales-income-15-25-million-vnd-month-no-experience-required-training-provided-2012553-jv","Xem chi tiết")</f>
        <v/>
      </c>
      <c r="O1592" s="10" t="n"/>
    </row>
    <row r="1593">
      <c r="B1593" s="7" t="n">
        <v>1591</v>
      </c>
      <c r="C1593" t="inlineStr">
        <is>
          <t>Vận Hành Sàn Thương Mại Điện Tử (Shopee &amp; Tiktok &amp; Lazada)</t>
        </is>
      </c>
      <c r="D1593" t="inlineStr">
        <is>
          <t>Công Ty TNHH IMU</t>
        </is>
      </c>
      <c r="E1593" t="inlineStr">
        <is>
          <t>20tr-25tr ₫/tháng</t>
        </is>
      </c>
      <c r="F1593" t="inlineStr">
        <is>
          <t>Hồ Chí Minh</t>
        </is>
      </c>
      <c r="G1593" t="inlineStr">
        <is>
          <t>Nhân viên</t>
        </is>
      </c>
      <c r="H1593" t="inlineStr">
        <is>
          <t>23/02/2026</t>
        </is>
      </c>
      <c r="I1593" t="inlineStr">
        <is>
          <t>25/03/2026</t>
        </is>
      </c>
      <c r="J1593" t="inlineStr">
        <is>
          <t>17/03/2026</t>
        </is>
      </c>
      <c r="K1593" t="inlineStr">
        <is>
          <t>N/A</t>
        </is>
      </c>
      <c r="L1593" t="inlineStr">
        <is>
          <t>E-commerce, Performance Marketing, Tiktok Ads</t>
        </is>
      </c>
      <c r="M1593" t="inlineStr">
        <is>
          <t>Bonus, Others</t>
        </is>
      </c>
      <c r="N1593" s="8">
        <f>HYPERLINK("https://www.vietnamworks.com/van-hanh-san-thuong-mai-djien-tu-shopee-and-tiktok-and-lazada-2012565-jv","Xem chi tiết")</f>
        <v/>
      </c>
    </row>
    <row r="1594">
      <c r="B1594" s="9" t="n">
        <v>1592</v>
      </c>
      <c r="C1594" s="10" t="inlineStr">
        <is>
          <t>Communications Coordinator</t>
        </is>
      </c>
      <c r="D1594" s="10" t="inlineStr">
        <is>
          <t>Công Ty Cổ Phần Anne Hill</t>
        </is>
      </c>
      <c r="E1594" s="10" t="inlineStr">
        <is>
          <t>Thương lượng</t>
        </is>
      </c>
      <c r="F1594" s="10" t="inlineStr">
        <is>
          <t>Hồ Chí Minh</t>
        </is>
      </c>
      <c r="G1594" s="10" t="inlineStr">
        <is>
          <t>Nhân viên</t>
        </is>
      </c>
      <c r="H1594" s="10" t="inlineStr">
        <is>
          <t>23/02/2026</t>
        </is>
      </c>
      <c r="I1594" s="10" t="inlineStr">
        <is>
          <t>25/03/2026</t>
        </is>
      </c>
      <c r="J1594" s="10" t="inlineStr">
        <is>
          <t>17/03/2026</t>
        </is>
      </c>
      <c r="K1594" s="10" t="inlineStr">
        <is>
          <t>N/A</t>
        </is>
      </c>
      <c r="L1594" s="10" t="inlineStr">
        <is>
          <t>Communication</t>
        </is>
      </c>
      <c r="M1594" s="10" t="inlineStr">
        <is>
          <t>Healthcare Plan, Paid Leave, Training</t>
        </is>
      </c>
      <c r="N1594" s="11">
        <f>HYPERLINK("https://www.vietnamworks.com/communications-coordinator--2012558-jv","Xem chi tiết")</f>
        <v/>
      </c>
      <c r="O1594" s="10" t="n"/>
    </row>
    <row r="1595">
      <c r="B1595" s="7" t="n">
        <v>1593</v>
      </c>
      <c r="C1595" t="inlineStr">
        <is>
          <t>Chuyên Viên Kỹ Thuật Tàu Biển</t>
        </is>
      </c>
      <c r="D1595" t="inlineStr">
        <is>
          <t>Công Ty Cổ Phần TM&amp;XNK Vật Tư Giao Thông</t>
        </is>
      </c>
      <c r="E1595" t="inlineStr">
        <is>
          <t>Thương lượng</t>
        </is>
      </c>
      <c r="F1595" t="inlineStr">
        <is>
          <t>Hà Nội, Hải Phòng</t>
        </is>
      </c>
      <c r="G1595" t="inlineStr">
        <is>
          <t>Nhân viên</t>
        </is>
      </c>
      <c r="H1595" t="inlineStr">
        <is>
          <t>23/02/2026</t>
        </is>
      </c>
      <c r="I1595" t="inlineStr">
        <is>
          <t>25/03/2026</t>
        </is>
      </c>
      <c r="J1595" t="inlineStr">
        <is>
          <t>17/03/2026</t>
        </is>
      </c>
      <c r="K1595" t="inlineStr">
        <is>
          <t>N/A</t>
        </is>
      </c>
      <c r="L1595" t="inlineStr">
        <is>
          <t>Hàng Hải, Kỹ Thuật Tàu Biển, Động Cơ Tàu Biển, Thiết Kế Chế Tạo Máy, Sửa Chữa Tàu Thủy</t>
        </is>
      </c>
      <c r="M1595" t="inlineStr">
        <is>
          <t>Healthcare Plan, Training, Travel Opportunities</t>
        </is>
      </c>
      <c r="N1595" s="8">
        <f>HYPERLINK("https://www.vietnamworks.com/chuyen-vien-ky-thuat-tau-bien-2012539-jv","Xem chi tiết")</f>
        <v/>
      </c>
    </row>
    <row r="1596">
      <c r="B1596" s="9" t="n">
        <v>1594</v>
      </c>
      <c r="C1596" s="10" t="inlineStr">
        <is>
          <t>Nhân Viên Pháp Chế (Ưu Tiên Nam - Yêu cầu Tiếng Anh)</t>
        </is>
      </c>
      <c r="D1596" s="10" t="inlineStr">
        <is>
          <t>Công ty cổ phần Tập đoàn OSB</t>
        </is>
      </c>
      <c r="E1596" s="10" t="inlineStr">
        <is>
          <t>Thương lượng</t>
        </is>
      </c>
      <c r="F1596" s="10" t="inlineStr">
        <is>
          <t>Hà Nội</t>
        </is>
      </c>
      <c r="G1596" s="10" t="inlineStr">
        <is>
          <t>Nhân viên</t>
        </is>
      </c>
      <c r="H1596" s="10" t="inlineStr">
        <is>
          <t>23/02/2026</t>
        </is>
      </c>
      <c r="I1596" s="10" t="inlineStr">
        <is>
          <t>25/03/2026</t>
        </is>
      </c>
      <c r="J1596" s="10" t="inlineStr">
        <is>
          <t>17/03/2026</t>
        </is>
      </c>
      <c r="K1596" s="10" t="inlineStr">
        <is>
          <t>N/A</t>
        </is>
      </c>
      <c r="L1596" s="10" t="inlineStr">
        <is>
          <t>Giao Tiếp, Kiến Thức Pháp Lý, Soạn Thảo Hợp Đồng, Tin Học Văn Phòng, Đàm Phán</t>
        </is>
      </c>
      <c r="M1596" s="10" t="inlineStr">
        <is>
          <t>Bonus, Healthcare Plan, Training, Team Activities, Others</t>
        </is>
      </c>
      <c r="N1596" s="11">
        <f>HYPERLINK("https://www.vietnamworks.com/nhan-vien-phap-che-uu-tien-nam-yeu-cau-tieng-anh-2012540-jv","Xem chi tiết")</f>
        <v/>
      </c>
      <c r="O1596" s="10" t="n"/>
    </row>
    <row r="1597">
      <c r="B1597" s="7" t="n">
        <v>1595</v>
      </c>
      <c r="C1597" t="inlineStr">
        <is>
          <t>Giám Đốc Kinh Doanh B2B/ Sale Director B2B</t>
        </is>
      </c>
      <c r="D1597" t="inlineStr">
        <is>
          <t>Công Ty TNHH Thương Mại Rồng Phương Bắc</t>
        </is>
      </c>
      <c r="E1597" t="inlineStr">
        <is>
          <t>Thương lượng</t>
        </is>
      </c>
      <c r="F1597" t="inlineStr">
        <is>
          <t>Hà Nội</t>
        </is>
      </c>
      <c r="G1597" t="inlineStr">
        <is>
          <t>Giám Đốc và Cấp Cao Hơn</t>
        </is>
      </c>
      <c r="H1597" t="inlineStr">
        <is>
          <t>23/02/2026</t>
        </is>
      </c>
      <c r="I1597" t="inlineStr">
        <is>
          <t>25/03/2026</t>
        </is>
      </c>
      <c r="J1597" t="inlineStr">
        <is>
          <t>17/03/2026</t>
        </is>
      </c>
      <c r="K1597" t="inlineStr">
        <is>
          <t>N/A</t>
        </is>
      </c>
      <c r="L1597" t="inlineStr">
        <is>
          <t>Giao Tiếp, Kinh Tế, Lãnh Đạo, Marketing Development, Quản Trị Kinh Doanh</t>
        </is>
      </c>
      <c r="M1597" t="inlineStr">
        <is>
          <t>Bonus, Healthcare Plan, Paid Leave, Training, Team Activities, Vouchers, Others</t>
        </is>
      </c>
      <c r="N1597" s="8">
        <f>HYPERLINK("https://www.vietnamworks.com/giam-djoc-kinh-doanh-b2b-sale-director-b2b-2012557-jv","Xem chi tiết")</f>
        <v/>
      </c>
    </row>
    <row r="1598">
      <c r="B1598" s="9" t="n">
        <v>1596</v>
      </c>
      <c r="C1598" s="10" t="inlineStr">
        <is>
          <t xml:space="preserve">Export Document Staff - Nhân Viên Chứng Từ Hàng Xuất (Air/sea) </t>
        </is>
      </c>
      <c r="D1598" s="10" t="inlineStr">
        <is>
          <t>Oriental Logistics (Vietnam) CO., LTD</t>
        </is>
      </c>
      <c r="E1598" s="10" t="inlineStr">
        <is>
          <t>Thương lượng</t>
        </is>
      </c>
      <c r="F1598" s="10" t="inlineStr">
        <is>
          <t>Hồ Chí Minh</t>
        </is>
      </c>
      <c r="G1598" s="10" t="inlineStr">
        <is>
          <t>Nhân viên</t>
        </is>
      </c>
      <c r="H1598" s="10" t="inlineStr">
        <is>
          <t>23/02/2026</t>
        </is>
      </c>
      <c r="I1598" s="10" t="inlineStr">
        <is>
          <t>25/03/2026</t>
        </is>
      </c>
      <c r="J1598" s="10" t="inlineStr">
        <is>
          <t>17/03/2026</t>
        </is>
      </c>
      <c r="K1598" s="10" t="inlineStr">
        <is>
          <t>N/A</t>
        </is>
      </c>
      <c r="L1598" s="10" t="inlineStr">
        <is>
          <t>English, Export, Freight Forwarding, Import-Export, Logistics</t>
        </is>
      </c>
      <c r="M1598" s="10" t="inlineStr">
        <is>
          <t>Bonus, Travel Opportunities, Others</t>
        </is>
      </c>
      <c r="N1598" s="11">
        <f>HYPERLINK("https://www.vietnamworks.com/export-document-staff-nhan-vien-chung-tu-hang-xuat-airsea-2012551-jv","Xem chi tiết")</f>
        <v/>
      </c>
      <c r="O1598" s="10" t="n"/>
    </row>
    <row r="1599">
      <c r="B1599" s="7" t="n">
        <v>1597</v>
      </c>
      <c r="C1599" t="inlineStr">
        <is>
          <t>Ocean Freight Executive Work in Hanoi</t>
        </is>
      </c>
      <c r="D1599" t="inlineStr">
        <is>
          <t>EFL Global - Vietnam</t>
        </is>
      </c>
      <c r="E1599" t="inlineStr">
        <is>
          <t>Thương lượng</t>
        </is>
      </c>
      <c r="F1599" t="inlineStr">
        <is>
          <t>Hà Nội</t>
        </is>
      </c>
      <c r="G1599" t="inlineStr">
        <is>
          <t>Nhân viên</t>
        </is>
      </c>
      <c r="H1599" t="inlineStr">
        <is>
          <t>23/02/2026</t>
        </is>
      </c>
      <c r="I1599" t="inlineStr">
        <is>
          <t>25/03/2026</t>
        </is>
      </c>
      <c r="J1599" t="inlineStr">
        <is>
          <t>17/03/2026</t>
        </is>
      </c>
      <c r="K1599" t="inlineStr">
        <is>
          <t>N/A</t>
        </is>
      </c>
      <c r="L1599" t="inlineStr">
        <is>
          <t>Ocean Transportation, Interpersonal skills, Time Management, Analytical Skills, Problem-solving</t>
        </is>
      </c>
      <c r="M1599" t="inlineStr">
        <is>
          <t>Bonus, Training, Awards</t>
        </is>
      </c>
      <c r="N1599" s="8">
        <f>HYPERLINK("https://www.vietnamworks.com/ocean-freight-executive-work-in-hanoi-2012556-jv","Xem chi tiết")</f>
        <v/>
      </c>
    </row>
    <row r="1600">
      <c r="B1600" s="9" t="n">
        <v>1598</v>
      </c>
      <c r="C1600" s="10" t="inlineStr">
        <is>
          <t>Kỹ Thuật Bảo Dưỡng Khuôn Nhựa</t>
        </is>
      </c>
      <c r="D1600" s="10" t="inlineStr">
        <is>
          <t>Foster Electric (Bac Ninh) Co. Ltd</t>
        </is>
      </c>
      <c r="E1600" s="10" t="inlineStr">
        <is>
          <t>Thương lượng</t>
        </is>
      </c>
      <c r="F1600" s="10" t="inlineStr">
        <is>
          <t>Bắc Ninh</t>
        </is>
      </c>
      <c r="G1600" s="10" t="inlineStr">
        <is>
          <t>Nhân viên</t>
        </is>
      </c>
      <c r="H1600" s="10" t="inlineStr">
        <is>
          <t>23/02/2026</t>
        </is>
      </c>
      <c r="I1600" s="10" t="inlineStr">
        <is>
          <t>25/03/2026</t>
        </is>
      </c>
      <c r="J1600" s="10" t="inlineStr">
        <is>
          <t>17/03/2026</t>
        </is>
      </c>
      <c r="K1600" s="10" t="inlineStr">
        <is>
          <t>N/A</t>
        </is>
      </c>
      <c r="L1600" s="10" t="inlineStr">
        <is>
          <t>Bản Vẽ Kỹ Thuật, Bảo Trì Khuôn, Phân Tích Lỗi Khuôn, Sử Dụng Máy Tiện, Sửa Chữa Khuôn</t>
        </is>
      </c>
      <c r="M1600" s="10" t="inlineStr">
        <is>
          <t>Bonus, Healthcare Plan, Paid Leave, Canteen, Others</t>
        </is>
      </c>
      <c r="N1600" s="11">
        <f>HYPERLINK("https://www.vietnamworks.com/ky-thuat-bao-duong-khuon-nhua-2012566-jv","Xem chi tiết")</f>
        <v/>
      </c>
      <c r="O1600" s="10" t="n"/>
    </row>
    <row r="1601">
      <c r="B1601" s="7" t="n">
        <v>1599</v>
      </c>
      <c r="C1601" t="inlineStr">
        <is>
          <t>Nhân Viên An Toàn Vệ Sinh Lao Động - OHS Staff</t>
        </is>
      </c>
      <c r="D1601" t="inlineStr">
        <is>
          <t>Meiko Electronics Thang Long Co., Ltd ( MKTC )</t>
        </is>
      </c>
      <c r="E1601" t="inlineStr">
        <is>
          <t>Thương lượng</t>
        </is>
      </c>
      <c r="F1601" t="inlineStr">
        <is>
          <t>Hà Nội</t>
        </is>
      </c>
      <c r="G1601" t="inlineStr">
        <is>
          <t>Nhân viên</t>
        </is>
      </c>
      <c r="H1601" t="inlineStr">
        <is>
          <t>23/02/2026</t>
        </is>
      </c>
      <c r="I1601" t="inlineStr">
        <is>
          <t>25/03/2026</t>
        </is>
      </c>
      <c r="J1601" t="inlineStr">
        <is>
          <t>17/03/2026</t>
        </is>
      </c>
      <c r="K1601" t="inlineStr">
        <is>
          <t>N/A</t>
        </is>
      </c>
      <c r="L1601" t="inlineStr">
        <is>
          <t>An Toàn Lao Động, Safety, HSE, EHS, OHS</t>
        </is>
      </c>
      <c r="M1601" t="inlineStr">
        <is>
          <t>Bonus, Transportation, Canteen</t>
        </is>
      </c>
      <c r="N1601" s="8">
        <f>HYPERLINK("https://www.vietnamworks.com/nhan-vien-an-toan-ve-sinh-lao-dong-ohs-staff--2012545-jv","Xem chi tiết")</f>
        <v/>
      </c>
    </row>
    <row r="1602">
      <c r="B1602" s="9" t="n">
        <v>1600</v>
      </c>
      <c r="C1602" s="10" t="inlineStr">
        <is>
          <t>Kỹ Sư Công Trình (Nhà Xưởng)</t>
        </is>
      </c>
      <c r="D1602" s="10" t="inlineStr">
        <is>
          <t>Công Ty TNHH Mega D&amp;C</t>
        </is>
      </c>
      <c r="E1602" s="10" t="inlineStr">
        <is>
          <t>25tr-35tr ₫/tháng</t>
        </is>
      </c>
      <c r="F1602" s="10" t="inlineStr">
        <is>
          <t>Đồng Nai, Bình Dương, Bà Rịa - Vũng Tàu</t>
        </is>
      </c>
      <c r="G1602" s="10" t="inlineStr">
        <is>
          <t>Nhân viên</t>
        </is>
      </c>
      <c r="H1602" s="10" t="inlineStr">
        <is>
          <t>23/02/2026</t>
        </is>
      </c>
      <c r="I1602" s="10" t="inlineStr">
        <is>
          <t>25/03/2026</t>
        </is>
      </c>
      <c r="J1602" s="10" t="inlineStr">
        <is>
          <t>17/03/2026</t>
        </is>
      </c>
      <c r="K1602" s="10" t="inlineStr">
        <is>
          <t>N/A</t>
        </is>
      </c>
      <c r="L1602" s="10" t="inlineStr">
        <is>
          <t>AutoCAD, Giám Sát Thi Công, An Toàn Lao Động, Quản Lý Công Trường, Đọc Hiểu Bản Vẽ</t>
        </is>
      </c>
      <c r="M1602" s="10" t="inlineStr">
        <is>
          <t>Bonus, Healthcare Plan, Paid Leave, Others</t>
        </is>
      </c>
      <c r="N1602" s="11">
        <f>HYPERLINK("https://www.vietnamworks.com/ky-su-cong-trinh-nha-xuong-2012568-jv","Xem chi tiết")</f>
        <v/>
      </c>
      <c r="O1602" s="10" t="n"/>
    </row>
    <row r="1603">
      <c r="B1603" s="7" t="n">
        <v>1601</v>
      </c>
      <c r="C1603" t="inlineStr">
        <is>
          <t>Trưởng Phòng Kinh Doanh Nội Thất (Ưu Tiên Kinh Nghiệm Xuất Khẩu)</t>
        </is>
      </c>
      <c r="D1603" t="inlineStr">
        <is>
          <t>Công ty TNHH tư vấn kiến trúc TLI Hà Nội</t>
        </is>
      </c>
      <c r="E1603" t="inlineStr">
        <is>
          <t>Thương lượng</t>
        </is>
      </c>
      <c r="F1603" t="inlineStr">
        <is>
          <t>Hà Nội</t>
        </is>
      </c>
      <c r="G1603" t="inlineStr">
        <is>
          <t>Trưởng phòng</t>
        </is>
      </c>
      <c r="H1603" t="inlineStr">
        <is>
          <t>23/02/2026</t>
        </is>
      </c>
      <c r="I1603" t="inlineStr">
        <is>
          <t>25/03/2026</t>
        </is>
      </c>
      <c r="J1603" t="inlineStr">
        <is>
          <t>17/03/2026</t>
        </is>
      </c>
      <c r="K1603" t="inlineStr">
        <is>
          <t>N/A</t>
        </is>
      </c>
      <c r="L1603" t="inlineStr">
        <is>
          <t>Quản Trị Rủi Ro, Lập Kế Hoạch, Phân tích dữ liệu, Đào Tạo Huấn Luyện, Tự Làm Chủ</t>
        </is>
      </c>
      <c r="M1603" t="inlineStr">
        <is>
          <t>Bonus, Travel Opportunities, Canteen</t>
        </is>
      </c>
      <c r="N1603" s="8">
        <f>HYPERLINK("https://www.vietnamworks.com/truong-phong-kinh-doanh-noi-that-uu-tien-kinh-nghiem-xuat-khau-2012547-jv","Xem chi tiết")</f>
        <v/>
      </c>
    </row>
    <row r="1604">
      <c r="B1604" s="9" t="n">
        <v>1602</v>
      </c>
      <c r="C1604" s="10" t="inlineStr">
        <is>
          <t>Trưởng Phòng Chuỗi Cung Ứng</t>
        </is>
      </c>
      <c r="D1604" s="10" t="inlineStr">
        <is>
          <t>CÔNG TY CỔ PHẦN CÔNG NGHỆ PAVANA</t>
        </is>
      </c>
      <c r="E1604" s="10" t="inlineStr">
        <is>
          <t>Tới 40tr ₫/tháng</t>
        </is>
      </c>
      <c r="F1604" s="10" t="inlineStr">
        <is>
          <t>Hà Nội</t>
        </is>
      </c>
      <c r="G1604" s="10" t="inlineStr">
        <is>
          <t>Trưởng phòng</t>
        </is>
      </c>
      <c r="H1604" s="10" t="inlineStr">
        <is>
          <t>23/02/2026</t>
        </is>
      </c>
      <c r="I1604" s="10" t="inlineStr">
        <is>
          <t>25/03/2026</t>
        </is>
      </c>
      <c r="J1604" s="10" t="inlineStr">
        <is>
          <t>17/03/2026</t>
        </is>
      </c>
      <c r="K1604" s="10" t="inlineStr">
        <is>
          <t>N/A</t>
        </is>
      </c>
      <c r="L1604" s="10" t="inlineStr">
        <is>
          <t>Quản Lý Cung Ứng, Quản Lý Thu Mua, Quy Trình Thông Quan, Thành Thạo Tiếng Trung, Đánh Giá Nhà Cung Cấp</t>
        </is>
      </c>
      <c r="M1604" s="10" t="inlineStr">
        <is>
          <t>Bonus, Healthcare Plan, Training, Team Activities, Others</t>
        </is>
      </c>
      <c r="N1604" s="11">
        <f>HYPERLINK("https://www.vietnamworks.com/truong-phong-chuoi-cung-ung--2012567-jv","Xem chi tiết")</f>
        <v/>
      </c>
      <c r="O1604" s="10" t="n"/>
    </row>
    <row r="1605">
      <c r="B1605" s="7" t="n">
        <v>1603</v>
      </c>
      <c r="C1605" t="inlineStr">
        <is>
          <t>Nhân Viên Kinh Doanh (Xe Tải Thương Hiệu Faw - Shacman- Jac, Dầu Nhớt Và Phụ Tùng )</t>
        </is>
      </c>
      <c r="D1605" t="inlineStr">
        <is>
          <t>CÔNG TY TNHH XE TẢI VIỆT TRUNG</t>
        </is>
      </c>
      <c r="E1605" t="inlineStr">
        <is>
          <t>Từ 30tr ₫/tháng</t>
        </is>
      </c>
      <c r="F1605" t="inlineStr">
        <is>
          <t>Thanh Hóa</t>
        </is>
      </c>
      <c r="G1605" t="inlineStr">
        <is>
          <t>Mới Tốt Nghiệp</t>
        </is>
      </c>
      <c r="H1605" t="inlineStr">
        <is>
          <t>23/02/2026</t>
        </is>
      </c>
      <c r="I1605" t="inlineStr">
        <is>
          <t>25/03/2026</t>
        </is>
      </c>
      <c r="J1605" t="inlineStr">
        <is>
          <t>17/03/2026</t>
        </is>
      </c>
      <c r="K1605" t="inlineStr">
        <is>
          <t>N/A</t>
        </is>
      </c>
      <c r="L1605" t="inlineStr">
        <is>
          <t>Driving License, Bán Phụ Tùng Ô Tô, Kinh Doanh Xe Tải, Phát Triển Kinh Doanh, Tìm Kiếm Khách Hàng</t>
        </is>
      </c>
      <c r="M1605" t="inlineStr">
        <is>
          <t>Bonus, Healthcare Plan</t>
        </is>
      </c>
      <c r="N1605" s="8">
        <f>HYPERLINK("https://www.vietnamworks.com/nhan-vien-kinh-doanh-xe-tai-thuong-hieu-faw-shacman-jac-dau-nhot-va-phu-tung-2012569-jv","Xem chi tiết")</f>
        <v/>
      </c>
    </row>
    <row r="1606">
      <c r="B1606" s="9" t="n">
        <v>1604</v>
      </c>
      <c r="C1606" s="10" t="inlineStr">
        <is>
          <t>Senior Program Coordinator</t>
        </is>
      </c>
      <c r="D1606" s="10" t="inlineStr">
        <is>
          <t>STREETS International, INC</t>
        </is>
      </c>
      <c r="E1606" s="10" t="inlineStr">
        <is>
          <t>Thương lượng</t>
        </is>
      </c>
      <c r="F1606" s="10" t="inlineStr">
        <is>
          <t>Quảng Nam, Đà Nẵng</t>
        </is>
      </c>
      <c r="G1606" s="10" t="inlineStr">
        <is>
          <t>Nhân viên</t>
        </is>
      </c>
      <c r="H1606" s="10" t="inlineStr">
        <is>
          <t>23/02/2026</t>
        </is>
      </c>
      <c r="I1606" s="10" t="inlineStr">
        <is>
          <t>25/03/2026</t>
        </is>
      </c>
      <c r="J1606" s="10" t="inlineStr">
        <is>
          <t>17/03/2026</t>
        </is>
      </c>
      <c r="K1606" s="10" t="inlineStr">
        <is>
          <t>N/A</t>
        </is>
      </c>
      <c r="L1606" s="10" t="inlineStr">
        <is>
          <t>Execution Skills, Partnership Development, People Motivation, Critical Thinking, Communication Skills</t>
        </is>
      </c>
      <c r="M1606" s="10" t="inlineStr">
        <is>
          <t>Paid Leave, Laptop, Others</t>
        </is>
      </c>
      <c r="N1606" s="11">
        <f>HYPERLINK("https://www.vietnamworks.com/senior-program-coordinator--2012580-jv","Xem chi tiết")</f>
        <v/>
      </c>
      <c r="O1606" s="10" t="n"/>
    </row>
    <row r="1607">
      <c r="B1607" s="7" t="n">
        <v>1605</v>
      </c>
      <c r="C1607" t="inlineStr">
        <is>
          <t>Sales Junior</t>
        </is>
      </c>
      <c r="D1607" t="inlineStr">
        <is>
          <t>ENT International Vina</t>
        </is>
      </c>
      <c r="E1607" t="inlineStr">
        <is>
          <t>15.4tr-22tr ₫/tháng</t>
        </is>
      </c>
      <c r="F1607" t="inlineStr">
        <is>
          <t>Hải Phòng</t>
        </is>
      </c>
      <c r="G1607" t="inlineStr">
        <is>
          <t>Mới Tốt Nghiệp</t>
        </is>
      </c>
      <c r="H1607" t="inlineStr">
        <is>
          <t>23/02/2026</t>
        </is>
      </c>
      <c r="I1607" t="inlineStr">
        <is>
          <t>25/03/2026</t>
        </is>
      </c>
      <c r="J1607" t="inlineStr">
        <is>
          <t>17/03/2026</t>
        </is>
      </c>
      <c r="K1607" t="inlineStr">
        <is>
          <t>N/A</t>
        </is>
      </c>
      <c r="L1607" t="inlineStr">
        <is>
          <t>Communication, Customer Service, Microsoft Office, Sales, Teamwork</t>
        </is>
      </c>
      <c r="M1607" t="inlineStr">
        <is>
          <t>Bonus, Healthcare Plan, Training, Others</t>
        </is>
      </c>
      <c r="N1607" s="8">
        <f>HYPERLINK("https://www.vietnamworks.com/sales-junior-2012582-jv","Xem chi tiết")</f>
        <v/>
      </c>
    </row>
    <row r="1608">
      <c r="B1608" s="9" t="n">
        <v>1606</v>
      </c>
      <c r="C1608" s="10" t="inlineStr">
        <is>
          <t>Nhân Viên Lập Trình Máy Vision Và Hệ Thống</t>
        </is>
      </c>
      <c r="D1608" s="10" t="inlineStr">
        <is>
          <t>Foster Electric (Bac Ninh) Co. Ltd</t>
        </is>
      </c>
      <c r="E1608" s="10" t="inlineStr">
        <is>
          <t>9tr-15tr ₫/tháng</t>
        </is>
      </c>
      <c r="F1608" s="10" t="inlineStr">
        <is>
          <t>Bắc Ninh</t>
        </is>
      </c>
      <c r="G1608" s="10" t="inlineStr">
        <is>
          <t>Mới Tốt Nghiệp</t>
        </is>
      </c>
      <c r="H1608" s="10" t="inlineStr">
        <is>
          <t>23/02/2026</t>
        </is>
      </c>
      <c r="I1608" s="10" t="inlineStr">
        <is>
          <t>25/03/2026</t>
        </is>
      </c>
      <c r="J1608" s="10" t="inlineStr">
        <is>
          <t>17/03/2026</t>
        </is>
      </c>
      <c r="K1608" s="10" t="inlineStr">
        <is>
          <t>N/A</t>
        </is>
      </c>
      <c r="L1608" s="10" t="inlineStr">
        <is>
          <t>C#, Deep Learning, Lập Trình Python, Máy Tính, Sensor Vision</t>
        </is>
      </c>
      <c r="M1608" s="10" t="inlineStr">
        <is>
          <t>Bonus, Healthcare Plan, Paid Leave, Others</t>
        </is>
      </c>
      <c r="N1608" s="11">
        <f>HYPERLINK("https://www.vietnamworks.com/nhan-vien-lap-trinh-may-vision-va-he-thong-2012571-jv","Xem chi tiết")</f>
        <v/>
      </c>
      <c r="O1608" s="10" t="n"/>
    </row>
    <row r="1609">
      <c r="B1609" s="7" t="n">
        <v>1607</v>
      </c>
      <c r="C1609" t="inlineStr">
        <is>
          <t>Merchandiser (Quản Lý Đơn Hàng)</t>
        </is>
      </c>
      <c r="D1609" t="inlineStr">
        <is>
          <t>Shilla Bags International</t>
        </is>
      </c>
      <c r="E1609" t="inlineStr">
        <is>
          <t>Thương lượng</t>
        </is>
      </c>
      <c r="F1609" t="inlineStr">
        <is>
          <t>Hồ Chí Minh, Tây Ninh, Long An</t>
        </is>
      </c>
      <c r="G1609" t="inlineStr">
        <is>
          <t>Nhân viên</t>
        </is>
      </c>
      <c r="H1609" t="inlineStr">
        <is>
          <t>23/02/2026</t>
        </is>
      </c>
      <c r="I1609" t="inlineStr">
        <is>
          <t>25/03/2026</t>
        </is>
      </c>
      <c r="J1609" t="inlineStr">
        <is>
          <t>17/03/2026</t>
        </is>
      </c>
      <c r="K1609" t="inlineStr">
        <is>
          <t>N/A</t>
        </is>
      </c>
      <c r="L1609" t="inlineStr">
        <is>
          <t>Quality Standards, Merchandise Planning, Quản Lý Đơn Hàng, Purchasing, Shipping Operations</t>
        </is>
      </c>
      <c r="M1609" t="inlineStr">
        <is>
          <t>Bonus, Healthcare Plan, Transportation</t>
        </is>
      </c>
      <c r="N1609" s="8">
        <f>HYPERLINK("https://www.vietnamworks.com/merchandiser-quan-ly-don-hang--2012572-jv","Xem chi tiết")</f>
        <v/>
      </c>
    </row>
    <row r="1610">
      <c r="B1610" s="9" t="n">
        <v>1608</v>
      </c>
      <c r="C1610" s="10" t="inlineStr">
        <is>
          <t>HR Staff (Fresh Graduates are Welcome)</t>
        </is>
      </c>
      <c r="D1610" s="10" t="inlineStr">
        <is>
          <t>LX Pantos Vietnam</t>
        </is>
      </c>
      <c r="E1610" s="10" t="inlineStr">
        <is>
          <t>15tr-20tr ₫/tháng</t>
        </is>
      </c>
      <c r="F1610" s="10" t="inlineStr">
        <is>
          <t>Hải Phòng</t>
        </is>
      </c>
      <c r="G1610" s="10" t="inlineStr">
        <is>
          <t>Nhân viên</t>
        </is>
      </c>
      <c r="H1610" s="10" t="inlineStr">
        <is>
          <t>23/02/2026</t>
        </is>
      </c>
      <c r="I1610" s="10" t="inlineStr">
        <is>
          <t>25/03/2026</t>
        </is>
      </c>
      <c r="J1610" s="10" t="inlineStr">
        <is>
          <t>17/03/2026</t>
        </is>
      </c>
      <c r="K1610" s="10" t="inlineStr">
        <is>
          <t>N/A</t>
        </is>
      </c>
      <c r="L1610" s="10" t="inlineStr">
        <is>
          <t>C&amp;B, Communication Skills, Labor Law, Talent Acquisition, Training coordination</t>
        </is>
      </c>
      <c r="M1610" s="10" t="inlineStr">
        <is>
          <t>Bonus</t>
        </is>
      </c>
      <c r="N1610" s="11">
        <f>HYPERLINK("https://www.vietnamworks.com/hr-staff-fresh-graduates-are-welcome-2012573-jv","Xem chi tiết")</f>
        <v/>
      </c>
      <c r="O1610" s="10" t="n"/>
    </row>
    <row r="1611">
      <c r="B1611" s="7" t="n">
        <v>1609</v>
      </c>
      <c r="C1611" t="inlineStr">
        <is>
          <t>Warehouse Pharmacist</t>
        </is>
      </c>
      <c r="D1611" t="inlineStr">
        <is>
          <t>Zuellig Pharma Viet Nam</t>
        </is>
      </c>
      <c r="E1611" t="inlineStr">
        <is>
          <t>Thương lượng</t>
        </is>
      </c>
      <c r="F1611" t="inlineStr">
        <is>
          <t>Hồ Chí Minh</t>
        </is>
      </c>
      <c r="G1611" t="inlineStr">
        <is>
          <t>Nhân viên</t>
        </is>
      </c>
      <c r="H1611" t="inlineStr">
        <is>
          <t>23/02/2026</t>
        </is>
      </c>
      <c r="I1611" t="inlineStr">
        <is>
          <t>25/03/2026</t>
        </is>
      </c>
      <c r="J1611" t="inlineStr">
        <is>
          <t>17/03/2026</t>
        </is>
      </c>
      <c r="K1611" t="inlineStr">
        <is>
          <t>N/A</t>
        </is>
      </c>
      <c r="L1611" t="inlineStr">
        <is>
          <t>Warehouse Management, Pharmaceutical Policy, Pharmacy, Pharmaceutical Healthcare</t>
        </is>
      </c>
      <c r="M1611" t="inlineStr">
        <is>
          <t>Bonus, Healthcare Plan, Paid Leave</t>
        </is>
      </c>
      <c r="N1611" s="8">
        <f>HYPERLINK("https://www.vietnamworks.com/warehouse-pharmacist--2012581-jv","Xem chi tiết")</f>
        <v/>
      </c>
    </row>
    <row r="1612">
      <c r="B1612" s="9" t="n">
        <v>1610</v>
      </c>
      <c r="C1612" s="10" t="inlineStr">
        <is>
          <t>Chuyên Viên Nhân Sự Tổng Hợp</t>
        </is>
      </c>
      <c r="D1612" s="10" t="inlineStr">
        <is>
          <t>Trường Đào Tạo Thiết Kế Đồ Hoạ Ứng Dụng (dpiCENTER)</t>
        </is>
      </c>
      <c r="E1612" s="10" t="inlineStr">
        <is>
          <t>Thương lượng</t>
        </is>
      </c>
      <c r="F1612" s="10" t="inlineStr">
        <is>
          <t>Hồ Chí Minh</t>
        </is>
      </c>
      <c r="G1612" s="10" t="inlineStr">
        <is>
          <t>Nhân viên</t>
        </is>
      </c>
      <c r="H1612" s="10" t="inlineStr">
        <is>
          <t>23/02/2026</t>
        </is>
      </c>
      <c r="I1612" s="10" t="inlineStr">
        <is>
          <t>25/03/2026</t>
        </is>
      </c>
      <c r="J1612" s="10" t="inlineStr">
        <is>
          <t>17/03/2026</t>
        </is>
      </c>
      <c r="K1612" s="10" t="inlineStr">
        <is>
          <t>N/A</t>
        </is>
      </c>
      <c r="L1612" s="10" t="inlineStr">
        <is>
          <t>Luật Lao Động, Quản Lý Hợp Đồng Lao Động, Tính Lương, Tuyển Dụng, Đào Tạo Nội Bộ</t>
        </is>
      </c>
      <c r="M1612" s="10" t="inlineStr">
        <is>
          <t>Bonus, Healthcare Plan, Paid Leave, Others</t>
        </is>
      </c>
      <c r="N1612" s="11">
        <f>HYPERLINK("https://www.vietnamworks.com/chuyen-vien-nhan-su-tong-hop-2012570-jv","Xem chi tiết")</f>
        <v/>
      </c>
      <c r="O1612" s="10" t="n"/>
    </row>
    <row r="1613">
      <c r="B1613" s="7" t="n">
        <v>1611</v>
      </c>
      <c r="C1613" t="inlineStr">
        <is>
          <t>Import Management Staff</t>
        </is>
      </c>
      <c r="D1613" t="inlineStr">
        <is>
          <t>CÔNG TY TNHH PNC SCM HANOI</t>
        </is>
      </c>
      <c r="E1613" t="inlineStr">
        <is>
          <t>Thương lượng</t>
        </is>
      </c>
      <c r="F1613" t="inlineStr">
        <is>
          <t>Hà Nội</t>
        </is>
      </c>
      <c r="G1613" t="inlineStr">
        <is>
          <t>Nhân viên</t>
        </is>
      </c>
      <c r="H1613" t="inlineStr">
        <is>
          <t>23/02/2026</t>
        </is>
      </c>
      <c r="I1613" t="inlineStr">
        <is>
          <t>25/03/2026</t>
        </is>
      </c>
      <c r="J1613" t="inlineStr">
        <is>
          <t>17/03/2026</t>
        </is>
      </c>
      <c r="K1613" t="inlineStr">
        <is>
          <t>N/A</t>
        </is>
      </c>
      <c r="L1613" t="inlineStr">
        <is>
          <t>Customer Service, Shipment Management, MS Office, Logistics Procedures, Booking Management</t>
        </is>
      </c>
      <c r="M1613" t="inlineStr">
        <is>
          <t>Bonus, Healthcare Plan</t>
        </is>
      </c>
      <c r="N1613" s="8">
        <f>HYPERLINK("https://www.vietnamworks.com/import-management-staff-2012586-jv","Xem chi tiết")</f>
        <v/>
      </c>
    </row>
    <row r="1614">
      <c r="B1614" s="9" t="n">
        <v>1612</v>
      </c>
      <c r="C1614" s="10" t="inlineStr">
        <is>
          <t>[Hà Nội] Chuyên Viên Phát Triển Mặt Bằng/ Site Expansion</t>
        </is>
      </c>
      <c r="D1614" s="10" t="inlineStr">
        <is>
          <t>7-Eleven Vietnam</t>
        </is>
      </c>
      <c r="E1614" s="10" t="inlineStr">
        <is>
          <t>Thương lượng</t>
        </is>
      </c>
      <c r="F1614" s="10" t="inlineStr">
        <is>
          <t>Hà Nội</t>
        </is>
      </c>
      <c r="G1614" s="10" t="inlineStr">
        <is>
          <t>Nhân viên</t>
        </is>
      </c>
      <c r="H1614" s="10" t="inlineStr">
        <is>
          <t>23/02/2026</t>
        </is>
      </c>
      <c r="I1614" s="10" t="inlineStr">
        <is>
          <t>25/03/2026</t>
        </is>
      </c>
      <c r="J1614" s="10" t="inlineStr">
        <is>
          <t>17/03/2026</t>
        </is>
      </c>
      <c r="K1614" s="10" t="inlineStr">
        <is>
          <t>N/A</t>
        </is>
      </c>
      <c r="L1614" s="10" t="inlineStr">
        <is>
          <t>Bất Động Sản, Nghiên Cứu Thị Trường, Phát triển mặt bằng, Môi Giới, Site Development</t>
        </is>
      </c>
      <c r="M1614" s="10" t="inlineStr">
        <is>
          <t>Bonus, Healthcare Plan, Paid Leave</t>
        </is>
      </c>
      <c r="N1614" s="11">
        <f>HYPERLINK("https://www.vietnamworks.com/ha-noi-chuyen-vien-phat-trien-mat-bang-site-expansion-2012577-jv","Xem chi tiết")</f>
        <v/>
      </c>
      <c r="O1614" s="10" t="n"/>
    </row>
    <row r="1615">
      <c r="B1615" s="7" t="n">
        <v>1613</v>
      </c>
      <c r="C1615" t="inlineStr">
        <is>
          <t>Kỹ Sư Điện Tử Viễn Thông (Thu Nhập Hấp Dẫn)</t>
        </is>
      </c>
      <c r="D1615" t="inlineStr">
        <is>
          <t>Công ty cổ phần Tập đoàn OSB</t>
        </is>
      </c>
      <c r="E1615" t="inlineStr">
        <is>
          <t>Thương lượng</t>
        </is>
      </c>
      <c r="F1615" t="inlineStr">
        <is>
          <t>Hà Nội, Bà Rịa - Vũng Tàu</t>
        </is>
      </c>
      <c r="G1615" t="inlineStr">
        <is>
          <t>Nhân viên</t>
        </is>
      </c>
      <c r="H1615" t="inlineStr">
        <is>
          <t>23/02/2026</t>
        </is>
      </c>
      <c r="I1615" t="inlineStr">
        <is>
          <t>25/03/2026</t>
        </is>
      </c>
      <c r="J1615" t="inlineStr">
        <is>
          <t>17/03/2026</t>
        </is>
      </c>
      <c r="K1615" t="inlineStr">
        <is>
          <t>N/A</t>
        </is>
      </c>
      <c r="L1615" t="inlineStr">
        <is>
          <t>Viễn Thông, Điện Tử Viễn Thông, Xử Lý Sự Cố, Tiếng Anh Toeic 600, Bảo Dưỡng</t>
        </is>
      </c>
      <c r="M1615" t="inlineStr">
        <is>
          <t>Bonus, Training, Others</t>
        </is>
      </c>
      <c r="N1615" s="8">
        <f>HYPERLINK("https://www.vietnamworks.com/ky-su-dien-tu-vien-thong-thu-nhap-hap-dan-2012579-jv","Xem chi tiết")</f>
        <v/>
      </c>
    </row>
    <row r="1616">
      <c r="B1616" s="9" t="n">
        <v>1614</v>
      </c>
      <c r="C1616" s="10" t="inlineStr">
        <is>
          <t>Điều Phối Đội Xe Container (Làm Việc Tại HCM) - Lương 12-15 Triệu VND / Tháng</t>
        </is>
      </c>
      <c r="D1616" s="10" t="inlineStr">
        <is>
          <t>Công Ty Cổ Phần Vận Tải Biển Container Thái Bình Dương</t>
        </is>
      </c>
      <c r="E1616" s="10" t="inlineStr">
        <is>
          <t>12tr-15tr ₫/tháng</t>
        </is>
      </c>
      <c r="F1616" s="10" t="inlineStr">
        <is>
          <t>Hồ Chí Minh</t>
        </is>
      </c>
      <c r="G1616" s="10" t="inlineStr">
        <is>
          <t>Nhân viên</t>
        </is>
      </c>
      <c r="H1616" s="10" t="inlineStr">
        <is>
          <t>23/02/2026</t>
        </is>
      </c>
      <c r="I1616" s="10" t="inlineStr">
        <is>
          <t>25/03/2026</t>
        </is>
      </c>
      <c r="J1616" s="10" t="inlineStr">
        <is>
          <t>17/03/2026</t>
        </is>
      </c>
      <c r="K1616" s="10" t="inlineStr">
        <is>
          <t>N/A</t>
        </is>
      </c>
      <c r="L1616" s="10" t="inlineStr">
        <is>
          <t>Quản Lý Xe, Kiểm Soát Chất Lượng, Sử dụng Excel, Điều Phối Vận Chuyển, Điều Phối Xe</t>
        </is>
      </c>
      <c r="M1616" s="10" t="inlineStr">
        <is>
          <t>Bonus, Healthcare Plan, Awards, Travel Opportunities, Others</t>
        </is>
      </c>
      <c r="N1616" s="11">
        <f>HYPERLINK("https://www.vietnamworks.com/dieu-phoi-doi-xe-container-lam-viec-tai-hcm-luong-12-15-trieu-vnd-thang-2012576-jv","Xem chi tiết")</f>
        <v/>
      </c>
      <c r="O1616" s="10" t="n"/>
    </row>
    <row r="1617">
      <c r="B1617" s="7" t="n">
        <v>1615</v>
      </c>
      <c r="C1617" t="inlineStr">
        <is>
          <t>Nhân Viên Phòng Kỹ Thuật Sản Xuất</t>
        </is>
      </c>
      <c r="D1617" t="inlineStr">
        <is>
          <t>Công Ty TNHH Tds Việt Nam</t>
        </is>
      </c>
      <c r="E1617" t="inlineStr">
        <is>
          <t>Từ $ 300 /tháng</t>
        </is>
      </c>
      <c r="F1617" t="inlineStr">
        <is>
          <t>Hà Nam, Hà Nội, Hưng Yên</t>
        </is>
      </c>
      <c r="G1617" t="inlineStr">
        <is>
          <t>Mới Tốt Nghiệp</t>
        </is>
      </c>
      <c r="H1617" t="inlineStr">
        <is>
          <t>23/02/2026</t>
        </is>
      </c>
      <c r="I1617" t="inlineStr">
        <is>
          <t>25/03/2026</t>
        </is>
      </c>
      <c r="J1617" t="inlineStr">
        <is>
          <t>17/03/2026</t>
        </is>
      </c>
      <c r="K1617" t="inlineStr">
        <is>
          <t>N/A</t>
        </is>
      </c>
      <c r="L1617" t="inlineStr">
        <is>
          <t>Điện Tử, Kỹ Thuật Sản Xuất, Quản Lý Thiết Bị, MS Office, Tiếng Nhật N3</t>
        </is>
      </c>
      <c r="M1617" t="inlineStr">
        <is>
          <t>Bonus, Healthcare Plan, Transportation</t>
        </is>
      </c>
      <c r="N1617" s="8">
        <f>HYPERLINK("https://www.vietnamworks.com/nhan-vien-phong-ky-thuat-san-xuat--2012587-jv","Xem chi tiết")</f>
        <v/>
      </c>
    </row>
    <row r="1618">
      <c r="B1618" s="9" t="n">
        <v>1616</v>
      </c>
      <c r="C1618" s="10" t="inlineStr">
        <is>
          <t>Audio Visual Technician (Kỹ Thuật Viên Âm Thanh - Ánh Sáng)</t>
        </is>
      </c>
      <c r="D1618" s="10" t="inlineStr">
        <is>
          <t>The International School ParkCity Hanoi (ISPH)</t>
        </is>
      </c>
      <c r="E1618" s="10" t="inlineStr">
        <is>
          <t>Thương lượng</t>
        </is>
      </c>
      <c r="F1618" s="10" t="inlineStr">
        <is>
          <t>Hà Nội</t>
        </is>
      </c>
      <c r="G1618" s="10" t="inlineStr">
        <is>
          <t>Nhân viên</t>
        </is>
      </c>
      <c r="H1618" s="10" t="inlineStr">
        <is>
          <t>23/02/2026</t>
        </is>
      </c>
      <c r="I1618" s="10" t="inlineStr">
        <is>
          <t>25/03/2026</t>
        </is>
      </c>
      <c r="J1618" s="10" t="inlineStr">
        <is>
          <t>17/03/2026</t>
        </is>
      </c>
      <c r="K1618" s="10" t="inlineStr">
        <is>
          <t>N/A</t>
        </is>
      </c>
      <c r="L1618" s="10" t="inlineStr">
        <is>
          <t>Thể Dục Thể Thao, Thể Dục Thể Hình, Teaching, PE, Giảng Dạy</t>
        </is>
      </c>
      <c r="M1618" s="10" t="inlineStr">
        <is>
          <t>Healthcare Plan, Paid Leave, Training</t>
        </is>
      </c>
      <c r="N1618" s="11">
        <f>HYPERLINK("https://www.vietnamworks.com/audio-visual-technician-ky-thuat-vien-am-thanh-anh-sang-2012574-jv","Xem chi tiết")</f>
        <v/>
      </c>
      <c r="O1618" s="10" t="n"/>
    </row>
    <row r="1619">
      <c r="B1619" s="7" t="n">
        <v>1617</v>
      </c>
      <c r="C1619" t="inlineStr">
        <is>
          <t>Nhân Viên Chứng Từ - (Lương 10-12 Triệu VND /tháng)</t>
        </is>
      </c>
      <c r="D1619" t="inlineStr">
        <is>
          <t>Công Ty Cổ Phần Vận Tải Biển Container Thái Bình Dương</t>
        </is>
      </c>
      <c r="E1619" t="inlineStr">
        <is>
          <t>10tr-12tr ₫/tháng</t>
        </is>
      </c>
      <c r="F1619" t="inlineStr">
        <is>
          <t>Hà Nội</t>
        </is>
      </c>
      <c r="G1619" t="inlineStr">
        <is>
          <t>Nhân viên</t>
        </is>
      </c>
      <c r="H1619" t="inlineStr">
        <is>
          <t>23/02/2026</t>
        </is>
      </c>
      <c r="I1619" t="inlineStr">
        <is>
          <t>25/03/2026</t>
        </is>
      </c>
      <c r="J1619" t="inlineStr">
        <is>
          <t>17/03/2026</t>
        </is>
      </c>
      <c r="K1619" t="inlineStr">
        <is>
          <t>N/A</t>
        </is>
      </c>
      <c r="L1619" t="inlineStr">
        <is>
          <t>Tiếng Anh, nhân viên chứng từ, Freight Forwarder, Nhập Dữ Liệu, Logictics</t>
        </is>
      </c>
      <c r="M1619" t="inlineStr">
        <is>
          <t>Bonus, Healthcare Plan, Awards, Travel Opportunities, Others</t>
        </is>
      </c>
      <c r="N1619" s="8">
        <f>HYPERLINK("https://www.vietnamworks.com/nhan-vien-chung-tu-luong-10-12-trieu-vnd-thang-2012575-jv","Xem chi tiết")</f>
        <v/>
      </c>
    </row>
    <row r="1620">
      <c r="B1620" s="9" t="n">
        <v>1618</v>
      </c>
      <c r="C1620" s="10" t="inlineStr">
        <is>
          <t>Nhân Viên QC (Làm Việc Tại Hưng Yên)</t>
        </is>
      </c>
      <c r="D1620" s="10" t="inlineStr">
        <is>
          <t>Oristar Corporation - Công Ty Cổ Phần Oristar</t>
        </is>
      </c>
      <c r="E1620" s="10" t="inlineStr">
        <is>
          <t>Thương lượng</t>
        </is>
      </c>
      <c r="F1620" s="10" t="inlineStr">
        <is>
          <t>Hà Nội, Hưng Yên</t>
        </is>
      </c>
      <c r="G1620" s="10" t="inlineStr">
        <is>
          <t>Nhân viên</t>
        </is>
      </c>
      <c r="H1620" s="10" t="inlineStr">
        <is>
          <t>23/02/2026</t>
        </is>
      </c>
      <c r="I1620" s="10" t="inlineStr">
        <is>
          <t>25/03/2026</t>
        </is>
      </c>
      <c r="J1620" s="10" t="inlineStr">
        <is>
          <t>17/03/2026</t>
        </is>
      </c>
      <c r="K1620" s="10" t="inlineStr">
        <is>
          <t>N/A</t>
        </is>
      </c>
      <c r="L1620" s="10" t="inlineStr">
        <is>
          <t>Cơ Khí, Cơ Khí Chế Tạo, ISO 9001, Luyện Kim, Qc Experience</t>
        </is>
      </c>
      <c r="M1620" s="10" t="inlineStr">
        <is>
          <t>Bonus, Healthcare Plan, Team Activities</t>
        </is>
      </c>
      <c r="N1620" s="11">
        <f>HYPERLINK("https://www.vietnamworks.com/nhan-vien-qc-lam-viec-tai-hung-yen-2012584-jv","Xem chi tiết")</f>
        <v/>
      </c>
      <c r="O1620" s="10" t="n"/>
    </row>
    <row r="1621">
      <c r="B1621" s="7" t="n">
        <v>1619</v>
      </c>
      <c r="C1621" t="inlineStr">
        <is>
          <t>Application Engineer (Mechanical Design)</t>
        </is>
      </c>
      <c r="D1621" t="inlineStr">
        <is>
          <t>CÔNG TY TNHH SEACAD TECHNOLOGIES VIETNAM</t>
        </is>
      </c>
      <c r="E1621" t="inlineStr">
        <is>
          <t>Thương lượng</t>
        </is>
      </c>
      <c r="F1621" t="inlineStr">
        <is>
          <t>Hồ Chí Minh, Hà Nội</t>
        </is>
      </c>
      <c r="G1621" t="inlineStr">
        <is>
          <t>Nhân viên</t>
        </is>
      </c>
      <c r="H1621" t="inlineStr">
        <is>
          <t>23/02/2026</t>
        </is>
      </c>
      <c r="I1621" t="inlineStr">
        <is>
          <t>25/03/2026</t>
        </is>
      </c>
      <c r="J1621" t="inlineStr">
        <is>
          <t>17/03/2026</t>
        </is>
      </c>
      <c r="K1621" t="inlineStr">
        <is>
          <t>N/A</t>
        </is>
      </c>
      <c r="L1621" t="inlineStr">
        <is>
          <t>Mechanical Engineering, SolidWorks, CAE, Technical Support, Product Design</t>
        </is>
      </c>
      <c r="M1621" t="inlineStr">
        <is>
          <t>Bonus, Training, Team Activities</t>
        </is>
      </c>
      <c r="N1621" s="8">
        <f>HYPERLINK("https://www.vietnamworks.com/application-engineer-mechanical-design-2012589-jv","Xem chi tiết")</f>
        <v/>
      </c>
    </row>
    <row r="1622">
      <c r="B1622" s="9" t="n">
        <v>1620</v>
      </c>
      <c r="C1622" s="10" t="inlineStr">
        <is>
          <t>Business Development Executive</t>
        </is>
      </c>
      <c r="D1622" s="10" t="inlineStr">
        <is>
          <t>CÔNG TY TNHH SEACAD TECHNOLOGIES VIETNAM</t>
        </is>
      </c>
      <c r="E1622" s="10" t="inlineStr">
        <is>
          <t>Thương lượng</t>
        </is>
      </c>
      <c r="F1622" s="10" t="inlineStr">
        <is>
          <t>Hà Nội, Hồ Chí Minh</t>
        </is>
      </c>
      <c r="G1622" s="10" t="inlineStr">
        <is>
          <t>Nhân viên</t>
        </is>
      </c>
      <c r="H1622" s="10" t="inlineStr">
        <is>
          <t>23/02/2026</t>
        </is>
      </c>
      <c r="I1622" s="10" t="inlineStr">
        <is>
          <t>25/03/2026</t>
        </is>
      </c>
      <c r="J1622" s="10" t="inlineStr">
        <is>
          <t>17/03/2026</t>
        </is>
      </c>
      <c r="K1622" s="10" t="inlineStr">
        <is>
          <t>N/A</t>
        </is>
      </c>
      <c r="L1622" s="10" t="inlineStr">
        <is>
          <t>Business Development, Analytical Skills, Customer Management, Quotation Preparation, Sales Planning</t>
        </is>
      </c>
      <c r="M1622" s="10" t="inlineStr">
        <is>
          <t>Bonus, Training, Team Activities, Transportation</t>
        </is>
      </c>
      <c r="N1622" s="11">
        <f>HYPERLINK("https://www.vietnamworks.com/business-development-executive-2012592-jv","Xem chi tiết")</f>
        <v/>
      </c>
      <c r="O1622" s="10" t="n"/>
    </row>
    <row r="1623">
      <c r="B1623" s="7" t="n">
        <v>1621</v>
      </c>
      <c r="C1623" t="inlineStr">
        <is>
          <t>Sales Manager (Factory)</t>
        </is>
      </c>
      <c r="D1623" t="inlineStr">
        <is>
          <t>THE COCOA PROJECT</t>
        </is>
      </c>
      <c r="E1623" t="inlineStr">
        <is>
          <t>Thương lượng</t>
        </is>
      </c>
      <c r="F1623" t="inlineStr">
        <is>
          <t>Hồ Chí Minh</t>
        </is>
      </c>
      <c r="G1623" t="inlineStr">
        <is>
          <t>Trưởng phòng</t>
        </is>
      </c>
      <c r="H1623" t="inlineStr">
        <is>
          <t>23/02/2026</t>
        </is>
      </c>
      <c r="I1623" t="inlineStr">
        <is>
          <t>25/03/2026</t>
        </is>
      </c>
      <c r="J1623" t="inlineStr">
        <is>
          <t>17/03/2026</t>
        </is>
      </c>
      <c r="K1623" t="inlineStr">
        <is>
          <t>N/A</t>
        </is>
      </c>
      <c r="L1623" t="inlineStr">
        <is>
          <t>Account Management, English Communication, Negotiation Skills, Sales Experience, Sales Strategy</t>
        </is>
      </c>
      <c r="M1623" t="inlineStr">
        <is>
          <t>Healthcare Plan, Paid Leave, Training, Team Activities, Others</t>
        </is>
      </c>
      <c r="N1623" s="8">
        <f>HYPERLINK("https://www.vietnamworks.com/sales-manager-factory-2012594-jv","Xem chi tiết")</f>
        <v/>
      </c>
    </row>
    <row r="1624">
      <c r="B1624" s="9" t="n">
        <v>1622</v>
      </c>
      <c r="C1624" s="10" t="inlineStr">
        <is>
          <t>Phó Phòng QC</t>
        </is>
      </c>
      <c r="D1624" s="10" t="inlineStr">
        <is>
          <t>INOAC Vietnam CO., LTD.</t>
        </is>
      </c>
      <c r="E1624" s="10" t="inlineStr">
        <is>
          <t>Thương lượng</t>
        </is>
      </c>
      <c r="F1624" s="10" t="inlineStr">
        <is>
          <t>Hà Nội</t>
        </is>
      </c>
      <c r="G1624" s="10" t="inlineStr">
        <is>
          <t>Nhân viên</t>
        </is>
      </c>
      <c r="H1624" s="10" t="inlineStr">
        <is>
          <t>23/02/2026</t>
        </is>
      </c>
      <c r="I1624" s="10" t="inlineStr">
        <is>
          <t>25/03/2026</t>
        </is>
      </c>
      <c r="J1624" s="10" t="inlineStr">
        <is>
          <t>17/03/2026</t>
        </is>
      </c>
      <c r="K1624" s="10" t="inlineStr">
        <is>
          <t>N/A</t>
        </is>
      </c>
      <c r="L1624" s="10" t="inlineStr">
        <is>
          <t>JLPT N2, QC, QA, ISO, Japanese</t>
        </is>
      </c>
      <c r="M1624" s="10" t="inlineStr">
        <is>
          <t>Bonus, Training, Transportation</t>
        </is>
      </c>
      <c r="N1624" s="11">
        <f>HYPERLINK("https://www.vietnamworks.com/pho-phong-qc--2012614-jv","Xem chi tiết")</f>
        <v/>
      </c>
      <c r="O1624" s="10" t="n"/>
    </row>
    <row r="1625">
      <c r="B1625" s="7" t="n">
        <v>1623</v>
      </c>
      <c r="C1625" t="inlineStr">
        <is>
          <t>Sales Manager (Packaging Industry)</t>
        </is>
      </c>
      <c r="D1625" t="inlineStr">
        <is>
          <t>CÔNG TY TNHH SCHUETZ VIỆT NAM</t>
        </is>
      </c>
      <c r="E1625" t="inlineStr">
        <is>
          <t>Thương lượng</t>
        </is>
      </c>
      <c r="F1625" t="inlineStr">
        <is>
          <t>Hồ Chí Minh</t>
        </is>
      </c>
      <c r="G1625" t="inlineStr">
        <is>
          <t>Trưởng phòng</t>
        </is>
      </c>
      <c r="H1625" t="inlineStr">
        <is>
          <t>23/02/2026</t>
        </is>
      </c>
      <c r="I1625" t="inlineStr">
        <is>
          <t>25/03/2026</t>
        </is>
      </c>
      <c r="J1625" t="inlineStr">
        <is>
          <t>17/03/2026</t>
        </is>
      </c>
      <c r="K1625" t="inlineStr">
        <is>
          <t>N/A</t>
        </is>
      </c>
      <c r="L1625" t="inlineStr">
        <is>
          <t>B2B Sales, Packaging, Sales &amp; Business Development</t>
        </is>
      </c>
      <c r="M1625" t="inlineStr">
        <is>
          <t>Bonus, Healthcare Plan, Paid Leave</t>
        </is>
      </c>
      <c r="N1625" s="8">
        <f>HYPERLINK("https://www.vietnamworks.com/sales-manager-packaging-industry--2012591-jv","Xem chi tiết")</f>
        <v/>
      </c>
    </row>
    <row r="1626">
      <c r="B1626" s="9" t="n">
        <v>1624</v>
      </c>
      <c r="C1626" s="10" t="inlineStr">
        <is>
          <t>LOGISTICS Coordinator (Sea Export Customer Service)</t>
        </is>
      </c>
      <c r="D1626" s="10" t="inlineStr">
        <is>
          <t>BDP International (Vietnam) Ltd</t>
        </is>
      </c>
      <c r="E1626" s="10" t="inlineStr">
        <is>
          <t>Thương lượng</t>
        </is>
      </c>
      <c r="F1626" s="10" t="inlineStr">
        <is>
          <t>Hồ Chí Minh</t>
        </is>
      </c>
      <c r="G1626" s="10" t="inlineStr">
        <is>
          <t>Nhân viên</t>
        </is>
      </c>
      <c r="H1626" s="10" t="inlineStr">
        <is>
          <t>23/02/2026</t>
        </is>
      </c>
      <c r="I1626" s="10" t="inlineStr">
        <is>
          <t>25/03/2026</t>
        </is>
      </c>
      <c r="J1626" s="10" t="inlineStr">
        <is>
          <t>17/03/2026</t>
        </is>
      </c>
      <c r="K1626" s="10" t="inlineStr">
        <is>
          <t>N/A</t>
        </is>
      </c>
      <c r="L1626" s="10" t="inlineStr">
        <is>
          <t>Export Operation, Data Processing, Problem-solving, Negotiation Skills, Attention To Detail</t>
        </is>
      </c>
      <c r="M1626" s="10" t="inlineStr">
        <is>
          <t>Bonus, Healthcare Plan, Others</t>
        </is>
      </c>
      <c r="N1626" s="11">
        <f>HYPERLINK("https://www.vietnamworks.com/logistics-coordinator-sea-export-customer-service-2012600-jv","Xem chi tiết")</f>
        <v/>
      </c>
      <c r="O1626" s="10" t="n"/>
    </row>
    <row r="1627">
      <c r="B1627" s="7" t="n">
        <v>1625</v>
      </c>
      <c r="C1627" t="inlineStr">
        <is>
          <t>Trưởng Ca Khai Thác</t>
        </is>
      </c>
      <c r="D1627" t="inlineStr">
        <is>
          <t>Công ty CP Liên Doanh Cảng Quốc tế Mỹ Thủy</t>
        </is>
      </c>
      <c r="E1627" t="inlineStr">
        <is>
          <t>25tr-40tr ₫/tháng</t>
        </is>
      </c>
      <c r="F1627" t="inlineStr">
        <is>
          <t>Quảng Trị</t>
        </is>
      </c>
      <c r="G1627" t="inlineStr">
        <is>
          <t>Trưởng phòng</t>
        </is>
      </c>
      <c r="H1627" t="inlineStr">
        <is>
          <t>23/02/2026</t>
        </is>
      </c>
      <c r="I1627" t="inlineStr">
        <is>
          <t>25/03/2026</t>
        </is>
      </c>
      <c r="J1627" t="inlineStr">
        <is>
          <t>17/03/2026</t>
        </is>
      </c>
      <c r="K1627" t="inlineStr">
        <is>
          <t>N/A</t>
        </is>
      </c>
      <c r="L1627" t="inlineStr">
        <is>
          <t>Quản Lý Khai Thác Cảng, HSSE, ISPS, Giám Sát Vận Hành, Tiếng Anh</t>
        </is>
      </c>
      <c r="M1627" t="inlineStr">
        <is>
          <t>Bonus, Healthcare Plan</t>
        </is>
      </c>
      <c r="N1627" s="8">
        <f>HYPERLINK("https://www.vietnamworks.com/truong-ca-khai-thac-2012597-jv","Xem chi tiết")</f>
        <v/>
      </c>
    </row>
    <row r="1628">
      <c r="B1628" s="9" t="n">
        <v>1626</v>
      </c>
      <c r="C1628" s="10" t="inlineStr">
        <is>
          <t>Nhân Viên Điều Độ, Kế Hoạch</t>
        </is>
      </c>
      <c r="D1628" s="10" t="inlineStr">
        <is>
          <t>Công ty CP Liên Doanh Cảng Quốc tế Mỹ Thủy</t>
        </is>
      </c>
      <c r="E1628" s="10" t="inlineStr">
        <is>
          <t>Thương lượng</t>
        </is>
      </c>
      <c r="F1628" s="10" t="inlineStr">
        <is>
          <t>Quảng Trị, Hà Tĩnh, Quảng Ngãi</t>
        </is>
      </c>
      <c r="G1628" s="10" t="inlineStr">
        <is>
          <t>Nhân viên</t>
        </is>
      </c>
      <c r="H1628" s="10" t="inlineStr">
        <is>
          <t>23/02/2026</t>
        </is>
      </c>
      <c r="I1628" s="10" t="inlineStr">
        <is>
          <t>25/03/2026</t>
        </is>
      </c>
      <c r="J1628" s="10" t="inlineStr">
        <is>
          <t>17/03/2026</t>
        </is>
      </c>
      <c r="K1628" s="10" t="inlineStr">
        <is>
          <t>N/A</t>
        </is>
      </c>
      <c r="L1628" s="10" t="inlineStr">
        <is>
          <t>Kiểm Soát Chứng Từ, HSSE, Tiếng Anh Giao Tiếp, Khai Thác Cảng Biển, Lập Kế Hoạch</t>
        </is>
      </c>
      <c r="M1628" s="10" t="inlineStr">
        <is>
          <t>Bonus, Healthcare Plan, Paid Leave</t>
        </is>
      </c>
      <c r="N1628" s="11">
        <f>HYPERLINK("https://www.vietnamworks.com/nhan-vien-djieu-djo-ke-hoach-2012595-jv","Xem chi tiết")</f>
        <v/>
      </c>
      <c r="O1628" s="10" t="n"/>
    </row>
    <row r="1629">
      <c r="B1629" s="7" t="n">
        <v>1627</v>
      </c>
      <c r="C1629" t="inlineStr">
        <is>
          <t>Tiktok Shop E-Commerce Leader</t>
        </is>
      </c>
      <c r="D1629" t="inlineStr">
        <is>
          <t>Công Ty TNHH Thực Phẩm Trung Minh Thành</t>
        </is>
      </c>
      <c r="E1629" t="inlineStr">
        <is>
          <t>Thương lượng</t>
        </is>
      </c>
      <c r="F1629" t="inlineStr">
        <is>
          <t>Hồ Chí Minh</t>
        </is>
      </c>
      <c r="G1629" t="inlineStr">
        <is>
          <t>Nhân viên</t>
        </is>
      </c>
      <c r="H1629" t="inlineStr">
        <is>
          <t>23/02/2026</t>
        </is>
      </c>
      <c r="I1629" t="inlineStr">
        <is>
          <t>25/03/2026</t>
        </is>
      </c>
      <c r="J1629" t="inlineStr">
        <is>
          <t>17/03/2026</t>
        </is>
      </c>
      <c r="K1629" t="inlineStr">
        <is>
          <t>N/A</t>
        </is>
      </c>
      <c r="L1629" t="inlineStr">
        <is>
          <t>Quản Lý Tiktok Shop, Quảng Cáo Adwords, Phân Tích Số Liệu, Google Spreadsheet, Kỹ năng làm việc nhóm</t>
        </is>
      </c>
      <c r="M1629" t="inlineStr">
        <is>
          <t>Bonus, Paid Leave</t>
        </is>
      </c>
      <c r="N1629" s="8">
        <f>HYPERLINK("https://www.vietnamworks.com/tiktok-shop-e-commerce-leader-2012617-jv","Xem chi tiết")</f>
        <v/>
      </c>
    </row>
    <row r="1630">
      <c r="B1630" s="9" t="n">
        <v>1628</v>
      </c>
      <c r="C1630" s="10" t="inlineStr">
        <is>
          <t>Nhân Viên Kho</t>
        </is>
      </c>
      <c r="D1630" s="10" t="inlineStr">
        <is>
          <t>Nippon Express Vietnam</t>
        </is>
      </c>
      <c r="E1630" s="10" t="inlineStr">
        <is>
          <t>Thương lượng</t>
        </is>
      </c>
      <c r="F1630" s="10" t="inlineStr">
        <is>
          <t>Bắc Ninh</t>
        </is>
      </c>
      <c r="G1630" s="10" t="inlineStr">
        <is>
          <t>Mới Tốt Nghiệp</t>
        </is>
      </c>
      <c r="H1630" s="10" t="inlineStr">
        <is>
          <t>23/02/2026</t>
        </is>
      </c>
      <c r="I1630" s="10" t="inlineStr">
        <is>
          <t>25/03/2026</t>
        </is>
      </c>
      <c r="J1630" s="10" t="inlineStr">
        <is>
          <t>17/03/2026</t>
        </is>
      </c>
      <c r="K1630" s="10" t="inlineStr">
        <is>
          <t>N/A</t>
        </is>
      </c>
      <c r="L1630" s="10" t="inlineStr">
        <is>
          <t>Kiểm Soát Kho, Quản Lý Kho, Warehouse Management, Warehouse Monitoring, Warehouse Operation</t>
        </is>
      </c>
      <c r="M1630" s="10" t="inlineStr">
        <is>
          <t>Bonus, Healthcare Plan, Team Activities</t>
        </is>
      </c>
      <c r="N1630" s="11">
        <f>HYPERLINK("https://www.vietnamworks.com/nhan-vien-kho-2012607-jv","Xem chi tiết")</f>
        <v/>
      </c>
      <c r="O1630" s="10" t="n"/>
    </row>
    <row r="1631">
      <c r="B1631" s="7" t="n">
        <v>1629</v>
      </c>
      <c r="C1631" t="inlineStr">
        <is>
          <t>Nhân Viên Bộ Phận QC</t>
        </is>
      </c>
      <c r="D1631" t="inlineStr">
        <is>
          <t>Microtechno Vietnam</t>
        </is>
      </c>
      <c r="E1631" t="inlineStr">
        <is>
          <t>Thương lượng</t>
        </is>
      </c>
      <c r="F1631" t="inlineStr">
        <is>
          <t>Hưng Yên</t>
        </is>
      </c>
      <c r="G1631" t="inlineStr">
        <is>
          <t>Mới Tốt Nghiệp</t>
        </is>
      </c>
      <c r="H1631" t="inlineStr">
        <is>
          <t>23/02/2026</t>
        </is>
      </c>
      <c r="I1631" t="inlineStr">
        <is>
          <t>25/03/2026</t>
        </is>
      </c>
      <c r="J1631" t="inlineStr">
        <is>
          <t>17/03/2026</t>
        </is>
      </c>
      <c r="K1631" t="inlineStr">
        <is>
          <t>N/A</t>
        </is>
      </c>
      <c r="L1631" t="inlineStr">
        <is>
          <t>Cơ Khí, Kỹ Thuật Cơ Khí, Bản Vẽ Kỹ Thuật, Kiểm Soát Chất Lượng, Quality Control</t>
        </is>
      </c>
      <c r="M1631" t="inlineStr">
        <is>
          <t>Bonus, Healthcare Plan, Others</t>
        </is>
      </c>
      <c r="N1631" s="8">
        <f>HYPERLINK("https://www.vietnamworks.com/nhan-vien-bo-phan-qc-2012602-jv","Xem chi tiết")</f>
        <v/>
      </c>
    </row>
    <row r="1632">
      <c r="B1632" s="9" t="n">
        <v>1630</v>
      </c>
      <c r="C1632" s="10" t="inlineStr">
        <is>
          <t xml:space="preserve">Middle Software Engineer (Generative AI) </t>
        </is>
      </c>
      <c r="D1632" s="10" t="inlineStr">
        <is>
          <t>Navigos Group</t>
        </is>
      </c>
      <c r="E1632" s="10" t="inlineStr">
        <is>
          <t>Thương lượng</t>
        </is>
      </c>
      <c r="F1632" s="10" t="inlineStr">
        <is>
          <t>Hồ Chí Minh</t>
        </is>
      </c>
      <c r="G1632" s="10" t="inlineStr">
        <is>
          <t>Nhân viên</t>
        </is>
      </c>
      <c r="H1632" s="10" t="inlineStr">
        <is>
          <t>23/02/2026</t>
        </is>
      </c>
      <c r="I1632" s="10" t="inlineStr">
        <is>
          <t>25/03/2026</t>
        </is>
      </c>
      <c r="J1632" s="10" t="inlineStr">
        <is>
          <t>17/03/2026</t>
        </is>
      </c>
      <c r="K1632" s="10" t="inlineStr">
        <is>
          <t>N/A</t>
        </is>
      </c>
      <c r="L1632" s="10" t="inlineStr">
        <is>
          <t>Algorithms, Data Structure, System Design</t>
        </is>
      </c>
      <c r="M1632" s="10" t="inlineStr">
        <is>
          <t>Training, Others</t>
        </is>
      </c>
      <c r="N1632" s="11">
        <f>HYPERLINK("https://www.vietnamworks.com/middle-software-engineer-generative-ai-2012605-jv","Xem chi tiết")</f>
        <v/>
      </c>
      <c r="O1632" s="10" t="n"/>
    </row>
    <row r="1633">
      <c r="B1633" s="7" t="n">
        <v>1631</v>
      </c>
      <c r="C1633" t="inlineStr">
        <is>
          <t>Customer Service Staff</t>
        </is>
      </c>
      <c r="D1633" t="inlineStr">
        <is>
          <t>CN Hồ Chí Minh - Công Ty TNHH Hans World Việt Nam</t>
        </is>
      </c>
      <c r="E1633" t="inlineStr">
        <is>
          <t>Thương lượng</t>
        </is>
      </c>
      <c r="F1633" t="inlineStr">
        <is>
          <t>Hồ Chí Minh</t>
        </is>
      </c>
      <c r="G1633" t="inlineStr">
        <is>
          <t>Nhân viên</t>
        </is>
      </c>
      <c r="H1633" t="inlineStr">
        <is>
          <t>23/02/2026</t>
        </is>
      </c>
      <c r="I1633" t="inlineStr">
        <is>
          <t>25/03/2026</t>
        </is>
      </c>
      <c r="J1633" t="inlineStr">
        <is>
          <t>17/03/2026</t>
        </is>
      </c>
      <c r="K1633" t="inlineStr">
        <is>
          <t>N/A</t>
        </is>
      </c>
      <c r="L1633" t="inlineStr">
        <is>
          <t>Cargo Handling, Freight Booking, International Economics, Document &amp; Cargo Handling, Chăm Sóc Khách Hàng</t>
        </is>
      </c>
      <c r="M1633" t="inlineStr">
        <is>
          <t>Healthcare Plan, Training, Others</t>
        </is>
      </c>
      <c r="N1633" s="8">
        <f>HYPERLINK("https://www.vietnamworks.com/customer-service-staff-2012606-jv","Xem chi tiết")</f>
        <v/>
      </c>
    </row>
    <row r="1634">
      <c r="B1634" s="9" t="n">
        <v>1632</v>
      </c>
      <c r="C1634" s="10" t="inlineStr">
        <is>
          <t>Senior Sales Executive (Freight Forwarding / Logistics)</t>
        </is>
      </c>
      <c r="D1634" s="10" t="inlineStr">
        <is>
          <t>Oriental Logistics (Vietnam) CO., LTD</t>
        </is>
      </c>
      <c r="E1634" s="10" t="inlineStr">
        <is>
          <t>Thương lượng</t>
        </is>
      </c>
      <c r="F1634" s="10" t="inlineStr">
        <is>
          <t>Hồ Chí Minh, Hải Phòng, Hà Nội</t>
        </is>
      </c>
      <c r="G1634" s="10" t="inlineStr">
        <is>
          <t>Nhân viên</t>
        </is>
      </c>
      <c r="H1634" s="10" t="inlineStr">
        <is>
          <t>23/02/2026</t>
        </is>
      </c>
      <c r="I1634" s="10" t="inlineStr">
        <is>
          <t>25/03/2026</t>
        </is>
      </c>
      <c r="J1634" s="10" t="inlineStr">
        <is>
          <t>17/03/2026</t>
        </is>
      </c>
      <c r="K1634" s="10" t="inlineStr">
        <is>
          <t>N/A</t>
        </is>
      </c>
      <c r="L1634" s="10" t="inlineStr">
        <is>
          <t>Communication Skills, Customer Insight &amp; Market Research, Negotiation &amp; Influencing, Long Term Relationship Building, Time Management</t>
        </is>
      </c>
      <c r="M1634" s="10" t="inlineStr">
        <is>
          <t>Bonus, Healthcare Plan, Travel Opportunities</t>
        </is>
      </c>
      <c r="N1634" s="11">
        <f>HYPERLINK("https://www.vietnamworks.com/senior-sales-executive-freight-forwarding-logistics-2012610-jv","Xem chi tiết")</f>
        <v/>
      </c>
      <c r="O1634" s="10" t="n"/>
    </row>
    <row r="1635">
      <c r="B1635" s="7" t="n">
        <v>1633</v>
      </c>
      <c r="C1635" t="inlineStr">
        <is>
          <t>Kế Toán Tổng Hợp</t>
        </is>
      </c>
      <c r="D1635" t="inlineStr">
        <is>
          <t>CÔNG TY TNHH KỸ THUẬT TÂN VIỆT</t>
        </is>
      </c>
      <c r="E1635" t="inlineStr">
        <is>
          <t>15tr-18tr ₫/tháng</t>
        </is>
      </c>
      <c r="F1635" t="inlineStr">
        <is>
          <t>Hà Nội</t>
        </is>
      </c>
      <c r="G1635" t="inlineStr">
        <is>
          <t>Nhân viên</t>
        </is>
      </c>
      <c r="H1635" t="inlineStr">
        <is>
          <t>23/02/2026</t>
        </is>
      </c>
      <c r="I1635" t="inlineStr">
        <is>
          <t>25/03/2026</t>
        </is>
      </c>
      <c r="J1635" t="inlineStr">
        <is>
          <t>17/03/2026</t>
        </is>
      </c>
      <c r="K1635" t="inlineStr">
        <is>
          <t>N/A</t>
        </is>
      </c>
      <c r="L1635" t="inlineStr">
        <is>
          <t>Kế Toán, Quyết Toán Thuế, Kế Toán Tổng Hợp, General Accountant, Lập Báo Cáo Tài Chính</t>
        </is>
      </c>
      <c r="M1635" t="inlineStr">
        <is>
          <t>Bonus, Healthcare Plan, Team Activities, Others</t>
        </is>
      </c>
      <c r="N1635" s="8">
        <f>HYPERLINK("https://www.vietnamworks.com/ke-toan-tong-hop-2012596-jv","Xem chi tiết")</f>
        <v/>
      </c>
    </row>
    <row r="1636">
      <c r="B1636" s="9" t="n">
        <v>1634</v>
      </c>
      <c r="C1636" s="10" t="inlineStr">
        <is>
          <t>Specialist, HR Operations</t>
        </is>
      </c>
      <c r="D1636" s="10" t="inlineStr">
        <is>
          <t>Công Ty TNHH Pandora Production Việt Nam</t>
        </is>
      </c>
      <c r="E1636" s="10" t="inlineStr">
        <is>
          <t>Thương lượng</t>
        </is>
      </c>
      <c r="F1636" s="10" t="inlineStr">
        <is>
          <t>Hồ Chí Minh</t>
        </is>
      </c>
      <c r="G1636" s="10" t="inlineStr">
        <is>
          <t>Nhân viên</t>
        </is>
      </c>
      <c r="H1636" s="10" t="inlineStr">
        <is>
          <t>23/02/2026</t>
        </is>
      </c>
      <c r="I1636" s="10" t="inlineStr">
        <is>
          <t>25/03/2026</t>
        </is>
      </c>
      <c r="J1636" s="10" t="inlineStr">
        <is>
          <t>17/03/2026</t>
        </is>
      </c>
      <c r="K1636" s="10" t="inlineStr">
        <is>
          <t>N/A</t>
        </is>
      </c>
      <c r="L1636" s="10" t="inlineStr">
        <is>
          <t>Payroll System, HRIS System, Compensation Process, C&amp;B</t>
        </is>
      </c>
      <c r="M1636" s="10" t="inlineStr">
        <is>
          <t>Bonus, Transportation</t>
        </is>
      </c>
      <c r="N1636" s="11">
        <f>HYPERLINK("https://www.vietnamworks.com/specialist-hr-operations--2012609-jv","Xem chi tiết")</f>
        <v/>
      </c>
      <c r="O1636" s="10" t="n"/>
    </row>
    <row r="1637">
      <c r="B1637" s="7" t="n">
        <v>1635</v>
      </c>
      <c r="C1637" t="inlineStr">
        <is>
          <t>Supplier Quality Engineer (Kitchen/ Blinds)</t>
        </is>
      </c>
      <c r="D1637" t="inlineStr">
        <is>
          <t>THE RO OF HOME DEPOT INTERNATIONAL, INC. IN HCM</t>
        </is>
      </c>
      <c r="E1637" t="inlineStr">
        <is>
          <t>Thương lượng</t>
        </is>
      </c>
      <c r="F1637" t="inlineStr">
        <is>
          <t>Hồ Chí Minh</t>
        </is>
      </c>
      <c r="G1637" t="inlineStr">
        <is>
          <t>Nhân viên</t>
        </is>
      </c>
      <c r="H1637" t="inlineStr">
        <is>
          <t>23/02/2026</t>
        </is>
      </c>
      <c r="I1637" t="inlineStr">
        <is>
          <t>25/03/2026</t>
        </is>
      </c>
      <c r="J1637" t="inlineStr">
        <is>
          <t>17/03/2026</t>
        </is>
      </c>
      <c r="K1637" t="inlineStr">
        <is>
          <t>N/A</t>
        </is>
      </c>
      <c r="L1637" t="inlineStr">
        <is>
          <t>English, ISO 9001, Quality Assurance, Quality Tools, Supplier Quality Management</t>
        </is>
      </c>
      <c r="M1637" t="inlineStr">
        <is>
          <t>Bonus, Healthcare Plan, Training, Team Activities, Others</t>
        </is>
      </c>
      <c r="N1637" s="8">
        <f>HYPERLINK("https://www.vietnamworks.com/supplier-quality-engineer-kitchen-blinds-2012611-jv","Xem chi tiết")</f>
        <v/>
      </c>
    </row>
    <row r="1638">
      <c r="B1638" s="9" t="n">
        <v>1636</v>
      </c>
      <c r="C1638" s="10" t="inlineStr">
        <is>
          <t>Sales Logistics | Nhân Viên Kinh Doanh Xuất Nhập Khẩu</t>
        </is>
      </c>
      <c r="D1638" s="10" t="inlineStr">
        <is>
          <t>CN Hồ Chí Minh - Công Ty TNHH Hans World Việt Nam</t>
        </is>
      </c>
      <c r="E1638" s="10" t="inlineStr">
        <is>
          <t>Thương lượng</t>
        </is>
      </c>
      <c r="F1638" s="10" t="inlineStr">
        <is>
          <t>Hồ Chí Minh</t>
        </is>
      </c>
      <c r="G1638" s="10" t="inlineStr">
        <is>
          <t>Nhân viên</t>
        </is>
      </c>
      <c r="H1638" s="10" t="inlineStr">
        <is>
          <t>23/02/2026</t>
        </is>
      </c>
      <c r="I1638" s="10" t="inlineStr">
        <is>
          <t>25/03/2026</t>
        </is>
      </c>
      <c r="J1638" s="10" t="inlineStr">
        <is>
          <t>17/03/2026</t>
        </is>
      </c>
      <c r="K1638" s="10" t="inlineStr">
        <is>
          <t>N/A</t>
        </is>
      </c>
      <c r="L1638" s="10" t="inlineStr">
        <is>
          <t>Customs Procedures, Freight Forwarding Sales, International Trade, Logistics Sales, Shipping Business</t>
        </is>
      </c>
      <c r="M1638" s="10" t="inlineStr">
        <is>
          <t>Bonus, Healthcare Plan, Paid Leave, Team Activities</t>
        </is>
      </c>
      <c r="N1638" s="11">
        <f>HYPERLINK("https://www.vietnamworks.com/sales-logistics-or-nhan-vien-kinh-doanh-xuat-nhap-khau-2012608-jv","Xem chi tiết")</f>
        <v/>
      </c>
      <c r="O1638" s="10" t="n"/>
    </row>
    <row r="1639">
      <c r="B1639" s="7" t="n">
        <v>1637</v>
      </c>
      <c r="C1639" t="inlineStr">
        <is>
          <t>MT Key Account Manager (MT Channel)</t>
        </is>
      </c>
      <c r="D1639" t="inlineStr">
        <is>
          <t>Công Ty TNHH Thực Phẩm Trung Minh Thành</t>
        </is>
      </c>
      <c r="E1639" t="inlineStr">
        <is>
          <t>Thương lượng</t>
        </is>
      </c>
      <c r="F1639" t="inlineStr">
        <is>
          <t>Hồ Chí Minh</t>
        </is>
      </c>
      <c r="G1639" t="inlineStr">
        <is>
          <t>Nhân viên</t>
        </is>
      </c>
      <c r="H1639" t="inlineStr">
        <is>
          <t>23/02/2026</t>
        </is>
      </c>
      <c r="I1639" t="inlineStr">
        <is>
          <t>25/03/2026</t>
        </is>
      </c>
      <c r="J1639" t="inlineStr">
        <is>
          <t>17/03/2026</t>
        </is>
      </c>
      <c r="K1639" t="inlineStr">
        <is>
          <t>N/A</t>
        </is>
      </c>
      <c r="L1639" t="inlineStr">
        <is>
          <t>Key Account Management, Data Analysis, Trade Marketing, Sales Forecast, Communication</t>
        </is>
      </c>
      <c r="M1639" t="inlineStr">
        <is>
          <t>Bonus, Paid Leave</t>
        </is>
      </c>
      <c r="N1639" s="8">
        <f>HYPERLINK("https://www.vietnamworks.com/mt-key-account-manager-mt-channel-2012612-jv","Xem chi tiết")</f>
        <v/>
      </c>
    </row>
    <row r="1640">
      <c r="B1640" s="9" t="n">
        <v>1638</v>
      </c>
      <c r="C1640" s="10" t="inlineStr">
        <is>
          <t>Urgent - Phó Phòng Kinh Doanh (Sales Deputy Manager) Sales Engineer - Tiếng Nhật N3 Trở Lên</t>
        </is>
      </c>
      <c r="D1640" s="10" t="inlineStr">
        <is>
          <t>Microtechno Vietnam</t>
        </is>
      </c>
      <c r="E1640" s="10" t="inlineStr">
        <is>
          <t>Thương lượng</t>
        </is>
      </c>
      <c r="F1640" s="10" t="inlineStr">
        <is>
          <t>Hưng Yên</t>
        </is>
      </c>
      <c r="G1640" s="10" t="inlineStr">
        <is>
          <t>Trưởng phòng</t>
        </is>
      </c>
      <c r="H1640" s="10" t="inlineStr">
        <is>
          <t>23/02/2026</t>
        </is>
      </c>
      <c r="I1640" s="10" t="inlineStr">
        <is>
          <t>25/03/2026</t>
        </is>
      </c>
      <c r="J1640" s="10" t="inlineStr">
        <is>
          <t>17/03/2026</t>
        </is>
      </c>
      <c r="K1640" s="10" t="inlineStr">
        <is>
          <t>N/A</t>
        </is>
      </c>
      <c r="L1640" s="10" t="inlineStr">
        <is>
          <t>Kinh Doanh Xuất Nhập Khẩu, Logistics, Hải Quan, Phân Tích Giá, Kỹ năng đàm phán</t>
        </is>
      </c>
      <c r="M1640" s="10" t="inlineStr">
        <is>
          <t>Bonus, Healthcare Plan, Others</t>
        </is>
      </c>
      <c r="N1640" s="11">
        <f>HYPERLINK("https://www.vietnamworks.com/urgent-pho-phong-kinh-doanh-sales-deputy-manager-sales-engineer-tieng-nhat-n3-tro-len-2012603-jv","Xem chi tiết")</f>
        <v/>
      </c>
      <c r="O1640" s="10" t="n"/>
    </row>
    <row r="1641">
      <c r="B1641" s="7" t="n">
        <v>1639</v>
      </c>
      <c r="C1641" t="inlineStr">
        <is>
          <t>Ecommerce Digital &amp; Media Manager</t>
        </is>
      </c>
      <c r="D1641" t="inlineStr">
        <is>
          <t>Abbott</t>
        </is>
      </c>
      <c r="E1641" t="inlineStr">
        <is>
          <t>Thương lượng</t>
        </is>
      </c>
      <c r="F1641" t="inlineStr">
        <is>
          <t>Hồ Chí Minh</t>
        </is>
      </c>
      <c r="G1641" t="inlineStr">
        <is>
          <t>Trưởng phòng</t>
        </is>
      </c>
      <c r="H1641" t="inlineStr">
        <is>
          <t>23/02/2026</t>
        </is>
      </c>
      <c r="I1641" t="inlineStr">
        <is>
          <t>25/03/2026</t>
        </is>
      </c>
      <c r="J1641" t="inlineStr">
        <is>
          <t>17/03/2026</t>
        </is>
      </c>
      <c r="K1641" t="inlineStr">
        <is>
          <t>N/A</t>
        </is>
      </c>
      <c r="L1641" t="inlineStr">
        <is>
          <t>Communication Skills, Data Analysis, Digital Marketing, E-Commerce Management, Media Planning</t>
        </is>
      </c>
      <c r="M1641" t="inlineStr">
        <is>
          <t>Training, Others</t>
        </is>
      </c>
      <c r="N1641" s="8">
        <f>HYPERLINK("https://www.vietnamworks.com/ecommerce-digital-and-media-manager-2012623-jv","Xem chi tiết")</f>
        <v/>
      </c>
    </row>
    <row r="1642">
      <c r="B1642" s="9" t="n">
        <v>1640</v>
      </c>
      <c r="C1642" s="10" t="inlineStr">
        <is>
          <t>Chuyên Viên Kinh Doanh GT</t>
        </is>
      </c>
      <c r="D1642" s="10" t="inlineStr">
        <is>
          <t>Casper Vietnam., JSC</t>
        </is>
      </c>
      <c r="E1642" s="10" t="inlineStr">
        <is>
          <t>$$ 800-1,000 /tháng</t>
        </is>
      </c>
      <c r="F1642" s="10" t="inlineStr">
        <is>
          <t>Hà Nội, Hồ Chí Minh</t>
        </is>
      </c>
      <c r="G1642" s="10" t="inlineStr">
        <is>
          <t>Nhân viên</t>
        </is>
      </c>
      <c r="H1642" s="10" t="inlineStr">
        <is>
          <t>23/02/2026</t>
        </is>
      </c>
      <c r="I1642" s="10" t="inlineStr">
        <is>
          <t>25/03/2026</t>
        </is>
      </c>
      <c r="J1642" s="10" t="inlineStr">
        <is>
          <t>17/03/2026</t>
        </is>
      </c>
      <c r="K1642" s="10" t="inlineStr">
        <is>
          <t>N/A</t>
        </is>
      </c>
      <c r="L1642" s="10" t="inlineStr">
        <is>
          <t>ASM, General Trade, B2B Sale, Consumer Electronics, FMCG industry</t>
        </is>
      </c>
      <c r="M1642" s="10" t="inlineStr">
        <is>
          <t>Bonus, Healthcare Plan, Paid Leave</t>
        </is>
      </c>
      <c r="N1642" s="11">
        <f>HYPERLINK("https://www.vietnamworks.com/chuyen-vien-kinh-doanh-gt-2012622-jv","Xem chi tiết")</f>
        <v/>
      </c>
      <c r="O1642" s="10" t="n"/>
    </row>
    <row r="1643">
      <c r="B1643" s="7" t="n">
        <v>1641</v>
      </c>
      <c r="C1643" t="inlineStr">
        <is>
          <t>Forwarding Document Staff</t>
        </is>
      </c>
      <c r="D1643" t="inlineStr">
        <is>
          <t>CN Hồ Chí Minh - Công Ty TNHH Hans World Việt Nam</t>
        </is>
      </c>
      <c r="E1643" t="inlineStr">
        <is>
          <t>Thương lượng</t>
        </is>
      </c>
      <c r="F1643" t="inlineStr">
        <is>
          <t>Hồ Chí Minh</t>
        </is>
      </c>
      <c r="G1643" t="inlineStr">
        <is>
          <t>Nhân viên</t>
        </is>
      </c>
      <c r="H1643" t="inlineStr">
        <is>
          <t>23/02/2026</t>
        </is>
      </c>
      <c r="I1643" t="inlineStr">
        <is>
          <t>25/03/2026</t>
        </is>
      </c>
      <c r="J1643" t="inlineStr">
        <is>
          <t>17/03/2026</t>
        </is>
      </c>
      <c r="K1643" t="inlineStr">
        <is>
          <t>N/A</t>
        </is>
      </c>
      <c r="L1643" t="inlineStr">
        <is>
          <t>Cargo Booking, Foreign Trade, Import/Export Documentation, Maritime Transportation Logistics, Shipment Management</t>
        </is>
      </c>
      <c r="M1643" t="inlineStr">
        <is>
          <t>Bonus, Healthcare Plan, Paid Leave, Training</t>
        </is>
      </c>
      <c r="N1643" s="8">
        <f>HYPERLINK("https://www.vietnamworks.com/forwarding-document-staff-2012619-jv","Xem chi tiết")</f>
        <v/>
      </c>
    </row>
    <row r="1644">
      <c r="B1644" s="9" t="n">
        <v>1642</v>
      </c>
      <c r="C1644" s="10" t="inlineStr">
        <is>
          <t>Head of Business Planning</t>
        </is>
      </c>
      <c r="D1644" s="10" t="inlineStr">
        <is>
          <t>Vietnamworks' Client</t>
        </is>
      </c>
      <c r="E1644" s="10" t="inlineStr">
        <is>
          <t>Thương lượng</t>
        </is>
      </c>
      <c r="F1644" s="10" t="inlineStr">
        <is>
          <t>Hồ Chí Minh</t>
        </is>
      </c>
      <c r="G1644" s="10" t="inlineStr">
        <is>
          <t>Trưởng phòng</t>
        </is>
      </c>
      <c r="H1644" s="10" t="inlineStr">
        <is>
          <t>23/02/2026</t>
        </is>
      </c>
      <c r="I1644" s="10" t="inlineStr">
        <is>
          <t>25/03/2026</t>
        </is>
      </c>
      <c r="J1644" s="10" t="inlineStr">
        <is>
          <t>17/03/2026</t>
        </is>
      </c>
      <c r="K1644" s="10" t="inlineStr">
        <is>
          <t>N/A</t>
        </is>
      </c>
      <c r="L1644" s="10" t="inlineStr">
        <is>
          <t>Business Planning, Strategy Execution, Performance Management, Commercial Planning, Business Strategic Planning</t>
        </is>
      </c>
      <c r="M1644" s="10" t="inlineStr">
        <is>
          <t>Bonus, Healthcare Plan, Laptop</t>
        </is>
      </c>
      <c r="N1644" s="11">
        <f>HYPERLINK("https://www.vietnamworks.com/head-of-business-planning-2012630-jv","Xem chi tiết")</f>
        <v/>
      </c>
      <c r="O1644" s="10" t="n"/>
    </row>
    <row r="1645">
      <c r="B1645" s="7" t="n">
        <v>1643</v>
      </c>
      <c r="C1645" t="inlineStr">
        <is>
          <t>Modern Trade Manager (Include Mom &amp; Baby Chain)</t>
        </is>
      </c>
      <c r="D1645" t="inlineStr">
        <is>
          <t>Công Ty TNHH Thực Phẩm Trung Minh Thành</t>
        </is>
      </c>
      <c r="E1645" t="inlineStr">
        <is>
          <t>$$ 2,000-3,000 /tháng</t>
        </is>
      </c>
      <c r="F1645" t="inlineStr">
        <is>
          <t>Hồ Chí Minh</t>
        </is>
      </c>
      <c r="G1645" t="inlineStr">
        <is>
          <t>Trưởng phòng</t>
        </is>
      </c>
      <c r="H1645" t="inlineStr">
        <is>
          <t>23/02/2026</t>
        </is>
      </c>
      <c r="I1645" t="inlineStr">
        <is>
          <t>25/03/2026</t>
        </is>
      </c>
      <c r="J1645" t="inlineStr">
        <is>
          <t>17/03/2026</t>
        </is>
      </c>
      <c r="K1645" t="inlineStr">
        <is>
          <t>N/A</t>
        </is>
      </c>
      <c r="L1645" t="inlineStr">
        <is>
          <t>Sales Management, FMCG, Key Account Management, Modern Trade Planning, Business Planning</t>
        </is>
      </c>
      <c r="M1645" t="inlineStr">
        <is>
          <t>Bonus, Paid Leave</t>
        </is>
      </c>
      <c r="N1645" s="8">
        <f>HYPERLINK("https://www.vietnamworks.com/modern-trade-manager-include-mom-and-baby-chain-2012618-jv","Xem chi tiết")</f>
        <v/>
      </c>
    </row>
    <row r="1646">
      <c r="B1646" s="9" t="n">
        <v>1644</v>
      </c>
      <c r="C1646" s="10" t="inlineStr">
        <is>
          <t>Senior Associate - IT Risk Assurance Services</t>
        </is>
      </c>
      <c r="D1646" s="10" t="inlineStr">
        <is>
          <t>PwC (Vietnam) Ltd.</t>
        </is>
      </c>
      <c r="E1646" s="10" t="inlineStr">
        <is>
          <t>Thương lượng</t>
        </is>
      </c>
      <c r="F1646" s="10" t="inlineStr">
        <is>
          <t>Hồ Chí Minh, Hà Nội</t>
        </is>
      </c>
      <c r="G1646" s="10" t="inlineStr">
        <is>
          <t>Nhân viên</t>
        </is>
      </c>
      <c r="H1646" s="10" t="inlineStr">
        <is>
          <t>23/02/2026</t>
        </is>
      </c>
      <c r="I1646" s="10" t="inlineStr">
        <is>
          <t>25/03/2026</t>
        </is>
      </c>
      <c r="J1646" s="10" t="inlineStr">
        <is>
          <t>17/03/2026</t>
        </is>
      </c>
      <c r="K1646" s="10" t="inlineStr">
        <is>
          <t>N/A</t>
        </is>
      </c>
      <c r="L1646" s="10" t="inlineStr">
        <is>
          <t>IT Quality Assurance, IT Risk Management</t>
        </is>
      </c>
      <c r="M1646" s="10" t="inlineStr">
        <is>
          <t>Bonus, Training</t>
        </is>
      </c>
      <c r="N1646" s="11">
        <f>HYPERLINK("https://www.vietnamworks.com/senior-associate-it-risk-assurance-services-2012631-jv","Xem chi tiết")</f>
        <v/>
      </c>
      <c r="O1646" s="10" t="n"/>
    </row>
    <row r="1647">
      <c r="B1647" s="7" t="n">
        <v>1645</v>
      </c>
      <c r="C1647" t="inlineStr">
        <is>
          <t>Sales Inbound (French, Italian, Spanish, English)</t>
        </is>
      </c>
      <c r="D1647" t="inlineStr">
        <is>
          <t>AUTHENTIK VIETNAM</t>
        </is>
      </c>
      <c r="E1647" t="inlineStr">
        <is>
          <t>15tr-30tr ₫/tháng</t>
        </is>
      </c>
      <c r="F1647" t="inlineStr">
        <is>
          <t>Hà Nội</t>
        </is>
      </c>
      <c r="G1647" t="inlineStr">
        <is>
          <t>Nhân viên</t>
        </is>
      </c>
      <c r="H1647" t="inlineStr">
        <is>
          <t>23/02/2026</t>
        </is>
      </c>
      <c r="I1647" t="inlineStr">
        <is>
          <t>25/03/2026</t>
        </is>
      </c>
      <c r="J1647" t="inlineStr">
        <is>
          <t>17/03/2026</t>
        </is>
      </c>
      <c r="K1647" t="inlineStr">
        <is>
          <t>N/A</t>
        </is>
      </c>
      <c r="L1647" t="inlineStr">
        <is>
          <t>Inbound Sales, Communication, Negotiation, Bilingual Proficiency, Teamwork</t>
        </is>
      </c>
      <c r="M1647" t="inlineStr">
        <is>
          <t>Bonus, Healthcare Plan, Paid Leave, Training, Others</t>
        </is>
      </c>
      <c r="N1647" s="8">
        <f>HYPERLINK("https://www.vietnamworks.com/sales-inbound-french-italian-spanish-english-2012632-jv","Xem chi tiết")</f>
        <v/>
      </c>
    </row>
    <row r="1648">
      <c r="B1648" s="9" t="n">
        <v>1646</v>
      </c>
      <c r="C1648" s="10" t="inlineStr">
        <is>
          <t>Nhân Viên Mua Hàng Xuất Nhập Khẩu (Purchasing)</t>
        </is>
      </c>
      <c r="D1648" s="10" t="inlineStr">
        <is>
          <t>Công ty cổ phần Tập đoàn OSB</t>
        </is>
      </c>
      <c r="E1648" s="10" t="inlineStr">
        <is>
          <t>12tr-15tr ₫/tháng</t>
        </is>
      </c>
      <c r="F1648" s="10" t="inlineStr">
        <is>
          <t>Hà Nội</t>
        </is>
      </c>
      <c r="G1648" s="10" t="inlineStr">
        <is>
          <t>Nhân viên</t>
        </is>
      </c>
      <c r="H1648" s="10" t="inlineStr">
        <is>
          <t>23/02/2026</t>
        </is>
      </c>
      <c r="I1648" s="10" t="inlineStr">
        <is>
          <t>25/03/2026</t>
        </is>
      </c>
      <c r="J1648" s="10" t="inlineStr">
        <is>
          <t>17/03/2026</t>
        </is>
      </c>
      <c r="K1648" s="10" t="inlineStr">
        <is>
          <t>N/A</t>
        </is>
      </c>
      <c r="L1648" s="10" t="inlineStr">
        <is>
          <t>Xuất Nhập Khẩu, Logistics, Đàm Phán Hợp Đồng, Giao Tiếp Tiếng Anh, Mua Hàng</t>
        </is>
      </c>
      <c r="M1648" s="10" t="inlineStr">
        <is>
          <t>Bonus, Healthcare Plan, Training, Team Activities, Others</t>
        </is>
      </c>
      <c r="N1648" s="11">
        <f>HYPERLINK("https://www.vietnamworks.com/nhan-vien-mua-hang-xuat-nhap-khau-purchasing-2012624-jv","Xem chi tiết")</f>
        <v/>
      </c>
      <c r="O1648" s="10" t="n"/>
    </row>
    <row r="1649">
      <c r="B1649" s="7" t="n">
        <v>1647</v>
      </c>
      <c r="C1649" t="inlineStr">
        <is>
          <t>Export Customs Declaration - Customer Service Staff ( Nhân Viên Khai Báo Hải Quan - Chăm sóc khách hàng Hàng Xuất)</t>
        </is>
      </c>
      <c r="D1649" t="inlineStr">
        <is>
          <t>Công ty TNHH Ice Fox Loigistics</t>
        </is>
      </c>
      <c r="E1649" t="inlineStr">
        <is>
          <t>8tr-12tr ₫/tháng</t>
        </is>
      </c>
      <c r="F1649" t="inlineStr">
        <is>
          <t>Hồ Chí Minh</t>
        </is>
      </c>
      <c r="G1649" t="inlineStr">
        <is>
          <t>Nhân viên</t>
        </is>
      </c>
      <c r="H1649" t="inlineStr">
        <is>
          <t>23/02/2026</t>
        </is>
      </c>
      <c r="I1649" t="inlineStr">
        <is>
          <t>25/03/2026</t>
        </is>
      </c>
      <c r="J1649" t="inlineStr">
        <is>
          <t>17/03/2026</t>
        </is>
      </c>
      <c r="K1649" t="inlineStr">
        <is>
          <t>N/A</t>
        </is>
      </c>
      <c r="L1649" t="inlineStr">
        <is>
          <t>Customs Declare, HS Code, Incoterms 2000, Problem-solving</t>
        </is>
      </c>
      <c r="M1649" t="inlineStr">
        <is>
          <t>Bonus, Healthcare Plan, Travel Opportunities</t>
        </is>
      </c>
      <c r="N1649" s="8">
        <f>HYPERLINK("https://www.vietnamworks.com/export-customs-declaration-customer-service-staff-nhan-vien-khai-bao-hai-quan-cham-soc-khach-hang-hang-xuat-2012639-jv","Xem chi tiết")</f>
        <v/>
      </c>
    </row>
    <row r="1650">
      <c r="B1650" s="9" t="n">
        <v>1648</v>
      </c>
      <c r="C1650" s="10" t="inlineStr">
        <is>
          <t>Sales Planning Executive (Hải Phòng / Bắc Ninh)</t>
        </is>
      </c>
      <c r="D1650" s="10" t="inlineStr">
        <is>
          <t>Orion Food Vina Co,. Ltd - Head Office</t>
        </is>
      </c>
      <c r="E1650" s="10" t="inlineStr">
        <is>
          <t>Thương lượng</t>
        </is>
      </c>
      <c r="F1650" s="10" t="inlineStr">
        <is>
          <t>Hải Phòng, Bắc Ninh</t>
        </is>
      </c>
      <c r="G1650" s="10" t="inlineStr">
        <is>
          <t>Nhân viên</t>
        </is>
      </c>
      <c r="H1650" s="10" t="inlineStr">
        <is>
          <t>23/02/2026</t>
        </is>
      </c>
      <c r="I1650" s="10" t="inlineStr">
        <is>
          <t>25/03/2026</t>
        </is>
      </c>
      <c r="J1650" s="10" t="inlineStr">
        <is>
          <t>17/03/2026</t>
        </is>
      </c>
      <c r="K1650" s="10" t="inlineStr">
        <is>
          <t>N/A</t>
        </is>
      </c>
      <c r="L1650" s="10" t="inlineStr">
        <is>
          <t>Kế Hoạch Kinh Doanh, Trade Marketing, Sales Analysis, Sales Admin, Sales Planning</t>
        </is>
      </c>
      <c r="M1650" s="10" t="inlineStr">
        <is>
          <t>Bonus, Healthcare Plan, Team Activities</t>
        </is>
      </c>
      <c r="N1650" s="11">
        <f>HYPERLINK("https://www.vietnamworks.com/sales-planning-executive-hai-phong-bac-ninh-2012643-jv","Xem chi tiết")</f>
        <v/>
      </c>
      <c r="O1650" s="10" t="n"/>
    </row>
    <row r="1651">
      <c r="B1651" s="7" t="n">
        <v>1649</v>
      </c>
      <c r="C1651" t="inlineStr">
        <is>
          <t>Nhân Viên Khai Báo Hải Quan</t>
        </is>
      </c>
      <c r="D1651" t="inlineStr">
        <is>
          <t>Dolphin Sea Air Services Corp.</t>
        </is>
      </c>
      <c r="E1651" t="inlineStr">
        <is>
          <t>Thương lượng</t>
        </is>
      </c>
      <c r="F1651" t="inlineStr">
        <is>
          <t>Hải Phòng, Phú Thọ, Hà Nội</t>
        </is>
      </c>
      <c r="G1651" t="inlineStr">
        <is>
          <t>Nhân viên</t>
        </is>
      </c>
      <c r="H1651" t="inlineStr">
        <is>
          <t>23/02/2026</t>
        </is>
      </c>
      <c r="I1651" t="inlineStr">
        <is>
          <t>25/03/2026</t>
        </is>
      </c>
      <c r="J1651" t="inlineStr">
        <is>
          <t>17/03/2026</t>
        </is>
      </c>
      <c r="K1651" t="inlineStr">
        <is>
          <t>N/A</t>
        </is>
      </c>
      <c r="L1651" t="inlineStr">
        <is>
          <t>Logistics, Forwarding, Hải Quan, Khai Báo Hải Quan, Chuẩn Bị Thủ Tục</t>
        </is>
      </c>
      <c r="M1651" t="inlineStr">
        <is>
          <t>Bonus, Healthcare Plan, Vouchers</t>
        </is>
      </c>
      <c r="N1651" s="8">
        <f>HYPERLINK("https://www.vietnamworks.com/nhan-vien-khai-bao-hai-quan-96-1-1-1-1--2012648-jv","Xem chi tiết")</f>
        <v/>
      </c>
    </row>
    <row r="1652">
      <c r="B1652" s="9" t="n">
        <v>1650</v>
      </c>
      <c r="C1652" s="10" t="inlineStr">
        <is>
          <t>Process Engineer (Mechanical, Mechatronics, Electrical Engineering)</t>
        </is>
      </c>
      <c r="D1652" s="10" t="inlineStr">
        <is>
          <t>Công Ty TNHH LG Innotek Việt Nam Hải Phòng</t>
        </is>
      </c>
      <c r="E1652" s="10" t="inlineStr">
        <is>
          <t>Thương lượng</t>
        </is>
      </c>
      <c r="F1652" s="10" t="inlineStr">
        <is>
          <t>Hải Phòng</t>
        </is>
      </c>
      <c r="G1652" s="10" t="inlineStr">
        <is>
          <t>Nhân viên</t>
        </is>
      </c>
      <c r="H1652" s="10" t="inlineStr">
        <is>
          <t>23/02/2026</t>
        </is>
      </c>
      <c r="I1652" s="10" t="inlineStr">
        <is>
          <t>25/03/2026</t>
        </is>
      </c>
      <c r="J1652" s="10" t="inlineStr">
        <is>
          <t>17/03/2026</t>
        </is>
      </c>
      <c r="K1652" s="10" t="inlineStr">
        <is>
          <t>N/A</t>
        </is>
      </c>
      <c r="L1652" s="10" t="inlineStr">
        <is>
          <t>SOP Creation, Store Setup, Process Improvement, MS Office, English Communication</t>
        </is>
      </c>
      <c r="M1652" s="10" t="inlineStr">
        <is>
          <t>Bonus, Transportation, Others</t>
        </is>
      </c>
      <c r="N1652" s="11">
        <f>HYPERLINK("https://www.vietnamworks.com/process-engineer-mechanical-mechatronics-electrical-engineering-2012627-jv","Xem chi tiết")</f>
        <v/>
      </c>
      <c r="O1652" s="10" t="n"/>
    </row>
    <row r="1653">
      <c r="B1653" s="7" t="n">
        <v>1651</v>
      </c>
      <c r="C1653" t="inlineStr">
        <is>
          <t>C&amp;B Intern</t>
        </is>
      </c>
      <c r="D1653" t="inlineStr">
        <is>
          <t>Navigos Group</t>
        </is>
      </c>
      <c r="E1653" t="inlineStr">
        <is>
          <t>Thương lượng</t>
        </is>
      </c>
      <c r="F1653" t="inlineStr">
        <is>
          <t>Hồ Chí Minh</t>
        </is>
      </c>
      <c r="G1653" t="inlineStr">
        <is>
          <t>Thực tập sinh/Sinh viên</t>
        </is>
      </c>
      <c r="H1653" t="inlineStr">
        <is>
          <t>23/02/2026</t>
        </is>
      </c>
      <c r="I1653" t="inlineStr">
        <is>
          <t>25/03/2026</t>
        </is>
      </c>
      <c r="J1653" t="inlineStr">
        <is>
          <t>17/03/2026</t>
        </is>
      </c>
      <c r="K1653" t="inlineStr">
        <is>
          <t>N/A</t>
        </is>
      </c>
      <c r="L1653" t="inlineStr">
        <is>
          <t>Basic English, Detail-oriented, Well Organized, Filing System</t>
        </is>
      </c>
      <c r="M1653" t="inlineStr">
        <is>
          <t>Training</t>
        </is>
      </c>
      <c r="N1653" s="8">
        <f>HYPERLINK("https://www.vietnamworks.com/candb-intern-2012657-jv","Xem chi tiết")</f>
        <v/>
      </c>
    </row>
    <row r="1654">
      <c r="B1654" s="9" t="n">
        <v>1652</v>
      </c>
      <c r="C1654" s="10" t="inlineStr">
        <is>
          <t>OPS Indoor Manager</t>
        </is>
      </c>
      <c r="D1654" s="10" t="inlineStr">
        <is>
          <t>Công Ty TNHH Empire-Group</t>
        </is>
      </c>
      <c r="E1654" s="10" t="inlineStr">
        <is>
          <t>Thương lượng</t>
        </is>
      </c>
      <c r="F1654" s="10" t="inlineStr">
        <is>
          <t>Hồ Chí Minh</t>
        </is>
      </c>
      <c r="G1654" s="10" t="inlineStr">
        <is>
          <t>Trưởng phòng</t>
        </is>
      </c>
      <c r="H1654" s="10" t="inlineStr">
        <is>
          <t>23/02/2026</t>
        </is>
      </c>
      <c r="I1654" s="10" t="inlineStr">
        <is>
          <t>25/03/2026</t>
        </is>
      </c>
      <c r="J1654" s="10" t="inlineStr">
        <is>
          <t>17/03/2026</t>
        </is>
      </c>
      <c r="K1654" s="10" t="inlineStr">
        <is>
          <t>N/A</t>
        </is>
      </c>
      <c r="L1654" s="10" t="inlineStr">
        <is>
          <t>Hải Quan, Logistics, Forwarding, Chứng Từ Hải Quan, Khai Báo Hải Quan</t>
        </is>
      </c>
      <c r="M1654" s="10" t="inlineStr">
        <is>
          <t>Bonus, Healthcare Plan, Training</t>
        </is>
      </c>
      <c r="N1654" s="11">
        <f>HYPERLINK("https://www.vietnamworks.com/ops-indoor-manager--2012646-jv","Xem chi tiết")</f>
        <v/>
      </c>
      <c r="O1654" s="10" t="n"/>
    </row>
    <row r="1655">
      <c r="B1655" s="7" t="n">
        <v>1653</v>
      </c>
      <c r="C1655" t="inlineStr">
        <is>
          <t>Trợ Lý Cửa Hàng Trưởng</t>
        </is>
      </c>
      <c r="D1655" t="inlineStr">
        <is>
          <t>Central Retail Vietnam - Property Business Unit</t>
        </is>
      </c>
      <c r="E1655" t="inlineStr">
        <is>
          <t>6tr-8tr ₫/tháng</t>
        </is>
      </c>
      <c r="F1655" t="inlineStr">
        <is>
          <t>Hải Dương, Hà Nội</t>
        </is>
      </c>
      <c r="G1655" t="inlineStr">
        <is>
          <t>Mới Tốt Nghiệp</t>
        </is>
      </c>
      <c r="H1655" t="inlineStr">
        <is>
          <t>23/02/2026</t>
        </is>
      </c>
      <c r="I1655" t="inlineStr">
        <is>
          <t>25/03/2026</t>
        </is>
      </c>
      <c r="J1655" t="inlineStr">
        <is>
          <t>17/03/2026</t>
        </is>
      </c>
      <c r="K1655" t="inlineStr">
        <is>
          <t>N/A</t>
        </is>
      </c>
      <c r="L1655" t="inlineStr">
        <is>
          <t>Bán hàng, Học Hỏi Nhanh, Tiếng Anh, Trung thực, Vận Hành</t>
        </is>
      </c>
      <c r="M1655" t="inlineStr">
        <is>
          <t>Bonus, Paid Leave, Mobile, Travel Opportunities, Canteen</t>
        </is>
      </c>
      <c r="N1655" s="8">
        <f>HYPERLINK("https://www.vietnamworks.com/tro-ly-cua-hang-truong-2012637-jv","Xem chi tiết")</f>
        <v/>
      </c>
    </row>
    <row r="1656">
      <c r="B1656" s="9" t="n">
        <v>1654</v>
      </c>
      <c r="C1656" s="10" t="inlineStr">
        <is>
          <t>Logistics Operation Specialist (Nhân Viên Chứng Từ)</t>
        </is>
      </c>
      <c r="D1656" s="10" t="inlineStr">
        <is>
          <t>Công ty TNHH LBS Logistics</t>
        </is>
      </c>
      <c r="E1656" s="10" t="inlineStr">
        <is>
          <t>Tới $ 1,000 /tháng</t>
        </is>
      </c>
      <c r="F1656" s="10" t="inlineStr">
        <is>
          <t>Hồ Chí Minh</t>
        </is>
      </c>
      <c r="G1656" s="10" t="inlineStr">
        <is>
          <t>Nhân viên</t>
        </is>
      </c>
      <c r="H1656" s="10" t="inlineStr">
        <is>
          <t>23/02/2026</t>
        </is>
      </c>
      <c r="I1656" s="10" t="inlineStr">
        <is>
          <t>25/03/2026</t>
        </is>
      </c>
      <c r="J1656" s="10" t="inlineStr">
        <is>
          <t>17/03/2026</t>
        </is>
      </c>
      <c r="K1656" s="10" t="inlineStr">
        <is>
          <t>N/A</t>
        </is>
      </c>
      <c r="L1656" s="10" t="inlineStr">
        <is>
          <t>Logistics, Supply Chain, Documentation, Logistic Forwarding</t>
        </is>
      </c>
      <c r="M1656" s="10" t="inlineStr">
        <is>
          <t>Bonus, Healthcare Plan, Paid Leave, Training, Travel Opportunities, Team Activities, Others</t>
        </is>
      </c>
      <c r="N1656" s="11">
        <f>HYPERLINK("https://www.vietnamworks.com/logistics-operation-specialist-nhan-vien-chung-tu-2012661-jv","Xem chi tiết")</f>
        <v/>
      </c>
      <c r="O1656" s="10" t="n"/>
    </row>
    <row r="1657">
      <c r="B1657" s="7" t="n">
        <v>1655</v>
      </c>
      <c r="C1657" t="inlineStr">
        <is>
          <t>[Hà Nội] Đại Diện Kinh Doanh Cấp Cao - Kênh Trọng Điểm</t>
        </is>
      </c>
      <c r="D1657" t="inlineStr">
        <is>
          <t>Abbott</t>
        </is>
      </c>
      <c r="E1657" t="inlineStr">
        <is>
          <t>10tr-15tr ₫/tháng</t>
        </is>
      </c>
      <c r="F1657" t="inlineStr">
        <is>
          <t>Hà Nội</t>
        </is>
      </c>
      <c r="G1657" t="inlineStr">
        <is>
          <t>Nhân viên</t>
        </is>
      </c>
      <c r="H1657" t="inlineStr">
        <is>
          <t>23/02/2026</t>
        </is>
      </c>
      <c r="I1657" t="inlineStr">
        <is>
          <t>25/03/2026</t>
        </is>
      </c>
      <c r="J1657" t="inlineStr">
        <is>
          <t>17/03/2026</t>
        </is>
      </c>
      <c r="K1657" t="inlineStr">
        <is>
          <t>N/A</t>
        </is>
      </c>
      <c r="L1657" t="inlineStr">
        <is>
          <t>N/A</t>
        </is>
      </c>
      <c r="M1657" t="inlineStr">
        <is>
          <t>Bonus, Healthcare Plan, Paid Leave, Training, Laptop, Team Activities, Transportation</t>
        </is>
      </c>
      <c r="N1657" s="8">
        <f>HYPERLINK("https://www.vietnamworks.com/ha-noi-djai-dien-kinh-doanh-cap-cao-kenh-trong-djiem-2012662-jv","Xem chi tiết")</f>
        <v/>
      </c>
    </row>
    <row r="1658">
      <c r="B1658" s="9" t="n">
        <v>1656</v>
      </c>
      <c r="C1658" s="10" t="inlineStr">
        <is>
          <t>Kỹ Sư Cơ Điện</t>
        </is>
      </c>
      <c r="D1658" s="10" t="inlineStr">
        <is>
          <t>Công Ty Cổ Phần Sữa Việt Nam (Vinamilk)</t>
        </is>
      </c>
      <c r="E1658" s="10" t="inlineStr">
        <is>
          <t>Thương lượng</t>
        </is>
      </c>
      <c r="F1658" s="10" t="inlineStr">
        <is>
          <t>Bình Dương, Đà Nẵng</t>
        </is>
      </c>
      <c r="G1658" s="10" t="inlineStr">
        <is>
          <t>Nhân viên</t>
        </is>
      </c>
      <c r="H1658" s="10" t="inlineStr">
        <is>
          <t>23/02/2026</t>
        </is>
      </c>
      <c r="I1658" s="10" t="inlineStr">
        <is>
          <t>25/03/2026</t>
        </is>
      </c>
      <c r="J1658" s="10" t="inlineStr">
        <is>
          <t>17/03/2026</t>
        </is>
      </c>
      <c r="K1658" s="10" t="inlineStr">
        <is>
          <t>N/A</t>
        </is>
      </c>
      <c r="L1658" s="10" t="inlineStr">
        <is>
          <t>Cơ Điện, Sửa Chữa Bảo Trì Thiết Bị, Cơ Khí, Điện Tử, Điện</t>
        </is>
      </c>
      <c r="M1658" s="10" t="inlineStr">
        <is>
          <t>Bonus, Healthcare Plan, Training</t>
        </is>
      </c>
      <c r="N1658" s="11">
        <f>HYPERLINK("https://www.vietnamworks.com/ky-su-co-dien--2012636-jv","Xem chi tiết")</f>
        <v/>
      </c>
      <c r="O1658" s="10" t="n"/>
    </row>
    <row r="1659">
      <c r="B1659" s="7" t="n">
        <v>1657</v>
      </c>
      <c r="C1659" t="inlineStr">
        <is>
          <t>[Long An, Vĩnh Long, Cần Thơ, Kiên Giang] Giám Sát Bán Hàng Kênh Truyền Thống</t>
        </is>
      </c>
      <c r="D1659" t="inlineStr">
        <is>
          <t>FrieslandCampina Vietnam</t>
        </is>
      </c>
      <c r="E1659" t="inlineStr">
        <is>
          <t>$$ 1,000-1,500 /tháng</t>
        </is>
      </c>
      <c r="F1659" t="inlineStr">
        <is>
          <t>ĐBSCL</t>
        </is>
      </c>
      <c r="G1659" t="inlineStr">
        <is>
          <t>Nhân viên</t>
        </is>
      </c>
      <c r="H1659" t="inlineStr">
        <is>
          <t>23/02/2026</t>
        </is>
      </c>
      <c r="I1659" t="inlineStr">
        <is>
          <t>25/03/2026</t>
        </is>
      </c>
      <c r="J1659" t="inlineStr">
        <is>
          <t>17/03/2026</t>
        </is>
      </c>
      <c r="K1659" t="inlineStr">
        <is>
          <t>N/A</t>
        </is>
      </c>
      <c r="L1659" t="inlineStr">
        <is>
          <t>Kỹ năng bán hàng, Kỹ Năng Quản Lý, Kỹ năng xử lý tình huống, Nắm Bắt Nhanh Nhạy Diễn Biến Thị Trường</t>
        </is>
      </c>
      <c r="M1659" t="inlineStr">
        <is>
          <t>Bonus, Healthcare Plan, Training</t>
        </is>
      </c>
      <c r="N1659" s="8">
        <f>HYPERLINK("https://www.vietnamworks.com/long-an-vinh-long-can-tho-kien-giang-giam-sat-ban-hang-kenh-truyen-thong-2012649-jv","Xem chi tiết")</f>
        <v/>
      </c>
    </row>
    <row r="1660">
      <c r="B1660" s="9" t="n">
        <v>1658</v>
      </c>
      <c r="C1660" s="10" t="inlineStr">
        <is>
          <t>Talent Acquisition Team Leader (Retail - Mass)</t>
        </is>
      </c>
      <c r="D1660" s="10" t="inlineStr">
        <is>
          <t>Công Ty Cổ Phần Sữa Việt Nam (Vinamilk)</t>
        </is>
      </c>
      <c r="E1660" s="10" t="inlineStr">
        <is>
          <t>Thương lượng</t>
        </is>
      </c>
      <c r="F1660" s="10" t="inlineStr">
        <is>
          <t>Hồ Chí Minh</t>
        </is>
      </c>
      <c r="G1660" s="10" t="inlineStr">
        <is>
          <t>Trưởng phòng</t>
        </is>
      </c>
      <c r="H1660" s="10" t="inlineStr">
        <is>
          <t>23/02/2026</t>
        </is>
      </c>
      <c r="I1660" s="10" t="inlineStr">
        <is>
          <t>25/03/2026</t>
        </is>
      </c>
      <c r="J1660" s="10" t="inlineStr">
        <is>
          <t>17/03/2026</t>
        </is>
      </c>
      <c r="K1660" s="10" t="inlineStr">
        <is>
          <t>N/A</t>
        </is>
      </c>
      <c r="L1660" s="10" t="inlineStr">
        <is>
          <t>Recruitment, Sales, Retail Sales, Human Resources</t>
        </is>
      </c>
      <c r="M1660" s="10" t="inlineStr">
        <is>
          <t>Bonus, Healthcare Plan, Training</t>
        </is>
      </c>
      <c r="N1660" s="11">
        <f>HYPERLINK("https://www.vietnamworks.com/talent-acquisition-team-leader-retail-mass-2012645-jv","Xem chi tiết")</f>
        <v/>
      </c>
      <c r="O1660" s="10" t="n"/>
    </row>
    <row r="1661">
      <c r="B1661" s="7" t="n">
        <v>1659</v>
      </c>
      <c r="C1661" t="inlineStr">
        <is>
          <t>Nhân Viên Theo Dõi Hệ Thống Camera</t>
        </is>
      </c>
      <c r="D1661" t="inlineStr">
        <is>
          <t>Công Ty Cổ Phần Sữa Việt Nam (Vinamilk)</t>
        </is>
      </c>
      <c r="E1661" t="inlineStr">
        <is>
          <t>Thương lượng</t>
        </is>
      </c>
      <c r="F1661" t="inlineStr">
        <is>
          <t>Bình Dương</t>
        </is>
      </c>
      <c r="G1661" t="inlineStr">
        <is>
          <t>Nhân viên</t>
        </is>
      </c>
      <c r="H1661" t="inlineStr">
        <is>
          <t>23/02/2026</t>
        </is>
      </c>
      <c r="I1661" t="inlineStr">
        <is>
          <t>25/03/2026</t>
        </is>
      </c>
      <c r="J1661" t="inlineStr">
        <is>
          <t>17/03/2026</t>
        </is>
      </c>
      <c r="K1661" t="inlineStr">
        <is>
          <t>N/A</t>
        </is>
      </c>
      <c r="L1661" t="inlineStr">
        <is>
          <t>Điện, Cơ Khí, Giám Sát Camera, Theo Dõi Camera</t>
        </is>
      </c>
      <c r="M1661" t="inlineStr">
        <is>
          <t>Bonus, Healthcare Plan, Training</t>
        </is>
      </c>
      <c r="N1661" s="8">
        <f>HYPERLINK("https://www.vietnamworks.com/nhan-vien-theo-doi-he-thong-camera--2012642-jv","Xem chi tiết")</f>
        <v/>
      </c>
    </row>
    <row r="1662">
      <c r="B1662" s="9" t="n">
        <v>1660</v>
      </c>
      <c r="C1662" s="10" t="inlineStr">
        <is>
          <t>Trưởng Phòng Nghiên Cứu Thị Trường &amp; Phát Triển Sản Phẩm</t>
        </is>
      </c>
      <c r="D1662" s="10" t="inlineStr">
        <is>
          <t>CÔNG TY CỔ PHẦN BOLT HOLDINGS</t>
        </is>
      </c>
      <c r="E1662" s="10" t="inlineStr">
        <is>
          <t>Thương lượng</t>
        </is>
      </c>
      <c r="F1662" s="10" t="inlineStr">
        <is>
          <t>Hà Nội</t>
        </is>
      </c>
      <c r="G1662" s="10" t="inlineStr">
        <is>
          <t>Trưởng phòng</t>
        </is>
      </c>
      <c r="H1662" s="10" t="inlineStr">
        <is>
          <t>23/02/2026</t>
        </is>
      </c>
      <c r="I1662" s="10" t="inlineStr">
        <is>
          <t>25/03/2026</t>
        </is>
      </c>
      <c r="J1662" s="10" t="inlineStr">
        <is>
          <t>17/03/2026</t>
        </is>
      </c>
      <c r="K1662" s="10" t="inlineStr">
        <is>
          <t>N/A</t>
        </is>
      </c>
      <c r="L1662" s="10" t="inlineStr">
        <is>
          <t>Phân Tích Thị Trường, Nghiên Cứu Sản Phẩm, Quản Lý Dự Án, Tiếng Anh thành thạo, Kỹ năng giao tiêp</t>
        </is>
      </c>
      <c r="M1662" s="10" t="inlineStr">
        <is>
          <t>Bonus, Healthcare Plan, Team Activities, Others</t>
        </is>
      </c>
      <c r="N1662" s="11">
        <f>HYPERLINK("https://www.vietnamworks.com/truong-phong-nghien-cuu-thi-truong-and-phat-trien-san-pham-2012664-jv","Xem chi tiết")</f>
        <v/>
      </c>
      <c r="O1662" s="10" t="n"/>
    </row>
    <row r="1663">
      <c r="B1663" s="7" t="n">
        <v>1661</v>
      </c>
      <c r="C1663" t="inlineStr">
        <is>
          <t>Nhân Viên Phụ Xe Giao Hàng</t>
        </is>
      </c>
      <c r="D1663" t="inlineStr">
        <is>
          <t>Công Ty TNHH Công Nghệ Index</t>
        </is>
      </c>
      <c r="E1663" t="inlineStr">
        <is>
          <t>9tr-11tr ₫/tháng</t>
        </is>
      </c>
      <c r="F1663" t="inlineStr">
        <is>
          <t>Hà Nội</t>
        </is>
      </c>
      <c r="G1663" t="inlineStr">
        <is>
          <t>Mới Tốt Nghiệp</t>
        </is>
      </c>
      <c r="H1663" t="inlineStr">
        <is>
          <t>23/02/2026</t>
        </is>
      </c>
      <c r="I1663" t="inlineStr">
        <is>
          <t>25/03/2026</t>
        </is>
      </c>
      <c r="J1663" t="inlineStr">
        <is>
          <t>17/03/2026</t>
        </is>
      </c>
      <c r="K1663" t="inlineStr">
        <is>
          <t>N/A</t>
        </is>
      </c>
      <c r="L1663" t="inlineStr">
        <is>
          <t>Bốc Dỡ Hàng Hóa, Giao Hàng, Giao Nhận Hàng Hóa, Kiểm Kê Hàng Hóa, Lập Kế Hoạch</t>
        </is>
      </c>
      <c r="M1663" t="inlineStr">
        <is>
          <t>Others</t>
        </is>
      </c>
      <c r="N1663" s="8">
        <f>HYPERLINK("https://www.vietnamworks.com/nhan-vien-phu-xe-giao-hang-2012670-jv","Xem chi tiết")</f>
        <v/>
      </c>
    </row>
    <row r="1664">
      <c r="B1664" s="9" t="n">
        <v>1662</v>
      </c>
      <c r="C1664" s="10" t="inlineStr">
        <is>
          <t>Kỹ Sư Cao Cấp Đấu Thầu</t>
        </is>
      </c>
      <c r="D1664" s="10" t="inlineStr">
        <is>
          <t>Novaland</t>
        </is>
      </c>
      <c r="E1664" s="10" t="inlineStr">
        <is>
          <t>Thương lượng</t>
        </is>
      </c>
      <c r="F1664" s="10" t="inlineStr">
        <is>
          <t>Hồ Chí Minh</t>
        </is>
      </c>
      <c r="G1664" s="10" t="inlineStr">
        <is>
          <t>Nhân viên</t>
        </is>
      </c>
      <c r="H1664" s="10" t="inlineStr">
        <is>
          <t>23/02/2026</t>
        </is>
      </c>
      <c r="I1664" s="10" t="inlineStr">
        <is>
          <t>25/03/2026</t>
        </is>
      </c>
      <c r="J1664" s="10" t="inlineStr">
        <is>
          <t>17/03/2026</t>
        </is>
      </c>
      <c r="K1664" s="10" t="inlineStr">
        <is>
          <t>N/A</t>
        </is>
      </c>
      <c r="L1664" s="10" t="inlineStr">
        <is>
          <t>Bidding &amp; Contract Management, Tender Bidding, Đấu Thầu Xây Dựng, Quantity Surveyor, QS (Quantity Surveying)</t>
        </is>
      </c>
      <c r="M1664" s="10" t="inlineStr">
        <is>
          <t>Bonus, Healthcare Plan, Awards</t>
        </is>
      </c>
      <c r="N1664" s="11">
        <f>HYPERLINK("https://www.vietnamworks.com/ky-su-cao-cap-dau-thau--2012683-jv","Xem chi tiết")</f>
        <v/>
      </c>
      <c r="O1664" s="10" t="n"/>
    </row>
    <row r="1665">
      <c r="B1665" s="7" t="n">
        <v>1663</v>
      </c>
      <c r="C1665" t="inlineStr">
        <is>
          <t>Nhân Viên Kinh Doanh B2B/sale B2B</t>
        </is>
      </c>
      <c r="D1665" t="inlineStr">
        <is>
          <t>Công Ty TNHH Công Nghệ Index</t>
        </is>
      </c>
      <c r="E1665" t="inlineStr">
        <is>
          <t>Thương lượng</t>
        </is>
      </c>
      <c r="F1665" t="inlineStr">
        <is>
          <t>Hà Nội</t>
        </is>
      </c>
      <c r="G1665" t="inlineStr">
        <is>
          <t>Nhân viên</t>
        </is>
      </c>
      <c r="H1665" t="inlineStr">
        <is>
          <t>23/02/2026</t>
        </is>
      </c>
      <c r="I1665" t="inlineStr">
        <is>
          <t>25/03/2026</t>
        </is>
      </c>
      <c r="J1665" t="inlineStr">
        <is>
          <t>17/03/2026</t>
        </is>
      </c>
      <c r="K1665" t="inlineStr">
        <is>
          <t>N/A</t>
        </is>
      </c>
      <c r="L1665" t="inlineStr">
        <is>
          <t>Giao Tiếp Tiếng Anh, Kinh Doanh B2B, Nghiên Cứu Thị Trường, Theo Dõi Công Nợ, sale B2B</t>
        </is>
      </c>
      <c r="M1665" t="inlineStr">
        <is>
          <t>Others</t>
        </is>
      </c>
      <c r="N1665" s="8">
        <f>HYPERLINK("https://www.vietnamworks.com/nhan-vien-kinh-doanh-b2b-sale-b2b--2012671-jv","Xem chi tiết")</f>
        <v/>
      </c>
    </row>
    <row r="1666">
      <c r="B1666" s="9" t="n">
        <v>1664</v>
      </c>
      <c r="C1666" s="10" t="inlineStr">
        <is>
          <t>Nhân Viên Mua Hàng (Purchasing Staff) Phỏng Vấn Đi Làm Sau Tết</t>
        </is>
      </c>
      <c r="D1666" s="10" t="inlineStr">
        <is>
          <t>Công ty TNHH Công nghiệp Bảo Tiên</t>
        </is>
      </c>
      <c r="E1666" s="10" t="inlineStr">
        <is>
          <t>Thương lượng</t>
        </is>
      </c>
      <c r="F1666" s="10" t="inlineStr">
        <is>
          <t>Hải Phòng</t>
        </is>
      </c>
      <c r="G1666" s="10" t="inlineStr">
        <is>
          <t>Nhân viên</t>
        </is>
      </c>
      <c r="H1666" s="10" t="inlineStr">
        <is>
          <t>23/02/2026</t>
        </is>
      </c>
      <c r="I1666" s="10" t="inlineStr">
        <is>
          <t>25/03/2026</t>
        </is>
      </c>
      <c r="J1666" s="10" t="inlineStr">
        <is>
          <t>17/03/2026</t>
        </is>
      </c>
      <c r="K1666" s="10" t="inlineStr">
        <is>
          <t>N/A</t>
        </is>
      </c>
      <c r="L1666" s="10" t="inlineStr">
        <is>
          <t>Kỹ năng giao tiếp, Làm Việc Nhóm, Mua Hàng, Quản Lý Cung Ứng</t>
        </is>
      </c>
      <c r="M1666" s="10" t="inlineStr">
        <is>
          <t>Healthcare Plan, Paid Leave, Canteen, Others</t>
        </is>
      </c>
      <c r="N1666" s="11">
        <f>HYPERLINK("https://www.vietnamworks.com/nhan-vien-mua-hang-purchasing-staff-phong-van-dji-lam-sau-tet-2012684-jv","Xem chi tiết")</f>
        <v/>
      </c>
      <c r="O1666" s="10" t="n"/>
    </row>
    <row r="1667">
      <c r="B1667" s="7" t="n">
        <v>1665</v>
      </c>
      <c r="C1667" t="inlineStr">
        <is>
          <t>Customer Sevice Excutive</t>
        </is>
      </c>
      <c r="D1667" t="inlineStr">
        <is>
          <t>Archer Daniels Midland (ADM)</t>
        </is>
      </c>
      <c r="E1667" t="inlineStr">
        <is>
          <t>Thương lượng</t>
        </is>
      </c>
      <c r="F1667" t="inlineStr">
        <is>
          <t>Bình Dương</t>
        </is>
      </c>
      <c r="G1667" t="inlineStr">
        <is>
          <t>Nhân viên</t>
        </is>
      </c>
      <c r="H1667" t="inlineStr">
        <is>
          <t>23/02/2026</t>
        </is>
      </c>
      <c r="I1667" t="inlineStr">
        <is>
          <t>25/03/2026</t>
        </is>
      </c>
      <c r="J1667" t="inlineStr">
        <is>
          <t>17/03/2026</t>
        </is>
      </c>
      <c r="K1667" t="inlineStr">
        <is>
          <t>N/A</t>
        </is>
      </c>
      <c r="L1667" t="inlineStr">
        <is>
          <t>Customer Service, Warehouse Management, Factory Management, Customer Service Experience, Customer Service Operation</t>
        </is>
      </c>
      <c r="M1667" t="inlineStr">
        <is>
          <t>Healthcare Plan</t>
        </is>
      </c>
      <c r="N1667" s="8">
        <f>HYPERLINK("https://www.vietnamworks.com/customer-sevice-excutive-2012672-jv","Xem chi tiết")</f>
        <v/>
      </c>
    </row>
    <row r="1668">
      <c r="B1668" s="9" t="n">
        <v>1666</v>
      </c>
      <c r="C1668" s="10" t="inlineStr">
        <is>
          <t>Nhân Viên Kỹ Thuật (Điện, Điện Tử-Tự Động Hóa )</t>
        </is>
      </c>
      <c r="D1668" s="10" t="inlineStr">
        <is>
          <t>Công Ty TNHH Công Nghệ Index</t>
        </is>
      </c>
      <c r="E1668" s="10" t="inlineStr">
        <is>
          <t>12tr-15tr ₫/tháng</t>
        </is>
      </c>
      <c r="F1668" s="10" t="inlineStr">
        <is>
          <t>Hà Nội</t>
        </is>
      </c>
      <c r="G1668" s="10" t="inlineStr">
        <is>
          <t>Nhân viên</t>
        </is>
      </c>
      <c r="H1668" s="10" t="inlineStr">
        <is>
          <t>23/02/2026</t>
        </is>
      </c>
      <c r="I1668" s="10" t="inlineStr">
        <is>
          <t>25/03/2026</t>
        </is>
      </c>
      <c r="J1668" s="10" t="inlineStr">
        <is>
          <t>17/03/2026</t>
        </is>
      </c>
      <c r="K1668" s="10" t="inlineStr">
        <is>
          <t>N/A</t>
        </is>
      </c>
      <c r="L1668" s="10" t="inlineStr">
        <is>
          <t>AutoCAD, Lập Trình PLC, SolidWorks, Điện điện tử, Tự Động Hóa</t>
        </is>
      </c>
      <c r="M1668" s="10" t="inlineStr">
        <is>
          <t>Healthcare Plan, Training, Others</t>
        </is>
      </c>
      <c r="N1668" s="11">
        <f>HYPERLINK("https://www.vietnamworks.com/nhan-vien-ky-thuat-dien-dien-tu-tu-dong-hoa--2012673-jv","Xem chi tiết")</f>
        <v/>
      </c>
      <c r="O1668" s="10" t="n"/>
    </row>
    <row r="1669">
      <c r="B1669" s="7" t="n">
        <v>1667</v>
      </c>
      <c r="C1669" t="inlineStr">
        <is>
          <t>Trưởng Phòng Hành Chính Nhân Sự</t>
        </is>
      </c>
      <c r="D1669" t="inlineStr">
        <is>
          <t>Công Ty Cổ Phần Dịch Vụ Và Đầu Tư Bất Động Sản Midland</t>
        </is>
      </c>
      <c r="E1669" t="inlineStr">
        <is>
          <t>Tới 30tr ₫/tháng</t>
        </is>
      </c>
      <c r="F1669" t="inlineStr">
        <is>
          <t>Hà Nội</t>
        </is>
      </c>
      <c r="G1669" t="inlineStr">
        <is>
          <t>Trưởng phòng</t>
        </is>
      </c>
      <c r="H1669" t="inlineStr">
        <is>
          <t>23/02/2026</t>
        </is>
      </c>
      <c r="I1669" t="inlineStr">
        <is>
          <t>25/03/2026</t>
        </is>
      </c>
      <c r="J1669" t="inlineStr">
        <is>
          <t>17/03/2026</t>
        </is>
      </c>
      <c r="K1669" t="inlineStr">
        <is>
          <t>N/A</t>
        </is>
      </c>
      <c r="L1669" t="inlineStr">
        <is>
          <t>Giải Quyết Vấn Đề, Luật Lao Động, Quản Lý Hành Chính, Quản Trị Nhân Sự, Tin Học Văn Phòng</t>
        </is>
      </c>
      <c r="M1669" t="inlineStr">
        <is>
          <t>Bonus, Healthcare Plan, Training, Others</t>
        </is>
      </c>
      <c r="N1669" s="8">
        <f>HYPERLINK("https://www.vietnamworks.com/truong-phong-hanh-chinh-nhan-su--2012685-jv","Xem chi tiết")</f>
        <v/>
      </c>
    </row>
    <row r="1670">
      <c r="B1670" s="9" t="n">
        <v>1668</v>
      </c>
      <c r="C1670" s="10" t="inlineStr">
        <is>
          <t>Giám Sát Kinh Doanh - HCM, Bình Dương</t>
        </is>
      </c>
      <c r="D1670" s="10" t="inlineStr">
        <is>
          <t>Shinhan Vietnam Finance Company Limited</t>
        </is>
      </c>
      <c r="E1670" s="10" t="inlineStr">
        <is>
          <t>Thương lượng</t>
        </is>
      </c>
      <c r="F1670" s="10" t="inlineStr">
        <is>
          <t>Hồ Chí Minh, Bình Dương</t>
        </is>
      </c>
      <c r="G1670" s="10" t="inlineStr">
        <is>
          <t>Trưởng phòng</t>
        </is>
      </c>
      <c r="H1670" s="10" t="inlineStr">
        <is>
          <t>23/02/2026</t>
        </is>
      </c>
      <c r="I1670" s="10" t="inlineStr">
        <is>
          <t>25/03/2026</t>
        </is>
      </c>
      <c r="J1670" s="10" t="inlineStr">
        <is>
          <t>17/03/2026</t>
        </is>
      </c>
      <c r="K1670" s="10" t="inlineStr">
        <is>
          <t>N/A</t>
        </is>
      </c>
      <c r="L1670" s="10" t="inlineStr">
        <is>
          <t>Sales Supervisor, Tài Chính, Phân Tích Nhu Cầu</t>
        </is>
      </c>
      <c r="M1670" s="10" t="inlineStr">
        <is>
          <t>Bonus, Healthcare Plan, Laptop, Travel Opportunities</t>
        </is>
      </c>
      <c r="N1670" s="11">
        <f>HYPERLINK("https://www.vietnamworks.com/giam-sat-kinh-doanh-hcm-binh-duong-2012686-jv","Xem chi tiết")</f>
        <v/>
      </c>
      <c r="O1670" s="10" t="n"/>
    </row>
    <row r="1671">
      <c r="B1671" s="7" t="n">
        <v>1669</v>
      </c>
      <c r="C1671" t="inlineStr">
        <is>
          <t>Client Fulfillment &amp; Service Officer (Outsourcing)</t>
        </is>
      </c>
      <c r="D1671" t="inlineStr">
        <is>
          <t>United Overseas Bank (Vietnam) Limited (UOB)</t>
        </is>
      </c>
      <c r="E1671" t="inlineStr">
        <is>
          <t>Thương lượng</t>
        </is>
      </c>
      <c r="F1671" t="inlineStr">
        <is>
          <t>Hồ Chí Minh</t>
        </is>
      </c>
      <c r="G1671" t="inlineStr">
        <is>
          <t>Nhân viên</t>
        </is>
      </c>
      <c r="H1671" t="inlineStr">
        <is>
          <t>23/02/2026</t>
        </is>
      </c>
      <c r="I1671" t="inlineStr">
        <is>
          <t>25/03/2026</t>
        </is>
      </c>
      <c r="J1671" t="inlineStr">
        <is>
          <t>17/03/2026</t>
        </is>
      </c>
      <c r="K1671" t="inlineStr">
        <is>
          <t>N/A</t>
        </is>
      </c>
      <c r="L1671" t="inlineStr">
        <is>
          <t>Client Service Management, Communication Skills, Corporate Banking, MS Office, Team Work</t>
        </is>
      </c>
      <c r="M1671" t="inlineStr">
        <is>
          <t>Bonus, Healthcare Plan, Paid Leave, Others</t>
        </is>
      </c>
      <c r="N1671" s="8">
        <f>HYPERLINK("https://www.vietnamworks.com/client-fulfillment-service-officer-outsourcing-2012694-jv","Xem chi tiết")</f>
        <v/>
      </c>
    </row>
    <row r="1672">
      <c r="B1672" s="9" t="n">
        <v>1670</v>
      </c>
      <c r="C1672" s="10" t="inlineStr">
        <is>
          <t>Kế Toán Trưởng</t>
        </is>
      </c>
      <c r="D1672" s="10" t="inlineStr">
        <is>
          <t>Công Ty Cổ Phần Dịch Vụ Và Đầu Tư Bất Động Sản Midland</t>
        </is>
      </c>
      <c r="E1672" s="10" t="inlineStr">
        <is>
          <t>Tới 50tr ₫/tháng</t>
        </is>
      </c>
      <c r="F1672" s="10" t="inlineStr">
        <is>
          <t>Hà Nội</t>
        </is>
      </c>
      <c r="G1672" s="10" t="inlineStr">
        <is>
          <t>Trưởng phòng</t>
        </is>
      </c>
      <c r="H1672" s="10" t="inlineStr">
        <is>
          <t>23/02/2026</t>
        </is>
      </c>
      <c r="I1672" s="10" t="inlineStr">
        <is>
          <t>25/03/2026</t>
        </is>
      </c>
      <c r="J1672" s="10" t="inlineStr">
        <is>
          <t>17/03/2026</t>
        </is>
      </c>
      <c r="K1672" s="10" t="inlineStr">
        <is>
          <t>N/A</t>
        </is>
      </c>
      <c r="L1672" s="10" t="inlineStr">
        <is>
          <t>Bất Động Sản, Kế Toán, Kiểm Soát Thuế, Quản Lý Chi Phí, Quyết Toán Thuế</t>
        </is>
      </c>
      <c r="M1672" s="10" t="inlineStr">
        <is>
          <t>Bonus, Training, Others</t>
        </is>
      </c>
      <c r="N1672" s="11">
        <f>HYPERLINK("https://www.vietnamworks.com/ke-toan-truong-2012691-jv","Xem chi tiết")</f>
        <v/>
      </c>
      <c r="O1672" s="10" t="n"/>
    </row>
    <row r="1673">
      <c r="B1673" s="7" t="n">
        <v>1671</v>
      </c>
      <c r="C1673" t="inlineStr">
        <is>
          <t>CRES Admin Senior Officer (Outsourcing)</t>
        </is>
      </c>
      <c r="D1673" t="inlineStr">
        <is>
          <t>United Overseas Bank (Vietnam) Limited (UOB)</t>
        </is>
      </c>
      <c r="E1673" t="inlineStr">
        <is>
          <t>Thương lượng</t>
        </is>
      </c>
      <c r="F1673" t="inlineStr">
        <is>
          <t>Hồ Chí Minh</t>
        </is>
      </c>
      <c r="G1673" t="inlineStr">
        <is>
          <t>Nhân viên</t>
        </is>
      </c>
      <c r="H1673" t="inlineStr">
        <is>
          <t>23/02/2026</t>
        </is>
      </c>
      <c r="I1673" t="inlineStr">
        <is>
          <t>25/03/2026</t>
        </is>
      </c>
      <c r="J1673" t="inlineStr">
        <is>
          <t>17/03/2026</t>
        </is>
      </c>
      <c r="K1673" t="inlineStr">
        <is>
          <t>N/A</t>
        </is>
      </c>
      <c r="L1673" t="inlineStr">
        <is>
          <t>English, Finance, Microsoft Excel, Office Administration, Powerpoint</t>
        </is>
      </c>
      <c r="M1673" t="inlineStr">
        <is>
          <t>Bonus, Healthcare Plan, Paid Leave, Others</t>
        </is>
      </c>
      <c r="N1673" s="8">
        <f>HYPERLINK("https://www.vietnamworks.com/cres-admin-senior-officer-outsourcing-2012687-jv","Xem chi tiết")</f>
        <v/>
      </c>
    </row>
    <row r="1674">
      <c r="B1674" s="9" t="n">
        <v>1672</v>
      </c>
      <c r="C1674" s="10" t="inlineStr">
        <is>
          <t>Nhân Viên QC</t>
        </is>
      </c>
      <c r="D1674" s="10" t="inlineStr">
        <is>
          <t>AkzoNobel Vietnam</t>
        </is>
      </c>
      <c r="E1674" s="10" t="inlineStr">
        <is>
          <t>Thương lượng</t>
        </is>
      </c>
      <c r="F1674" s="10" t="inlineStr">
        <is>
          <t>Đồng Nai</t>
        </is>
      </c>
      <c r="G1674" s="10" t="inlineStr">
        <is>
          <t>Nhân viên</t>
        </is>
      </c>
      <c r="H1674" s="10" t="inlineStr">
        <is>
          <t>23/02/2026</t>
        </is>
      </c>
      <c r="I1674" s="10" t="inlineStr">
        <is>
          <t>25/03/2026</t>
        </is>
      </c>
      <c r="J1674" s="10" t="inlineStr">
        <is>
          <t>17/03/2026</t>
        </is>
      </c>
      <c r="K1674" s="10" t="inlineStr">
        <is>
          <t>N/A</t>
        </is>
      </c>
      <c r="L1674" s="10" t="inlineStr">
        <is>
          <t>QC, Quality Control, Chemical, QC Hóa Học, Coatings</t>
        </is>
      </c>
      <c r="M1674" s="10" t="inlineStr">
        <is>
          <t>Bonus, Healthcare Plan, Training</t>
        </is>
      </c>
      <c r="N1674" s="11">
        <f>HYPERLINK("https://www.vietnamworks.com/nhan-vien-qc--2012699-jv","Xem chi tiết")</f>
        <v/>
      </c>
      <c r="O1674" s="10" t="n"/>
    </row>
    <row r="1675">
      <c r="B1675" s="7" t="n">
        <v>1673</v>
      </c>
      <c r="C1675" t="inlineStr">
        <is>
          <t>Operations Executive (Mảng Thời Trang/ Bán Lẻ)</t>
        </is>
      </c>
      <c r="D1675" t="inlineStr">
        <is>
          <t>Chi Nhánh Công Ty CP Maison Retail Management International</t>
        </is>
      </c>
      <c r="E1675" t="inlineStr">
        <is>
          <t>$$ 800-1,000 /tháng</t>
        </is>
      </c>
      <c r="F1675" t="inlineStr">
        <is>
          <t>Hà Nội</t>
        </is>
      </c>
      <c r="G1675" t="inlineStr">
        <is>
          <t>Trưởng phòng</t>
        </is>
      </c>
      <c r="H1675" t="inlineStr">
        <is>
          <t>23/02/2026</t>
        </is>
      </c>
      <c r="I1675" t="inlineStr">
        <is>
          <t>25/03/2026</t>
        </is>
      </c>
      <c r="J1675" t="inlineStr">
        <is>
          <t>17/03/2026</t>
        </is>
      </c>
      <c r="K1675" t="inlineStr">
        <is>
          <t>N/A</t>
        </is>
      </c>
      <c r="L1675" t="inlineStr">
        <is>
          <t>Quản Lý Khu Vực, Quản Lý Chuỗi Cửa Hàng Bán Lẻ, Thời Trang, Bán Lẻ, Store Operation</t>
        </is>
      </c>
      <c r="M1675" t="inlineStr">
        <is>
          <t>Bonus, Healthcare Plan, Paid Leave</t>
        </is>
      </c>
      <c r="N1675" s="8">
        <f>HYPERLINK("https://www.vietnamworks.com/operations-executive-mang-thoi-trang-ban-le-2012690-jv","Xem chi tiết")</f>
        <v/>
      </c>
    </row>
    <row r="1676">
      <c r="B1676" s="9" t="n">
        <v>1674</v>
      </c>
      <c r="C1676" s="10" t="inlineStr">
        <is>
          <t>Accounting Staff (Fresh Graduates are Welcome to Apply)</t>
        </is>
      </c>
      <c r="D1676" s="10" t="inlineStr">
        <is>
          <t>LX Pantos Vietnam</t>
        </is>
      </c>
      <c r="E1676" s="10" t="inlineStr">
        <is>
          <t>Thương lượng</t>
        </is>
      </c>
      <c r="F1676" s="10" t="inlineStr">
        <is>
          <t>Hà Nội</t>
        </is>
      </c>
      <c r="G1676" s="10" t="inlineStr">
        <is>
          <t>Nhân viên</t>
        </is>
      </c>
      <c r="H1676" s="10" t="inlineStr">
        <is>
          <t>23/02/2026</t>
        </is>
      </c>
      <c r="I1676" s="10" t="inlineStr">
        <is>
          <t>25/03/2026</t>
        </is>
      </c>
      <c r="J1676" s="10" t="inlineStr">
        <is>
          <t>17/03/2026</t>
        </is>
      </c>
      <c r="K1676" s="10" t="inlineStr">
        <is>
          <t>N/A</t>
        </is>
      </c>
      <c r="L1676" s="10" t="inlineStr">
        <is>
          <t>Kế Toán, Finance, Accounting Payment, Accounting</t>
        </is>
      </c>
      <c r="M1676" s="10" t="inlineStr">
        <is>
          <t>Training</t>
        </is>
      </c>
      <c r="N1676" s="11">
        <f>HYPERLINK("https://www.vietnamworks.com/accounting-staff-fresh-graduates-are-welcome-to-apply-2012701-jv","Xem chi tiết")</f>
        <v/>
      </c>
      <c r="O1676" s="10" t="n"/>
    </row>
    <row r="1677">
      <c r="B1677" s="7" t="n">
        <v>1675</v>
      </c>
      <c r="C1677" t="inlineStr">
        <is>
          <t>Trưởng Phòng MKT</t>
        </is>
      </c>
      <c r="D1677" t="inlineStr">
        <is>
          <t>Công Ty Cổ Phần Dịch Vụ Và Đầu Tư Bất Động Sản Midland</t>
        </is>
      </c>
      <c r="E1677" t="inlineStr">
        <is>
          <t>Tới 45tr ₫/tháng</t>
        </is>
      </c>
      <c r="F1677" t="inlineStr">
        <is>
          <t>Hà Nội</t>
        </is>
      </c>
      <c r="G1677" t="inlineStr">
        <is>
          <t>Trưởng phòng</t>
        </is>
      </c>
      <c r="H1677" t="inlineStr">
        <is>
          <t>23/02/2026</t>
        </is>
      </c>
      <c r="I1677" t="inlineStr">
        <is>
          <t>25/03/2026</t>
        </is>
      </c>
      <c r="J1677" t="inlineStr">
        <is>
          <t>17/03/2026</t>
        </is>
      </c>
      <c r="K1677" t="inlineStr">
        <is>
          <t>N/A</t>
        </is>
      </c>
      <c r="L1677" t="inlineStr">
        <is>
          <t>Bất Động Sản, Digital Marketing, Marketing Planning, Marketing Strategy, Quản Lý Đội Ngũ</t>
        </is>
      </c>
      <c r="M1677" t="inlineStr">
        <is>
          <t>Bonus, Healthcare Plan, Training, Others</t>
        </is>
      </c>
      <c r="N1677" s="8">
        <f>HYPERLINK("https://www.vietnamworks.com/truong-phong-mkt-2012688-jv","Xem chi tiết")</f>
        <v/>
      </c>
    </row>
    <row r="1678">
      <c r="B1678" s="9" t="n">
        <v>1676</v>
      </c>
      <c r="C1678" s="10" t="inlineStr">
        <is>
          <t>CHUYÊN VIÊN TƯ VẤN TIẾNG NHẬT N1/N2 (HỖ TRỢ KINH DOANH, ĐẦU TƯ M&amp;A NHẬT VIỆT)</t>
        </is>
      </c>
      <c r="D1678" s="10" t="inlineStr">
        <is>
          <t>One-Value Vietnam Co., Ltd.</t>
        </is>
      </c>
      <c r="E1678" s="10" t="inlineStr">
        <is>
          <t>20tr-100tr ₫/tháng</t>
        </is>
      </c>
      <c r="F1678" s="10" t="inlineStr">
        <is>
          <t>Hà Nội, Hồ Chí Minh, Khác</t>
        </is>
      </c>
      <c r="G1678" s="10" t="inlineStr">
        <is>
          <t>Nhân viên</t>
        </is>
      </c>
      <c r="H1678" s="10" t="inlineStr">
        <is>
          <t>23/02/2026</t>
        </is>
      </c>
      <c r="I1678" s="10" t="inlineStr">
        <is>
          <t>25/03/2026</t>
        </is>
      </c>
      <c r="J1678" s="10" t="inlineStr">
        <is>
          <t>17/03/2026</t>
        </is>
      </c>
      <c r="K1678" s="10" t="inlineStr">
        <is>
          <t>N/A</t>
        </is>
      </c>
      <c r="L1678" s="10" t="inlineStr">
        <is>
          <t>Giao Tiếp Tiếng Nhật Bản, Làm Việc Nhóm, Phân Tích Tài Chính, Quản Lý Dự Án, Tư Vấn Chiến Lược Marketing</t>
        </is>
      </c>
      <c r="M1678" s="10" t="inlineStr">
        <is>
          <t>Bonus, Healthcare Plan, Paid Leave, Training, Team Activities, Others</t>
        </is>
      </c>
      <c r="N1678" s="11">
        <f>HYPERLINK("https://www.vietnamworks.com/chuyen-vien-tu-van-tieng-nhat-n1n2-ho-tro-kinh-doanh-djau-tu-manda-nhat-viet-2012695-jv","Xem chi tiết")</f>
        <v/>
      </c>
      <c r="O1678" s="10" t="n"/>
    </row>
    <row r="1679">
      <c r="B1679" s="7" t="n">
        <v>1677</v>
      </c>
      <c r="C1679" t="inlineStr">
        <is>
          <t>Nhân Viên Kế Toán Nội Bộ - Internal Accountant</t>
        </is>
      </c>
      <c r="D1679" t="inlineStr">
        <is>
          <t>France Vietnam Architecture</t>
        </is>
      </c>
      <c r="E1679" t="inlineStr">
        <is>
          <t>8tr-12tr ₫/tháng</t>
        </is>
      </c>
      <c r="F1679" t="inlineStr">
        <is>
          <t>Hà Nội</t>
        </is>
      </c>
      <c r="G1679" t="inlineStr">
        <is>
          <t>Nhân viên</t>
        </is>
      </c>
      <c r="H1679" t="inlineStr">
        <is>
          <t>20/12/2018</t>
        </is>
      </c>
      <c r="I1679" t="inlineStr">
        <is>
          <t>26/03/2026</t>
        </is>
      </c>
      <c r="J1679" t="inlineStr">
        <is>
          <t>17/03/2026</t>
        </is>
      </c>
      <c r="K1679" t="inlineStr">
        <is>
          <t>N/A</t>
        </is>
      </c>
      <c r="L1679" t="inlineStr">
        <is>
          <t>Kế Toán Nội Bộ, Theo Dõi Thu Chi Nội Bộ, Theo Dõi Công Nợ, Nghiệp Vụ Kế Toán, Thuế</t>
        </is>
      </c>
      <c r="M1679" t="inlineStr">
        <is>
          <t>Bonus, Healthcare Plan, Paid Leave</t>
        </is>
      </c>
      <c r="N1679" s="8">
        <f>HYPERLINK("https://www.vietnamworks.com/nhan-vien-ke-toan-noi-bo-internal-accountant--1042766-jv","Xem chi tiết")</f>
        <v/>
      </c>
    </row>
    <row r="1680">
      <c r="B1680" s="9" t="n">
        <v>1678</v>
      </c>
      <c r="C1680" s="10" t="inlineStr">
        <is>
          <t>Kế Toán Tổng Hợp</t>
        </is>
      </c>
      <c r="D1680" s="10" t="inlineStr">
        <is>
          <t>Công ty Cổ phần Thời trang American</t>
        </is>
      </c>
      <c r="E1680" s="10" t="inlineStr">
        <is>
          <t>$$ 500-1,000 /tháng</t>
        </is>
      </c>
      <c r="F1680" s="10" t="inlineStr">
        <is>
          <t>Hồ Chí Minh</t>
        </is>
      </c>
      <c r="G1680" s="10" t="inlineStr">
        <is>
          <t>Nhân viên</t>
        </is>
      </c>
      <c r="H1680" s="10" t="inlineStr">
        <is>
          <t>26/02/2024</t>
        </is>
      </c>
      <c r="I1680" s="10" t="inlineStr">
        <is>
          <t>26/03/2026</t>
        </is>
      </c>
      <c r="J1680" s="10" t="inlineStr">
        <is>
          <t>17/03/2026</t>
        </is>
      </c>
      <c r="K1680" s="10" t="inlineStr">
        <is>
          <t>N/A</t>
        </is>
      </c>
      <c r="L1680" s="10" t="inlineStr">
        <is>
          <t>Kiểm Toán, Kế Toán, Kế Toán Tổng Hợp, Tài Chính, Fast Accounting</t>
        </is>
      </c>
      <c r="M1680" s="10" t="inlineStr">
        <is>
          <t>Bonus, Healthcare Plan</t>
        </is>
      </c>
      <c r="N1680" s="11">
        <f>HYPERLINK("https://www.vietnamworks.com/ke-toan-tong-hop--1745477-jv","Xem chi tiết")</f>
        <v/>
      </c>
      <c r="O1680" s="10" t="n"/>
    </row>
    <row r="1681">
      <c r="B1681" s="7" t="n">
        <v>1679</v>
      </c>
      <c r="C1681" t="inlineStr">
        <is>
          <t>HR Lead/ HR Manager</t>
        </is>
      </c>
      <c r="D1681" t="inlineStr">
        <is>
          <t>TRUSTIFY TECHNOLOGY (CÔNG TY CỔ PHẦN CÔNG NGHỆ TRUSTIFY)</t>
        </is>
      </c>
      <c r="E1681" t="inlineStr">
        <is>
          <t>Thương lượng</t>
        </is>
      </c>
      <c r="F1681" t="inlineStr">
        <is>
          <t>Hồ Chí Minh</t>
        </is>
      </c>
      <c r="G1681" t="inlineStr">
        <is>
          <t>Trưởng phòng</t>
        </is>
      </c>
      <c r="H1681" t="inlineStr">
        <is>
          <t>23/02/2026</t>
        </is>
      </c>
      <c r="I1681" t="inlineStr">
        <is>
          <t>25/03/2026</t>
        </is>
      </c>
      <c r="J1681" t="inlineStr">
        <is>
          <t>17/03/2026</t>
        </is>
      </c>
      <c r="K1681" t="inlineStr">
        <is>
          <t>N/A</t>
        </is>
      </c>
      <c r="L1681" t="inlineStr">
        <is>
          <t>Compensation &amp; Benefits, Leadership, Legal Compliance, Talent Acquisition, Workforce Planning</t>
        </is>
      </c>
      <c r="M1681" t="inlineStr">
        <is>
          <t>Bonus, Healthcare Plan, Paid Leave, Laptop, Team Activities, Others</t>
        </is>
      </c>
      <c r="N1681" s="8">
        <f>HYPERLINK("https://www.vietnamworks.com/hr-lead-hr-manager-2012693-jv","Xem chi tiết")</f>
        <v/>
      </c>
    </row>
    <row r="1682">
      <c r="B1682" s="9" t="n">
        <v>1680</v>
      </c>
      <c r="C1682" s="10" t="inlineStr">
        <is>
          <t>Kỹ Sư HSE (Kỹ Thuật - An Toàn)</t>
        </is>
      </c>
      <c r="D1682" s="10" t="inlineStr">
        <is>
          <t>CÔNG TY CỔ PHẦN TẬP ĐOÀN ĐẦU TƯ HOÀNG GIA VIỆT NAM</t>
        </is>
      </c>
      <c r="E1682" s="10" t="inlineStr">
        <is>
          <t>Thương lượng</t>
        </is>
      </c>
      <c r="F1682" s="10" t="inlineStr">
        <is>
          <t>Long An</t>
        </is>
      </c>
      <c r="G1682" s="10" t="inlineStr">
        <is>
          <t>Nhân viên</t>
        </is>
      </c>
      <c r="H1682" s="10" t="inlineStr">
        <is>
          <t>08/10/2025</t>
        </is>
      </c>
      <c r="I1682" s="10" t="inlineStr">
        <is>
          <t>26/03/2026</t>
        </is>
      </c>
      <c r="J1682" s="10" t="inlineStr">
        <is>
          <t>17/03/2026</t>
        </is>
      </c>
      <c r="K1682" s="10" t="inlineStr">
        <is>
          <t>N/A</t>
        </is>
      </c>
      <c r="L1682" s="10" t="inlineStr">
        <is>
          <t>An Toàn Lao Động, HSE, Môi Trường, Điện</t>
        </is>
      </c>
      <c r="M1682" s="10" t="inlineStr">
        <is>
          <t>Bonus, Healthcare Plan, Training, Travel Opportunities, Canteen</t>
        </is>
      </c>
      <c r="N1682" s="11">
        <f>HYPERLINK("https://www.vietnamworks.com/ky-su-hse-ky-thuat-an-toan-1967571-jv","Xem chi tiết")</f>
        <v/>
      </c>
      <c r="O1682" s="10" t="n"/>
    </row>
    <row r="1683">
      <c r="B1683" s="7" t="n">
        <v>1681</v>
      </c>
      <c r="C1683" t="inlineStr">
        <is>
          <t>CHUYÊN VIÊN PHÂN TÍCH, ĐIỀU PHỐI DỰ ÁN M&amp;A TIẾNG NHẬT/TIẾNG ANH (DEALS ADVISORY, INVESTMENT, FINANCE)</t>
        </is>
      </c>
      <c r="D1683" t="inlineStr">
        <is>
          <t>One-Value Vietnam Co., Ltd.</t>
        </is>
      </c>
      <c r="E1683" t="inlineStr">
        <is>
          <t>20tr-100tr ₫/tháng</t>
        </is>
      </c>
      <c r="F1683" t="inlineStr">
        <is>
          <t>Hà Nội, Hồ Chí Minh, Khác</t>
        </is>
      </c>
      <c r="G1683" t="inlineStr">
        <is>
          <t>Trưởng phòng</t>
        </is>
      </c>
      <c r="H1683" t="inlineStr">
        <is>
          <t>23/02/2026</t>
        </is>
      </c>
      <c r="I1683" t="inlineStr">
        <is>
          <t>25/03/2026</t>
        </is>
      </c>
      <c r="J1683" t="inlineStr">
        <is>
          <t>17/03/2026</t>
        </is>
      </c>
      <c r="K1683" t="inlineStr">
        <is>
          <t>N/A</t>
        </is>
      </c>
      <c r="L1683" t="inlineStr">
        <is>
          <t>Kinh Doanh, Phân Tích Số Liệu, Tiếng Nhật, Xây Dựng Mô Hình Đầu Tư, Đàm Phán</t>
        </is>
      </c>
      <c r="M1683" t="inlineStr">
        <is>
          <t>Bonus, Healthcare Plan, Paid Leave, Training, Team Activities, Others</t>
        </is>
      </c>
      <c r="N1683" s="8">
        <f>HYPERLINK("https://www.vietnamworks.com/chuyen-vien-phan-tich-djieu-phoi-du-an-manda-tieng-nhattieng-anh-deals-advisory-investment-finance-2012696-jv","Xem chi tiết")</f>
        <v/>
      </c>
    </row>
    <row r="1684">
      <c r="B1684" s="9" t="n">
        <v>1682</v>
      </c>
      <c r="C1684" s="10" t="inlineStr">
        <is>
          <t>Business Partner ( Assistant Manager)</t>
        </is>
      </c>
      <c r="D1684" s="10" t="inlineStr">
        <is>
          <t>ACS Trading Vietnam Co., Ltd.</t>
        </is>
      </c>
      <c r="E1684" s="10" t="inlineStr">
        <is>
          <t>Thương lượng</t>
        </is>
      </c>
      <c r="F1684" s="10" t="inlineStr">
        <is>
          <t>Hồ Chí Minh</t>
        </is>
      </c>
      <c r="G1684" s="10" t="inlineStr">
        <is>
          <t>Nhân viên</t>
        </is>
      </c>
      <c r="H1684" s="10" t="inlineStr">
        <is>
          <t>28/10/2025</t>
        </is>
      </c>
      <c r="I1684" s="10" t="inlineStr">
        <is>
          <t>26/03/2026</t>
        </is>
      </c>
      <c r="J1684" s="10" t="inlineStr">
        <is>
          <t>17/03/2026</t>
        </is>
      </c>
      <c r="K1684" s="10" t="inlineStr">
        <is>
          <t>N/A</t>
        </is>
      </c>
      <c r="L1684" s="10" t="inlineStr">
        <is>
          <t>SQL, Customer Loyalty Program, Data Analysis, Resolve Problem, E-Voucher Knowledge</t>
        </is>
      </c>
      <c r="M1684" s="10" t="inlineStr">
        <is>
          <t>Bonus, Healthcare Plan, Paid Leave, Training, Team Activities, Others</t>
        </is>
      </c>
      <c r="N1684" s="11">
        <f>HYPERLINK("https://www.vietnamworks.com/business-partner-assistant-manager-1975253-jv","Xem chi tiết")</f>
        <v/>
      </c>
      <c r="O1684" s="10" t="n"/>
    </row>
    <row r="1685">
      <c r="B1685" s="7" t="n">
        <v>1683</v>
      </c>
      <c r="C1685" t="inlineStr">
        <is>
          <t>Kĩ Sư Thiết Kế Đồ Gá (Jig)</t>
        </is>
      </c>
      <c r="D1685" t="inlineStr">
        <is>
          <t>CÔNG TY TNHH ĐIỆN TỬ ZGS VIỆT NAM</t>
        </is>
      </c>
      <c r="E1685" t="inlineStr">
        <is>
          <t>Thương lượng</t>
        </is>
      </c>
      <c r="F1685" t="inlineStr">
        <is>
          <t>Hưng Yên</t>
        </is>
      </c>
      <c r="G1685" t="inlineStr">
        <is>
          <t>Nhân viên</t>
        </is>
      </c>
      <c r="H1685" t="inlineStr">
        <is>
          <t>31/12/2025</t>
        </is>
      </c>
      <c r="I1685" t="inlineStr">
        <is>
          <t>26/03/2026</t>
        </is>
      </c>
      <c r="J1685" t="inlineStr">
        <is>
          <t>17/03/2026</t>
        </is>
      </c>
      <c r="K1685" t="inlineStr">
        <is>
          <t>N/A</t>
        </is>
      </c>
      <c r="L1685" t="inlineStr">
        <is>
          <t>AutoCAD 2D, AutoCAD 3D, SMT Production, SolidWorks, Thiết Kế Đồ Gá JIG</t>
        </is>
      </c>
      <c r="M1685" t="inlineStr">
        <is>
          <t>Healthcare Plan</t>
        </is>
      </c>
      <c r="N1685" s="8">
        <f>HYPERLINK("https://www.vietnamworks.com/ki-su-thiet-ke-djo-ga-jig-1998405-jv","Xem chi tiết")</f>
        <v/>
      </c>
    </row>
    <row r="1686">
      <c r="B1686" s="9" t="n">
        <v>1684</v>
      </c>
      <c r="C1686" s="10" t="inlineStr">
        <is>
          <t>Kế Toán Bán Hàng (Yêu Cầu Tiếng Trung)</t>
        </is>
      </c>
      <c r="D1686" s="10" t="inlineStr">
        <is>
          <t>Công Ty TNHH MD Consumer Electric Appliance Việt Nam</t>
        </is>
      </c>
      <c r="E1686" s="10" t="inlineStr">
        <is>
          <t>Từ 20tr ₫/tháng</t>
        </is>
      </c>
      <c r="F1686" s="10" t="inlineStr">
        <is>
          <t>Hồ Chí Minh</t>
        </is>
      </c>
      <c r="G1686" s="10" t="inlineStr">
        <is>
          <t>Nhân viên</t>
        </is>
      </c>
      <c r="H1686" s="10" t="inlineStr">
        <is>
          <t>31/12/2025</t>
        </is>
      </c>
      <c r="I1686" s="10" t="inlineStr">
        <is>
          <t>26/03/2026</t>
        </is>
      </c>
      <c r="J1686" s="10" t="inlineStr">
        <is>
          <t>17/03/2026</t>
        </is>
      </c>
      <c r="K1686" s="10" t="inlineStr">
        <is>
          <t>N/A</t>
        </is>
      </c>
      <c r="L1686" s="10" t="inlineStr">
        <is>
          <t>Kế Toán, Phân Tích Số Liệu, Tiếng Trung, Hạch Toán, Kế Toán Bán Hàng</t>
        </is>
      </c>
      <c r="M1686" s="10" t="inlineStr">
        <is>
          <t>Bonus, Healthcare Plan, Training, Others</t>
        </is>
      </c>
      <c r="N1686" s="11">
        <f>HYPERLINK("https://www.vietnamworks.com/ke-toan-ban-hang-yeu-cau-tieng-trung-1998202-jv","Xem chi tiết")</f>
        <v/>
      </c>
      <c r="O1686" s="10" t="n"/>
    </row>
    <row r="1687">
      <c r="B1687" s="7" t="n">
        <v>1685</v>
      </c>
      <c r="C1687" t="inlineStr">
        <is>
          <t>Trình Dược Viên Kênh Bệnh Viện (ETC) - Ngành Hàng Dinh Dưỡng - Khu Vực Hà Nội/ Hồ Chí Minh</t>
        </is>
      </c>
      <c r="D1687" t="inlineStr">
        <is>
          <t>Abbott</t>
        </is>
      </c>
      <c r="E1687" t="inlineStr">
        <is>
          <t>Thương lượng</t>
        </is>
      </c>
      <c r="F1687" t="inlineStr">
        <is>
          <t>Hồ Chí Minh, Hà Nội</t>
        </is>
      </c>
      <c r="G1687" t="inlineStr">
        <is>
          <t>Nhân viên</t>
        </is>
      </c>
      <c r="H1687" t="inlineStr">
        <is>
          <t>29/12/2025</t>
        </is>
      </c>
      <c r="I1687" t="inlineStr">
        <is>
          <t>26/03/2026</t>
        </is>
      </c>
      <c r="J1687" t="inlineStr">
        <is>
          <t>17/03/2026</t>
        </is>
      </c>
      <c r="K1687" t="inlineStr">
        <is>
          <t>N/A</t>
        </is>
      </c>
      <c r="L1687" t="inlineStr">
        <is>
          <t>Sales, Tư vấn dinh dưỡng, Trình dược viên ETC, Kinh Doanh, Giao Tiếp</t>
        </is>
      </c>
      <c r="M1687" t="inlineStr">
        <is>
          <t>Bonus, Healthcare Plan, Training</t>
        </is>
      </c>
      <c r="N1687" s="8">
        <f>HYPERLINK("https://www.vietnamworks.com/trinh-duoc-vien-kenh-benh-vien-etc-nganh-hang-dinh-duong-khu-vuc-ha-noi-ho-chi-minh--1997184-jv","Xem chi tiết")</f>
        <v/>
      </c>
    </row>
    <row r="1688">
      <c r="B1688" s="9" t="n">
        <v>1686</v>
      </c>
      <c r="C1688" s="10" t="inlineStr">
        <is>
          <t>[Mở Rộng Mạng Lưới] Chuyên Viên Khách Hàng Cá Nhân Việt Trì (Phú Thọ), Hưng Yên, Ninh Bình</t>
        </is>
      </c>
      <c r="D1688" s="10" t="inlineStr">
        <is>
          <t>Ngân hàng TMCP Đông Nam Á (SeABank)</t>
        </is>
      </c>
      <c r="E1688" s="10" t="inlineStr">
        <is>
          <t>Thương lượng</t>
        </is>
      </c>
      <c r="F1688" s="10" t="inlineStr">
        <is>
          <t>Phú Thọ, Hưng Yên, Ninh Bình</t>
        </is>
      </c>
      <c r="G1688" s="10" t="inlineStr">
        <is>
          <t>Nhân viên</t>
        </is>
      </c>
      <c r="H1688" s="10" t="inlineStr">
        <is>
          <t>31/12/2025</t>
        </is>
      </c>
      <c r="I1688" s="10" t="inlineStr">
        <is>
          <t>26/03/2026</t>
        </is>
      </c>
      <c r="J1688" s="10" t="inlineStr">
        <is>
          <t>17/03/2026</t>
        </is>
      </c>
      <c r="K1688" s="10" t="inlineStr">
        <is>
          <t>N/A</t>
        </is>
      </c>
      <c r="L1688" s="10" t="inlineStr">
        <is>
          <t>Thẩm Định Tín Dụng, Quản Trị Rủi Ro, Tin Học Văn Phòng, Dịch Vụ Ngân Hàng, Kinh Doanh Bán Lẻ</t>
        </is>
      </c>
      <c r="M1688" s="10" t="inlineStr">
        <is>
          <t>Bonus, Healthcare Plan, Training</t>
        </is>
      </c>
      <c r="N1688" s="11">
        <f>HYPERLINK("https://www.vietnamworks.com/mo-rong-mang-luoi-chuyen-vien-khach-hang-ca-nhan-viet-tri-phu-tho-hung-yen-ninh-binh-1998262-jv","Xem chi tiết")</f>
        <v/>
      </c>
      <c r="O1688" s="10" t="n"/>
    </row>
    <row r="1689">
      <c r="B1689" s="7" t="n">
        <v>1687</v>
      </c>
      <c r="C1689" t="inlineStr">
        <is>
          <t>Trợ Lý Phó Giám Đốc Sản Xuất</t>
        </is>
      </c>
      <c r="D1689" t="inlineStr">
        <is>
          <t>Công Ty TNHH Thương Mại Và Sản Xuất Đức Minh</t>
        </is>
      </c>
      <c r="E1689" t="inlineStr">
        <is>
          <t>25tr-35tr ₫/tháng</t>
        </is>
      </c>
      <c r="F1689" t="inlineStr">
        <is>
          <t>Hà Nội</t>
        </is>
      </c>
      <c r="G1689" t="inlineStr">
        <is>
          <t>Nhân viên</t>
        </is>
      </c>
      <c r="H1689" t="inlineStr">
        <is>
          <t>26/12/2025</t>
        </is>
      </c>
      <c r="I1689" t="inlineStr">
        <is>
          <t>26/03/2026</t>
        </is>
      </c>
      <c r="J1689" t="inlineStr">
        <is>
          <t>17/03/2026</t>
        </is>
      </c>
      <c r="K1689" t="inlineStr">
        <is>
          <t>N/A</t>
        </is>
      </c>
      <c r="L1689" t="inlineStr">
        <is>
          <t>Kỹ Thuật, Phối Hợp Sản Xuất, Tư Duy Hệ Thống, Vận Hành, Sản xuất</t>
        </is>
      </c>
      <c r="M1689" t="inlineStr">
        <is>
          <t>Bonus, Paid Leave, Travel Opportunities, Canteen, Others</t>
        </is>
      </c>
      <c r="N1689" s="8">
        <f>HYPERLINK("https://www.vietnamworks.com/tro-ly-pho-giam-djoc-san-xuat-1996828-jv","Xem chi tiết")</f>
        <v/>
      </c>
    </row>
    <row r="1690">
      <c r="B1690" s="9" t="n">
        <v>1688</v>
      </c>
      <c r="C1690" s="10" t="inlineStr">
        <is>
          <t>Sales Executive B2B Nội Thất - Thu Nhập Hấp Dẫn (Không Giới Hạn)</t>
        </is>
      </c>
      <c r="D1690" s="10" t="inlineStr">
        <is>
          <t>Công Ty Cổ Phần Tập Đoàn Gỗ Minh Long</t>
        </is>
      </c>
      <c r="E1690" s="10" t="inlineStr">
        <is>
          <t>Tới 30tr ₫/tháng</t>
        </is>
      </c>
      <c r="F1690" s="10" t="inlineStr">
        <is>
          <t>Hải Phòng, Đà Nẵng, Hà Nội</t>
        </is>
      </c>
      <c r="G1690" s="10" t="inlineStr">
        <is>
          <t>Nhân viên</t>
        </is>
      </c>
      <c r="H1690" s="10" t="inlineStr">
        <is>
          <t>31/12/2025</t>
        </is>
      </c>
      <c r="I1690" s="10" t="inlineStr">
        <is>
          <t>26/03/2026</t>
        </is>
      </c>
      <c r="J1690" s="10" t="inlineStr">
        <is>
          <t>17/03/2026</t>
        </is>
      </c>
      <c r="K1690" s="10" t="inlineStr">
        <is>
          <t>N/A</t>
        </is>
      </c>
      <c r="L1690" s="10" t="inlineStr">
        <is>
          <t>Chăm Sóc Khách Hàng, Kinh Doanh B2B, Tìm Kiếm Khách Hàng, Tư Vấn Bán Hàng, Nội Thất</t>
        </is>
      </c>
      <c r="M1690" s="10" t="inlineStr">
        <is>
          <t>Bonus, Healthcare Plan, Paid Leave, Training, Library, Others</t>
        </is>
      </c>
      <c r="N1690" s="11">
        <f>HYPERLINK("https://www.vietnamworks.com/sales-executive-b2b-noi-that-thu-nhap-hap-dan-khong-gioi-han-1998288-jv","Xem chi tiết")</f>
        <v/>
      </c>
      <c r="O1690" s="10" t="n"/>
    </row>
    <row r="1691">
      <c r="B1691" s="7" t="n">
        <v>1689</v>
      </c>
      <c r="C1691" t="inlineStr">
        <is>
          <t>[Mở Rộng Mạng Lưới] Giao Dịch Viên Việt Trì (Phú Thọ), Hưng Yên, Ninh Bình</t>
        </is>
      </c>
      <c r="D1691" t="inlineStr">
        <is>
          <t>Ngân hàng TMCP Đông Nam Á (SeABank)</t>
        </is>
      </c>
      <c r="E1691" t="inlineStr">
        <is>
          <t>Thương lượng</t>
        </is>
      </c>
      <c r="F1691" t="inlineStr">
        <is>
          <t>Ninh Bình, Phú Thọ, Hưng Yên</t>
        </is>
      </c>
      <c r="G1691" t="inlineStr">
        <is>
          <t>Nhân viên</t>
        </is>
      </c>
      <c r="H1691" t="inlineStr">
        <is>
          <t>31/12/2025</t>
        </is>
      </c>
      <c r="I1691" t="inlineStr">
        <is>
          <t>26/03/2026</t>
        </is>
      </c>
      <c r="J1691" t="inlineStr">
        <is>
          <t>17/03/2026</t>
        </is>
      </c>
      <c r="K1691" t="inlineStr">
        <is>
          <t>N/A</t>
        </is>
      </c>
      <c r="L1691" t="inlineStr">
        <is>
          <t>Dịch Vụ Khách Hàng, Kinh Doanh Bán Lẻ, Quản Trị Rủi Ro, Tiếng  Anh Giao Tiếp, Tư Vấn Bán Hàng</t>
        </is>
      </c>
      <c r="M1691" t="inlineStr">
        <is>
          <t>Bonus, Healthcare Plan, Training</t>
        </is>
      </c>
      <c r="N1691" s="8">
        <f>HYPERLINK("https://www.vietnamworks.com/mo-rong-mang-luoi-giao-dich-vien-viet-tri-phu-tho-hung-yen-ninh-binh-1998269-jv","Xem chi tiết")</f>
        <v/>
      </c>
    </row>
    <row r="1692">
      <c r="B1692" s="9" t="n">
        <v>1690</v>
      </c>
      <c r="C1692" s="10" t="inlineStr">
        <is>
          <t>Senior QA/ QA Manager</t>
        </is>
      </c>
      <c r="D1692" s="10" t="inlineStr">
        <is>
          <t>Công ty TNHH Phần mềm HICAS</t>
        </is>
      </c>
      <c r="E1692" s="10" t="inlineStr">
        <is>
          <t>Thương lượng</t>
        </is>
      </c>
      <c r="F1692" s="10" t="inlineStr">
        <is>
          <t>Hà Nội</t>
        </is>
      </c>
      <c r="G1692" s="10" t="inlineStr">
        <is>
          <t>Trưởng phòng</t>
        </is>
      </c>
      <c r="H1692" s="10" t="inlineStr">
        <is>
          <t>31/12/2025</t>
        </is>
      </c>
      <c r="I1692" s="10" t="inlineStr">
        <is>
          <t>26/03/2026</t>
        </is>
      </c>
      <c r="J1692" s="10" t="inlineStr">
        <is>
          <t>17/03/2026</t>
        </is>
      </c>
      <c r="K1692" s="10" t="inlineStr">
        <is>
          <t>N/A</t>
        </is>
      </c>
      <c r="L1692" s="10" t="inlineStr">
        <is>
          <t>QA Testing, ERP, AI Testing</t>
        </is>
      </c>
      <c r="M1692" s="10" t="inlineStr">
        <is>
          <t>Bonus, Team Activities, Others</t>
        </is>
      </c>
      <c r="N1692" s="11">
        <f>HYPERLINK("https://www.vietnamworks.com/senior-qa-qa-manager-1998402-jv","Xem chi tiết")</f>
        <v/>
      </c>
      <c r="O1692" s="10" t="n"/>
    </row>
    <row r="1693">
      <c r="B1693" s="7" t="n">
        <v>1691</v>
      </c>
      <c r="C1693" t="inlineStr">
        <is>
          <t>Kỹ Sư Thiết Kế &amp; Triển Khai – Văn Phòng Hà Nội</t>
        </is>
      </c>
      <c r="D1693" t="inlineStr">
        <is>
          <t>Công Ty TNHH Phát Triển Kỹ Thuật Công Nghệ FRA</t>
        </is>
      </c>
      <c r="E1693" t="inlineStr">
        <is>
          <t>Thương lượng</t>
        </is>
      </c>
      <c r="F1693" t="inlineStr">
        <is>
          <t>Hà Nội</t>
        </is>
      </c>
      <c r="G1693" t="inlineStr">
        <is>
          <t>Nhân viên</t>
        </is>
      </c>
      <c r="H1693" t="inlineStr">
        <is>
          <t>30/12/2025</t>
        </is>
      </c>
      <c r="I1693" t="inlineStr">
        <is>
          <t>26/03/2026</t>
        </is>
      </c>
      <c r="J1693" t="inlineStr">
        <is>
          <t>17/03/2026</t>
        </is>
      </c>
      <c r="K1693" t="inlineStr">
        <is>
          <t>N/A</t>
        </is>
      </c>
      <c r="L1693" t="inlineStr">
        <is>
          <t>AutoCAD, SCADA, Trạm Biến Áp, Thiết Kế Kỹ Thuật, Tủ Điện</t>
        </is>
      </c>
      <c r="M1693" t="inlineStr">
        <is>
          <t>Bonus, Training, Travel Opportunities</t>
        </is>
      </c>
      <c r="N1693" s="8">
        <f>HYPERLINK("https://www.vietnamworks.com/ky-su-thiet-ke-trien-khai-van-phong-ha-noi-1998022-jv","Xem chi tiết")</f>
        <v/>
      </c>
    </row>
    <row r="1694">
      <c r="B1694" s="9" t="n">
        <v>1692</v>
      </c>
      <c r="C1694" s="10" t="inlineStr">
        <is>
          <t>Chuyên Gia Giải Pháp Lưới Điện Số - Team Leader / ADMS Data Engineer</t>
        </is>
      </c>
      <c r="D1694" s="10" t="inlineStr">
        <is>
          <t>Công Ty TNHH Phát Triển Kỹ Thuật Công Nghệ FRA</t>
        </is>
      </c>
      <c r="E1694" s="10" t="inlineStr">
        <is>
          <t>Thương lượng</t>
        </is>
      </c>
      <c r="F1694" s="10" t="inlineStr">
        <is>
          <t>Hà Nội, Hồ Chí Minh</t>
        </is>
      </c>
      <c r="G1694" s="10" t="inlineStr">
        <is>
          <t>Nhân viên</t>
        </is>
      </c>
      <c r="H1694" s="10" t="inlineStr">
        <is>
          <t>30/12/2025</t>
        </is>
      </c>
      <c r="I1694" s="10" t="inlineStr">
        <is>
          <t>26/03/2026</t>
        </is>
      </c>
      <c r="J1694" s="10" t="inlineStr">
        <is>
          <t>17/03/2026</t>
        </is>
      </c>
      <c r="K1694" s="10" t="inlineStr">
        <is>
          <t>N/A</t>
        </is>
      </c>
      <c r="L1694" s="10" t="inlineStr">
        <is>
          <t>SCADA, Hệ Thống Điện, Data Center Operation, Thiết Bị Điện Schneider, Điện Tự Động Hóa</t>
        </is>
      </c>
      <c r="M1694" s="10" t="inlineStr">
        <is>
          <t>Bonus, Training, Travel Opportunities</t>
        </is>
      </c>
      <c r="N1694" s="11">
        <f>HYPERLINK("https://www.vietnamworks.com/chuyen-gia-giai-phap-luoi-dien-so-team-leader-adms-data-engineer-1998009-jv","Xem chi tiết")</f>
        <v/>
      </c>
      <c r="O1694" s="10" t="n"/>
    </row>
    <row r="1695">
      <c r="B1695" s="7" t="n">
        <v>1693</v>
      </c>
      <c r="C1695" t="inlineStr">
        <is>
          <t>Administrative &amp; HR (Chinese required)</t>
        </is>
      </c>
      <c r="D1695" t="inlineStr">
        <is>
          <t>CÔNG TY CỔ PHẦN GREEN NATURE ENERGY INVESTMENT</t>
        </is>
      </c>
      <c r="E1695" t="inlineStr">
        <is>
          <t>Thương lượng</t>
        </is>
      </c>
      <c r="F1695" t="inlineStr">
        <is>
          <t>Hồ Chí Minh</t>
        </is>
      </c>
      <c r="G1695" t="inlineStr">
        <is>
          <t>Nhân viên</t>
        </is>
      </c>
      <c r="H1695" t="inlineStr">
        <is>
          <t>03/01/2026</t>
        </is>
      </c>
      <c r="I1695" t="inlineStr">
        <is>
          <t>26/03/2026</t>
        </is>
      </c>
      <c r="J1695" t="inlineStr">
        <is>
          <t>17/03/2026</t>
        </is>
      </c>
      <c r="K1695" t="inlineStr">
        <is>
          <t>N/A</t>
        </is>
      </c>
      <c r="L1695" t="inlineStr">
        <is>
          <t>Chinese proficiency, Communication Skills, English Language Proficiency, Human Resources, Office Administration</t>
        </is>
      </c>
      <c r="M1695" t="inlineStr">
        <is>
          <t>Healthcare Plan, Paid Leave, Training, Others</t>
        </is>
      </c>
      <c r="N1695" s="8">
        <f>HYPERLINK("https://www.vietnamworks.com/administrative-and-hr-chinese-required-1999186-jv","Xem chi tiết")</f>
        <v/>
      </c>
    </row>
    <row r="1696">
      <c r="B1696" s="9" t="n">
        <v>1694</v>
      </c>
      <c r="C1696" s="10" t="inlineStr">
        <is>
          <t>Nhân Viên Thu Mua Vật Tư - Tiếng Trung</t>
        </is>
      </c>
      <c r="D1696" s="10" t="inlineStr">
        <is>
          <t>Công Ty Cổ Phần Thép Hòa Phát Dung Quất</t>
        </is>
      </c>
      <c r="E1696" s="10" t="inlineStr">
        <is>
          <t>Thương lượng</t>
        </is>
      </c>
      <c r="F1696" s="10" t="inlineStr">
        <is>
          <t>Hà Nội</t>
        </is>
      </c>
      <c r="G1696" s="10" t="inlineStr">
        <is>
          <t>Nhân viên</t>
        </is>
      </c>
      <c r="H1696" s="10" t="inlineStr">
        <is>
          <t>05/01/2026</t>
        </is>
      </c>
      <c r="I1696" s="10" t="inlineStr">
        <is>
          <t>26/03/2026</t>
        </is>
      </c>
      <c r="J1696" s="10" t="inlineStr">
        <is>
          <t>17/03/2026</t>
        </is>
      </c>
      <c r="K1696" s="10" t="inlineStr">
        <is>
          <t>N/A</t>
        </is>
      </c>
      <c r="L1696" s="10" t="inlineStr">
        <is>
          <t>Xuất Nhập Khẩu, Mua Hàng Vật Tư Kỹ Thuật, Mua Hàng, Tiếng Trung Thành Thạo</t>
        </is>
      </c>
      <c r="M1696" s="10" t="inlineStr">
        <is>
          <t>Bonus, Travel Opportunities, Transportation</t>
        </is>
      </c>
      <c r="N1696" s="11">
        <f>HYPERLINK("https://www.vietnamworks.com/nhan-vien-thu-mua-vat-tu-tieng-trung-1--1999268-jv","Xem chi tiết")</f>
        <v/>
      </c>
      <c r="O1696" s="10" t="n"/>
    </row>
    <row r="1697">
      <c r="B1697" s="7" t="n">
        <v>1695</v>
      </c>
      <c r="C1697" t="inlineStr">
        <is>
          <t>Bác Sỹ Chuyên Khoa Phụ Trách Trung Tâm Điều Dưỡng</t>
        </is>
      </c>
      <c r="D1697" t="inlineStr">
        <is>
          <t>Cen Group</t>
        </is>
      </c>
      <c r="E1697" t="inlineStr">
        <is>
          <t>Từ $ 800 /tháng</t>
        </is>
      </c>
      <c r="F1697" t="inlineStr">
        <is>
          <t>Hà Nội, Vĩnh Phúc</t>
        </is>
      </c>
      <c r="G1697" t="inlineStr">
        <is>
          <t>Trưởng phòng</t>
        </is>
      </c>
      <c r="H1697" t="inlineStr">
        <is>
          <t>05/01/2026</t>
        </is>
      </c>
      <c r="I1697" t="inlineStr">
        <is>
          <t>26/03/2026</t>
        </is>
      </c>
      <c r="J1697" t="inlineStr">
        <is>
          <t>17/03/2026</t>
        </is>
      </c>
      <c r="K1697" t="inlineStr">
        <is>
          <t>N/A</t>
        </is>
      </c>
      <c r="L1697" t="inlineStr">
        <is>
          <t>Điều Dưỡng Đa Khoa, Y Tế, Khám Chữa Bệnh, Phục Hồi Chức Năng, Chăm Sóc Sức Khỏe</t>
        </is>
      </c>
      <c r="M1697" t="inlineStr">
        <is>
          <t>Bonus, Healthcare Plan, Paid Leave</t>
        </is>
      </c>
      <c r="N1697" s="8">
        <f>HYPERLINK("https://www.vietnamworks.com/bac-sy-chuyen-khoa-phu-trach-trung-tam-dieu-duong-1999470-jv","Xem chi tiết")</f>
        <v/>
      </c>
    </row>
    <row r="1698">
      <c r="B1698" s="9" t="n">
        <v>1696</v>
      </c>
      <c r="C1698" s="10" t="inlineStr">
        <is>
          <t>[ Hot Job ] Hiệu Phó Trường Cao Đẳng</t>
        </is>
      </c>
      <c r="D1698" s="10" t="inlineStr">
        <is>
          <t>Cen Group</t>
        </is>
      </c>
      <c r="E1698" s="10" t="inlineStr">
        <is>
          <t>Thương lượng</t>
        </is>
      </c>
      <c r="F1698" s="10" t="inlineStr">
        <is>
          <t>Hà Nội</t>
        </is>
      </c>
      <c r="G1698" s="10" t="inlineStr">
        <is>
          <t>Trưởng phòng</t>
        </is>
      </c>
      <c r="H1698" s="10" t="inlineStr">
        <is>
          <t>05/01/2026</t>
        </is>
      </c>
      <c r="I1698" s="10" t="inlineStr">
        <is>
          <t>26/03/2026</t>
        </is>
      </c>
      <c r="J1698" s="10" t="inlineStr">
        <is>
          <t>17/03/2026</t>
        </is>
      </c>
      <c r="K1698" s="10" t="inlineStr">
        <is>
          <t>N/A</t>
        </is>
      </c>
      <c r="L1698" s="10" t="inlineStr">
        <is>
          <t>Quản Lý Giáo Dục, Điều Hành, Quản Lý Học Thuật, Xây Dựng Chương Trình Đào Tạo, Quản Lý Giảng Viên</t>
        </is>
      </c>
      <c r="M1698" s="10" t="inlineStr">
        <is>
          <t>Bonus, Healthcare Plan, Paid Leave</t>
        </is>
      </c>
      <c r="N1698" s="11">
        <f>HYPERLINK("https://www.vietnamworks.com/hot-job-hieu-pho-truong-cao-dang-1999562-jv","Xem chi tiết")</f>
        <v/>
      </c>
      <c r="O1698" s="10" t="n"/>
    </row>
    <row r="1699">
      <c r="B1699" s="7" t="n">
        <v>1697</v>
      </c>
      <c r="C1699" t="inlineStr">
        <is>
          <t>Detailer/ Drafter (Tekla are required)</t>
        </is>
      </c>
      <c r="D1699" t="inlineStr">
        <is>
          <t>Công Ty TNHH Tsarsi</t>
        </is>
      </c>
      <c r="E1699" t="inlineStr">
        <is>
          <t>Thương lượng</t>
        </is>
      </c>
      <c r="F1699" t="inlineStr">
        <is>
          <t>Hồ Chí Minh</t>
        </is>
      </c>
      <c r="G1699" t="inlineStr">
        <is>
          <t>Nhân viên</t>
        </is>
      </c>
      <c r="H1699" t="inlineStr">
        <is>
          <t>06/01/2026</t>
        </is>
      </c>
      <c r="I1699" t="inlineStr">
        <is>
          <t>26/03/2026</t>
        </is>
      </c>
      <c r="J1699" t="inlineStr">
        <is>
          <t>17/03/2026</t>
        </is>
      </c>
      <c r="K1699" t="inlineStr">
        <is>
          <t>N/A</t>
        </is>
      </c>
      <c r="L1699" t="inlineStr">
        <is>
          <t>Shop Drawing, AutoCAD, HSE, Drafting, Solidwork</t>
        </is>
      </c>
      <c r="M1699" t="inlineStr">
        <is>
          <t>Healthcare Plan, Travel Opportunities, Others</t>
        </is>
      </c>
      <c r="N1699" s="8">
        <f>HYPERLINK("https://www.vietnamworks.com/detailer-drafter-tekla-are-required--1999629-jv","Xem chi tiết")</f>
        <v/>
      </c>
    </row>
    <row r="1700">
      <c r="B1700" s="9" t="n">
        <v>1698</v>
      </c>
      <c r="C1700" s="10" t="inlineStr">
        <is>
          <t>Chuyên Viên Tài Chính và Phân Tích Dữ Liệu (Financial &amp; Data Analysist, Fda) (Lương Đến 25 Triệu VND/ Tháng)</t>
        </is>
      </c>
      <c r="D1700" s="10" t="inlineStr">
        <is>
          <t>Công Ty Cổ Phần Bio-Med (Bio-Med., JSC)</t>
        </is>
      </c>
      <c r="E1700" s="10" t="inlineStr">
        <is>
          <t>17tr-25tr ₫/tháng</t>
        </is>
      </c>
      <c r="F1700" s="10" t="inlineStr">
        <is>
          <t>Hà Nội</t>
        </is>
      </c>
      <c r="G1700" s="10" t="inlineStr">
        <is>
          <t>Nhân viên</t>
        </is>
      </c>
      <c r="H1700" s="10" t="inlineStr">
        <is>
          <t>31/12/2025</t>
        </is>
      </c>
      <c r="I1700" s="10" t="inlineStr">
        <is>
          <t>26/03/2026</t>
        </is>
      </c>
      <c r="J1700" s="10" t="inlineStr">
        <is>
          <t>17/03/2026</t>
        </is>
      </c>
      <c r="K1700" s="10" t="inlineStr">
        <is>
          <t>N/A</t>
        </is>
      </c>
      <c r="L1700" s="10" t="inlineStr">
        <is>
          <t>Kiểm Soát Tuân Thủ, Kiểm Toán Nội Bộ, Phân Tích Tài Chính, SQL, Tư Vấn Thuế</t>
        </is>
      </c>
      <c r="M1700" s="10" t="inlineStr">
        <is>
          <t>Bonus, Paid Leave, Team Activities</t>
        </is>
      </c>
      <c r="N1700" s="11">
        <f>HYPERLINK("https://www.vietnamworks.com/chuyen-vien-tai-chinh-va-phan-tich-du-lieu-financial-data-analysist-fda-luong-den-25-trieu-vnd-thang-1998525-jv","Xem chi tiết")</f>
        <v/>
      </c>
      <c r="O1700" s="10" t="n"/>
    </row>
    <row r="1701">
      <c r="B1701" s="7" t="n">
        <v>1699</v>
      </c>
      <c r="C1701" t="inlineStr">
        <is>
          <t>Nhân Viên R&amp;D</t>
        </is>
      </c>
      <c r="D1701" t="inlineStr">
        <is>
          <t>Công Ty TNHH Vinatech Vina</t>
        </is>
      </c>
      <c r="E1701" t="inlineStr">
        <is>
          <t>Thương lượng</t>
        </is>
      </c>
      <c r="F1701" t="inlineStr">
        <is>
          <t>Bắc Ninh</t>
        </is>
      </c>
      <c r="G1701" t="inlineStr">
        <is>
          <t>Nhân viên</t>
        </is>
      </c>
      <c r="H1701" t="inlineStr">
        <is>
          <t>06/01/2026</t>
        </is>
      </c>
      <c r="I1701" t="inlineStr">
        <is>
          <t>26/03/2026</t>
        </is>
      </c>
      <c r="J1701" t="inlineStr">
        <is>
          <t>17/03/2026</t>
        </is>
      </c>
      <c r="K1701" t="inlineStr">
        <is>
          <t>N/A</t>
        </is>
      </c>
      <c r="L1701" t="inlineStr">
        <is>
          <t>Phát Triển Sản Phẩm, Quản Lý Hồ Sơ, Kỹ Thuật Hoá Học, Điện tử, Phân Tích Lỗi</t>
        </is>
      </c>
      <c r="M1701" t="inlineStr">
        <is>
          <t>Bonus, Healthcare Plan, Training</t>
        </is>
      </c>
      <c r="N1701" s="8">
        <f>HYPERLINK("https://www.vietnamworks.com/nhan-vien-r-d--1999875-jv","Xem chi tiết")</f>
        <v/>
      </c>
    </row>
    <row r="1702">
      <c r="B1702" s="9" t="n">
        <v>1700</v>
      </c>
      <c r="C1702" s="10" t="inlineStr">
        <is>
          <t>Nhân Viên Nghiên Cứu Và Phát Triển (Có Xe Đưa Đón Hà Nội, Hải Dương - Hưng Yên)</t>
        </is>
      </c>
      <c r="D1702" s="10" t="inlineStr">
        <is>
          <t>Công Ty TNHH Tanaka Precision Việt Nam</t>
        </is>
      </c>
      <c r="E1702" s="10" t="inlineStr">
        <is>
          <t>Tới 20tr ₫/tháng</t>
        </is>
      </c>
      <c r="F1702" s="10" t="inlineStr">
        <is>
          <t>Hải Dương, Hà Nội, Hưng Yên</t>
        </is>
      </c>
      <c r="G1702" s="10" t="inlineStr">
        <is>
          <t>Nhân viên</t>
        </is>
      </c>
      <c r="H1702" s="10" t="inlineStr">
        <is>
          <t>06/01/2026</t>
        </is>
      </c>
      <c r="I1702" s="10" t="inlineStr">
        <is>
          <t>26/03/2026</t>
        </is>
      </c>
      <c r="J1702" s="10" t="inlineStr">
        <is>
          <t>17/03/2026</t>
        </is>
      </c>
      <c r="K1702" s="10" t="inlineStr">
        <is>
          <t>N/A</t>
        </is>
      </c>
      <c r="L1702" s="10" t="inlineStr">
        <is>
          <t>Nghiên Cứu Sản Phẩm, Phát Triển Sản Phẩm, PLC programing, C++, Kĩ Thuật Tự Động Hóa</t>
        </is>
      </c>
      <c r="M1702" s="10" t="inlineStr">
        <is>
          <t>Healthcare Plan, Team Activities, Transportation</t>
        </is>
      </c>
      <c r="N1702" s="11">
        <f>HYPERLINK("https://www.vietnamworks.com/nhan-vien-nghien-cuu-va-phat-trien-co-xe-dua-don-ha-noi-hai-duong-hung-yen-1999870-jv","Xem chi tiết")</f>
        <v/>
      </c>
      <c r="O1702" s="10" t="n"/>
    </row>
    <row r="1703">
      <c r="B1703" s="7" t="n">
        <v>1701</v>
      </c>
      <c r="C1703" t="inlineStr">
        <is>
          <t xml:space="preserve">HRBP Plant Specialist </t>
        </is>
      </c>
      <c r="D1703" t="inlineStr">
        <is>
          <t>Marico South East Asia Corporation</t>
        </is>
      </c>
      <c r="E1703" t="inlineStr">
        <is>
          <t>Thương lượng</t>
        </is>
      </c>
      <c r="F1703" t="inlineStr">
        <is>
          <t>Hồ Chí Minh</t>
        </is>
      </c>
      <c r="G1703" t="inlineStr">
        <is>
          <t>Nhân viên</t>
        </is>
      </c>
      <c r="H1703" t="inlineStr">
        <is>
          <t>05/01/2026</t>
        </is>
      </c>
      <c r="I1703" t="inlineStr">
        <is>
          <t>26/03/2026</t>
        </is>
      </c>
      <c r="J1703" t="inlineStr">
        <is>
          <t>17/03/2026</t>
        </is>
      </c>
      <c r="K1703" t="inlineStr">
        <is>
          <t>N/A</t>
        </is>
      </c>
      <c r="L1703" t="inlineStr">
        <is>
          <t>Communication Skills, Human Resources, Labor Laws Knowledge, Time Management, manufacturing</t>
        </is>
      </c>
      <c r="M1703" t="inlineStr">
        <is>
          <t>Bonus, Healthcare Plan, Training, Awards, Transportation, Canteen, Others</t>
        </is>
      </c>
      <c r="N1703" s="8">
        <f>HYPERLINK("https://www.vietnamworks.com/hrbp-plant-specialist-1999611-jv","Xem chi tiết")</f>
        <v/>
      </c>
    </row>
    <row r="1704">
      <c r="B1704" s="9" t="n">
        <v>1702</v>
      </c>
      <c r="C1704" s="10" t="inlineStr">
        <is>
          <t>Trình Dược Viên OTC HCM</t>
        </is>
      </c>
      <c r="D1704" s="10" t="inlineStr">
        <is>
          <t>CÔNG TY TNHH DƯỢC PHẨM GIGAMED</t>
        </is>
      </c>
      <c r="E1704" s="10" t="inlineStr">
        <is>
          <t>Thương lượng</t>
        </is>
      </c>
      <c r="F1704" s="10" t="inlineStr">
        <is>
          <t>Hồ Chí Minh</t>
        </is>
      </c>
      <c r="G1704" s="10" t="inlineStr">
        <is>
          <t>Nhân viên</t>
        </is>
      </c>
      <c r="H1704" s="10" t="inlineStr">
        <is>
          <t>06/01/2026</t>
        </is>
      </c>
      <c r="I1704" s="10" t="inlineStr">
        <is>
          <t>26/03/2026</t>
        </is>
      </c>
      <c r="J1704" s="10" t="inlineStr">
        <is>
          <t>17/03/2026</t>
        </is>
      </c>
      <c r="K1704" s="10" t="inlineStr">
        <is>
          <t>N/A</t>
        </is>
      </c>
      <c r="L1704" s="10" t="inlineStr">
        <is>
          <t>OTC, Dược Phẩm, Dược, Trình dược viên, Kinh Nghiệm Trình Dược</t>
        </is>
      </c>
      <c r="M1704" s="10" t="inlineStr">
        <is>
          <t>Bonus, Healthcare Plan, Travel Opportunities</t>
        </is>
      </c>
      <c r="N1704" s="11">
        <f>HYPERLINK("https://www.vietnamworks.com/trinh-duoc-vien-otc-hcm--1999967-jv","Xem chi tiết")</f>
        <v/>
      </c>
      <c r="O1704" s="10" t="n"/>
    </row>
    <row r="1705">
      <c r="B1705" s="7" t="n">
        <v>1703</v>
      </c>
      <c r="C1705" t="inlineStr">
        <is>
          <t>Location Manager (Property Management)</t>
        </is>
      </c>
      <c r="D1705" t="inlineStr">
        <is>
          <t>DREAMPLEX REAL ESTATE INVESTMENT COMPANY LIMITED</t>
        </is>
      </c>
      <c r="E1705" t="inlineStr">
        <is>
          <t>15tr-17tr ₫/tháng</t>
        </is>
      </c>
      <c r="F1705" t="inlineStr">
        <is>
          <t>Hồ Chí Minh</t>
        </is>
      </c>
      <c r="G1705" t="inlineStr">
        <is>
          <t>Trưởng phòng</t>
        </is>
      </c>
      <c r="H1705" t="inlineStr">
        <is>
          <t>06/01/2026</t>
        </is>
      </c>
      <c r="I1705" t="inlineStr">
        <is>
          <t>26/03/2026</t>
        </is>
      </c>
      <c r="J1705" t="inlineStr">
        <is>
          <t>17/03/2026</t>
        </is>
      </c>
      <c r="K1705" t="inlineStr">
        <is>
          <t>N/A</t>
        </is>
      </c>
      <c r="L1705" t="inlineStr">
        <is>
          <t>Budget Management, Building Management, Customer Service, Quản Lý Toà Nhà, Chăm Sóc Khách Hàng</t>
        </is>
      </c>
      <c r="M1705" t="inlineStr">
        <is>
          <t>Bonus, Healthcare Plan, Paid Leave, Awards, Laptop, Team Activities, Others</t>
        </is>
      </c>
      <c r="N1705" s="8">
        <f>HYPERLINK("https://www.vietnamworks.com/location-manager-property-management-1999746-jv","Xem chi tiết")</f>
        <v/>
      </c>
    </row>
    <row r="1706">
      <c r="B1706" s="9" t="n">
        <v>1704</v>
      </c>
      <c r="C1706" s="10" t="inlineStr">
        <is>
          <t>Giám Đốc Chi Nhánh - Tp.hồ Chí Minh, Đà Nẵng - Id1026</t>
        </is>
      </c>
      <c r="D1706" s="10" t="inlineStr">
        <is>
          <t>VPBank - Https://tuyendung.vpbank.com.vn/</t>
        </is>
      </c>
      <c r="E1706" s="10" t="inlineStr">
        <is>
          <t>Thương lượng</t>
        </is>
      </c>
      <c r="F1706" s="10" t="inlineStr">
        <is>
          <t>Đà Nẵng, Hồ Chí Minh</t>
        </is>
      </c>
      <c r="G1706" s="10" t="inlineStr">
        <is>
          <t>Giám Đốc và Cấp Cao Hơn</t>
        </is>
      </c>
      <c r="H1706" s="10" t="inlineStr">
        <is>
          <t>07/01/2026</t>
        </is>
      </c>
      <c r="I1706" s="10" t="inlineStr">
        <is>
          <t>26/03/2026</t>
        </is>
      </c>
      <c r="J1706" s="10" t="inlineStr">
        <is>
          <t>17/03/2026</t>
        </is>
      </c>
      <c r="K1706" s="10" t="inlineStr">
        <is>
          <t>N/A</t>
        </is>
      </c>
      <c r="L1706" s="10" t="inlineStr">
        <is>
          <t>Giao Tiếp Tốt, Bán hàng, Giải quyết vấn đề, Giám Sát, Xây dựng mạng lưới</t>
        </is>
      </c>
      <c r="M1706" s="10" t="inlineStr">
        <is>
          <t>Bonus, Healthcare Plan, Paid Leave</t>
        </is>
      </c>
      <c r="N1706" s="11">
        <f>HYPERLINK("https://www.vietnamworks.com/giam-doc-chi-nhanh-tp-ho-chi-minh-da-nang-id1026-2000014-jv","Xem chi tiết")</f>
        <v/>
      </c>
      <c r="O1706" s="10" t="n"/>
    </row>
    <row r="1707">
      <c r="B1707" s="7" t="n">
        <v>1705</v>
      </c>
      <c r="C1707" t="inlineStr">
        <is>
          <t>Kỹ Sư Chuyển Giao Công Nghệ và Nghiên Cứu Phát Triển - Làm Việc Tại Chi Nhánh Vĩnh Phúc (Bình Xuyên, Phú Thọ) - Chấp Nhận Ứng Viên Chưa Có Kinh Nghiệm</t>
        </is>
      </c>
      <c r="D1707" t="inlineStr">
        <is>
          <t>Asahi Intecc Hanoi Co., Ltd.</t>
        </is>
      </c>
      <c r="E1707" t="inlineStr">
        <is>
          <t>Thương lượng</t>
        </is>
      </c>
      <c r="F1707" t="inlineStr">
        <is>
          <t>Phú Thọ</t>
        </is>
      </c>
      <c r="G1707" t="inlineStr">
        <is>
          <t>Mới Tốt Nghiệp</t>
        </is>
      </c>
      <c r="H1707" t="inlineStr">
        <is>
          <t>07/01/2026</t>
        </is>
      </c>
      <c r="I1707" t="inlineStr">
        <is>
          <t>26/03/2026</t>
        </is>
      </c>
      <c r="J1707" t="inlineStr">
        <is>
          <t>17/03/2026</t>
        </is>
      </c>
      <c r="K1707" t="inlineStr">
        <is>
          <t>N/A</t>
        </is>
      </c>
      <c r="L1707" t="inlineStr">
        <is>
          <t>Hóa Hữu Cơ, Phát Triển Sản Phẩm, FMEA, AutoCAD, Kiến Thức Vật Liệu Nhựa</t>
        </is>
      </c>
      <c r="M1707" t="inlineStr">
        <is>
          <t>Bonus, Transportation, Others</t>
        </is>
      </c>
      <c r="N1707" s="8">
        <f>HYPERLINK("https://www.vietnamworks.com/ky-su-chuyen-giao-cong-nghe-va-nghien-cuu-phat-trien-lam-viec-tai-chi-nhanh-vinh-phuc-binh-xuyen-phu-tho-chap-nhan-ung-vien-chua-co-kinh-nghiem--2000032-jv","Xem chi tiết")</f>
        <v/>
      </c>
    </row>
    <row r="1708">
      <c r="B1708" s="9" t="n">
        <v>1706</v>
      </c>
      <c r="C1708" s="10" t="inlineStr">
        <is>
          <t>Key Account Specialist (ETC)</t>
        </is>
      </c>
      <c r="D1708" s="10" t="inlineStr">
        <is>
          <t>CÔNG TY TNHH DƯỢC PHẨM GIGAMED</t>
        </is>
      </c>
      <c r="E1708" s="10" t="inlineStr">
        <is>
          <t>Thương lượng</t>
        </is>
      </c>
      <c r="F1708" s="10" t="inlineStr">
        <is>
          <t>Hồ Chí Minh</t>
        </is>
      </c>
      <c r="G1708" s="10" t="inlineStr">
        <is>
          <t>Nhân viên</t>
        </is>
      </c>
      <c r="H1708" s="10" t="inlineStr">
        <is>
          <t>06/01/2026</t>
        </is>
      </c>
      <c r="I1708" s="10" t="inlineStr">
        <is>
          <t>26/03/2026</t>
        </is>
      </c>
      <c r="J1708" s="10" t="inlineStr">
        <is>
          <t>17/03/2026</t>
        </is>
      </c>
      <c r="K1708" s="10" t="inlineStr">
        <is>
          <t>N/A</t>
        </is>
      </c>
      <c r="L1708" s="10" t="inlineStr">
        <is>
          <t>ETC, Dược Phẩm, Thầu, Trình dược viên, Kinh Nghiệm Trình Dược</t>
        </is>
      </c>
      <c r="M1708" s="10" t="inlineStr">
        <is>
          <t>Bonus, Healthcare Plan, Travel Opportunities</t>
        </is>
      </c>
      <c r="N1708" s="11">
        <f>HYPERLINK("https://www.vietnamworks.com/key-account-specialist-etc--1999969-jv","Xem chi tiết")</f>
        <v/>
      </c>
      <c r="O1708" s="10" t="n"/>
    </row>
    <row r="1709">
      <c r="B1709" s="7" t="n">
        <v>1707</v>
      </c>
      <c r="C1709" t="inlineStr">
        <is>
          <t>Product Manager, Fintech (Web and Mobile)</t>
        </is>
      </c>
      <c r="D1709" t="inlineStr">
        <is>
          <t>Vietpay Corporation</t>
        </is>
      </c>
      <c r="E1709" t="inlineStr">
        <is>
          <t>Thương lượng</t>
        </is>
      </c>
      <c r="F1709" t="inlineStr">
        <is>
          <t>Hà Nội, Hồ Chí Minh</t>
        </is>
      </c>
      <c r="G1709" t="inlineStr">
        <is>
          <t>Trưởng phòng</t>
        </is>
      </c>
      <c r="H1709" t="inlineStr">
        <is>
          <t>07/01/2026</t>
        </is>
      </c>
      <c r="I1709" t="inlineStr">
        <is>
          <t>26/03/2026</t>
        </is>
      </c>
      <c r="J1709" t="inlineStr">
        <is>
          <t>17/03/2026</t>
        </is>
      </c>
      <c r="K1709" t="inlineStr">
        <is>
          <t>N/A</t>
        </is>
      </c>
      <c r="L1709" t="inlineStr">
        <is>
          <t>Fintech, Digital Banking, Product Management, Product Strategies, Stakeholder Management</t>
        </is>
      </c>
      <c r="M1709" t="inlineStr">
        <is>
          <t>Bonus, Healthcare Plan, Awards, Others</t>
        </is>
      </c>
      <c r="N1709" s="8">
        <f>HYPERLINK("https://www.vietnamworks.com/product-manager-fintech-web-and-mobile-2000013-jv","Xem chi tiết")</f>
        <v/>
      </c>
    </row>
    <row r="1710">
      <c r="B1710" s="9" t="n">
        <v>1708</v>
      </c>
      <c r="C1710" s="10" t="inlineStr">
        <is>
          <t>Sinh Viên Mới Tốt Nghiệp - Khối Kỹ Thuật</t>
        </is>
      </c>
      <c r="D1710" s="10" t="inlineStr">
        <is>
          <t>Amkor Technology Vietnam LLC.,</t>
        </is>
      </c>
      <c r="E1710" s="10" t="inlineStr">
        <is>
          <t>Thương lượng</t>
        </is>
      </c>
      <c r="F1710" s="10" t="inlineStr">
        <is>
          <t>Bắc Ninh</t>
        </is>
      </c>
      <c r="G1710" s="10" t="inlineStr">
        <is>
          <t>Mới Tốt Nghiệp</t>
        </is>
      </c>
      <c r="H1710" s="10" t="inlineStr">
        <is>
          <t>07/01/2026</t>
        </is>
      </c>
      <c r="I1710" s="10" t="inlineStr">
        <is>
          <t>26/03/2026</t>
        </is>
      </c>
      <c r="J1710" s="10" t="inlineStr">
        <is>
          <t>17/03/2026</t>
        </is>
      </c>
      <c r="K1710" s="10" t="inlineStr">
        <is>
          <t>N/A</t>
        </is>
      </c>
      <c r="L1710" s="10" t="inlineStr">
        <is>
          <t>Điện Tử, Tự Động Hóa, Kỹ Thuật, Cơ Điện Tử, Hóa Kỹ Thuật</t>
        </is>
      </c>
      <c r="M1710" s="10" t="inlineStr">
        <is>
          <t>Bonus, Training, Transportation</t>
        </is>
      </c>
      <c r="N1710" s="11">
        <f>HYPERLINK("https://www.vietnamworks.com/sinh-vien-moi-tot-nghiep-khoi-ky-thuat--2000021-jv","Xem chi tiết")</f>
        <v/>
      </c>
      <c r="O1710" s="10" t="n"/>
    </row>
    <row r="1711">
      <c r="B1711" s="7" t="n">
        <v>1709</v>
      </c>
      <c r="C1711" t="inlineStr">
        <is>
          <t>Manufacturing Operations QA Senior Manager</t>
        </is>
      </c>
      <c r="D1711" t="inlineStr">
        <is>
          <t>Công Ty TNHH Given Imaging Việt Nam (Medtronic)</t>
        </is>
      </c>
      <c r="E1711" t="inlineStr">
        <is>
          <t>Thương lượng</t>
        </is>
      </c>
      <c r="F1711" t="inlineStr">
        <is>
          <t>Hồ Chí Minh</t>
        </is>
      </c>
      <c r="G1711" t="inlineStr">
        <is>
          <t>Trưởng phòng</t>
        </is>
      </c>
      <c r="H1711" t="inlineStr">
        <is>
          <t>02/01/2026</t>
        </is>
      </c>
      <c r="I1711" t="inlineStr">
        <is>
          <t>26/03/2026</t>
        </is>
      </c>
      <c r="J1711" t="inlineStr">
        <is>
          <t>17/03/2026</t>
        </is>
      </c>
      <c r="K1711" t="inlineStr">
        <is>
          <t>N/A</t>
        </is>
      </c>
      <c r="L1711" t="inlineStr">
        <is>
          <t>Management, QMS Management</t>
        </is>
      </c>
      <c r="M1711" t="inlineStr">
        <is>
          <t>Bonus, Healthcare Plan, Travel Opportunities</t>
        </is>
      </c>
      <c r="N1711" s="8">
        <f>HYPERLINK("https://www.vietnamworks.com/manufacturing-operations-qa-senior-manager-1999065-jv","Xem chi tiết")</f>
        <v/>
      </c>
    </row>
    <row r="1712">
      <c r="B1712" s="9" t="n">
        <v>1710</v>
      </c>
      <c r="C1712" s="10" t="inlineStr">
        <is>
          <t>Payable Accountant (Temporary 9 Months)</t>
        </is>
      </c>
      <c r="D1712" s="10" t="inlineStr">
        <is>
          <t>Freyssinet Viet Nam Co.Ltd</t>
        </is>
      </c>
      <c r="E1712" s="10" t="inlineStr">
        <is>
          <t>Thương lượng</t>
        </is>
      </c>
      <c r="F1712" s="10" t="inlineStr">
        <is>
          <t>Hà Nội</t>
        </is>
      </c>
      <c r="G1712" s="10" t="inlineStr">
        <is>
          <t>Nhân viên</t>
        </is>
      </c>
      <c r="H1712" s="10" t="inlineStr">
        <is>
          <t>06/01/2026</t>
        </is>
      </c>
      <c r="I1712" s="10" t="inlineStr">
        <is>
          <t>26/03/2026</t>
        </is>
      </c>
      <c r="J1712" s="10" t="inlineStr">
        <is>
          <t>17/03/2026</t>
        </is>
      </c>
      <c r="K1712" s="10" t="inlineStr">
        <is>
          <t>N/A</t>
        </is>
      </c>
      <c r="L1712" s="10" t="inlineStr">
        <is>
          <t>Accounting Report, Accounting Standards, Accounts Payable, Debt Collection, Payable Transaction</t>
        </is>
      </c>
      <c r="M1712" s="10" t="inlineStr">
        <is>
          <t>Bonus, Healthcare Plan, Training, Team Activities, Others</t>
        </is>
      </c>
      <c r="N1712" s="11">
        <f>HYPERLINK("https://www.vietnamworks.com/payable-accountant-temporary-9-months-1999797-jv","Xem chi tiết")</f>
        <v/>
      </c>
      <c r="O1712" s="10" t="n"/>
    </row>
    <row r="1713">
      <c r="B1713" s="7" t="n">
        <v>1711</v>
      </c>
      <c r="C1713" t="inlineStr">
        <is>
          <t>Trình Dược Viên Kênh ETC HCM</t>
        </is>
      </c>
      <c r="D1713" t="inlineStr">
        <is>
          <t>CÔNG TY TNHH DƯỢC PHẨM GIGAMED</t>
        </is>
      </c>
      <c r="E1713" t="inlineStr">
        <is>
          <t>Thương lượng</t>
        </is>
      </c>
      <c r="F1713" t="inlineStr">
        <is>
          <t>Hồ Chí Minh</t>
        </is>
      </c>
      <c r="G1713" t="inlineStr">
        <is>
          <t>Nhân viên</t>
        </is>
      </c>
      <c r="H1713" t="inlineStr">
        <is>
          <t>06/01/2026</t>
        </is>
      </c>
      <c r="I1713" t="inlineStr">
        <is>
          <t>26/03/2026</t>
        </is>
      </c>
      <c r="J1713" t="inlineStr">
        <is>
          <t>17/03/2026</t>
        </is>
      </c>
      <c r="K1713" t="inlineStr">
        <is>
          <t>N/A</t>
        </is>
      </c>
      <c r="L1713" t="inlineStr">
        <is>
          <t>ETC, Dược Phẩm, Dược, Trình dược viên, Kinh Nghiệm Trình Dược</t>
        </is>
      </c>
      <c r="M1713" t="inlineStr">
        <is>
          <t>Bonus, Healthcare Plan, Travel Opportunities</t>
        </is>
      </c>
      <c r="N1713" s="8">
        <f>HYPERLINK("https://www.vietnamworks.com/trinh-duoc-vien-kenh-etc-hcm--1999970-jv","Xem chi tiết")</f>
        <v/>
      </c>
    </row>
    <row r="1714">
      <c r="B1714" s="9" t="n">
        <v>1712</v>
      </c>
      <c r="C1714" s="10" t="inlineStr">
        <is>
          <t>Kỹ Thuật Viên Chất Lượng Đầu Vào (IQC)</t>
        </is>
      </c>
      <c r="D1714" s="10" t="inlineStr">
        <is>
          <t>Công Ty TNHH Ariston Việt Nam</t>
        </is>
      </c>
      <c r="E1714" s="10" t="inlineStr">
        <is>
          <t>Thương lượng</t>
        </is>
      </c>
      <c r="F1714" s="10" t="inlineStr">
        <is>
          <t>Bắc Ninh, Hà Nội</t>
        </is>
      </c>
      <c r="G1714" s="10" t="inlineStr">
        <is>
          <t>Nhân viên</t>
        </is>
      </c>
      <c r="H1714" s="10" t="inlineStr">
        <is>
          <t>05/01/2026</t>
        </is>
      </c>
      <c r="I1714" s="10" t="inlineStr">
        <is>
          <t>26/03/2026</t>
        </is>
      </c>
      <c r="J1714" s="10" t="inlineStr">
        <is>
          <t>17/03/2026</t>
        </is>
      </c>
      <c r="K1714" s="10" t="inlineStr">
        <is>
          <t>N/A</t>
        </is>
      </c>
      <c r="L1714" s="10" t="inlineStr">
        <is>
          <t>Quality Control, ISO 9001, IQC, Control Incoming Materials, QC</t>
        </is>
      </c>
      <c r="M1714" s="10" t="inlineStr">
        <is>
          <t>Healthcare Plan, Team Activities, Canteen</t>
        </is>
      </c>
      <c r="N1714" s="11">
        <f>HYPERLINK("https://www.vietnamworks.com/ky-thuat-vien-chat-luong-dau-vao-iqc-1999551-jv","Xem chi tiết")</f>
        <v/>
      </c>
      <c r="O1714" s="10" t="n"/>
    </row>
    <row r="1715">
      <c r="B1715" s="7" t="n">
        <v>1713</v>
      </c>
      <c r="C1715" t="inlineStr">
        <is>
          <t>Nhân Viên Vận Hành Trạm Điện 110Kv - Làm Ca 8 Tiếng, Tốt Nghiệp Từ Trung Cấp</t>
        </is>
      </c>
      <c r="D1715" t="inlineStr">
        <is>
          <t>Công Ty Cổ Phần Đô Thị Amata Hạ Long</t>
        </is>
      </c>
      <c r="E1715" t="inlineStr">
        <is>
          <t>Thương lượng</t>
        </is>
      </c>
      <c r="F1715" t="inlineStr">
        <is>
          <t>Quảng Ninh, Hải Phòng, Hà Nội</t>
        </is>
      </c>
      <c r="G1715" t="inlineStr">
        <is>
          <t>Nhân viên</t>
        </is>
      </c>
      <c r="H1715" t="inlineStr">
        <is>
          <t>05/01/2026</t>
        </is>
      </c>
      <c r="I1715" t="inlineStr">
        <is>
          <t>26/03/2026</t>
        </is>
      </c>
      <c r="J1715" t="inlineStr">
        <is>
          <t>17/03/2026</t>
        </is>
      </c>
      <c r="K1715" t="inlineStr">
        <is>
          <t>N/A</t>
        </is>
      </c>
      <c r="L1715" t="inlineStr">
        <is>
          <t>Operation Of 110Kv Substation, Electrical Maintenance, Trạm Biến Áp, Vận Hành Bảo Trì, Hệ Thống Điện</t>
        </is>
      </c>
      <c r="M1715" t="inlineStr">
        <is>
          <t>Bonus, Healthcare Plan, Paid Leave</t>
        </is>
      </c>
      <c r="N1715" s="8">
        <f>HYPERLINK("https://www.vietnamworks.com/nhan-vien-van-hanh-tram-djien-110kv-lam-ca-8-tieng-tot-nghiep-tu-trung-cap-1999274-jv","Xem chi tiết")</f>
        <v/>
      </c>
    </row>
    <row r="1716">
      <c r="B1716" s="9" t="n">
        <v>1714</v>
      </c>
      <c r="C1716" s="10" t="inlineStr">
        <is>
          <t>Head of Fintech Operations (POS Acquiring and Card Issuance)</t>
        </is>
      </c>
      <c r="D1716" s="10" t="inlineStr">
        <is>
          <t>Vietpay Corporation</t>
        </is>
      </c>
      <c r="E1716" s="10" t="inlineStr">
        <is>
          <t>Thương lượng</t>
        </is>
      </c>
      <c r="F1716" s="10" t="inlineStr">
        <is>
          <t>Hà Nội, Hồ Chí Minh</t>
        </is>
      </c>
      <c r="G1716" s="10" t="inlineStr">
        <is>
          <t>Giám Đốc và Cấp Cao Hơn</t>
        </is>
      </c>
      <c r="H1716" s="10" t="inlineStr">
        <is>
          <t>07/01/2026</t>
        </is>
      </c>
      <c r="I1716" s="10" t="inlineStr">
        <is>
          <t>26/03/2026</t>
        </is>
      </c>
      <c r="J1716" s="10" t="inlineStr">
        <is>
          <t>17/03/2026</t>
        </is>
      </c>
      <c r="K1716" s="10" t="inlineStr">
        <is>
          <t>N/A</t>
        </is>
      </c>
      <c r="L1716" s="10" t="inlineStr">
        <is>
          <t>Fintech, Banking Operations, Card operations, English, Financial Sponsorship</t>
        </is>
      </c>
      <c r="M1716" s="10" t="inlineStr">
        <is>
          <t>Bonus, Healthcare Plan, Awards, Others</t>
        </is>
      </c>
      <c r="N1716" s="11">
        <f>HYPERLINK("https://www.vietnamworks.com/head-of-fintech-operations-pos-acquiring-and-card-issuance-2000012-jv","Xem chi tiết")</f>
        <v/>
      </c>
      <c r="O1716" s="10" t="n"/>
    </row>
    <row r="1717">
      <c r="B1717" s="7" t="n">
        <v>1715</v>
      </c>
      <c r="C1717" t="inlineStr">
        <is>
          <t>Nhân Viên Kinh Doanh Trang Sức Cao Cấp (Thu Nhập Đến 50 Triệu/1 Tháng)</t>
        </is>
      </c>
      <c r="D1717" t="inlineStr">
        <is>
          <t>CÔNG TY TNHH NỮ TRANG CAO CẤP MARY LE</t>
        </is>
      </c>
      <c r="E1717" t="inlineStr">
        <is>
          <t>20tr-50tr ₫/tháng</t>
        </is>
      </c>
      <c r="F1717" t="inlineStr">
        <is>
          <t>Hà Nội</t>
        </is>
      </c>
      <c r="G1717" t="inlineStr">
        <is>
          <t>Nhân viên</t>
        </is>
      </c>
      <c r="H1717" t="inlineStr">
        <is>
          <t>08/01/2026</t>
        </is>
      </c>
      <c r="I1717" t="inlineStr">
        <is>
          <t>26/03/2026</t>
        </is>
      </c>
      <c r="J1717" t="inlineStr">
        <is>
          <t>17/03/2026</t>
        </is>
      </c>
      <c r="K1717" t="inlineStr">
        <is>
          <t>N/A</t>
        </is>
      </c>
      <c r="L1717" t="inlineStr">
        <is>
          <t>Nhân viên bán hàng, Nhân viên kinh doanh, Trang Sức Đá Quý, Sale, Bán hàng &amp; Chăm sóc khách hàng</t>
        </is>
      </c>
      <c r="M1717" t="inlineStr">
        <is>
          <t>Bonus, Training, Others</t>
        </is>
      </c>
      <c r="N1717" s="8">
        <f>HYPERLINK("https://www.vietnamworks.com/nhan-vien-kinh-doanh-trang-suc-cao-cap-thu-nhap-den-50-trieu-1-thang-2000491-jv","Xem chi tiết")</f>
        <v/>
      </c>
    </row>
    <row r="1718">
      <c r="B1718" s="9" t="n">
        <v>1716</v>
      </c>
      <c r="C1718" s="10" t="inlineStr">
        <is>
          <t>Trưởng Phòng Hành Chính Nhân Sự</t>
        </is>
      </c>
      <c r="D1718" s="10" t="inlineStr">
        <is>
          <t>CÔNG TY TNHH THƯƠNG MẠI BẤT ĐỘNG SẢN THÁI HOÀNG</t>
        </is>
      </c>
      <c r="E1718" s="10" t="inlineStr">
        <is>
          <t>30tr-45tr ₫/tháng</t>
        </is>
      </c>
      <c r="F1718" s="10" t="inlineStr">
        <is>
          <t>Hà Nội</t>
        </is>
      </c>
      <c r="G1718" s="10" t="inlineStr">
        <is>
          <t>Trưởng phòng</t>
        </is>
      </c>
      <c r="H1718" s="10" t="inlineStr">
        <is>
          <t>07/01/2026</t>
        </is>
      </c>
      <c r="I1718" s="10" t="inlineStr">
        <is>
          <t>26/03/2026</t>
        </is>
      </c>
      <c r="J1718" s="10" t="inlineStr">
        <is>
          <t>17/03/2026</t>
        </is>
      </c>
      <c r="K1718" s="10" t="inlineStr">
        <is>
          <t>N/A</t>
        </is>
      </c>
      <c r="L1718" s="10" t="inlineStr">
        <is>
          <t>Hành Chính Nhân Sự, Kế Hoạch Nhân Sự, Quan Hệ Lao Động, Quản Lý Nhân Sự, Tuyển Dụng</t>
        </is>
      </c>
      <c r="M1718" s="10" t="inlineStr">
        <is>
          <t>Bonus, Paid Leave, Training, Others</t>
        </is>
      </c>
      <c r="N1718" s="11">
        <f>HYPERLINK("https://www.vietnamworks.com/truong-phong-hanh-chinh-nhan-su-2000210-jv","Xem chi tiết")</f>
        <v/>
      </c>
      <c r="O1718" s="10" t="n"/>
    </row>
    <row r="1719">
      <c r="B1719" s="7" t="n">
        <v>1717</v>
      </c>
      <c r="C1719" t="inlineStr">
        <is>
          <t>Phiên Dịch Trung - Việt (Phỏng Vấn Trước Tết - Đi Làm Sau Tết)</t>
        </is>
      </c>
      <c r="D1719" t="inlineStr">
        <is>
          <t>Công Ty TNHH Thương Mại Dược Phẩm Đông Á</t>
        </is>
      </c>
      <c r="E1719" t="inlineStr">
        <is>
          <t>Thương lượng</t>
        </is>
      </c>
      <c r="F1719" t="inlineStr">
        <is>
          <t>Hà Nội</t>
        </is>
      </c>
      <c r="G1719" t="inlineStr">
        <is>
          <t>Trưởng phòng</t>
        </is>
      </c>
      <c r="H1719" t="inlineStr">
        <is>
          <t>07/01/2026</t>
        </is>
      </c>
      <c r="I1719" t="inlineStr">
        <is>
          <t>26/03/2026</t>
        </is>
      </c>
      <c r="J1719" t="inlineStr">
        <is>
          <t>17/03/2026</t>
        </is>
      </c>
      <c r="K1719" t="inlineStr">
        <is>
          <t>N/A</t>
        </is>
      </c>
      <c r="L1719" t="inlineStr">
        <is>
          <t>Tiếng Trung, Biên Phiên Dịch Tiếng Trung, Nghiên Cứu Sản Phẩm, Phát Triển Sản Phẩm, Phiên Dịch</t>
        </is>
      </c>
      <c r="M1719" t="inlineStr">
        <is>
          <t>Bonus, Healthcare Plan, Laptop, Team Activities</t>
        </is>
      </c>
      <c r="N1719" s="8">
        <f>HYPERLINK("https://www.vietnamworks.com/phien-dich-trung-viet-phong-van-truoc-tet-di-lam-sau-tet-2000147-jv","Xem chi tiết")</f>
        <v/>
      </c>
    </row>
    <row r="1720">
      <c r="B1720" s="9" t="n">
        <v>1718</v>
      </c>
      <c r="C1720" s="10" t="inlineStr">
        <is>
          <t>Quản Lý Bán Hàng (Sales Supervisor)</t>
        </is>
      </c>
      <c r="D1720" s="10" t="inlineStr">
        <is>
          <t>CÔNG TY EMS - LOGISTICS, CHI NHÁNH TỔNG CÔNG TY CHUYỂN PHÁT NHANH BƯU ĐIỆN - CÔNG TY CỔ PHẦN</t>
        </is>
      </c>
      <c r="E1720" s="10" t="inlineStr">
        <is>
          <t>15tr-20tr ₫/tháng</t>
        </is>
      </c>
      <c r="F1720" s="10" t="inlineStr">
        <is>
          <t>Hà Nội, Hồ Chí Minh, Cần Thơ</t>
        </is>
      </c>
      <c r="G1720" s="10" t="inlineStr">
        <is>
          <t>Trưởng phòng</t>
        </is>
      </c>
      <c r="H1720" s="10" t="inlineStr">
        <is>
          <t>07/01/2026</t>
        </is>
      </c>
      <c r="I1720" s="10" t="inlineStr">
        <is>
          <t>26/03/2026</t>
        </is>
      </c>
      <c r="J1720" s="10" t="inlineStr">
        <is>
          <t>17/03/2026</t>
        </is>
      </c>
      <c r="K1720" s="10" t="inlineStr">
        <is>
          <t>N/A</t>
        </is>
      </c>
      <c r="L1720" s="10" t="inlineStr">
        <is>
          <t>Logistics, Customer Service, Giám Sát Bán Hàng, Quản Lý Kinh Doanh, Xuất Nhập Khẩu</t>
        </is>
      </c>
      <c r="M1720" s="10" t="inlineStr">
        <is>
          <t>Bonus, Healthcare Plan, Training, Others</t>
        </is>
      </c>
      <c r="N1720" s="11">
        <f>HYPERLINK("https://www.vietnamworks.com/quan-ly-ban-hang-sales-supervisor-2000113-jv","Xem chi tiết")</f>
        <v/>
      </c>
      <c r="O1720" s="10" t="n"/>
    </row>
    <row r="1721">
      <c r="B1721" s="7" t="n">
        <v>1719</v>
      </c>
      <c r="C1721" t="inlineStr">
        <is>
          <t>Senior Full Stack Java Engineer</t>
        </is>
      </c>
      <c r="D1721" t="inlineStr">
        <is>
          <t>CÔNG TY TNHH HITRUST</t>
        </is>
      </c>
      <c r="E1721" t="inlineStr">
        <is>
          <t>$$ 1,300-3,000 /tháng</t>
        </is>
      </c>
      <c r="F1721" t="inlineStr">
        <is>
          <t>Hà Nội</t>
        </is>
      </c>
      <c r="G1721" t="inlineStr">
        <is>
          <t>Nhân viên</t>
        </is>
      </c>
      <c r="H1721" t="inlineStr">
        <is>
          <t>07/01/2026</t>
        </is>
      </c>
      <c r="I1721" t="inlineStr">
        <is>
          <t>26/03/2026</t>
        </is>
      </c>
      <c r="J1721" t="inlineStr">
        <is>
          <t>17/03/2026</t>
        </is>
      </c>
      <c r="K1721" t="inlineStr">
        <is>
          <t>N/A</t>
        </is>
      </c>
      <c r="L1721" t="inlineStr">
        <is>
          <t>Software Database, Oracle, SQL, Database System, JavaScript</t>
        </is>
      </c>
      <c r="M1721" t="inlineStr">
        <is>
          <t>Bonus, Paid Leave, Training, Laptop, Travel Opportunities, Others</t>
        </is>
      </c>
      <c r="N1721" s="8">
        <f>HYPERLINK("https://www.vietnamworks.com/senior-full-stack-java-engineer-2000038-jv","Xem chi tiết")</f>
        <v/>
      </c>
    </row>
    <row r="1722">
      <c r="B1722" s="9" t="n">
        <v>1720</v>
      </c>
      <c r="C1722" s="10" t="inlineStr">
        <is>
          <t>Project Engineering (Order Entry)</t>
        </is>
      </c>
      <c r="D1722" s="10" t="inlineStr">
        <is>
          <t>Pebsteel Buildings Co., Ltd.</t>
        </is>
      </c>
      <c r="E1722" s="10" t="inlineStr">
        <is>
          <t>Thương lượng</t>
        </is>
      </c>
      <c r="F1722" s="10" t="inlineStr">
        <is>
          <t>Hồ Chí Minh</t>
        </is>
      </c>
      <c r="G1722" s="10" t="inlineStr">
        <is>
          <t>Nhân viên</t>
        </is>
      </c>
      <c r="H1722" s="10" t="inlineStr">
        <is>
          <t>07/01/2026</t>
        </is>
      </c>
      <c r="I1722" s="10" t="inlineStr">
        <is>
          <t>26/03/2026</t>
        </is>
      </c>
      <c r="J1722" s="10" t="inlineStr">
        <is>
          <t>17/03/2026</t>
        </is>
      </c>
      <c r="K1722" s="10" t="inlineStr">
        <is>
          <t>N/A</t>
        </is>
      </c>
      <c r="L1722" s="10" t="inlineStr">
        <is>
          <t>Project Coordination, Project Management Support, Project Sales Management, Steel structures, Technical Project Management</t>
        </is>
      </c>
      <c r="M1722" s="10" t="inlineStr">
        <is>
          <t>Paid Leave, Team Activities</t>
        </is>
      </c>
      <c r="N1722" s="11">
        <f>HYPERLINK("https://www.vietnamworks.com/project-engineering-order-entry-2000236-jv","Xem chi tiết")</f>
        <v/>
      </c>
      <c r="O1722" s="10" t="n"/>
    </row>
    <row r="1723">
      <c r="B1723" s="7" t="n">
        <v>1721</v>
      </c>
      <c r="C1723" t="inlineStr">
        <is>
          <t>[HCM - Local] Compliance Specialist</t>
        </is>
      </c>
      <c r="D1723" t="inlineStr">
        <is>
          <t>Newtimes Development LTD. - Vietnam Representative Office</t>
        </is>
      </c>
      <c r="E1723" t="inlineStr">
        <is>
          <t>Thương lượng</t>
        </is>
      </c>
      <c r="F1723" t="inlineStr">
        <is>
          <t>Hồ Chí Minh</t>
        </is>
      </c>
      <c r="G1723" t="inlineStr">
        <is>
          <t>Nhân viên</t>
        </is>
      </c>
      <c r="H1723" t="inlineStr">
        <is>
          <t>07/01/2026</t>
        </is>
      </c>
      <c r="I1723" t="inlineStr">
        <is>
          <t>26/03/2026</t>
        </is>
      </c>
      <c r="J1723" t="inlineStr">
        <is>
          <t>17/03/2026</t>
        </is>
      </c>
      <c r="K1723" t="inlineStr">
        <is>
          <t>N/A</t>
        </is>
      </c>
      <c r="L1723" t="inlineStr">
        <is>
          <t>Audit Report, Business Compliance, Communication Skills, EHS Compliance, Environmental Sustainability</t>
        </is>
      </c>
      <c r="M1723" t="inlineStr">
        <is>
          <t>Bonus, Healthcare Plan, Team Activities</t>
        </is>
      </c>
      <c r="N1723" s="8">
        <f>HYPERLINK("https://www.vietnamworks.com/hcm-local-compliance-specialist-2000248-jv","Xem chi tiết")</f>
        <v/>
      </c>
    </row>
    <row r="1724">
      <c r="B1724" s="9" t="n">
        <v>1722</v>
      </c>
      <c r="C1724" s="10" t="inlineStr">
        <is>
          <t>(Experienced Staff) Senior Consultant - Mergers &amp; Acquisition (M&amp;A) Advisory</t>
        </is>
      </c>
      <c r="D1724" s="10" t="inlineStr">
        <is>
          <t>Ernst &amp; Young Vietnam Limited (EY Vietnam)</t>
        </is>
      </c>
      <c r="E1724" s="10" t="inlineStr">
        <is>
          <t>Thương lượng</t>
        </is>
      </c>
      <c r="F1724" s="10" t="inlineStr">
        <is>
          <t>Hồ Chí Minh</t>
        </is>
      </c>
      <c r="G1724" s="10" t="inlineStr">
        <is>
          <t>Nhân viên</t>
        </is>
      </c>
      <c r="H1724" s="10" t="inlineStr">
        <is>
          <t>07/01/2026</t>
        </is>
      </c>
      <c r="I1724" s="10" t="inlineStr">
        <is>
          <t>26/03/2026</t>
        </is>
      </c>
      <c r="J1724" s="10" t="inlineStr">
        <is>
          <t>17/03/2026</t>
        </is>
      </c>
      <c r="K1724" s="10" t="inlineStr">
        <is>
          <t>N/A</t>
        </is>
      </c>
      <c r="L1724" s="10" t="inlineStr">
        <is>
          <t>M&amp;A Consulting, Investment Analysis, Investment Valuation, Business Strategic Planning</t>
        </is>
      </c>
      <c r="M1724" s="10" t="inlineStr">
        <is>
          <t>Bonus, Awards, Others</t>
        </is>
      </c>
      <c r="N1724" s="11">
        <f>HYPERLINK("https://www.vietnamworks.com/experienced-staff-senior-consultant-mergers-acquisition-m-a-advisory--2000327-jv","Xem chi tiết")</f>
        <v/>
      </c>
      <c r="O1724" s="10" t="n"/>
    </row>
    <row r="1725">
      <c r="B1725" s="7" t="n">
        <v>1723</v>
      </c>
      <c r="C1725" t="inlineStr">
        <is>
          <t>Chuyên Viên Quản Lý Chất Lượng (QC Executive)</t>
        </is>
      </c>
      <c r="D1725" t="inlineStr">
        <is>
          <t>Công ty TNHH Hanoia</t>
        </is>
      </c>
      <c r="E1725" t="inlineStr">
        <is>
          <t>Thương lượng</t>
        </is>
      </c>
      <c r="F1725" t="inlineStr">
        <is>
          <t>Hà Nội</t>
        </is>
      </c>
      <c r="G1725" t="inlineStr">
        <is>
          <t>Nhân viên</t>
        </is>
      </c>
      <c r="H1725" t="inlineStr">
        <is>
          <t>07/01/2026</t>
        </is>
      </c>
      <c r="I1725" t="inlineStr">
        <is>
          <t>26/03/2026</t>
        </is>
      </c>
      <c r="J1725" t="inlineStr">
        <is>
          <t>17/03/2026</t>
        </is>
      </c>
      <c r="K1725" t="inlineStr">
        <is>
          <t>N/A</t>
        </is>
      </c>
      <c r="L1725" t="inlineStr">
        <is>
          <t>Quality Process, Quality Control, Quality Assurance, QA, Cơ Khí</t>
        </is>
      </c>
      <c r="M1725" t="inlineStr">
        <is>
          <t>Bonus, Healthcare Plan, Team Activities</t>
        </is>
      </c>
      <c r="N1725" s="8">
        <f>HYPERLINK("https://www.vietnamworks.com/chuyen-vien-quan-ly-chat-luong-qc-executive--2000362-jv","Xem chi tiết")</f>
        <v/>
      </c>
    </row>
    <row r="1726">
      <c r="B1726" s="9" t="n">
        <v>1724</v>
      </c>
      <c r="C1726" s="10" t="inlineStr">
        <is>
          <t>Quality Engineer NPI</t>
        </is>
      </c>
      <c r="D1726" s="10" t="inlineStr">
        <is>
          <t>CÔNG TY TNHH AJAX SYSTEMS VIỆT NAM</t>
        </is>
      </c>
      <c r="E1726" s="10" t="inlineStr">
        <is>
          <t>Thương lượng</t>
        </is>
      </c>
      <c r="F1726" s="10" t="inlineStr">
        <is>
          <t>Hưng Yên, Hải Dương, Hà Nội</t>
        </is>
      </c>
      <c r="G1726" s="10" t="inlineStr">
        <is>
          <t>Nhân viên</t>
        </is>
      </c>
      <c r="H1726" s="10" t="inlineStr">
        <is>
          <t>08/01/2026</t>
        </is>
      </c>
      <c r="I1726" s="10" t="inlineStr">
        <is>
          <t>26/03/2026</t>
        </is>
      </c>
      <c r="J1726" s="10" t="inlineStr">
        <is>
          <t>17/03/2026</t>
        </is>
      </c>
      <c r="K1726" s="10" t="inlineStr">
        <is>
          <t>N/A</t>
        </is>
      </c>
      <c r="L1726" s="10" t="inlineStr">
        <is>
          <t>NPI Project Management, NPI process, NPI Engineering, NPI Support, Quality Engineer</t>
        </is>
      </c>
      <c r="M1726" s="10" t="inlineStr">
        <is>
          <t>Bonus, Laptop, Transportation</t>
        </is>
      </c>
      <c r="N1726" s="11">
        <f>HYPERLINK("https://www.vietnamworks.com/quality-engineer-npi-2000494-jv","Xem chi tiết")</f>
        <v/>
      </c>
      <c r="O1726" s="10" t="n"/>
    </row>
    <row r="1727">
      <c r="B1727" s="7" t="n">
        <v>1725</v>
      </c>
      <c r="C1727" t="inlineStr">
        <is>
          <t>Chuyên Viên Kế Toán Chi Phí Và Công Nợ</t>
        </is>
      </c>
      <c r="D1727" t="inlineStr">
        <is>
          <t>Công Ty Cổ Phần Vua Nệm</t>
        </is>
      </c>
      <c r="E1727" t="inlineStr">
        <is>
          <t>11tr-16tr ₫/tháng</t>
        </is>
      </c>
      <c r="F1727" t="inlineStr">
        <is>
          <t>Hà Nội</t>
        </is>
      </c>
      <c r="G1727" t="inlineStr">
        <is>
          <t>Nhân viên</t>
        </is>
      </c>
      <c r="H1727" t="inlineStr">
        <is>
          <t>08/01/2026</t>
        </is>
      </c>
      <c r="I1727" t="inlineStr">
        <is>
          <t>26/03/2026</t>
        </is>
      </c>
      <c r="J1727" t="inlineStr">
        <is>
          <t>17/03/2026</t>
        </is>
      </c>
      <c r="K1727" t="inlineStr">
        <is>
          <t>N/A</t>
        </is>
      </c>
      <c r="L1727" t="inlineStr">
        <is>
          <t>Giao Tiếp, Kế Toán, Kiểm Toán, Phân Tích Da, Tài Chính</t>
        </is>
      </c>
      <c r="M1727" t="inlineStr">
        <is>
          <t>Bonus, Healthcare Plan, Training, Team Activities</t>
        </is>
      </c>
      <c r="N1727" s="8">
        <f>HYPERLINK("https://www.vietnamworks.com/chuyen-vien-ke-toan-chi-phi-va-cong-no-2000496-jv","Xem chi tiết")</f>
        <v/>
      </c>
    </row>
    <row r="1728">
      <c r="B1728" s="9" t="n">
        <v>1726</v>
      </c>
      <c r="C1728" s="10" t="inlineStr">
        <is>
          <t>Giám Đốc Kinh Doanh (Ngành hàng trang sức cao cấp)</t>
        </is>
      </c>
      <c r="D1728" s="10" t="inlineStr">
        <is>
          <t>CÔNG TY TNHH NỮ TRANG CAO CẤP MARY LE</t>
        </is>
      </c>
      <c r="E1728" s="10" t="inlineStr">
        <is>
          <t>$$ 1,600-2,500 /tháng</t>
        </is>
      </c>
      <c r="F1728" s="10" t="inlineStr">
        <is>
          <t>Hà Nội</t>
        </is>
      </c>
      <c r="G1728" s="10" t="inlineStr">
        <is>
          <t>Giám Đốc và Cấp Cao Hơn</t>
        </is>
      </c>
      <c r="H1728" s="10" t="inlineStr">
        <is>
          <t>08/01/2026</t>
        </is>
      </c>
      <c r="I1728" s="10" t="inlineStr">
        <is>
          <t>26/03/2026</t>
        </is>
      </c>
      <c r="J1728" s="10" t="inlineStr">
        <is>
          <t>17/03/2026</t>
        </is>
      </c>
      <c r="K1728" s="10" t="inlineStr">
        <is>
          <t>N/A</t>
        </is>
      </c>
      <c r="L1728" s="10" t="inlineStr">
        <is>
          <t>Luxury Brand Marketing, Strategic Thinking, Customer Experience Management, Effective Communication</t>
        </is>
      </c>
      <c r="M1728" s="10" t="inlineStr">
        <is>
          <t>Bonus, Travel Opportunities, Others</t>
        </is>
      </c>
      <c r="N1728" s="11">
        <f>HYPERLINK("https://www.vietnamworks.com/giam-djoc-kinh-doanh-nganh-hang-trang-suc-cao-cap-2000500-jv","Xem chi tiết")</f>
        <v/>
      </c>
      <c r="O1728" s="10" t="n"/>
    </row>
    <row r="1729">
      <c r="B1729" s="7" t="n">
        <v>1727</v>
      </c>
      <c r="C1729" t="inlineStr">
        <is>
          <t>Merchandiser - [Urgently]</t>
        </is>
      </c>
      <c r="D1729" t="inlineStr">
        <is>
          <t>CÔNG TY TNHH VINA DUKE</t>
        </is>
      </c>
      <c r="E1729" t="inlineStr">
        <is>
          <t>Thương lượng</t>
        </is>
      </c>
      <c r="F1729" t="inlineStr">
        <is>
          <t>Hồ Chí Minh</t>
        </is>
      </c>
      <c r="G1729" t="inlineStr">
        <is>
          <t>Nhân viên</t>
        </is>
      </c>
      <c r="H1729" t="inlineStr">
        <is>
          <t>07/01/2026</t>
        </is>
      </c>
      <c r="I1729" t="inlineStr">
        <is>
          <t>26/03/2026</t>
        </is>
      </c>
      <c r="J1729" t="inlineStr">
        <is>
          <t>17/03/2026</t>
        </is>
      </c>
      <c r="K1729" t="inlineStr">
        <is>
          <t>N/A</t>
        </is>
      </c>
      <c r="L1729" t="inlineStr">
        <is>
          <t>Sample Development, Order Management, Communication Skills, Customer Service, English</t>
        </is>
      </c>
      <c r="M1729" t="inlineStr">
        <is>
          <t>Bonus, Transportation</t>
        </is>
      </c>
      <c r="N1729" s="8">
        <f>HYPERLINK("https://www.vietnamworks.com/merchandiser-urgently-2000134-jv","Xem chi tiết")</f>
        <v/>
      </c>
    </row>
    <row r="1730">
      <c r="B1730" s="9" t="n">
        <v>1728</v>
      </c>
      <c r="C1730" s="10" t="inlineStr">
        <is>
          <t>Giám Đốc Trung Tâm Nghiên Cứu và Phát Triển Sản Phẩm - [BAC A BANK - Khối Khách Hàng Doanh Nghiệp]</t>
        </is>
      </c>
      <c r="D1730" s="10" t="inlineStr">
        <is>
          <t>Bắc Á Bank - Https://tuyendung.baca-Bank.vn/</t>
        </is>
      </c>
      <c r="E1730" s="10" t="inlineStr">
        <is>
          <t>Thương lượng</t>
        </is>
      </c>
      <c r="F1730" s="10" t="inlineStr">
        <is>
          <t>Hà Nội</t>
        </is>
      </c>
      <c r="G1730" s="10" t="inlineStr">
        <is>
          <t>Giám Đốc và Cấp Cao Hơn</t>
        </is>
      </c>
      <c r="H1730" s="10" t="inlineStr">
        <is>
          <t>08/01/2026</t>
        </is>
      </c>
      <c r="I1730" s="10" t="inlineStr">
        <is>
          <t>26/03/2026</t>
        </is>
      </c>
      <c r="J1730" s="10" t="inlineStr">
        <is>
          <t>17/03/2026</t>
        </is>
      </c>
      <c r="K1730" s="10" t="inlineStr">
        <is>
          <t>N/A</t>
        </is>
      </c>
      <c r="L1730" s="10" t="inlineStr">
        <is>
          <t>Phát Triển Sản Phẩm, Luật Ngân Hàng, Nghiên Cứu Thị Trường, Quản Lý Tài Chính Ngân Hàng, Kỹ Năng Quản Lý</t>
        </is>
      </c>
      <c r="M1730" s="10" t="inlineStr">
        <is>
          <t>Bonus, Healthcare Plan, Others</t>
        </is>
      </c>
      <c r="N1730" s="11">
        <f>HYPERLINK("https://www.vietnamworks.com/giam-doc-trung-tam-nghien-cuu-va-phat-trien-san-pham-bac-a-bank-khoi-khach-hang-doanh-nghiep--2000535-jv","Xem chi tiết")</f>
        <v/>
      </c>
      <c r="O1730" s="10" t="n"/>
    </row>
    <row r="1731">
      <c r="B1731" s="7" t="n">
        <v>1729</v>
      </c>
      <c r="C1731" t="inlineStr">
        <is>
          <t>Chuyên Viên Nhân Sự (Phụ Trách Lương Thưởng Và Phúc Lợi)</t>
        </is>
      </c>
      <c r="D1731" t="inlineStr">
        <is>
          <t>Công Ty Cổ Phần Chứng Khoán SSI</t>
        </is>
      </c>
      <c r="E1731" t="inlineStr">
        <is>
          <t>Thương lượng</t>
        </is>
      </c>
      <c r="F1731" t="inlineStr">
        <is>
          <t>Hà Nội</t>
        </is>
      </c>
      <c r="G1731" t="inlineStr">
        <is>
          <t>Nhân viên</t>
        </is>
      </c>
      <c r="H1731" t="inlineStr">
        <is>
          <t>08/01/2026</t>
        </is>
      </c>
      <c r="I1731" t="inlineStr">
        <is>
          <t>26/03/2026</t>
        </is>
      </c>
      <c r="J1731" t="inlineStr">
        <is>
          <t>17/03/2026</t>
        </is>
      </c>
      <c r="K1731" t="inlineStr">
        <is>
          <t>N/A</t>
        </is>
      </c>
      <c r="L1731" t="inlineStr">
        <is>
          <t>Giao Tiếp Tiếng Anh, Kỹ năng giao tiếp, Lập Kế Hoạch, Quản Lý Lương</t>
        </is>
      </c>
      <c r="M1731" t="inlineStr">
        <is>
          <t>Bonus, Healthcare Plan, Paid Leave, Training, Team Activities</t>
        </is>
      </c>
      <c r="N1731" s="8">
        <f>HYPERLINK("https://www.vietnamworks.com/chuyen-vien-nhan-su-phu-trach-luong-thuong-va-phuc-loi-2000513-jv","Xem chi tiết")</f>
        <v/>
      </c>
    </row>
    <row r="1732">
      <c r="B1732" s="9" t="n">
        <v>1730</v>
      </c>
      <c r="C1732" s="10" t="inlineStr">
        <is>
          <t>[ Hot Job ] Trưởng Phòng Cung Ứng</t>
        </is>
      </c>
      <c r="D1732" s="10" t="inlineStr">
        <is>
          <t>Tổng Công Ty Cổ Phần Thương Mại Xây Dựng (WTO)</t>
        </is>
      </c>
      <c r="E1732" s="10" t="inlineStr">
        <is>
          <t>30tr-50tr ₫/tháng</t>
        </is>
      </c>
      <c r="F1732" s="10" t="inlineStr">
        <is>
          <t>Hà Nội</t>
        </is>
      </c>
      <c r="G1732" s="10" t="inlineStr">
        <is>
          <t>Trưởng phòng</t>
        </is>
      </c>
      <c r="H1732" s="10" t="inlineStr">
        <is>
          <t>07/01/2026</t>
        </is>
      </c>
      <c r="I1732" s="10" t="inlineStr">
        <is>
          <t>26/03/2026</t>
        </is>
      </c>
      <c r="J1732" s="10" t="inlineStr">
        <is>
          <t>17/03/2026</t>
        </is>
      </c>
      <c r="K1732" s="10" t="inlineStr">
        <is>
          <t>N/A</t>
        </is>
      </c>
      <c r="L1732" s="10" t="inlineStr">
        <is>
          <t>Cải Tiến Quy Trình Sản Xuất, Cung Ứng Hàng Hóa, Kênh Siêu Thị, Quản lý kho vận</t>
        </is>
      </c>
      <c r="M1732" s="10" t="inlineStr">
        <is>
          <t>Bonus, Healthcare Plan, Others</t>
        </is>
      </c>
      <c r="N1732" s="11">
        <f>HYPERLINK("https://www.vietnamworks.com/hot-job-truong-phong-cung-ung-2000287-jv","Xem chi tiết")</f>
        <v/>
      </c>
      <c r="O1732" s="10" t="n"/>
    </row>
    <row r="1733">
      <c r="B1733" s="7" t="n">
        <v>1731</v>
      </c>
      <c r="C1733" t="inlineStr">
        <is>
          <t>Giám Đốc Chi Nhánh Quảng Ninh - Khách Hàng Doanh Nghiệp</t>
        </is>
      </c>
      <c r="D1733" t="inlineStr">
        <is>
          <t>Ngân Hàng TMCP Đại Chúng Việt Nam</t>
        </is>
      </c>
      <c r="E1733" t="inlineStr">
        <is>
          <t>$$ 1,500-3,000 /tháng</t>
        </is>
      </c>
      <c r="F1733" t="inlineStr">
        <is>
          <t>Quảng Ninh</t>
        </is>
      </c>
      <c r="G1733" t="inlineStr">
        <is>
          <t>Giám Đốc và Cấp Cao Hơn</t>
        </is>
      </c>
      <c r="H1733" t="inlineStr">
        <is>
          <t>07/01/2026</t>
        </is>
      </c>
      <c r="I1733" t="inlineStr">
        <is>
          <t>26/03/2026</t>
        </is>
      </c>
      <c r="J1733" t="inlineStr">
        <is>
          <t>17/03/2026</t>
        </is>
      </c>
      <c r="K1733" t="inlineStr">
        <is>
          <t>N/A</t>
        </is>
      </c>
      <c r="L1733" t="inlineStr">
        <is>
          <t>Giám đốc chi nhánh, Ngân hàng, Tài Chính Ngân Hàng</t>
        </is>
      </c>
      <c r="M1733" t="inlineStr">
        <is>
          <t>Bonus, Healthcare Plan, Canteen</t>
        </is>
      </c>
      <c r="N1733" s="8">
        <f>HYPERLINK("https://www.vietnamworks.com/giam-doc-chi-nhanh-quang-ninh-khach-hang-doanh-nghiep-2000093-jv","Xem chi tiết")</f>
        <v/>
      </c>
    </row>
    <row r="1734">
      <c r="B1734" s="9" t="n">
        <v>1732</v>
      </c>
      <c r="C1734" s="10" t="inlineStr">
        <is>
          <t>[Urgent - HN] Quality Controller</t>
        </is>
      </c>
      <c r="D1734" s="10" t="inlineStr">
        <is>
          <t>The Representative Office Of Asmara Int’l ltd in Ho Chi Minh City</t>
        </is>
      </c>
      <c r="E1734" s="10" t="inlineStr">
        <is>
          <t>Thương lượng</t>
        </is>
      </c>
      <c r="F1734" s="10" t="inlineStr">
        <is>
          <t>Hà Nội</t>
        </is>
      </c>
      <c r="G1734" s="10" t="inlineStr">
        <is>
          <t>Nhân viên</t>
        </is>
      </c>
      <c r="H1734" s="10" t="inlineStr">
        <is>
          <t>07/01/2026</t>
        </is>
      </c>
      <c r="I1734" s="10" t="inlineStr">
        <is>
          <t>26/03/2026</t>
        </is>
      </c>
      <c r="J1734" s="10" t="inlineStr">
        <is>
          <t>17/03/2026</t>
        </is>
      </c>
      <c r="K1734" s="10" t="inlineStr">
        <is>
          <t>N/A</t>
        </is>
      </c>
      <c r="L1734" s="10" t="inlineStr">
        <is>
          <t>Quality assuance</t>
        </is>
      </c>
      <c r="M1734" s="10" t="inlineStr">
        <is>
          <t>Bonus, Healthcare Plan, Paid Leave</t>
        </is>
      </c>
      <c r="N1734" s="11">
        <f>HYPERLINK("https://www.vietnamworks.com/urgent-hn-quality-controller-2000243-jv","Xem chi tiết")</f>
        <v/>
      </c>
      <c r="O1734" s="10" t="n"/>
    </row>
    <row r="1735">
      <c r="B1735" s="7" t="n">
        <v>1733</v>
      </c>
      <c r="C1735" t="inlineStr">
        <is>
          <t>Giám Đốc Kinh Doanh Khu Vực</t>
        </is>
      </c>
      <c r="D1735" t="inlineStr">
        <is>
          <t>Tổng Công Ty Bảo Việt Nhân Thọ</t>
        </is>
      </c>
      <c r="E1735" t="inlineStr">
        <is>
          <t>$$ 1,000-3,000 /tháng</t>
        </is>
      </c>
      <c r="F1735" t="inlineStr">
        <is>
          <t>Hà Tĩnh, Hải Phòng, Hưng Yên</t>
        </is>
      </c>
      <c r="G1735" t="inlineStr">
        <is>
          <t>Giám Đốc và Cấp Cao Hơn</t>
        </is>
      </c>
      <c r="H1735" t="inlineStr">
        <is>
          <t>08/01/2026</t>
        </is>
      </c>
      <c r="I1735" t="inlineStr">
        <is>
          <t>26/03/2026</t>
        </is>
      </c>
      <c r="J1735" t="inlineStr">
        <is>
          <t>17/03/2026</t>
        </is>
      </c>
      <c r="K1735" t="inlineStr">
        <is>
          <t>N/A</t>
        </is>
      </c>
      <c r="L1735" t="inlineStr">
        <is>
          <t>Bảo Hiểm, Quan Hệ Khách Hàng, Bán Hàng, Quản Lý Kinh Doanh, Giám đốc kinh doanh</t>
        </is>
      </c>
      <c r="M1735" t="inlineStr">
        <is>
          <t>Bonus, Healthcare Plan, Training</t>
        </is>
      </c>
      <c r="N1735" s="8">
        <f>HYPERLINK("https://www.vietnamworks.com/giam-doc-kinh-doanh-khu-vuc--2000477-jv","Xem chi tiết")</f>
        <v/>
      </c>
    </row>
    <row r="1736">
      <c r="B1736" s="9" t="n">
        <v>1734</v>
      </c>
      <c r="C1736" s="10" t="inlineStr">
        <is>
          <t>Tekla cum Estimating Engineer</t>
        </is>
      </c>
      <c r="D1736" s="10" t="inlineStr">
        <is>
          <t>Pebsteel Buildings Co., Ltd.</t>
        </is>
      </c>
      <c r="E1736" s="10" t="inlineStr">
        <is>
          <t>Thương lượng</t>
        </is>
      </c>
      <c r="F1736" s="10" t="inlineStr">
        <is>
          <t>Hồ Chí Minh</t>
        </is>
      </c>
      <c r="G1736" s="10" t="inlineStr">
        <is>
          <t>Nhân viên</t>
        </is>
      </c>
      <c r="H1736" s="10" t="inlineStr">
        <is>
          <t>08/01/2026</t>
        </is>
      </c>
      <c r="I1736" s="10" t="inlineStr">
        <is>
          <t>26/03/2026</t>
        </is>
      </c>
      <c r="J1736" s="10" t="inlineStr">
        <is>
          <t>17/03/2026</t>
        </is>
      </c>
      <c r="K1736" s="10" t="inlineStr">
        <is>
          <t>N/A</t>
        </is>
      </c>
      <c r="L1736" s="10" t="inlineStr">
        <is>
          <t>TEKLA software, Cost Estimation, 3D Modeling, Civil Engineering, Structural Steel Building</t>
        </is>
      </c>
      <c r="M1736" s="10" t="inlineStr">
        <is>
          <t>Bonus, Healthcare Plan, Team Activities</t>
        </is>
      </c>
      <c r="N1736" s="11">
        <f>HYPERLINK("https://www.vietnamworks.com/tekla-cum-estimating-engineer--2000684-jv","Xem chi tiết")</f>
        <v/>
      </c>
      <c r="O1736" s="10" t="n"/>
    </row>
    <row r="1737">
      <c r="B1737" s="7" t="n">
        <v>1735</v>
      </c>
      <c r="C1737" t="inlineStr">
        <is>
          <t>Universal Banker - Direct Sales (HCMC)</t>
        </is>
      </c>
      <c r="D1737" t="inlineStr">
        <is>
          <t>United Overseas Bank (Vietnam) Limited (UOB)</t>
        </is>
      </c>
      <c r="E1737" t="inlineStr">
        <is>
          <t>Thương lượng</t>
        </is>
      </c>
      <c r="F1737" t="inlineStr">
        <is>
          <t>Hồ Chí Minh</t>
        </is>
      </c>
      <c r="G1737" t="inlineStr">
        <is>
          <t>Nhân viên</t>
        </is>
      </c>
      <c r="H1737" t="inlineStr">
        <is>
          <t>08/01/2026</t>
        </is>
      </c>
      <c r="I1737" t="inlineStr">
        <is>
          <t>26/03/2026</t>
        </is>
      </c>
      <c r="J1737" t="inlineStr">
        <is>
          <t>17/03/2026</t>
        </is>
      </c>
      <c r="K1737" t="inlineStr">
        <is>
          <t>N/A</t>
        </is>
      </c>
      <c r="L1737" t="inlineStr">
        <is>
          <t>Customer Experience Management, Finance Development, Interpersonal Skills, Result Orientation, Sales Experience</t>
        </is>
      </c>
      <c r="M1737" t="inlineStr">
        <is>
          <t>Bonus, Healthcare Plan, Paid Leave, Others</t>
        </is>
      </c>
      <c r="N1737" s="8">
        <f>HYPERLINK("https://www.vietnamworks.com/universal-banker-direct-sales-hcmc-2000633-jv","Xem chi tiết")</f>
        <v/>
      </c>
    </row>
    <row r="1738">
      <c r="B1738" s="9" t="n">
        <v>1736</v>
      </c>
      <c r="C1738" s="10" t="inlineStr">
        <is>
          <t>HR Staff (10-Month Contract)</t>
        </is>
      </c>
      <c r="D1738" s="10" t="inlineStr">
        <is>
          <t>Panasonic Appliances Vietnam</t>
        </is>
      </c>
      <c r="E1738" s="10" t="inlineStr">
        <is>
          <t>Thương lượng</t>
        </is>
      </c>
      <c r="F1738" s="10" t="inlineStr">
        <is>
          <t>Hưng Yên</t>
        </is>
      </c>
      <c r="G1738" s="10" t="inlineStr">
        <is>
          <t>Nhân viên</t>
        </is>
      </c>
      <c r="H1738" s="10" t="inlineStr">
        <is>
          <t>08/01/2026</t>
        </is>
      </c>
      <c r="I1738" s="10" t="inlineStr">
        <is>
          <t>26/03/2026</t>
        </is>
      </c>
      <c r="J1738" s="10" t="inlineStr">
        <is>
          <t>17/03/2026</t>
        </is>
      </c>
      <c r="K1738" s="10" t="inlineStr">
        <is>
          <t>N/A</t>
        </is>
      </c>
      <c r="L1738" s="10" t="inlineStr">
        <is>
          <t>Training, Tuyển Dụng, Nhân Sự, Recruitment, Talent Acquisition</t>
        </is>
      </c>
      <c r="M1738" s="10" t="inlineStr">
        <is>
          <t>Bonus, Healthcare Plan, Transportation</t>
        </is>
      </c>
      <c r="N1738" s="11">
        <f>HYPERLINK("https://www.vietnamworks.com/hr-staff-10-month-contract-2000559-jv","Xem chi tiết")</f>
        <v/>
      </c>
      <c r="O1738" s="10" t="n"/>
    </row>
    <row r="1739">
      <c r="B1739" s="7" t="n">
        <v>1737</v>
      </c>
      <c r="C1739" t="inlineStr">
        <is>
          <t>Kỹ Sư Kỹ Thuật Sản Xuất (Chuyên Ngành Điện Tử/ Cơ Khí/ Hoá Học)</t>
        </is>
      </c>
      <c r="D1739" t="inlineStr">
        <is>
          <t>Công Ty TNHH Điện Tử Meiko Việt Nam (MKVC)</t>
        </is>
      </c>
      <c r="E1739" t="inlineStr">
        <is>
          <t>Thương lượng</t>
        </is>
      </c>
      <c r="F1739" t="inlineStr">
        <is>
          <t>Hà Nội</t>
        </is>
      </c>
      <c r="G1739" t="inlineStr">
        <is>
          <t>Nhân viên</t>
        </is>
      </c>
      <c r="H1739" t="inlineStr">
        <is>
          <t>08/01/2026</t>
        </is>
      </c>
      <c r="I1739" t="inlineStr">
        <is>
          <t>26/03/2026</t>
        </is>
      </c>
      <c r="J1739" t="inlineStr">
        <is>
          <t>17/03/2026</t>
        </is>
      </c>
      <c r="K1739" t="inlineStr">
        <is>
          <t>N/A</t>
        </is>
      </c>
      <c r="L1739" t="inlineStr">
        <is>
          <t>Giao Tiếp, Kỹ Thuật Cơ Khí, Kỹ Thuật Hóa, Kỹ Thuật Điện, Kỹ Thuật Điện Tử</t>
        </is>
      </c>
      <c r="M1739" t="inlineStr">
        <is>
          <t>Bonus, Paid Leave, Training, Team Activities, Transportation, Others</t>
        </is>
      </c>
      <c r="N1739" s="8">
        <f>HYPERLINK("https://www.vietnamworks.com/ky-su-ky-thuat-san-xuat-chuyen-nganh-djien-tu-co-khi-hoa-hoc-2000628-jv","Xem chi tiết")</f>
        <v/>
      </c>
    </row>
    <row r="1740">
      <c r="B1740" s="9" t="n">
        <v>1738</v>
      </c>
      <c r="C1740" s="10" t="inlineStr">
        <is>
          <t>Admin Assistant Manager</t>
        </is>
      </c>
      <c r="D1740" s="10" t="inlineStr">
        <is>
          <t>Microtec Vietnam CO., LTD</t>
        </is>
      </c>
      <c r="E1740" s="10" t="inlineStr">
        <is>
          <t>Thương lượng</t>
        </is>
      </c>
      <c r="F1740" s="10" t="inlineStr">
        <is>
          <t>Hà Nội</t>
        </is>
      </c>
      <c r="G1740" s="10" t="inlineStr">
        <is>
          <t>Nhân viên</t>
        </is>
      </c>
      <c r="H1740" s="10" t="inlineStr">
        <is>
          <t>08/01/2026</t>
        </is>
      </c>
      <c r="I1740" s="10" t="inlineStr">
        <is>
          <t>26/03/2026</t>
        </is>
      </c>
      <c r="J1740" s="10" t="inlineStr">
        <is>
          <t>17/03/2026</t>
        </is>
      </c>
      <c r="K1740" s="10" t="inlineStr">
        <is>
          <t>N/A</t>
        </is>
      </c>
      <c r="L1740" s="10" t="inlineStr">
        <is>
          <t>Administration Management, HR Supports, Admin, Purchasing</t>
        </is>
      </c>
      <c r="M1740" s="10" t="inlineStr">
        <is>
          <t>Bonus, Healthcare Plan, Paid Leave, Training, Team Activities, Others</t>
        </is>
      </c>
      <c r="N1740" s="11">
        <f>HYPERLINK("https://www.vietnamworks.com/admin-assistant-manager--2000680-jv","Xem chi tiết")</f>
        <v/>
      </c>
      <c r="O1740" s="10" t="n"/>
    </row>
    <row r="1741">
      <c r="B1741" s="7" t="n">
        <v>1739</v>
      </c>
      <c r="C1741" t="inlineStr">
        <is>
          <t>Phiên Dịch Tiếng Hàn</t>
        </is>
      </c>
      <c r="D1741" t="inlineStr">
        <is>
          <t>Ngân Hàng TNHH MTV Woori Việt Nam</t>
        </is>
      </c>
      <c r="E1741" t="inlineStr">
        <is>
          <t>Tới $ 1,500 /tháng</t>
        </is>
      </c>
      <c r="F1741" t="inlineStr">
        <is>
          <t>Hà Nội</t>
        </is>
      </c>
      <c r="G1741" t="inlineStr">
        <is>
          <t>Nhân viên</t>
        </is>
      </c>
      <c r="H1741" t="inlineStr">
        <is>
          <t>08/01/2026</t>
        </is>
      </c>
      <c r="I1741" t="inlineStr">
        <is>
          <t>26/03/2026</t>
        </is>
      </c>
      <c r="J1741" t="inlineStr">
        <is>
          <t>17/03/2026</t>
        </is>
      </c>
      <c r="K1741" t="inlineStr">
        <is>
          <t>N/A</t>
        </is>
      </c>
      <c r="L1741" t="inlineStr">
        <is>
          <t>Phiên Dịch Tiếng Hàn, Biên Phiên Dịch, Biên Phiên Dịch Tiếng Hàn, Korean Interpretation</t>
        </is>
      </c>
      <c r="M1741" t="inlineStr">
        <is>
          <t>Bonus, Healthcare Plan, Paid Leave, Training, Team Activities, Others</t>
        </is>
      </c>
      <c r="N1741" s="8">
        <f>HYPERLINK("https://www.vietnamworks.com/phien-dich-tieng-han-2000563-jv","Xem chi tiết")</f>
        <v/>
      </c>
    </row>
    <row r="1742">
      <c r="B1742" s="9" t="n">
        <v>1740</v>
      </c>
      <c r="C1742" s="10" t="inlineStr">
        <is>
          <t>Lập Trình Viên Web</t>
        </is>
      </c>
      <c r="D1742" s="10" t="inlineStr">
        <is>
          <t>TOSY Robotics Manufacturing Co., Ltd</t>
        </is>
      </c>
      <c r="E1742" s="10" t="inlineStr">
        <is>
          <t>Thương lượng</t>
        </is>
      </c>
      <c r="F1742" s="10" t="inlineStr">
        <is>
          <t>Hà Nội</t>
        </is>
      </c>
      <c r="G1742" s="10" t="inlineStr">
        <is>
          <t>Nhân viên</t>
        </is>
      </c>
      <c r="H1742" s="10" t="inlineStr">
        <is>
          <t>08/01/2026</t>
        </is>
      </c>
      <c r="I1742" s="10" t="inlineStr">
        <is>
          <t>26/03/2026</t>
        </is>
      </c>
      <c r="J1742" s="10" t="inlineStr">
        <is>
          <t>17/03/2026</t>
        </is>
      </c>
      <c r="K1742" s="10" t="inlineStr">
        <is>
          <t>N/A</t>
        </is>
      </c>
      <c r="L1742" s="10" t="inlineStr">
        <is>
          <t>Quản Trị Server, Vận Hành Hệ Thống Mạng, MongoDB, PostgreSQL, VueJS</t>
        </is>
      </c>
      <c r="M1742" s="10" t="inlineStr">
        <is>
          <t>Bonus, Training, Awards</t>
        </is>
      </c>
      <c r="N1742" s="11">
        <f>HYPERLINK("https://www.vietnamworks.com/lap-trinh-vien-web-2000620-jv","Xem chi tiết")</f>
        <v/>
      </c>
      <c r="O1742" s="10" t="n"/>
    </row>
    <row r="1743">
      <c r="B1743" s="7" t="n">
        <v>1741</v>
      </c>
      <c r="C1743" t="inlineStr">
        <is>
          <t>Customer Service Contact Center Officer</t>
        </is>
      </c>
      <c r="D1743" t="inlineStr">
        <is>
          <t>United Overseas Bank (Vietnam) Limited (UOB)</t>
        </is>
      </c>
      <c r="E1743" t="inlineStr">
        <is>
          <t>Thương lượng</t>
        </is>
      </c>
      <c r="F1743" t="inlineStr">
        <is>
          <t>Hồ Chí Minh</t>
        </is>
      </c>
      <c r="G1743" t="inlineStr">
        <is>
          <t>Nhân viên</t>
        </is>
      </c>
      <c r="H1743" t="inlineStr">
        <is>
          <t>08/01/2026</t>
        </is>
      </c>
      <c r="I1743" t="inlineStr">
        <is>
          <t>26/03/2026</t>
        </is>
      </c>
      <c r="J1743" t="inlineStr">
        <is>
          <t>17/03/2026</t>
        </is>
      </c>
      <c r="K1743" t="inlineStr">
        <is>
          <t>N/A</t>
        </is>
      </c>
      <c r="L1743" t="inlineStr">
        <is>
          <t>Communication Skills, Customer Service, Interpersonal Skills, Microsoft Office, Team Work</t>
        </is>
      </c>
      <c r="M1743" t="inlineStr">
        <is>
          <t>Bonus, Healthcare Plan, Paid Leave, Others</t>
        </is>
      </c>
      <c r="N1743" s="8">
        <f>HYPERLINK("https://www.vietnamworks.com/customer-service-contact-center-officer-2000602-jv","Xem chi tiết")</f>
        <v/>
      </c>
    </row>
    <row r="1744">
      <c r="B1744" s="9" t="n">
        <v>1742</v>
      </c>
      <c r="C1744" s="10" t="inlineStr">
        <is>
          <t>[SAC] - PID - Chuyên viên chính Kế hoạch Đầu tư</t>
        </is>
      </c>
      <c r="D1744" s="10" t="inlineStr">
        <is>
          <t>Công ty TNHH Hàng không Mặt trời Phú Quốc</t>
        </is>
      </c>
      <c r="E1744" s="10" t="inlineStr">
        <is>
          <t>Thương lượng</t>
        </is>
      </c>
      <c r="F1744" s="10" t="inlineStr">
        <is>
          <t>An Giang</t>
        </is>
      </c>
      <c r="G1744" s="10" t="inlineStr">
        <is>
          <t>Nhân viên</t>
        </is>
      </c>
      <c r="H1744" s="10" t="inlineStr">
        <is>
          <t>08/01/2026</t>
        </is>
      </c>
      <c r="I1744" s="10" t="inlineStr">
        <is>
          <t>26/03/2026</t>
        </is>
      </c>
      <c r="J1744" s="10" t="inlineStr">
        <is>
          <t>17/03/2026</t>
        </is>
      </c>
      <c r="K1744" s="10" t="inlineStr">
        <is>
          <t>N/A</t>
        </is>
      </c>
      <c r="L1744" s="10" t="inlineStr">
        <is>
          <t>Quản Lý Hợp Đồng, Giao Tiếp Liên Phòng Ban</t>
        </is>
      </c>
      <c r="M1744" s="10" t="inlineStr">
        <is>
          <t>Bonus, Healthcare Plan, Travel Opportunities</t>
        </is>
      </c>
      <c r="N1744" s="11">
        <f>HYPERLINK("https://www.vietnamworks.com/sac-pid-chuyen-vien-chinh-ke-hoach-djau-tu-2000674-jv","Xem chi tiết")</f>
        <v/>
      </c>
      <c r="O1744" s="10" t="n"/>
    </row>
    <row r="1745">
      <c r="B1745" s="7" t="n">
        <v>1743</v>
      </c>
      <c r="C1745" t="inlineStr">
        <is>
          <t>Financial Manager(Hải Phòng)</t>
        </is>
      </c>
      <c r="D1745" t="inlineStr">
        <is>
          <t>CÔNG TY TNHH KLEOS LOGISTICS</t>
        </is>
      </c>
      <c r="E1745" t="inlineStr">
        <is>
          <t>30tr-40tr ₫/tháng</t>
        </is>
      </c>
      <c r="F1745" t="inlineStr">
        <is>
          <t>Hải Phòng</t>
        </is>
      </c>
      <c r="G1745" t="inlineStr">
        <is>
          <t>Trưởng phòng</t>
        </is>
      </c>
      <c r="H1745" t="inlineStr">
        <is>
          <t>08/01/2026</t>
        </is>
      </c>
      <c r="I1745" t="inlineStr">
        <is>
          <t>26/03/2026</t>
        </is>
      </c>
      <c r="J1745" t="inlineStr">
        <is>
          <t>17/03/2026</t>
        </is>
      </c>
      <c r="K1745" t="inlineStr">
        <is>
          <t>N/A</t>
        </is>
      </c>
      <c r="L1745" t="inlineStr">
        <is>
          <t>Quản Lý Tài Chính, Chứng Chỉ CFA, Kê Khai Thuế, Lập Báo Cáo Tài Chính, Lập Ngân Sách</t>
        </is>
      </c>
      <c r="M1745" t="inlineStr">
        <is>
          <t>Bonus, Training, Others</t>
        </is>
      </c>
      <c r="N1745" s="8">
        <f>HYPERLINK("https://www.vietnamworks.com/financial-manager-hai-phong-2000686-jv","Xem chi tiết")</f>
        <v/>
      </c>
    </row>
    <row r="1746">
      <c r="B1746" s="9" t="n">
        <v>1744</v>
      </c>
      <c r="C1746" s="10" t="inlineStr">
        <is>
          <t>Kế Toán Trưởng</t>
        </is>
      </c>
      <c r="D1746" s="10" t="inlineStr">
        <is>
          <t>Công ty cổ phần dưỡng sinh y dược Sao Phương Đông</t>
        </is>
      </c>
      <c r="E1746" s="10" t="inlineStr">
        <is>
          <t>50tr-60tr ₫/tháng</t>
        </is>
      </c>
      <c r="F1746" s="10" t="inlineStr">
        <is>
          <t>Hà Nội</t>
        </is>
      </c>
      <c r="G1746" s="10" t="inlineStr">
        <is>
          <t>Trưởng phòng</t>
        </is>
      </c>
      <c r="H1746" s="10" t="inlineStr">
        <is>
          <t>08/01/2026</t>
        </is>
      </c>
      <c r="I1746" s="10" t="inlineStr">
        <is>
          <t>26/03/2026</t>
        </is>
      </c>
      <c r="J1746" s="10" t="inlineStr">
        <is>
          <t>17/03/2026</t>
        </is>
      </c>
      <c r="K1746" s="10" t="inlineStr">
        <is>
          <t>N/A</t>
        </is>
      </c>
      <c r="L1746" s="10" t="inlineStr">
        <is>
          <t>Kế Toán, Quản Lý Tài Chính, Phân Tích Tài Chính, Quản Trị Nhân Sự, Lãnh Đạo</t>
        </is>
      </c>
      <c r="M1746" s="10" t="inlineStr">
        <is>
          <t>Bonus, Healthcare Plan, Training, Awards, Others</t>
        </is>
      </c>
      <c r="N1746" s="11">
        <f>HYPERLINK("https://www.vietnamworks.com/ke-toan-truong-2000685-jv","Xem chi tiết")</f>
        <v/>
      </c>
      <c r="O1746" s="10" t="n"/>
    </row>
    <row r="1747">
      <c r="B1747" s="7" t="n">
        <v>1745</v>
      </c>
      <c r="C1747" t="inlineStr">
        <is>
          <t>Universal Banker - Direct Sales (Hanoi)</t>
        </is>
      </c>
      <c r="D1747" t="inlineStr">
        <is>
          <t>United Overseas Bank (Vietnam) Limited (UOB)</t>
        </is>
      </c>
      <c r="E1747" t="inlineStr">
        <is>
          <t>Thương lượng</t>
        </is>
      </c>
      <c r="F1747" t="inlineStr">
        <is>
          <t>Hồ Chí Minh</t>
        </is>
      </c>
      <c r="G1747" t="inlineStr">
        <is>
          <t>Nhân viên</t>
        </is>
      </c>
      <c r="H1747" t="inlineStr">
        <is>
          <t>08/01/2026</t>
        </is>
      </c>
      <c r="I1747" t="inlineStr">
        <is>
          <t>26/03/2026</t>
        </is>
      </c>
      <c r="J1747" t="inlineStr">
        <is>
          <t>17/03/2026</t>
        </is>
      </c>
      <c r="K1747" t="inlineStr">
        <is>
          <t>N/A</t>
        </is>
      </c>
      <c r="L1747" t="inlineStr">
        <is>
          <t>Customer Service, Interpersonal Skills, Negotiation Skills, Problem-solving, Sales Experience</t>
        </is>
      </c>
      <c r="M1747" t="inlineStr">
        <is>
          <t>Bonus, Healthcare Plan, Paid Leave, Others</t>
        </is>
      </c>
      <c r="N1747" s="8">
        <f>HYPERLINK("https://www.vietnamworks.com/universal-banker-direct-sales-hanoi-2000623-jv","Xem chi tiết")</f>
        <v/>
      </c>
    </row>
    <row r="1748">
      <c r="B1748" s="9" t="n">
        <v>1746</v>
      </c>
      <c r="C1748" s="10" t="inlineStr">
        <is>
          <t>Universal Banker - Telesales</t>
        </is>
      </c>
      <c r="D1748" s="10" t="inlineStr">
        <is>
          <t>United Overseas Bank (Vietnam) Limited (UOB)</t>
        </is>
      </c>
      <c r="E1748" s="10" t="inlineStr">
        <is>
          <t>Thương lượng</t>
        </is>
      </c>
      <c r="F1748" s="10" t="inlineStr">
        <is>
          <t>Hồ Chí Minh</t>
        </is>
      </c>
      <c r="G1748" s="10" t="inlineStr">
        <is>
          <t>Nhân viên</t>
        </is>
      </c>
      <c r="H1748" s="10" t="inlineStr">
        <is>
          <t>08/01/2026</t>
        </is>
      </c>
      <c r="I1748" s="10" t="inlineStr">
        <is>
          <t>26/03/2026</t>
        </is>
      </c>
      <c r="J1748" s="10" t="inlineStr">
        <is>
          <t>17/03/2026</t>
        </is>
      </c>
      <c r="K1748" s="10" t="inlineStr">
        <is>
          <t>N/A</t>
        </is>
      </c>
      <c r="L1748" s="10" t="inlineStr">
        <is>
          <t>Communication Skills, Customer Service, Sales Experience, Aml Concepts</t>
        </is>
      </c>
      <c r="M1748" s="10" t="inlineStr">
        <is>
          <t>Bonus, Healthcare Plan, Team Activities</t>
        </is>
      </c>
      <c r="N1748" s="11">
        <f>HYPERLINK("https://www.vietnamworks.com/universal-banker-telesales-2000659-jv","Xem chi tiết")</f>
        <v/>
      </c>
      <c r="O1748" s="10" t="n"/>
    </row>
    <row r="1749">
      <c r="B1749" s="7" t="n">
        <v>1747</v>
      </c>
      <c r="C1749" t="inlineStr">
        <is>
          <t>Chuyên Viên Sales Thị Trường Quốc Tế (Biết Tiếng Nhật)</t>
        </is>
      </c>
      <c r="D1749" t="inlineStr">
        <is>
          <t>Công Ty TNHH ATM International</t>
        </is>
      </c>
      <c r="E1749" t="inlineStr">
        <is>
          <t>Thương lượng</t>
        </is>
      </c>
      <c r="F1749" t="inlineStr">
        <is>
          <t>Hồ Chí Minh</t>
        </is>
      </c>
      <c r="G1749" t="inlineStr">
        <is>
          <t>Nhân viên</t>
        </is>
      </c>
      <c r="H1749" t="inlineStr">
        <is>
          <t>08/01/2026</t>
        </is>
      </c>
      <c r="I1749" t="inlineStr">
        <is>
          <t>26/03/2026</t>
        </is>
      </c>
      <c r="J1749" t="inlineStr">
        <is>
          <t>17/03/2026</t>
        </is>
      </c>
      <c r="K1749" t="inlineStr">
        <is>
          <t>N/A</t>
        </is>
      </c>
      <c r="L1749" t="inlineStr">
        <is>
          <t>Tiếng Nhật, Kinh Tế, Ngoại Thương, Giao Tiếp, Làm việc độc lập</t>
        </is>
      </c>
      <c r="M1749" t="inlineStr">
        <is>
          <t>Bonus, Healthcare Plan, Paid Leave, Training, Awards, Team Activities, Others</t>
        </is>
      </c>
      <c r="N1749" s="8">
        <f>HYPERLINK("https://www.vietnamworks.com/chuyen-vien-sales-thi-truong-quoc-te-biet-tieng-nhat-2000546-jv","Xem chi tiết")</f>
        <v/>
      </c>
    </row>
    <row r="1750">
      <c r="B1750" s="9" t="n">
        <v>1748</v>
      </c>
      <c r="C1750" s="10" t="inlineStr">
        <is>
          <t>Data &amp; BI Automation Specialist (Manufacturing | D365)</t>
        </is>
      </c>
      <c r="D1750" s="10" t="inlineStr">
        <is>
          <t>TOSY Robotics Manufacturing Co., Ltd</t>
        </is>
      </c>
      <c r="E1750" s="10" t="inlineStr">
        <is>
          <t>Thương lượng</t>
        </is>
      </c>
      <c r="F1750" s="10" t="inlineStr">
        <is>
          <t>Hà Nội</t>
        </is>
      </c>
      <c r="G1750" s="10" t="inlineStr">
        <is>
          <t>Nhân viên</t>
        </is>
      </c>
      <c r="H1750" s="10" t="inlineStr">
        <is>
          <t>08/01/2026</t>
        </is>
      </c>
      <c r="I1750" s="10" t="inlineStr">
        <is>
          <t>26/03/2026</t>
        </is>
      </c>
      <c r="J1750" s="10" t="inlineStr">
        <is>
          <t>17/03/2026</t>
        </is>
      </c>
      <c r="K1750" s="10" t="inlineStr">
        <is>
          <t>N/A</t>
        </is>
      </c>
      <c r="L1750" s="10" t="inlineStr">
        <is>
          <t>Data Validation, Data Warehouse, Power BI, Python, SQL</t>
        </is>
      </c>
      <c r="M1750" s="10" t="inlineStr">
        <is>
          <t>Bonus, Training, Awards</t>
        </is>
      </c>
      <c r="N1750" s="11">
        <f>HYPERLINK("https://www.vietnamworks.com/data-and-bi-automation-specialist-manufacturing-or-d365-2000701-jv","Xem chi tiết")</f>
        <v/>
      </c>
      <c r="O1750" s="10" t="n"/>
    </row>
    <row r="1751">
      <c r="B1751" s="7" t="n">
        <v>1749</v>
      </c>
      <c r="C1751" t="inlineStr">
        <is>
          <t>Giám Đốc Quan Hệ Khách Hàng Doanh Nghiệp Lớn (RM/SRM) - Khối Khách Hàng Doanh Nghiệp Lớn (Hà Nội, Hồ Chí Minh, Đà Nẵng)</t>
        </is>
      </c>
      <c r="D1751" t="inlineStr">
        <is>
          <t>Ngân hàng TMCP Đông Nam Á (SeABank)</t>
        </is>
      </c>
      <c r="E1751" t="inlineStr">
        <is>
          <t>Thương lượng</t>
        </is>
      </c>
      <c r="F1751" t="inlineStr">
        <is>
          <t>Hà Nội, Hồ Chí Minh, Đà Nẵng</t>
        </is>
      </c>
      <c r="G1751" t="inlineStr">
        <is>
          <t>Giám Đốc và Cấp Cao Hơn</t>
        </is>
      </c>
      <c r="H1751" t="inlineStr">
        <is>
          <t>08/01/2026</t>
        </is>
      </c>
      <c r="I1751" t="inlineStr">
        <is>
          <t>26/03/2026</t>
        </is>
      </c>
      <c r="J1751" t="inlineStr">
        <is>
          <t>17/03/2026</t>
        </is>
      </c>
      <c r="K1751" t="inlineStr">
        <is>
          <t>N/A</t>
        </is>
      </c>
      <c r="L1751" t="inlineStr">
        <is>
          <t>Khách Hàng Doanh Nghiệp, Phân Tích Tài Chính, Dịch Vụ Ngân Hàng, Phát Triển Khách Hàng, Quan Hệ Khách Hàng</t>
        </is>
      </c>
      <c r="M1751" t="inlineStr">
        <is>
          <t>Bonus, Healthcare Plan, Paid Leave, Training, Awards, Mobile, Travel Opportunities, Transportation, Others</t>
        </is>
      </c>
      <c r="N1751" s="8">
        <f>HYPERLINK("https://www.vietnamworks.com/giam-djoc-quan-he-khach-hang-doanh-nghiep-lon-rmsrm-khoi-khach-hang-doanh-nghiep-lon-ha-noi-ho-chi-minh-dja-nang-2000679-jv","Xem chi tiết")</f>
        <v/>
      </c>
    </row>
    <row r="1752">
      <c r="B1752" s="9" t="n">
        <v>1750</v>
      </c>
      <c r="C1752" s="10" t="inlineStr">
        <is>
          <t>Trưởng Ca Quản Lý Sản Xuất</t>
        </is>
      </c>
      <c r="D1752" s="10" t="inlineStr">
        <is>
          <t>Công Ty TNHH Điện Tử Meiko Việt Nam (MKVC)</t>
        </is>
      </c>
      <c r="E1752" s="10" t="inlineStr">
        <is>
          <t>Thương lượng</t>
        </is>
      </c>
      <c r="F1752" s="10" t="inlineStr">
        <is>
          <t>Hà Nội</t>
        </is>
      </c>
      <c r="G1752" s="10" t="inlineStr">
        <is>
          <t>Nhân viên</t>
        </is>
      </c>
      <c r="H1752" s="10" t="inlineStr">
        <is>
          <t>08/01/2026</t>
        </is>
      </c>
      <c r="I1752" s="10" t="inlineStr">
        <is>
          <t>26/03/2026</t>
        </is>
      </c>
      <c r="J1752" s="10" t="inlineStr">
        <is>
          <t>17/03/2026</t>
        </is>
      </c>
      <c r="K1752" s="10" t="inlineStr">
        <is>
          <t>N/A</t>
        </is>
      </c>
      <c r="L1752" s="10" t="inlineStr">
        <is>
          <t>Kỹ Thuật Hóa, Làm Việc Chịu Áp Lực Cao, Quản Lý Chất Lượng, Quản Lý Sản Xuất, Tin Học Văn Phòng</t>
        </is>
      </c>
      <c r="M1752" s="10" t="inlineStr">
        <is>
          <t>Paid Leave, Transportation, Others</t>
        </is>
      </c>
      <c r="N1752" s="11">
        <f>HYPERLINK("https://www.vietnamworks.com/truong-ca-quan-ly-san-xuat--2000657-jv","Xem chi tiết")</f>
        <v/>
      </c>
      <c r="O1752" s="10" t="n"/>
    </row>
    <row r="1753">
      <c r="B1753" s="7" t="n">
        <v>1751</v>
      </c>
      <c r="C1753" t="inlineStr">
        <is>
          <t>Legal Executive</t>
        </is>
      </c>
      <c r="D1753" t="inlineStr">
        <is>
          <t>Education For Nature - Vietnam (ENV)</t>
        </is>
      </c>
      <c r="E1753" t="inlineStr">
        <is>
          <t>Thương lượng</t>
        </is>
      </c>
      <c r="F1753" t="inlineStr">
        <is>
          <t>Hà Nội</t>
        </is>
      </c>
      <c r="G1753" t="inlineStr">
        <is>
          <t>Nhân viên</t>
        </is>
      </c>
      <c r="H1753" t="inlineStr">
        <is>
          <t>08/01/2026</t>
        </is>
      </c>
      <c r="I1753" t="inlineStr">
        <is>
          <t>26/03/2026</t>
        </is>
      </c>
      <c r="J1753" t="inlineStr">
        <is>
          <t>17/03/2026</t>
        </is>
      </c>
      <c r="K1753" t="inlineStr">
        <is>
          <t>N/A</t>
        </is>
      </c>
      <c r="L1753" t="inlineStr">
        <is>
          <t>Legal Thinking, Experience With Law Enforcement, Critical Thinking, Law, Leadership</t>
        </is>
      </c>
      <c r="M1753" t="inlineStr">
        <is>
          <t>Bonus, Healthcare Plan, Paid Leave, Training, Awards, Library, Team Activities, Others</t>
        </is>
      </c>
      <c r="N1753" s="8">
        <f>HYPERLINK("https://www.vietnamworks.com/legal-executive-2000691-jv","Xem chi tiết")</f>
        <v/>
      </c>
    </row>
    <row r="1754">
      <c r="B1754" s="9" t="n">
        <v>1752</v>
      </c>
      <c r="C1754" s="10" t="inlineStr">
        <is>
          <t>Nhân Viên Sản Xuất (Lương 8-10 Triệu) Làm Việc Tại Hưng Yên</t>
        </is>
      </c>
      <c r="D1754" s="10" t="inlineStr">
        <is>
          <t>Công Ty TNHH Tanaka Precision Việt Nam</t>
        </is>
      </c>
      <c r="E1754" s="10" t="inlineStr">
        <is>
          <t>$$ 340-440 /tháng</t>
        </is>
      </c>
      <c r="F1754" s="10" t="inlineStr">
        <is>
          <t>Hưng Yên, Hải Dương</t>
        </is>
      </c>
      <c r="G1754" s="10" t="inlineStr">
        <is>
          <t>Nhân viên</t>
        </is>
      </c>
      <c r="H1754" s="10" t="inlineStr">
        <is>
          <t>08/01/2026</t>
        </is>
      </c>
      <c r="I1754" s="10" t="inlineStr">
        <is>
          <t>26/03/2026</t>
        </is>
      </c>
      <c r="J1754" s="10" t="inlineStr">
        <is>
          <t>17/03/2026</t>
        </is>
      </c>
      <c r="K1754" s="10" t="inlineStr">
        <is>
          <t>N/A</t>
        </is>
      </c>
      <c r="L1754" s="10" t="inlineStr">
        <is>
          <t>Kỹ Thuật, Quản Lý Sản Xuất, Cơ Khí Chế Tạo Máy, Cải Tiến Sản Phẩm, Theo Dõi Sản Xuất</t>
        </is>
      </c>
      <c r="M1754" s="10" t="inlineStr">
        <is>
          <t>Healthcare Plan, Team Activities, Transportation</t>
        </is>
      </c>
      <c r="N1754" s="11">
        <f>HYPERLINK("https://www.vietnamworks.com/nhan-vien-san-xuat-luong-8-10-trieu-lam-viec-tai-hung-yen--2000704-jv","Xem chi tiết")</f>
        <v/>
      </c>
      <c r="O1754" s="10" t="n"/>
    </row>
    <row r="1755">
      <c r="B1755" s="7" t="n">
        <v>1753</v>
      </c>
      <c r="C1755" t="inlineStr">
        <is>
          <t>Chuyên Viên Kiểm Toán Nội Bộ - [BAC A BANK - Ban Kiểm Toán Nội Bộ]</t>
        </is>
      </c>
      <c r="D1755" t="inlineStr">
        <is>
          <t>Bắc Á Bank - Https://tuyendung.baca-Bank.vn/</t>
        </is>
      </c>
      <c r="E1755" t="inlineStr">
        <is>
          <t>Thương lượng</t>
        </is>
      </c>
      <c r="F1755" t="inlineStr">
        <is>
          <t>Hà Nội</t>
        </is>
      </c>
      <c r="G1755" t="inlineStr">
        <is>
          <t>Nhân viên</t>
        </is>
      </c>
      <c r="H1755" t="inlineStr">
        <is>
          <t>08/01/2026</t>
        </is>
      </c>
      <c r="I1755" t="inlineStr">
        <is>
          <t>26/03/2026</t>
        </is>
      </c>
      <c r="J1755" t="inlineStr">
        <is>
          <t>17/03/2026</t>
        </is>
      </c>
      <c r="K1755" t="inlineStr">
        <is>
          <t>N/A</t>
        </is>
      </c>
      <c r="L1755" t="inlineStr">
        <is>
          <t>Kiểm Toán Nội Bộ, Ngân hàng, Quản trị Kinh doanh, Kế Toán, Tài Chính</t>
        </is>
      </c>
      <c r="M1755" t="inlineStr">
        <is>
          <t>Bonus, Healthcare Plan, Training, Travel Opportunities</t>
        </is>
      </c>
      <c r="N1755" s="8">
        <f>HYPERLINK("https://www.vietnamworks.com/chuyen-vien-kiem-toan-noi-bo-bac-a-bank-ban-kiem-toan-noi-bo-2000746-jv","Xem chi tiết")</f>
        <v/>
      </c>
    </row>
    <row r="1756">
      <c r="B1756" s="9" t="n">
        <v>1754</v>
      </c>
      <c r="C1756" s="10" t="inlineStr">
        <is>
          <t>Điều Dưỡng Đa Khoa</t>
        </is>
      </c>
      <c r="D1756" s="10" t="inlineStr">
        <is>
          <t>Family Medical Practice</t>
        </is>
      </c>
      <c r="E1756" s="10" t="inlineStr">
        <is>
          <t>Thương lượng</t>
        </is>
      </c>
      <c r="F1756" s="10" t="inlineStr">
        <is>
          <t>Hà Nội, Đà Nẵng</t>
        </is>
      </c>
      <c r="G1756" s="10" t="inlineStr">
        <is>
          <t>Nhân viên</t>
        </is>
      </c>
      <c r="H1756" s="10" t="inlineStr">
        <is>
          <t>08/01/2026</t>
        </is>
      </c>
      <c r="I1756" s="10" t="inlineStr">
        <is>
          <t>26/03/2026</t>
        </is>
      </c>
      <c r="J1756" s="10" t="inlineStr">
        <is>
          <t>17/03/2026</t>
        </is>
      </c>
      <c r="K1756" s="10" t="inlineStr">
        <is>
          <t>N/A</t>
        </is>
      </c>
      <c r="L1756" s="10" t="inlineStr">
        <is>
          <t>Điều Dưỡng, Điều Dưỡng Đa Khoa, Y Tế, Chăm Sóc Sức Khỏe, Chăm Sóc Bệnh Nhân</t>
        </is>
      </c>
      <c r="M1756" s="10" t="inlineStr">
        <is>
          <t>Bonus, Paid Leave, Travel Opportunities</t>
        </is>
      </c>
      <c r="N1756" s="11">
        <f>HYPERLINK("https://www.vietnamworks.com/dieu-duong-da-khoa--2000793-jv","Xem chi tiết")</f>
        <v/>
      </c>
      <c r="O1756" s="10" t="n"/>
    </row>
    <row r="1757">
      <c r="B1757" s="7" t="n">
        <v>1755</v>
      </c>
      <c r="C1757" t="inlineStr">
        <is>
          <t>Team Leader Customs / Trưởng Nhóm Xuất Nhập Khẩu</t>
        </is>
      </c>
      <c r="D1757" t="inlineStr">
        <is>
          <t>Damen Song Cam Shipyard (Dscs)</t>
        </is>
      </c>
      <c r="E1757" t="inlineStr">
        <is>
          <t>Từ $ 1,000 /tháng</t>
        </is>
      </c>
      <c r="F1757" t="inlineStr">
        <is>
          <t>Hải Phòng</t>
        </is>
      </c>
      <c r="G1757" t="inlineStr">
        <is>
          <t>Nhân viên</t>
        </is>
      </c>
      <c r="H1757" t="inlineStr">
        <is>
          <t>08/01/2026</t>
        </is>
      </c>
      <c r="I1757" t="inlineStr">
        <is>
          <t>26/03/2026</t>
        </is>
      </c>
      <c r="J1757" t="inlineStr">
        <is>
          <t>17/03/2026</t>
        </is>
      </c>
      <c r="K1757" t="inlineStr">
        <is>
          <t>N/A</t>
        </is>
      </c>
      <c r="L1757" t="inlineStr">
        <is>
          <t>Import Export Experience, Customs Clearance, Customs Compliance, SAP S/4HANA, Accounting</t>
        </is>
      </c>
      <c r="M1757" t="inlineStr">
        <is>
          <t>Bonus, Training, Travel Opportunities</t>
        </is>
      </c>
      <c r="N1757" s="8">
        <f>HYPERLINK("https://www.vietnamworks.com/team-leader-customs-truong-nhom-xuat-nhap-khau--2000781-jv","Xem chi tiết")</f>
        <v/>
      </c>
    </row>
    <row r="1758">
      <c r="B1758" s="9" t="n">
        <v>1756</v>
      </c>
      <c r="C1758" s="10" t="inlineStr">
        <is>
          <t>Giáo Viên Tiểu Học (Tốt Nghiệp Chuyên Ngành Giáo Dục Tiểu Học, Sư Phạm Ngữ Văn, Sư Phạm Toán, Sư Phạm Tiếng Anh)</t>
        </is>
      </c>
      <c r="D1758" s="10" t="inlineStr">
        <is>
          <t>TRƯỜNG TIỂU HỌC JEAN PIAGET</t>
        </is>
      </c>
      <c r="E1758" s="10" t="inlineStr">
        <is>
          <t>Thương lượng</t>
        </is>
      </c>
      <c r="F1758" s="10" t="inlineStr">
        <is>
          <t>Hà Nội</t>
        </is>
      </c>
      <c r="G1758" s="10" t="inlineStr">
        <is>
          <t>Mới Tốt Nghiệp</t>
        </is>
      </c>
      <c r="H1758" s="10" t="inlineStr">
        <is>
          <t>08/01/2026</t>
        </is>
      </c>
      <c r="I1758" s="10" t="inlineStr">
        <is>
          <t>26/03/2026</t>
        </is>
      </c>
      <c r="J1758" s="10" t="inlineStr">
        <is>
          <t>17/03/2026</t>
        </is>
      </c>
      <c r="K1758" s="10" t="inlineStr">
        <is>
          <t>N/A</t>
        </is>
      </c>
      <c r="L1758" s="10" t="inlineStr">
        <is>
          <t>Giảng Dạy Tiểu Học, Giáo Dục Đào Tạo, Sư Phạm Tiểu Học, Sư Phạm Toán, Teaching Primary Students</t>
        </is>
      </c>
      <c r="M1758" s="10" t="inlineStr">
        <is>
          <t>Bonus, Training, Team Activities, Others</t>
        </is>
      </c>
      <c r="N1758" s="11">
        <f>HYPERLINK("https://www.vietnamworks.com/giao-vien-tieu-hoc-tot-nghiep-chuyen-nganh-giao-duc-tieu-hoc-su-pham-ngu-van-su-pham-toan-su-pham-tieng-anh-2000819-jv","Xem chi tiết")</f>
        <v/>
      </c>
      <c r="O1758" s="10" t="n"/>
    </row>
    <row r="1759">
      <c r="B1759" s="7" t="n">
        <v>1757</v>
      </c>
      <c r="C1759" t="inlineStr">
        <is>
          <t>Kỹ Sư Phát Triển Ứng Dụng (Application Developer)</t>
        </is>
      </c>
      <c r="D1759" t="inlineStr">
        <is>
          <t>Truetech Co., Ltd.</t>
        </is>
      </c>
      <c r="E1759" t="inlineStr">
        <is>
          <t>Thương lượng</t>
        </is>
      </c>
      <c r="F1759" t="inlineStr">
        <is>
          <t>Hà Nội, Bà Rịa - Vũng Tàu</t>
        </is>
      </c>
      <c r="G1759" t="inlineStr">
        <is>
          <t>Nhân viên</t>
        </is>
      </c>
      <c r="H1759" t="inlineStr">
        <is>
          <t>08/01/2026</t>
        </is>
      </c>
      <c r="I1759" t="inlineStr">
        <is>
          <t>26/03/2026</t>
        </is>
      </c>
      <c r="J1759" t="inlineStr">
        <is>
          <t>17/03/2026</t>
        </is>
      </c>
      <c r="K1759" t="inlineStr">
        <is>
          <t>N/A</t>
        </is>
      </c>
      <c r="L1759" t="inlineStr">
        <is>
          <t>C#, Python, JavaScript, MS SQL Server, React.js</t>
        </is>
      </c>
      <c r="M1759" t="inlineStr">
        <is>
          <t>Bonus, Healthcare Plan, Paid Leave, Training</t>
        </is>
      </c>
      <c r="N1759" s="8">
        <f>HYPERLINK("https://www.vietnamworks.com/ky-su-phat-trien-ung-dung-application-developer-2000788-jv","Xem chi tiết")</f>
        <v/>
      </c>
    </row>
    <row r="1760">
      <c r="B1760" s="9" t="n">
        <v>1758</v>
      </c>
      <c r="C1760" s="10" t="inlineStr">
        <is>
          <t>Nhân Viên Sản Xuất (Production Staff)</t>
        </is>
      </c>
      <c r="D1760" s="10" t="inlineStr">
        <is>
          <t>CÔNG TY TNHH JCV CORP</t>
        </is>
      </c>
      <c r="E1760" s="10" t="inlineStr">
        <is>
          <t>13tr-18tr ₫/tháng</t>
        </is>
      </c>
      <c r="F1760" s="10" t="inlineStr">
        <is>
          <t>Hải Phòng</t>
        </is>
      </c>
      <c r="G1760" s="10" t="inlineStr">
        <is>
          <t>Nhân viên</t>
        </is>
      </c>
      <c r="H1760" s="10" t="inlineStr">
        <is>
          <t>08/01/2026</t>
        </is>
      </c>
      <c r="I1760" s="10" t="inlineStr">
        <is>
          <t>26/03/2026</t>
        </is>
      </c>
      <c r="J1760" s="10" t="inlineStr">
        <is>
          <t>17/03/2026</t>
        </is>
      </c>
      <c r="K1760" s="10" t="inlineStr">
        <is>
          <t>N/A</t>
        </is>
      </c>
      <c r="L1760" s="10" t="inlineStr">
        <is>
          <t>Báo Cáo Sản Xuất, Cải Tiến Quy Trình Sản Xuất, Production Management, Quản Lý Sản Xuất, Thẩm Định Vấn Đề</t>
        </is>
      </c>
      <c r="M1760" s="10" t="inlineStr">
        <is>
          <t>Bonus, Training, Team Activities, Canteen, Others</t>
        </is>
      </c>
      <c r="N1760" s="11">
        <f>HYPERLINK("https://www.vietnamworks.com/nhan-vien-san-xuat-production-staff-2000864-jv","Xem chi tiết")</f>
        <v/>
      </c>
      <c r="O1760" s="10" t="n"/>
    </row>
    <row r="1761">
      <c r="B1761" s="7" t="n">
        <v>1759</v>
      </c>
      <c r="C1761" t="inlineStr">
        <is>
          <t>Nhân Viên Hỗ Trợ Kỹ Thuật - Marketing</t>
        </is>
      </c>
      <c r="D1761" t="inlineStr">
        <is>
          <t>Representative Office of Vs Technology Co.,Ltd (Thailand)</t>
        </is>
      </c>
      <c r="E1761" t="inlineStr">
        <is>
          <t>12tr-18tr ₫/tháng</t>
        </is>
      </c>
      <c r="F1761" t="inlineStr">
        <is>
          <t>Hà Nội</t>
        </is>
      </c>
      <c r="G1761" t="inlineStr">
        <is>
          <t>Nhân viên</t>
        </is>
      </c>
      <c r="H1761" t="inlineStr">
        <is>
          <t>08/01/2026</t>
        </is>
      </c>
      <c r="I1761" t="inlineStr">
        <is>
          <t>26/03/2026</t>
        </is>
      </c>
      <c r="J1761" t="inlineStr">
        <is>
          <t>17/03/2026</t>
        </is>
      </c>
      <c r="K1761" t="inlineStr">
        <is>
          <t>N/A</t>
        </is>
      </c>
      <c r="L1761" t="inlineStr">
        <is>
          <t>Ký Hợp Đồng, kỹ năng tiếng anh</t>
        </is>
      </c>
      <c r="M1761" t="inlineStr">
        <is>
          <t>Bonus</t>
        </is>
      </c>
      <c r="N1761" s="8">
        <f>HYPERLINK("https://www.vietnamworks.com/nhan-vien-ho-tro-ky-thuat-marketing-2000818-jv","Xem chi tiết")</f>
        <v/>
      </c>
    </row>
    <row r="1762">
      <c r="B1762" s="9" t="n">
        <v>1760</v>
      </c>
      <c r="C1762" s="10" t="inlineStr">
        <is>
          <t>Nhân viên Nghiên cứu và Phát triển R&amp;D (R&amp;D Staff) Lương 13-18M</t>
        </is>
      </c>
      <c r="D1762" s="10" t="inlineStr">
        <is>
          <t>CÔNG TY TNHH JCV CORP</t>
        </is>
      </c>
      <c r="E1762" s="10" t="inlineStr">
        <is>
          <t>13tr-18tr ₫/tháng</t>
        </is>
      </c>
      <c r="F1762" s="10" t="inlineStr">
        <is>
          <t>Hải Phòng</t>
        </is>
      </c>
      <c r="G1762" s="10" t="inlineStr">
        <is>
          <t>Nhân viên</t>
        </is>
      </c>
      <c r="H1762" s="10" t="inlineStr">
        <is>
          <t>08/01/2026</t>
        </is>
      </c>
      <c r="I1762" s="10" t="inlineStr">
        <is>
          <t>26/03/2026</t>
        </is>
      </c>
      <c r="J1762" s="10" t="inlineStr">
        <is>
          <t>17/03/2026</t>
        </is>
      </c>
      <c r="K1762" s="10" t="inlineStr">
        <is>
          <t>N/A</t>
        </is>
      </c>
      <c r="L1762" s="10" t="inlineStr">
        <is>
          <t>Developmental Assessment, Nail Care, Product Development, Product Management, Research</t>
        </is>
      </c>
      <c r="M1762" s="10" t="inlineStr">
        <is>
          <t>Bonus, Training, Team Activities, Canteen, Others</t>
        </is>
      </c>
      <c r="N1762" s="11">
        <f>HYPERLINK("https://www.vietnamworks.com/nhan-vien-nghien-cuu-va-phat-trien-randd-randd-staff-luong-13-18m-2000876-jv","Xem chi tiết")</f>
        <v/>
      </c>
      <c r="O1762" s="10" t="n"/>
    </row>
    <row r="1763">
      <c r="B1763" s="7" t="n">
        <v>1761</v>
      </c>
      <c r="C1763" t="inlineStr">
        <is>
          <t>Kế Toán Viên Lương 15Tr</t>
        </is>
      </c>
      <c r="D1763" t="inlineStr">
        <is>
          <t>Công Ty Cổ Phần Thép Đất Việt</t>
        </is>
      </c>
      <c r="E1763" t="inlineStr">
        <is>
          <t>15tr-15tr ₫/tháng</t>
        </is>
      </c>
      <c r="F1763" t="inlineStr">
        <is>
          <t>Hà Nội</t>
        </is>
      </c>
      <c r="G1763" t="inlineStr">
        <is>
          <t>Nhân viên</t>
        </is>
      </c>
      <c r="H1763" t="inlineStr">
        <is>
          <t>08/01/2026</t>
        </is>
      </c>
      <c r="I1763" t="inlineStr">
        <is>
          <t>26/03/2026</t>
        </is>
      </c>
      <c r="J1763" t="inlineStr">
        <is>
          <t>17/03/2026</t>
        </is>
      </c>
      <c r="K1763" t="inlineStr">
        <is>
          <t>N/A</t>
        </is>
      </c>
      <c r="L1763" t="inlineStr">
        <is>
          <t>Kế Toán, Soạn Báo Cáo, Sử dụng Excel, Quản Lý Công Nợ, Làm Việc Nhóm</t>
        </is>
      </c>
      <c r="M1763" t="inlineStr">
        <is>
          <t>Bonus, Training, Team Activities, Canteen, Others</t>
        </is>
      </c>
      <c r="N1763" s="8">
        <f>HYPERLINK("https://www.vietnamworks.com/ke-toan-vien-luong-15tr-2000868-jv","Xem chi tiết")</f>
        <v/>
      </c>
    </row>
    <row r="1764">
      <c r="B1764" s="9" t="n">
        <v>1762</v>
      </c>
      <c r="C1764" s="10" t="inlineStr">
        <is>
          <t>Giám Đốc Trung Tâm Khách Hàng Doanh Nghiệp - Khu Vực Hồ Chí Minh, Long An, Tiền Giang</t>
        </is>
      </c>
      <c r="D1764" s="10" t="inlineStr">
        <is>
          <t>Ngân hàng TMCP Đông Nam Á (SeABank)</t>
        </is>
      </c>
      <c r="E1764" s="10" t="inlineStr">
        <is>
          <t>Thương lượng</t>
        </is>
      </c>
      <c r="F1764" s="10" t="inlineStr">
        <is>
          <t>Hồ Chí Minh, Long An, Tiền Giang</t>
        </is>
      </c>
      <c r="G1764" s="10" t="inlineStr">
        <is>
          <t>Trưởng phòng</t>
        </is>
      </c>
      <c r="H1764" s="10" t="inlineStr">
        <is>
          <t>08/01/2026</t>
        </is>
      </c>
      <c r="I1764" s="10" t="inlineStr">
        <is>
          <t>26/03/2026</t>
        </is>
      </c>
      <c r="J1764" s="10" t="inlineStr">
        <is>
          <t>17/03/2026</t>
        </is>
      </c>
      <c r="K1764" s="10" t="inlineStr">
        <is>
          <t>N/A</t>
        </is>
      </c>
      <c r="L1764" s="10" t="inlineStr">
        <is>
          <t>Quản Lý Kinh Doanh, Phân Tích Tài Chính, Quản Trị Rủi Ro, Khách Hàng Doanh Nghiệp, Tài Chính Ngân Hàng</t>
        </is>
      </c>
      <c r="M1764" s="10" t="inlineStr">
        <is>
          <t>Bonus, Healthcare Plan, Paid Leave, Training, Awards, Mobile, Travel Opportunities, Transportation, Others</t>
        </is>
      </c>
      <c r="N1764" s="11">
        <f>HYPERLINK("https://www.vietnamworks.com/giam-djoc-trung-tam-khach-hang-doanh-nghiep-khu-vuc-ho-chi-minh-long-an-tien-giang-2000807-jv","Xem chi tiết")</f>
        <v/>
      </c>
      <c r="O1764" s="10" t="n"/>
    </row>
    <row r="1765">
      <c r="B1765" s="7" t="n">
        <v>1763</v>
      </c>
      <c r="C1765" t="inlineStr">
        <is>
          <t>Phó Phòng Sản Xuất ( Production Part Leader) Lương 20-35M</t>
        </is>
      </c>
      <c r="D1765" t="inlineStr">
        <is>
          <t>CÔNG TY TNHH JCV CORP</t>
        </is>
      </c>
      <c r="E1765" t="inlineStr">
        <is>
          <t>20tr-35tr ₫/tháng</t>
        </is>
      </c>
      <c r="F1765" t="inlineStr">
        <is>
          <t>Hải Phòng</t>
        </is>
      </c>
      <c r="G1765" t="inlineStr">
        <is>
          <t>Trưởng phòng</t>
        </is>
      </c>
      <c r="H1765" t="inlineStr">
        <is>
          <t>08/01/2026</t>
        </is>
      </c>
      <c r="I1765" t="inlineStr">
        <is>
          <t>26/03/2026</t>
        </is>
      </c>
      <c r="J1765" t="inlineStr">
        <is>
          <t>17/03/2026</t>
        </is>
      </c>
      <c r="K1765" t="inlineStr">
        <is>
          <t>N/A</t>
        </is>
      </c>
      <c r="L1765" t="inlineStr">
        <is>
          <t>Báo Cáo Sản Xuất, Cải Tiến Quy Trình Sản Xuất, Production Management, Quản Lý Sản Xuất, Thẩm Định Vấn Đề</t>
        </is>
      </c>
      <c r="M1765" t="inlineStr">
        <is>
          <t>Bonus, Training, Team Activities, Canteen, Others</t>
        </is>
      </c>
      <c r="N1765" s="8">
        <f>HYPERLINK("https://www.vietnamworks.com/pho-phong-san-xuat-production-part-leader-luong-20-35m-2000865-jv","Xem chi tiết")</f>
        <v/>
      </c>
    </row>
    <row r="1766">
      <c r="B1766" s="9" t="n">
        <v>1764</v>
      </c>
      <c r="C1766" s="10" t="inlineStr">
        <is>
          <t>Nhân viên Kế Toán Thuế (Tax Accountant) - Lương 15-20M</t>
        </is>
      </c>
      <c r="D1766" s="10" t="inlineStr">
        <is>
          <t>CÔNG TY TNHH JCV CORP</t>
        </is>
      </c>
      <c r="E1766" s="10" t="inlineStr">
        <is>
          <t>15tr-20tr ₫/tháng</t>
        </is>
      </c>
      <c r="F1766" s="10" t="inlineStr">
        <is>
          <t>Hải Phòng</t>
        </is>
      </c>
      <c r="G1766" s="10" t="inlineStr">
        <is>
          <t>Nhân viên</t>
        </is>
      </c>
      <c r="H1766" s="10" t="inlineStr">
        <is>
          <t>08/01/2026</t>
        </is>
      </c>
      <c r="I1766" s="10" t="inlineStr">
        <is>
          <t>26/03/2026</t>
        </is>
      </c>
      <c r="J1766" s="10" t="inlineStr">
        <is>
          <t>17/03/2026</t>
        </is>
      </c>
      <c r="K1766" s="10" t="inlineStr">
        <is>
          <t>N/A</t>
        </is>
      </c>
      <c r="L1766" s="10" t="inlineStr">
        <is>
          <t>Tax Accountant, Tax Accounting, Thanh Toán Thuế, Thuế, Thuế Tài Chính</t>
        </is>
      </c>
      <c r="M1766" s="10" t="inlineStr">
        <is>
          <t>Bonus, Training, Team Activities, Canteen, Others</t>
        </is>
      </c>
      <c r="N1766" s="11">
        <f>HYPERLINK("https://www.vietnamworks.com/nhan-vien-ke-toan-thue-tax-accountant-luong-15-20m-2000871-jv","Xem chi tiết")</f>
        <v/>
      </c>
      <c r="O1766" s="10" t="n"/>
    </row>
    <row r="1767">
      <c r="B1767" s="7" t="n">
        <v>1765</v>
      </c>
      <c r="C1767" t="inlineStr">
        <is>
          <t>QA Manager</t>
        </is>
      </c>
      <c r="D1767" t="inlineStr">
        <is>
          <t>Damen Song Cam Shipyard (Dscs)</t>
        </is>
      </c>
      <c r="E1767" t="inlineStr">
        <is>
          <t>Thương lượng</t>
        </is>
      </c>
      <c r="F1767" t="inlineStr">
        <is>
          <t>Hải Phòng</t>
        </is>
      </c>
      <c r="G1767" t="inlineStr">
        <is>
          <t>Trưởng phòng</t>
        </is>
      </c>
      <c r="H1767" t="inlineStr">
        <is>
          <t>08/01/2026</t>
        </is>
      </c>
      <c r="I1767" t="inlineStr">
        <is>
          <t>26/03/2026</t>
        </is>
      </c>
      <c r="J1767" t="inlineStr">
        <is>
          <t>17/03/2026</t>
        </is>
      </c>
      <c r="K1767" t="inlineStr">
        <is>
          <t>N/A</t>
        </is>
      </c>
      <c r="L1767" t="inlineStr">
        <is>
          <t>Quality Management, Internal Auditing, Lean, ISO, Audit Management</t>
        </is>
      </c>
      <c r="M1767" t="inlineStr">
        <is>
          <t>Bonus, Training, Travel Opportunities</t>
        </is>
      </c>
      <c r="N1767" s="8">
        <f>HYPERLINK("https://www.vietnamworks.com/qa-manager--2000769-jv","Xem chi tiết")</f>
        <v/>
      </c>
    </row>
    <row r="1768">
      <c r="B1768" s="9" t="n">
        <v>1766</v>
      </c>
      <c r="C1768" s="10" t="inlineStr">
        <is>
          <t>Phó Giám Đốc Phát Triển Thị Trường</t>
        </is>
      </c>
      <c r="D1768" s="10" t="inlineStr">
        <is>
          <t>Chi Nhánh Công Ty Cổ Phần Công Nghệ Thông Tin Truyền Thông Thiên Hy Long Việt Nam</t>
        </is>
      </c>
      <c r="E1768" s="10" t="inlineStr">
        <is>
          <t>Thương lượng</t>
        </is>
      </c>
      <c r="F1768" s="10" t="inlineStr">
        <is>
          <t>Hà Nội, Hồ Chí Minh</t>
        </is>
      </c>
      <c r="G1768" s="10" t="inlineStr">
        <is>
          <t>Trưởng phòng</t>
        </is>
      </c>
      <c r="H1768" s="10" t="inlineStr">
        <is>
          <t>08/01/2026</t>
        </is>
      </c>
      <c r="I1768" s="10" t="inlineStr">
        <is>
          <t>26/03/2026</t>
        </is>
      </c>
      <c r="J1768" s="10" t="inlineStr">
        <is>
          <t>17/03/2026</t>
        </is>
      </c>
      <c r="K1768" s="10" t="inlineStr">
        <is>
          <t>N/A</t>
        </is>
      </c>
      <c r="L1768" s="10" t="inlineStr">
        <is>
          <t>B2B, Bất Động Sản Thương Mại, Phát Triển Thị Trường, Phát Triển Đối Tác, Quản Trị Rủi Ro</t>
        </is>
      </c>
      <c r="M1768" s="10" t="inlineStr">
        <is>
          <t>Bonus, Healthcare Plan, Paid Leave, Training, Team Activities, Canteen, Others</t>
        </is>
      </c>
      <c r="N1768" s="11">
        <f>HYPERLINK("https://www.vietnamworks.com/pho-giam-djoc-phat-trien-thi-truong-2000787-jv","Xem chi tiết")</f>
        <v/>
      </c>
      <c r="O1768" s="10" t="n"/>
    </row>
    <row r="1769">
      <c r="B1769" s="7" t="n">
        <v>1767</v>
      </c>
      <c r="C1769" t="inlineStr">
        <is>
          <t>Chuyên Viên Tiếng Anh Phòng Phát Triển Sản Phẩm (PD4)</t>
        </is>
      </c>
      <c r="D1769" t="inlineStr">
        <is>
          <t>Công Ty TNHH Điện Tử Meiko Việt Nam (MKVC)</t>
        </is>
      </c>
      <c r="E1769" t="inlineStr">
        <is>
          <t>Thương lượng</t>
        </is>
      </c>
      <c r="F1769" t="inlineStr">
        <is>
          <t>Hà Nội</t>
        </is>
      </c>
      <c r="G1769" t="inlineStr">
        <is>
          <t>Nhân viên</t>
        </is>
      </c>
      <c r="H1769" t="inlineStr">
        <is>
          <t>08/01/2026</t>
        </is>
      </c>
      <c r="I1769" t="inlineStr">
        <is>
          <t>26/03/2026</t>
        </is>
      </c>
      <c r="J1769" t="inlineStr">
        <is>
          <t>17/03/2026</t>
        </is>
      </c>
      <c r="K1769" t="inlineStr">
        <is>
          <t>N/A</t>
        </is>
      </c>
      <c r="L1769" t="inlineStr">
        <is>
          <t>Cẩn Thận, Kỹ Thuật, Sử Dụng Phần Mềm, Tiếng Anh, Tin Học Văn Phòng</t>
        </is>
      </c>
      <c r="M1769" t="inlineStr">
        <is>
          <t>Bonus, Healthcare Plan, Paid Leave, Training, Transportation, Others</t>
        </is>
      </c>
      <c r="N1769" s="8">
        <f>HYPERLINK("https://www.vietnamworks.com/chuyen-vien-tieng-anh-phong-phat-trien-san-pham-pd4-2000816-jv","Xem chi tiết")</f>
        <v/>
      </c>
    </row>
    <row r="1770">
      <c r="B1770" s="9" t="n">
        <v>1768</v>
      </c>
      <c r="C1770" s="10" t="inlineStr">
        <is>
          <t>Nhân viên Thiết kế mẫu (Design Staff) Lương 12-16M</t>
        </is>
      </c>
      <c r="D1770" s="10" t="inlineStr">
        <is>
          <t>CÔNG TY TNHH JCV CORP</t>
        </is>
      </c>
      <c r="E1770" s="10" t="inlineStr">
        <is>
          <t>12tr-16tr ₫/tháng</t>
        </is>
      </c>
      <c r="F1770" s="10" t="inlineStr">
        <is>
          <t>Hải Phòng</t>
        </is>
      </c>
      <c r="G1770" s="10" t="inlineStr">
        <is>
          <t>Nhân viên</t>
        </is>
      </c>
      <c r="H1770" s="10" t="inlineStr">
        <is>
          <t>08/01/2026</t>
        </is>
      </c>
      <c r="I1770" s="10" t="inlineStr">
        <is>
          <t>26/03/2026</t>
        </is>
      </c>
      <c r="J1770" s="10" t="inlineStr">
        <is>
          <t>17/03/2026</t>
        </is>
      </c>
      <c r="K1770" s="10" t="inlineStr">
        <is>
          <t>N/A</t>
        </is>
      </c>
      <c r="L1770" s="10" t="inlineStr">
        <is>
          <t>Graphic Design, Illustrator, Photoshop, Photoshop Illustrator, Thiết Kế Đồ Họa</t>
        </is>
      </c>
      <c r="M1770" s="10" t="inlineStr">
        <is>
          <t>Bonus, Training, Team Activities, Canteen, Others</t>
        </is>
      </c>
      <c r="N1770" s="11">
        <f>HYPERLINK("https://www.vietnamworks.com/nhan-vien-thiet-ke-mau-design-staff-luong-12-16m-2000873-jv","Xem chi tiết")</f>
        <v/>
      </c>
      <c r="O1770" s="10" t="n"/>
    </row>
    <row r="1771">
      <c r="B1771" s="7" t="n">
        <v>1769</v>
      </c>
      <c r="C1771" t="inlineStr">
        <is>
          <t>Industrial Trainee (Full-time job - Green Coffee - Fast track career)</t>
        </is>
      </c>
      <c r="D1771" t="inlineStr">
        <is>
          <t>Louis Dreyfus Company (LDC) Vietnam</t>
        </is>
      </c>
      <c r="E1771" t="inlineStr">
        <is>
          <t>Thương lượng</t>
        </is>
      </c>
      <c r="F1771" t="inlineStr">
        <is>
          <t>Bình Dương</t>
        </is>
      </c>
      <c r="G1771" t="inlineStr">
        <is>
          <t>Nhân viên</t>
        </is>
      </c>
      <c r="H1771" t="inlineStr">
        <is>
          <t>08/01/2026</t>
        </is>
      </c>
      <c r="I1771" t="inlineStr">
        <is>
          <t>26/03/2026</t>
        </is>
      </c>
      <c r="J1771" t="inlineStr">
        <is>
          <t>17/03/2026</t>
        </is>
      </c>
      <c r="K1771" t="inlineStr">
        <is>
          <t>N/A</t>
        </is>
      </c>
      <c r="L1771" t="inlineStr">
        <is>
          <t>Analytical Skills, Communication Skills, Excel Data Handling, Microsoft Office, Adaptability</t>
        </is>
      </c>
      <c r="M1771" t="inlineStr">
        <is>
          <t>Healthcare Plan, Training, Others</t>
        </is>
      </c>
      <c r="N1771" s="8">
        <f>HYPERLINK("https://www.vietnamworks.com/industrial-trainee-full-time-job-green-coffee-fast-track-career-2000845-jv","Xem chi tiết")</f>
        <v/>
      </c>
    </row>
    <row r="1772">
      <c r="B1772" s="9" t="n">
        <v>1770</v>
      </c>
      <c r="C1772" s="10" t="inlineStr">
        <is>
          <t>Trưởng Bộ Phận Quản Lý Đại Lý (Chủ Đầu Tư)</t>
        </is>
      </c>
      <c r="D1772" s="10" t="inlineStr">
        <is>
          <t>Eurowindow Holding</t>
        </is>
      </c>
      <c r="E1772" s="10" t="inlineStr">
        <is>
          <t>Thương lượng</t>
        </is>
      </c>
      <c r="F1772" s="10" t="inlineStr">
        <is>
          <t>Hà Nội</t>
        </is>
      </c>
      <c r="G1772" s="10" t="inlineStr">
        <is>
          <t>Trưởng phòng</t>
        </is>
      </c>
      <c r="H1772" s="10" t="inlineStr">
        <is>
          <t>08/01/2026</t>
        </is>
      </c>
      <c r="I1772" s="10" t="inlineStr">
        <is>
          <t>26/03/2026</t>
        </is>
      </c>
      <c r="J1772" s="10" t="inlineStr">
        <is>
          <t>17/03/2026</t>
        </is>
      </c>
      <c r="K1772" s="10" t="inlineStr">
        <is>
          <t>N/A</t>
        </is>
      </c>
      <c r="L1772" s="10" t="inlineStr">
        <is>
          <t>Quản Lý Đại Lý, Kinh Doanh Bất Động Sản, Sale &amp; Business development, sale property, Bán Hàng Bất Động Sản</t>
        </is>
      </c>
      <c r="M1772" s="10" t="inlineStr">
        <is>
          <t>Bonus, Travel Opportunities, Team Activities</t>
        </is>
      </c>
      <c r="N1772" s="11">
        <f>HYPERLINK("https://www.vietnamworks.com/truong-bo-phan-quan-ly-djai-ly-chu-djau-tu-2000823-jv","Xem chi tiết")</f>
        <v/>
      </c>
      <c r="O1772" s="10" t="n"/>
    </row>
    <row r="1773">
      <c r="B1773" s="7" t="n">
        <v>1771</v>
      </c>
      <c r="C1773" t="inlineStr">
        <is>
          <t>Giám Đốc Khách Hàng Doanh Nghiệp - Hà Nội, Bắc Ninh, Hải Phòng, Thanh Hóa, Thái Bình, Đà Nẵng, Nha Trang, Hồ Chí Minh</t>
        </is>
      </c>
      <c r="D1773" t="inlineStr">
        <is>
          <t>Ngân hàng TMCP Đông Nam Á (SeABank)</t>
        </is>
      </c>
      <c r="E1773" t="inlineStr">
        <is>
          <t>Thương lượng</t>
        </is>
      </c>
      <c r="F1773" t="inlineStr">
        <is>
          <t>Hà Nội, Hồ Chí Minh, Đà Nẵng</t>
        </is>
      </c>
      <c r="G1773" t="inlineStr">
        <is>
          <t>Giám Đốc và Cấp Cao Hơn</t>
        </is>
      </c>
      <c r="H1773" t="inlineStr">
        <is>
          <t>08/01/2026</t>
        </is>
      </c>
      <c r="I1773" t="inlineStr">
        <is>
          <t>26/03/2026</t>
        </is>
      </c>
      <c r="J1773" t="inlineStr">
        <is>
          <t>17/03/2026</t>
        </is>
      </c>
      <c r="K1773" t="inlineStr">
        <is>
          <t>N/A</t>
        </is>
      </c>
      <c r="L1773" t="inlineStr">
        <is>
          <t>Khách Hàng Doanh Nghiệp, Nghiệp Vụ Tín Dụng, Quản Lý Bán Hàng, SME Development, Tài Chính Ngân Hàng</t>
        </is>
      </c>
      <c r="M1773" t="inlineStr">
        <is>
          <t>Bonus, Healthcare Plan, Paid Leave, Training, Travel Opportunities, Others</t>
        </is>
      </c>
      <c r="N1773" s="8">
        <f>HYPERLINK("https://www.vietnamworks.com/giam-djoc-khach-hang-doanh-nghiep-ha-noi-bac-ninh-hai-phong-thanh-hoa-thai-binh-dja-nang-nha-trang-ho-chi-minh-2000824-jv","Xem chi tiết")</f>
        <v/>
      </c>
    </row>
    <row r="1774">
      <c r="B1774" s="9" t="n">
        <v>1772</v>
      </c>
      <c r="C1774" s="10" t="inlineStr">
        <is>
          <t>Senior Sales Executive</t>
        </is>
      </c>
      <c r="D1774" s="10" t="inlineStr">
        <is>
          <t>Ben Line Vietnam</t>
        </is>
      </c>
      <c r="E1774" s="10" t="inlineStr">
        <is>
          <t>Thương lượng</t>
        </is>
      </c>
      <c r="F1774" s="10" t="inlineStr">
        <is>
          <t>Hà Nội, Hồ Chí Minh</t>
        </is>
      </c>
      <c r="G1774" s="10" t="inlineStr">
        <is>
          <t>Nhân viên</t>
        </is>
      </c>
      <c r="H1774" s="10" t="inlineStr">
        <is>
          <t>08/01/2026</t>
        </is>
      </c>
      <c r="I1774" s="10" t="inlineStr">
        <is>
          <t>26/03/2026</t>
        </is>
      </c>
      <c r="J1774" s="10" t="inlineStr">
        <is>
          <t>17/03/2026</t>
        </is>
      </c>
      <c r="K1774" s="10" t="inlineStr">
        <is>
          <t>N/A</t>
        </is>
      </c>
      <c r="L1774" s="10" t="inlineStr">
        <is>
          <t>Sales Cước Vận Tải Quốc Tế, Logistics Sales, Logistics, Freight Forwarding, Business Development</t>
        </is>
      </c>
      <c r="M1774" s="10" t="inlineStr">
        <is>
          <t>Bonus, Paid Leave, Others</t>
        </is>
      </c>
      <c r="N1774" s="11">
        <f>HYPERLINK("https://www.vietnamworks.com/senior-sales-executive--2000913-jv","Xem chi tiết")</f>
        <v/>
      </c>
      <c r="O1774" s="10" t="n"/>
    </row>
    <row r="1775">
      <c r="B1775" s="7" t="n">
        <v>1773</v>
      </c>
      <c r="C1775" t="inlineStr">
        <is>
          <t>Phụ Trách Kế Toán Kiêm Kế Toán Tổng Hợp (Lương Up To 20M + Thưởng) Làm Việc Tại Hà Nội</t>
        </is>
      </c>
      <c r="D1775" t="inlineStr">
        <is>
          <t>Công ty CP Lữ hành Quốc tế Kim Liên</t>
        </is>
      </c>
      <c r="E1775" t="inlineStr">
        <is>
          <t>Từ 20tr ₫/tháng</t>
        </is>
      </c>
      <c r="F1775" t="inlineStr">
        <is>
          <t>Hà Nội</t>
        </is>
      </c>
      <c r="G1775" t="inlineStr">
        <is>
          <t>Nhân viên</t>
        </is>
      </c>
      <c r="H1775" t="inlineStr">
        <is>
          <t>09/01/2026</t>
        </is>
      </c>
      <c r="I1775" t="inlineStr">
        <is>
          <t>26/03/2026</t>
        </is>
      </c>
      <c r="J1775" t="inlineStr">
        <is>
          <t>17/03/2026</t>
        </is>
      </c>
      <c r="K1775" t="inlineStr">
        <is>
          <t>N/A</t>
        </is>
      </c>
      <c r="L1775" t="inlineStr">
        <is>
          <t>Du Lịch Lữ Hành, Kế Toán, Kế Toán Tổng Hợp, Phần mềm kế toán</t>
        </is>
      </c>
      <c r="M1775" t="inlineStr">
        <is>
          <t>Bonus, Healthcare Plan, Paid Leave, Awards, Others</t>
        </is>
      </c>
      <c r="N1775" s="8">
        <f>HYPERLINK("https://www.vietnamworks.com/phu-trach-ke-toan-kiem-ke-toan-tong-hop-luong-up-to-20m-thuong-lam-viec-tai-ha-noi-2000971-jv","Xem chi tiết")</f>
        <v/>
      </c>
    </row>
    <row r="1776">
      <c r="B1776" s="9" t="n">
        <v>1774</v>
      </c>
      <c r="C1776" s="10" t="inlineStr">
        <is>
          <t>Nhân Viên Hành Chính và Quản Lý Hồ Sơ Dự Án</t>
        </is>
      </c>
      <c r="D1776" s="10" t="inlineStr">
        <is>
          <t>Star Fashion Company LTD.</t>
        </is>
      </c>
      <c r="E1776" s="10" t="inlineStr">
        <is>
          <t>Thương lượng</t>
        </is>
      </c>
      <c r="F1776" s="10" t="inlineStr">
        <is>
          <t>Hà Nội</t>
        </is>
      </c>
      <c r="G1776" s="10" t="inlineStr">
        <is>
          <t>Nhân viên</t>
        </is>
      </c>
      <c r="H1776" s="10" t="inlineStr">
        <is>
          <t>09/01/2026</t>
        </is>
      </c>
      <c r="I1776" s="10" t="inlineStr">
        <is>
          <t>26/03/2026</t>
        </is>
      </c>
      <c r="J1776" s="10" t="inlineStr">
        <is>
          <t>17/03/2026</t>
        </is>
      </c>
      <c r="K1776" s="10" t="inlineStr">
        <is>
          <t>N/A</t>
        </is>
      </c>
      <c r="L1776" s="10" t="inlineStr">
        <is>
          <t>Tài Chính Kế Toán, Mua Bán Vật Tư, Hành Chính Thư Ký, Hành Chính Dự Án, Hành Chính</t>
        </is>
      </c>
      <c r="M1776" s="10" t="inlineStr">
        <is>
          <t>Bonus, Paid Leave, Transportation</t>
        </is>
      </c>
      <c r="N1776" s="11">
        <f>HYPERLINK("https://www.vietnamworks.com/nhan-vien-hanh-chinh-va-quan-ly-ho-so-du-an-2000997-jv","Xem chi tiết")</f>
        <v/>
      </c>
      <c r="O1776" s="10" t="n"/>
    </row>
    <row r="1777">
      <c r="B1777" s="7" t="n">
        <v>1775</v>
      </c>
      <c r="C1777" t="inlineStr">
        <is>
          <t>Maintenance Engineer</t>
        </is>
      </c>
      <c r="D1777" t="inlineStr">
        <is>
          <t>Mondelēz Kinh Đô Việt Nam</t>
        </is>
      </c>
      <c r="E1777" t="inlineStr">
        <is>
          <t>Thương lượng</t>
        </is>
      </c>
      <c r="F1777" t="inlineStr">
        <is>
          <t>Hưng Yên</t>
        </is>
      </c>
      <c r="G1777" t="inlineStr">
        <is>
          <t>Nhân viên</t>
        </is>
      </c>
      <c r="H1777" t="inlineStr">
        <is>
          <t>09/01/2026</t>
        </is>
      </c>
      <c r="I1777" t="inlineStr">
        <is>
          <t>26/03/2026</t>
        </is>
      </c>
      <c r="J1777" t="inlineStr">
        <is>
          <t>17/03/2026</t>
        </is>
      </c>
      <c r="K1777" t="inlineStr">
        <is>
          <t>N/A</t>
        </is>
      </c>
      <c r="L1777" t="inlineStr">
        <is>
          <t>Communication, Electrical Engineering, Maintenance Engineering, Problem Solving, TPM Method</t>
        </is>
      </c>
      <c r="M1777" t="inlineStr">
        <is>
          <t>Bonus, Healthcare Plan, Paid Leave, Training, Laptop, Transportation, Canteen</t>
        </is>
      </c>
      <c r="N1777" s="8">
        <f>HYPERLINK("https://www.vietnamworks.com/maintenance-engineer-2001122-jv","Xem chi tiết")</f>
        <v/>
      </c>
    </row>
    <row r="1778">
      <c r="B1778" s="9" t="n">
        <v>1776</v>
      </c>
      <c r="C1778" s="10" t="inlineStr">
        <is>
          <t>Trưởng Phòng Phát Triển Kinh Doanh Xe Tải (Làm Việc Ở Hà Nội)</t>
        </is>
      </c>
      <c r="D1778" s="10" t="inlineStr">
        <is>
          <t>Công Ty Cổ Phần Đầu Tư Phát Triển Máy Việt Nam</t>
        </is>
      </c>
      <c r="E1778" s="10" t="inlineStr">
        <is>
          <t>$$ 1,500-2,500 /tháng</t>
        </is>
      </c>
      <c r="F1778" s="10" t="inlineStr">
        <is>
          <t>Hà Nội</t>
        </is>
      </c>
      <c r="G1778" s="10" t="inlineStr">
        <is>
          <t>Trưởng phòng</t>
        </is>
      </c>
      <c r="H1778" s="10" t="inlineStr">
        <is>
          <t>09/01/2026</t>
        </is>
      </c>
      <c r="I1778" s="10" t="inlineStr">
        <is>
          <t>26/03/2026</t>
        </is>
      </c>
      <c r="J1778" s="10" t="inlineStr">
        <is>
          <t>17/03/2026</t>
        </is>
      </c>
      <c r="K1778" s="10" t="inlineStr">
        <is>
          <t>N/A</t>
        </is>
      </c>
      <c r="L1778" s="10" t="inlineStr">
        <is>
          <t>Công Nghệ Ô Tô, Quản Trị Kinh Doanh, Vận Tải, Mở rộng hệ thống phân phối</t>
        </is>
      </c>
      <c r="M1778" s="10" t="inlineStr">
        <is>
          <t>Bonus, Healthcare Plan, Training, Awards, Canteen</t>
        </is>
      </c>
      <c r="N1778" s="11">
        <f>HYPERLINK("https://www.vietnamworks.com/truong-phong-phat-trien-kinh-doanh-xe-tai-lam-viec-o-ha-noi-2000993-jv","Xem chi tiết")</f>
        <v/>
      </c>
      <c r="O1778" s="10" t="n"/>
    </row>
    <row r="1779">
      <c r="B1779" s="7" t="n">
        <v>1777</v>
      </c>
      <c r="C1779" t="inlineStr">
        <is>
          <t>HRBP Manager for Feed Business</t>
        </is>
      </c>
      <c r="D1779" t="inlineStr">
        <is>
          <t>Japfa Comfeed Vietnam Ltd</t>
        </is>
      </c>
      <c r="E1779" t="inlineStr">
        <is>
          <t>Thương lượng</t>
        </is>
      </c>
      <c r="F1779" t="inlineStr">
        <is>
          <t>Long An</t>
        </is>
      </c>
      <c r="G1779" t="inlineStr">
        <is>
          <t>Nhân viên</t>
        </is>
      </c>
      <c r="H1779" t="inlineStr">
        <is>
          <t>09/01/2026</t>
        </is>
      </c>
      <c r="I1779" t="inlineStr">
        <is>
          <t>26/03/2026</t>
        </is>
      </c>
      <c r="J1779" t="inlineStr">
        <is>
          <t>17/03/2026</t>
        </is>
      </c>
      <c r="K1779" t="inlineStr">
        <is>
          <t>N/A</t>
        </is>
      </c>
      <c r="L1779" t="inlineStr">
        <is>
          <t>Partner Management, Employee Engagement, Employee Relations, HRBP</t>
        </is>
      </c>
      <c r="M1779" t="inlineStr">
        <is>
          <t>Bonus, Healthcare Plan, Laptop, Transportation</t>
        </is>
      </c>
      <c r="N1779" s="8">
        <f>HYPERLINK("https://www.vietnamworks.com/hrbp-manager-for-feed-business-2000979-jv","Xem chi tiết")</f>
        <v/>
      </c>
    </row>
    <row r="1780">
      <c r="B1780" s="9" t="n">
        <v>1778</v>
      </c>
      <c r="C1780" s="10" t="inlineStr">
        <is>
          <t>Nam - Nhân Viên Kỹ Thuật Phòng Đảm Bảo Chất Lượng (QA) - Nhà Máy KCN VSIP Bắc Ninh</t>
        </is>
      </c>
      <c r="D1780" s="10" t="inlineStr">
        <is>
          <t>Công Ty TNHH Ogino Việt Nam</t>
        </is>
      </c>
      <c r="E1780" s="10" t="inlineStr">
        <is>
          <t>$$ 400-500 /tháng</t>
        </is>
      </c>
      <c r="F1780" s="10" t="inlineStr">
        <is>
          <t>Bắc Ninh</t>
        </is>
      </c>
      <c r="G1780" s="10" t="inlineStr">
        <is>
          <t>Nhân viên</t>
        </is>
      </c>
      <c r="H1780" s="10" t="inlineStr">
        <is>
          <t>09/01/2026</t>
        </is>
      </c>
      <c r="I1780" s="10" t="inlineStr">
        <is>
          <t>26/03/2026</t>
        </is>
      </c>
      <c r="J1780" s="10" t="inlineStr">
        <is>
          <t>17/03/2026</t>
        </is>
      </c>
      <c r="K1780" s="10" t="inlineStr">
        <is>
          <t>N/A</t>
        </is>
      </c>
      <c r="L1780" s="10" t="inlineStr">
        <is>
          <t>Cơ Khí Ô Tô, Đảm Bảo Chất Lượng, Cơ Khí, QA, Cơ Khí Chế Tạo</t>
        </is>
      </c>
      <c r="M1780" s="10" t="inlineStr">
        <is>
          <t>Bonus, Healthcare Plan, Team Activities</t>
        </is>
      </c>
      <c r="N1780" s="11">
        <f>HYPERLINK("https://www.vietnamworks.com/nam-nhan-vien-ky-thuat-phong-dam-bao-chat-luong-qa-nha-may-kcn-vsip-bac-ninh--2001036-jv","Xem chi tiết")</f>
        <v/>
      </c>
      <c r="O1780" s="10" t="n"/>
    </row>
    <row r="1781">
      <c r="B1781" s="7" t="n">
        <v>1779</v>
      </c>
      <c r="C1781" t="inlineStr">
        <is>
          <t>Phó Giám Đốc Sản Xuất Đồ Gỗ Nội Thất (Trong Nước)</t>
        </is>
      </c>
      <c r="D1781" t="inlineStr">
        <is>
          <t>Alliance Construction &amp; Fine Furniture Company</t>
        </is>
      </c>
      <c r="E1781" t="inlineStr">
        <is>
          <t>$$ 1,600-2,300 /tháng</t>
        </is>
      </c>
      <c r="F1781" t="inlineStr">
        <is>
          <t>Long An</t>
        </is>
      </c>
      <c r="G1781" t="inlineStr">
        <is>
          <t>Trưởng phòng</t>
        </is>
      </c>
      <c r="H1781" t="inlineStr">
        <is>
          <t>09/01/2026</t>
        </is>
      </c>
      <c r="I1781" t="inlineStr">
        <is>
          <t>26/03/2026</t>
        </is>
      </c>
      <c r="J1781" t="inlineStr">
        <is>
          <t>17/03/2026</t>
        </is>
      </c>
      <c r="K1781" t="inlineStr">
        <is>
          <t>N/A</t>
        </is>
      </c>
      <c r="L1781" t="inlineStr">
        <is>
          <t>Quản Lý Sản Xuất, Kinh Nghiệm Nội Thất, Giám Sát Sản Xuất, Quản Lý An Toàn Lao Động, Theo Dõi Sản Xuất</t>
        </is>
      </c>
      <c r="M1781" t="inlineStr">
        <is>
          <t>Bonus, Team Activities, Transportation</t>
        </is>
      </c>
      <c r="N1781" s="8">
        <f>HYPERLINK("https://www.vietnamworks.com/pho-giam-doc-san-xuat-do-go-noi-that-trong-nuoc-2001012-jv","Xem chi tiết")</f>
        <v/>
      </c>
    </row>
    <row r="1782">
      <c r="B1782" s="9" t="n">
        <v>1780</v>
      </c>
      <c r="C1782" s="10" t="inlineStr">
        <is>
          <t>Landscape Architect / Chủ Trì Thiết Kế Cảnh Quan</t>
        </is>
      </c>
      <c r="D1782" s="10" t="inlineStr">
        <is>
          <t>BIM Group</t>
        </is>
      </c>
      <c r="E1782" s="10" t="inlineStr">
        <is>
          <t>Thương lượng</t>
        </is>
      </c>
      <c r="F1782" s="10" t="inlineStr">
        <is>
          <t>Hà Nội</t>
        </is>
      </c>
      <c r="G1782" s="10" t="inlineStr">
        <is>
          <t>Nhân viên</t>
        </is>
      </c>
      <c r="H1782" s="10" t="inlineStr">
        <is>
          <t>09/01/2026</t>
        </is>
      </c>
      <c r="I1782" s="10" t="inlineStr">
        <is>
          <t>26/03/2026</t>
        </is>
      </c>
      <c r="J1782" s="10" t="inlineStr">
        <is>
          <t>17/03/2026</t>
        </is>
      </c>
      <c r="K1782" s="10" t="inlineStr">
        <is>
          <t>N/A</t>
        </is>
      </c>
      <c r="L1782" s="10" t="inlineStr">
        <is>
          <t>Kiến Trúc Cảnh Quan, Thiết Kế Cảnh Quan, Kỹ Thuật Cây Xanh, Cảnh Quan Cây Xanh, Quản Lý Dự Án Cảnh Quan</t>
        </is>
      </c>
      <c r="M1782" s="10" t="inlineStr">
        <is>
          <t>Bonus, Healthcare Plan, Training</t>
        </is>
      </c>
      <c r="N1782" s="11">
        <f>HYPERLINK("https://www.vietnamworks.com/landscape-architect-chu-tri-thiet-ke-canh-quan-2001013-jv","Xem chi tiết")</f>
        <v/>
      </c>
      <c r="O1782" s="10" t="n"/>
    </row>
    <row r="1783">
      <c r="B1783" s="7" t="n">
        <v>1781</v>
      </c>
      <c r="C1783" t="inlineStr">
        <is>
          <t>Trưởng Phòng Cơ Điện (Head Of Electromechanical Department)</t>
        </is>
      </c>
      <c r="D1783" t="inlineStr">
        <is>
          <t>Công ty TNHH Công nghiệp Bảo Tiên</t>
        </is>
      </c>
      <c r="E1783" t="inlineStr">
        <is>
          <t>25tr-35tr ₫/tháng</t>
        </is>
      </c>
      <c r="F1783" t="inlineStr">
        <is>
          <t>Hải Phòng</t>
        </is>
      </c>
      <c r="G1783" t="inlineStr">
        <is>
          <t>Giám Đốc và Cấp Cao Hơn</t>
        </is>
      </c>
      <c r="H1783" t="inlineStr">
        <is>
          <t>09/01/2026</t>
        </is>
      </c>
      <c r="I1783" t="inlineStr">
        <is>
          <t>26/03/2026</t>
        </is>
      </c>
      <c r="J1783" t="inlineStr">
        <is>
          <t>17/03/2026</t>
        </is>
      </c>
      <c r="K1783" t="inlineStr">
        <is>
          <t>N/A</t>
        </is>
      </c>
      <c r="L1783" t="inlineStr">
        <is>
          <t>Kỹ năng giao tiếp, Làm Việc Nhóm, Quản Trị Đội Ngũ, Tư Vấn Kỹ Thuật, Cải Tiến Hiệu Suất Máy</t>
        </is>
      </c>
      <c r="M1783" t="inlineStr">
        <is>
          <t>Bonus, Healthcare Plan, Training, Team Activities, Others</t>
        </is>
      </c>
      <c r="N1783" s="8">
        <f>HYPERLINK("https://www.vietnamworks.com/truong-phong-co-djien-head-of-electromechanical-department-2001031-jv","Xem chi tiết")</f>
        <v/>
      </c>
    </row>
    <row r="1784">
      <c r="B1784" s="9" t="n">
        <v>1782</v>
      </c>
      <c r="C1784" s="10" t="inlineStr">
        <is>
          <t>Kế toán tổng hợp chi nhánh Miền Nam</t>
        </is>
      </c>
      <c r="D1784" s="10" t="inlineStr">
        <is>
          <t>Công Ty Cổ Phần Tập Đoàn Tất Thành Holdings</t>
        </is>
      </c>
      <c r="E1784" s="10" t="inlineStr">
        <is>
          <t>Từ 12tr ₫/tháng</t>
        </is>
      </c>
      <c r="F1784" s="10" t="inlineStr">
        <is>
          <t>Hồ Chí Minh</t>
        </is>
      </c>
      <c r="G1784" s="10" t="inlineStr">
        <is>
          <t>Nhân viên</t>
        </is>
      </c>
      <c r="H1784" s="10" t="inlineStr">
        <is>
          <t>09/01/2026</t>
        </is>
      </c>
      <c r="I1784" s="10" t="inlineStr">
        <is>
          <t>26/03/2026</t>
        </is>
      </c>
      <c r="J1784" s="10" t="inlineStr">
        <is>
          <t>17/03/2026</t>
        </is>
      </c>
      <c r="K1784" s="10" t="inlineStr">
        <is>
          <t>N/A</t>
        </is>
      </c>
      <c r="L1784" s="10" t="inlineStr">
        <is>
          <t>Cẩn Thận, Kế Toán, Phân Tích Số Liệu, Quản Lý Công Nợ, Tài Chính</t>
        </is>
      </c>
      <c r="M1784" s="10" t="inlineStr">
        <is>
          <t>Bonus, Healthcare Plan, Paid Leave, Training, Travel Opportunities</t>
        </is>
      </c>
      <c r="N1784" s="11">
        <f>HYPERLINK("https://www.vietnamworks.com/ke-toan-tong-hop-chi-nhanh-mien-nam-2001138-jv","Xem chi tiết")</f>
        <v/>
      </c>
      <c r="O1784" s="10" t="n"/>
    </row>
    <row r="1785">
      <c r="B1785" s="7" t="n">
        <v>1783</v>
      </c>
      <c r="C1785" t="inlineStr">
        <is>
          <t>Project Management Staff - Nhân Viên Quản Lý Dự Án</t>
        </is>
      </c>
      <c r="D1785" t="inlineStr">
        <is>
          <t>Công Ty Cổ Phần Đô Thị Amata Hạ Long</t>
        </is>
      </c>
      <c r="E1785" t="inlineStr">
        <is>
          <t>Thương lượng</t>
        </is>
      </c>
      <c r="F1785" t="inlineStr">
        <is>
          <t>Quảng Ninh, Hải Phòng, Hà Nội</t>
        </is>
      </c>
      <c r="G1785" t="inlineStr">
        <is>
          <t>Nhân viên</t>
        </is>
      </c>
      <c r="H1785" t="inlineStr">
        <is>
          <t>09/01/2026</t>
        </is>
      </c>
      <c r="I1785" t="inlineStr">
        <is>
          <t>26/03/2026</t>
        </is>
      </c>
      <c r="J1785" t="inlineStr">
        <is>
          <t>17/03/2026</t>
        </is>
      </c>
      <c r="K1785" t="inlineStr">
        <is>
          <t>N/A</t>
        </is>
      </c>
      <c r="L1785" t="inlineStr">
        <is>
          <t>Project Management, Planning and Coordination, Cost Management, Construction Supervision, Auto Cad</t>
        </is>
      </c>
      <c r="M1785" t="inlineStr">
        <is>
          <t>Bonus, Healthcare Plan, Others</t>
        </is>
      </c>
      <c r="N1785" s="8">
        <f>HYPERLINK("https://www.vietnamworks.com/project-management-staff-nhan-vien-quan-ly-du-an-2001084-jv","Xem chi tiết")</f>
        <v/>
      </c>
    </row>
    <row r="1786">
      <c r="B1786" s="9" t="n">
        <v>1784</v>
      </c>
      <c r="C1786" s="10" t="inlineStr">
        <is>
          <t>Phó Phòng QC Hàng Trắng (Đồ Gỗ Nội Thất) - Urgent</t>
        </is>
      </c>
      <c r="D1786" s="10" t="inlineStr">
        <is>
          <t>Alliance Construction &amp; Fine Furniture Company</t>
        </is>
      </c>
      <c r="E1786" s="10" t="inlineStr">
        <is>
          <t>Thương lượng</t>
        </is>
      </c>
      <c r="F1786" s="10" t="inlineStr">
        <is>
          <t>Long An</t>
        </is>
      </c>
      <c r="G1786" s="10" t="inlineStr">
        <is>
          <t>Trưởng phòng</t>
        </is>
      </c>
      <c r="H1786" s="10" t="inlineStr">
        <is>
          <t>09/01/2026</t>
        </is>
      </c>
      <c r="I1786" s="10" t="inlineStr">
        <is>
          <t>26/03/2026</t>
        </is>
      </c>
      <c r="J1786" s="10" t="inlineStr">
        <is>
          <t>17/03/2026</t>
        </is>
      </c>
      <c r="K1786" s="10" t="inlineStr">
        <is>
          <t>N/A</t>
        </is>
      </c>
      <c r="L1786" s="10" t="inlineStr">
        <is>
          <t>Quản Lý Chất Lượng Gỗ, Đọc Hiểu Bản Vẽ, Kiểm Soát Chất Lượng, Nội Thất, Giải Quyết Khiếu Nại</t>
        </is>
      </c>
      <c r="M1786" s="10" t="inlineStr">
        <is>
          <t>Bonus, Team Activities, Transportation</t>
        </is>
      </c>
      <c r="N1786" s="11">
        <f>HYPERLINK("https://www.vietnamworks.com/pho-phong-qc-hang-trang-do-go-noi-that-urgent-2001023-jv","Xem chi tiết")</f>
        <v/>
      </c>
      <c r="O1786" s="10" t="n"/>
    </row>
    <row r="1787">
      <c r="B1787" s="7" t="n">
        <v>1785</v>
      </c>
      <c r="C1787" t="inlineStr">
        <is>
          <t>Technical Manager</t>
        </is>
      </c>
      <c r="D1787" t="inlineStr">
        <is>
          <t>Mondelēz Kinh Đô Việt Nam</t>
        </is>
      </c>
      <c r="E1787" t="inlineStr">
        <is>
          <t>Thương lượng</t>
        </is>
      </c>
      <c r="F1787" t="inlineStr">
        <is>
          <t>Hưng Yên</t>
        </is>
      </c>
      <c r="G1787" t="inlineStr">
        <is>
          <t>Trưởng phòng</t>
        </is>
      </c>
      <c r="H1787" t="inlineStr">
        <is>
          <t>09/01/2026</t>
        </is>
      </c>
      <c r="I1787" t="inlineStr">
        <is>
          <t>26/03/2026</t>
        </is>
      </c>
      <c r="J1787" t="inlineStr">
        <is>
          <t>17/03/2026</t>
        </is>
      </c>
      <c r="K1787" t="inlineStr">
        <is>
          <t>N/A</t>
        </is>
      </c>
      <c r="L1787" t="inlineStr">
        <is>
          <t>People Management, Corrective Maintenance, Preventive Maintenance, TPM Method, Transformational Leadership</t>
        </is>
      </c>
      <c r="M1787" t="inlineStr">
        <is>
          <t>Bonus, Healthcare Plan, Paid Leave, Laptop, Transportation, Canteen</t>
        </is>
      </c>
      <c r="N1787" s="8">
        <f>HYPERLINK("https://www.vietnamworks.com/technical-manager-2001124-jv","Xem chi tiết")</f>
        <v/>
      </c>
    </row>
    <row r="1788">
      <c r="B1788" s="9" t="n">
        <v>1786</v>
      </c>
      <c r="C1788" s="10" t="inlineStr">
        <is>
          <t>Kỹ Thuật Viên Tòa Nhà (Điện/điện Lạnh)</t>
        </is>
      </c>
      <c r="D1788" s="10" t="inlineStr">
        <is>
          <t>Công Ty TNHH Aden Services (Việt Nam) - CN Hà Nội</t>
        </is>
      </c>
      <c r="E1788" s="10" t="inlineStr">
        <is>
          <t>Thương lượng</t>
        </is>
      </c>
      <c r="F1788" s="10" t="inlineStr">
        <is>
          <t>Hà Nội, Hưng Yên</t>
        </is>
      </c>
      <c r="G1788" s="10" t="inlineStr">
        <is>
          <t>Nhân viên</t>
        </is>
      </c>
      <c r="H1788" s="10" t="inlineStr">
        <is>
          <t>09/01/2026</t>
        </is>
      </c>
      <c r="I1788" s="10" t="inlineStr">
        <is>
          <t>26/03/2026</t>
        </is>
      </c>
      <c r="J1788" s="10" t="inlineStr">
        <is>
          <t>17/03/2026</t>
        </is>
      </c>
      <c r="K1788" s="10" t="inlineStr">
        <is>
          <t>N/A</t>
        </is>
      </c>
      <c r="L1788" s="10" t="inlineStr">
        <is>
          <t>Kỹ Thuật Điện Lạnh, Bảo Trì Tòa Nhà, Kỹ Thuật Điện, PCCC, Vận Hành Tòa Nhà</t>
        </is>
      </c>
      <c r="M1788" s="10" t="inlineStr">
        <is>
          <t>Bonus, Healthcare Plan, Paid Leave, Training, Awards</t>
        </is>
      </c>
      <c r="N1788" s="11">
        <f>HYPERLINK("https://www.vietnamworks.com/ky-thuat-vien-toa-nha-djiendjien-lanh-2001088-jv","Xem chi tiết")</f>
        <v/>
      </c>
      <c r="O1788" s="10" t="n"/>
    </row>
    <row r="1789">
      <c r="B1789" s="7" t="n">
        <v>1787</v>
      </c>
      <c r="C1789" t="inlineStr">
        <is>
          <t>Phó Phòng Tài Chính Doanh Nghiệp (TCDN)</t>
        </is>
      </c>
      <c r="D1789" t="inlineStr">
        <is>
          <t>Tasco Joint Stock Company</t>
        </is>
      </c>
      <c r="E1789" t="inlineStr">
        <is>
          <t>Thương lượng</t>
        </is>
      </c>
      <c r="F1789" t="inlineStr">
        <is>
          <t>Hà Nội</t>
        </is>
      </c>
      <c r="G1789" t="inlineStr">
        <is>
          <t>Trưởng phòng</t>
        </is>
      </c>
      <c r="H1789" t="inlineStr">
        <is>
          <t>21/01/2026</t>
        </is>
      </c>
      <c r="I1789" t="inlineStr">
        <is>
          <t>26/03/2026</t>
        </is>
      </c>
      <c r="J1789" t="inlineStr">
        <is>
          <t>17/03/2026</t>
        </is>
      </c>
      <c r="K1789" t="inlineStr">
        <is>
          <t>N/A</t>
        </is>
      </c>
      <c r="L1789" t="inlineStr">
        <is>
          <t>Huy Động Vốn, Tư Vấn Tài Chính, Phân Bổ Nguồn Vốn, Tư Vấn Nguồn Vốn, Khách Hàng Doanh Nghiệp</t>
        </is>
      </c>
      <c r="M1789" t="inlineStr">
        <is>
          <t>Bonus, Training, Team Activities</t>
        </is>
      </c>
      <c r="N1789" s="8">
        <f>HYPERLINK("https://www.vietnamworks.com/pho-phong-tai-chinh-doanh-nghiep-tcdn--2004934-jv","Xem chi tiết")</f>
        <v/>
      </c>
    </row>
    <row r="1790">
      <c r="B1790" s="9" t="n">
        <v>1788</v>
      </c>
      <c r="C1790" s="10" t="inlineStr">
        <is>
          <t>Store Manager (Ho Chi Minh City)</t>
        </is>
      </c>
      <c r="D1790" s="10" t="inlineStr">
        <is>
          <t>APM MONACO VIETNAM CO., LTD</t>
        </is>
      </c>
      <c r="E1790" s="10" t="inlineStr">
        <is>
          <t>Thương lượng</t>
        </is>
      </c>
      <c r="F1790" s="10" t="inlineStr">
        <is>
          <t>Hồ Chí Minh</t>
        </is>
      </c>
      <c r="G1790" s="10" t="inlineStr">
        <is>
          <t>Nhân viên</t>
        </is>
      </c>
      <c r="H1790" s="10" t="inlineStr">
        <is>
          <t>23/01/2026</t>
        </is>
      </c>
      <c r="I1790" s="10" t="inlineStr">
        <is>
          <t>26/03/2026</t>
        </is>
      </c>
      <c r="J1790" s="10" t="inlineStr">
        <is>
          <t>17/03/2026</t>
        </is>
      </c>
      <c r="K1790" s="10" t="inlineStr">
        <is>
          <t>N/A</t>
        </is>
      </c>
      <c r="L1790" s="10" t="inlineStr">
        <is>
          <t>Sales, CRM, Visual Merchandising, Store Management, POS Systems</t>
        </is>
      </c>
      <c r="M1790" s="10" t="inlineStr">
        <is>
          <t>Paid Leave, Vouchers</t>
        </is>
      </c>
      <c r="N1790" s="11">
        <f>HYPERLINK("https://www.vietnamworks.com/store-manager-ho-chi-minh-city-2005802-jv","Xem chi tiết")</f>
        <v/>
      </c>
      <c r="O1790" s="10" t="n"/>
    </row>
    <row r="1791">
      <c r="B1791" s="7" t="n">
        <v>1789</v>
      </c>
      <c r="C1791" t="inlineStr">
        <is>
          <t>Chuyên Viên Mua Hàng (15-18M)</t>
        </is>
      </c>
      <c r="D1791" t="inlineStr">
        <is>
          <t>Công Ty Cổ Phần Vua Nệm</t>
        </is>
      </c>
      <c r="E1791" t="inlineStr">
        <is>
          <t>$$ 600-750 /tháng</t>
        </is>
      </c>
      <c r="F1791" t="inlineStr">
        <is>
          <t>Hà Nội</t>
        </is>
      </c>
      <c r="G1791" t="inlineStr">
        <is>
          <t>Nhân viên</t>
        </is>
      </c>
      <c r="H1791" t="inlineStr">
        <is>
          <t>09/01/2026</t>
        </is>
      </c>
      <c r="I1791" t="inlineStr">
        <is>
          <t>26/03/2026</t>
        </is>
      </c>
      <c r="J1791" t="inlineStr">
        <is>
          <t>17/03/2026</t>
        </is>
      </c>
      <c r="K1791" t="inlineStr">
        <is>
          <t>N/A</t>
        </is>
      </c>
      <c r="L1791" t="inlineStr">
        <is>
          <t>Điều Phối Hàng Hoá, Merchandising, Demand Planning, Supply Planning, Production Coordination</t>
        </is>
      </c>
      <c r="M1791" t="inlineStr">
        <is>
          <t>Bonus, Training, Awards</t>
        </is>
      </c>
      <c r="N1791" s="8">
        <f>HYPERLINK("https://www.vietnamworks.com/chuyen-vien-mua-hang-15-18m--2001142-jv","Xem chi tiết")</f>
        <v/>
      </c>
    </row>
    <row r="1792">
      <c r="B1792" s="9" t="n">
        <v>1790</v>
      </c>
      <c r="C1792" s="10" t="inlineStr">
        <is>
          <t>Warehouse Staff</t>
        </is>
      </c>
      <c r="D1792" s="10" t="inlineStr">
        <is>
          <t>Công ty TNHH công nghiệp Vĩnh Tường miền bắc Việt Nam</t>
        </is>
      </c>
      <c r="E1792" s="10" t="inlineStr">
        <is>
          <t>Thương lượng</t>
        </is>
      </c>
      <c r="F1792" s="10" t="inlineStr">
        <is>
          <t>Hưng Yên</t>
        </is>
      </c>
      <c r="G1792" s="10" t="inlineStr">
        <is>
          <t>Nhân viên</t>
        </is>
      </c>
      <c r="H1792" s="10" t="inlineStr">
        <is>
          <t>19/01/2026</t>
        </is>
      </c>
      <c r="I1792" s="10" t="inlineStr">
        <is>
          <t>26/03/2026</t>
        </is>
      </c>
      <c r="J1792" s="10" t="inlineStr">
        <is>
          <t>17/03/2026</t>
        </is>
      </c>
      <c r="K1792" s="10" t="inlineStr">
        <is>
          <t>N/A</t>
        </is>
      </c>
      <c r="L1792" s="10" t="inlineStr">
        <is>
          <t>english skill, FIFO, Office Skills</t>
        </is>
      </c>
      <c r="M1792" s="10" t="inlineStr">
        <is>
          <t>Healthcare Plan, Training, Laptop, Travel Opportunities, Canteen</t>
        </is>
      </c>
      <c r="N1792" s="11">
        <f>HYPERLINK("https://www.vietnamworks.com/warehouse-staff-2004111-jv","Xem chi tiết")</f>
        <v/>
      </c>
      <c r="O1792" s="10" t="n"/>
    </row>
    <row r="1793">
      <c r="B1793" s="7" t="n">
        <v>1791</v>
      </c>
      <c r="C1793" t="inlineStr">
        <is>
          <t>Trình Dược Viên Kênh Bệnh Viện (ETC) - Ngành Hàng Dinh Dưỡng - Khu Vực Đà Nẵng/ Hải Dương</t>
        </is>
      </c>
      <c r="D1793" t="inlineStr">
        <is>
          <t>Abbott</t>
        </is>
      </c>
      <c r="E1793" t="inlineStr">
        <is>
          <t>Thương lượng</t>
        </is>
      </c>
      <c r="F1793" t="inlineStr">
        <is>
          <t>Đà Nẵng</t>
        </is>
      </c>
      <c r="G1793" t="inlineStr">
        <is>
          <t>Nhân viên</t>
        </is>
      </c>
      <c r="H1793" t="inlineStr">
        <is>
          <t>09/01/2026</t>
        </is>
      </c>
      <c r="I1793" t="inlineStr">
        <is>
          <t>26/03/2026</t>
        </is>
      </c>
      <c r="J1793" t="inlineStr">
        <is>
          <t>17/03/2026</t>
        </is>
      </c>
      <c r="K1793" t="inlineStr">
        <is>
          <t>N/A</t>
        </is>
      </c>
      <c r="L1793" t="inlineStr">
        <is>
          <t>Chăm Sóc Sức Khỏe Y Tế, Dược, Tư vấn dinh dưỡng, Sales, Thuyết Phục</t>
        </is>
      </c>
      <c r="M1793" t="inlineStr">
        <is>
          <t>Bonus, Healthcare Plan, Training</t>
        </is>
      </c>
      <c r="N1793" s="8">
        <f>HYPERLINK("https://www.vietnamworks.com/trinh-duoc-vien-kenh-benh-vien-etc-nganh-hang-dinh-duong-khu-vuc-da-nang-hai-duong-2001114-jv","Xem chi tiết")</f>
        <v/>
      </c>
    </row>
    <row r="1794">
      <c r="B1794" s="9" t="n">
        <v>1792</v>
      </c>
      <c r="C1794" s="10" t="inlineStr">
        <is>
          <t>Quản Lý Kinh Doanh Vùng - ASM</t>
        </is>
      </c>
      <c r="D1794" s="10" t="inlineStr">
        <is>
          <t>Công Ty TNHH Thương Mại Dược Phẩm Đông Á</t>
        </is>
      </c>
      <c r="E1794" s="10" t="inlineStr">
        <is>
          <t>25tr-40tr ₫/tháng</t>
        </is>
      </c>
      <c r="F1794" s="10" t="inlineStr">
        <is>
          <t>Hà Nội, Hòa Bình, Hà Nam</t>
        </is>
      </c>
      <c r="G1794" s="10" t="inlineStr">
        <is>
          <t>Trưởng phòng</t>
        </is>
      </c>
      <c r="H1794" s="10" t="inlineStr">
        <is>
          <t>09/01/2026</t>
        </is>
      </c>
      <c r="I1794" s="10" t="inlineStr">
        <is>
          <t>26/03/2026</t>
        </is>
      </c>
      <c r="J1794" s="10" t="inlineStr">
        <is>
          <t>17/03/2026</t>
        </is>
      </c>
      <c r="K1794" s="10" t="inlineStr">
        <is>
          <t>N/A</t>
        </is>
      </c>
      <c r="L1794" s="10" t="inlineStr">
        <is>
          <t>Phát Triển Thị Trường, Quản Trị Khách Hàng, Quản Lý Kinh Doanh, Kênh OTC, Quản Lý OTC</t>
        </is>
      </c>
      <c r="M1794" s="10" t="inlineStr">
        <is>
          <t>Healthcare Plan, Training, Travel Opportunities, Others</t>
        </is>
      </c>
      <c r="N1794" s="11">
        <f>HYPERLINK("https://www.vietnamworks.com/quan-ly-kinh-doanh-vung-asm-2001117-jv","Xem chi tiết")</f>
        <v/>
      </c>
      <c r="O1794" s="10" t="n"/>
    </row>
    <row r="1795">
      <c r="B1795" s="7" t="n">
        <v>1793</v>
      </c>
      <c r="C1795" t="inlineStr">
        <is>
          <t>[PGBANK] Giám Đốc Quan Hệ Khách Hàng Doanh Nghiệp – Hà Nội &amp; Hồ Chí Minh | Cơ Hội Bứt Phá 2026</t>
        </is>
      </c>
      <c r="D1795" t="inlineStr">
        <is>
          <t>Ngân Hàng Thương Mại Cổ Phần Thịnh Vượng Và Phát Triển (PGBANK)</t>
        </is>
      </c>
      <c r="E1795" t="inlineStr">
        <is>
          <t>$$ 1,200-2,500 /tháng</t>
        </is>
      </c>
      <c r="F1795" t="inlineStr">
        <is>
          <t>Hồ Chí Minh, Hà Nội</t>
        </is>
      </c>
      <c r="G1795" t="inlineStr">
        <is>
          <t>Nhân viên</t>
        </is>
      </c>
      <c r="H1795" t="inlineStr">
        <is>
          <t>09/01/2026</t>
        </is>
      </c>
      <c r="I1795" t="inlineStr">
        <is>
          <t>26/03/2026</t>
        </is>
      </c>
      <c r="J1795" t="inlineStr">
        <is>
          <t>17/03/2026</t>
        </is>
      </c>
      <c r="K1795" t="inlineStr">
        <is>
          <t>N/A</t>
        </is>
      </c>
      <c r="L1795" t="inlineStr">
        <is>
          <t>Thanh Toán Quốc Tế, Quan Hệ Doanh Nghiệp, SME, Huy Động Dòng Tiền</t>
        </is>
      </c>
      <c r="M1795" t="inlineStr">
        <is>
          <t>Bonus, Healthcare Plan, Training</t>
        </is>
      </c>
      <c r="N1795" s="8">
        <f>HYPERLINK("https://www.vietnamworks.com/pgbank-giam-doc-quan-he-khach-hang-doanh-nghiep-ha-noi-ho-chi-minh-co-hoi-but-pha-2026-2001037-jv","Xem chi tiết")</f>
        <v/>
      </c>
    </row>
    <row r="1796">
      <c r="B1796" s="9" t="n">
        <v>1794</v>
      </c>
      <c r="C1796" s="10" t="inlineStr">
        <is>
          <t>Product Marketing Executive</t>
        </is>
      </c>
      <c r="D1796" s="10" t="inlineStr">
        <is>
          <t>OPPO Vietnam</t>
        </is>
      </c>
      <c r="E1796" s="10" t="inlineStr">
        <is>
          <t>Thương lượng</t>
        </is>
      </c>
      <c r="F1796" s="10" t="inlineStr">
        <is>
          <t>Hồ Chí Minh</t>
        </is>
      </c>
      <c r="G1796" s="10" t="inlineStr">
        <is>
          <t>Nhân viên</t>
        </is>
      </c>
      <c r="H1796" s="10" t="inlineStr">
        <is>
          <t>29/01/2026</t>
        </is>
      </c>
      <c r="I1796" s="10" t="inlineStr">
        <is>
          <t>26/03/2026</t>
        </is>
      </c>
      <c r="J1796" s="10" t="inlineStr">
        <is>
          <t>17/03/2026</t>
        </is>
      </c>
      <c r="K1796" s="10" t="inlineStr">
        <is>
          <t>N/A</t>
        </is>
      </c>
      <c r="L1796" s="10" t="inlineStr">
        <is>
          <t>Communication Skills, Interpersonal Skills, Product Marketing, Project Management</t>
        </is>
      </c>
      <c r="M1796" s="10" t="inlineStr">
        <is>
          <t>Bonus, Healthcare Plan, Paid Leave, Training, Team Activities, Others</t>
        </is>
      </c>
      <c r="N1796" s="11">
        <f>HYPERLINK("https://www.vietnamworks.com/product-marketing-executive-2007508-jv","Xem chi tiết")</f>
        <v/>
      </c>
      <c r="O1796" s="10" t="n"/>
    </row>
    <row r="1797">
      <c r="B1797" s="7" t="n">
        <v>1795</v>
      </c>
      <c r="C1797" t="inlineStr">
        <is>
          <t>Senior Accountant</t>
        </is>
      </c>
      <c r="D1797" t="inlineStr">
        <is>
          <t>Công Ty Cổ Phần Chứng Khoán KAFI</t>
        </is>
      </c>
      <c r="E1797" t="inlineStr">
        <is>
          <t>Thương lượng</t>
        </is>
      </c>
      <c r="F1797" t="inlineStr">
        <is>
          <t>Hồ Chí Minh</t>
        </is>
      </c>
      <c r="G1797" t="inlineStr">
        <is>
          <t>Nhân viên</t>
        </is>
      </c>
      <c r="H1797" t="inlineStr">
        <is>
          <t>04/02/2026</t>
        </is>
      </c>
      <c r="I1797" t="inlineStr">
        <is>
          <t>26/03/2026</t>
        </is>
      </c>
      <c r="J1797" t="inlineStr">
        <is>
          <t>17/03/2026</t>
        </is>
      </c>
      <c r="K1797" t="inlineStr">
        <is>
          <t>N/A</t>
        </is>
      </c>
      <c r="L1797" t="inlineStr">
        <is>
          <t>Giao Tiếp, Tài Chính, Kế Toán, Audit, ACCA</t>
        </is>
      </c>
      <c r="M1797" t="inlineStr">
        <is>
          <t>Others</t>
        </is>
      </c>
      <c r="N1797" s="8">
        <f>HYPERLINK("https://www.vietnamworks.com/senior-accountant-2009798-jv","Xem chi tiết")</f>
        <v/>
      </c>
    </row>
    <row r="1798">
      <c r="B1798" s="9" t="n">
        <v>1796</v>
      </c>
      <c r="C1798" s="10" t="inlineStr">
        <is>
          <t>Administrative Assistant</t>
        </is>
      </c>
      <c r="D1798" s="10" t="inlineStr">
        <is>
          <t>Anne + Benjamin Law</t>
        </is>
      </c>
      <c r="E1798" s="10" t="inlineStr">
        <is>
          <t>Thương lượng</t>
        </is>
      </c>
      <c r="F1798" s="10" t="inlineStr">
        <is>
          <t>Hồ Chí Minh</t>
        </is>
      </c>
      <c r="G1798" s="10" t="inlineStr">
        <is>
          <t>Mới Tốt Nghiệp</t>
        </is>
      </c>
      <c r="H1798" s="10" t="inlineStr">
        <is>
          <t>04/02/2026</t>
        </is>
      </c>
      <c r="I1798" s="10" t="inlineStr">
        <is>
          <t>26/03/2026</t>
        </is>
      </c>
      <c r="J1798" s="10" t="inlineStr">
        <is>
          <t>17/03/2026</t>
        </is>
      </c>
      <c r="K1798" s="10" t="inlineStr">
        <is>
          <t>N/A</t>
        </is>
      </c>
      <c r="L1798" s="10" t="inlineStr">
        <is>
          <t>English, Time Management, Microsoft Office, Administrative Support, Draft Legal Documents</t>
        </is>
      </c>
      <c r="M1798" s="10" t="inlineStr">
        <is>
          <t>Training, Laptop</t>
        </is>
      </c>
      <c r="N1798" s="11">
        <f>HYPERLINK("https://www.vietnamworks.com/administrative-assistant--2009537-jv","Xem chi tiết")</f>
        <v/>
      </c>
      <c r="O1798" s="10" t="n"/>
    </row>
    <row r="1799">
      <c r="B1799" s="7" t="n">
        <v>1797</v>
      </c>
      <c r="C1799" t="inlineStr">
        <is>
          <t>Sales Admin</t>
        </is>
      </c>
      <c r="D1799" t="inlineStr">
        <is>
          <t>TORRECID VIETNAM</t>
        </is>
      </c>
      <c r="E1799" t="inlineStr">
        <is>
          <t>Thương lượng</t>
        </is>
      </c>
      <c r="F1799" t="inlineStr">
        <is>
          <t>Đồng Nai, Vĩnh Phúc</t>
        </is>
      </c>
      <c r="G1799" t="inlineStr">
        <is>
          <t>Nhân viên</t>
        </is>
      </c>
      <c r="H1799" t="inlineStr">
        <is>
          <t>04/02/2026</t>
        </is>
      </c>
      <c r="I1799" t="inlineStr">
        <is>
          <t>26/03/2026</t>
        </is>
      </c>
      <c r="J1799" t="inlineStr">
        <is>
          <t>17/03/2026</t>
        </is>
      </c>
      <c r="K1799" t="inlineStr">
        <is>
          <t>N/A</t>
        </is>
      </c>
      <c r="L1799" t="inlineStr">
        <is>
          <t>Sales Administration, Business Administration, Transportation, Payment Control, Inventory Management</t>
        </is>
      </c>
      <c r="M1799" t="inlineStr">
        <is>
          <t>Healthcare Plan, Paid Leave, Others</t>
        </is>
      </c>
      <c r="N1799" s="8">
        <f>HYPERLINK("https://www.vietnamworks.com/sales-admin--2009542-jv","Xem chi tiết")</f>
        <v/>
      </c>
    </row>
    <row r="1800">
      <c r="B1800" s="9" t="n">
        <v>1798</v>
      </c>
      <c r="C1800" s="10" t="inlineStr">
        <is>
          <t>Guest Service Agent/ Receptionist</t>
        </is>
      </c>
      <c r="D1800" s="10" t="inlineStr">
        <is>
          <t>Anne + Benjamin Law</t>
        </is>
      </c>
      <c r="E1800" s="10" t="inlineStr">
        <is>
          <t>Thương lượng</t>
        </is>
      </c>
      <c r="F1800" s="10" t="inlineStr">
        <is>
          <t>Hồ Chí Minh</t>
        </is>
      </c>
      <c r="G1800" s="10" t="inlineStr">
        <is>
          <t>Nhân viên</t>
        </is>
      </c>
      <c r="H1800" s="10" t="inlineStr">
        <is>
          <t>04/02/2026</t>
        </is>
      </c>
      <c r="I1800" s="10" t="inlineStr">
        <is>
          <t>26/03/2026</t>
        </is>
      </c>
      <c r="J1800" s="10" t="inlineStr">
        <is>
          <t>17/03/2026</t>
        </is>
      </c>
      <c r="K1800" s="10" t="inlineStr">
        <is>
          <t>N/A</t>
        </is>
      </c>
      <c r="L1800" s="10" t="inlineStr">
        <is>
          <t>Communication Skills, Customer Service, Microsoft Office, Time Management, Receptionist</t>
        </is>
      </c>
      <c r="M1800" s="10" t="inlineStr">
        <is>
          <t>Training, Others</t>
        </is>
      </c>
      <c r="N1800" s="11">
        <f>HYPERLINK("https://www.vietnamworks.com/guest-service-agent-receptionist-2009562-jv","Xem chi tiết")</f>
        <v/>
      </c>
      <c r="O1800" s="10" t="n"/>
    </row>
    <row r="1801">
      <c r="B1801" s="7" t="n">
        <v>1799</v>
      </c>
      <c r="C1801" t="inlineStr">
        <is>
          <t>Production Supervisor</t>
        </is>
      </c>
      <c r="D1801" t="inlineStr">
        <is>
          <t>AM Industries Vietnam Co., Ltd.</t>
        </is>
      </c>
      <c r="E1801" t="inlineStr">
        <is>
          <t>Thương lượng</t>
        </is>
      </c>
      <c r="F1801" t="inlineStr">
        <is>
          <t>Đồng Nai</t>
        </is>
      </c>
      <c r="G1801" t="inlineStr">
        <is>
          <t>Nhân viên</t>
        </is>
      </c>
      <c r="H1801" t="inlineStr">
        <is>
          <t>05/02/2026</t>
        </is>
      </c>
      <c r="I1801" t="inlineStr">
        <is>
          <t>26/03/2026</t>
        </is>
      </c>
      <c r="J1801" t="inlineStr">
        <is>
          <t>17/03/2026</t>
        </is>
      </c>
      <c r="K1801" t="inlineStr">
        <is>
          <t>N/A</t>
        </is>
      </c>
      <c r="L1801" t="inlineStr">
        <is>
          <t>Production Planning, Metal Production, Engineering Drawings, Metal Cutting, ASTM Standards</t>
        </is>
      </c>
      <c r="M1801" t="inlineStr">
        <is>
          <t>Bonus, Healthcare Plan, Transportation</t>
        </is>
      </c>
      <c r="N1801" s="8">
        <f>HYPERLINK("https://www.vietnamworks.com/production-supervisor--2009992-jv","Xem chi tiết")</f>
        <v/>
      </c>
    </row>
    <row r="1802">
      <c r="B1802" s="9" t="n">
        <v>1800</v>
      </c>
      <c r="C1802" s="10" t="inlineStr">
        <is>
          <t>Filling Junior Staff</t>
        </is>
      </c>
      <c r="D1802" s="10" t="inlineStr">
        <is>
          <t>Công Ty TNHH Dầu Nhờn Idemitsu Việt Nam</t>
        </is>
      </c>
      <c r="E1802" s="10" t="inlineStr">
        <is>
          <t>Thương lượng</t>
        </is>
      </c>
      <c r="F1802" s="10" t="inlineStr">
        <is>
          <t>Hải Phòng</t>
        </is>
      </c>
      <c r="G1802" s="10" t="inlineStr">
        <is>
          <t>Mới Tốt Nghiệp</t>
        </is>
      </c>
      <c r="H1802" s="10" t="inlineStr">
        <is>
          <t>09/02/2026</t>
        </is>
      </c>
      <c r="I1802" s="10" t="inlineStr">
        <is>
          <t>26/03/2026</t>
        </is>
      </c>
      <c r="J1802" s="10" t="inlineStr">
        <is>
          <t>17/03/2026</t>
        </is>
      </c>
      <c r="K1802" s="10" t="inlineStr">
        <is>
          <t>N/A</t>
        </is>
      </c>
      <c r="L1802" s="10" t="inlineStr">
        <is>
          <t>Machine Operation, Attention To Detail, Teamwork, Packing Support, Carefulness</t>
        </is>
      </c>
      <c r="M1802" s="10" t="inlineStr">
        <is>
          <t>Bonus, Healthcare Plan, Training</t>
        </is>
      </c>
      <c r="N1802" s="11">
        <f>HYPERLINK("https://www.vietnamworks.com/filling-junior-staff--2010700-jv","Xem chi tiết")</f>
        <v/>
      </c>
      <c r="O1802" s="10" t="n"/>
    </row>
    <row r="1803">
      <c r="B1803" s="7" t="n">
        <v>1801</v>
      </c>
      <c r="C1803" t="inlineStr">
        <is>
          <t>Product Development Coordinator</t>
        </is>
      </c>
      <c r="D1803" t="inlineStr">
        <is>
          <t>Rochdale Spears Co., Ltd.</t>
        </is>
      </c>
      <c r="E1803" t="inlineStr">
        <is>
          <t>Thương lượng</t>
        </is>
      </c>
      <c r="F1803" t="inlineStr">
        <is>
          <t>Bình Dương</t>
        </is>
      </c>
      <c r="G1803" t="inlineStr">
        <is>
          <t>Nhân viên</t>
        </is>
      </c>
      <c r="H1803" t="inlineStr">
        <is>
          <t>09/02/2026</t>
        </is>
      </c>
      <c r="I1803" t="inlineStr">
        <is>
          <t>26/03/2026</t>
        </is>
      </c>
      <c r="J1803" t="inlineStr">
        <is>
          <t>17/03/2026</t>
        </is>
      </c>
      <c r="K1803" t="inlineStr">
        <is>
          <t>N/A</t>
        </is>
      </c>
      <c r="L1803" t="inlineStr">
        <is>
          <t>Furniture, Product Sample, Product Development, NPI, English</t>
        </is>
      </c>
      <c r="M1803" t="inlineStr">
        <is>
          <t>Bonus, Transportation</t>
        </is>
      </c>
      <c r="N1803" s="8">
        <f>HYPERLINK("https://www.vietnamworks.com/product-development-coordinator--2010704-jv","Xem chi tiết")</f>
        <v/>
      </c>
    </row>
    <row r="1804">
      <c r="B1804" s="9" t="n">
        <v>1802</v>
      </c>
      <c r="C1804" s="10" t="inlineStr">
        <is>
          <t>Production Manager (Metal CNC Machining)</t>
        </is>
      </c>
      <c r="D1804" s="10" t="inlineStr">
        <is>
          <t>LEMBAK VIETNAM LIMITED LIABILITY COMPANY</t>
        </is>
      </c>
      <c r="E1804" s="10" t="inlineStr">
        <is>
          <t>Thương lượng</t>
        </is>
      </c>
      <c r="F1804" s="10" t="inlineStr">
        <is>
          <t>Bình Dương</t>
        </is>
      </c>
      <c r="G1804" s="10" t="inlineStr">
        <is>
          <t>Trưởng phòng</t>
        </is>
      </c>
      <c r="H1804" s="10" t="inlineStr">
        <is>
          <t>06/02/2026</t>
        </is>
      </c>
      <c r="I1804" s="10" t="inlineStr">
        <is>
          <t>26/03/2026</t>
        </is>
      </c>
      <c r="J1804" s="10" t="inlineStr">
        <is>
          <t>17/03/2026</t>
        </is>
      </c>
      <c r="K1804" s="10" t="inlineStr">
        <is>
          <t>N/A</t>
        </is>
      </c>
      <c r="L1804" s="10" t="inlineStr">
        <is>
          <t>CNC Programming, Lean Manufacturing, Team Management, ISO 9001, Production Management</t>
        </is>
      </c>
      <c r="M1804" s="10" t="inlineStr">
        <is>
          <t>Bonus, Paid Leave, Training</t>
        </is>
      </c>
      <c r="N1804" s="11">
        <f>HYPERLINK("https://www.vietnamworks.com/production-manager-metal-cnc-machining-2010401-jv","Xem chi tiết")</f>
        <v/>
      </c>
      <c r="O1804" s="10" t="n"/>
    </row>
    <row r="1805">
      <c r="B1805" s="7" t="n">
        <v>1803</v>
      </c>
      <c r="C1805" t="inlineStr">
        <is>
          <t>Chuyên Gia Kỹ Thuật, Công Nghệ, Cải Tiến Năng Suất</t>
        </is>
      </c>
      <c r="D1805" t="inlineStr">
        <is>
          <t>Công Ty CP May Mặc Qtnp</t>
        </is>
      </c>
      <c r="E1805" t="inlineStr">
        <is>
          <t>12tr-30tr ₫/tháng</t>
        </is>
      </c>
      <c r="F1805" t="inlineStr">
        <is>
          <t>Hà Nội</t>
        </is>
      </c>
      <c r="G1805" t="inlineStr">
        <is>
          <t>Nhân viên</t>
        </is>
      </c>
      <c r="H1805" t="inlineStr">
        <is>
          <t>09/02/2026</t>
        </is>
      </c>
      <c r="I1805" t="inlineStr">
        <is>
          <t>26/03/2026</t>
        </is>
      </c>
      <c r="J1805" t="inlineStr">
        <is>
          <t>17/03/2026</t>
        </is>
      </c>
      <c r="K1805" t="inlineStr">
        <is>
          <t>N/A</t>
        </is>
      </c>
      <c r="L1805" t="inlineStr">
        <is>
          <t>English, Kỹ Thuật May Mặc, Continuous Improvement, Cải Tiến Quy Trình Sản Xuất, Garment</t>
        </is>
      </c>
      <c r="M1805" t="inlineStr">
        <is>
          <t>Bonus, Training, Others</t>
        </is>
      </c>
      <c r="N1805" s="8">
        <f>HYPERLINK("https://www.vietnamworks.com/chuyen-gia-ky-thuat-cong-nghe-cai-tien-nang-suat-2010706-jv","Xem chi tiết")</f>
        <v/>
      </c>
    </row>
    <row r="1806">
      <c r="B1806" s="9" t="n">
        <v>1804</v>
      </c>
      <c r="C1806" s="10" t="inlineStr">
        <is>
          <t>Market Research &amp; Sales Intelligence</t>
        </is>
      </c>
      <c r="D1806" s="10" t="inlineStr">
        <is>
          <t>VPDD INDUSTRIAL IDENTIFICATION SYSTEMS DMCC TẠI TPHCM</t>
        </is>
      </c>
      <c r="E1806" s="10" t="inlineStr">
        <is>
          <t>13tr-50tr ₫/tháng</t>
        </is>
      </c>
      <c r="F1806" s="10" t="inlineStr">
        <is>
          <t>Hồ Chí Minh</t>
        </is>
      </c>
      <c r="G1806" s="10" t="inlineStr">
        <is>
          <t>Nhân viên</t>
        </is>
      </c>
      <c r="H1806" s="10" t="inlineStr">
        <is>
          <t>08/02/2026</t>
        </is>
      </c>
      <c r="I1806" s="10" t="inlineStr">
        <is>
          <t>26/03/2026</t>
        </is>
      </c>
      <c r="J1806" s="10" t="inlineStr">
        <is>
          <t>17/03/2026</t>
        </is>
      </c>
      <c r="K1806" s="10" t="inlineStr">
        <is>
          <t>N/A</t>
        </is>
      </c>
      <c r="L1806" s="10" t="inlineStr">
        <is>
          <t>English Communication, Market Research, Sales Insight, Traceability, Robotics</t>
        </is>
      </c>
      <c r="M1806" s="10" t="inlineStr">
        <is>
          <t>Bonus, Healthcare Plan, Paid Leave, Training, Travel Opportunities, Others</t>
        </is>
      </c>
      <c r="N1806" s="11">
        <f>HYPERLINK("https://www.vietnamworks.com/market-research-and-sales-intelligence-2010661-jv","Xem chi tiết")</f>
        <v/>
      </c>
      <c r="O1806" s="10" t="n"/>
    </row>
    <row r="1807">
      <c r="B1807" s="7" t="n">
        <v>1805</v>
      </c>
      <c r="C1807" t="inlineStr">
        <is>
          <t>Shipping Specialist</t>
        </is>
      </c>
      <c r="D1807" t="inlineStr">
        <is>
          <t>LEMBAK VIETNAM LIMITED LIABILITY COMPANY</t>
        </is>
      </c>
      <c r="E1807" t="inlineStr">
        <is>
          <t>Thương lượng</t>
        </is>
      </c>
      <c r="F1807" t="inlineStr">
        <is>
          <t>Bình Dương</t>
        </is>
      </c>
      <c r="G1807" t="inlineStr">
        <is>
          <t>Nhân viên</t>
        </is>
      </c>
      <c r="H1807" t="inlineStr">
        <is>
          <t>06/02/2026</t>
        </is>
      </c>
      <c r="I1807" t="inlineStr">
        <is>
          <t>26/03/2026</t>
        </is>
      </c>
      <c r="J1807" t="inlineStr">
        <is>
          <t>17/03/2026</t>
        </is>
      </c>
      <c r="K1807" t="inlineStr">
        <is>
          <t>N/A</t>
        </is>
      </c>
      <c r="L1807" t="inlineStr">
        <is>
          <t>Logistics, Import-Export, Communication Skills, MS Excel, Shipping</t>
        </is>
      </c>
      <c r="M1807" t="inlineStr">
        <is>
          <t>Bonus, Paid Leave, Training</t>
        </is>
      </c>
      <c r="N1807" s="8">
        <f>HYPERLINK("https://www.vietnamworks.com/shipping-specialist-2010404-jv","Xem chi tiết")</f>
        <v/>
      </c>
    </row>
    <row r="1808">
      <c r="B1808" s="9" t="n">
        <v>1806</v>
      </c>
      <c r="C1808" s="10" t="inlineStr">
        <is>
          <t>QA/QC Manager (Metal CNC Machining)</t>
        </is>
      </c>
      <c r="D1808" s="10" t="inlineStr">
        <is>
          <t>LEMBAK VIETNAM LIMITED LIABILITY COMPANY</t>
        </is>
      </c>
      <c r="E1808" s="10" t="inlineStr">
        <is>
          <t>Thương lượng</t>
        </is>
      </c>
      <c r="F1808" s="10" t="inlineStr">
        <is>
          <t>Bình Dương</t>
        </is>
      </c>
      <c r="G1808" s="10" t="inlineStr">
        <is>
          <t>Trưởng phòng</t>
        </is>
      </c>
      <c r="H1808" s="10" t="inlineStr">
        <is>
          <t>06/02/2026</t>
        </is>
      </c>
      <c r="I1808" s="10" t="inlineStr">
        <is>
          <t>26/03/2026</t>
        </is>
      </c>
      <c r="J1808" s="10" t="inlineStr">
        <is>
          <t>17/03/2026</t>
        </is>
      </c>
      <c r="K1808" s="10" t="inlineStr">
        <is>
          <t>N/A</t>
        </is>
      </c>
      <c r="L1808" s="10" t="inlineStr">
        <is>
          <t>Supplier Quality Management, ISO 9001, CNC Maintenance, QMS Management, Quality Assurance</t>
        </is>
      </c>
      <c r="M1808" s="10" t="inlineStr">
        <is>
          <t>Bonus, Paid Leave, Training</t>
        </is>
      </c>
      <c r="N1808" s="11">
        <f>HYPERLINK("https://www.vietnamworks.com/qaqc-manager-metal-cnc-machining-2010411-jv","Xem chi tiết")</f>
        <v/>
      </c>
      <c r="O1808" s="10" t="n"/>
    </row>
    <row r="1809">
      <c r="B1809" s="7" t="n">
        <v>1807</v>
      </c>
      <c r="C1809" t="inlineStr">
        <is>
          <t>Global Service Desk - IT Helpdesk Night Shift</t>
        </is>
      </c>
      <c r="D1809" t="inlineStr">
        <is>
          <t>SPS Vietnam Company Ltd.</t>
        </is>
      </c>
      <c r="E1809" t="inlineStr">
        <is>
          <t>Thương lượng</t>
        </is>
      </c>
      <c r="F1809" t="inlineStr">
        <is>
          <t>Hồ Chí Minh</t>
        </is>
      </c>
      <c r="G1809" t="inlineStr">
        <is>
          <t>Nhân viên</t>
        </is>
      </c>
      <c r="H1809" t="inlineStr">
        <is>
          <t>09/02/2026</t>
        </is>
      </c>
      <c r="I1809" t="inlineStr">
        <is>
          <t>26/03/2026</t>
        </is>
      </c>
      <c r="J1809" t="inlineStr">
        <is>
          <t>17/03/2026</t>
        </is>
      </c>
      <c r="K1809" t="inlineStr">
        <is>
          <t>N/A</t>
        </is>
      </c>
      <c r="L1809" t="inlineStr">
        <is>
          <t>Service Desk, Microsoft 365, ITIL, IT Service, IT Operations</t>
        </is>
      </c>
      <c r="M1809" t="inlineStr">
        <is>
          <t>Bonus, Healthcare Plan, Team Activities</t>
        </is>
      </c>
      <c r="N1809" s="8">
        <f>HYPERLINK("https://www.vietnamworks.com/global-service-desk-it-helpdesk-night-shift--2010695-jv","Xem chi tiết")</f>
        <v/>
      </c>
    </row>
    <row r="1810">
      <c r="B1810" s="9" t="n">
        <v>1808</v>
      </c>
      <c r="C1810" s="10" t="inlineStr">
        <is>
          <t>Quản Lý Dự Án (Project Manager)</t>
        </is>
      </c>
      <c r="D1810" s="10" t="inlineStr">
        <is>
          <t>Công Ty CP Thiết Kế &amp; Xây Dựng Dbplus</t>
        </is>
      </c>
      <c r="E1810" s="10" t="inlineStr">
        <is>
          <t>$$ 1,400-1,800 /tháng</t>
        </is>
      </c>
      <c r="F1810" s="10" t="inlineStr">
        <is>
          <t>Hà Nội, Hồ Chí Minh</t>
        </is>
      </c>
      <c r="G1810" s="10" t="inlineStr">
        <is>
          <t>Trưởng phòng</t>
        </is>
      </c>
      <c r="H1810" s="10" t="inlineStr">
        <is>
          <t>05/02/2026</t>
        </is>
      </c>
      <c r="I1810" s="10" t="inlineStr">
        <is>
          <t>26/03/2026</t>
        </is>
      </c>
      <c r="J1810" s="10" t="inlineStr">
        <is>
          <t>17/03/2026</t>
        </is>
      </c>
      <c r="K1810" s="10" t="inlineStr">
        <is>
          <t>N/A</t>
        </is>
      </c>
      <c r="L1810" s="10" t="inlineStr">
        <is>
          <t>Quản Lý Dự Án, AutoCAD, Xây Dựng, Ms Project, Kinh Nghiệm Trong Lĩnh Vực Nội Thất</t>
        </is>
      </c>
      <c r="M1810" s="10" t="inlineStr">
        <is>
          <t>Bonus, Healthcare Plan, Travel Opportunities</t>
        </is>
      </c>
      <c r="N1810" s="11">
        <f>HYPERLINK("https://www.vietnamworks.com/quan-ly-du-an-project-manager--2010070-jv","Xem chi tiết")</f>
        <v/>
      </c>
      <c r="O1810" s="10" t="n"/>
    </row>
    <row r="1811">
      <c r="B1811" s="7" t="n">
        <v>1809</v>
      </c>
      <c r="C1811" t="inlineStr">
        <is>
          <t>Kỹ Sư Cơ Khí (Công Nghệ Hàn)</t>
        </is>
      </c>
      <c r="D1811" t="inlineStr">
        <is>
          <t>Công Ty Cổ Phần Thiết Bị Và Giải Pháp Cơ Khí AUTOMECH</t>
        </is>
      </c>
      <c r="E1811" t="inlineStr">
        <is>
          <t>13tr-20tr ₫/tháng</t>
        </is>
      </c>
      <c r="F1811" t="inlineStr">
        <is>
          <t>Bắc Ninh, Bắc Giang</t>
        </is>
      </c>
      <c r="G1811" t="inlineStr">
        <is>
          <t>Nhân viên</t>
        </is>
      </c>
      <c r="H1811" t="inlineStr">
        <is>
          <t>09/02/2026</t>
        </is>
      </c>
      <c r="I1811" t="inlineStr">
        <is>
          <t>26/03/2026</t>
        </is>
      </c>
      <c r="J1811" t="inlineStr">
        <is>
          <t>17/03/2026</t>
        </is>
      </c>
      <c r="K1811" t="inlineStr">
        <is>
          <t>N/A</t>
        </is>
      </c>
      <c r="L1811" t="inlineStr">
        <is>
          <t>Rail Welding, Resistance Welding, 2D CAD, Teamwork, Kỹ sư cơ khí, Vận hành máy hàn</t>
        </is>
      </c>
      <c r="M1811" t="inlineStr">
        <is>
          <t>Bonus, Healthcare Plan, Others</t>
        </is>
      </c>
      <c r="N1811" s="8">
        <f>HYPERLINK("https://www.vietnamworks.com/ky-su-co-khi-cong-nghe-han--2010705-jv","Xem chi tiết")</f>
        <v/>
      </c>
    </row>
    <row r="1812">
      <c r="B1812" s="9" t="n">
        <v>1810</v>
      </c>
      <c r="C1812" s="10" t="inlineStr">
        <is>
          <t>Sales Executive Wellness And Personal Care Products</t>
        </is>
      </c>
      <c r="D1812" s="10" t="inlineStr">
        <is>
          <t>Le Fin Du Fin Company Limited</t>
        </is>
      </c>
      <c r="E1812" s="10" t="inlineStr">
        <is>
          <t>Từ 13tr ₫/tháng</t>
        </is>
      </c>
      <c r="F1812" s="10" t="inlineStr">
        <is>
          <t>Hồ Chí Minh</t>
        </is>
      </c>
      <c r="G1812" s="10" t="inlineStr">
        <is>
          <t>Nhân viên</t>
        </is>
      </c>
      <c r="H1812" s="10" t="inlineStr">
        <is>
          <t>05/02/2026</t>
        </is>
      </c>
      <c r="I1812" s="10" t="inlineStr">
        <is>
          <t>26/03/2026</t>
        </is>
      </c>
      <c r="J1812" s="10" t="inlineStr">
        <is>
          <t>17/03/2026</t>
        </is>
      </c>
      <c r="K1812" s="10" t="inlineStr">
        <is>
          <t>N/A</t>
        </is>
      </c>
      <c r="L1812" s="10" t="inlineStr">
        <is>
          <t>Customer Service, Interpersonal Skills, Sales Experience, Client Meeting, Market Pricing</t>
        </is>
      </c>
      <c r="M1812" s="10" t="inlineStr">
        <is>
          <t>Bonus, Paid Leave, Mobile, Travel Opportunities, Transportation</t>
        </is>
      </c>
      <c r="N1812" s="11">
        <f>HYPERLINK("https://www.vietnamworks.com/sales-executive-wellness-and-personal-care-products-2010198-jv","Xem chi tiết")</f>
        <v/>
      </c>
      <c r="O1812" s="10" t="n"/>
    </row>
    <row r="1813">
      <c r="B1813" s="7" t="n">
        <v>1811</v>
      </c>
      <c r="C1813" t="inlineStr">
        <is>
          <t>Cửa Hàng Phó Siêu Thị (Lương Thưởng Hấp Dẫn) - Y/c Có Kinh Nghiệm Siêu Thị</t>
        </is>
      </c>
      <c r="D1813" t="inlineStr">
        <is>
          <t>Công Ty TNHH Bán Lẻ Fujimart Việt Nam</t>
        </is>
      </c>
      <c r="E1813" t="inlineStr">
        <is>
          <t>Thương lượng</t>
        </is>
      </c>
      <c r="F1813" t="inlineStr">
        <is>
          <t>Hà Nội</t>
        </is>
      </c>
      <c r="G1813" t="inlineStr">
        <is>
          <t>Trưởng phòng</t>
        </is>
      </c>
      <c r="H1813" t="inlineStr">
        <is>
          <t>06/02/2026</t>
        </is>
      </c>
      <c r="I1813" t="inlineStr">
        <is>
          <t>26/03/2026</t>
        </is>
      </c>
      <c r="J1813" t="inlineStr">
        <is>
          <t>17/03/2026</t>
        </is>
      </c>
      <c r="K1813" t="inlineStr">
        <is>
          <t>N/A</t>
        </is>
      </c>
      <c r="L1813" t="inlineStr">
        <is>
          <t>FMCG, Quản Lý Nhân Viên, Vận Hành, Giám Sát Siêu Thị, Quản Lý Chuỗi Siêu Thị</t>
        </is>
      </c>
      <c r="M1813" t="inlineStr">
        <is>
          <t>Bonus, Healthcare Plan, Training</t>
        </is>
      </c>
      <c r="N1813" s="8">
        <f>HYPERLINK("https://www.vietnamworks.com/cua-hang-pho-sieu-thi-luong-thuong-hap-dan-y-c-co-kinh-nghiem-sieu-thi-2010302-jv","Xem chi tiết")</f>
        <v/>
      </c>
    </row>
    <row r="1814">
      <c r="B1814" s="9" t="n">
        <v>1812</v>
      </c>
      <c r="C1814" s="10" t="inlineStr">
        <is>
          <t>Giám Sát Kỹ Thuật Công Trình Tại Hà Nội</t>
        </is>
      </c>
      <c r="D1814" s="10" t="inlineStr">
        <is>
          <t>Công ty Cổ phần Đầu tư Xây dựng Quỳnh Sơn</t>
        </is>
      </c>
      <c r="E1814" s="10" t="inlineStr">
        <is>
          <t>18tr-25tr ₫/tháng</t>
        </is>
      </c>
      <c r="F1814" s="10" t="inlineStr">
        <is>
          <t>Hà Nội</t>
        </is>
      </c>
      <c r="G1814" s="10" t="inlineStr">
        <is>
          <t>Trưởng phòng</t>
        </is>
      </c>
      <c r="H1814" s="10" t="inlineStr">
        <is>
          <t>06/02/2026</t>
        </is>
      </c>
      <c r="I1814" s="10" t="inlineStr">
        <is>
          <t>26/03/2026</t>
        </is>
      </c>
      <c r="J1814" s="10" t="inlineStr">
        <is>
          <t>17/03/2026</t>
        </is>
      </c>
      <c r="K1814" s="10" t="inlineStr">
        <is>
          <t>N/A</t>
        </is>
      </c>
      <c r="L1814" s="10" t="inlineStr">
        <is>
          <t>Kỹ Thuật Xây Dựng, An Toàn Lao Động, Giám Sát Hiện Trường, Quản Lý Dự Án, Kỹ Thuật Công Trình</t>
        </is>
      </c>
      <c r="M1814" s="10" t="inlineStr">
        <is>
          <t>Healthcare Plan, Training, Others</t>
        </is>
      </c>
      <c r="N1814" s="11">
        <f>HYPERLINK("https://www.vietnamworks.com/giam-sat-ky-thuat-cong-trinh-tai-ha-noi-2010620-jv","Xem chi tiết")</f>
        <v/>
      </c>
      <c r="O1814" s="10" t="n"/>
    </row>
    <row r="1815">
      <c r="B1815" s="7" t="n">
        <v>1813</v>
      </c>
      <c r="C1815" t="inlineStr">
        <is>
          <t>Trưởng Nhóm Nghiên Cứu và Phát Triển Mặt Bằng Siêu Thị (Thu Nhập Upto 35M)</t>
        </is>
      </c>
      <c r="D1815" t="inlineStr">
        <is>
          <t>Công Ty TNHH Bán Lẻ Fujimart Việt Nam</t>
        </is>
      </c>
      <c r="E1815" t="inlineStr">
        <is>
          <t>Tới 35tr ₫/tháng</t>
        </is>
      </c>
      <c r="F1815" t="inlineStr">
        <is>
          <t>Hà Nội</t>
        </is>
      </c>
      <c r="G1815" t="inlineStr">
        <is>
          <t>Nhân viên</t>
        </is>
      </c>
      <c r="H1815" t="inlineStr">
        <is>
          <t>06/02/2026</t>
        </is>
      </c>
      <c r="I1815" t="inlineStr">
        <is>
          <t>26/03/2026</t>
        </is>
      </c>
      <c r="J1815" t="inlineStr">
        <is>
          <t>17/03/2026</t>
        </is>
      </c>
      <c r="K1815" t="inlineStr">
        <is>
          <t>N/A</t>
        </is>
      </c>
      <c r="L1815" t="inlineStr">
        <is>
          <t>Nghiên Cứu Thị Trường, R&amp;D, Đánh Giá Mặt Bằng, Hệ Thống Chuỗi Bán Lẻ, Phân Tích Kinh Doanh</t>
        </is>
      </c>
      <c r="M1815" t="inlineStr">
        <is>
          <t>Bonus, Healthcare Plan, Others</t>
        </is>
      </c>
      <c r="N1815" s="8">
        <f>HYPERLINK("https://www.vietnamworks.com/truong-nhom-nghien-cuu-va-phat-trien-mat-bang-sieu-thi-thu-nhap-upto-35m-2010301-jv","Xem chi tiết")</f>
        <v/>
      </c>
    </row>
    <row r="1816">
      <c r="B1816" s="9" t="n">
        <v>1814</v>
      </c>
      <c r="C1816" s="10" t="inlineStr">
        <is>
          <t>Nhân Viên Sales Logistics</t>
        </is>
      </c>
      <c r="D1816" s="10" t="inlineStr">
        <is>
          <t>Công Ty TNHH Không Hải Vận - Air SEA Transport Việt Nam (Ast VN)</t>
        </is>
      </c>
      <c r="E1816" s="10" t="inlineStr">
        <is>
          <t>Thương lượng</t>
        </is>
      </c>
      <c r="F1816" s="10" t="inlineStr">
        <is>
          <t>Hồ Chí Minh</t>
        </is>
      </c>
      <c r="G1816" s="10" t="inlineStr">
        <is>
          <t>Nhân viên</t>
        </is>
      </c>
      <c r="H1816" s="10" t="inlineStr">
        <is>
          <t>05/02/2026</t>
        </is>
      </c>
      <c r="I1816" s="10" t="inlineStr">
        <is>
          <t>26/03/2026</t>
        </is>
      </c>
      <c r="J1816" s="10" t="inlineStr">
        <is>
          <t>17/03/2026</t>
        </is>
      </c>
      <c r="K1816" s="10" t="inlineStr">
        <is>
          <t>N/A</t>
        </is>
      </c>
      <c r="L1816" s="10" t="inlineStr">
        <is>
          <t>Logistics, Business Acumen, Kinh Doanh, Sales Logistics, Tư Vấn Bán Hàng</t>
        </is>
      </c>
      <c r="M1816" s="10" t="inlineStr">
        <is>
          <t>Bonus, Awards, Travel Opportunities, Team Activities, Others</t>
        </is>
      </c>
      <c r="N1816" s="11">
        <f>HYPERLINK("https://www.vietnamworks.com/nhan-vien-sales-logistics-2010226-jv","Xem chi tiết")</f>
        <v/>
      </c>
      <c r="O1816" s="10" t="n"/>
    </row>
    <row r="1817">
      <c r="B1817" s="7" t="n">
        <v>1815</v>
      </c>
      <c r="C1817" t="inlineStr">
        <is>
          <t>Outsourcing Supervisor (Planning Deparment)</t>
        </is>
      </c>
      <c r="D1817" t="inlineStr">
        <is>
          <t>Saitex International Dong Nai (VN)</t>
        </is>
      </c>
      <c r="E1817" t="inlineStr">
        <is>
          <t>Thương lượng</t>
        </is>
      </c>
      <c r="F1817" t="inlineStr">
        <is>
          <t>Đồng Nai</t>
        </is>
      </c>
      <c r="G1817" t="inlineStr">
        <is>
          <t>Nhân viên</t>
        </is>
      </c>
      <c r="H1817" t="inlineStr">
        <is>
          <t>09/02/2026</t>
        </is>
      </c>
      <c r="I1817" t="inlineStr">
        <is>
          <t>26/03/2026</t>
        </is>
      </c>
      <c r="J1817" t="inlineStr">
        <is>
          <t>17/03/2026</t>
        </is>
      </c>
      <c r="K1817" t="inlineStr">
        <is>
          <t>N/A</t>
        </is>
      </c>
      <c r="L1817" t="inlineStr">
        <is>
          <t>Outsourcing, Garment, Fabric Supplier Management, Woven Fabrics</t>
        </is>
      </c>
      <c r="M1817" t="inlineStr">
        <is>
          <t>Bonus, Healthcare Plan, Transportation</t>
        </is>
      </c>
      <c r="N1817" s="8">
        <f>HYPERLINK("https://www.vietnamworks.com/outsourcing-supervisor-planning-deparment-2010699-jv","Xem chi tiết")</f>
        <v/>
      </c>
    </row>
    <row r="1818">
      <c r="B1818" s="9" t="n">
        <v>1816</v>
      </c>
      <c r="C1818" s="10" t="inlineStr">
        <is>
          <t>Sourcing Engineer (CNC Engineering &amp; Supplier Development)</t>
        </is>
      </c>
      <c r="D1818" s="10" t="inlineStr">
        <is>
          <t>LEMBAK VIETNAM LIMITED LIABILITY COMPANY</t>
        </is>
      </c>
      <c r="E1818" s="10" t="inlineStr">
        <is>
          <t>Thương lượng</t>
        </is>
      </c>
      <c r="F1818" s="10" t="inlineStr">
        <is>
          <t>Bình Dương</t>
        </is>
      </c>
      <c r="G1818" s="10" t="inlineStr">
        <is>
          <t>Nhân viên</t>
        </is>
      </c>
      <c r="H1818" s="10" t="inlineStr">
        <is>
          <t>06/02/2026</t>
        </is>
      </c>
      <c r="I1818" s="10" t="inlineStr">
        <is>
          <t>26/03/2026</t>
        </is>
      </c>
      <c r="J1818" s="10" t="inlineStr">
        <is>
          <t>17/03/2026</t>
        </is>
      </c>
      <c r="K1818" s="10" t="inlineStr">
        <is>
          <t>N/A</t>
        </is>
      </c>
      <c r="L1818" s="10" t="inlineStr">
        <is>
          <t>CNC Programming, Mechanical Engineering, Supplier Relationship Management, Sourcing Management, Sourcing Materials</t>
        </is>
      </c>
      <c r="M1818" s="10" t="inlineStr">
        <is>
          <t>Bonus, Paid Leave, Training</t>
        </is>
      </c>
      <c r="N1818" s="11">
        <f>HYPERLINK("https://www.vietnamworks.com/sourcing-engineer-cnc-engineering-and-supplier-development-2010408-jv","Xem chi tiết")</f>
        <v/>
      </c>
      <c r="O1818" s="10" t="n"/>
    </row>
    <row r="1819">
      <c r="B1819" s="7" t="n">
        <v>1817</v>
      </c>
      <c r="C1819" t="inlineStr">
        <is>
          <t>Global AR AP Accountant (Good English)</t>
        </is>
      </c>
      <c r="D1819" t="inlineStr">
        <is>
          <t>Công Ty TNHH Outcubator Việt Nam</t>
        </is>
      </c>
      <c r="E1819" t="inlineStr">
        <is>
          <t>$$ 800-950 /tháng</t>
        </is>
      </c>
      <c r="F1819" t="inlineStr">
        <is>
          <t>Hà Nội</t>
        </is>
      </c>
      <c r="G1819" t="inlineStr">
        <is>
          <t>Nhân viên</t>
        </is>
      </c>
      <c r="H1819" t="inlineStr">
        <is>
          <t>09/02/2026</t>
        </is>
      </c>
      <c r="I1819" t="inlineStr">
        <is>
          <t>26/03/2026</t>
        </is>
      </c>
      <c r="J1819" t="inlineStr">
        <is>
          <t>17/03/2026</t>
        </is>
      </c>
      <c r="K1819" t="inlineStr">
        <is>
          <t>N/A</t>
        </is>
      </c>
      <c r="L1819" t="inlineStr">
        <is>
          <t>Kế toán, Tài Chính, Audit, Analytical Skills, Numerical Skills</t>
        </is>
      </c>
      <c r="M1819" t="inlineStr">
        <is>
          <t>Bonus, Awards, Others</t>
        </is>
      </c>
      <c r="N1819" s="8">
        <f>HYPERLINK("https://www.vietnamworks.com/global-ar-ap-accountant-good-english-2010701-jv","Xem chi tiết")</f>
        <v/>
      </c>
    </row>
    <row r="1820">
      <c r="B1820" s="9" t="n">
        <v>1818</v>
      </c>
      <c r="C1820" s="10" t="inlineStr">
        <is>
          <t>Purchasing Manager (Must Have Furniture Industry)</t>
        </is>
      </c>
      <c r="D1820" s="10" t="inlineStr">
        <is>
          <t>Rochdale Spears Co., Ltd.</t>
        </is>
      </c>
      <c r="E1820" s="10" t="inlineStr">
        <is>
          <t>Thương lượng</t>
        </is>
      </c>
      <c r="F1820" s="10" t="inlineStr">
        <is>
          <t>Bình Dương</t>
        </is>
      </c>
      <c r="G1820" s="10" t="inlineStr">
        <is>
          <t>Trưởng phòng</t>
        </is>
      </c>
      <c r="H1820" s="10" t="inlineStr">
        <is>
          <t>09/02/2026</t>
        </is>
      </c>
      <c r="I1820" s="10" t="inlineStr">
        <is>
          <t>26/03/2026</t>
        </is>
      </c>
      <c r="J1820" s="10" t="inlineStr">
        <is>
          <t>17/03/2026</t>
        </is>
      </c>
      <c r="K1820" s="10" t="inlineStr">
        <is>
          <t>N/A</t>
        </is>
      </c>
      <c r="L1820" s="10" t="inlineStr">
        <is>
          <t>Purchase Management, Furniture, Procurement, Supply Chain Operation, Supplier Development</t>
        </is>
      </c>
      <c r="M1820" s="10" t="inlineStr">
        <is>
          <t>Bonus, Transportation</t>
        </is>
      </c>
      <c r="N1820" s="11">
        <f>HYPERLINK("https://www.vietnamworks.com/purchasing-manager-must-have-furniture-industry--2010707-jv","Xem chi tiết")</f>
        <v/>
      </c>
      <c r="O1820" s="10" t="n"/>
    </row>
    <row r="1821">
      <c r="B1821" s="7" t="n">
        <v>1819</v>
      </c>
      <c r="C1821" t="inlineStr">
        <is>
          <t>CAD Drafter (Senior/ Junior)</t>
        </is>
      </c>
      <c r="D1821" t="inlineStr">
        <is>
          <t>Công Ty TNHH YKK AP Việt Nam</t>
        </is>
      </c>
      <c r="E1821" t="inlineStr">
        <is>
          <t>Thương lượng</t>
        </is>
      </c>
      <c r="F1821" t="inlineStr">
        <is>
          <t>Hồ Chí Minh</t>
        </is>
      </c>
      <c r="G1821" t="inlineStr">
        <is>
          <t>Nhân viên</t>
        </is>
      </c>
      <c r="H1821" t="inlineStr">
        <is>
          <t>09/02/2026</t>
        </is>
      </c>
      <c r="I1821" t="inlineStr">
        <is>
          <t>26/03/2026</t>
        </is>
      </c>
      <c r="J1821" t="inlineStr">
        <is>
          <t>17/03/2026</t>
        </is>
      </c>
      <c r="K1821" t="inlineStr">
        <is>
          <t>N/A</t>
        </is>
      </c>
      <c r="L1821" t="inlineStr">
        <is>
          <t>Triển Khai Bản Vẽ, Thiết Kế Bản Vẽ, AutoCAD, Xây Dựng, kiến trúc</t>
        </is>
      </c>
      <c r="M1821" t="inlineStr">
        <is>
          <t>Bonus, Training, Others</t>
        </is>
      </c>
      <c r="N1821" s="8">
        <f>HYPERLINK("https://www.vietnamworks.com/cad-drafter-senior-junior--2010709-jv","Xem chi tiết")</f>
        <v/>
      </c>
    </row>
    <row r="1822">
      <c r="B1822" s="9" t="n">
        <v>1820</v>
      </c>
      <c r="C1822" s="10" t="inlineStr">
        <is>
          <t>Marketing Manager - 6 Mths contract</t>
        </is>
      </c>
      <c r="D1822" s="10" t="inlineStr">
        <is>
          <t>BLUE SKY VIETNAM GLOBAL EDUCATION COMPANY LIMITED</t>
        </is>
      </c>
      <c r="E1822" s="10" t="inlineStr">
        <is>
          <t>Thương lượng</t>
        </is>
      </c>
      <c r="F1822" s="10" t="inlineStr">
        <is>
          <t>Hà Nội</t>
        </is>
      </c>
      <c r="G1822" s="10" t="inlineStr">
        <is>
          <t>Trưởng phòng</t>
        </is>
      </c>
      <c r="H1822" s="10" t="inlineStr">
        <is>
          <t>09/02/2026</t>
        </is>
      </c>
      <c r="I1822" s="10" t="inlineStr">
        <is>
          <t>26/03/2026</t>
        </is>
      </c>
      <c r="J1822" s="10" t="inlineStr">
        <is>
          <t>17/03/2026</t>
        </is>
      </c>
      <c r="K1822" s="10" t="inlineStr">
        <is>
          <t>N/A</t>
        </is>
      </c>
      <c r="L1822" s="10" t="inlineStr">
        <is>
          <t>English, Marketing, communication, SEO, Marketing manager</t>
        </is>
      </c>
      <c r="M1822" s="10" t="inlineStr">
        <is>
          <t>Bonus, Paid Leave</t>
        </is>
      </c>
      <c r="N1822" s="11">
        <f>HYPERLINK("https://www.vietnamworks.com/marketing-manager-6-mths-contract-2010714-jv","Xem chi tiết")</f>
        <v/>
      </c>
      <c r="O1822" s="10" t="n"/>
    </row>
    <row r="1823">
      <c r="B1823" s="7" t="n">
        <v>1821</v>
      </c>
      <c r="C1823" t="inlineStr">
        <is>
          <t>Creative Marketing Specialist</t>
        </is>
      </c>
      <c r="D1823" t="inlineStr">
        <is>
          <t>LP Foods PTE, Ltd</t>
        </is>
      </c>
      <c r="E1823" t="inlineStr">
        <is>
          <t>Thương lượng</t>
        </is>
      </c>
      <c r="F1823" t="inlineStr">
        <is>
          <t>Hồ Chí Minh</t>
        </is>
      </c>
      <c r="G1823" t="inlineStr">
        <is>
          <t>Nhân viên</t>
        </is>
      </c>
      <c r="H1823" t="inlineStr">
        <is>
          <t>09/02/2026</t>
        </is>
      </c>
      <c r="I1823" t="inlineStr">
        <is>
          <t>26/03/2026</t>
        </is>
      </c>
      <c r="J1823" t="inlineStr">
        <is>
          <t>17/03/2026</t>
        </is>
      </c>
      <c r="K1823" t="inlineStr">
        <is>
          <t>N/A</t>
        </is>
      </c>
      <c r="L1823" t="inlineStr">
        <is>
          <t>Creative Marketing, B2B branding, Design, Email Marketing, CRM Tool</t>
        </is>
      </c>
      <c r="M1823" t="inlineStr">
        <is>
          <t>Bonus, Healthcare Plan, Laptop</t>
        </is>
      </c>
      <c r="N1823" s="8">
        <f>HYPERLINK("https://www.vietnamworks.com/creative-marketing-specialist--2010711-jv","Xem chi tiết")</f>
        <v/>
      </c>
    </row>
    <row r="1824">
      <c r="B1824" s="9" t="n">
        <v>1822</v>
      </c>
      <c r="C1824" s="10" t="inlineStr">
        <is>
          <t>Senior Data Analyst/ Business Intelligence Executive (Fin. Dept.)</t>
        </is>
      </c>
      <c r="D1824" s="10" t="inlineStr">
        <is>
          <t>VUS - The English Center</t>
        </is>
      </c>
      <c r="E1824" s="10" t="inlineStr">
        <is>
          <t>$$ 1,000-1,500 /tháng</t>
        </is>
      </c>
      <c r="F1824" s="10" t="inlineStr">
        <is>
          <t>Hồ Chí Minh</t>
        </is>
      </c>
      <c r="G1824" s="10" t="inlineStr">
        <is>
          <t>Nhân viên</t>
        </is>
      </c>
      <c r="H1824" s="10" t="inlineStr">
        <is>
          <t>09/02/2026</t>
        </is>
      </c>
      <c r="I1824" s="10" t="inlineStr">
        <is>
          <t>26/03/2026</t>
        </is>
      </c>
      <c r="J1824" s="10" t="inlineStr">
        <is>
          <t>17/03/2026</t>
        </is>
      </c>
      <c r="K1824" s="10" t="inlineStr">
        <is>
          <t>N/A</t>
        </is>
      </c>
      <c r="L1824" s="10" t="inlineStr">
        <is>
          <t>Data Analysis Tools, Data Visualization Tools, problem-solving skills, Data Modeling, Data Mining</t>
        </is>
      </c>
      <c r="M1824" s="10" t="inlineStr">
        <is>
          <t>Healthcare Plan, Vouchers, Others</t>
        </is>
      </c>
      <c r="N1824" s="11">
        <f>HYPERLINK("https://www.vietnamworks.com/senior-data-analyst-business-intelligence-executive-fin-dept--2010716-jv","Xem chi tiết")</f>
        <v/>
      </c>
      <c r="O1824" s="10" t="n"/>
    </row>
    <row r="1825">
      <c r="B1825" s="7" t="n">
        <v>1823</v>
      </c>
      <c r="C1825" t="inlineStr">
        <is>
          <t>Key Account Planning Lead – Modern Trade</t>
        </is>
      </c>
      <c r="D1825" t="inlineStr">
        <is>
          <t>Pernod Ricard Vietnam</t>
        </is>
      </c>
      <c r="E1825" t="inlineStr">
        <is>
          <t>Thương lượng</t>
        </is>
      </c>
      <c r="F1825" t="inlineStr">
        <is>
          <t>Hồ Chí Minh</t>
        </is>
      </c>
      <c r="G1825" t="inlineStr">
        <is>
          <t>Nhân viên</t>
        </is>
      </c>
      <c r="H1825" t="inlineStr">
        <is>
          <t>09/02/2026</t>
        </is>
      </c>
      <c r="I1825" t="inlineStr">
        <is>
          <t>26/03/2026</t>
        </is>
      </c>
      <c r="J1825" t="inlineStr">
        <is>
          <t>17/03/2026</t>
        </is>
      </c>
      <c r="K1825" t="inlineStr">
        <is>
          <t>N/A</t>
        </is>
      </c>
      <c r="L1825" t="inlineStr">
        <is>
          <t>Business Planning, Customer Management, Sales Contract Negotiation, Market Analysis, Communication</t>
        </is>
      </c>
      <c r="M1825" t="inlineStr">
        <is>
          <t>Bonus, Healthcare Plan, Paid Leave</t>
        </is>
      </c>
      <c r="N1825" s="8">
        <f>HYPERLINK("https://www.vietnamworks.com/key-account-planning-lead-modern-trade-2010719-jv","Xem chi tiết")</f>
        <v/>
      </c>
    </row>
    <row r="1826">
      <c r="B1826" s="9" t="n">
        <v>1824</v>
      </c>
      <c r="C1826" s="10" t="inlineStr">
        <is>
          <t>Airfreight Executive</t>
        </is>
      </c>
      <c r="D1826" s="10" t="inlineStr">
        <is>
          <t>Scan Global Logistics Việt Nam</t>
        </is>
      </c>
      <c r="E1826" s="10" t="inlineStr">
        <is>
          <t>Thương lượng</t>
        </is>
      </c>
      <c r="F1826" s="10" t="inlineStr">
        <is>
          <t>Hà Nội</t>
        </is>
      </c>
      <c r="G1826" s="10" t="inlineStr">
        <is>
          <t>Nhân viên</t>
        </is>
      </c>
      <c r="H1826" s="10" t="inlineStr">
        <is>
          <t>09/02/2026</t>
        </is>
      </c>
      <c r="I1826" s="10" t="inlineStr">
        <is>
          <t>26/03/2026</t>
        </is>
      </c>
      <c r="J1826" s="10" t="inlineStr">
        <is>
          <t>17/03/2026</t>
        </is>
      </c>
      <c r="K1826" s="10" t="inlineStr">
        <is>
          <t>N/A</t>
        </is>
      </c>
      <c r="L1826" s="10" t="inlineStr">
        <is>
          <t>Shipping Lines, Customer Service, Documentation Handling, Air Freight Forwarding, Shipment Management</t>
        </is>
      </c>
      <c r="M1826" s="10" t="inlineStr">
        <is>
          <t>Bonus, Healthcare Plan, Travel Opportunities</t>
        </is>
      </c>
      <c r="N1826" s="11">
        <f>HYPERLINK("https://www.vietnamworks.com/airfreight-executive--2010733-jv","Xem chi tiết")</f>
        <v/>
      </c>
      <c r="O1826" s="10" t="n"/>
    </row>
    <row r="1827">
      <c r="B1827" s="7" t="n">
        <v>1825</v>
      </c>
      <c r="C1827" t="inlineStr">
        <is>
          <t>Marketing Executive</t>
        </is>
      </c>
      <c r="D1827" t="inlineStr">
        <is>
          <t>Công Ty TNHH Fonterra Brands Việt Nam</t>
        </is>
      </c>
      <c r="E1827" t="inlineStr">
        <is>
          <t>Thương lượng</t>
        </is>
      </c>
      <c r="F1827" t="inlineStr">
        <is>
          <t>Hồ Chí Minh</t>
        </is>
      </c>
      <c r="G1827" t="inlineStr">
        <is>
          <t>Mới Tốt Nghiệp</t>
        </is>
      </c>
      <c r="H1827" t="inlineStr">
        <is>
          <t>09/02/2026</t>
        </is>
      </c>
      <c r="I1827" t="inlineStr">
        <is>
          <t>26/03/2026</t>
        </is>
      </c>
      <c r="J1827" t="inlineStr">
        <is>
          <t>17/03/2026</t>
        </is>
      </c>
      <c r="K1827" t="inlineStr">
        <is>
          <t>N/A</t>
        </is>
      </c>
      <c r="L1827" t="inlineStr">
        <is>
          <t>Marketing Strategy, Analytical thinking, Digital Marketing, English, MS Office</t>
        </is>
      </c>
      <c r="M1827" t="inlineStr">
        <is>
          <t>Bonus, Healthcare Plan, Paid Leave</t>
        </is>
      </c>
      <c r="N1827" s="8">
        <f>HYPERLINK("https://www.vietnamworks.com/marketing-executive-2010708-jv","Xem chi tiết")</f>
        <v/>
      </c>
    </row>
    <row r="1828">
      <c r="B1828" s="9" t="n">
        <v>1826</v>
      </c>
      <c r="C1828" s="10" t="inlineStr">
        <is>
          <t>R&amp;D Mechanical Engineer/ Senior Engineer/ Supervisor</t>
        </is>
      </c>
      <c r="D1828" s="10" t="inlineStr">
        <is>
          <t>Panasonic Appliances Vietnam</t>
        </is>
      </c>
      <c r="E1828" s="10" t="inlineStr">
        <is>
          <t>Thương lượng</t>
        </is>
      </c>
      <c r="F1828" s="10" t="inlineStr">
        <is>
          <t>Hưng Yên</t>
        </is>
      </c>
      <c r="G1828" s="10" t="inlineStr">
        <is>
          <t>Nhân viên</t>
        </is>
      </c>
      <c r="H1828" s="10" t="inlineStr">
        <is>
          <t>09/02/2026</t>
        </is>
      </c>
      <c r="I1828" s="10" t="inlineStr">
        <is>
          <t>26/03/2026</t>
        </is>
      </c>
      <c r="J1828" s="10" t="inlineStr">
        <is>
          <t>17/03/2026</t>
        </is>
      </c>
      <c r="K1828" s="10" t="inlineStr">
        <is>
          <t>N/A</t>
        </is>
      </c>
      <c r="L1828" s="10" t="inlineStr">
        <is>
          <t>Mechanical Design, 3D Software Knowledge, English Communicate, Japanese Communication, R&amp;D</t>
        </is>
      </c>
      <c r="M1828" s="10" t="inlineStr">
        <is>
          <t>Bonus, Healthcare Plan, Transportation</t>
        </is>
      </c>
      <c r="N1828" s="11">
        <f>HYPERLINK("https://www.vietnamworks.com/r-d-mechanical-engineer-senior-engineer-supervisor--2010710-jv","Xem chi tiết")</f>
        <v/>
      </c>
      <c r="O1828" s="10" t="n"/>
    </row>
    <row r="1829">
      <c r="B1829" s="7" t="n">
        <v>1827</v>
      </c>
      <c r="C1829" t="inlineStr">
        <is>
          <t>Network Engineer (Fresher)</t>
        </is>
      </c>
      <c r="D1829" t="inlineStr">
        <is>
          <t>KDDI Vietnam - HCM GNOC (Ho Chi Minh Global Network Operations Center)</t>
        </is>
      </c>
      <c r="E1829" t="inlineStr">
        <is>
          <t>$$ 450-500 /tháng</t>
        </is>
      </c>
      <c r="F1829" t="inlineStr">
        <is>
          <t>Hồ Chí Minh</t>
        </is>
      </c>
      <c r="G1829" t="inlineStr">
        <is>
          <t>Mới Tốt Nghiệp</t>
        </is>
      </c>
      <c r="H1829" t="inlineStr">
        <is>
          <t>09/02/2026</t>
        </is>
      </c>
      <c r="I1829" t="inlineStr">
        <is>
          <t>26/03/2026</t>
        </is>
      </c>
      <c r="J1829" t="inlineStr">
        <is>
          <t>17/03/2026</t>
        </is>
      </c>
      <c r="K1829" t="inlineStr">
        <is>
          <t>N/A</t>
        </is>
      </c>
      <c r="L1829" t="inlineStr">
        <is>
          <t>Network, Network Protocols, Technical Support, Network Development, English</t>
        </is>
      </c>
      <c r="M1829" t="inlineStr">
        <is>
          <t>Bonus, Healthcare Plan, Travel Opportunities</t>
        </is>
      </c>
      <c r="N1829" s="8">
        <f>HYPERLINK("https://www.vietnamworks.com/network-engineer-fresher--2010726-jv","Xem chi tiết")</f>
        <v/>
      </c>
    </row>
    <row r="1830">
      <c r="B1830" s="9" t="n">
        <v>1828</v>
      </c>
      <c r="C1830" s="10" t="inlineStr">
        <is>
          <t>HR – Talent Acquisition Assistant</t>
        </is>
      </c>
      <c r="D1830" s="10" t="inlineStr">
        <is>
          <t>Công Ty Liên Doanh Hữu Hạn Khách Sạn Chains Caravelle</t>
        </is>
      </c>
      <c r="E1830" s="10" t="inlineStr">
        <is>
          <t>$$ 600-800 /tháng</t>
        </is>
      </c>
      <c r="F1830" s="10" t="inlineStr">
        <is>
          <t>Hồ Chí Minh</t>
        </is>
      </c>
      <c r="G1830" s="10" t="inlineStr">
        <is>
          <t>Nhân viên</t>
        </is>
      </c>
      <c r="H1830" s="10" t="inlineStr">
        <is>
          <t>09/02/2026</t>
        </is>
      </c>
      <c r="I1830" s="10" t="inlineStr">
        <is>
          <t>26/03/2026</t>
        </is>
      </c>
      <c r="J1830" s="10" t="inlineStr">
        <is>
          <t>17/03/2026</t>
        </is>
      </c>
      <c r="K1830" s="10" t="inlineStr">
        <is>
          <t>N/A</t>
        </is>
      </c>
      <c r="L1830" s="10" t="inlineStr">
        <is>
          <t>Canva, Recruitment, Talent Acquisition, Video Editing, Administrative support &amp; coordination</t>
        </is>
      </c>
      <c r="M1830" s="10" t="inlineStr">
        <is>
          <t>Bonus, Healthcare Plan, Training, Awards, Laptop, Travel Opportunities, Team Activities</t>
        </is>
      </c>
      <c r="N1830" s="11">
        <f>HYPERLINK("https://www.vietnamworks.com/hr-talent-acquisition-assistant-2010724-jv","Xem chi tiết")</f>
        <v/>
      </c>
      <c r="O1830" s="10" t="n"/>
    </row>
    <row r="1831">
      <c r="B1831" s="7" t="n">
        <v>1829</v>
      </c>
      <c r="C1831" t="inlineStr">
        <is>
          <t>Admissions Manager - Trưởng Phòng Tuyển Sinh</t>
        </is>
      </c>
      <c r="D1831" t="inlineStr">
        <is>
          <t>Westlink International School</t>
        </is>
      </c>
      <c r="E1831" t="inlineStr">
        <is>
          <t>Thương lượng</t>
        </is>
      </c>
      <c r="F1831" t="inlineStr">
        <is>
          <t>Hà Nội</t>
        </is>
      </c>
      <c r="G1831" t="inlineStr">
        <is>
          <t>Trưởng phòng</t>
        </is>
      </c>
      <c r="H1831" t="inlineStr">
        <is>
          <t>09/02/2026</t>
        </is>
      </c>
      <c r="I1831" t="inlineStr">
        <is>
          <t>26/03/2026</t>
        </is>
      </c>
      <c r="J1831" t="inlineStr">
        <is>
          <t>17/03/2026</t>
        </is>
      </c>
      <c r="K1831" t="inlineStr">
        <is>
          <t>N/A</t>
        </is>
      </c>
      <c r="L1831" t="inlineStr">
        <is>
          <t>Student Recruiting, Admissions Process, Community Development, Education, English</t>
        </is>
      </c>
      <c r="M1831" t="inlineStr">
        <is>
          <t>Bonus, Healthcare Plan, Canteen, Others</t>
        </is>
      </c>
      <c r="N1831" s="8">
        <f>HYPERLINK("https://www.vietnamworks.com/admissions-manager-truong-phong-tuyen-sinh-2010730-jv","Xem chi tiết")</f>
        <v/>
      </c>
    </row>
    <row r="1832">
      <c r="B1832" s="9" t="n">
        <v>1830</v>
      </c>
      <c r="C1832" s="10" t="inlineStr">
        <is>
          <t>Quản Lý Khách Hàng Chiến Lược (KAM)</t>
        </is>
      </c>
      <c r="D1832" s="10" t="inlineStr">
        <is>
          <t>Hyphens Pharma Pte. Ltd.</t>
        </is>
      </c>
      <c r="E1832" s="10" t="inlineStr">
        <is>
          <t>Thương lượng</t>
        </is>
      </c>
      <c r="F1832" s="10" t="inlineStr">
        <is>
          <t>Hồ Chí Minh</t>
        </is>
      </c>
      <c r="G1832" s="10" t="inlineStr">
        <is>
          <t>Trưởng phòng</t>
        </is>
      </c>
      <c r="H1832" s="10" t="inlineStr">
        <is>
          <t>09/02/2026</t>
        </is>
      </c>
      <c r="I1832" s="10" t="inlineStr">
        <is>
          <t>26/03/2026</t>
        </is>
      </c>
      <c r="J1832" s="10" t="inlineStr">
        <is>
          <t>17/03/2026</t>
        </is>
      </c>
      <c r="K1832" s="10" t="inlineStr">
        <is>
          <t>N/A</t>
        </is>
      </c>
      <c r="L1832" s="10" t="inlineStr">
        <is>
          <t>B2B Development, B2B Sale, Quản Lý Khách Hàng, Phân Tích Thị Trường, Dược Phẩm</t>
        </is>
      </c>
      <c r="M1832" s="10" t="inlineStr">
        <is>
          <t>Bonus, Healthcare Plan, Training</t>
        </is>
      </c>
      <c r="N1832" s="11">
        <f>HYPERLINK("https://www.vietnamworks.com/quan-ly-khach-hang-chien-luoc-kam-2010735-jv","Xem chi tiết")</f>
        <v/>
      </c>
      <c r="O1832" s="10" t="n"/>
    </row>
    <row r="1833">
      <c r="B1833" s="7" t="n">
        <v>1831</v>
      </c>
      <c r="C1833" t="inlineStr">
        <is>
          <t>Product Development Engineering Staff (New Factory)</t>
        </is>
      </c>
      <c r="D1833" t="inlineStr">
        <is>
          <t>Công ty TNHH Panasonic Electric Works Việt Nam</t>
        </is>
      </c>
      <c r="E1833" t="inlineStr">
        <is>
          <t>Thương lượng</t>
        </is>
      </c>
      <c r="F1833" t="inlineStr">
        <is>
          <t>Hồ Chí Minh</t>
        </is>
      </c>
      <c r="G1833" t="inlineStr">
        <is>
          <t>Nhân viên</t>
        </is>
      </c>
      <c r="H1833" t="inlineStr">
        <is>
          <t>09/02/2026</t>
        </is>
      </c>
      <c r="I1833" t="inlineStr">
        <is>
          <t>26/03/2026</t>
        </is>
      </c>
      <c r="J1833" t="inlineStr">
        <is>
          <t>17/03/2026</t>
        </is>
      </c>
      <c r="K1833" t="inlineStr">
        <is>
          <t>N/A</t>
        </is>
      </c>
      <c r="L1833" t="inlineStr">
        <is>
          <t>Adobe Illustrator, Communication Skills, Electrical Engineering, Microsoft Office, SolidWorks</t>
        </is>
      </c>
      <c r="M1833" t="inlineStr">
        <is>
          <t>Bonus, Healthcare Plan, Paid Leave, Training, Team Activities</t>
        </is>
      </c>
      <c r="N1833" s="8">
        <f>HYPERLINK("https://www.vietnamworks.com/product-development-engineering-staff-new-factory-2010717-jv","Xem chi tiết")</f>
        <v/>
      </c>
    </row>
    <row r="1834">
      <c r="B1834" s="9" t="n">
        <v>1832</v>
      </c>
      <c r="C1834" s="10" t="inlineStr">
        <is>
          <t>Key Account &amp; Business Development Specialist (Modern On-trade Channel)</t>
        </is>
      </c>
      <c r="D1834" s="10" t="inlineStr">
        <is>
          <t>Công Ty Cổ Phần Sữa Việt Nam (Vinamilk)</t>
        </is>
      </c>
      <c r="E1834" s="10" t="inlineStr">
        <is>
          <t>Thương lượng</t>
        </is>
      </c>
      <c r="F1834" s="10" t="inlineStr">
        <is>
          <t>Hồ Chí Minh</t>
        </is>
      </c>
      <c r="G1834" s="10" t="inlineStr">
        <is>
          <t>Nhân viên</t>
        </is>
      </c>
      <c r="H1834" s="10" t="inlineStr">
        <is>
          <t>09/02/2026</t>
        </is>
      </c>
      <c r="I1834" s="10" t="inlineStr">
        <is>
          <t>26/03/2026</t>
        </is>
      </c>
      <c r="J1834" s="10" t="inlineStr">
        <is>
          <t>17/03/2026</t>
        </is>
      </c>
      <c r="K1834" s="10" t="inlineStr">
        <is>
          <t>N/A</t>
        </is>
      </c>
      <c r="L1834" s="10" t="inlineStr">
        <is>
          <t>Bán Hàng Thực Phẩm, Kỹ năng giao tiếp, Lập Kế Hoạch, Trade Marketing, Quản Lý Key Account</t>
        </is>
      </c>
      <c r="M1834" s="10" t="inlineStr">
        <is>
          <t>Bonus, Vouchers</t>
        </is>
      </c>
      <c r="N1834" s="11">
        <f>HYPERLINK("https://www.vietnamworks.com/key-account-and-business-development-specialist-modern-on-trade-channel-2010739-jv","Xem chi tiết")</f>
        <v/>
      </c>
      <c r="O1834" s="10" t="n"/>
    </row>
    <row r="1835">
      <c r="B1835" s="7" t="n">
        <v>1833</v>
      </c>
      <c r="C1835" t="inlineStr">
        <is>
          <t>Việc Làm Tiếng Nhật N3 + Tiếng Anh (Nhân Viên Quản Lý Đơn Hàng)</t>
        </is>
      </c>
      <c r="D1835" t="inlineStr">
        <is>
          <t>KDDI Vietnam - HCM GNOC (Ho Chi Minh Global Network Operations Center)</t>
        </is>
      </c>
      <c r="E1835" t="inlineStr">
        <is>
          <t>$$ 400-450 /tháng</t>
        </is>
      </c>
      <c r="F1835" t="inlineStr">
        <is>
          <t>Hồ Chí Minh</t>
        </is>
      </c>
      <c r="G1835" t="inlineStr">
        <is>
          <t>Mới Tốt Nghiệp</t>
        </is>
      </c>
      <c r="H1835" t="inlineStr">
        <is>
          <t>09/02/2026</t>
        </is>
      </c>
      <c r="I1835" t="inlineStr">
        <is>
          <t>26/03/2026</t>
        </is>
      </c>
      <c r="J1835" t="inlineStr">
        <is>
          <t>17/03/2026</t>
        </is>
      </c>
      <c r="K1835" t="inlineStr">
        <is>
          <t>N/A</t>
        </is>
      </c>
      <c r="L1835" t="inlineStr">
        <is>
          <t>English, Service Quality Management, Customer Support, Staff Coordination, Order Management</t>
        </is>
      </c>
      <c r="M1835" t="inlineStr">
        <is>
          <t>Bonus, Healthcare Plan, Travel Opportunities</t>
        </is>
      </c>
      <c r="N1835" s="8">
        <f>HYPERLINK("https://www.vietnamworks.com/viec-lam-tieng-nhat-n3-tieng-anh-nhan-vien-quan-ly-don-hang--2010727-jv","Xem chi tiết")</f>
        <v/>
      </c>
    </row>
    <row r="1836">
      <c r="B1836" s="9" t="n">
        <v>1834</v>
      </c>
      <c r="C1836" s="10" t="inlineStr">
        <is>
          <t>Chuyên Viên Ban Bảo Hiểm Hàng Hải</t>
        </is>
      </c>
      <c r="D1836" s="10" t="inlineStr">
        <is>
          <t>Tổng Công Ty Bảo Hiểm Bảo Việt</t>
        </is>
      </c>
      <c r="E1836" s="10" t="inlineStr">
        <is>
          <t>Thương lượng</t>
        </is>
      </c>
      <c r="F1836" s="10" t="inlineStr">
        <is>
          <t>Hà Nội</t>
        </is>
      </c>
      <c r="G1836" s="10" t="inlineStr">
        <is>
          <t>Nhân viên</t>
        </is>
      </c>
      <c r="H1836" s="10" t="inlineStr">
        <is>
          <t>09/02/2026</t>
        </is>
      </c>
      <c r="I1836" s="10" t="inlineStr">
        <is>
          <t>26/03/2026</t>
        </is>
      </c>
      <c r="J1836" s="10" t="inlineStr">
        <is>
          <t>17/03/2026</t>
        </is>
      </c>
      <c r="K1836" s="10" t="inlineStr">
        <is>
          <t>N/A</t>
        </is>
      </c>
      <c r="L1836" s="10" t="inlineStr">
        <is>
          <t>Hàng Hải, Power BI, Quản Lý Tái Bảo Hiểm, Soạn Thảo Hợp Đồng, Đánh Giá Rủi Ro</t>
        </is>
      </c>
      <c r="M1836" s="10" t="inlineStr">
        <is>
          <t>Bonus, Healthcare Plan, Others</t>
        </is>
      </c>
      <c r="N1836" s="11">
        <f>HYPERLINK("https://www.vietnamworks.com/chuyen-vien-ban-bao-hiem-hang-hai-2010737-jv","Xem chi tiết")</f>
        <v/>
      </c>
      <c r="O1836" s="10" t="n"/>
    </row>
    <row r="1837">
      <c r="B1837" s="7" t="n">
        <v>1835</v>
      </c>
      <c r="C1837" t="inlineStr">
        <is>
          <t>Nhân Viên Thiết Kế</t>
        </is>
      </c>
      <c r="D1837" t="inlineStr">
        <is>
          <t>Doanh nghiệp chế xuất Nitori Việt Nam - CN Hồ Chí Minh</t>
        </is>
      </c>
      <c r="E1837" t="inlineStr">
        <is>
          <t>Thương lượng</t>
        </is>
      </c>
      <c r="F1837" t="inlineStr">
        <is>
          <t>Bà Rịa - Vũng Tàu</t>
        </is>
      </c>
      <c r="G1837" t="inlineStr">
        <is>
          <t>Mới Tốt Nghiệp</t>
        </is>
      </c>
      <c r="H1837" t="inlineStr">
        <is>
          <t>09/02/2026</t>
        </is>
      </c>
      <c r="I1837" t="inlineStr">
        <is>
          <t>26/03/2026</t>
        </is>
      </c>
      <c r="J1837" t="inlineStr">
        <is>
          <t>17/03/2026</t>
        </is>
      </c>
      <c r="K1837" t="inlineStr">
        <is>
          <t>N/A</t>
        </is>
      </c>
      <c r="L1837" t="inlineStr">
        <is>
          <t>AutoCAD 2D, Simulation Solidworks, Mechanical Engineering, Automation, Thiết Kế Kỹ Thuật</t>
        </is>
      </c>
      <c r="M1837" t="inlineStr">
        <is>
          <t>Bonus, Healthcare Plan, Paid Leave, Transportation, Canteen, Others</t>
        </is>
      </c>
      <c r="N1837" s="8">
        <f>HYPERLINK("https://www.vietnamworks.com/nhan-vien-thiet-ke-2010723-jv","Xem chi tiết")</f>
        <v/>
      </c>
    </row>
    <row r="1838">
      <c r="B1838" s="9" t="n">
        <v>1836</v>
      </c>
      <c r="C1838" s="10" t="inlineStr">
        <is>
          <t>Trưởng Bộ Phận Phê Duyệt Tín Dụng</t>
        </is>
      </c>
      <c r="D1838" s="10" t="inlineStr">
        <is>
          <t>FE CREDIT</t>
        </is>
      </c>
      <c r="E1838" s="10" t="inlineStr">
        <is>
          <t>Thương lượng</t>
        </is>
      </c>
      <c r="F1838" s="10" t="inlineStr">
        <is>
          <t>Hồ Chí Minh</t>
        </is>
      </c>
      <c r="G1838" s="10" t="inlineStr">
        <is>
          <t>Trưởng phòng</t>
        </is>
      </c>
      <c r="H1838" s="10" t="inlineStr">
        <is>
          <t>09/02/2026</t>
        </is>
      </c>
      <c r="I1838" s="10" t="inlineStr">
        <is>
          <t>26/03/2026</t>
        </is>
      </c>
      <c r="J1838" s="10" t="inlineStr">
        <is>
          <t>17/03/2026</t>
        </is>
      </c>
      <c r="K1838" s="10" t="inlineStr">
        <is>
          <t>N/A</t>
        </is>
      </c>
      <c r="L1838" s="10" t="inlineStr">
        <is>
          <t>Credit Underwriting, Credit Approval Control, Credit Policy, Risk Compliance</t>
        </is>
      </c>
      <c r="M1838" s="10" t="inlineStr">
        <is>
          <t>Bonus, Healthcare Plan</t>
        </is>
      </c>
      <c r="N1838" s="11">
        <f>HYPERLINK("https://www.vietnamworks.com/truong-bo-phan-phe-duyet-tin-dung--2010731-jv","Xem chi tiết")</f>
        <v/>
      </c>
      <c r="O1838" s="10" t="n"/>
    </row>
    <row r="1839">
      <c r="B1839" s="7" t="n">
        <v>1837</v>
      </c>
      <c r="C1839" t="inlineStr">
        <is>
          <t>[HCM] Retail Store Manager</t>
        </is>
      </c>
      <c r="D1839" t="inlineStr">
        <is>
          <t>CÔNG TY TNHH SEMIR INTERNATIONAL VIỆT NAM</t>
        </is>
      </c>
      <c r="E1839" t="inlineStr">
        <is>
          <t>Thương lượng</t>
        </is>
      </c>
      <c r="F1839" t="inlineStr">
        <is>
          <t>Hồ Chí Minh</t>
        </is>
      </c>
      <c r="G1839" t="inlineStr">
        <is>
          <t>Trưởng phòng</t>
        </is>
      </c>
      <c r="H1839" t="inlineStr">
        <is>
          <t>09/02/2026</t>
        </is>
      </c>
      <c r="I1839" t="inlineStr">
        <is>
          <t>26/03/2026</t>
        </is>
      </c>
      <c r="J1839" t="inlineStr">
        <is>
          <t>17/03/2026</t>
        </is>
      </c>
      <c r="K1839" t="inlineStr">
        <is>
          <t>N/A</t>
        </is>
      </c>
      <c r="L1839" t="inlineStr">
        <is>
          <t>Giao Tiếp Tiếng Anh, Phần mềm văn phòng, Quản Lý Bán Hàng, Thời Trang, Tư Duy Logics</t>
        </is>
      </c>
      <c r="M1839" t="inlineStr">
        <is>
          <t>Bonus, Healthcare Plan, Paid Leave, Training, Laptop, Travel Opportunities, Others</t>
        </is>
      </c>
      <c r="N1839" s="8">
        <f>HYPERLINK("https://www.vietnamworks.com/hcm-retail-store-manager-2010729-jv","Xem chi tiết")</f>
        <v/>
      </c>
    </row>
    <row r="1840">
      <c r="B1840" s="9" t="n">
        <v>1838</v>
      </c>
      <c r="C1840" s="10" t="inlineStr">
        <is>
          <t>Chuyên Viên Cao Cấp Dự Toán Xây Dựng</t>
        </is>
      </c>
      <c r="D1840" s="10" t="inlineStr">
        <is>
          <t>Công Ty Cổ Phần Tập Đoàn Sunshine</t>
        </is>
      </c>
      <c r="E1840" s="10" t="inlineStr">
        <is>
          <t>Thương lượng</t>
        </is>
      </c>
      <c r="F1840" s="10" t="inlineStr">
        <is>
          <t>Hà Nội</t>
        </is>
      </c>
      <c r="G1840" s="10" t="inlineStr">
        <is>
          <t>Nhân viên</t>
        </is>
      </c>
      <c r="H1840" s="10" t="inlineStr">
        <is>
          <t>09/02/2026</t>
        </is>
      </c>
      <c r="I1840" s="10" t="inlineStr">
        <is>
          <t>26/03/2026</t>
        </is>
      </c>
      <c r="J1840" s="10" t="inlineStr">
        <is>
          <t>17/03/2026</t>
        </is>
      </c>
      <c r="K1840" s="10" t="inlineStr">
        <is>
          <t>N/A</t>
        </is>
      </c>
      <c r="L1840" s="10" t="inlineStr">
        <is>
          <t>Kinh Tế Xây Dựng, Quản Lý Dự Án, Lập Dự Toán, Tin Học Văn Phòng, Kỹ năng giao tiêp</t>
        </is>
      </c>
      <c r="M1840" s="10" t="inlineStr">
        <is>
          <t>Bonus, Healthcare Plan, Paid Leave, Training, Others</t>
        </is>
      </c>
      <c r="N1840" s="11">
        <f>HYPERLINK("https://www.vietnamworks.com/chuyen-vien-cao-cap-du-toan-xay-dung-2010736-jv","Xem chi tiết")</f>
        <v/>
      </c>
      <c r="O1840" s="10" t="n"/>
    </row>
    <row r="1841">
      <c r="B1841" s="7" t="n">
        <v>1839</v>
      </c>
      <c r="C1841" t="inlineStr">
        <is>
          <t>Chuyên Viên Ban Kiểm Toán Nội Bộ (Trụ Sở Chính VBI)</t>
        </is>
      </c>
      <c r="D1841" t="inlineStr">
        <is>
          <t>Bảo hiểm VietinBank (VBI)</t>
        </is>
      </c>
      <c r="E1841" t="inlineStr">
        <is>
          <t>Thương lượng</t>
        </is>
      </c>
      <c r="F1841" t="inlineStr">
        <is>
          <t>Hà Nội</t>
        </is>
      </c>
      <c r="G1841" t="inlineStr">
        <is>
          <t>Nhân viên</t>
        </is>
      </c>
      <c r="H1841" t="inlineStr">
        <is>
          <t>09/02/2026</t>
        </is>
      </c>
      <c r="I1841" t="inlineStr">
        <is>
          <t>26/03/2026</t>
        </is>
      </c>
      <c r="J1841" t="inlineStr">
        <is>
          <t>17/03/2026</t>
        </is>
      </c>
      <c r="K1841" t="inlineStr">
        <is>
          <t>N/A</t>
        </is>
      </c>
      <c r="L1841" t="inlineStr">
        <is>
          <t>Kiểm Toán, Bảo Hiểm Phi Nhân Thọ, Internal Audit, Kiểm Toán Nội Bộ, Thuyết Phục Đàm Phán</t>
        </is>
      </c>
      <c r="M1841" t="inlineStr">
        <is>
          <t>Bonus, Healthcare Plan, Paid Leave, Training, Laptop, Travel Opportunities, Others</t>
        </is>
      </c>
      <c r="N1841" s="8">
        <f>HYPERLINK("https://www.vietnamworks.com/chuyen-vien-ban-kiem-toan-noi-bo-tru-so-chinh-vbi-2010742-jv","Xem chi tiết")</f>
        <v/>
      </c>
    </row>
    <row r="1842">
      <c r="B1842" s="9" t="n">
        <v>1840</v>
      </c>
      <c r="C1842" s="10" t="inlineStr">
        <is>
          <t>Chủ trì Thiết kế kiến trúc - A79</t>
        </is>
      </c>
      <c r="D1842" s="10" t="inlineStr">
        <is>
          <t>Alphanam Group</t>
        </is>
      </c>
      <c r="E1842" s="10" t="inlineStr">
        <is>
          <t>30tr-40tr ₫/tháng</t>
        </is>
      </c>
      <c r="F1842" s="10" t="inlineStr">
        <is>
          <t>Hà Nội</t>
        </is>
      </c>
      <c r="G1842" s="10" t="inlineStr">
        <is>
          <t>Nhân viên</t>
        </is>
      </c>
      <c r="H1842" s="10" t="inlineStr">
        <is>
          <t>09/02/2026</t>
        </is>
      </c>
      <c r="I1842" s="10" t="inlineStr">
        <is>
          <t>26/03/2026</t>
        </is>
      </c>
      <c r="J1842" s="10" t="inlineStr">
        <is>
          <t>17/03/2026</t>
        </is>
      </c>
      <c r="K1842" s="10" t="inlineStr">
        <is>
          <t>N/A</t>
        </is>
      </c>
      <c r="L1842" s="10" t="inlineStr">
        <is>
          <t>Giám Sát Thiết Kế, Giao Tiếp Tiếng Anh, Lập Trình Revit, Quản Lý Thiết Kế Kết Cấu, Thiết Kế Kiến Trúc</t>
        </is>
      </c>
      <c r="M1842" s="10" t="inlineStr">
        <is>
          <t>Bonus, Healthcare Plan, Paid Leave, Training, Vouchers</t>
        </is>
      </c>
      <c r="N1842" s="11">
        <f>HYPERLINK("https://www.vietnamworks.com/chu-tri-thiet-ke-kien-truc-a79-2010740-jv","Xem chi tiết")</f>
        <v/>
      </c>
      <c r="O1842" s="10" t="n"/>
    </row>
    <row r="1843">
      <c r="B1843" s="7" t="n">
        <v>1841</v>
      </c>
      <c r="C1843" t="inlineStr">
        <is>
          <t>Kế Toán Trưởng - Công Ty Tài Chính</t>
        </is>
      </c>
      <c r="D1843" t="inlineStr">
        <is>
          <t>Tập Đoàn APEC (APEC GROUP)</t>
        </is>
      </c>
      <c r="E1843" t="inlineStr">
        <is>
          <t>Tới $ 1,000 /tháng</t>
        </is>
      </c>
      <c r="F1843" t="inlineStr">
        <is>
          <t>Hà Nội</t>
        </is>
      </c>
      <c r="G1843" t="inlineStr">
        <is>
          <t>Nhân viên</t>
        </is>
      </c>
      <c r="H1843" t="inlineStr">
        <is>
          <t>09/02/2026</t>
        </is>
      </c>
      <c r="I1843" t="inlineStr">
        <is>
          <t>26/03/2026</t>
        </is>
      </c>
      <c r="J1843" t="inlineStr">
        <is>
          <t>17/03/2026</t>
        </is>
      </c>
      <c r="K1843" t="inlineStr">
        <is>
          <t>N/A</t>
        </is>
      </c>
      <c r="L1843" t="inlineStr">
        <is>
          <t>Kế Toán Tổng Hợp, Kế Toán Trưởng, Chief Accountant, Quản Lý Kế Toán, Financial Management</t>
        </is>
      </c>
      <c r="M1843" t="inlineStr">
        <is>
          <t>Bonus, Travel Opportunities, Others</t>
        </is>
      </c>
      <c r="N1843" s="8">
        <f>HYPERLINK("https://www.vietnamworks.com/ke-toan-truong-cong-ty-tai-chinh-2010743-jv","Xem chi tiết")</f>
        <v/>
      </c>
    </row>
    <row r="1844">
      <c r="B1844" s="9" t="n">
        <v>1842</v>
      </c>
      <c r="C1844" s="10" t="inlineStr">
        <is>
          <t>Accountant Staff</t>
        </is>
      </c>
      <c r="D1844" s="10" t="inlineStr">
        <is>
          <t>HGLV (Hanjin Global Logistics Vietnam Co., Ltd)</t>
        </is>
      </c>
      <c r="E1844" s="10" t="inlineStr">
        <is>
          <t>Thương lượng</t>
        </is>
      </c>
      <c r="F1844" s="10" t="inlineStr">
        <is>
          <t>Hồ Chí Minh</t>
        </is>
      </c>
      <c r="G1844" s="10" t="inlineStr">
        <is>
          <t>Nhân viên</t>
        </is>
      </c>
      <c r="H1844" s="10" t="inlineStr">
        <is>
          <t>09/02/2026</t>
        </is>
      </c>
      <c r="I1844" s="10" t="inlineStr">
        <is>
          <t>26/03/2026</t>
        </is>
      </c>
      <c r="J1844" s="10" t="inlineStr">
        <is>
          <t>17/03/2026</t>
        </is>
      </c>
      <c r="K1844" s="10" t="inlineStr">
        <is>
          <t>N/A</t>
        </is>
      </c>
      <c r="L1844" s="10" t="inlineStr">
        <is>
          <t>Finance, Accounting Software, Accounting knowledge, E-Invoice, Transactional Banking</t>
        </is>
      </c>
      <c r="M1844" s="10" t="inlineStr">
        <is>
          <t>Bonus, Healthcare Plan, Others</t>
        </is>
      </c>
      <c r="N1844" s="11">
        <f>HYPERLINK("https://www.vietnamworks.com/accountant-staff-2010755-jv","Xem chi tiết")</f>
        <v/>
      </c>
      <c r="O1844" s="10" t="n"/>
    </row>
    <row r="1845">
      <c r="B1845" s="7" t="n">
        <v>1843</v>
      </c>
      <c r="C1845" t="inlineStr">
        <is>
          <t>HR cum Admin Staff</t>
        </is>
      </c>
      <c r="D1845" t="inlineStr">
        <is>
          <t>CÔNG TY TNHH VẬT LIỆU SÁNG TẠO PHÚ MỸ</t>
        </is>
      </c>
      <c r="E1845" t="inlineStr">
        <is>
          <t>Thương lượng</t>
        </is>
      </c>
      <c r="F1845" t="inlineStr">
        <is>
          <t>Bà Rịa - Vũng Tàu</t>
        </is>
      </c>
      <c r="G1845" t="inlineStr">
        <is>
          <t>Nhân viên</t>
        </is>
      </c>
      <c r="H1845" t="inlineStr">
        <is>
          <t>09/02/2026</t>
        </is>
      </c>
      <c r="I1845" t="inlineStr">
        <is>
          <t>26/03/2026</t>
        </is>
      </c>
      <c r="J1845" t="inlineStr">
        <is>
          <t>17/03/2026</t>
        </is>
      </c>
      <c r="K1845" t="inlineStr">
        <is>
          <t>N/A</t>
        </is>
      </c>
      <c r="L1845" t="inlineStr">
        <is>
          <t>Hành Chính Nhân Sự, Admin, HR &amp; Admin, Hành Chính Tuyển Dụng, Tổng Vụ</t>
        </is>
      </c>
      <c r="M1845" t="inlineStr">
        <is>
          <t>Bonus, Laptop, Others</t>
        </is>
      </c>
      <c r="N1845" s="8">
        <f>HYPERLINK("https://www.vietnamworks.com/hr-cum-admin-staff--2010744-jv","Xem chi tiết")</f>
        <v/>
      </c>
    </row>
    <row r="1846">
      <c r="B1846" s="9" t="n">
        <v>1844</v>
      </c>
      <c r="C1846" s="10" t="inlineStr">
        <is>
          <t>Office Admin Staff/ Nhân Viên Hành Chính</t>
        </is>
      </c>
      <c r="D1846" s="10" t="inlineStr">
        <is>
          <t>KEYENCE CORPORATION</t>
        </is>
      </c>
      <c r="E1846" s="10" t="inlineStr">
        <is>
          <t>15tr-20tr ₫/tháng</t>
        </is>
      </c>
      <c r="F1846" s="10" t="inlineStr">
        <is>
          <t>Hà Nội</t>
        </is>
      </c>
      <c r="G1846" s="10" t="inlineStr">
        <is>
          <t>Nhân viên</t>
        </is>
      </c>
      <c r="H1846" s="10" t="inlineStr">
        <is>
          <t>09/02/2026</t>
        </is>
      </c>
      <c r="I1846" s="10" t="inlineStr">
        <is>
          <t>26/03/2026</t>
        </is>
      </c>
      <c r="J1846" s="10" t="inlineStr">
        <is>
          <t>17/03/2026</t>
        </is>
      </c>
      <c r="K1846" s="10" t="inlineStr">
        <is>
          <t>N/A</t>
        </is>
      </c>
      <c r="L1846" s="10" t="inlineStr">
        <is>
          <t>Administrative Support, Communication Skills, Computer Skills, Office Administration, Teamwork</t>
        </is>
      </c>
      <c r="M1846" s="10" t="inlineStr">
        <is>
          <t>Healthcare Plan, Paid Leave, Laptop, Others</t>
        </is>
      </c>
      <c r="N1846" s="11">
        <f>HYPERLINK("https://www.vietnamworks.com/office-admin-staff-nhan-vien-hanh-chinh-2010746-jv","Xem chi tiết")</f>
        <v/>
      </c>
      <c r="O1846" s="10" t="n"/>
    </row>
    <row r="1847">
      <c r="B1847" s="7" t="n">
        <v>1845</v>
      </c>
      <c r="C1847" t="inlineStr">
        <is>
          <t>Chuyên viên mua hàng và khai báo hải quan</t>
        </is>
      </c>
      <c r="D1847" t="inlineStr">
        <is>
          <t>JINRO SOJU Vietnam Co.,ltd</t>
        </is>
      </c>
      <c r="E1847" t="inlineStr">
        <is>
          <t>Thương lượng</t>
        </is>
      </c>
      <c r="F1847" t="inlineStr">
        <is>
          <t>Thái Bình</t>
        </is>
      </c>
      <c r="G1847" t="inlineStr">
        <is>
          <t>Nhân viên</t>
        </is>
      </c>
      <c r="H1847" t="inlineStr">
        <is>
          <t>09/02/2026</t>
        </is>
      </c>
      <c r="I1847" t="inlineStr">
        <is>
          <t>26/03/2026</t>
        </is>
      </c>
      <c r="J1847" t="inlineStr">
        <is>
          <t>17/03/2026</t>
        </is>
      </c>
      <c r="K1847" t="inlineStr">
        <is>
          <t>N/A</t>
        </is>
      </c>
      <c r="L1847" t="inlineStr">
        <is>
          <t>Hợp Đồng Xuất Nhập Khẩu, Mua hàng F&amp;B</t>
        </is>
      </c>
      <c r="M1847" t="inlineStr">
        <is>
          <t>Bonus, Laptop, Team Activities, Canteen</t>
        </is>
      </c>
      <c r="N1847" s="8">
        <f>HYPERLINK("https://www.vietnamworks.com/chuyen-vien-mua-hang-va-khai-bao-hai-quan-2010750-jv","Xem chi tiết")</f>
        <v/>
      </c>
    </row>
    <row r="1848">
      <c r="B1848" s="9" t="n">
        <v>1846</v>
      </c>
      <c r="C1848" s="10" t="inlineStr">
        <is>
          <t>[Gấp] Facility Control Staff / Nhân Viên Quản Lý Cơ Sở Vật Chất (Mức Lương Upto 20 Triệu, Tiếng Anh Tốt)</t>
        </is>
      </c>
      <c r="D1848" s="10" t="inlineStr">
        <is>
          <t>NIKKISO VIETNAM, INC.</t>
        </is>
      </c>
      <c r="E1848" s="10" t="inlineStr">
        <is>
          <t>Tới 20tr ₫/tháng</t>
        </is>
      </c>
      <c r="F1848" s="10" t="inlineStr">
        <is>
          <t>Hưng Yên, Hà Nội, Hải Dương</t>
        </is>
      </c>
      <c r="G1848" s="10" t="inlineStr">
        <is>
          <t>Nhân viên</t>
        </is>
      </c>
      <c r="H1848" s="10" t="inlineStr">
        <is>
          <t>09/02/2026</t>
        </is>
      </c>
      <c r="I1848" s="10" t="inlineStr">
        <is>
          <t>26/03/2026</t>
        </is>
      </c>
      <c r="J1848" s="10" t="inlineStr">
        <is>
          <t>17/03/2026</t>
        </is>
      </c>
      <c r="K1848" s="10" t="inlineStr">
        <is>
          <t>N/A</t>
        </is>
      </c>
      <c r="L1848" s="10" t="inlineStr">
        <is>
          <t>Technical Drawing, Maintenance Planning, Repairing Equipment, Electrical Mechanical Checking, Manufacturing</t>
        </is>
      </c>
      <c r="M1848" s="10" t="inlineStr">
        <is>
          <t>Bonus, Healthcare Plan, Training</t>
        </is>
      </c>
      <c r="N1848" s="11">
        <f>HYPERLINK("https://www.vietnamworks.com/gap-facility-control-staff-nhan-vien-quan-ly-co-so-vat-chat-muc-luong-upto-20-trieu-tieng-anh-tot--2010757-jv","Xem chi tiết")</f>
        <v/>
      </c>
      <c r="O1848" s="10" t="n"/>
    </row>
    <row r="1849">
      <c r="B1849" s="7" t="n">
        <v>1847</v>
      </c>
      <c r="C1849" t="inlineStr">
        <is>
          <t>HR Intern</t>
        </is>
      </c>
      <c r="D1849" t="inlineStr">
        <is>
          <t>Vietnamworks' Client</t>
        </is>
      </c>
      <c r="E1849" t="inlineStr">
        <is>
          <t>$$ 150-170 /tháng</t>
        </is>
      </c>
      <c r="F1849" t="inlineStr">
        <is>
          <t>Hồ Chí Minh</t>
        </is>
      </c>
      <c r="G1849" t="inlineStr">
        <is>
          <t>Thực tập sinh/Sinh viên</t>
        </is>
      </c>
      <c r="H1849" t="inlineStr">
        <is>
          <t>09/02/2026</t>
        </is>
      </c>
      <c r="I1849" t="inlineStr">
        <is>
          <t>26/03/2026</t>
        </is>
      </c>
      <c r="J1849" t="inlineStr">
        <is>
          <t>17/03/2026</t>
        </is>
      </c>
      <c r="K1849" t="inlineStr">
        <is>
          <t>N/A</t>
        </is>
      </c>
      <c r="L1849" t="inlineStr">
        <is>
          <t>Human Resources, Recruitment, Administrative, C&amp;B, Intern</t>
        </is>
      </c>
      <c r="M1849" t="inlineStr">
        <is>
          <t>Laptop</t>
        </is>
      </c>
      <c r="N1849" s="8">
        <f>HYPERLINK("https://www.vietnamworks.com/hr-intern--2010747-jv","Xem chi tiết")</f>
        <v/>
      </c>
    </row>
    <row r="1850">
      <c r="B1850" s="9" t="n">
        <v>1848</v>
      </c>
      <c r="C1850" s="10" t="inlineStr">
        <is>
          <t>Nhân Viên Vận Hành Máy - Hưng Yên</t>
        </is>
      </c>
      <c r="D1850" s="10" t="inlineStr">
        <is>
          <t>La Vie Limited Liability Company</t>
        </is>
      </c>
      <c r="E1850" s="10" t="inlineStr">
        <is>
          <t>Thương lượng</t>
        </is>
      </c>
      <c r="F1850" s="10" t="inlineStr">
        <is>
          <t>Hưng Yên</t>
        </is>
      </c>
      <c r="G1850" s="10" t="inlineStr">
        <is>
          <t>Mới Tốt Nghiệp</t>
        </is>
      </c>
      <c r="H1850" s="10" t="inlineStr">
        <is>
          <t>09/02/2026</t>
        </is>
      </c>
      <c r="I1850" s="10" t="inlineStr">
        <is>
          <t>26/03/2026</t>
        </is>
      </c>
      <c r="J1850" s="10" t="inlineStr">
        <is>
          <t>17/03/2026</t>
        </is>
      </c>
      <c r="K1850" s="10" t="inlineStr">
        <is>
          <t>N/A</t>
        </is>
      </c>
      <c r="L1850" s="10" t="inlineStr">
        <is>
          <t>Tự Động Hóa, Vận Hành Máy Móc, Điện, Vận Hành Thiết Bị, Cơ Khí</t>
        </is>
      </c>
      <c r="M1850" s="10" t="inlineStr">
        <is>
          <t>Bonus, Healthcare Plan, Training</t>
        </is>
      </c>
      <c r="N1850" s="11">
        <f>HYPERLINK("https://www.vietnamworks.com/nhan-vien-van-hanh-may-hung-yen--2010749-jv","Xem chi tiết")</f>
        <v/>
      </c>
      <c r="O1850" s="10" t="n"/>
    </row>
    <row r="1851">
      <c r="B1851" s="7" t="n">
        <v>1849</v>
      </c>
      <c r="C1851" t="inlineStr">
        <is>
          <t>Tuyển Gấp Kỹ Thuật Viên Khúc Xạ (Lương Từ 10Tr-17Tr)</t>
        </is>
      </c>
      <c r="D1851" t="inlineStr">
        <is>
          <t>Công Ty TNHH Paris Miki Việt Nam</t>
        </is>
      </c>
      <c r="E1851" t="inlineStr">
        <is>
          <t>12tr-17tr ₫/tháng</t>
        </is>
      </c>
      <c r="F1851" t="inlineStr">
        <is>
          <t>Hà Nội</t>
        </is>
      </c>
      <c r="G1851" t="inlineStr">
        <is>
          <t>Nhân viên</t>
        </is>
      </c>
      <c r="H1851" t="inlineStr">
        <is>
          <t>09/02/2026</t>
        </is>
      </c>
      <c r="I1851" t="inlineStr">
        <is>
          <t>26/03/2026</t>
        </is>
      </c>
      <c r="J1851" t="inlineStr">
        <is>
          <t>17/03/2026</t>
        </is>
      </c>
      <c r="K1851" t="inlineStr">
        <is>
          <t>N/A</t>
        </is>
      </c>
      <c r="L1851" t="inlineStr">
        <is>
          <t>Giao Tiếp Tiếng Anh, Khúc xạ nhãn khoa, Khám Mắt, Chăm Sóc Sức Khỏe, Khám Khúc Xạ</t>
        </is>
      </c>
      <c r="M1851" t="inlineStr">
        <is>
          <t>Bonus, Healthcare Plan, Paid Leave, Training, Awards, Travel Opportunities, Team Activities, Vouchers</t>
        </is>
      </c>
      <c r="N1851" s="8">
        <f>HYPERLINK("https://www.vietnamworks.com/tuyen-gap-ky-thuat-vien-khuc-xa-luong-tu-10tr-17tr-2010752-jv","Xem chi tiết")</f>
        <v/>
      </c>
    </row>
    <row r="1852">
      <c r="B1852" s="9" t="n">
        <v>1850</v>
      </c>
      <c r="C1852" s="10" t="inlineStr">
        <is>
          <t>Quản Trị Viên Sản Phẩm</t>
        </is>
      </c>
      <c r="D1852" s="10" t="inlineStr">
        <is>
          <t>Hanesbrands Inc. (HY Plant)</t>
        </is>
      </c>
      <c r="E1852" s="10" t="inlineStr">
        <is>
          <t>Thương lượng</t>
        </is>
      </c>
      <c r="F1852" s="10" t="inlineStr">
        <is>
          <t>Hưng Yên, Hà Nội</t>
        </is>
      </c>
      <c r="G1852" s="10" t="inlineStr">
        <is>
          <t>Nhân viên</t>
        </is>
      </c>
      <c r="H1852" s="10" t="inlineStr">
        <is>
          <t>09/02/2026</t>
        </is>
      </c>
      <c r="I1852" s="10" t="inlineStr">
        <is>
          <t>26/03/2026</t>
        </is>
      </c>
      <c r="J1852" s="10" t="inlineStr">
        <is>
          <t>17/03/2026</t>
        </is>
      </c>
      <c r="K1852" s="10" t="inlineStr">
        <is>
          <t>N/A</t>
        </is>
      </c>
      <c r="L1852" s="10" t="inlineStr">
        <is>
          <t>Merchandising, Phân Tích Dữ Liệu, Quản Lý Dữ Liệu, Quản Lý Đơn Hàng, Quản Lý Đơn Hàng May Mặc</t>
        </is>
      </c>
      <c r="M1852" s="10" t="inlineStr">
        <is>
          <t>Bonus</t>
        </is>
      </c>
      <c r="N1852" s="11">
        <f>HYPERLINK("https://www.vietnamworks.com/quan-tri-vien-san-pham-2010751-jv","Xem chi tiết")</f>
        <v/>
      </c>
      <c r="O1852" s="10" t="n"/>
    </row>
    <row r="1853">
      <c r="B1853" s="7" t="n">
        <v>1851</v>
      </c>
      <c r="C1853" t="inlineStr">
        <is>
          <t>Payable Accountant</t>
        </is>
      </c>
      <c r="D1853" t="inlineStr">
        <is>
          <t>Hanesbrands Inc. (HY Plant)</t>
        </is>
      </c>
      <c r="E1853" t="inlineStr">
        <is>
          <t>Thương lượng</t>
        </is>
      </c>
      <c r="F1853" t="inlineStr">
        <is>
          <t>Hưng Yên, Hà Nội</t>
        </is>
      </c>
      <c r="G1853" t="inlineStr">
        <is>
          <t>Nhân viên</t>
        </is>
      </c>
      <c r="H1853" t="inlineStr">
        <is>
          <t>09/02/2026</t>
        </is>
      </c>
      <c r="I1853" t="inlineStr">
        <is>
          <t>26/03/2026</t>
        </is>
      </c>
      <c r="J1853" t="inlineStr">
        <is>
          <t>17/03/2026</t>
        </is>
      </c>
      <c r="K1853" t="inlineStr">
        <is>
          <t>N/A</t>
        </is>
      </c>
      <c r="L1853" t="inlineStr">
        <is>
          <t>Expense Accruals, General Accounting Principals, Inventory Management, Kế Toán Thanh Toán, Purchasing</t>
        </is>
      </c>
      <c r="M1853" t="inlineStr">
        <is>
          <t>Healthcare Plan, Paid Leave, Transportation, Others</t>
        </is>
      </c>
      <c r="N1853" s="8">
        <f>HYPERLINK("https://www.vietnamworks.com/payable-accountant-2010745-jv","Xem chi tiết")</f>
        <v/>
      </c>
    </row>
    <row r="1854">
      <c r="B1854" s="9" t="n">
        <v>1852</v>
      </c>
      <c r="C1854" s="10" t="inlineStr">
        <is>
          <t>Tax Accountant</t>
        </is>
      </c>
      <c r="D1854" s="10" t="inlineStr">
        <is>
          <t>Hanesbrands Inc. (HY Plant)</t>
        </is>
      </c>
      <c r="E1854" s="10" t="inlineStr">
        <is>
          <t>Thương lượng</t>
        </is>
      </c>
      <c r="F1854" s="10" t="inlineStr">
        <is>
          <t>Hưng Yên, Hà Nội</t>
        </is>
      </c>
      <c r="G1854" s="10" t="inlineStr">
        <is>
          <t>Nhân viên</t>
        </is>
      </c>
      <c r="H1854" s="10" t="inlineStr">
        <is>
          <t>09/02/2026</t>
        </is>
      </c>
      <c r="I1854" s="10" t="inlineStr">
        <is>
          <t>26/03/2026</t>
        </is>
      </c>
      <c r="J1854" s="10" t="inlineStr">
        <is>
          <t>17/03/2026</t>
        </is>
      </c>
      <c r="K1854" s="10" t="inlineStr">
        <is>
          <t>N/A</t>
        </is>
      </c>
      <c r="L1854" s="10" t="inlineStr">
        <is>
          <t>General Accounting Principals, Hạch Toán Thuế, Kế Toán Thuế, Nghiệp Vụ Kế Toán, Taxation</t>
        </is>
      </c>
      <c r="M1854" s="10" t="inlineStr">
        <is>
          <t>Healthcare Plan, Paid Leave, Transportation, Others</t>
        </is>
      </c>
      <c r="N1854" s="11">
        <f>HYPERLINK("https://www.vietnamworks.com/tax-accountant-2010748-jv","Xem chi tiết")</f>
        <v/>
      </c>
      <c r="O1854" s="10" t="n"/>
    </row>
    <row r="1855">
      <c r="B1855" s="7" t="n">
        <v>1853</v>
      </c>
      <c r="C1855" t="inlineStr">
        <is>
          <t>Nhân Viên Dịch Vụ Khách Hàng (CME)</t>
        </is>
      </c>
      <c r="D1855" t="inlineStr">
        <is>
          <t>CÔNG TY TNHH COLLECTIUS CMS VIỆT NAM</t>
        </is>
      </c>
      <c r="E1855" t="inlineStr">
        <is>
          <t>Thương lượng</t>
        </is>
      </c>
      <c r="F1855" t="inlineStr">
        <is>
          <t>Hồ Chí Minh</t>
        </is>
      </c>
      <c r="G1855" t="inlineStr">
        <is>
          <t>Mới Tốt Nghiệp</t>
        </is>
      </c>
      <c r="H1855" t="inlineStr">
        <is>
          <t>09/02/2026</t>
        </is>
      </c>
      <c r="I1855" t="inlineStr">
        <is>
          <t>26/03/2026</t>
        </is>
      </c>
      <c r="J1855" t="inlineStr">
        <is>
          <t>17/03/2026</t>
        </is>
      </c>
      <c r="K1855" t="inlineStr">
        <is>
          <t>N/A</t>
        </is>
      </c>
      <c r="L1855" t="inlineStr">
        <is>
          <t>Chăm Sóc Khách Hàng, Customer Care, Dịch Vụ Khách Hàng, Customer Support, Call Center</t>
        </is>
      </c>
      <c r="M1855" t="inlineStr">
        <is>
          <t>Bonus, Healthcare Plan, Laptop</t>
        </is>
      </c>
      <c r="N1855" s="8">
        <f>HYPERLINK("https://www.vietnamworks.com/nhan-vien-dich-vu-khach-hang-cme-2010764-jv","Xem chi tiết")</f>
        <v/>
      </c>
    </row>
    <row r="1856">
      <c r="B1856" s="9" t="n">
        <v>1854</v>
      </c>
      <c r="C1856" s="10" t="inlineStr">
        <is>
          <t>[Cơ Hội Cho Ứng Viên Mới Tốt Nghiệp] Chương Trình Cửa Hàng Trưởng Tiềm Năng Mùa 7 Năm 2026 Gen Win - Tự Tin Làm Chủ</t>
        </is>
      </c>
      <c r="D1856" s="10" t="inlineStr">
        <is>
          <t>Công Ty Cổ Phần Dịch Vụ Thương Mại Tổng Hợp WinCommerce</t>
        </is>
      </c>
      <c r="E1856" s="10" t="inlineStr">
        <is>
          <t>6.4tr-14tr ₫/tháng</t>
        </is>
      </c>
      <c r="F1856" s="10" t="inlineStr">
        <is>
          <t>Hồ Chí Minh, Hà Nội</t>
        </is>
      </c>
      <c r="G1856" s="10" t="inlineStr">
        <is>
          <t>Mới Tốt Nghiệp</t>
        </is>
      </c>
      <c r="H1856" s="10" t="inlineStr">
        <is>
          <t>09/02/2026</t>
        </is>
      </c>
      <c r="I1856" s="10" t="inlineStr">
        <is>
          <t>26/03/2026</t>
        </is>
      </c>
      <c r="J1856" s="10" t="inlineStr">
        <is>
          <t>17/03/2026</t>
        </is>
      </c>
      <c r="K1856" s="10" t="inlineStr">
        <is>
          <t>N/A</t>
        </is>
      </c>
      <c r="L1856" s="10" t="inlineStr">
        <is>
          <t>Tự Tin, Tự Làm Chủ, Bán Lẻ, Tư Duy Tập Trung Vào Kết Quả, Giao Tiếp</t>
        </is>
      </c>
      <c r="M1856" s="10" t="inlineStr">
        <is>
          <t>Bonus, Healthcare Plan, Others</t>
        </is>
      </c>
      <c r="N1856" s="11">
        <f>HYPERLINK("https://www.vietnamworks.com/co-hoi-cho-ung-vien-moi-tot-nghiep-chuong-trinh-cua-hang-truong-tiem-nang-mua-7-nam-2026-gen-win-tu-tin-lam-chu--2010762-jv","Xem chi tiết")</f>
        <v/>
      </c>
      <c r="O1856" s="10" t="n"/>
    </row>
    <row r="1857">
      <c r="B1857" s="7" t="n">
        <v>1855</v>
      </c>
      <c r="C1857" t="inlineStr">
        <is>
          <t>Head of RD&amp;I, ASEAN (Decorative Paints - based in Malaysia)</t>
        </is>
      </c>
      <c r="D1857" t="inlineStr">
        <is>
          <t>AkzoNobel Vietnam</t>
        </is>
      </c>
      <c r="E1857" t="inlineStr">
        <is>
          <t>Thương lượng</t>
        </is>
      </c>
      <c r="F1857" t="inlineStr">
        <is>
          <t>Quốc tế</t>
        </is>
      </c>
      <c r="G1857" t="inlineStr">
        <is>
          <t>Giám Đốc và Cấp Cao Hơn</t>
        </is>
      </c>
      <c r="H1857" t="inlineStr">
        <is>
          <t>09/02/2026</t>
        </is>
      </c>
      <c r="I1857" t="inlineStr">
        <is>
          <t>26/03/2026</t>
        </is>
      </c>
      <c r="J1857" t="inlineStr">
        <is>
          <t>17/03/2026</t>
        </is>
      </c>
      <c r="K1857" t="inlineStr">
        <is>
          <t>N/A</t>
        </is>
      </c>
      <c r="L1857" t="inlineStr">
        <is>
          <t>Formulation Development, Paint Technology, R&amp;D Management, Strategic Mindset, Water-Based Paint Technology</t>
        </is>
      </c>
      <c r="M1857" t="inlineStr">
        <is>
          <t>Bonus, Healthcare Plan, Paid Leave</t>
        </is>
      </c>
      <c r="N1857" s="8">
        <f>HYPERLINK("https://www.vietnamworks.com/head-of-rdandi-asean-decorative-paints-based-in-malaysia-2010765-jv","Xem chi tiết")</f>
        <v/>
      </c>
    </row>
    <row r="1858">
      <c r="B1858" s="9" t="n">
        <v>1856</v>
      </c>
      <c r="C1858" s="10" t="inlineStr">
        <is>
          <t>Content Strategist (Up-To $5,000)</t>
        </is>
      </c>
      <c r="D1858" s="10" t="inlineStr">
        <is>
          <t>Crossian Việt Nam</t>
        </is>
      </c>
      <c r="E1858" s="10" t="inlineStr">
        <is>
          <t>Thương lượng</t>
        </is>
      </c>
      <c r="F1858" s="10" t="inlineStr">
        <is>
          <t>Hà Nội, Hồ Chí Minh</t>
        </is>
      </c>
      <c r="G1858" s="10" t="inlineStr">
        <is>
          <t>Nhân viên</t>
        </is>
      </c>
      <c r="H1858" s="10" t="inlineStr">
        <is>
          <t>09/02/2026</t>
        </is>
      </c>
      <c r="I1858" s="10" t="inlineStr">
        <is>
          <t>26/03/2026</t>
        </is>
      </c>
      <c r="J1858" s="10" t="inlineStr">
        <is>
          <t>17/03/2026</t>
        </is>
      </c>
      <c r="K1858" s="10" t="inlineStr">
        <is>
          <t>N/A</t>
        </is>
      </c>
      <c r="L1858" s="10" t="inlineStr">
        <is>
          <t>Content Marketing, Content Strategy, Critical Thinking, Digital Marketing, English Writing</t>
        </is>
      </c>
      <c r="M1858" s="10" t="inlineStr">
        <is>
          <t>Bonus, Healthcare Plan, Paid Leave, Training, Team Activities, Others</t>
        </is>
      </c>
      <c r="N1858" s="11">
        <f>HYPERLINK("https://www.vietnamworks.com/content-strategist-up-to-dollar5000-2010753-jv","Xem chi tiết")</f>
        <v/>
      </c>
      <c r="O1858" s="10" t="n"/>
    </row>
    <row r="1859">
      <c r="B1859" s="7" t="n">
        <v>1857</v>
      </c>
      <c r="C1859" t="inlineStr">
        <is>
          <t>Specialist, Logistics &amp; Import - Export (EPE)</t>
        </is>
      </c>
      <c r="D1859" t="inlineStr">
        <is>
          <t>Công Ty TNHH Pandora Production Việt Nam</t>
        </is>
      </c>
      <c r="E1859" t="inlineStr">
        <is>
          <t>Thương lượng</t>
        </is>
      </c>
      <c r="F1859" t="inlineStr">
        <is>
          <t>Bình Dương</t>
        </is>
      </c>
      <c r="G1859" t="inlineStr">
        <is>
          <t>Nhân viên</t>
        </is>
      </c>
      <c r="H1859" t="inlineStr">
        <is>
          <t>09/02/2026</t>
        </is>
      </c>
      <c r="I1859" t="inlineStr">
        <is>
          <t>26/03/2026</t>
        </is>
      </c>
      <c r="J1859" t="inlineStr">
        <is>
          <t>17/03/2026</t>
        </is>
      </c>
      <c r="K1859" t="inlineStr">
        <is>
          <t>N/A</t>
        </is>
      </c>
      <c r="L1859" t="inlineStr">
        <is>
          <t>Communication Skills, Customs Regulation, Import-Export, Logistics Management, Problem-solving</t>
        </is>
      </c>
      <c r="M1859" t="inlineStr">
        <is>
          <t>Bonus, Healthcare Plan, Laptop</t>
        </is>
      </c>
      <c r="N1859" s="8">
        <f>HYPERLINK("https://www.vietnamworks.com/specialist-logistics-and-import-export-epe-2010758-jv","Xem chi tiết")</f>
        <v/>
      </c>
    </row>
    <row r="1860">
      <c r="B1860" s="9" t="n">
        <v>1858</v>
      </c>
      <c r="C1860" s="10" t="inlineStr">
        <is>
          <t>Brand Manager (Material Building - Project Segment)</t>
        </is>
      </c>
      <c r="D1860" s="10" t="inlineStr">
        <is>
          <t>AkzoNobel Vietnam</t>
        </is>
      </c>
      <c r="E1860" s="10" t="inlineStr">
        <is>
          <t>Thương lượng</t>
        </is>
      </c>
      <c r="F1860" s="10" t="inlineStr">
        <is>
          <t>Hồ Chí Minh</t>
        </is>
      </c>
      <c r="G1860" s="10" t="inlineStr">
        <is>
          <t>Trưởng phòng</t>
        </is>
      </c>
      <c r="H1860" s="10" t="inlineStr">
        <is>
          <t>09/02/2026</t>
        </is>
      </c>
      <c r="I1860" s="10" t="inlineStr">
        <is>
          <t>26/03/2026</t>
        </is>
      </c>
      <c r="J1860" s="10" t="inlineStr">
        <is>
          <t>17/03/2026</t>
        </is>
      </c>
      <c r="K1860" s="10" t="inlineStr">
        <is>
          <t>N/A</t>
        </is>
      </c>
      <c r="L1860" s="10" t="inlineStr">
        <is>
          <t>Product Management, Brand Management, Product Marketing, Communication Skills</t>
        </is>
      </c>
      <c r="M1860" s="10" t="inlineStr">
        <is>
          <t>Bonus, Healthcare Plan, Training</t>
        </is>
      </c>
      <c r="N1860" s="11">
        <f>HYPERLINK("https://www.vietnamworks.com/brand-manager-material-building-project-segment--2010763-jv","Xem chi tiết")</f>
        <v/>
      </c>
      <c r="O1860" s="10" t="n"/>
    </row>
    <row r="1861">
      <c r="B1861" s="7" t="n">
        <v>1859</v>
      </c>
      <c r="C1861" t="inlineStr">
        <is>
          <t>R&amp;D Specialist, UV &amp; Waterborne Coatings</t>
        </is>
      </c>
      <c r="D1861" t="inlineStr">
        <is>
          <t>AkzoNobel Vietnam</t>
        </is>
      </c>
      <c r="E1861" t="inlineStr">
        <is>
          <t>Thương lượng</t>
        </is>
      </c>
      <c r="F1861" t="inlineStr">
        <is>
          <t>Đồng Nai</t>
        </is>
      </c>
      <c r="G1861" t="inlineStr">
        <is>
          <t>Trưởng phòng</t>
        </is>
      </c>
      <c r="H1861" t="inlineStr">
        <is>
          <t>09/02/2026</t>
        </is>
      </c>
      <c r="I1861" t="inlineStr">
        <is>
          <t>26/03/2026</t>
        </is>
      </c>
      <c r="J1861" t="inlineStr">
        <is>
          <t>17/03/2026</t>
        </is>
      </c>
      <c r="K1861" t="inlineStr">
        <is>
          <t>N/A</t>
        </is>
      </c>
      <c r="L1861" t="inlineStr">
        <is>
          <t>Chemical Formulation, Coatings, Paint Coating, Problem Solving</t>
        </is>
      </c>
      <c r="M1861" t="inlineStr">
        <is>
          <t>Bonus, Healthcare Plan, Paid Leave</t>
        </is>
      </c>
      <c r="N1861" s="8">
        <f>HYPERLINK("https://www.vietnamworks.com/randd-specialist-uv-and-waterborne-coatings-2010766-jv","Xem chi tiết")</f>
        <v/>
      </c>
    </row>
    <row r="1862">
      <c r="B1862" s="9" t="n">
        <v>1860</v>
      </c>
      <c r="C1862" s="10" t="inlineStr">
        <is>
          <t>Sales Staff</t>
        </is>
      </c>
      <c r="D1862" s="10" t="inlineStr">
        <is>
          <t>Sedo Vina Co.,ltd</t>
        </is>
      </c>
      <c r="E1862" s="10" t="inlineStr">
        <is>
          <t>Thương lượng</t>
        </is>
      </c>
      <c r="F1862" s="10" t="inlineStr">
        <is>
          <t>Hồ Chí Minh</t>
        </is>
      </c>
      <c r="G1862" s="10" t="inlineStr">
        <is>
          <t>Mới Tốt Nghiệp</t>
        </is>
      </c>
      <c r="H1862" s="10" t="inlineStr">
        <is>
          <t>09/02/2026</t>
        </is>
      </c>
      <c r="I1862" s="10" t="inlineStr">
        <is>
          <t>26/03/2026</t>
        </is>
      </c>
      <c r="J1862" s="10" t="inlineStr">
        <is>
          <t>17/03/2026</t>
        </is>
      </c>
      <c r="K1862" s="10" t="inlineStr">
        <is>
          <t>N/A</t>
        </is>
      </c>
      <c r="L1862" s="10" t="inlineStr">
        <is>
          <t>English, Kinh Doanh, Product Development, Sales Planning, Tư Vấn</t>
        </is>
      </c>
      <c r="M1862" s="10" t="inlineStr">
        <is>
          <t>Training, Team Activities, Others</t>
        </is>
      </c>
      <c r="N1862" s="11">
        <f>HYPERLINK("https://www.vietnamworks.com/sales-staff-2010773-jv","Xem chi tiết")</f>
        <v/>
      </c>
      <c r="O1862" s="10" t="n"/>
    </row>
    <row r="1863">
      <c r="B1863" s="7" t="n">
        <v>1861</v>
      </c>
      <c r="C1863" t="inlineStr">
        <is>
          <t>Business Development Staff</t>
        </is>
      </c>
      <c r="D1863" t="inlineStr">
        <is>
          <t>Sedo Vina Co.,ltd</t>
        </is>
      </c>
      <c r="E1863" t="inlineStr">
        <is>
          <t>Thương lượng</t>
        </is>
      </c>
      <c r="F1863" t="inlineStr">
        <is>
          <t>Hồ Chí Minh</t>
        </is>
      </c>
      <c r="G1863" t="inlineStr">
        <is>
          <t>Mới Tốt Nghiệp</t>
        </is>
      </c>
      <c r="H1863" t="inlineStr">
        <is>
          <t>09/02/2026</t>
        </is>
      </c>
      <c r="I1863" t="inlineStr">
        <is>
          <t>26/03/2026</t>
        </is>
      </c>
      <c r="J1863" t="inlineStr">
        <is>
          <t>17/03/2026</t>
        </is>
      </c>
      <c r="K1863" t="inlineStr">
        <is>
          <t>N/A</t>
        </is>
      </c>
      <c r="L1863" t="inlineStr">
        <is>
          <t>Excel, Financial Analysis, Kinh Doanh, Manage ERP Software, Sales Planning</t>
        </is>
      </c>
      <c r="M1863" t="inlineStr">
        <is>
          <t>Others</t>
        </is>
      </c>
      <c r="N1863" s="8">
        <f>HYPERLINK("https://www.vietnamworks.com/business-development-staff-2010771-jv","Xem chi tiết")</f>
        <v/>
      </c>
    </row>
    <row r="1864">
      <c r="B1864" s="9" t="n">
        <v>1862</v>
      </c>
      <c r="C1864" s="10" t="inlineStr">
        <is>
          <t>Nhân Viên Dự Toán Đấu Thầu</t>
        </is>
      </c>
      <c r="D1864" s="10" t="inlineStr">
        <is>
          <t>CBC - Civil &amp; Building Construction</t>
        </is>
      </c>
      <c r="E1864" s="10" t="inlineStr">
        <is>
          <t>14tr-20tr ₫/tháng</t>
        </is>
      </c>
      <c r="F1864" s="10" t="inlineStr">
        <is>
          <t>Hà Nội</t>
        </is>
      </c>
      <c r="G1864" s="10" t="inlineStr">
        <is>
          <t>Nhân viên</t>
        </is>
      </c>
      <c r="H1864" s="10" t="inlineStr">
        <is>
          <t>09/02/2026</t>
        </is>
      </c>
      <c r="I1864" s="10" t="inlineStr">
        <is>
          <t>26/03/2026</t>
        </is>
      </c>
      <c r="J1864" s="10" t="inlineStr">
        <is>
          <t>17/03/2026</t>
        </is>
      </c>
      <c r="K1864" s="10" t="inlineStr">
        <is>
          <t>N/A</t>
        </is>
      </c>
      <c r="L1864" s="10" t="inlineStr">
        <is>
          <t>AutoCAD, Microsoft Office, QS, Bóc Tách Khối Lượng, Hồ Sơ Dự Thầu</t>
        </is>
      </c>
      <c r="M1864" s="10" t="inlineStr">
        <is>
          <t>Bonus, Healthcare Plan, Training</t>
        </is>
      </c>
      <c r="N1864" s="11">
        <f>HYPERLINK("https://www.vietnamworks.com/nhan-vien-du-toan-dau-thau--2010772-jv","Xem chi tiết")</f>
        <v/>
      </c>
      <c r="O1864" s="10" t="n"/>
    </row>
    <row r="1865">
      <c r="B1865" s="7" t="n">
        <v>1863</v>
      </c>
      <c r="C1865" t="inlineStr">
        <is>
          <t>Nhân viên kế toán</t>
        </is>
      </c>
      <c r="D1865" t="inlineStr">
        <is>
          <t>JINRO SOJU Vietnam Co.,ltd</t>
        </is>
      </c>
      <c r="E1865" t="inlineStr">
        <is>
          <t>$$ 500-1,000 /tháng</t>
        </is>
      </c>
      <c r="F1865" t="inlineStr">
        <is>
          <t>Thái Bình</t>
        </is>
      </c>
      <c r="G1865" t="inlineStr">
        <is>
          <t>Nhân viên</t>
        </is>
      </c>
      <c r="H1865" t="inlineStr">
        <is>
          <t>09/02/2026</t>
        </is>
      </c>
      <c r="I1865" t="inlineStr">
        <is>
          <t>26/03/2026</t>
        </is>
      </c>
      <c r="J1865" t="inlineStr">
        <is>
          <t>17/03/2026</t>
        </is>
      </c>
      <c r="K1865" t="inlineStr">
        <is>
          <t>N/A</t>
        </is>
      </c>
      <c r="L1865" t="inlineStr">
        <is>
          <t>Kế Toán Chi Phí, Kế Toán Giá Thành, Kế Toán Kho, Kế Toán Thành Phẩm, Kế Toán Tổng Hợp</t>
        </is>
      </c>
      <c r="M1865" t="inlineStr">
        <is>
          <t>Bonus, Laptop, Team Activities, Canteen</t>
        </is>
      </c>
      <c r="N1865" s="8">
        <f>HYPERLINK("https://www.vietnamworks.com/nhan-vien-ke-toan-2010768-jv","Xem chi tiết")</f>
        <v/>
      </c>
    </row>
    <row r="1866">
      <c r="B1866" s="9" t="n">
        <v>1864</v>
      </c>
      <c r="C1866" s="10" t="inlineStr">
        <is>
          <t>Nhân viên kế hoạch sản xuất</t>
        </is>
      </c>
      <c r="D1866" s="10" t="inlineStr">
        <is>
          <t>JINRO SOJU Vietnam Co.,ltd</t>
        </is>
      </c>
      <c r="E1866" s="10" t="inlineStr">
        <is>
          <t>$$ 1,000-1,000 /tháng</t>
        </is>
      </c>
      <c r="F1866" s="10" t="inlineStr">
        <is>
          <t>Thái Bình</t>
        </is>
      </c>
      <c r="G1866" s="10" t="inlineStr">
        <is>
          <t>Nhân viên</t>
        </is>
      </c>
      <c r="H1866" s="10" t="inlineStr">
        <is>
          <t>09/02/2026</t>
        </is>
      </c>
      <c r="I1866" s="10" t="inlineStr">
        <is>
          <t>26/03/2026</t>
        </is>
      </c>
      <c r="J1866" s="10" t="inlineStr">
        <is>
          <t>17/03/2026</t>
        </is>
      </c>
      <c r="K1866" s="10" t="inlineStr">
        <is>
          <t>N/A</t>
        </is>
      </c>
      <c r="L1866" s="10" t="inlineStr">
        <is>
          <t>Kế Hoạch Sản Xuất, Lập Kế Hoạch</t>
        </is>
      </c>
      <c r="M1866" s="10" t="inlineStr">
        <is>
          <t>Bonus, Laptop, Team Activities, Canteen</t>
        </is>
      </c>
      <c r="N1866" s="11">
        <f>HYPERLINK("https://www.vietnamworks.com/nhan-vien-ke-hoach-san-xuat-2010775-jv","Xem chi tiết")</f>
        <v/>
      </c>
      <c r="O1866" s="10" t="n"/>
    </row>
    <row r="1867">
      <c r="B1867" s="7" t="n">
        <v>1865</v>
      </c>
      <c r="C1867" t="inlineStr">
        <is>
          <t>Nhân Viên Tài Vụ</t>
        </is>
      </c>
      <c r="D1867" t="inlineStr">
        <is>
          <t>JINRO SOJU Vietnam Co.,ltd</t>
        </is>
      </c>
      <c r="E1867" t="inlineStr">
        <is>
          <t>$$ 500-1,000 /tháng</t>
        </is>
      </c>
      <c r="F1867" t="inlineStr">
        <is>
          <t>Thái Bình</t>
        </is>
      </c>
      <c r="G1867" t="inlineStr">
        <is>
          <t>Nhân viên</t>
        </is>
      </c>
      <c r="H1867" t="inlineStr">
        <is>
          <t>09/02/2026</t>
        </is>
      </c>
      <c r="I1867" t="inlineStr">
        <is>
          <t>26/03/2026</t>
        </is>
      </c>
      <c r="J1867" t="inlineStr">
        <is>
          <t>17/03/2026</t>
        </is>
      </c>
      <c r="K1867" t="inlineStr">
        <is>
          <t>N/A</t>
        </is>
      </c>
      <c r="L1867" t="inlineStr">
        <is>
          <t>Kế Toán Công Nợ, Kế Toán Tài Chính, Tài Chính Công Nợ</t>
        </is>
      </c>
      <c r="M1867" t="inlineStr">
        <is>
          <t>Bonus, Laptop, Team Activities, Canteen</t>
        </is>
      </c>
      <c r="N1867" s="8">
        <f>HYPERLINK("https://www.vietnamworks.com/nhan-vien-tai-vu-2010782-jv","Xem chi tiết")</f>
        <v/>
      </c>
    </row>
    <row r="1868">
      <c r="B1868" s="9" t="n">
        <v>1866</v>
      </c>
      <c r="C1868" s="10" t="inlineStr">
        <is>
          <t>Nhân Viên Kinh Doanh Xuất Nhập Khẩu - Thu Nhập Upto 25Tr/tháng</t>
        </is>
      </c>
      <c r="D1868" s="10" t="inlineStr">
        <is>
          <t>Kim Giang ( Kghandicraft)</t>
        </is>
      </c>
      <c r="E1868" s="10" t="inlineStr">
        <is>
          <t>17tr-25tr ₫/tháng</t>
        </is>
      </c>
      <c r="F1868" s="10" t="inlineStr">
        <is>
          <t>Hà Nội</t>
        </is>
      </c>
      <c r="G1868" s="10" t="inlineStr">
        <is>
          <t>Nhân viên</t>
        </is>
      </c>
      <c r="H1868" s="10" t="inlineStr">
        <is>
          <t>09/02/2026</t>
        </is>
      </c>
      <c r="I1868" s="10" t="inlineStr">
        <is>
          <t>26/03/2026</t>
        </is>
      </c>
      <c r="J1868" s="10" t="inlineStr">
        <is>
          <t>17/03/2026</t>
        </is>
      </c>
      <c r="K1868" s="10" t="inlineStr">
        <is>
          <t>N/A</t>
        </is>
      </c>
      <c r="L1868" s="10" t="inlineStr">
        <is>
          <t>Kinh Doanh Xuất Nhập Khẩu, Xuất Nhập Khẩu, Kinh Doanh, Tiếng Anh Thành Thạo</t>
        </is>
      </c>
      <c r="M1868" s="10" t="inlineStr">
        <is>
          <t>Bonus, Healthcare Plan, Paid Leave</t>
        </is>
      </c>
      <c r="N1868" s="11">
        <f>HYPERLINK("https://www.vietnamworks.com/nhan-vien-kinh-doanh-xuat-nhap-khau-thu-nhap-upto-25tr-thang--2010776-jv","Xem chi tiết")</f>
        <v/>
      </c>
      <c r="O1868" s="10" t="n"/>
    </row>
    <row r="1869">
      <c r="B1869" s="7" t="n">
        <v>1867</v>
      </c>
      <c r="C1869" t="inlineStr">
        <is>
          <t>Officer, Warehouse</t>
        </is>
      </c>
      <c r="D1869" t="inlineStr">
        <is>
          <t>Molex Vietnam Co., Ltd.</t>
        </is>
      </c>
      <c r="E1869" t="inlineStr">
        <is>
          <t>Thương lượng</t>
        </is>
      </c>
      <c r="F1869" t="inlineStr">
        <is>
          <t>Hưng Yên, Hà Nội, Hải Dương</t>
        </is>
      </c>
      <c r="G1869" t="inlineStr">
        <is>
          <t>Nhân viên</t>
        </is>
      </c>
      <c r="H1869" t="inlineStr">
        <is>
          <t>09/02/2026</t>
        </is>
      </c>
      <c r="I1869" t="inlineStr">
        <is>
          <t>26/03/2026</t>
        </is>
      </c>
      <c r="J1869" t="inlineStr">
        <is>
          <t>17/03/2026</t>
        </is>
      </c>
      <c r="K1869" t="inlineStr">
        <is>
          <t>N/A</t>
        </is>
      </c>
      <c r="L1869" t="inlineStr">
        <is>
          <t>Inventory Control, Leadership, Manufacture Process, Problem-solving, Warehouse Management</t>
        </is>
      </c>
      <c r="M1869" t="inlineStr">
        <is>
          <t>Bonus, Healthcare Plan, Paid Leave, Transportation, Others</t>
        </is>
      </c>
      <c r="N1869" s="8">
        <f>HYPERLINK("https://www.vietnamworks.com/officer-warehouse-2010767-jv","Xem chi tiết")</f>
        <v/>
      </c>
    </row>
    <row r="1870">
      <c r="B1870" s="9" t="n">
        <v>1868</v>
      </c>
      <c r="C1870" s="10" t="inlineStr">
        <is>
          <t>Retail Performance &amp; Pricing Lead</t>
        </is>
      </c>
      <c r="D1870" s="10" t="inlineStr">
        <is>
          <t>Lazada Vietnam</t>
        </is>
      </c>
      <c r="E1870" s="10" t="inlineStr">
        <is>
          <t>Thương lượng</t>
        </is>
      </c>
      <c r="F1870" s="10" t="inlineStr">
        <is>
          <t>Hồ Chí Minh</t>
        </is>
      </c>
      <c r="G1870" s="10" t="inlineStr">
        <is>
          <t>Nhân viên</t>
        </is>
      </c>
      <c r="H1870" s="10" t="inlineStr">
        <is>
          <t>09/02/2026</t>
        </is>
      </c>
      <c r="I1870" s="10" t="inlineStr">
        <is>
          <t>26/03/2026</t>
        </is>
      </c>
      <c r="J1870" s="10" t="inlineStr">
        <is>
          <t>17/03/2026</t>
        </is>
      </c>
      <c r="K1870" s="10" t="inlineStr">
        <is>
          <t>N/A</t>
        </is>
      </c>
      <c r="L1870" s="10" t="inlineStr">
        <is>
          <t>Assortment Optimization, Product Assortment, E commerce, Data Analysis, English</t>
        </is>
      </c>
      <c r="M1870" s="10" t="inlineStr">
        <is>
          <t>Bonus, Healthcare Plan, Training</t>
        </is>
      </c>
      <c r="N1870" s="11">
        <f>HYPERLINK("https://www.vietnamworks.com/retail-performance-pricing-lead-2010769-jv","Xem chi tiết")</f>
        <v/>
      </c>
      <c r="O1870" s="10" t="n"/>
    </row>
    <row r="1871">
      <c r="B1871" s="7" t="n">
        <v>1869</v>
      </c>
      <c r="C1871" t="inlineStr">
        <is>
          <t>Phiên Dịch Viên Tiếng Hàn</t>
        </is>
      </c>
      <c r="D1871" t="inlineStr">
        <is>
          <t>JINRO SOJU Vietnam Co.,ltd</t>
        </is>
      </c>
      <c r="E1871" t="inlineStr">
        <is>
          <t>$$ 1,000-1,000 /tháng</t>
        </is>
      </c>
      <c r="F1871" t="inlineStr">
        <is>
          <t>Thái Bình</t>
        </is>
      </c>
      <c r="G1871" t="inlineStr">
        <is>
          <t>Nhân viên</t>
        </is>
      </c>
      <c r="H1871" t="inlineStr">
        <is>
          <t>09/02/2026</t>
        </is>
      </c>
      <c r="I1871" t="inlineStr">
        <is>
          <t>26/03/2026</t>
        </is>
      </c>
      <c r="J1871" t="inlineStr">
        <is>
          <t>17/03/2026</t>
        </is>
      </c>
      <c r="K1871" t="inlineStr">
        <is>
          <t>N/A</t>
        </is>
      </c>
      <c r="L1871" t="inlineStr">
        <is>
          <t>Hành chính văn phòng, Phiên Dịch Tiếng Hàn, Thư ký Giám đốc</t>
        </is>
      </c>
      <c r="M1871" t="inlineStr">
        <is>
          <t>Bonus, Laptop, Team Activities, Canteen</t>
        </is>
      </c>
      <c r="N1871" s="8">
        <f>HYPERLINK("https://www.vietnamworks.com/phien-dich-vien-tieng-han-2010787-jv","Xem chi tiết")</f>
        <v/>
      </c>
    </row>
    <row r="1872">
      <c r="B1872" s="9" t="n">
        <v>1870</v>
      </c>
      <c r="C1872" s="10" t="inlineStr">
        <is>
          <t>Giám Sát M&amp;E Dân Dụng [Tuyển Gấp]</t>
        </is>
      </c>
      <c r="D1872" s="10" t="inlineStr">
        <is>
          <t>Công ty TNHH Xây dựng NEGECO</t>
        </is>
      </c>
      <c r="E1872" s="10" t="inlineStr">
        <is>
          <t>Thương lượng</t>
        </is>
      </c>
      <c r="F1872" s="10" t="inlineStr">
        <is>
          <t>Hồ Chí Minh</t>
        </is>
      </c>
      <c r="G1872" s="10" t="inlineStr">
        <is>
          <t>Nhân viên</t>
        </is>
      </c>
      <c r="H1872" s="10" t="inlineStr">
        <is>
          <t>09/02/2026</t>
        </is>
      </c>
      <c r="I1872" s="10" t="inlineStr">
        <is>
          <t>26/03/2026</t>
        </is>
      </c>
      <c r="J1872" s="10" t="inlineStr">
        <is>
          <t>17/03/2026</t>
        </is>
      </c>
      <c r="K1872" s="10" t="inlineStr">
        <is>
          <t>N/A</t>
        </is>
      </c>
      <c r="L1872" s="10" t="inlineStr">
        <is>
          <t>Đọc Bản Vẽ Kỹ Thuật, M&amp;E, Công Trình Dân Dụng, Giám Sát MEP, Shop Drawings</t>
        </is>
      </c>
      <c r="M1872" s="10" t="inlineStr">
        <is>
          <t>Bonus, Healthcare Plan, Training, Travel Opportunities, Team Activities, Others</t>
        </is>
      </c>
      <c r="N1872" s="11">
        <f>HYPERLINK("https://www.vietnamworks.com/giam-sat-m-e-dan-dung-tuyen-gap-2010785-jv","Xem chi tiết")</f>
        <v/>
      </c>
      <c r="O1872" s="10" t="n"/>
    </row>
    <row r="1873">
      <c r="B1873" s="7" t="n">
        <v>1871</v>
      </c>
      <c r="C1873" t="inlineStr">
        <is>
          <t>Sales Engineer/Sales Executive</t>
        </is>
      </c>
      <c r="D1873" t="inlineStr">
        <is>
          <t>Biohouse (Shanghai) Co., Ltd.</t>
        </is>
      </c>
      <c r="E1873" t="inlineStr">
        <is>
          <t>Thương lượng</t>
        </is>
      </c>
      <c r="F1873" t="inlineStr">
        <is>
          <t>Hồ Chí Minh</t>
        </is>
      </c>
      <c r="G1873" t="inlineStr">
        <is>
          <t>Nhân viên</t>
        </is>
      </c>
      <c r="H1873" t="inlineStr">
        <is>
          <t>09/02/2026</t>
        </is>
      </c>
      <c r="I1873" t="inlineStr">
        <is>
          <t>26/03/2026</t>
        </is>
      </c>
      <c r="J1873" t="inlineStr">
        <is>
          <t>17/03/2026</t>
        </is>
      </c>
      <c r="K1873" t="inlineStr">
        <is>
          <t>N/A</t>
        </is>
      </c>
      <c r="L1873" t="inlineStr">
        <is>
          <t>Sales experience, Communication Skills, Customer Service, Market Research, Proactive Work Spirit</t>
        </is>
      </c>
      <c r="M1873" t="inlineStr">
        <is>
          <t>Bonus, Others</t>
        </is>
      </c>
      <c r="N1873" s="8">
        <f>HYPERLINK("https://www.vietnamworks.com/sales-engineersales-executive-2010788-jv","Xem chi tiết")</f>
        <v/>
      </c>
    </row>
    <row r="1874">
      <c r="B1874" s="9" t="n">
        <v>1872</v>
      </c>
      <c r="C1874" s="10" t="inlineStr">
        <is>
          <t>Admin Staff of Engineering Department/ Nhân viên Admin Bộ phận Kỹ thuật</t>
        </is>
      </c>
      <c r="D1874" s="10" t="inlineStr">
        <is>
          <t>Molex Vietnam Co., Ltd.</t>
        </is>
      </c>
      <c r="E1874" s="10" t="inlineStr">
        <is>
          <t>Thương lượng</t>
        </is>
      </c>
      <c r="F1874" s="10" t="inlineStr">
        <is>
          <t>Hưng Yên, Hà Nội, Hải Dương</t>
        </is>
      </c>
      <c r="G1874" s="10" t="inlineStr">
        <is>
          <t>Nhân viên</t>
        </is>
      </c>
      <c r="H1874" s="10" t="inlineStr">
        <is>
          <t>09/02/2026</t>
        </is>
      </c>
      <c r="I1874" s="10" t="inlineStr">
        <is>
          <t>26/03/2026</t>
        </is>
      </c>
      <c r="J1874" s="10" t="inlineStr">
        <is>
          <t>17/03/2026</t>
        </is>
      </c>
      <c r="K1874" s="10" t="inlineStr">
        <is>
          <t>N/A</t>
        </is>
      </c>
      <c r="L1874" s="10" t="inlineStr">
        <is>
          <t>Analytical Skills, Communication, Fixed Asset Management, SAP Implementation, Training Delivery</t>
        </is>
      </c>
      <c r="M1874" s="10" t="inlineStr">
        <is>
          <t>Bonus, Healthcare Plan, Paid Leave, Transportation, Others</t>
        </is>
      </c>
      <c r="N1874" s="11">
        <f>HYPERLINK("https://www.vietnamworks.com/admin-staff-of-engineering-department-nhan-vien-admin-bo-phan-ky-thuat-2010778-jv","Xem chi tiết")</f>
        <v/>
      </c>
      <c r="O1874" s="10" t="n"/>
    </row>
    <row r="1875">
      <c r="B1875" s="7" t="n">
        <v>1873</v>
      </c>
      <c r="C1875" t="inlineStr">
        <is>
          <t>Business Development Manager</t>
        </is>
      </c>
      <c r="D1875" t="inlineStr">
        <is>
          <t>AkzoNobel Vietnam</t>
        </is>
      </c>
      <c r="E1875" t="inlineStr">
        <is>
          <t>Thương lượng</t>
        </is>
      </c>
      <c r="F1875" t="inlineStr">
        <is>
          <t>Đồng Nai</t>
        </is>
      </c>
      <c r="G1875" t="inlineStr">
        <is>
          <t>Trưởng phòng</t>
        </is>
      </c>
      <c r="H1875" t="inlineStr">
        <is>
          <t>09/02/2026</t>
        </is>
      </c>
      <c r="I1875" t="inlineStr">
        <is>
          <t>26/03/2026</t>
        </is>
      </c>
      <c r="J1875" t="inlineStr">
        <is>
          <t>17/03/2026</t>
        </is>
      </c>
      <c r="K1875" t="inlineStr">
        <is>
          <t>N/A</t>
        </is>
      </c>
      <c r="L1875" t="inlineStr">
        <is>
          <t>Business Development, Chinese Communication, Communication Skills, Customer Experience Management, Sales Experience</t>
        </is>
      </c>
      <c r="M1875" t="inlineStr">
        <is>
          <t>Bonus, Healthcare Plan, Paid Leave</t>
        </is>
      </c>
      <c r="N1875" s="8">
        <f>HYPERLINK("https://www.vietnamworks.com/business-development-manager-2010786-jv","Xem chi tiết")</f>
        <v/>
      </c>
    </row>
    <row r="1876">
      <c r="B1876" s="9" t="n">
        <v>1874</v>
      </c>
      <c r="C1876" s="10" t="inlineStr">
        <is>
          <t>Kỹ Sư QS Tender (Dự Toán Đấu Thầu) - [Tuyển Gấp]</t>
        </is>
      </c>
      <c r="D1876" s="10" t="inlineStr">
        <is>
          <t>Công ty TNHH Xây dựng NEGECO</t>
        </is>
      </c>
      <c r="E1876" s="10" t="inlineStr">
        <is>
          <t>Thương lượng</t>
        </is>
      </c>
      <c r="F1876" s="10" t="inlineStr">
        <is>
          <t>Hồ Chí Minh</t>
        </is>
      </c>
      <c r="G1876" s="10" t="inlineStr">
        <is>
          <t>Nhân viên</t>
        </is>
      </c>
      <c r="H1876" s="10" t="inlineStr">
        <is>
          <t>09/02/2026</t>
        </is>
      </c>
      <c r="I1876" s="10" t="inlineStr">
        <is>
          <t>26/03/2026</t>
        </is>
      </c>
      <c r="J1876" s="10" t="inlineStr">
        <is>
          <t>17/03/2026</t>
        </is>
      </c>
      <c r="K1876" s="10" t="inlineStr">
        <is>
          <t>N/A</t>
        </is>
      </c>
      <c r="L1876" s="10" t="inlineStr">
        <is>
          <t>Kinh Tế Xây Dựng, Kỹ Thuật Xây Dựng, Dự Toán, Đấu Thầu, Tendering</t>
        </is>
      </c>
      <c r="M1876" s="10" t="inlineStr">
        <is>
          <t>Bonus, Healthcare Plan, Training, Travel Opportunities, Team Activities, Others</t>
        </is>
      </c>
      <c r="N1876" s="11">
        <f>HYPERLINK("https://www.vietnamworks.com/ky-su-qs-tender-du-toan-dau-thau-tuyen-gap-2010783-jv","Xem chi tiết")</f>
        <v/>
      </c>
      <c r="O1876" s="10" t="n"/>
    </row>
    <row r="1877">
      <c r="B1877" s="7" t="n">
        <v>1875</v>
      </c>
      <c r="C1877" t="inlineStr">
        <is>
          <t>Giám Sát Dự Án (Xây Dựng) -[Tuyển Gấp]</t>
        </is>
      </c>
      <c r="D1877" t="inlineStr">
        <is>
          <t>Công ty TNHH Xây dựng NEGECO</t>
        </is>
      </c>
      <c r="E1877" t="inlineStr">
        <is>
          <t>Thương lượng</t>
        </is>
      </c>
      <c r="F1877" t="inlineStr">
        <is>
          <t>Hồ Chí Minh</t>
        </is>
      </c>
      <c r="G1877" t="inlineStr">
        <is>
          <t>Nhân viên</t>
        </is>
      </c>
      <c r="H1877" t="inlineStr">
        <is>
          <t>09/02/2026</t>
        </is>
      </c>
      <c r="I1877" t="inlineStr">
        <is>
          <t>26/03/2026</t>
        </is>
      </c>
      <c r="J1877" t="inlineStr">
        <is>
          <t>17/03/2026</t>
        </is>
      </c>
      <c r="K1877" t="inlineStr">
        <is>
          <t>N/A</t>
        </is>
      </c>
      <c r="L1877" t="inlineStr">
        <is>
          <t>Quản Lý Xây Dựng, Đọc Bản Vẽ Kỹ Thuật, Giám Sát Công Trình, Đảm Bảo Chất Lượng, Giám Sát Thi Công</t>
        </is>
      </c>
      <c r="M1877" t="inlineStr">
        <is>
          <t>Bonus, Healthcare Plan, Training, Travel Opportunities, Team Activities, Others</t>
        </is>
      </c>
      <c r="N1877" s="8">
        <f>HYPERLINK("https://www.vietnamworks.com/giam-sat-du-an-xay-dung-tuyen-gap-2010781-jv","Xem chi tiết")</f>
        <v/>
      </c>
    </row>
    <row r="1878">
      <c r="B1878" s="9" t="n">
        <v>1876</v>
      </c>
      <c r="C1878" s="10" t="inlineStr">
        <is>
          <t>Trưởng Phòng R&amp;D</t>
        </is>
      </c>
      <c r="D1878" s="10" t="inlineStr">
        <is>
          <t>CÔNG TY CP TẬP ĐOÀN VINATECH VIỆT NAM</t>
        </is>
      </c>
      <c r="E1878" s="10" t="inlineStr">
        <is>
          <t>$$ 1,500-2,500 /tháng</t>
        </is>
      </c>
      <c r="F1878" s="10" t="inlineStr">
        <is>
          <t>Hồ Chí Minh</t>
        </is>
      </c>
      <c r="G1878" s="10" t="inlineStr">
        <is>
          <t>Trưởng phòng</t>
        </is>
      </c>
      <c r="H1878" s="10" t="inlineStr">
        <is>
          <t>09/02/2026</t>
        </is>
      </c>
      <c r="I1878" s="10" t="inlineStr">
        <is>
          <t>26/03/2026</t>
        </is>
      </c>
      <c r="J1878" s="10" t="inlineStr">
        <is>
          <t>17/03/2026</t>
        </is>
      </c>
      <c r="K1878" s="10" t="inlineStr">
        <is>
          <t>N/A</t>
        </is>
      </c>
      <c r="L1878" s="10" t="inlineStr">
        <is>
          <t>R&amp;D Management</t>
        </is>
      </c>
      <c r="M1878" s="10" t="inlineStr">
        <is>
          <t>Bonus, Paid Leave, Training</t>
        </is>
      </c>
      <c r="N1878" s="11">
        <f>HYPERLINK("https://www.vietnamworks.com/truong-phong-r-d--2010790-jv","Xem chi tiết")</f>
        <v/>
      </c>
      <c r="O1878" s="10" t="n"/>
    </row>
    <row r="1879">
      <c r="B1879" s="7" t="n">
        <v>1877</v>
      </c>
      <c r="C1879" t="inlineStr">
        <is>
          <t>Chỉ Huy Trưởng làm việc tại dự án Bình Định hoặc Hải Dương</t>
        </is>
      </c>
      <c r="D1879" t="inlineStr">
        <is>
          <t>KAS E&amp;C (Vietnam) Ltd Company</t>
        </is>
      </c>
      <c r="E1879" t="inlineStr">
        <is>
          <t>$$ 500-1,500 /tháng</t>
        </is>
      </c>
      <c r="F1879" t="inlineStr">
        <is>
          <t>Hải Phòng, Bình Định</t>
        </is>
      </c>
      <c r="G1879" t="inlineStr">
        <is>
          <t>Trưởng phòng</t>
        </is>
      </c>
      <c r="H1879" t="inlineStr">
        <is>
          <t>09/02/2026</t>
        </is>
      </c>
      <c r="I1879" t="inlineStr">
        <is>
          <t>26/03/2026</t>
        </is>
      </c>
      <c r="J1879" t="inlineStr">
        <is>
          <t>17/03/2026</t>
        </is>
      </c>
      <c r="K1879" t="inlineStr">
        <is>
          <t>N/A</t>
        </is>
      </c>
      <c r="L1879" t="inlineStr">
        <is>
          <t>Giám Sát Thi Công, Xây Dựng Dân Dụng, Quản Lý Xây Dựng</t>
        </is>
      </c>
      <c r="M1879" t="inlineStr">
        <is>
          <t>Bonus, Healthcare Plan, Paid Leave, Team Activities</t>
        </is>
      </c>
      <c r="N1879" s="8">
        <f>HYPERLINK("https://www.vietnamworks.com/chi-huy-truong-lam-viec-tai-du-an-binh-djinh-hoac-hai-duong-2010789-jv","Xem chi tiết")</f>
        <v/>
      </c>
    </row>
    <row r="1880">
      <c r="B1880" s="9" t="n">
        <v>1878</v>
      </c>
      <c r="C1880" s="10" t="inlineStr">
        <is>
          <t>Nhân viên Quản lý Nguyên Vật Liệu</t>
        </is>
      </c>
      <c r="D1880" s="10" t="inlineStr">
        <is>
          <t>JINRO SOJU Vietnam Co.,ltd</t>
        </is>
      </c>
      <c r="E1880" s="10" t="inlineStr">
        <is>
          <t>$$ 500-1,000 /tháng</t>
        </is>
      </c>
      <c r="F1880" s="10" t="inlineStr">
        <is>
          <t>Thái Bình</t>
        </is>
      </c>
      <c r="G1880" s="10" t="inlineStr">
        <is>
          <t>Nhân viên</t>
        </is>
      </c>
      <c r="H1880" s="10" t="inlineStr">
        <is>
          <t>09/02/2026</t>
        </is>
      </c>
      <c r="I1880" s="10" t="inlineStr">
        <is>
          <t>26/03/2026</t>
        </is>
      </c>
      <c r="J1880" s="10" t="inlineStr">
        <is>
          <t>17/03/2026</t>
        </is>
      </c>
      <c r="K1880" s="10" t="inlineStr">
        <is>
          <t>N/A</t>
        </is>
      </c>
      <c r="L1880" s="10" t="inlineStr">
        <is>
          <t>Quản Lý Kho, Quản Lý Kho Sản Xuất, Quản lý nguyên vật liệu</t>
        </is>
      </c>
      <c r="M1880" s="10" t="inlineStr">
        <is>
          <t>Bonus, Laptop, Team Activities, Canteen</t>
        </is>
      </c>
      <c r="N1880" s="11">
        <f>HYPERLINK("https://www.vietnamworks.com/nhan-vien-quan-ly-nguyen-vat-lieu-2010791-jv","Xem chi tiết")</f>
        <v/>
      </c>
      <c r="O1880" s="10" t="n"/>
    </row>
    <row r="1881">
      <c r="B1881" s="7" t="n">
        <v>1879</v>
      </c>
      <c r="C1881" t="inlineStr">
        <is>
          <t>Kỹ Thuật Hiện Trường</t>
        </is>
      </c>
      <c r="D1881" t="inlineStr">
        <is>
          <t>Công Ty Cổ Phần Sông Đà 5</t>
        </is>
      </c>
      <c r="E1881" t="inlineStr">
        <is>
          <t>19tr-24tr ₫/tháng</t>
        </is>
      </c>
      <c r="F1881" t="inlineStr">
        <is>
          <t>Quảng Ngãi</t>
        </is>
      </c>
      <c r="G1881" t="inlineStr">
        <is>
          <t>Mới Tốt Nghiệp</t>
        </is>
      </c>
      <c r="H1881" t="inlineStr">
        <is>
          <t>09/02/2026</t>
        </is>
      </c>
      <c r="I1881" t="inlineStr">
        <is>
          <t>26/03/2026</t>
        </is>
      </c>
      <c r="J1881" t="inlineStr">
        <is>
          <t>17/03/2026</t>
        </is>
      </c>
      <c r="K1881" t="inlineStr">
        <is>
          <t>N/A</t>
        </is>
      </c>
      <c r="L1881" t="inlineStr">
        <is>
          <t>Giám Sát Thi Công, Tin Học Văn Phòng, Kỹ Thuật Hiện Trường, Kỹ Thuật Thi Công, Triển Khai Kỹ Thuật</t>
        </is>
      </c>
      <c r="M1881" t="inlineStr">
        <is>
          <t>Bonus, Healthcare Plan, Travel Opportunities, Transportation, Canteen, Others</t>
        </is>
      </c>
      <c r="N1881" s="8">
        <f>HYPERLINK("https://www.vietnamworks.com/ky-thuat-hien-truong-2010794-jv","Xem chi tiết")</f>
        <v/>
      </c>
    </row>
    <row r="1882">
      <c r="B1882" s="9" t="n">
        <v>1880</v>
      </c>
      <c r="C1882" s="10" t="inlineStr">
        <is>
          <t>Human Resources Manager</t>
        </is>
      </c>
      <c r="D1882" s="10" t="inlineStr">
        <is>
          <t>Công ty TNHH Novel Dyeing &amp; Printing VN</t>
        </is>
      </c>
      <c r="E1882" s="10" t="inlineStr">
        <is>
          <t>$$ 1,500-2,000 /tháng</t>
        </is>
      </c>
      <c r="F1882" s="10" t="inlineStr">
        <is>
          <t>Nam Định</t>
        </is>
      </c>
      <c r="G1882" s="10" t="inlineStr">
        <is>
          <t>Trưởng phòng</t>
        </is>
      </c>
      <c r="H1882" s="10" t="inlineStr">
        <is>
          <t>09/02/2026</t>
        </is>
      </c>
      <c r="I1882" s="10" t="inlineStr">
        <is>
          <t>26/03/2026</t>
        </is>
      </c>
      <c r="J1882" s="10" t="inlineStr">
        <is>
          <t>17/03/2026</t>
        </is>
      </c>
      <c r="K1882" s="10" t="inlineStr">
        <is>
          <t>N/A</t>
        </is>
      </c>
      <c r="L1882" s="10" t="inlineStr">
        <is>
          <t>Communication Skills, HR Management, Labor Law, Leadership Ability, Problem-solving</t>
        </is>
      </c>
      <c r="M1882" s="10" t="inlineStr">
        <is>
          <t>Paid Leave, Others</t>
        </is>
      </c>
      <c r="N1882" s="11">
        <f>HYPERLINK("https://www.vietnamworks.com/human-resources-manager-2010808-jv","Xem chi tiết")</f>
        <v/>
      </c>
      <c r="O1882" s="10" t="n"/>
    </row>
    <row r="1883">
      <c r="B1883" s="7" t="n">
        <v>1881</v>
      </c>
      <c r="C1883" t="inlineStr">
        <is>
          <t>Apparel Pattern Maker</t>
        </is>
      </c>
      <c r="D1883" t="inlineStr">
        <is>
          <t>Gloria Jeans Vietnam</t>
        </is>
      </c>
      <c r="E1883" t="inlineStr">
        <is>
          <t>Thương lượng</t>
        </is>
      </c>
      <c r="F1883" t="inlineStr">
        <is>
          <t>Hồ Chí Minh</t>
        </is>
      </c>
      <c r="G1883" t="inlineStr">
        <is>
          <t>Nhân viên</t>
        </is>
      </c>
      <c r="H1883" t="inlineStr">
        <is>
          <t>09/02/2026</t>
        </is>
      </c>
      <c r="I1883" t="inlineStr">
        <is>
          <t>26/03/2026</t>
        </is>
      </c>
      <c r="J1883" t="inlineStr">
        <is>
          <t>17/03/2026</t>
        </is>
      </c>
      <c r="K1883" t="inlineStr">
        <is>
          <t>N/A</t>
        </is>
      </c>
      <c r="L1883" t="inlineStr">
        <is>
          <t>Pattern Making, Fashion Design, Gerber, Optitex, Lectra Modaris</t>
        </is>
      </c>
      <c r="M1883" t="inlineStr">
        <is>
          <t>Bonus</t>
        </is>
      </c>
      <c r="N1883" s="8">
        <f>HYPERLINK("https://www.vietnamworks.com/apparel-pattern-maker-2010800-jv","Xem chi tiết")</f>
        <v/>
      </c>
    </row>
    <row r="1884">
      <c r="B1884" s="9" t="n">
        <v>1882</v>
      </c>
      <c r="C1884" s="10" t="inlineStr">
        <is>
          <t>Quản Lý Mua Hàng &amp; Logistics Vận Tải Định Giá Pricing Manager</t>
        </is>
      </c>
      <c r="D1884" s="10" t="inlineStr">
        <is>
          <t>LEAD INTERNATIONAL SUPPLY CHAIN（VIETNAM）CO.LTD.</t>
        </is>
      </c>
      <c r="E1884" s="10" t="inlineStr">
        <is>
          <t>$$ 900-1,800 /tháng</t>
        </is>
      </c>
      <c r="F1884" s="10" t="inlineStr">
        <is>
          <t>Hồ Chí Minh</t>
        </is>
      </c>
      <c r="G1884" s="10" t="inlineStr">
        <is>
          <t>Nhân viên</t>
        </is>
      </c>
      <c r="H1884" s="10" t="inlineStr">
        <is>
          <t>09/02/2026</t>
        </is>
      </c>
      <c r="I1884" s="10" t="inlineStr">
        <is>
          <t>26/03/2026</t>
        </is>
      </c>
      <c r="J1884" s="10" t="inlineStr">
        <is>
          <t>17/03/2026</t>
        </is>
      </c>
      <c r="K1884" s="10" t="inlineStr">
        <is>
          <t>N/A</t>
        </is>
      </c>
      <c r="L1884" s="10" t="inlineStr">
        <is>
          <t>Procurement, Logistic Forwarding, Import Export Experience, Sea Freight, Air Freight</t>
        </is>
      </c>
      <c r="M1884" s="10" t="inlineStr">
        <is>
          <t>Bonus, Healthcare Plan, Others</t>
        </is>
      </c>
      <c r="N1884" s="11">
        <f>HYPERLINK("https://www.vietnamworks.com/quan-ly-mua-hang-logistics-van-tai-dinh-gia-pricing-manager-2010827-jv","Xem chi tiết")</f>
        <v/>
      </c>
      <c r="O1884" s="10" t="n"/>
    </row>
    <row r="1885">
      <c r="B1885" s="7" t="n">
        <v>1883</v>
      </c>
      <c r="C1885" t="inlineStr">
        <is>
          <t>Nhân Viên Chăm Sóc Khách Hàng Xuất Nhập Khẩu</t>
        </is>
      </c>
      <c r="D1885" t="inlineStr">
        <is>
          <t>Công Ty TNHH Dược Phẩm Pro Cuộc Sống Xanh</t>
        </is>
      </c>
      <c r="E1885" t="inlineStr">
        <is>
          <t>Thương lượng</t>
        </is>
      </c>
      <c r="F1885" t="inlineStr">
        <is>
          <t>Hà Nội</t>
        </is>
      </c>
      <c r="G1885" t="inlineStr">
        <is>
          <t>Mới Tốt Nghiệp</t>
        </is>
      </c>
      <c r="H1885" t="inlineStr">
        <is>
          <t>09/02/2026</t>
        </is>
      </c>
      <c r="I1885" t="inlineStr">
        <is>
          <t>26/03/2026</t>
        </is>
      </c>
      <c r="J1885" t="inlineStr">
        <is>
          <t>17/03/2026</t>
        </is>
      </c>
      <c r="K1885" t="inlineStr">
        <is>
          <t>N/A</t>
        </is>
      </c>
      <c r="L1885" t="inlineStr">
        <is>
          <t>Tư Vấn Bán Hàng, Chăm Sóc Khách Hàng, Tìm Kiếm Khách Hàng, Quản Lý Đơn Hàng, Dịch Vụ Khách Hàng</t>
        </is>
      </c>
      <c r="M1885" t="inlineStr">
        <is>
          <t>Bonus, Healthcare Plan, Team Activities</t>
        </is>
      </c>
      <c r="N1885" s="8">
        <f>HYPERLINK("https://www.vietnamworks.com/nhan-vien-cham-soc-khach-hang-xuat-nhap-khau--2010795-jv","Xem chi tiết")</f>
        <v/>
      </c>
    </row>
    <row r="1886">
      <c r="B1886" s="9" t="n">
        <v>1884</v>
      </c>
      <c r="C1886" s="10" t="inlineStr">
        <is>
          <t>Studio Supporter (8H/ Day)</t>
        </is>
      </c>
      <c r="D1886" s="10" t="inlineStr">
        <is>
          <t>Công ty TNHH Freudenberg &amp; Vilene International Việt Nam</t>
        </is>
      </c>
      <c r="E1886" s="10" t="inlineStr">
        <is>
          <t>Thương lượng</t>
        </is>
      </c>
      <c r="F1886" s="10" t="inlineStr">
        <is>
          <t>Hồ Chí Minh</t>
        </is>
      </c>
      <c r="G1886" s="10" t="inlineStr">
        <is>
          <t>Mới Tốt Nghiệp</t>
        </is>
      </c>
      <c r="H1886" s="10" t="inlineStr">
        <is>
          <t>09/02/2026</t>
        </is>
      </c>
      <c r="I1886" s="10" t="inlineStr">
        <is>
          <t>26/03/2026</t>
        </is>
      </c>
      <c r="J1886" s="10" t="inlineStr">
        <is>
          <t>17/03/2026</t>
        </is>
      </c>
      <c r="K1886" s="10" t="inlineStr">
        <is>
          <t>N/A</t>
        </is>
      </c>
      <c r="L1886" s="10" t="inlineStr">
        <is>
          <t>Test Lab, sales admin, General Communication English, Fabric Design, FOC</t>
        </is>
      </c>
      <c r="M1886" s="10" t="inlineStr">
        <is>
          <t>Bonus, Healthcare Plan, Others</t>
        </is>
      </c>
      <c r="N1886" s="11">
        <f>HYPERLINK("https://www.vietnamworks.com/studio-supporter-8h-day-2010802-jv","Xem chi tiết")</f>
        <v/>
      </c>
      <c r="O1886" s="10" t="n"/>
    </row>
    <row r="1887">
      <c r="B1887" s="7" t="n">
        <v>1885</v>
      </c>
      <c r="C1887" t="inlineStr">
        <is>
          <t>Nhân Viên Chứng Từ Xuất Khẩu</t>
        </is>
      </c>
      <c r="D1887" t="inlineStr">
        <is>
          <t>TOSY Robotics Manufacturing Co., Ltd</t>
        </is>
      </c>
      <c r="E1887" t="inlineStr">
        <is>
          <t>Thương lượng</t>
        </is>
      </c>
      <c r="F1887" t="inlineStr">
        <is>
          <t>Hà Nội</t>
        </is>
      </c>
      <c r="G1887" t="inlineStr">
        <is>
          <t>Mới Tốt Nghiệp</t>
        </is>
      </c>
      <c r="H1887" t="inlineStr">
        <is>
          <t>09/02/2026</t>
        </is>
      </c>
      <c r="I1887" t="inlineStr">
        <is>
          <t>26/03/2026</t>
        </is>
      </c>
      <c r="J1887" t="inlineStr">
        <is>
          <t>17/03/2026</t>
        </is>
      </c>
      <c r="K1887" t="inlineStr">
        <is>
          <t>N/A</t>
        </is>
      </c>
      <c r="L1887" t="inlineStr">
        <is>
          <t>English Communication, Chứng Từ Xnk, MS Office, Thủ Tục Hải Quan, Xuất Nhập Khẩu</t>
        </is>
      </c>
      <c r="M1887" t="inlineStr">
        <is>
          <t>Bonus, Training, Awards, Others</t>
        </is>
      </c>
      <c r="N1887" s="8">
        <f>HYPERLINK("https://www.vietnamworks.com/nhan-vien-chung-tu-xuat-khau-2010817-jv","Xem chi tiết")</f>
        <v/>
      </c>
    </row>
    <row r="1888">
      <c r="B1888" s="9" t="n">
        <v>1886</v>
      </c>
      <c r="C1888" s="10" t="inlineStr">
        <is>
          <t>QE Automation Developer</t>
        </is>
      </c>
      <c r="D1888" s="10" t="inlineStr">
        <is>
          <t>LG Electronics Development Vietnam Company Limited</t>
        </is>
      </c>
      <c r="E1888" s="10" t="inlineStr">
        <is>
          <t>$$ 1,000-1,800 /tháng</t>
        </is>
      </c>
      <c r="F1888" s="10" t="inlineStr">
        <is>
          <t>Hà Nội</t>
        </is>
      </c>
      <c r="G1888" s="10" t="inlineStr">
        <is>
          <t>Nhân viên</t>
        </is>
      </c>
      <c r="H1888" s="10" t="inlineStr">
        <is>
          <t>09/02/2026</t>
        </is>
      </c>
      <c r="I1888" s="10" t="inlineStr">
        <is>
          <t>26/03/2026</t>
        </is>
      </c>
      <c r="J1888" s="10" t="inlineStr">
        <is>
          <t>17/03/2026</t>
        </is>
      </c>
      <c r="K1888" s="10" t="inlineStr">
        <is>
          <t>N/A</t>
        </is>
      </c>
      <c r="L1888" s="10" t="inlineStr">
        <is>
          <t>Automation Testing, Automotive, Linux Development, Python Programming</t>
        </is>
      </c>
      <c r="M1888" s="10" t="inlineStr">
        <is>
          <t>Bonus, Healthcare Plan, Paid Leave, Laptop, Team Activities, Others</t>
        </is>
      </c>
      <c r="N1888" s="11">
        <f>HYPERLINK("https://www.vietnamworks.com/qe-automation-developer-2010801-jv","Xem chi tiết")</f>
        <v/>
      </c>
      <c r="O1888" s="10" t="n"/>
    </row>
    <row r="1889">
      <c r="B1889" s="7" t="n">
        <v>1887</v>
      </c>
      <c r="C1889" t="inlineStr">
        <is>
          <t>Internal Audit Officer, Head Office</t>
        </is>
      </c>
      <c r="D1889" t="inlineStr">
        <is>
          <t>Public Bank Vietnam Ltd</t>
        </is>
      </c>
      <c r="E1889" t="inlineStr">
        <is>
          <t>$$ 642-730 /tháng</t>
        </is>
      </c>
      <c r="F1889" t="inlineStr">
        <is>
          <t>Hà Nội</t>
        </is>
      </c>
      <c r="G1889" t="inlineStr">
        <is>
          <t>Nhân viên</t>
        </is>
      </c>
      <c r="H1889" t="inlineStr">
        <is>
          <t>09/02/2026</t>
        </is>
      </c>
      <c r="I1889" t="inlineStr">
        <is>
          <t>26/03/2026</t>
        </is>
      </c>
      <c r="J1889" t="inlineStr">
        <is>
          <t>17/03/2026</t>
        </is>
      </c>
      <c r="K1889" t="inlineStr">
        <is>
          <t>N/A</t>
        </is>
      </c>
      <c r="L1889" t="inlineStr">
        <is>
          <t>Banking products knowledge, Internal Audit, Internal Control, Leadership, Risk Management</t>
        </is>
      </c>
      <c r="M1889" t="inlineStr">
        <is>
          <t>Bonus, Paid Leave, Training</t>
        </is>
      </c>
      <c r="N1889" s="8">
        <f>HYPERLINK("https://www.vietnamworks.com/internal-audit-officer-head-office-2010811-jv","Xem chi tiết")</f>
        <v/>
      </c>
    </row>
    <row r="1890">
      <c r="B1890" s="9" t="n">
        <v>1888</v>
      </c>
      <c r="C1890" s="10" t="inlineStr">
        <is>
          <t>Operations Senior, Dtl Line (Deal-Tax-Legal)</t>
        </is>
      </c>
      <c r="D1890" s="10" t="inlineStr">
        <is>
          <t>KPMG Việt Nam</t>
        </is>
      </c>
      <c r="E1890" s="10" t="inlineStr">
        <is>
          <t>Thương lượng</t>
        </is>
      </c>
      <c r="F1890" s="10" t="inlineStr">
        <is>
          <t>Hồ Chí Minh</t>
        </is>
      </c>
      <c r="G1890" s="10" t="inlineStr">
        <is>
          <t>Nhân viên</t>
        </is>
      </c>
      <c r="H1890" s="10" t="inlineStr">
        <is>
          <t>09/02/2026</t>
        </is>
      </c>
      <c r="I1890" s="10" t="inlineStr">
        <is>
          <t>26/03/2026</t>
        </is>
      </c>
      <c r="J1890" s="10" t="inlineStr">
        <is>
          <t>17/03/2026</t>
        </is>
      </c>
      <c r="K1890" s="10" t="inlineStr">
        <is>
          <t>N/A</t>
        </is>
      </c>
      <c r="L1890" s="10" t="inlineStr">
        <is>
          <t>Communication Skills, Reporting Skill, Project Management</t>
        </is>
      </c>
      <c r="M1890" s="10" t="inlineStr">
        <is>
          <t>Bonus, Healthcare Plan, Training</t>
        </is>
      </c>
      <c r="N1890" s="11">
        <f>HYPERLINK("https://www.vietnamworks.com/operations-senior-dtl-line-deal-tax-legal-2010797-jv","Xem chi tiết")</f>
        <v/>
      </c>
      <c r="O1890" s="10" t="n"/>
    </row>
    <row r="1891">
      <c r="B1891" s="7" t="n">
        <v>1889</v>
      </c>
      <c r="C1891" t="inlineStr">
        <is>
          <t>Chuyên Viên Phát Triển Sản Phẩm - Garment Technician</t>
        </is>
      </c>
      <c r="D1891" t="inlineStr">
        <is>
          <t>Linea Aqua Vietnam Company Limited (Lavn)</t>
        </is>
      </c>
      <c r="E1891" t="inlineStr">
        <is>
          <t>Thương lượng</t>
        </is>
      </c>
      <c r="F1891" t="inlineStr">
        <is>
          <t>Hưng Yên, Hải Dương, Hà Nội</t>
        </is>
      </c>
      <c r="G1891" t="inlineStr">
        <is>
          <t>Nhân viên</t>
        </is>
      </c>
      <c r="H1891" t="inlineStr">
        <is>
          <t>09/02/2026</t>
        </is>
      </c>
      <c r="I1891" t="inlineStr">
        <is>
          <t>26/03/2026</t>
        </is>
      </c>
      <c r="J1891" t="inlineStr">
        <is>
          <t>17/03/2026</t>
        </is>
      </c>
      <c r="K1891" t="inlineStr">
        <is>
          <t>N/A</t>
        </is>
      </c>
      <c r="L1891" t="inlineStr">
        <is>
          <t>Garment Development, English, Garment Construction, Garment Sewing, Garment Technical Design</t>
        </is>
      </c>
      <c r="M1891" t="inlineStr">
        <is>
          <t>Bonus, Healthcare Plan, Transportation</t>
        </is>
      </c>
      <c r="N1891" s="8">
        <f>HYPERLINK("https://www.vietnamworks.com/chuyen-vien-phat-trien-san-pham-garment-technician-2010804-jv","Xem chi tiết")</f>
        <v/>
      </c>
    </row>
    <row r="1892">
      <c r="B1892" s="9" t="n">
        <v>1890</v>
      </c>
      <c r="C1892" s="10" t="inlineStr">
        <is>
          <t>Costing Manager (Footwear)</t>
        </is>
      </c>
      <c r="D1892" s="10" t="inlineStr">
        <is>
          <t>Công Ty TNHH Yc-Tec Việt Nam</t>
        </is>
      </c>
      <c r="E1892" s="10" t="inlineStr">
        <is>
          <t>25tr-40tr ₫/tháng</t>
        </is>
      </c>
      <c r="F1892" s="10" t="inlineStr">
        <is>
          <t>Hồ Chí Minh, Bình Dương</t>
        </is>
      </c>
      <c r="G1892" s="10" t="inlineStr">
        <is>
          <t>Trưởng phòng</t>
        </is>
      </c>
      <c r="H1892" s="10" t="inlineStr">
        <is>
          <t>09/02/2026</t>
        </is>
      </c>
      <c r="I1892" s="10" t="inlineStr">
        <is>
          <t>26/03/2026</t>
        </is>
      </c>
      <c r="J1892" s="10" t="inlineStr">
        <is>
          <t>17/03/2026</t>
        </is>
      </c>
      <c r="K1892" s="10" t="inlineStr">
        <is>
          <t>N/A</t>
        </is>
      </c>
      <c r="L1892" s="10" t="inlineStr">
        <is>
          <t>englich, Footwear production, Data Analysis, Material, Supplier Negotiation</t>
        </is>
      </c>
      <c r="M1892" s="10" t="inlineStr">
        <is>
          <t>Others</t>
        </is>
      </c>
      <c r="N1892" s="11">
        <f>HYPERLINK("https://www.vietnamworks.com/costing-manager-footwear--2010793-jv","Xem chi tiết")</f>
        <v/>
      </c>
      <c r="O1892" s="10" t="n"/>
    </row>
    <row r="1893">
      <c r="B1893" s="7" t="n">
        <v>1891</v>
      </c>
      <c r="C1893" t="inlineStr">
        <is>
          <t>Engineer - Quality Management (Risk Analysis)</t>
        </is>
      </c>
      <c r="D1893" t="inlineStr">
        <is>
          <t>B. Braun</t>
        </is>
      </c>
      <c r="E1893" t="inlineStr">
        <is>
          <t>Thương lượng</t>
        </is>
      </c>
      <c r="F1893" t="inlineStr">
        <is>
          <t>Hà Nội</t>
        </is>
      </c>
      <c r="G1893" t="inlineStr">
        <is>
          <t>Nhân viên</t>
        </is>
      </c>
      <c r="H1893" t="inlineStr">
        <is>
          <t>09/02/2026</t>
        </is>
      </c>
      <c r="I1893" t="inlineStr">
        <is>
          <t>26/03/2026</t>
        </is>
      </c>
      <c r="J1893" t="inlineStr">
        <is>
          <t>17/03/2026</t>
        </is>
      </c>
      <c r="K1893" t="inlineStr">
        <is>
          <t>N/A</t>
        </is>
      </c>
      <c r="L1893" t="inlineStr">
        <is>
          <t>Quality Management, Risk Analysis, Root Cause Analysis, ISO 13485, Risk Assessment</t>
        </is>
      </c>
      <c r="M1893" t="inlineStr">
        <is>
          <t>Bonus, Healthcare Plan, Training</t>
        </is>
      </c>
      <c r="N1893" s="8">
        <f>HYPERLINK("https://www.vietnamworks.com/engineer-quality-management-risk-analysis--2010809-jv","Xem chi tiết")</f>
        <v/>
      </c>
    </row>
    <row r="1894">
      <c r="B1894" s="9" t="n">
        <v>1892</v>
      </c>
      <c r="C1894" s="10" t="inlineStr">
        <is>
          <t>Recruitment Executive | Chuyên Viên Tuyển Dụng</t>
        </is>
      </c>
      <c r="D1894" s="10" t="inlineStr">
        <is>
          <t>Linea Aqua Vietnam Company Limited (Lavn)</t>
        </is>
      </c>
      <c r="E1894" s="10" t="inlineStr">
        <is>
          <t>Thương lượng</t>
        </is>
      </c>
      <c r="F1894" s="10" t="inlineStr">
        <is>
          <t>Hưng Yên, Hải Dương, Hà Nội</t>
        </is>
      </c>
      <c r="G1894" s="10" t="inlineStr">
        <is>
          <t>Nhân viên</t>
        </is>
      </c>
      <c r="H1894" s="10" t="inlineStr">
        <is>
          <t>09/02/2026</t>
        </is>
      </c>
      <c r="I1894" s="10" t="inlineStr">
        <is>
          <t>26/03/2026</t>
        </is>
      </c>
      <c r="J1894" s="10" t="inlineStr">
        <is>
          <t>17/03/2026</t>
        </is>
      </c>
      <c r="K1894" s="10" t="inlineStr">
        <is>
          <t>N/A</t>
        </is>
      </c>
      <c r="L1894" s="10" t="inlineStr">
        <is>
          <t>Tuyển Dụng, Recruitment, Human Resources, Employee Relation, Garment</t>
        </is>
      </c>
      <c r="M1894" s="10" t="inlineStr">
        <is>
          <t>Bonus, Healthcare Plan, Transportation</t>
        </is>
      </c>
      <c r="N1894" s="11">
        <f>HYPERLINK("https://www.vietnamworks.com/recruitment-executive-chuyen-vien-tuyen-dung-3-2-1-1--2010807-jv","Xem chi tiết")</f>
        <v/>
      </c>
      <c r="O1894" s="10" t="n"/>
    </row>
    <row r="1895">
      <c r="B1895" s="7" t="n">
        <v>1893</v>
      </c>
      <c r="C1895" t="inlineStr">
        <is>
          <t>Senior Sales Admin (Contractor)</t>
        </is>
      </c>
      <c r="D1895" t="inlineStr">
        <is>
          <t>Abbott</t>
        </is>
      </c>
      <c r="E1895" t="inlineStr">
        <is>
          <t>Thương lượng</t>
        </is>
      </c>
      <c r="F1895" t="inlineStr">
        <is>
          <t>Hồ Chí Minh</t>
        </is>
      </c>
      <c r="G1895" t="inlineStr">
        <is>
          <t>Nhân viên</t>
        </is>
      </c>
      <c r="H1895" t="inlineStr">
        <is>
          <t>09/02/2026</t>
        </is>
      </c>
      <c r="I1895" t="inlineStr">
        <is>
          <t>26/03/2026</t>
        </is>
      </c>
      <c r="J1895" t="inlineStr">
        <is>
          <t>17/03/2026</t>
        </is>
      </c>
      <c r="K1895" t="inlineStr">
        <is>
          <t>N/A</t>
        </is>
      </c>
      <c r="L1895" t="inlineStr">
        <is>
          <t>Sales Administration, Data Management, Reporting, Sales Operations, Analysis Report</t>
        </is>
      </c>
      <c r="M1895" t="inlineStr">
        <is>
          <t>Bonus, Healthcare Plan, Training</t>
        </is>
      </c>
      <c r="N1895" s="8">
        <f>HYPERLINK("https://www.vietnamworks.com/senior-sales-admin-contractor-2010812-jv","Xem chi tiết")</f>
        <v/>
      </c>
    </row>
    <row r="1896">
      <c r="B1896" s="9" t="n">
        <v>1894</v>
      </c>
      <c r="C1896" s="10" t="inlineStr">
        <is>
          <t>Trưởng Phòng Khuôn Mẫu/ Tooling Manager</t>
        </is>
      </c>
      <c r="D1896" s="10" t="inlineStr">
        <is>
          <t>Công Ty TNHH Yc-Tec Việt Nam</t>
        </is>
      </c>
      <c r="E1896" s="10" t="inlineStr">
        <is>
          <t>Thương lượng</t>
        </is>
      </c>
      <c r="F1896" s="10" t="inlineStr">
        <is>
          <t>Bình Dương, Hồ Chí Minh</t>
        </is>
      </c>
      <c r="G1896" s="10" t="inlineStr">
        <is>
          <t>Trưởng phòng</t>
        </is>
      </c>
      <c r="H1896" s="10" t="inlineStr">
        <is>
          <t>09/02/2026</t>
        </is>
      </c>
      <c r="I1896" s="10" t="inlineStr">
        <is>
          <t>26/03/2026</t>
        </is>
      </c>
      <c r="J1896" s="10" t="inlineStr">
        <is>
          <t>17/03/2026</t>
        </is>
      </c>
      <c r="K1896" s="10" t="inlineStr">
        <is>
          <t>N/A</t>
        </is>
      </c>
      <c r="L1896" s="10" t="inlineStr">
        <is>
          <t>Microsoft Office, Mold Engineer, 2D/3D CAD, Rhinoceros, Thiết Kế Khuôn</t>
        </is>
      </c>
      <c r="M1896" s="10" t="inlineStr">
        <is>
          <t>Others</t>
        </is>
      </c>
      <c r="N1896" s="11">
        <f>HYPERLINK("https://www.vietnamworks.com/truong-phong-khuon-mau-tooling-manager-2010819-jv","Xem chi tiết")</f>
        <v/>
      </c>
      <c r="O1896" s="10" t="n"/>
    </row>
    <row r="1897">
      <c r="B1897" s="7" t="n">
        <v>1895</v>
      </c>
      <c r="C1897" t="inlineStr">
        <is>
          <t>Health &amp; Safety Executive</t>
        </is>
      </c>
      <c r="D1897" t="inlineStr">
        <is>
          <t>Coats Phong Phu</t>
        </is>
      </c>
      <c r="E1897" t="inlineStr">
        <is>
          <t>Thương lượng</t>
        </is>
      </c>
      <c r="F1897" t="inlineStr">
        <is>
          <t>Hưng Yên</t>
        </is>
      </c>
      <c r="G1897" t="inlineStr">
        <is>
          <t>Nhân viên</t>
        </is>
      </c>
      <c r="H1897" t="inlineStr">
        <is>
          <t>09/02/2026</t>
        </is>
      </c>
      <c r="I1897" t="inlineStr">
        <is>
          <t>26/03/2026</t>
        </is>
      </c>
      <c r="J1897" t="inlineStr">
        <is>
          <t>17/03/2026</t>
        </is>
      </c>
      <c r="K1897" t="inlineStr">
        <is>
          <t>N/A</t>
        </is>
      </c>
      <c r="L1897" t="inlineStr">
        <is>
          <t>HSE Compliance, ISO 45001, HSE Regulations, MSA</t>
        </is>
      </c>
      <c r="M1897" t="inlineStr">
        <is>
          <t>Bonus, Healthcare Plan, Paid Leave, Laptop, Mobile, Team Activities, Transportation, Canteen</t>
        </is>
      </c>
      <c r="N1897" s="8">
        <f>HYPERLINK("https://www.vietnamworks.com/health-and-safety-executive-2010816-jv","Xem chi tiết")</f>
        <v/>
      </c>
    </row>
    <row r="1898">
      <c r="B1898" s="9" t="n">
        <v>1896</v>
      </c>
      <c r="C1898" s="10" t="inlineStr">
        <is>
          <t>Industrial Engineer Manager (Footwear)</t>
        </is>
      </c>
      <c r="D1898" s="10" t="inlineStr">
        <is>
          <t>Công Ty TNHH Yc-Tec Việt Nam</t>
        </is>
      </c>
      <c r="E1898" s="10" t="inlineStr">
        <is>
          <t>30tr-45tr ₫/tháng</t>
        </is>
      </c>
      <c r="F1898" s="10" t="inlineStr">
        <is>
          <t>Hồ Chí Minh, Bình Dương</t>
        </is>
      </c>
      <c r="G1898" s="10" t="inlineStr">
        <is>
          <t>Trưởng phòng</t>
        </is>
      </c>
      <c r="H1898" s="10" t="inlineStr">
        <is>
          <t>09/02/2026</t>
        </is>
      </c>
      <c r="I1898" s="10" t="inlineStr">
        <is>
          <t>26/03/2026</t>
        </is>
      </c>
      <c r="J1898" s="10" t="inlineStr">
        <is>
          <t>17/03/2026</t>
        </is>
      </c>
      <c r="K1898" s="10" t="inlineStr">
        <is>
          <t>N/A</t>
        </is>
      </c>
      <c r="L1898" s="10" t="inlineStr">
        <is>
          <t>Data Analysis, ERP, Industrial Engineering, Lean Manufacturing, Project Management</t>
        </is>
      </c>
      <c r="M1898" s="10" t="inlineStr">
        <is>
          <t>Others</t>
        </is>
      </c>
      <c r="N1898" s="11">
        <f>HYPERLINK("https://www.vietnamworks.com/industrial-engineer-manager-footwear-2010815-jv","Xem chi tiết")</f>
        <v/>
      </c>
      <c r="O1898" s="10" t="n"/>
    </row>
    <row r="1899">
      <c r="B1899" s="7" t="n">
        <v>1897</v>
      </c>
      <c r="C1899" t="inlineStr">
        <is>
          <t>Tester Tiếng Hàn (Senior)</t>
        </is>
      </c>
      <c r="D1899" t="inlineStr">
        <is>
          <t>SNOW VIỆT NAM</t>
        </is>
      </c>
      <c r="E1899" t="inlineStr">
        <is>
          <t>Thương lượng</t>
        </is>
      </c>
      <c r="F1899" t="inlineStr">
        <is>
          <t>Hồ Chí Minh</t>
        </is>
      </c>
      <c r="G1899" t="inlineStr">
        <is>
          <t>Nhân viên</t>
        </is>
      </c>
      <c r="H1899" t="inlineStr">
        <is>
          <t>09/02/2026</t>
        </is>
      </c>
      <c r="I1899" t="inlineStr">
        <is>
          <t>26/03/2026</t>
        </is>
      </c>
      <c r="J1899" t="inlineStr">
        <is>
          <t>17/03/2026</t>
        </is>
      </c>
      <c r="K1899" t="inlineStr">
        <is>
          <t>N/A</t>
        </is>
      </c>
      <c r="L1899" t="inlineStr">
        <is>
          <t>Test Cases, Software Testing, Korean Language, Quality Control, IT Comtor</t>
        </is>
      </c>
      <c r="M1899" t="inlineStr">
        <is>
          <t>Healthcare Plan, Laptop, Canteen</t>
        </is>
      </c>
      <c r="N1899" s="8">
        <f>HYPERLINK("https://www.vietnamworks.com/tester-tieng-han-senior--2010814-jv","Xem chi tiết")</f>
        <v/>
      </c>
    </row>
    <row r="1900">
      <c r="B1900" s="9" t="n">
        <v>1898</v>
      </c>
      <c r="C1900" s="10" t="inlineStr">
        <is>
          <t>Tuyển Gấp Nam Nhân Viên Kỹ Thuật Phòng Bảo Dưỡng (Chuyên Ngành Điện, Tự Động Hóa) - Nhà Máy KCN Thăng Long</t>
        </is>
      </c>
      <c r="D1900" s="10" t="inlineStr">
        <is>
          <t>Công Ty TNHH Ogino Việt Nam</t>
        </is>
      </c>
      <c r="E1900" s="10" t="inlineStr">
        <is>
          <t>$$ 400-500 /tháng</t>
        </is>
      </c>
      <c r="F1900" s="10" t="inlineStr">
        <is>
          <t>Hà Nội</t>
        </is>
      </c>
      <c r="G1900" s="10" t="inlineStr">
        <is>
          <t>Nhân viên</t>
        </is>
      </c>
      <c r="H1900" s="10" t="inlineStr">
        <is>
          <t>09/02/2026</t>
        </is>
      </c>
      <c r="I1900" s="10" t="inlineStr">
        <is>
          <t>26/03/2026</t>
        </is>
      </c>
      <c r="J1900" s="10" t="inlineStr">
        <is>
          <t>17/03/2026</t>
        </is>
      </c>
      <c r="K1900" s="10" t="inlineStr">
        <is>
          <t>N/A</t>
        </is>
      </c>
      <c r="L1900" s="10" t="inlineStr">
        <is>
          <t>Tự Động Hóa, Kỹ Thuật Điện, Bảo dưỡng ,lắp đặt  máy., CNC</t>
        </is>
      </c>
      <c r="M1900" s="10" t="inlineStr">
        <is>
          <t>Bonus, Healthcare Plan, Team Activities</t>
        </is>
      </c>
      <c r="N1900" s="11">
        <f>HYPERLINK("https://www.vietnamworks.com/tuyen-gap-nam-nhan-vien-ky-thuat-phong-bao-duong-chuyen-nganh-dien-tu-dong-hoa-nha-may-kcn-thang-long--2010831-jv","Xem chi tiết")</f>
        <v/>
      </c>
      <c r="O1900" s="10" t="n"/>
    </row>
    <row r="1901">
      <c r="B1901" s="7" t="n">
        <v>1899</v>
      </c>
      <c r="C1901" t="inlineStr">
        <is>
          <t>Kỹ Sư Cơ Khí</t>
        </is>
      </c>
      <c r="D1901" t="inlineStr">
        <is>
          <t>Holcom Vietnam Co.,Ltd</t>
        </is>
      </c>
      <c r="E1901" t="inlineStr">
        <is>
          <t>Thương lượng</t>
        </is>
      </c>
      <c r="F1901" t="inlineStr">
        <is>
          <t>Hà Nội, Bắc Ninh</t>
        </is>
      </c>
      <c r="G1901" t="inlineStr">
        <is>
          <t>Nhân viên</t>
        </is>
      </c>
      <c r="H1901" t="inlineStr">
        <is>
          <t>09/02/2026</t>
        </is>
      </c>
      <c r="I1901" t="inlineStr">
        <is>
          <t>26/03/2026</t>
        </is>
      </c>
      <c r="J1901" t="inlineStr">
        <is>
          <t>17/03/2026</t>
        </is>
      </c>
      <c r="K1901" t="inlineStr">
        <is>
          <t>N/A</t>
        </is>
      </c>
      <c r="L1901" t="inlineStr">
        <is>
          <t>Thiết Kế Hệ Thống Năng Lượng Mặt Trời, Thiết Kế Giá Đỡ, Kiểm Tra Vận Đơn, thành thào autocad, Làm Việc Nhóm</t>
        </is>
      </c>
      <c r="M1901" t="inlineStr">
        <is>
          <t>Bonus, Healthcare Plan, Awards, Travel Opportunities</t>
        </is>
      </c>
      <c r="N1901" s="8">
        <f>HYPERLINK("https://www.vietnamworks.com/ky-su-co-khi-2010839-jv","Xem chi tiết")</f>
        <v/>
      </c>
    </row>
    <row r="1902">
      <c r="B1902" s="9" t="n">
        <v>1900</v>
      </c>
      <c r="C1902" s="10" t="inlineStr">
        <is>
          <t>Manager - Transaction Due Diligence</t>
        </is>
      </c>
      <c r="D1902" s="10" t="inlineStr">
        <is>
          <t>Ernst &amp; Young Vietnam Limited (EY Vietnam)</t>
        </is>
      </c>
      <c r="E1902" s="10" t="inlineStr">
        <is>
          <t>Thương lượng</t>
        </is>
      </c>
      <c r="F1902" s="10" t="inlineStr">
        <is>
          <t>Hồ Chí Minh</t>
        </is>
      </c>
      <c r="G1902" s="10" t="inlineStr">
        <is>
          <t>Trưởng phòng</t>
        </is>
      </c>
      <c r="H1902" s="10" t="inlineStr">
        <is>
          <t>09/02/2026</t>
        </is>
      </c>
      <c r="I1902" s="10" t="inlineStr">
        <is>
          <t>26/03/2026</t>
        </is>
      </c>
      <c r="J1902" s="10" t="inlineStr">
        <is>
          <t>17/03/2026</t>
        </is>
      </c>
      <c r="K1902" s="10" t="inlineStr">
        <is>
          <t>N/A</t>
        </is>
      </c>
      <c r="L1902" s="10" t="inlineStr">
        <is>
          <t>Accounting, Auditing, Financial Due Diligence</t>
        </is>
      </c>
      <c r="M1902" s="10" t="inlineStr">
        <is>
          <t>Bonus, Awards, Others</t>
        </is>
      </c>
      <c r="N1902" s="11">
        <f>HYPERLINK("https://www.vietnamworks.com/manager-transaction-due-diligence--2010846-jv","Xem chi tiết")</f>
        <v/>
      </c>
      <c r="O1902" s="10" t="n"/>
    </row>
    <row r="1903">
      <c r="B1903" s="7" t="n">
        <v>1901</v>
      </c>
      <c r="C1903" t="inlineStr">
        <is>
          <t>Nhân Viên Trade Marketing</t>
        </is>
      </c>
      <c r="D1903" t="inlineStr">
        <is>
          <t>Công Ty Cổ Phần Tập Đoàn Gỗ Minh Long</t>
        </is>
      </c>
      <c r="E1903" t="inlineStr">
        <is>
          <t>12tr-20tr ₫/tháng</t>
        </is>
      </c>
      <c r="F1903" t="inlineStr">
        <is>
          <t>Hà Nội</t>
        </is>
      </c>
      <c r="G1903" t="inlineStr">
        <is>
          <t>Nhân viên</t>
        </is>
      </c>
      <c r="H1903" t="inlineStr">
        <is>
          <t>09/02/2026</t>
        </is>
      </c>
      <c r="I1903" t="inlineStr">
        <is>
          <t>26/03/2026</t>
        </is>
      </c>
      <c r="J1903" t="inlineStr">
        <is>
          <t>17/03/2026</t>
        </is>
      </c>
      <c r="K1903" t="inlineStr">
        <is>
          <t>N/A</t>
        </is>
      </c>
      <c r="L1903" t="inlineStr">
        <is>
          <t>Marketing Intelligence Analysis, Marketing POSM, Marketing Development, Trade Marketing, Business Analysis</t>
        </is>
      </c>
      <c r="M1903" t="inlineStr">
        <is>
          <t>Bonus, Training, Laptop</t>
        </is>
      </c>
      <c r="N1903" s="8">
        <f>HYPERLINK("https://www.vietnamworks.com/nhan-vien-trade-marketing--2010843-jv","Xem chi tiết")</f>
        <v/>
      </c>
    </row>
    <row r="1904">
      <c r="B1904" s="9" t="n">
        <v>1902</v>
      </c>
      <c r="C1904" s="10" t="inlineStr">
        <is>
          <t>Nhân Viên Logistics Hiện Trường</t>
        </is>
      </c>
      <c r="D1904" s="10" t="inlineStr">
        <is>
          <t>Công Ty CP Tập Đoàn Đầu Tư Việt Phương</t>
        </is>
      </c>
      <c r="E1904" s="10" t="inlineStr">
        <is>
          <t>Thương lượng</t>
        </is>
      </c>
      <c r="F1904" s="10" t="inlineStr">
        <is>
          <t>Quảng Trị, Thừa Thiên Huế</t>
        </is>
      </c>
      <c r="G1904" s="10" t="inlineStr">
        <is>
          <t>Nhân viên</t>
        </is>
      </c>
      <c r="H1904" s="10" t="inlineStr">
        <is>
          <t>09/02/2026</t>
        </is>
      </c>
      <c r="I1904" s="10" t="inlineStr">
        <is>
          <t>26/03/2026</t>
        </is>
      </c>
      <c r="J1904" s="10" t="inlineStr">
        <is>
          <t>17/03/2026</t>
        </is>
      </c>
      <c r="K1904" s="10" t="inlineStr">
        <is>
          <t>N/A</t>
        </is>
      </c>
      <c r="L1904" s="10" t="inlineStr">
        <is>
          <t>Logistics, Customs Procedures, Chứng Từ Xuất Nhập Khẩu, Thông Quan Lô Hàng, Thủ Tục Hải Quan</t>
        </is>
      </c>
      <c r="M1904" s="10" t="inlineStr">
        <is>
          <t>Bonus, Healthcare Plan, Laptop</t>
        </is>
      </c>
      <c r="N1904" s="11">
        <f>HYPERLINK("https://www.vietnamworks.com/nhan-vien-logistics-hien-truong-2010834-jv","Xem chi tiết")</f>
        <v/>
      </c>
      <c r="O1904" s="10" t="n"/>
    </row>
    <row r="1905">
      <c r="B1905" s="7" t="n">
        <v>1903</v>
      </c>
      <c r="C1905" t="inlineStr">
        <is>
          <t>Head of Customer Project Management</t>
        </is>
      </c>
      <c r="D1905" t="inlineStr">
        <is>
          <t>Schneider Electric Vietnam Limited</t>
        </is>
      </c>
      <c r="E1905" t="inlineStr">
        <is>
          <t>Thương lượng</t>
        </is>
      </c>
      <c r="F1905" t="inlineStr">
        <is>
          <t>Hồ Chí Minh</t>
        </is>
      </c>
      <c r="G1905" t="inlineStr">
        <is>
          <t>Giám Đốc và Cấp Cao Hơn</t>
        </is>
      </c>
      <c r="H1905" t="inlineStr">
        <is>
          <t>09/02/2026</t>
        </is>
      </c>
      <c r="I1905" t="inlineStr">
        <is>
          <t>26/03/2026</t>
        </is>
      </c>
      <c r="J1905" t="inlineStr">
        <is>
          <t>17/03/2026</t>
        </is>
      </c>
      <c r="K1905" t="inlineStr">
        <is>
          <t>N/A</t>
        </is>
      </c>
      <c r="L1905" t="inlineStr">
        <is>
          <t>Project magement, Leadership, P&amp;L Management</t>
        </is>
      </c>
      <c r="M1905" t="inlineStr">
        <is>
          <t>Bonus, Healthcare Plan, Paid Leave</t>
        </is>
      </c>
      <c r="N1905" s="8">
        <f>HYPERLINK("https://www.vietnamworks.com/head-of-customer-project-management-2010854-jv","Xem chi tiết")</f>
        <v/>
      </c>
    </row>
    <row r="1906">
      <c r="B1906" s="9" t="n">
        <v>1904</v>
      </c>
      <c r="C1906" s="10" t="inlineStr">
        <is>
          <t>Sales Engineer (Ho Chi Minh Office)</t>
        </is>
      </c>
      <c r="D1906" s="10" t="inlineStr">
        <is>
          <t>Công Ty TNHH Oerlikon Balzers Coating Việt Nam</t>
        </is>
      </c>
      <c r="E1906" s="10" t="inlineStr">
        <is>
          <t>$$ 1,000-2,000 /tháng</t>
        </is>
      </c>
      <c r="F1906" s="10" t="inlineStr">
        <is>
          <t>Hồ Chí Minh</t>
        </is>
      </c>
      <c r="G1906" s="10" t="inlineStr">
        <is>
          <t>Nhân viên</t>
        </is>
      </c>
      <c r="H1906" s="10" t="inlineStr">
        <is>
          <t>09/02/2026</t>
        </is>
      </c>
      <c r="I1906" s="10" t="inlineStr">
        <is>
          <t>26/03/2026</t>
        </is>
      </c>
      <c r="J1906" s="10" t="inlineStr">
        <is>
          <t>17/03/2026</t>
        </is>
      </c>
      <c r="K1906" s="10" t="inlineStr">
        <is>
          <t>N/A</t>
        </is>
      </c>
      <c r="L1906" s="10" t="inlineStr">
        <is>
          <t>Sales Strategy, Sales Engineering, Engineering, Automation, Sales Sensitivity</t>
        </is>
      </c>
      <c r="M1906" s="10" t="inlineStr">
        <is>
          <t>Bonus, Healthcare Plan, Paid Leave</t>
        </is>
      </c>
      <c r="N1906" s="11">
        <f>HYPERLINK("https://www.vietnamworks.com/sales-engineer-ho-chi-minh-office-2010844-jv","Xem chi tiết")</f>
        <v/>
      </c>
      <c r="O1906" s="10" t="n"/>
    </row>
    <row r="1907">
      <c r="B1907" s="7" t="n">
        <v>1905</v>
      </c>
      <c r="C1907" t="inlineStr">
        <is>
          <t>O&amp;M Manager</t>
        </is>
      </c>
      <c r="D1907" t="inlineStr">
        <is>
          <t>CÔNG TY TNHH MTV PE VIỆT NAM</t>
        </is>
      </c>
      <c r="E1907" t="inlineStr">
        <is>
          <t>Thương lượng</t>
        </is>
      </c>
      <c r="F1907" t="inlineStr">
        <is>
          <t>Hồ Chí Minh</t>
        </is>
      </c>
      <c r="G1907" t="inlineStr">
        <is>
          <t>Trưởng phòng</t>
        </is>
      </c>
      <c r="H1907" t="inlineStr">
        <is>
          <t>09/02/2026</t>
        </is>
      </c>
      <c r="I1907" t="inlineStr">
        <is>
          <t>26/03/2026</t>
        </is>
      </c>
      <c r="J1907" t="inlineStr">
        <is>
          <t>17/03/2026</t>
        </is>
      </c>
      <c r="K1907" t="inlineStr">
        <is>
          <t>N/A</t>
        </is>
      </c>
      <c r="L1907" t="inlineStr">
        <is>
          <t>Cash Flow Optimization, Operational Risks Management, Power Plant Operation, Renewable Energy Projects, SCADA</t>
        </is>
      </c>
      <c r="M1907" t="inlineStr">
        <is>
          <t>Bonus, Healthcare Plan, Others</t>
        </is>
      </c>
      <c r="N1907" s="8">
        <f>HYPERLINK("https://www.vietnamworks.com/oandm-manager-2010849-jv","Xem chi tiết")</f>
        <v/>
      </c>
    </row>
    <row r="1908">
      <c r="B1908" s="9" t="n">
        <v>1906</v>
      </c>
      <c r="C1908" s="10" t="inlineStr">
        <is>
          <t>Content Leader</t>
        </is>
      </c>
      <c r="D1908" s="10" t="inlineStr">
        <is>
          <t>Công Ty Cổ Phần Tập Đoàn Gỗ Minh Long</t>
        </is>
      </c>
      <c r="E1908" s="10" t="inlineStr">
        <is>
          <t>$$ 700-1,000 /tháng</t>
        </is>
      </c>
      <c r="F1908" s="10" t="inlineStr">
        <is>
          <t>Hà Nội</t>
        </is>
      </c>
      <c r="G1908" s="10" t="inlineStr">
        <is>
          <t>Trưởng phòng</t>
        </is>
      </c>
      <c r="H1908" s="10" t="inlineStr">
        <is>
          <t>09/02/2026</t>
        </is>
      </c>
      <c r="I1908" s="10" t="inlineStr">
        <is>
          <t>26/03/2026</t>
        </is>
      </c>
      <c r="J1908" s="10" t="inlineStr">
        <is>
          <t>17/03/2026</t>
        </is>
      </c>
      <c r="K1908" s="10" t="inlineStr">
        <is>
          <t>N/A</t>
        </is>
      </c>
      <c r="L1908" s="10" t="inlineStr">
        <is>
          <t>Xây Dựng Chiến Lược Nội Dung, Sáng Tạo Nội Dung, Biên Tập Nội Dung, Content, Báo chí</t>
        </is>
      </c>
      <c r="M1908" s="10" t="inlineStr">
        <is>
          <t>Training, Laptop</t>
        </is>
      </c>
      <c r="N1908" s="11">
        <f>HYPERLINK("https://www.vietnamworks.com/content-leader--2010842-jv","Xem chi tiết")</f>
        <v/>
      </c>
      <c r="O1908" s="10" t="n"/>
    </row>
    <row r="1909">
      <c r="B1909" s="7" t="n">
        <v>1907</v>
      </c>
      <c r="C1909" t="inlineStr">
        <is>
          <t>Trưởng Phòng Xuất Nhập Khẩu/ Mua Hàng</t>
        </is>
      </c>
      <c r="D1909" t="inlineStr">
        <is>
          <t>Công Ty TNHH Sekonix Vina</t>
        </is>
      </c>
      <c r="E1909" t="inlineStr">
        <is>
          <t>Thương lượng</t>
        </is>
      </c>
      <c r="F1909" t="inlineStr">
        <is>
          <t>Phú Thọ</t>
        </is>
      </c>
      <c r="G1909" t="inlineStr">
        <is>
          <t>Nhân viên</t>
        </is>
      </c>
      <c r="H1909" t="inlineStr">
        <is>
          <t>09/02/2026</t>
        </is>
      </c>
      <c r="I1909" t="inlineStr">
        <is>
          <t>26/03/2026</t>
        </is>
      </c>
      <c r="J1909" t="inlineStr">
        <is>
          <t>17/03/2026</t>
        </is>
      </c>
      <c r="K1909" t="inlineStr">
        <is>
          <t>N/A</t>
        </is>
      </c>
      <c r="L1909" t="inlineStr">
        <is>
          <t>Chứng Từ Xuất Nhập Khẩu, Hải Quan, Quản Lý Kho, Quyết Toán Hải Quan, Thuế Xuất Nhập Khẩu</t>
        </is>
      </c>
      <c r="M1909" t="inlineStr">
        <is>
          <t>Training, Transportation, Others</t>
        </is>
      </c>
      <c r="N1909" s="8">
        <f>HYPERLINK("https://www.vietnamworks.com/truong-phong-xuat-nhap-khau-mua-hang--2010835-jv","Xem chi tiết")</f>
        <v/>
      </c>
    </row>
    <row r="1910">
      <c r="B1910" s="9" t="n">
        <v>1908</v>
      </c>
      <c r="C1910" s="10" t="inlineStr">
        <is>
          <t>Chuyên Viên Phát Triển Mẫu Hình Thêu - Embellishment Executive (Garment)</t>
        </is>
      </c>
      <c r="D1910" s="10" t="inlineStr">
        <is>
          <t>Linea Aqua Vietnam Company Limited (Lavn)</t>
        </is>
      </c>
      <c r="E1910" s="10" t="inlineStr">
        <is>
          <t>Thương lượng</t>
        </is>
      </c>
      <c r="F1910" s="10" t="inlineStr">
        <is>
          <t>Hưng Yên, Hải Dương, Hà Nội</t>
        </is>
      </c>
      <c r="G1910" s="10" t="inlineStr">
        <is>
          <t>Nhân viên</t>
        </is>
      </c>
      <c r="H1910" s="10" t="inlineStr">
        <is>
          <t>09/02/2026</t>
        </is>
      </c>
      <c r="I1910" s="10" t="inlineStr">
        <is>
          <t>26/03/2026</t>
        </is>
      </c>
      <c r="J1910" s="10" t="inlineStr">
        <is>
          <t>17/03/2026</t>
        </is>
      </c>
      <c r="K1910" s="10" t="inlineStr">
        <is>
          <t>N/A</t>
        </is>
      </c>
      <c r="L1910" s="10" t="inlineStr">
        <is>
          <t>English, Garment Technical Design, Printing Label, Embroidery, Design</t>
        </is>
      </c>
      <c r="M1910" s="10" t="inlineStr">
        <is>
          <t>Bonus, Healthcare Plan, Transportation</t>
        </is>
      </c>
      <c r="N1910" s="11">
        <f>HYPERLINK("https://www.vietnamworks.com/chuyen-vien-phat-trien-mau-hinh-theu-embellishment-executive-garment-2010848-jv","Xem chi tiết")</f>
        <v/>
      </c>
      <c r="O1910" s="10" t="n"/>
    </row>
    <row r="1911">
      <c r="B1911" s="7" t="n">
        <v>1909</v>
      </c>
      <c r="C1911" t="inlineStr">
        <is>
          <t>[Hà Nội] Chuyên Viên Tài Chính Kế Toán Tổng Hợp</t>
        </is>
      </c>
      <c r="D1911" t="inlineStr">
        <is>
          <t>Sti - Simple Tech Investment</t>
        </is>
      </c>
      <c r="E1911" t="inlineStr">
        <is>
          <t>Thương lượng</t>
        </is>
      </c>
      <c r="F1911" t="inlineStr">
        <is>
          <t>Hà Nội</t>
        </is>
      </c>
      <c r="G1911" t="inlineStr">
        <is>
          <t>Nhân viên</t>
        </is>
      </c>
      <c r="H1911" t="inlineStr">
        <is>
          <t>09/02/2026</t>
        </is>
      </c>
      <c r="I1911" t="inlineStr">
        <is>
          <t>26/03/2026</t>
        </is>
      </c>
      <c r="J1911" t="inlineStr">
        <is>
          <t>17/03/2026</t>
        </is>
      </c>
      <c r="K1911" t="inlineStr">
        <is>
          <t>N/A</t>
        </is>
      </c>
      <c r="L1911" t="inlineStr">
        <is>
          <t>Kế Toán Tổng Hợp, Làm Việc Nhóm, Lập Báo Cáo Tài Chính, Phần mềm kế toán, Tiếng Anh</t>
        </is>
      </c>
      <c r="M1911" t="inlineStr">
        <is>
          <t>Others</t>
        </is>
      </c>
      <c r="N1911" s="8">
        <f>HYPERLINK("https://www.vietnamworks.com/ha-noi-chuyen-vien-tai-chinh-ke-toan-tong-hop-2010845-jv","Xem chi tiết")</f>
        <v/>
      </c>
    </row>
    <row r="1912">
      <c r="B1912" s="9" t="n">
        <v>1910</v>
      </c>
      <c r="C1912" s="10" t="inlineStr">
        <is>
          <t>Chuyên Viên Thông Tin Quản Lý - [BAC A BANK - Khối Tài Chính Kế Toán]</t>
        </is>
      </c>
      <c r="D1912" s="10" t="inlineStr">
        <is>
          <t>Bắc Á Bank - Https://tuyendung.baca-Bank.vn/</t>
        </is>
      </c>
      <c r="E1912" s="10" t="inlineStr">
        <is>
          <t>Thương lượng</t>
        </is>
      </c>
      <c r="F1912" s="10" t="inlineStr">
        <is>
          <t>Hà Nội</t>
        </is>
      </c>
      <c r="G1912" s="10" t="inlineStr">
        <is>
          <t>Nhân viên</t>
        </is>
      </c>
      <c r="H1912" s="10" t="inlineStr">
        <is>
          <t>09/02/2026</t>
        </is>
      </c>
      <c r="I1912" s="10" t="inlineStr">
        <is>
          <t>26/03/2026</t>
        </is>
      </c>
      <c r="J1912" s="10" t="inlineStr">
        <is>
          <t>17/03/2026</t>
        </is>
      </c>
      <c r="K1912" s="10" t="inlineStr">
        <is>
          <t>N/A</t>
        </is>
      </c>
      <c r="L1912" s="10" t="inlineStr">
        <is>
          <t>Kế Toán, Kiểm Soát Số Liệu, Ngân hàng, Phân Tích Số Liệu, Tài Chính</t>
        </is>
      </c>
      <c r="M1912" s="10" t="inlineStr">
        <is>
          <t>Bonus, Healthcare Plan, Training, Travel Opportunities</t>
        </is>
      </c>
      <c r="N1912" s="11">
        <f>HYPERLINK("https://www.vietnamworks.com/chuyen-vien-thong-tin-quan-ly-bac-a-bank-khoi-tai-chinh-ke-toan-2010850-jv","Xem chi tiết")</f>
        <v/>
      </c>
      <c r="O1912" s="10" t="n"/>
    </row>
    <row r="1913">
      <c r="B1913" s="7" t="n">
        <v>1911</v>
      </c>
      <c r="C1913" t="inlineStr">
        <is>
          <t>Phiên Dịch Tiếng Trung</t>
        </is>
      </c>
      <c r="D1913" t="inlineStr">
        <is>
          <t>CÔNG TY TNHH CÔNG NGHIỆP YIHUA</t>
        </is>
      </c>
      <c r="E1913" t="inlineStr">
        <is>
          <t>Thương lượng</t>
        </is>
      </c>
      <c r="F1913" t="inlineStr">
        <is>
          <t>Hưng Yên</t>
        </is>
      </c>
      <c r="G1913" t="inlineStr">
        <is>
          <t>Mới Tốt Nghiệp</t>
        </is>
      </c>
      <c r="H1913" t="inlineStr">
        <is>
          <t>09/02/2026</t>
        </is>
      </c>
      <c r="I1913" t="inlineStr">
        <is>
          <t>26/03/2026</t>
        </is>
      </c>
      <c r="J1913" t="inlineStr">
        <is>
          <t>17/03/2026</t>
        </is>
      </c>
      <c r="K1913" t="inlineStr">
        <is>
          <t>N/A</t>
        </is>
      </c>
      <c r="L1913" t="inlineStr">
        <is>
          <t>Hỗ Trợ Pháp Lý, Phiên Dịch, Phiên Dịch Tài Liệu, Tiếng Trung, Xử Lý Vấn Đề</t>
        </is>
      </c>
      <c r="M1913" t="inlineStr">
        <is>
          <t>Healthcare Plan, Others</t>
        </is>
      </c>
      <c r="N1913" s="8">
        <f>HYPERLINK("https://www.vietnamworks.com/phien-dich-tieng-trung-2010838-jv","Xem chi tiết")</f>
        <v/>
      </c>
    </row>
    <row r="1914">
      <c r="B1914" s="9" t="n">
        <v>1912</v>
      </c>
      <c r="C1914" s="10" t="inlineStr">
        <is>
          <t>Installation Admin</t>
        </is>
      </c>
      <c r="D1914" s="10" t="inlineStr">
        <is>
          <t>Công Ty TNHH Thang Máy VGSI</t>
        </is>
      </c>
      <c r="E1914" s="10" t="inlineStr">
        <is>
          <t>10tr-15tr ₫/tháng</t>
        </is>
      </c>
      <c r="F1914" s="10" t="inlineStr">
        <is>
          <t>Hà Nội</t>
        </is>
      </c>
      <c r="G1914" s="10" t="inlineStr">
        <is>
          <t>Nhân viên</t>
        </is>
      </c>
      <c r="H1914" s="10" t="inlineStr">
        <is>
          <t>09/02/2026</t>
        </is>
      </c>
      <c r="I1914" s="10" t="inlineStr">
        <is>
          <t>26/03/2026</t>
        </is>
      </c>
      <c r="J1914" s="10" t="inlineStr">
        <is>
          <t>17/03/2026</t>
        </is>
      </c>
      <c r="K1914" s="10" t="inlineStr">
        <is>
          <t>N/A</t>
        </is>
      </c>
      <c r="L1914" s="10" t="inlineStr">
        <is>
          <t>Attention To Detail, Communication Skills, Microsoft Office, Negotiation Skills, Project Management</t>
        </is>
      </c>
      <c r="M1914" s="10" t="inlineStr">
        <is>
          <t>Bonus, Healthcare Plan, Paid Leave, Laptop</t>
        </is>
      </c>
      <c r="N1914" s="11">
        <f>HYPERLINK("https://www.vietnamworks.com/installation-admin-2010855-jv","Xem chi tiết")</f>
        <v/>
      </c>
      <c r="O1914" s="10" t="n"/>
    </row>
    <row r="1915">
      <c r="B1915" s="7" t="n">
        <v>1913</v>
      </c>
      <c r="C1915" t="inlineStr">
        <is>
          <t>Chuyên Viên Kế Hoạch - [BAC A BANK - Khối Tài Chính - Kế Toán]</t>
        </is>
      </c>
      <c r="D1915" t="inlineStr">
        <is>
          <t>Bắc Á Bank - Https://tuyendung.baca-Bank.vn/</t>
        </is>
      </c>
      <c r="E1915" t="inlineStr">
        <is>
          <t>Thương lượng</t>
        </is>
      </c>
      <c r="F1915" t="inlineStr">
        <is>
          <t>Hà Nội</t>
        </is>
      </c>
      <c r="G1915" t="inlineStr">
        <is>
          <t>Nhân viên</t>
        </is>
      </c>
      <c r="H1915" t="inlineStr">
        <is>
          <t>09/02/2026</t>
        </is>
      </c>
      <c r="I1915" t="inlineStr">
        <is>
          <t>26/03/2026</t>
        </is>
      </c>
      <c r="J1915" t="inlineStr">
        <is>
          <t>17/03/2026</t>
        </is>
      </c>
      <c r="K1915" t="inlineStr">
        <is>
          <t>N/A</t>
        </is>
      </c>
      <c r="L1915" t="inlineStr">
        <is>
          <t>Báo Cáo Phân Tích Thị Trường, Kế Hoạch Kinh Doanh, Kế Toán, Ngân hàng, Tài Chính</t>
        </is>
      </c>
      <c r="M1915" t="inlineStr">
        <is>
          <t>Bonus, Healthcare Plan, Training, Travel Opportunities</t>
        </is>
      </c>
      <c r="N1915" s="8">
        <f>HYPERLINK("https://www.vietnamworks.com/chuyen-vien-ke-hoach-bac-a-bank-khoi-tai-chinh-ke-toan-2010851-jv","Xem chi tiết")</f>
        <v/>
      </c>
    </row>
    <row r="1916">
      <c r="B1916" s="9" t="n">
        <v>1914</v>
      </c>
      <c r="C1916" s="10" t="inlineStr">
        <is>
          <t>Trưởng Nhóm Logistics Huế - Quảng Trị</t>
        </is>
      </c>
      <c r="D1916" s="10" t="inlineStr">
        <is>
          <t>Công Ty CP Tập Đoàn Đầu Tư Việt Phương</t>
        </is>
      </c>
      <c r="E1916" s="10" t="inlineStr">
        <is>
          <t>Thương lượng</t>
        </is>
      </c>
      <c r="F1916" s="10" t="inlineStr">
        <is>
          <t>Quảng Trị, Thừa Thiên Huế</t>
        </is>
      </c>
      <c r="G1916" s="10" t="inlineStr">
        <is>
          <t>Trưởng phòng</t>
        </is>
      </c>
      <c r="H1916" s="10" t="inlineStr">
        <is>
          <t>09/02/2026</t>
        </is>
      </c>
      <c r="I1916" s="10" t="inlineStr">
        <is>
          <t>26/03/2026</t>
        </is>
      </c>
      <c r="J1916" s="10" t="inlineStr">
        <is>
          <t>17/03/2026</t>
        </is>
      </c>
      <c r="K1916" s="10" t="inlineStr">
        <is>
          <t>N/A</t>
        </is>
      </c>
      <c r="L1916" s="10" t="inlineStr">
        <is>
          <t>Quản Lý Vận Tải, Khai Báo Hải Quan, Giao Tiếp, Tin Học Văn Phòng, Gia Công Áp Lực</t>
        </is>
      </c>
      <c r="M1916" s="10" t="inlineStr">
        <is>
          <t>Bonus, Healthcare Plan, Laptop</t>
        </is>
      </c>
      <c r="N1916" s="11">
        <f>HYPERLINK("https://www.vietnamworks.com/truong-nhom-logistics-hue-quang-tri-2010837-jv","Xem chi tiết")</f>
        <v/>
      </c>
      <c r="O1916" s="10" t="n"/>
    </row>
    <row r="1917">
      <c r="B1917" s="7" t="n">
        <v>1915</v>
      </c>
      <c r="C1917" t="inlineStr">
        <is>
          <t>Kỹ Sư Cơ Khí - Thiết Bị</t>
        </is>
      </c>
      <c r="D1917" t="inlineStr">
        <is>
          <t>Công Ty CP Tập Đoàn Đầu Tư Việt Phương</t>
        </is>
      </c>
      <c r="E1917" t="inlineStr">
        <is>
          <t>Thương lượng</t>
        </is>
      </c>
      <c r="F1917" t="inlineStr">
        <is>
          <t>Hà Nội</t>
        </is>
      </c>
      <c r="G1917" t="inlineStr">
        <is>
          <t>Nhân viên</t>
        </is>
      </c>
      <c r="H1917" t="inlineStr">
        <is>
          <t>09/02/2026</t>
        </is>
      </c>
      <c r="I1917" t="inlineStr">
        <is>
          <t>26/03/2026</t>
        </is>
      </c>
      <c r="J1917" t="inlineStr">
        <is>
          <t>17/03/2026</t>
        </is>
      </c>
      <c r="K1917" t="inlineStr">
        <is>
          <t>N/A</t>
        </is>
      </c>
      <c r="L1917" t="inlineStr">
        <is>
          <t>Khảo Sát Công Nghệ, Bảo Trì, Lắp Đặt, Nghiên Cứu Cải Tiến</t>
        </is>
      </c>
      <c r="M1917" t="inlineStr">
        <is>
          <t>Bonus, Healthcare Plan, Laptop</t>
        </is>
      </c>
      <c r="N1917" s="8">
        <f>HYPERLINK("https://www.vietnamworks.com/ky-su-co-khi-thiet-bi-2010830-jv","Xem chi tiết")</f>
        <v/>
      </c>
    </row>
    <row r="1918">
      <c r="B1918" s="9" t="n">
        <v>1916</v>
      </c>
      <c r="C1918" s="10" t="inlineStr">
        <is>
          <t>Trưởng Phòng Đào Tạo Và Phát Triển (L&amp;D) - Cơ Hội Phát Triển Cao</t>
        </is>
      </c>
      <c r="D1918" s="10" t="inlineStr">
        <is>
          <t>Công Ty Cổ Phần Tập Đoàn Gỗ Minh Long</t>
        </is>
      </c>
      <c r="E1918" s="10" t="inlineStr">
        <is>
          <t>30tr-36tr ₫/tháng</t>
        </is>
      </c>
      <c r="F1918" s="10" t="inlineStr">
        <is>
          <t>Hà Nội</t>
        </is>
      </c>
      <c r="G1918" s="10" t="inlineStr">
        <is>
          <t>Trưởng phòng</t>
        </is>
      </c>
      <c r="H1918" s="10" t="inlineStr">
        <is>
          <t>09/02/2026</t>
        </is>
      </c>
      <c r="I1918" s="10" t="inlineStr">
        <is>
          <t>26/03/2026</t>
        </is>
      </c>
      <c r="J1918" s="10" t="inlineStr">
        <is>
          <t>17/03/2026</t>
        </is>
      </c>
      <c r="K1918" s="10" t="inlineStr">
        <is>
          <t>N/A</t>
        </is>
      </c>
      <c r="L1918" s="10" t="inlineStr">
        <is>
          <t>L&amp;D training, Quản Lý Đào Tạo, Training, Xây Dựng Chương Trình Đào Tạo, Đào Tạo</t>
        </is>
      </c>
      <c r="M1918" s="10" t="inlineStr">
        <is>
          <t>Bonus, Healthcare Plan, Paid Leave, Training, Library, Others</t>
        </is>
      </c>
      <c r="N1918" s="11">
        <f>HYPERLINK("https://www.vietnamworks.com/truong-phong-djao-tao-va-phat-trien-landd-co-hoi-phat-trien-cao-2010840-jv","Xem chi tiết")</f>
        <v/>
      </c>
      <c r="O1918" s="10" t="n"/>
    </row>
    <row r="1919">
      <c r="B1919" s="7" t="n">
        <v>1917</v>
      </c>
      <c r="C1919" t="inlineStr">
        <is>
          <t>Quản Lý Vùng Kinh Doanh - Thu Nhập Hấp Dẫn</t>
        </is>
      </c>
      <c r="D1919" t="inlineStr">
        <is>
          <t>CÔNG TY TNHH HARICO GLOBAL</t>
        </is>
      </c>
      <c r="E1919" t="inlineStr">
        <is>
          <t>30tr-40tr ₫/tháng</t>
        </is>
      </c>
      <c r="F1919" t="inlineStr">
        <is>
          <t>Hà Nội</t>
        </is>
      </c>
      <c r="G1919" t="inlineStr">
        <is>
          <t>Trưởng phòng</t>
        </is>
      </c>
      <c r="H1919" t="inlineStr">
        <is>
          <t>09/02/2026</t>
        </is>
      </c>
      <c r="I1919" t="inlineStr">
        <is>
          <t>26/03/2026</t>
        </is>
      </c>
      <c r="J1919" t="inlineStr">
        <is>
          <t>17/03/2026</t>
        </is>
      </c>
      <c r="K1919" t="inlineStr">
        <is>
          <t>N/A</t>
        </is>
      </c>
      <c r="L1919" t="inlineStr">
        <is>
          <t>Quản Lý Kinh Doanh, Đàm Phán, Chăm Sóc Khách Hàng, Lập Kế Hoạch Kinh Doanh, Tổ Chức Sự Kiện</t>
        </is>
      </c>
      <c r="M1919" t="inlineStr">
        <is>
          <t>Healthcare Plan, Laptop, Team Activities, Others</t>
        </is>
      </c>
      <c r="N1919" s="8">
        <f>HYPERLINK("https://www.vietnamworks.com/quan-ly-vung-kinh-doanh-thu-nhap-hap-dan-2010847-jv","Xem chi tiết")</f>
        <v/>
      </c>
    </row>
    <row r="1920">
      <c r="B1920" s="9" t="n">
        <v>1918</v>
      </c>
      <c r="C1920" s="10" t="inlineStr">
        <is>
          <t>Trưởng Phòng Kinh Doanh Và Phát Triển Hệ Thống Bán Hàng Tiêu Dùng (Làm Việc Toàn Quốc)</t>
        </is>
      </c>
      <c r="D1920" s="10" t="inlineStr">
        <is>
          <t>Công ty cổ phần Dược - Thiết bị y tế Đà Nẵng</t>
        </is>
      </c>
      <c r="E1920" s="10" t="inlineStr">
        <is>
          <t>Thương lượng</t>
        </is>
      </c>
      <c r="F1920" s="10" t="inlineStr">
        <is>
          <t>Đà Nẵng</t>
        </is>
      </c>
      <c r="G1920" s="10" t="inlineStr">
        <is>
          <t>Trưởng phòng</t>
        </is>
      </c>
      <c r="H1920" s="10" t="inlineStr">
        <is>
          <t>09/02/2026</t>
        </is>
      </c>
      <c r="I1920" s="10" t="inlineStr">
        <is>
          <t>26/03/2026</t>
        </is>
      </c>
      <c r="J1920" s="10" t="inlineStr">
        <is>
          <t>17/03/2026</t>
        </is>
      </c>
      <c r="K1920" s="10" t="inlineStr">
        <is>
          <t>N/A</t>
        </is>
      </c>
      <c r="L1920" s="10" t="inlineStr">
        <is>
          <t>Quản Lý Bán Hàng, Phát Triển Thị Trường, Lãnh Đạo, Kỹ năng giao tiêp, Phân Tích Chiến Lược</t>
        </is>
      </c>
      <c r="M1920" s="10" t="inlineStr">
        <is>
          <t>Bonus, Healthcare Plan, Laptop, Travel Opportunities</t>
        </is>
      </c>
      <c r="N1920" s="11">
        <f>HYPERLINK("https://www.vietnamworks.com/truong-phong-kinh-doanh-va-phat-trien-he-thong-ban-hang-tieu-dung-lam-viec-toan-quoc-2010861-jv","Xem chi tiết")</f>
        <v/>
      </c>
      <c r="O1920" s="10" t="n"/>
    </row>
    <row r="1921">
      <c r="B1921" s="7" t="n">
        <v>1919</v>
      </c>
      <c r="C1921" t="inlineStr">
        <is>
          <t>01 Nhân Viên Kỹ Thuật Sản Xuất</t>
        </is>
      </c>
      <c r="D1921" t="inlineStr">
        <is>
          <t>Công Ty TNHH Công Nghiệp KYB Việt Nam</t>
        </is>
      </c>
      <c r="E1921" t="inlineStr">
        <is>
          <t>Thương lượng</t>
        </is>
      </c>
      <c r="F1921" t="inlineStr">
        <is>
          <t>Hà Nội</t>
        </is>
      </c>
      <c r="G1921" t="inlineStr">
        <is>
          <t>Nhân viên</t>
        </is>
      </c>
      <c r="H1921" t="inlineStr">
        <is>
          <t>09/02/2026</t>
        </is>
      </c>
      <c r="I1921" t="inlineStr">
        <is>
          <t>26/03/2026</t>
        </is>
      </c>
      <c r="J1921" t="inlineStr">
        <is>
          <t>17/03/2026</t>
        </is>
      </c>
      <c r="K1921" t="inlineStr">
        <is>
          <t>N/A</t>
        </is>
      </c>
      <c r="L1921" t="inlineStr">
        <is>
          <t>Công Nghệ Hóa Học, Kỹ Thuật Sản Xuất, MS Office, Thiết Kế Jig, Xử Lý Sự Cố</t>
        </is>
      </c>
      <c r="M1921" t="inlineStr">
        <is>
          <t>Bonus, Healthcare Plan, Team Activities, Transportation, Others</t>
        </is>
      </c>
      <c r="N1921" s="8">
        <f>HYPERLINK("https://www.vietnamworks.com/01-nhan-vien-ky-thuat-san-xuat-2010856-jv","Xem chi tiết")</f>
        <v/>
      </c>
    </row>
    <row r="1922">
      <c r="B1922" s="9" t="n">
        <v>1920</v>
      </c>
      <c r="C1922" s="10" t="inlineStr">
        <is>
          <t>Senior QS Engineer / QS Engineer</t>
        </is>
      </c>
      <c r="D1922" s="10" t="inlineStr">
        <is>
          <t>CPG Vietnam Co., Ltd.</t>
        </is>
      </c>
      <c r="E1922" s="10" t="inlineStr">
        <is>
          <t>Thương lượng</t>
        </is>
      </c>
      <c r="F1922" s="10" t="inlineStr">
        <is>
          <t>Hồ Chí Minh, Hà Nội</t>
        </is>
      </c>
      <c r="G1922" s="10" t="inlineStr">
        <is>
          <t>Nhân viên</t>
        </is>
      </c>
      <c r="H1922" s="10" t="inlineStr">
        <is>
          <t>09/02/2026</t>
        </is>
      </c>
      <c r="I1922" s="10" t="inlineStr">
        <is>
          <t>26/03/2026</t>
        </is>
      </c>
      <c r="J1922" s="10" t="inlineStr">
        <is>
          <t>17/03/2026</t>
        </is>
      </c>
      <c r="K1922" s="10" t="inlineStr">
        <is>
          <t>N/A</t>
        </is>
      </c>
      <c r="L1922" s="10" t="inlineStr">
        <is>
          <t>Quantity Survey, QS, Cost Planning, Tendering, BOQ Preparation</t>
        </is>
      </c>
      <c r="M1922" s="10" t="inlineStr">
        <is>
          <t>Bonus, Healthcare Plan, Training</t>
        </is>
      </c>
      <c r="N1922" s="11">
        <f>HYPERLINK("https://www.vietnamworks.com/senior-qs-engineer-qs-engineer-2010864-jv","Xem chi tiết")</f>
        <v/>
      </c>
      <c r="O1922" s="10" t="n"/>
    </row>
    <row r="1923">
      <c r="B1923" s="7" t="n">
        <v>1921</v>
      </c>
      <c r="C1923" t="inlineStr">
        <is>
          <t>02 Nhân Viên Bảo Dưỡng Tại KYB Vĩnh Phúc</t>
        </is>
      </c>
      <c r="D1923" t="inlineStr">
        <is>
          <t>Công Ty TNHH Công Nghiệp KYB Việt Nam</t>
        </is>
      </c>
      <c r="E1923" t="inlineStr">
        <is>
          <t>Thương lượng</t>
        </is>
      </c>
      <c r="F1923" t="inlineStr">
        <is>
          <t>Vĩnh Phúc</t>
        </is>
      </c>
      <c r="G1923" t="inlineStr">
        <is>
          <t>Nhân viên</t>
        </is>
      </c>
      <c r="H1923" t="inlineStr">
        <is>
          <t>09/02/2026</t>
        </is>
      </c>
      <c r="I1923" t="inlineStr">
        <is>
          <t>26/03/2026</t>
        </is>
      </c>
      <c r="J1923" t="inlineStr">
        <is>
          <t>17/03/2026</t>
        </is>
      </c>
      <c r="K1923" t="inlineStr">
        <is>
          <t>N/A</t>
        </is>
      </c>
      <c r="L1923" t="inlineStr">
        <is>
          <t>Bảo Trì Máy, Bảo Trì Sửa Chữa Máy, PLC Omron, Sửa Chữa Thiết Bị, Tự Động Hóa</t>
        </is>
      </c>
      <c r="M1923" t="inlineStr">
        <is>
          <t>Bonus, Healthcare Plan, Team Activities, Canteen, Others</t>
        </is>
      </c>
      <c r="N1923" s="8">
        <f>HYPERLINK("https://www.vietnamworks.com/02-nhan-vien-bao-duong-tai-kyb-vinh-phuc-2010862-jv","Xem chi tiết")</f>
        <v/>
      </c>
    </row>
    <row r="1924">
      <c r="B1924" s="9" t="n">
        <v>1922</v>
      </c>
      <c r="C1924" s="10" t="inlineStr">
        <is>
          <t>Communication Designer (3.5 Months contract)</t>
        </is>
      </c>
      <c r="D1924" s="10" t="inlineStr">
        <is>
          <t>Vietnamworks' Client</t>
        </is>
      </c>
      <c r="E1924" s="10" t="inlineStr">
        <is>
          <t>Thương lượng</t>
        </is>
      </c>
      <c r="F1924" s="10" t="inlineStr">
        <is>
          <t>Hồ Chí Minh</t>
        </is>
      </c>
      <c r="G1924" s="10" t="inlineStr">
        <is>
          <t>Nhân viên</t>
        </is>
      </c>
      <c r="H1924" s="10" t="inlineStr">
        <is>
          <t>09/02/2026</t>
        </is>
      </c>
      <c r="I1924" s="10" t="inlineStr">
        <is>
          <t>26/03/2026</t>
        </is>
      </c>
      <c r="J1924" s="10" t="inlineStr">
        <is>
          <t>17/03/2026</t>
        </is>
      </c>
      <c r="K1924" s="10" t="inlineStr">
        <is>
          <t>N/A</t>
        </is>
      </c>
      <c r="L1924" s="10" t="inlineStr">
        <is>
          <t>Graphic Design, Interaction Design, English, Adobe Photoshop, Illustrator</t>
        </is>
      </c>
      <c r="M1924" s="10" t="inlineStr">
        <is>
          <t>Paid Leave</t>
        </is>
      </c>
      <c r="N1924" s="11">
        <f>HYPERLINK("https://www.vietnamworks.com/communication-designer-3-5-months-contract-2010873-jv","Xem chi tiết")</f>
        <v/>
      </c>
      <c r="O1924" s="10" t="n"/>
    </row>
    <row r="1925">
      <c r="B1925" s="7" t="n">
        <v>1923</v>
      </c>
      <c r="C1925" t="inlineStr">
        <is>
          <t>Senior Associate</t>
        </is>
      </c>
      <c r="D1925" t="inlineStr">
        <is>
          <t>CÔNG TY LUẬT TRÁCH NHIỆM HỮU HẠN LIFT CONSULTING GROUP</t>
        </is>
      </c>
      <c r="E1925" t="inlineStr">
        <is>
          <t>30tr-50tr ₫/tháng</t>
        </is>
      </c>
      <c r="F1925" t="inlineStr">
        <is>
          <t>Hồ Chí Minh</t>
        </is>
      </c>
      <c r="G1925" t="inlineStr">
        <is>
          <t>Nhân viên</t>
        </is>
      </c>
      <c r="H1925" t="inlineStr">
        <is>
          <t>09/02/2026</t>
        </is>
      </c>
      <c r="I1925" t="inlineStr">
        <is>
          <t>26/03/2026</t>
        </is>
      </c>
      <c r="J1925" t="inlineStr">
        <is>
          <t>17/03/2026</t>
        </is>
      </c>
      <c r="K1925" t="inlineStr">
        <is>
          <t>N/A</t>
        </is>
      </c>
      <c r="L1925" t="inlineStr">
        <is>
          <t>Legal Advise, Legal Research, Compliance, Luật Đầu Tư, Tư Vấn Luật Doanh Nghệp</t>
        </is>
      </c>
      <c r="M1925" t="inlineStr">
        <is>
          <t>Bonus, Healthcare Plan, Others</t>
        </is>
      </c>
      <c r="N1925" s="8">
        <f>HYPERLINK("https://www.vietnamworks.com/senior-associate-2010874-jv","Xem chi tiết")</f>
        <v/>
      </c>
    </row>
    <row r="1926">
      <c r="B1926" s="9" t="n">
        <v>1924</v>
      </c>
      <c r="C1926" s="10" t="inlineStr">
        <is>
          <t>Deputy Accounting Manager</t>
        </is>
      </c>
      <c r="D1926" s="10" t="inlineStr">
        <is>
          <t>National Housing Organization (N.h.o JSC)</t>
        </is>
      </c>
      <c r="E1926" s="10" t="inlineStr">
        <is>
          <t>Thương lượng</t>
        </is>
      </c>
      <c r="F1926" s="10" t="inlineStr">
        <is>
          <t>Hồ Chí Minh, Hải Phòng</t>
        </is>
      </c>
      <c r="G1926" s="10" t="inlineStr">
        <is>
          <t>Trưởng phòng</t>
        </is>
      </c>
      <c r="H1926" s="10" t="inlineStr">
        <is>
          <t>09/02/2026</t>
        </is>
      </c>
      <c r="I1926" s="10" t="inlineStr">
        <is>
          <t>26/03/2026</t>
        </is>
      </c>
      <c r="J1926" s="10" t="inlineStr">
        <is>
          <t>17/03/2026</t>
        </is>
      </c>
      <c r="K1926" s="10" t="inlineStr">
        <is>
          <t>N/A</t>
        </is>
      </c>
      <c r="L1926" s="10" t="inlineStr">
        <is>
          <t>Chief Accountant Certificate, VAS, IFRS, Tài Chính Doanh Nghiệp, Tài Chính Kế Toán</t>
        </is>
      </c>
      <c r="M1926" s="10" t="inlineStr">
        <is>
          <t>Bonus, Healthcare Plan, Others</t>
        </is>
      </c>
      <c r="N1926" s="11">
        <f>HYPERLINK("https://www.vietnamworks.com/deputy-accounting-manager--2010878-jv","Xem chi tiết")</f>
        <v/>
      </c>
      <c r="O1926" s="10" t="n"/>
    </row>
    <row r="1927">
      <c r="B1927" s="7" t="n">
        <v>1925</v>
      </c>
      <c r="C1927" t="inlineStr">
        <is>
          <t>Cán Bộ Kế Toán - Văn Thư Hành Chính</t>
        </is>
      </c>
      <c r="D1927" t="inlineStr">
        <is>
          <t>Hiệp Hội Da – Giầy Việt nam</t>
        </is>
      </c>
      <c r="E1927" t="inlineStr">
        <is>
          <t>15tr-20tr ₫/tháng</t>
        </is>
      </c>
      <c r="F1927" t="inlineStr">
        <is>
          <t>Hà Nội</t>
        </is>
      </c>
      <c r="G1927" t="inlineStr">
        <is>
          <t>Nhân viên</t>
        </is>
      </c>
      <c r="H1927" t="inlineStr">
        <is>
          <t>09/02/2026</t>
        </is>
      </c>
      <c r="I1927" t="inlineStr">
        <is>
          <t>26/03/2026</t>
        </is>
      </c>
      <c r="J1927" t="inlineStr">
        <is>
          <t>17/03/2026</t>
        </is>
      </c>
      <c r="K1927" t="inlineStr">
        <is>
          <t>N/A</t>
        </is>
      </c>
      <c r="L1927" t="inlineStr">
        <is>
          <t>Tin Học Văn Phòng, Nghiệp Vụ Kế Toán, Quản Lý Tài Chính, Văn Bản Pháp Luật, Văn Thư Hành Chính</t>
        </is>
      </c>
      <c r="M1927" t="inlineStr">
        <is>
          <t>Bonus, Healthcare Plan, Training, Others</t>
        </is>
      </c>
      <c r="N1927" s="8">
        <f>HYPERLINK("https://www.vietnamworks.com/can-bo-ke-toan-van-thu-hanh-chinh-2010863-jv","Xem chi tiết")</f>
        <v/>
      </c>
    </row>
    <row r="1928">
      <c r="B1928" s="9" t="n">
        <v>1926</v>
      </c>
      <c r="C1928" s="10" t="inlineStr">
        <is>
          <t>[ Hot Job ] Asset Management Manager</t>
        </is>
      </c>
      <c r="D1928" s="10" t="inlineStr">
        <is>
          <t>Tổng Công Ty Cổ Phần Thương Mại Xây Dựng (WTO)</t>
        </is>
      </c>
      <c r="E1928" s="10" t="inlineStr">
        <is>
          <t>Thương lượng</t>
        </is>
      </c>
      <c r="F1928" s="10" t="inlineStr">
        <is>
          <t>Hà Nội</t>
        </is>
      </c>
      <c r="G1928" s="10" t="inlineStr">
        <is>
          <t>Trưởng phòng</t>
        </is>
      </c>
      <c r="H1928" s="10" t="inlineStr">
        <is>
          <t>09/02/2026</t>
        </is>
      </c>
      <c r="I1928" s="10" t="inlineStr">
        <is>
          <t>26/03/2026</t>
        </is>
      </c>
      <c r="J1928" s="10" t="inlineStr">
        <is>
          <t>17/03/2026</t>
        </is>
      </c>
      <c r="K1928" s="10" t="inlineStr">
        <is>
          <t>N/A</t>
        </is>
      </c>
      <c r="L1928" s="10" t="inlineStr">
        <is>
          <t>Asset Management, English Fluency, Financial Analysis, Negotiation Skills, Stakeholder Management</t>
        </is>
      </c>
      <c r="M1928" s="10" t="inlineStr">
        <is>
          <t>Others</t>
        </is>
      </c>
      <c r="N1928" s="11">
        <f>HYPERLINK("https://www.vietnamworks.com/hot-job-asset-management-manager-2010883-jv","Xem chi tiết")</f>
        <v/>
      </c>
      <c r="O1928" s="10" t="n"/>
    </row>
    <row r="1929">
      <c r="B1929" s="7" t="n">
        <v>1927</v>
      </c>
      <c r="C1929" t="inlineStr">
        <is>
          <t>Nhân Viên Thiết Bị</t>
        </is>
      </c>
      <c r="D1929" t="inlineStr">
        <is>
          <t>CÔNG TY TNHH CÔNG NGHIỆP SAB( VIỆT NAM)</t>
        </is>
      </c>
      <c r="E1929" t="inlineStr">
        <is>
          <t>Thương lượng</t>
        </is>
      </c>
      <c r="F1929" t="inlineStr">
        <is>
          <t>Thanh Hóa, Hà Nội</t>
        </is>
      </c>
      <c r="G1929" t="inlineStr">
        <is>
          <t>Nhân viên</t>
        </is>
      </c>
      <c r="H1929" t="inlineStr">
        <is>
          <t>09/02/2026</t>
        </is>
      </c>
      <c r="I1929" t="inlineStr">
        <is>
          <t>26/03/2026</t>
        </is>
      </c>
      <c r="J1929" t="inlineStr">
        <is>
          <t>17/03/2026</t>
        </is>
      </c>
      <c r="K1929" t="inlineStr">
        <is>
          <t>N/A</t>
        </is>
      </c>
      <c r="L1929" t="inlineStr">
        <is>
          <t>Docker, Hỗ Trợ Kỹ Thuật, Linux, Shell Script, Vận Hành Hệ Thống</t>
        </is>
      </c>
      <c r="M1929" t="inlineStr">
        <is>
          <t>Bonus, Training, Others</t>
        </is>
      </c>
      <c r="N1929" s="8">
        <f>HYPERLINK("https://www.vietnamworks.com/nhan-vien-thiet-bi-2010880-jv","Xem chi tiết")</f>
        <v/>
      </c>
    </row>
    <row r="1930">
      <c r="B1930" s="9" t="n">
        <v>1928</v>
      </c>
      <c r="C1930" s="10" t="inlineStr">
        <is>
          <t>Website Developer (E-Commerce)</t>
        </is>
      </c>
      <c r="D1930" s="10" t="inlineStr">
        <is>
          <t>Cubes Asia Co., Ltd.</t>
        </is>
      </c>
      <c r="E1930" s="10" t="inlineStr">
        <is>
          <t>Thương lượng</t>
        </is>
      </c>
      <c r="F1930" s="10" t="inlineStr">
        <is>
          <t>Hồ Chí Minh</t>
        </is>
      </c>
      <c r="G1930" s="10" t="inlineStr">
        <is>
          <t>Nhân viên</t>
        </is>
      </c>
      <c r="H1930" s="10" t="inlineStr">
        <is>
          <t>09/02/2026</t>
        </is>
      </c>
      <c r="I1930" s="10" t="inlineStr">
        <is>
          <t>26/03/2026</t>
        </is>
      </c>
      <c r="J1930" s="10" t="inlineStr">
        <is>
          <t>17/03/2026</t>
        </is>
      </c>
      <c r="K1930" s="10" t="inlineStr">
        <is>
          <t>N/A</t>
        </is>
      </c>
      <c r="L1930" s="10" t="inlineStr">
        <is>
          <t>Store Management, Retail Management Programs, Retail Management, Customer-Focus Mindset, Sales experience</t>
        </is>
      </c>
      <c r="M1930" s="10" t="inlineStr">
        <is>
          <t>Bonus, Healthcare Plan, Paid Leave, Travel Opportunities, Others</t>
        </is>
      </c>
      <c r="N1930" s="11">
        <f>HYPERLINK("https://www.vietnamworks.com/website-developer-e-commerce-2010866-jv","Xem chi tiết")</f>
        <v/>
      </c>
      <c r="O1930" s="10" t="n"/>
    </row>
    <row r="1931">
      <c r="B1931" s="7" t="n">
        <v>1929</v>
      </c>
      <c r="C1931" t="inlineStr">
        <is>
          <t>Nhân Viên Biết Tiếng Trung</t>
        </is>
      </c>
      <c r="D1931" t="inlineStr">
        <is>
          <t>CÔNG TY TNHH CÔNG NGHIỆP SAB( VIỆT NAM)</t>
        </is>
      </c>
      <c r="E1931" t="inlineStr">
        <is>
          <t>Thương lượng</t>
        </is>
      </c>
      <c r="F1931" t="inlineStr">
        <is>
          <t>Thanh Hóa, Hà Nội</t>
        </is>
      </c>
      <c r="G1931" t="inlineStr">
        <is>
          <t>Nhân viên</t>
        </is>
      </c>
      <c r="H1931" t="inlineStr">
        <is>
          <t>09/02/2026</t>
        </is>
      </c>
      <c r="I1931" t="inlineStr">
        <is>
          <t>26/03/2026</t>
        </is>
      </c>
      <c r="J1931" t="inlineStr">
        <is>
          <t>17/03/2026</t>
        </is>
      </c>
      <c r="K1931" t="inlineStr">
        <is>
          <t>N/A</t>
        </is>
      </c>
      <c r="L1931" t="inlineStr">
        <is>
          <t>Tiếng Trung, Lập Báo Cáo, Marketing, Quản Lý Chất Lượng, Tin Học Văn Phòng</t>
        </is>
      </c>
      <c r="M1931" t="inlineStr">
        <is>
          <t>Bonus, Training, Others</t>
        </is>
      </c>
      <c r="N1931" s="8">
        <f>HYPERLINK("https://www.vietnamworks.com/nhan-vien-biet-tieng-trung-2010884-jv","Xem chi tiết")</f>
        <v/>
      </c>
    </row>
    <row r="1932">
      <c r="B1932" s="9" t="n">
        <v>1930</v>
      </c>
      <c r="C1932" s="10" t="inlineStr">
        <is>
          <t>Trưởng Ban Pháp Chế (Chủ Đầu Tư BĐS)</t>
        </is>
      </c>
      <c r="D1932" s="10" t="inlineStr">
        <is>
          <t>Công Ty Cổ Phần Bất Động Sản Tập Đoàn Tân Á Đại Thành</t>
        </is>
      </c>
      <c r="E1932" s="10" t="inlineStr">
        <is>
          <t>Thương lượng</t>
        </is>
      </c>
      <c r="F1932" s="10" t="inlineStr">
        <is>
          <t>Hà Nội</t>
        </is>
      </c>
      <c r="G1932" s="10" t="inlineStr">
        <is>
          <t>Giám Đốc và Cấp Cao Hơn</t>
        </is>
      </c>
      <c r="H1932" s="10" t="inlineStr">
        <is>
          <t>09/02/2026</t>
        </is>
      </c>
      <c r="I1932" s="10" t="inlineStr">
        <is>
          <t>26/03/2026</t>
        </is>
      </c>
      <c r="J1932" s="10" t="inlineStr">
        <is>
          <t>17/03/2026</t>
        </is>
      </c>
      <c r="K1932" s="10" t="inlineStr">
        <is>
          <t>N/A</t>
        </is>
      </c>
      <c r="L1932" s="10" t="inlineStr">
        <is>
          <t>pháp chế bất động sản, Pháp Chế Doanh Nghiệp, Quản lý pháp chế, Luật Pháp Chế, Pháp chế công ty</t>
        </is>
      </c>
      <c r="M1932" s="10" t="inlineStr">
        <is>
          <t>Bonus, Canteen, Vouchers</t>
        </is>
      </c>
      <c r="N1932" s="11">
        <f>HYPERLINK("https://www.vietnamworks.com/truong-ban-phap-che-chu-dau-tu-bds-2010877-jv","Xem chi tiết")</f>
        <v/>
      </c>
      <c r="O1932" s="10" t="n"/>
    </row>
    <row r="1933">
      <c r="B1933" s="7" t="n">
        <v>1931</v>
      </c>
      <c r="C1933" t="inlineStr">
        <is>
          <t>01 Phó Phòng Chất Lượng (QAC)</t>
        </is>
      </c>
      <c r="D1933" t="inlineStr">
        <is>
          <t>Công Ty TNHH Công Nghiệp KYB Việt Nam</t>
        </is>
      </c>
      <c r="E1933" t="inlineStr">
        <is>
          <t>Thương lượng</t>
        </is>
      </c>
      <c r="F1933" t="inlineStr">
        <is>
          <t>Hà Nội</t>
        </is>
      </c>
      <c r="G1933" t="inlineStr">
        <is>
          <t>Trưởng phòng</t>
        </is>
      </c>
      <c r="H1933" t="inlineStr">
        <is>
          <t>09/02/2026</t>
        </is>
      </c>
      <c r="I1933" t="inlineStr">
        <is>
          <t>26/03/2026</t>
        </is>
      </c>
      <c r="J1933" t="inlineStr">
        <is>
          <t>17/03/2026</t>
        </is>
      </c>
      <c r="K1933" t="inlineStr">
        <is>
          <t>N/A</t>
        </is>
      </c>
      <c r="L1933" t="inlineStr">
        <is>
          <t>ISO 9001, Kỹ Thuật Cơ Khí, Quản Lý Chất Lượng, Tiếng Nhật N2, Đọc Bản Vẽ Kỹ Thuật</t>
        </is>
      </c>
      <c r="M1933" t="inlineStr">
        <is>
          <t>Bonus, Healthcare Plan, Team Activities, Transportation, Others</t>
        </is>
      </c>
      <c r="N1933" s="8">
        <f>HYPERLINK("https://www.vietnamworks.com/01-pho-phong-chat-luong-qac-2010858-jv","Xem chi tiết")</f>
        <v/>
      </c>
    </row>
    <row r="1934">
      <c r="B1934" s="9" t="n">
        <v>1932</v>
      </c>
      <c r="C1934" s="10" t="inlineStr">
        <is>
          <t>(Senior) Supply Planner</t>
        </is>
      </c>
      <c r="D1934" s="10" t="inlineStr">
        <is>
          <t>Công Ty TNHH Onpoint</t>
        </is>
      </c>
      <c r="E1934" s="10" t="inlineStr">
        <is>
          <t>Thương lượng</t>
        </is>
      </c>
      <c r="F1934" s="10" t="inlineStr">
        <is>
          <t>Hồ Chí Minh</t>
        </is>
      </c>
      <c r="G1934" s="10" t="inlineStr">
        <is>
          <t>Nhân viên</t>
        </is>
      </c>
      <c r="H1934" s="10" t="inlineStr">
        <is>
          <t>09/02/2026</t>
        </is>
      </c>
      <c r="I1934" s="10" t="inlineStr">
        <is>
          <t>26/03/2026</t>
        </is>
      </c>
      <c r="J1934" s="10" t="inlineStr">
        <is>
          <t>17/03/2026</t>
        </is>
      </c>
      <c r="K1934" s="10" t="inlineStr">
        <is>
          <t>N/A</t>
        </is>
      </c>
      <c r="L1934" s="10" t="inlineStr">
        <is>
          <t>Supply Planning, Forecasting, Inventory Management, Mathematical Thinking, Communication</t>
        </is>
      </c>
      <c r="M1934" s="10" t="inlineStr">
        <is>
          <t>Bonus, Healthcare Plan, Paid Leave, Laptop, Mobile, Others</t>
        </is>
      </c>
      <c r="N1934" s="11">
        <f>HYPERLINK("https://www.vietnamworks.com/-senior-supply-planner-2010868-jv","Xem chi tiết")</f>
        <v/>
      </c>
      <c r="O1934" s="10" t="n"/>
    </row>
    <row r="1935">
      <c r="B1935" s="7" t="n">
        <v>1933</v>
      </c>
      <c r="C1935" t="inlineStr">
        <is>
          <t>[REMOTE] Influencer Marketer</t>
        </is>
      </c>
      <c r="D1935" t="inlineStr">
        <is>
          <t>PICKDI CORP</t>
        </is>
      </c>
      <c r="E1935" t="inlineStr">
        <is>
          <t>12tr-16tr ₫/tháng</t>
        </is>
      </c>
      <c r="F1935" t="inlineStr">
        <is>
          <t>Hồ Chí Minh, Quốc tế, Hà Nội</t>
        </is>
      </c>
      <c r="G1935" t="inlineStr">
        <is>
          <t>Nhân viên</t>
        </is>
      </c>
      <c r="H1935" t="inlineStr">
        <is>
          <t>09/02/2026</t>
        </is>
      </c>
      <c r="I1935" t="inlineStr">
        <is>
          <t>26/03/2026</t>
        </is>
      </c>
      <c r="J1935" t="inlineStr">
        <is>
          <t>17/03/2026</t>
        </is>
      </c>
      <c r="K1935" t="inlineStr">
        <is>
          <t>N/A</t>
        </is>
      </c>
      <c r="L1935" t="inlineStr">
        <is>
          <t>Influencer Marketing, Kol/Koc Booking, Account Executive, English, Marketing</t>
        </is>
      </c>
      <c r="M1935" t="inlineStr">
        <is>
          <t>Others</t>
        </is>
      </c>
      <c r="N1935" s="8">
        <f>HYPERLINK("https://www.vietnamworks.com/remote-influencer-marketer-2010882-jv","Xem chi tiết")</f>
        <v/>
      </c>
    </row>
    <row r="1936">
      <c r="B1936" s="9" t="n">
        <v>1934</v>
      </c>
      <c r="C1936" s="10" t="inlineStr">
        <is>
          <t>Chuyên Viên BIM Lương 20 - 25 Triệu/ Tháng</t>
        </is>
      </c>
      <c r="D1936" s="10" t="inlineStr">
        <is>
          <t>Công Ty CP Thiết Kế &amp; Xây Dựng Dbplus</t>
        </is>
      </c>
      <c r="E1936" s="10" t="inlineStr">
        <is>
          <t>$$ 800-1,000 /tháng</t>
        </is>
      </c>
      <c r="F1936" s="10" t="inlineStr">
        <is>
          <t>Hồ Chí Minh</t>
        </is>
      </c>
      <c r="G1936" s="10" t="inlineStr">
        <is>
          <t>Nhân viên</t>
        </is>
      </c>
      <c r="H1936" s="10" t="inlineStr">
        <is>
          <t>09/02/2026</t>
        </is>
      </c>
      <c r="I1936" s="10" t="inlineStr">
        <is>
          <t>26/03/2026</t>
        </is>
      </c>
      <c r="J1936" s="10" t="inlineStr">
        <is>
          <t>17/03/2026</t>
        </is>
      </c>
      <c r="K1936" s="10" t="inlineStr">
        <is>
          <t>N/A</t>
        </is>
      </c>
      <c r="L1936" s="10" t="inlineStr">
        <is>
          <t>BIM, Revit, Revit &amp; Auto CAD</t>
        </is>
      </c>
      <c r="M1936" s="10" t="inlineStr">
        <is>
          <t>Bonus, Healthcare Plan, Travel Opportunities</t>
        </is>
      </c>
      <c r="N1936" s="11">
        <f>HYPERLINK("https://www.vietnamworks.com/chuyen-vien-bim-luong-20-25-trieu-thang-2010865-jv","Xem chi tiết")</f>
        <v/>
      </c>
      <c r="O1936" s="10" t="n"/>
    </row>
    <row r="1937">
      <c r="B1937" s="7" t="n">
        <v>1935</v>
      </c>
      <c r="C1937" t="inlineStr">
        <is>
          <t>Chuyên Viên Triển Khai Ứng Dụng</t>
        </is>
      </c>
      <c r="D1937" t="inlineStr">
        <is>
          <t>CÔNG TY CỔ PHẦN VINSMART FUTURE</t>
        </is>
      </c>
      <c r="E1937" t="inlineStr">
        <is>
          <t>Thương lượng</t>
        </is>
      </c>
      <c r="F1937" t="inlineStr">
        <is>
          <t>Hà Tĩnh, Hải Phòng</t>
        </is>
      </c>
      <c r="G1937" t="inlineStr">
        <is>
          <t>Nhân viên</t>
        </is>
      </c>
      <c r="H1937" t="inlineStr">
        <is>
          <t>09/02/2026</t>
        </is>
      </c>
      <c r="I1937" t="inlineStr">
        <is>
          <t>26/03/2026</t>
        </is>
      </c>
      <c r="J1937" t="inlineStr">
        <is>
          <t>17/03/2026</t>
        </is>
      </c>
      <c r="K1937" t="inlineStr">
        <is>
          <t>N/A</t>
        </is>
      </c>
      <c r="L1937" t="inlineStr">
        <is>
          <t>MES, PLC, SCADA, SQL, Tiếng Anh</t>
        </is>
      </c>
      <c r="M1937" t="inlineStr">
        <is>
          <t>Laptop, Transportation, Canteen</t>
        </is>
      </c>
      <c r="N1937" s="8">
        <f>HYPERLINK("https://www.vietnamworks.com/chuyen-vien-trien-khai-ung-dung-2010867-jv","Xem chi tiết")</f>
        <v/>
      </c>
    </row>
    <row r="1938">
      <c r="B1938" s="9" t="n">
        <v>1936</v>
      </c>
      <c r="C1938" s="10" t="inlineStr">
        <is>
          <t>Kế Toán Trưởng (Chief Accountant)</t>
        </is>
      </c>
      <c r="D1938" s="10" t="inlineStr">
        <is>
          <t>CÔNG TY CỔ PHẦN TROPIVINA DAKLAK</t>
        </is>
      </c>
      <c r="E1938" s="10" t="inlineStr">
        <is>
          <t>13tr-15tr ₫/tháng</t>
        </is>
      </c>
      <c r="F1938" s="10" t="inlineStr">
        <is>
          <t>Đắk Lắk, Hồ Chí Minh</t>
        </is>
      </c>
      <c r="G1938" s="10" t="inlineStr">
        <is>
          <t>Trưởng phòng</t>
        </is>
      </c>
      <c r="H1938" s="10" t="inlineStr">
        <is>
          <t>09/02/2026</t>
        </is>
      </c>
      <c r="I1938" s="10" t="inlineStr">
        <is>
          <t>26/03/2026</t>
        </is>
      </c>
      <c r="J1938" s="10" t="inlineStr">
        <is>
          <t>17/03/2026</t>
        </is>
      </c>
      <c r="K1938" s="10" t="inlineStr">
        <is>
          <t>N/A</t>
        </is>
      </c>
      <c r="L1938" s="10" t="inlineStr">
        <is>
          <t>Quản Lý Kế Toán, Thủ Tục Kế Toán, Quy Định Thuế, Tính Giá Sản Phẩm, Tài Chính Kế Toán</t>
        </is>
      </c>
      <c r="M1938" s="10" t="inlineStr">
        <is>
          <t>Bonus, Healthcare Plan, Paid Leave</t>
        </is>
      </c>
      <c r="N1938" s="11">
        <f>HYPERLINK("https://www.vietnamworks.com/ke-toan-truong-chief-accountant-2010872-jv","Xem chi tiết")</f>
        <v/>
      </c>
      <c r="O1938" s="10" t="n"/>
    </row>
    <row r="1939">
      <c r="B1939" s="7" t="n">
        <v>1937</v>
      </c>
      <c r="C1939" t="inlineStr">
        <is>
          <t>Sales Executive</t>
        </is>
      </c>
      <c r="D1939" t="inlineStr">
        <is>
          <t>Công Ty Cổ Phần Nhựa Tái Chế Duy Tân</t>
        </is>
      </c>
      <c r="E1939" t="inlineStr">
        <is>
          <t>$$ 1,000-1,300 /tháng</t>
        </is>
      </c>
      <c r="F1939" t="inlineStr">
        <is>
          <t>Hồ Chí Minh</t>
        </is>
      </c>
      <c r="G1939" t="inlineStr">
        <is>
          <t>Nhân viên</t>
        </is>
      </c>
      <c r="H1939" t="inlineStr">
        <is>
          <t>09/02/2026</t>
        </is>
      </c>
      <c r="I1939" t="inlineStr">
        <is>
          <t>26/03/2026</t>
        </is>
      </c>
      <c r="J1939" t="inlineStr">
        <is>
          <t>17/03/2026</t>
        </is>
      </c>
      <c r="K1939" t="inlineStr">
        <is>
          <t>N/A</t>
        </is>
      </c>
      <c r="L1939" t="inlineStr">
        <is>
          <t>Tìm Kiếm Khách Hàng, Tiếng Anh, Kinh Doanh, Chăm Sóc Khách Hàng, Bán Hàng</t>
        </is>
      </c>
      <c r="M1939" t="inlineStr">
        <is>
          <t>Bonus, Training, Transportation</t>
        </is>
      </c>
      <c r="N1939" s="8">
        <f>HYPERLINK("https://www.vietnamworks.com/sales-executive--2010870-jv","Xem chi tiết")</f>
        <v/>
      </c>
    </row>
    <row r="1940">
      <c r="B1940" s="9" t="n">
        <v>1938</v>
      </c>
      <c r="C1940" s="10" t="inlineStr">
        <is>
          <t>Digital Marketing Specialist</t>
        </is>
      </c>
      <c r="D1940" s="10" t="inlineStr">
        <is>
          <t>DROPPII</t>
        </is>
      </c>
      <c r="E1940" s="10" t="inlineStr">
        <is>
          <t>$$ 800-1,200 /tháng</t>
        </is>
      </c>
      <c r="F1940" s="10" t="inlineStr">
        <is>
          <t>Hồ Chí Minh</t>
        </is>
      </c>
      <c r="G1940" s="10" t="inlineStr">
        <is>
          <t>Nhân viên</t>
        </is>
      </c>
      <c r="H1940" s="10" t="inlineStr">
        <is>
          <t>09/02/2026</t>
        </is>
      </c>
      <c r="I1940" s="10" t="inlineStr">
        <is>
          <t>26/03/2026</t>
        </is>
      </c>
      <c r="J1940" s="10" t="inlineStr">
        <is>
          <t>17/03/2026</t>
        </is>
      </c>
      <c r="K1940" s="10" t="inlineStr">
        <is>
          <t>N/A</t>
        </is>
      </c>
      <c r="L1940" s="10" t="inlineStr">
        <is>
          <t>Creative Thinking, Data Analysis, Digital Marketing, Growth Marketing, Performance Marketing</t>
        </is>
      </c>
      <c r="M1940" s="10" t="inlineStr">
        <is>
          <t>Others</t>
        </is>
      </c>
      <c r="N1940" s="11">
        <f>HYPERLINK("https://www.vietnamworks.com/digital-marketing-specialist-2010896-jv","Xem chi tiết")</f>
        <v/>
      </c>
      <c r="O1940" s="10" t="n"/>
    </row>
    <row r="1941">
      <c r="B1941" s="7" t="n">
        <v>1939</v>
      </c>
      <c r="C1941" t="inlineStr">
        <is>
          <t>Field Sales Staff</t>
        </is>
      </c>
      <c r="D1941" t="inlineStr">
        <is>
          <t>Công Ty TNHH Ô Tô Mitsubishi Việt Nam</t>
        </is>
      </c>
      <c r="E1941" t="inlineStr">
        <is>
          <t>Thương lượng</t>
        </is>
      </c>
      <c r="F1941" t="inlineStr">
        <is>
          <t>Hà Nội</t>
        </is>
      </c>
      <c r="G1941" t="inlineStr">
        <is>
          <t>Nhân viên</t>
        </is>
      </c>
      <c r="H1941" t="inlineStr">
        <is>
          <t>09/02/2026</t>
        </is>
      </c>
      <c r="I1941" t="inlineStr">
        <is>
          <t>26/03/2026</t>
        </is>
      </c>
      <c r="J1941" t="inlineStr">
        <is>
          <t>17/03/2026</t>
        </is>
      </c>
      <c r="K1941" t="inlineStr">
        <is>
          <t>N/A</t>
        </is>
      </c>
      <c r="L1941" t="inlineStr">
        <is>
          <t>Field Sales, B2B Sales, Business Development, Data Analysis, Automotive Business</t>
        </is>
      </c>
      <c r="M1941" t="inlineStr">
        <is>
          <t>Bonus, Healthcare Plan, Transportation</t>
        </is>
      </c>
      <c r="N1941" s="8">
        <f>HYPERLINK("https://www.vietnamworks.com/field-sales-staff--2010891-jv","Xem chi tiết")</f>
        <v/>
      </c>
    </row>
    <row r="1942">
      <c r="B1942" s="9" t="n">
        <v>1940</v>
      </c>
      <c r="C1942" s="10" t="inlineStr">
        <is>
          <t>International Sales Executive / Tuyển Gấp</t>
        </is>
      </c>
      <c r="D1942" s="10" t="inlineStr">
        <is>
          <t>MISA Jointstock Company</t>
        </is>
      </c>
      <c r="E1942" s="10" t="inlineStr">
        <is>
          <t>Tới $ 2,000 /tháng</t>
        </is>
      </c>
      <c r="F1942" s="10" t="inlineStr">
        <is>
          <t>Hồ Chí Minh</t>
        </is>
      </c>
      <c r="G1942" s="10" t="inlineStr">
        <is>
          <t>Nhân viên</t>
        </is>
      </c>
      <c r="H1942" s="10" t="inlineStr">
        <is>
          <t>09/02/2026</t>
        </is>
      </c>
      <c r="I1942" s="10" t="inlineStr">
        <is>
          <t>26/03/2026</t>
        </is>
      </c>
      <c r="J1942" s="10" t="inlineStr">
        <is>
          <t>17/03/2026</t>
        </is>
      </c>
      <c r="K1942" s="10" t="inlineStr">
        <is>
          <t>N/A</t>
        </is>
      </c>
      <c r="L1942" s="10" t="inlineStr">
        <is>
          <t>Business Development, Customer Relation, Sales Executive, Sales Marketing, International Sales Skill</t>
        </is>
      </c>
      <c r="M1942" s="10" t="inlineStr">
        <is>
          <t>Bonus</t>
        </is>
      </c>
      <c r="N1942" s="11">
        <f>HYPERLINK("https://www.vietnamworks.com/international-sales-executive-tuyen-gap-2010894-jv","Xem chi tiết")</f>
        <v/>
      </c>
      <c r="O1942" s="10" t="n"/>
    </row>
    <row r="1943">
      <c r="B1943" s="7" t="n">
        <v>1941</v>
      </c>
      <c r="C1943" t="inlineStr">
        <is>
          <t>Tuyển Gấp Chuyên Viên Kiểm Toán (Thu Nhập Up to 30 Triệu)</t>
        </is>
      </c>
      <c r="D1943" t="inlineStr">
        <is>
          <t>Công Ty Cổ Phần Công Nghệ Cao Lioa</t>
        </is>
      </c>
      <c r="E1943" t="inlineStr">
        <is>
          <t>20tr-30tr ₫/tháng</t>
        </is>
      </c>
      <c r="F1943" t="inlineStr">
        <is>
          <t>Hà Nội</t>
        </is>
      </c>
      <c r="G1943" t="inlineStr">
        <is>
          <t>Nhân viên</t>
        </is>
      </c>
      <c r="H1943" t="inlineStr">
        <is>
          <t>09/02/2026</t>
        </is>
      </c>
      <c r="I1943" t="inlineStr">
        <is>
          <t>26/03/2026</t>
        </is>
      </c>
      <c r="J1943" t="inlineStr">
        <is>
          <t>17/03/2026</t>
        </is>
      </c>
      <c r="K1943" t="inlineStr">
        <is>
          <t>N/A</t>
        </is>
      </c>
      <c r="L1943" t="inlineStr">
        <is>
          <t>Kế Toán, Kiểm Toán, Kiểm Soát Nội Bộ, Phần mềm kế toán</t>
        </is>
      </c>
      <c r="M1943" t="inlineStr">
        <is>
          <t>Bonus, Healthcare Plan, Training, Canteen, Others</t>
        </is>
      </c>
      <c r="N1943" s="8">
        <f>HYPERLINK("https://www.vietnamworks.com/tuyen-gap-chuyen-vien-kiem-toan-thu-nhap-up-to-30-trieu-2010900-jv","Xem chi tiết")</f>
        <v/>
      </c>
    </row>
    <row r="1944">
      <c r="B1944" s="9" t="n">
        <v>1942</v>
      </c>
      <c r="C1944" s="10" t="inlineStr">
        <is>
          <t>Warehouse Cum Logistics Specialist</t>
        </is>
      </c>
      <c r="D1944" s="10" t="inlineStr">
        <is>
          <t>Source Of Asia</t>
        </is>
      </c>
      <c r="E1944" s="10" t="inlineStr">
        <is>
          <t>20tr-35tr ₫/tháng</t>
        </is>
      </c>
      <c r="F1944" s="10" t="inlineStr">
        <is>
          <t>Long An</t>
        </is>
      </c>
      <c r="G1944" s="10" t="inlineStr">
        <is>
          <t>Nhân viên</t>
        </is>
      </c>
      <c r="H1944" s="10" t="inlineStr">
        <is>
          <t>09/02/2026</t>
        </is>
      </c>
      <c r="I1944" s="10" t="inlineStr">
        <is>
          <t>26/03/2026</t>
        </is>
      </c>
      <c r="J1944" s="10" t="inlineStr">
        <is>
          <t>17/03/2026</t>
        </is>
      </c>
      <c r="K1944" s="10" t="inlineStr">
        <is>
          <t>N/A</t>
        </is>
      </c>
      <c r="L1944" s="10" t="inlineStr">
        <is>
          <t>Inventory Management, Logistics Control, Team Management, Warehouse Operation, WMS System</t>
        </is>
      </c>
      <c r="M1944" s="10" t="inlineStr">
        <is>
          <t>Training, Others</t>
        </is>
      </c>
      <c r="N1944" s="11">
        <f>HYPERLINK("https://www.vietnamworks.com/warehouse-cum-logistics-specialist-2010889-jv","Xem chi tiết")</f>
        <v/>
      </c>
      <c r="O1944" s="10" t="n"/>
    </row>
    <row r="1945">
      <c r="B1945" s="7" t="n">
        <v>1943</v>
      </c>
      <c r="C1945" t="inlineStr">
        <is>
          <t>[ Hot Job ] Associate Leasing Director / Leasing Director (Commercial &amp; Office)</t>
        </is>
      </c>
      <c r="D1945" t="inlineStr">
        <is>
          <t>Tổng Công Ty Cổ Phần Thương Mại Xây Dựng (WTO)</t>
        </is>
      </c>
      <c r="E1945" t="inlineStr">
        <is>
          <t>Từ 80tr ₫/tháng</t>
        </is>
      </c>
      <c r="F1945" t="inlineStr">
        <is>
          <t>Hà Nội</t>
        </is>
      </c>
      <c r="G1945" t="inlineStr">
        <is>
          <t>Trưởng phòng</t>
        </is>
      </c>
      <c r="H1945" t="inlineStr">
        <is>
          <t>09/02/2026</t>
        </is>
      </c>
      <c r="I1945" t="inlineStr">
        <is>
          <t>26/03/2026</t>
        </is>
      </c>
      <c r="J1945" t="inlineStr">
        <is>
          <t>17/03/2026</t>
        </is>
      </c>
      <c r="K1945" t="inlineStr">
        <is>
          <t>N/A</t>
        </is>
      </c>
      <c r="L1945" t="inlineStr">
        <is>
          <t>Retail Leasing, Shopping Mall Management, Leasing Team Management, Commercial &amp; Office Leasing, Commerce Management</t>
        </is>
      </c>
      <c r="M1945" t="inlineStr">
        <is>
          <t>Bonus, Others</t>
        </is>
      </c>
      <c r="N1945" s="8">
        <f>HYPERLINK("https://www.vietnamworks.com/hot-job-associate-leasing-director-leasing-director-commercial-office-2010895-jv","Xem chi tiết")</f>
        <v/>
      </c>
    </row>
    <row r="1946">
      <c r="B1946" s="9" t="n">
        <v>1944</v>
      </c>
      <c r="C1946" s="10" t="inlineStr">
        <is>
          <t>Service Engineer - Kĩ Sư Dịch Vụ Máy Laser (Dự Án 2026)</t>
        </is>
      </c>
      <c r="D1946" s="10" t="inlineStr">
        <is>
          <t>Mitsubishi Electric Vietnam Co. Ltd.</t>
        </is>
      </c>
      <c r="E1946" s="10" t="inlineStr">
        <is>
          <t>Thương lượng</t>
        </is>
      </c>
      <c r="F1946" s="10" t="inlineStr">
        <is>
          <t>Hà Nội</t>
        </is>
      </c>
      <c r="G1946" s="10" t="inlineStr">
        <is>
          <t>Nhân viên</t>
        </is>
      </c>
      <c r="H1946" s="10" t="inlineStr">
        <is>
          <t>09/02/2026</t>
        </is>
      </c>
      <c r="I1946" s="10" t="inlineStr">
        <is>
          <t>26/03/2026</t>
        </is>
      </c>
      <c r="J1946" s="10" t="inlineStr">
        <is>
          <t>17/03/2026</t>
        </is>
      </c>
      <c r="K1946" s="10" t="inlineStr">
        <is>
          <t>N/A</t>
        </is>
      </c>
      <c r="L1946" s="10" t="inlineStr">
        <is>
          <t>Mechatronics Engineering, Electrical Troubleshooting, Industrial Machinery, Laser Cutting Machine</t>
        </is>
      </c>
      <c r="M1946" s="10" t="inlineStr">
        <is>
          <t>Bonus, Healthcare Plan, Paid Leave, Training, Laptop</t>
        </is>
      </c>
      <c r="N1946" s="11">
        <f>HYPERLINK("https://www.vietnamworks.com/service-engineer-ki-su-dich-vu-may-laser-du-an-2026-2010907-jv","Xem chi tiết")</f>
        <v/>
      </c>
      <c r="O1946" s="10" t="n"/>
    </row>
    <row r="1947">
      <c r="B1947" s="7" t="n">
        <v>1945</v>
      </c>
      <c r="C1947" t="inlineStr">
        <is>
          <t>External Merchant - Executive</t>
        </is>
      </c>
      <c r="D1947" t="inlineStr">
        <is>
          <t>ACS Trading Vietnam Co., Ltd.</t>
        </is>
      </c>
      <c r="E1947" t="inlineStr">
        <is>
          <t>Tới 20tr ₫/tháng</t>
        </is>
      </c>
      <c r="F1947" t="inlineStr">
        <is>
          <t>Hồ Chí Minh</t>
        </is>
      </c>
      <c r="G1947" t="inlineStr">
        <is>
          <t>Nhân viên</t>
        </is>
      </c>
      <c r="H1947" t="inlineStr">
        <is>
          <t>09/02/2026</t>
        </is>
      </c>
      <c r="I1947" t="inlineStr">
        <is>
          <t>26/03/2026</t>
        </is>
      </c>
      <c r="J1947" t="inlineStr">
        <is>
          <t>17/03/2026</t>
        </is>
      </c>
      <c r="K1947" t="inlineStr">
        <is>
          <t>N/A</t>
        </is>
      </c>
      <c r="L1947" t="inlineStr">
        <is>
          <t>Communication Skills, Merchant Development, Maintain / Building Relationship, Merchant &amp; Strategic Partnerships, Planning &amp; Executing</t>
        </is>
      </c>
      <c r="M1947" t="inlineStr">
        <is>
          <t>Bonus, Healthcare Plan, Paid Leave, Training, Team Activities, Others</t>
        </is>
      </c>
      <c r="N1947" s="8">
        <f>HYPERLINK("https://www.vietnamworks.com/external-merchant-executive-2010904-jv","Xem chi tiết")</f>
        <v/>
      </c>
    </row>
    <row r="1948">
      <c r="B1948" s="9" t="n">
        <v>1946</v>
      </c>
      <c r="C1948" s="10" t="inlineStr">
        <is>
          <t>UI/UX Interaction Designer (3.5 Months contract)</t>
        </is>
      </c>
      <c r="D1948" s="10" t="inlineStr">
        <is>
          <t>Vietnamworks' Client</t>
        </is>
      </c>
      <c r="E1948" s="10" t="inlineStr">
        <is>
          <t>Thương lượng</t>
        </is>
      </c>
      <c r="F1948" s="10" t="inlineStr">
        <is>
          <t>Hồ Chí Minh</t>
        </is>
      </c>
      <c r="G1948" s="10" t="inlineStr">
        <is>
          <t>Nhân viên</t>
        </is>
      </c>
      <c r="H1948" s="10" t="inlineStr">
        <is>
          <t>09/02/2026</t>
        </is>
      </c>
      <c r="I1948" s="10" t="inlineStr">
        <is>
          <t>26/03/2026</t>
        </is>
      </c>
      <c r="J1948" s="10" t="inlineStr">
        <is>
          <t>17/03/2026</t>
        </is>
      </c>
      <c r="K1948" s="10" t="inlineStr">
        <is>
          <t>N/A</t>
        </is>
      </c>
      <c r="L1948" s="10" t="inlineStr">
        <is>
          <t>Interaction Design, Graphic Design, Figma</t>
        </is>
      </c>
      <c r="M1948" s="10" t="inlineStr">
        <is>
          <t>Paid Leave</t>
        </is>
      </c>
      <c r="N1948" s="11">
        <f>HYPERLINK("https://www.vietnamworks.com/ui-ux-interaction-designer-3-5-months-contract-2010890-jv","Xem chi tiết")</f>
        <v/>
      </c>
      <c r="O1948" s="10" t="n"/>
    </row>
    <row r="1949">
      <c r="B1949" s="7" t="n">
        <v>1947</v>
      </c>
      <c r="C1949" t="inlineStr">
        <is>
          <t>Trưởng Phòng LOGISTICS (Hà Nam, Hà Nội)</t>
        </is>
      </c>
      <c r="D1949" t="inlineStr">
        <is>
          <t>Công Ty Cổ Phần Elmich</t>
        </is>
      </c>
      <c r="E1949" t="inlineStr">
        <is>
          <t>40tr-45tr ₫/tháng</t>
        </is>
      </c>
      <c r="F1949" t="inlineStr">
        <is>
          <t>Hà Nội, Hà Nam</t>
        </is>
      </c>
      <c r="G1949" t="inlineStr">
        <is>
          <t>Trưởng phòng</t>
        </is>
      </c>
      <c r="H1949" t="inlineStr">
        <is>
          <t>09/02/2026</t>
        </is>
      </c>
      <c r="I1949" t="inlineStr">
        <is>
          <t>26/03/2026</t>
        </is>
      </c>
      <c r="J1949" t="inlineStr">
        <is>
          <t>17/03/2026</t>
        </is>
      </c>
      <c r="K1949" t="inlineStr">
        <is>
          <t>N/A</t>
        </is>
      </c>
      <c r="L1949" t="inlineStr">
        <is>
          <t>Mua Hàng, ERP, Theo Dõi Tồn Kho, Thủ Tục Xuất Nhập Khẩu, Tiếng Anh</t>
        </is>
      </c>
      <c r="M1949" t="inlineStr">
        <is>
          <t>Bonus, Healthcare Plan, Paid Leave, Travel Opportunities, Vouchers</t>
        </is>
      </c>
      <c r="N1949" s="8">
        <f>HYPERLINK("https://www.vietnamworks.com/truong-phong-logistics-ha-nam-ha-noi-2010902-jv","Xem chi tiết")</f>
        <v/>
      </c>
    </row>
    <row r="1950">
      <c r="B1950" s="9" t="n">
        <v>1948</v>
      </c>
      <c r="C1950" s="10" t="inlineStr">
        <is>
          <t>Legal Manager</t>
        </is>
      </c>
      <c r="D1950" s="10" t="inlineStr">
        <is>
          <t>Công Ty TNHH Ô Tô Mitsubishi Việt Nam</t>
        </is>
      </c>
      <c r="E1950" s="10" t="inlineStr">
        <is>
          <t>Thương lượng</t>
        </is>
      </c>
      <c r="F1950" s="10" t="inlineStr">
        <is>
          <t>Hồ Chí Minh</t>
        </is>
      </c>
      <c r="G1950" s="10" t="inlineStr">
        <is>
          <t>Trưởng phòng</t>
        </is>
      </c>
      <c r="H1950" s="10" t="inlineStr">
        <is>
          <t>09/02/2026</t>
        </is>
      </c>
      <c r="I1950" s="10" t="inlineStr">
        <is>
          <t>26/03/2026</t>
        </is>
      </c>
      <c r="J1950" s="10" t="inlineStr">
        <is>
          <t>17/03/2026</t>
        </is>
      </c>
      <c r="K1950" s="10" t="inlineStr">
        <is>
          <t>N/A</t>
        </is>
      </c>
      <c r="L1950" s="10" t="inlineStr">
        <is>
          <t>Pháp Lý, Luật, Legal, Luật Thương Mại, Licensing</t>
        </is>
      </c>
      <c r="M1950" s="10" t="inlineStr">
        <is>
          <t>Bonus, Healthcare Plan, Transportation</t>
        </is>
      </c>
      <c r="N1950" s="11">
        <f>HYPERLINK("https://www.vietnamworks.com/legal-manager--2010888-jv","Xem chi tiết")</f>
        <v/>
      </c>
      <c r="O1950" s="10" t="n"/>
    </row>
    <row r="1951">
      <c r="B1951" s="7" t="n">
        <v>1949</v>
      </c>
      <c r="C1951" t="inlineStr">
        <is>
          <t>[ Hot Job ] (Strategic) Project Manager</t>
        </is>
      </c>
      <c r="D1951" t="inlineStr">
        <is>
          <t>Tổng Công Ty Cổ Phần Thương Mại Xây Dựng (WTO)</t>
        </is>
      </c>
      <c r="E1951" t="inlineStr">
        <is>
          <t>Thương lượng</t>
        </is>
      </c>
      <c r="F1951" t="inlineStr">
        <is>
          <t>Hà Nội</t>
        </is>
      </c>
      <c r="G1951" t="inlineStr">
        <is>
          <t>Trưởng phòng</t>
        </is>
      </c>
      <c r="H1951" t="inlineStr">
        <is>
          <t>09/02/2026</t>
        </is>
      </c>
      <c r="I1951" t="inlineStr">
        <is>
          <t>26/03/2026</t>
        </is>
      </c>
      <c r="J1951" t="inlineStr">
        <is>
          <t>17/03/2026</t>
        </is>
      </c>
      <c r="K1951" t="inlineStr">
        <is>
          <t>N/A</t>
        </is>
      </c>
      <c r="L1951" t="inlineStr">
        <is>
          <t>Business Analysis, Communication Skills, Financial Modeling, Project Management, Strategic Thinking</t>
        </is>
      </c>
      <c r="M1951" t="inlineStr">
        <is>
          <t>Others</t>
        </is>
      </c>
      <c r="N1951" s="8">
        <f>HYPERLINK("https://www.vietnamworks.com/hot-job-strategic-project-manager-2010887-jv","Xem chi tiết")</f>
        <v/>
      </c>
    </row>
    <row r="1952">
      <c r="B1952" s="9" t="n">
        <v>1950</v>
      </c>
      <c r="C1952" s="10" t="inlineStr">
        <is>
          <t>Technical Solutions Coordinator</t>
        </is>
      </c>
      <c r="D1952" s="10" t="inlineStr">
        <is>
          <t>EEO Việt Nam</t>
        </is>
      </c>
      <c r="E1952" s="10" t="inlineStr">
        <is>
          <t>Thương lượng</t>
        </is>
      </c>
      <c r="F1952" s="10" t="inlineStr">
        <is>
          <t>Hồ Chí Minh</t>
        </is>
      </c>
      <c r="G1952" s="10" t="inlineStr">
        <is>
          <t>Nhân viên</t>
        </is>
      </c>
      <c r="H1952" s="10" t="inlineStr">
        <is>
          <t>09/02/2026</t>
        </is>
      </c>
      <c r="I1952" s="10" t="inlineStr">
        <is>
          <t>26/03/2026</t>
        </is>
      </c>
      <c r="J1952" s="10" t="inlineStr">
        <is>
          <t>17/03/2026</t>
        </is>
      </c>
      <c r="K1952" s="10" t="inlineStr">
        <is>
          <t>N/A</t>
        </is>
      </c>
      <c r="L1952" s="10" t="inlineStr">
        <is>
          <t>Business Analysis, Communication, Product Management, Project Management, Technical Support</t>
        </is>
      </c>
      <c r="M1952" s="10" t="inlineStr">
        <is>
          <t>Paid Leave, Team Activities, Others</t>
        </is>
      </c>
      <c r="N1952" s="11">
        <f>HYPERLINK("https://www.vietnamworks.com/technical-solutions-coordinator-2010897-jv","Xem chi tiết")</f>
        <v/>
      </c>
      <c r="O1952" s="10" t="n"/>
    </row>
    <row r="1953">
      <c r="B1953" s="7" t="n">
        <v>1951</v>
      </c>
      <c r="C1953" t="inlineStr">
        <is>
          <t>(Experienced Staff) Senior - Valuation, Modeling &amp; Economics Services - HCMC Office</t>
        </is>
      </c>
      <c r="D1953" t="inlineStr">
        <is>
          <t>Ernst &amp; Young Vietnam Limited (EY Vietnam)</t>
        </is>
      </c>
      <c r="E1953" t="inlineStr">
        <is>
          <t>Thương lượng</t>
        </is>
      </c>
      <c r="F1953" t="inlineStr">
        <is>
          <t>Hồ Chí Minh</t>
        </is>
      </c>
      <c r="G1953" t="inlineStr">
        <is>
          <t>Nhân viên</t>
        </is>
      </c>
      <c r="H1953" t="inlineStr">
        <is>
          <t>09/02/2026</t>
        </is>
      </c>
      <c r="I1953" t="inlineStr">
        <is>
          <t>26/03/2026</t>
        </is>
      </c>
      <c r="J1953" t="inlineStr">
        <is>
          <t>17/03/2026</t>
        </is>
      </c>
      <c r="K1953" t="inlineStr">
        <is>
          <t>N/A</t>
        </is>
      </c>
      <c r="L1953" t="inlineStr">
        <is>
          <t>Valuation Modelling, Valuation, Financial Analysis, M&amp;A Modeling, Consulting</t>
        </is>
      </c>
      <c r="M1953" t="inlineStr">
        <is>
          <t>Bonus, Awards, Others</t>
        </is>
      </c>
      <c r="N1953" s="8">
        <f>HYPERLINK("https://www.vietnamworks.com/experienced-staff-senior-valuation-modeling-economics-services-hcmc-office--2010898-jv","Xem chi tiết")</f>
        <v/>
      </c>
    </row>
    <row r="1954">
      <c r="B1954" s="9" t="n">
        <v>1952</v>
      </c>
      <c r="C1954" s="10" t="inlineStr">
        <is>
          <t>Personal Care Vietnam Technical Project Lead/ R&amp;D Manager</t>
        </is>
      </c>
      <c r="D1954" s="10" t="inlineStr">
        <is>
          <t>Unilever Vietnam</t>
        </is>
      </c>
      <c r="E1954" s="10" t="inlineStr">
        <is>
          <t>Thương lượng</t>
        </is>
      </c>
      <c r="F1954" s="10" t="inlineStr">
        <is>
          <t>Hồ Chí Minh</t>
        </is>
      </c>
      <c r="G1954" s="10" t="inlineStr">
        <is>
          <t>Nhân viên</t>
        </is>
      </c>
      <c r="H1954" s="10" t="inlineStr">
        <is>
          <t>09/02/2026</t>
        </is>
      </c>
      <c r="I1954" s="10" t="inlineStr">
        <is>
          <t>26/03/2026</t>
        </is>
      </c>
      <c r="J1954" s="10" t="inlineStr">
        <is>
          <t>17/03/2026</t>
        </is>
      </c>
      <c r="K1954" s="10" t="inlineStr">
        <is>
          <t>N/A</t>
        </is>
      </c>
      <c r="L1954" s="10" t="inlineStr">
        <is>
          <t>Innovation Management, Multi-Discipline Integration, R&amp;D Environment, Storytelling For R&amp;D, Technical Partnering</t>
        </is>
      </c>
      <c r="M1954" s="10" t="inlineStr">
        <is>
          <t>Bonus, Healthcare Plan</t>
        </is>
      </c>
      <c r="N1954" s="11">
        <f>HYPERLINK("https://www.vietnamworks.com/personal-care-vietnam-technical-project-lead-randd-manager-2010893-jv","Xem chi tiết")</f>
        <v/>
      </c>
      <c r="O1954" s="10" t="n"/>
    </row>
    <row r="1955">
      <c r="B1955" s="7" t="n">
        <v>1953</v>
      </c>
      <c r="C1955" t="inlineStr">
        <is>
          <t>Key Account Manager (Open for Japanese Native Expats Relocation)</t>
        </is>
      </c>
      <c r="D1955" t="inlineStr">
        <is>
          <t>Avery Dennison Vietnam</t>
        </is>
      </c>
      <c r="E1955" t="inlineStr">
        <is>
          <t>Thương lượng</t>
        </is>
      </c>
      <c r="F1955" t="inlineStr">
        <is>
          <t>Hà Nội</t>
        </is>
      </c>
      <c r="G1955" t="inlineStr">
        <is>
          <t>Trưởng phòng</t>
        </is>
      </c>
      <c r="H1955" t="inlineStr">
        <is>
          <t>09/02/2026</t>
        </is>
      </c>
      <c r="I1955" t="inlineStr">
        <is>
          <t>26/03/2026</t>
        </is>
      </c>
      <c r="J1955" t="inlineStr">
        <is>
          <t>17/03/2026</t>
        </is>
      </c>
      <c r="K1955" t="inlineStr">
        <is>
          <t>N/A</t>
        </is>
      </c>
      <c r="L1955" t="inlineStr">
        <is>
          <t>Japanese, Sales Supervisor</t>
        </is>
      </c>
      <c r="M1955" t="inlineStr">
        <is>
          <t>Bonus, Healthcare Plan, Training</t>
        </is>
      </c>
      <c r="N1955" s="8">
        <f>HYPERLINK("https://www.vietnamworks.com/key-account-manager-open-for-japanese-native-expats-relocation-2010899-jv","Xem chi tiết")</f>
        <v/>
      </c>
    </row>
    <row r="1956">
      <c r="B1956" s="9" t="n">
        <v>1954</v>
      </c>
      <c r="C1956" s="10" t="inlineStr">
        <is>
          <t>UX Researcher (3.5 Months contract)</t>
        </is>
      </c>
      <c r="D1956" s="10" t="inlineStr">
        <is>
          <t>Vietnamworks' Client</t>
        </is>
      </c>
      <c r="E1956" s="10" t="inlineStr">
        <is>
          <t>Thương lượng</t>
        </is>
      </c>
      <c r="F1956" s="10" t="inlineStr">
        <is>
          <t>Hồ Chí Minh</t>
        </is>
      </c>
      <c r="G1956" s="10" t="inlineStr">
        <is>
          <t>Nhân viên</t>
        </is>
      </c>
      <c r="H1956" s="10" t="inlineStr">
        <is>
          <t>09/02/2026</t>
        </is>
      </c>
      <c r="I1956" s="10" t="inlineStr">
        <is>
          <t>26/03/2026</t>
        </is>
      </c>
      <c r="J1956" s="10" t="inlineStr">
        <is>
          <t>17/03/2026</t>
        </is>
      </c>
      <c r="K1956" s="10" t="inlineStr">
        <is>
          <t>N/A</t>
        </is>
      </c>
      <c r="L1956" s="10" t="inlineStr">
        <is>
          <t>UX Research, Qualitative Data Analysis, User Stories, English</t>
        </is>
      </c>
      <c r="M1956" s="10" t="inlineStr">
        <is>
          <t>Paid Leave</t>
        </is>
      </c>
      <c r="N1956" s="11">
        <f>HYPERLINK("https://www.vietnamworks.com/ux-researcher-3-5-months-contract-2010901-jv","Xem chi tiết")</f>
        <v/>
      </c>
      <c r="O1956" s="10" t="n"/>
    </row>
    <row r="1957">
      <c r="B1957" s="7" t="n">
        <v>1955</v>
      </c>
      <c r="C1957" t="inlineStr">
        <is>
          <t>Trưởng Phòng Dịch Vụ Showroom ôtô</t>
        </is>
      </c>
      <c r="D1957" t="inlineStr">
        <is>
          <t>Công ty Cổ phần Ô tô GMG</t>
        </is>
      </c>
      <c r="E1957" t="inlineStr">
        <is>
          <t>20tr-30tr ₫/tháng</t>
        </is>
      </c>
      <c r="F1957" t="inlineStr">
        <is>
          <t>Hà Nội</t>
        </is>
      </c>
      <c r="G1957" t="inlineStr">
        <is>
          <t>Trưởng phòng</t>
        </is>
      </c>
      <c r="H1957" t="inlineStr">
        <is>
          <t>09/02/2026</t>
        </is>
      </c>
      <c r="I1957" t="inlineStr">
        <is>
          <t>26/03/2026</t>
        </is>
      </c>
      <c r="J1957" t="inlineStr">
        <is>
          <t>17/03/2026</t>
        </is>
      </c>
      <c r="K1957" t="inlineStr">
        <is>
          <t>N/A</t>
        </is>
      </c>
      <c r="L1957" t="inlineStr">
        <is>
          <t>Dịch Vụ Khách Hàng, Kỹ năng giao tiếp, Quản Lý Nhân Sự, Quản Lý Showroom, Tổ Chức Thi Công</t>
        </is>
      </c>
      <c r="M1957" t="inlineStr">
        <is>
          <t>Bonus</t>
        </is>
      </c>
      <c r="N1957" s="8">
        <f>HYPERLINK("https://www.vietnamworks.com/truong-phong-dich-vu-showroom-oto-2010892-jv","Xem chi tiết")</f>
        <v/>
      </c>
    </row>
    <row r="1958">
      <c r="B1958" s="9" t="n">
        <v>1956</v>
      </c>
      <c r="C1958" s="10" t="inlineStr">
        <is>
          <t>Business Development Executive (Vietnam) | 3+ Years Experience</t>
        </is>
      </c>
      <c r="D1958" s="10" t="inlineStr">
        <is>
          <t>YCM Co., Ltd.</t>
        </is>
      </c>
      <c r="E1958" s="10" t="inlineStr">
        <is>
          <t>16tr-20tr ₫/tháng</t>
        </is>
      </c>
      <c r="F1958" s="10" t="inlineStr">
        <is>
          <t>Hồ Chí Minh</t>
        </is>
      </c>
      <c r="G1958" s="10" t="inlineStr">
        <is>
          <t>Nhân viên</t>
        </is>
      </c>
      <c r="H1958" s="10" t="inlineStr">
        <is>
          <t>09/02/2026</t>
        </is>
      </c>
      <c r="I1958" s="10" t="inlineStr">
        <is>
          <t>26/03/2026</t>
        </is>
      </c>
      <c r="J1958" s="10" t="inlineStr">
        <is>
          <t>17/03/2026</t>
        </is>
      </c>
      <c r="K1958" s="10" t="inlineStr">
        <is>
          <t>N/A</t>
        </is>
      </c>
      <c r="L1958" s="10" t="inlineStr">
        <is>
          <t>Chăm Sóc Khách Hàng, Phát Triển Kinh Doanh, Technical Sales, Chinese, Sales Planning</t>
        </is>
      </c>
      <c r="M1958" s="10" t="inlineStr">
        <is>
          <t>Bonus, Travel Opportunities, Transportation</t>
        </is>
      </c>
      <c r="N1958" s="11">
        <f>HYPERLINK("https://www.vietnamworks.com/business-development-executive-vietnam-3-years-experience-2010905-jv","Xem chi tiết")</f>
        <v/>
      </c>
      <c r="O1958" s="10" t="n"/>
    </row>
    <row r="1959">
      <c r="B1959" s="7" t="n">
        <v>1957</v>
      </c>
      <c r="C1959" t="inlineStr">
        <is>
          <t>Kỹ Thuật Thiết Kế</t>
        </is>
      </c>
      <c r="D1959" t="inlineStr">
        <is>
          <t>Thygesen Textile Vietnam</t>
        </is>
      </c>
      <c r="E1959" t="inlineStr">
        <is>
          <t>13tr-40tr ₫/tháng</t>
        </is>
      </c>
      <c r="F1959" t="inlineStr">
        <is>
          <t>Hà Nội</t>
        </is>
      </c>
      <c r="G1959" t="inlineStr">
        <is>
          <t>Nhân viên</t>
        </is>
      </c>
      <c r="H1959" t="inlineStr">
        <is>
          <t>09/02/2026</t>
        </is>
      </c>
      <c r="I1959" t="inlineStr">
        <is>
          <t>26/03/2026</t>
        </is>
      </c>
      <c r="J1959" t="inlineStr">
        <is>
          <t>17/03/2026</t>
        </is>
      </c>
      <c r="K1959" t="inlineStr">
        <is>
          <t>N/A</t>
        </is>
      </c>
      <c r="L1959" t="inlineStr">
        <is>
          <t>Thiết Kế Sản Phẩm, Đọc Hiểu Bản Vẽ Kỹ Thuật, Nghiên Cứu Xu Hướng Thời Trang, Kỹ Thuật Thiết Kế Rập, Optitex</t>
        </is>
      </c>
      <c r="M1959" t="inlineStr">
        <is>
          <t>Bonus, Healthcare Plan, Training, Travel Opportunities, Others</t>
        </is>
      </c>
      <c r="N1959" s="8">
        <f>HYPERLINK("https://www.vietnamworks.com/ky-thuat-thiet-ke-2010917-jv","Xem chi tiết")</f>
        <v/>
      </c>
    </row>
    <row r="1960">
      <c r="B1960" s="9" t="n">
        <v>1958</v>
      </c>
      <c r="C1960" s="10" t="inlineStr">
        <is>
          <t>Project Sales Executive</t>
        </is>
      </c>
      <c r="D1960" s="10" t="inlineStr">
        <is>
          <t>Công ty TNHH Panasonic Electric Works Việt Nam</t>
        </is>
      </c>
      <c r="E1960" s="10" t="inlineStr">
        <is>
          <t>Thương lượng</t>
        </is>
      </c>
      <c r="F1960" s="10" t="inlineStr">
        <is>
          <t>Hà Nội</t>
        </is>
      </c>
      <c r="G1960" s="10" t="inlineStr">
        <is>
          <t>Nhân viên</t>
        </is>
      </c>
      <c r="H1960" s="10" t="inlineStr">
        <is>
          <t>09/02/2026</t>
        </is>
      </c>
      <c r="I1960" s="10" t="inlineStr">
        <is>
          <t>26/03/2026</t>
        </is>
      </c>
      <c r="J1960" s="10" t="inlineStr">
        <is>
          <t>17/03/2026</t>
        </is>
      </c>
      <c r="K1960" s="10" t="inlineStr">
        <is>
          <t>N/A</t>
        </is>
      </c>
      <c r="L1960" s="10" t="inlineStr">
        <is>
          <t>Communication, Customer Management, Kinh Doanh B2B, Teamwork, Time Management</t>
        </is>
      </c>
      <c r="M1960" s="10" t="inlineStr">
        <is>
          <t>Bonus, Healthcare Plan, Paid Leave, Training, Laptop, Team Activities, Transportation, Canteen</t>
        </is>
      </c>
      <c r="N1960" s="11">
        <f>HYPERLINK("https://www.vietnamworks.com/project-sales-executive-2010937-jv","Xem chi tiết")</f>
        <v/>
      </c>
      <c r="O1960" s="10" t="n"/>
    </row>
    <row r="1961">
      <c r="B1961" s="7" t="n">
        <v>1959</v>
      </c>
      <c r="C1961" t="inlineStr">
        <is>
          <t>Nhân Viên Hành Chính Kinh Doanh (Sales Admin)</t>
        </is>
      </c>
      <c r="D1961" t="inlineStr">
        <is>
          <t>CÔNG TY TNHH THỰC PHẨM TỔNG HỢP KOWA (VIỆT NAM)</t>
        </is>
      </c>
      <c r="E1961" t="inlineStr">
        <is>
          <t>Thương lượng</t>
        </is>
      </c>
      <c r="F1961" t="inlineStr">
        <is>
          <t>Hà Nội</t>
        </is>
      </c>
      <c r="G1961" t="inlineStr">
        <is>
          <t>Mới Tốt Nghiệp</t>
        </is>
      </c>
      <c r="H1961" t="inlineStr">
        <is>
          <t>09/02/2026</t>
        </is>
      </c>
      <c r="I1961" t="inlineStr">
        <is>
          <t>26/03/2026</t>
        </is>
      </c>
      <c r="J1961" t="inlineStr">
        <is>
          <t>17/03/2026</t>
        </is>
      </c>
      <c r="K1961" t="inlineStr">
        <is>
          <t>N/A</t>
        </is>
      </c>
      <c r="L1961" t="inlineStr">
        <is>
          <t>Quản Lý Hồ Sơ, Soạn Thảo Hợp Đồng, Báo Giá, Hỗ Trợ Kinh Doanh, Theo Dõi Đơn Hàng</t>
        </is>
      </c>
      <c r="M1961" t="inlineStr">
        <is>
          <t>Bonus, Healthcare Plan, Transportation</t>
        </is>
      </c>
      <c r="N1961" s="8">
        <f>HYPERLINK("https://www.vietnamworks.com/nhan-vien-hanh-chinh-kinh-doanh-sales-admin--2010912-jv","Xem chi tiết")</f>
        <v/>
      </c>
    </row>
    <row r="1962">
      <c r="B1962" s="9" t="n">
        <v>1960</v>
      </c>
      <c r="C1962" s="10" t="inlineStr">
        <is>
          <t>[Sale] Technical Developer (FOB Garment Manufacturing)</t>
        </is>
      </c>
      <c r="D1962" s="10" t="inlineStr">
        <is>
          <t>Thygesen Textile Vietnam</t>
        </is>
      </c>
      <c r="E1962" s="10" t="inlineStr">
        <is>
          <t>$$ 1,000-2,000 /tháng</t>
        </is>
      </c>
      <c r="F1962" s="10" t="inlineStr">
        <is>
          <t>Hà Nội</t>
        </is>
      </c>
      <c r="G1962" s="10" t="inlineStr">
        <is>
          <t>Nhân viên</t>
        </is>
      </c>
      <c r="H1962" s="10" t="inlineStr">
        <is>
          <t>09/02/2026</t>
        </is>
      </c>
      <c r="I1962" s="10" t="inlineStr">
        <is>
          <t>26/03/2026</t>
        </is>
      </c>
      <c r="J1962" s="10" t="inlineStr">
        <is>
          <t>17/03/2026</t>
        </is>
      </c>
      <c r="K1962" s="10" t="inlineStr">
        <is>
          <t>N/A</t>
        </is>
      </c>
      <c r="L1962" s="10" t="inlineStr">
        <is>
          <t>Costing Analysis, Customer Service, English Language Proficiency, Garment Manufacturing, Material Procurement</t>
        </is>
      </c>
      <c r="M1962" s="10" t="inlineStr">
        <is>
          <t>Bonus, Healthcare Plan, Travel Opportunities, Others</t>
        </is>
      </c>
      <c r="N1962" s="11">
        <f>HYPERLINK("https://www.vietnamworks.com/sale-technical-developer-fob-garment-manufacturing-2010908-jv","Xem chi tiết")</f>
        <v/>
      </c>
      <c r="O1962" s="10" t="n"/>
    </row>
    <row r="1963">
      <c r="B1963" s="7" t="n">
        <v>1961</v>
      </c>
      <c r="C1963" t="inlineStr">
        <is>
          <t>(Senior) Sales Executive/Sales Manager - Consumables (Metal Processing)</t>
        </is>
      </c>
      <c r="D1963" t="inlineStr">
        <is>
          <t>Rieckermann Vietnam Ltd., Co.</t>
        </is>
      </c>
      <c r="E1963" t="inlineStr">
        <is>
          <t>$$ 1,500-2,400 /tháng</t>
        </is>
      </c>
      <c r="F1963" t="inlineStr">
        <is>
          <t>Hồ Chí Minh</t>
        </is>
      </c>
      <c r="G1963" t="inlineStr">
        <is>
          <t>Trưởng phòng</t>
        </is>
      </c>
      <c r="H1963" t="inlineStr">
        <is>
          <t>09/02/2026</t>
        </is>
      </c>
      <c r="I1963" t="inlineStr">
        <is>
          <t>26/03/2026</t>
        </is>
      </c>
      <c r="J1963" t="inlineStr">
        <is>
          <t>17/03/2026</t>
        </is>
      </c>
      <c r="K1963" t="inlineStr">
        <is>
          <t>N/A</t>
        </is>
      </c>
      <c r="L1963" t="inlineStr">
        <is>
          <t>Market Trend Analysis, B2B Sales, Business Development, Commercial Negotiation, Sales</t>
        </is>
      </c>
      <c r="M1963" t="inlineStr">
        <is>
          <t>Bonus, Paid Leave, Team Activities, Others</t>
        </is>
      </c>
      <c r="N1963" s="8">
        <f>HYPERLINK("https://www.vietnamworks.com/-senior-sales-executivesales-manager-consumables-metal-processing-2010924-jv","Xem chi tiết")</f>
        <v/>
      </c>
    </row>
    <row r="1964">
      <c r="B1964" s="9" t="n">
        <v>1962</v>
      </c>
      <c r="C1964" s="10" t="inlineStr">
        <is>
          <t>Chuyên Viên Tiếng Nhật - Phòng Sản Xuất</t>
        </is>
      </c>
      <c r="D1964" s="10" t="inlineStr">
        <is>
          <t>Công Ty TNHH Điện Tử Meiko Việt Nam (MKVC)</t>
        </is>
      </c>
      <c r="E1964" s="10" t="inlineStr">
        <is>
          <t>$$ 100-1,000 /tháng</t>
        </is>
      </c>
      <c r="F1964" s="10" t="inlineStr">
        <is>
          <t>Hà Nội</t>
        </is>
      </c>
      <c r="G1964" s="10" t="inlineStr">
        <is>
          <t>Nhân viên</t>
        </is>
      </c>
      <c r="H1964" s="10" t="inlineStr">
        <is>
          <t>09/02/2026</t>
        </is>
      </c>
      <c r="I1964" s="10" t="inlineStr">
        <is>
          <t>26/03/2026</t>
        </is>
      </c>
      <c r="J1964" s="10" t="inlineStr">
        <is>
          <t>17/03/2026</t>
        </is>
      </c>
      <c r="K1964" s="10" t="inlineStr">
        <is>
          <t>N/A</t>
        </is>
      </c>
      <c r="L1964" s="10" t="inlineStr">
        <is>
          <t>Biên Phiên Dịch, Giao Tiếp, Nghiên Cứu Sản Xuất, Phiên Dịch Tài Liệu, Tiếng Nhật N2</t>
        </is>
      </c>
      <c r="M1964" s="10" t="inlineStr">
        <is>
          <t>Healthcare Plan, Paid Leave, Training, Transportation, Others</t>
        </is>
      </c>
      <c r="N1964" s="11">
        <f>HYPERLINK("https://www.vietnamworks.com/chuyen-vien-tieng-nhat-phong-san-xuat-2010914-jv","Xem chi tiết")</f>
        <v/>
      </c>
      <c r="O1964" s="10" t="n"/>
    </row>
    <row r="1965">
      <c r="B1965" s="7" t="n">
        <v>1963</v>
      </c>
      <c r="C1965" t="inlineStr">
        <is>
          <t>Giám Sát Bán Hàng - Đắk Lắk</t>
        </is>
      </c>
      <c r="D1965" t="inlineStr">
        <is>
          <t>PepsiCo Foods Vietnam Company</t>
        </is>
      </c>
      <c r="E1965" t="inlineStr">
        <is>
          <t>Thương lượng</t>
        </is>
      </c>
      <c r="F1965" t="inlineStr">
        <is>
          <t>Đắk Lắk</t>
        </is>
      </c>
      <c r="G1965" t="inlineStr">
        <is>
          <t>Trưởng phòng</t>
        </is>
      </c>
      <c r="H1965" t="inlineStr">
        <is>
          <t>09/02/2026</t>
        </is>
      </c>
      <c r="I1965" t="inlineStr">
        <is>
          <t>26/03/2026</t>
        </is>
      </c>
      <c r="J1965" t="inlineStr">
        <is>
          <t>17/03/2026</t>
        </is>
      </c>
      <c r="K1965" t="inlineStr">
        <is>
          <t>N/A</t>
        </is>
      </c>
      <c r="L1965" t="inlineStr">
        <is>
          <t>Bán Hàng, FMCG, Giám Sát Bán Hàng, Sales, Trade Marketing</t>
        </is>
      </c>
      <c r="M1965" t="inlineStr">
        <is>
          <t>Bonus, Healthcare Plan, Paid Leave</t>
        </is>
      </c>
      <c r="N1965" s="8">
        <f>HYPERLINK("https://www.vietnamworks.com/giam-sat-ban-hang-djak-lak-2010928-jv","Xem chi tiết")</f>
        <v/>
      </c>
    </row>
    <row r="1966">
      <c r="B1966" s="9" t="n">
        <v>1964</v>
      </c>
      <c r="C1966" s="10" t="inlineStr">
        <is>
          <t>Chuyên Viên Kinh Doanh Chứng Khoán Chi Nhánh Hà Nội</t>
        </is>
      </c>
      <c r="D1966" s="10" t="inlineStr">
        <is>
          <t>Công Ty Chứng Khoán Yuanta Việt Nam</t>
        </is>
      </c>
      <c r="E1966" s="10" t="inlineStr">
        <is>
          <t>$$ 300-800 /tháng</t>
        </is>
      </c>
      <c r="F1966" s="10" t="inlineStr">
        <is>
          <t>Hà Nội</t>
        </is>
      </c>
      <c r="G1966" s="10" t="inlineStr">
        <is>
          <t>Nhân viên</t>
        </is>
      </c>
      <c r="H1966" s="10" t="inlineStr">
        <is>
          <t>09/02/2026</t>
        </is>
      </c>
      <c r="I1966" s="10" t="inlineStr">
        <is>
          <t>26/03/2026</t>
        </is>
      </c>
      <c r="J1966" s="10" t="inlineStr">
        <is>
          <t>17/03/2026</t>
        </is>
      </c>
      <c r="K1966" s="10" t="inlineStr">
        <is>
          <t>N/A</t>
        </is>
      </c>
      <c r="L1966" s="10" t="inlineStr">
        <is>
          <t>Tư Vấn Đầu Tư, Môi Giới Chứng Khoán, Giao Dịch Chứng Khoán, Brokerage, Investment</t>
        </is>
      </c>
      <c r="M1966" s="10" t="inlineStr">
        <is>
          <t>Bonus, Healthcare Plan, Team Activities</t>
        </is>
      </c>
      <c r="N1966" s="11">
        <f>HYPERLINK("https://www.vietnamworks.com/chuyen-vien-kinh-doanh-chung-khoan-chi-nhanh-ha-noi--2010913-jv","Xem chi tiết")</f>
        <v/>
      </c>
      <c r="O1966" s="10" t="n"/>
    </row>
    <row r="1967">
      <c r="B1967" s="7" t="n">
        <v>1965</v>
      </c>
      <c r="C1967" t="inlineStr">
        <is>
          <t>Chuyên Viên Ứng Dụng Lâm Sàng / Clinical Application Specialist (MRI/CT)</t>
        </is>
      </c>
      <c r="D1967" t="inlineStr">
        <is>
          <t>CÔNG TY TNHH ANKE VIỆT NAM</t>
        </is>
      </c>
      <c r="E1967" t="inlineStr">
        <is>
          <t>Thương lượng</t>
        </is>
      </c>
      <c r="F1967" t="inlineStr">
        <is>
          <t>Hà Nội</t>
        </is>
      </c>
      <c r="G1967" t="inlineStr">
        <is>
          <t>Nhân viên</t>
        </is>
      </c>
      <c r="H1967" t="inlineStr">
        <is>
          <t>09/02/2026</t>
        </is>
      </c>
      <c r="I1967" t="inlineStr">
        <is>
          <t>26/03/2026</t>
        </is>
      </c>
      <c r="J1967" t="inlineStr">
        <is>
          <t>17/03/2026</t>
        </is>
      </c>
      <c r="K1967" t="inlineStr">
        <is>
          <t>N/A</t>
        </is>
      </c>
      <c r="L1967" t="inlineStr">
        <is>
          <t>Chẩn Đoán Hình Ảnh, Kỹ Thuật Quang Học, Kỹ Thuật Y Sinh, MRI, Đào Tạo Chuyên Môn</t>
        </is>
      </c>
      <c r="M1967" t="inlineStr">
        <is>
          <t>Training, Others</t>
        </is>
      </c>
      <c r="N1967" s="8">
        <f>HYPERLINK("https://www.vietnamworks.com/chuyen-vien-ung-dung-lam-sang-clinical-application-specialist-mrict-2010931-jv","Xem chi tiết")</f>
        <v/>
      </c>
    </row>
    <row r="1968">
      <c r="B1968" s="9" t="n">
        <v>1966</v>
      </c>
      <c r="C1968" s="10" t="inlineStr">
        <is>
          <t>Kế Toán Tổng Hợp</t>
        </is>
      </c>
      <c r="D1968" s="10" t="inlineStr">
        <is>
          <t>Công Ty Cổ Phần Quốc Tế Sơn Hà</t>
        </is>
      </c>
      <c r="E1968" s="10" t="inlineStr">
        <is>
          <t>$$ 1,000-1,200 /tháng</t>
        </is>
      </c>
      <c r="F1968" s="10" t="inlineStr">
        <is>
          <t>Hà Nội</t>
        </is>
      </c>
      <c r="G1968" s="10" t="inlineStr">
        <is>
          <t>Trưởng phòng</t>
        </is>
      </c>
      <c r="H1968" s="10" t="inlineStr">
        <is>
          <t>09/02/2026</t>
        </is>
      </c>
      <c r="I1968" s="10" t="inlineStr">
        <is>
          <t>26/03/2026</t>
        </is>
      </c>
      <c r="J1968" s="10" t="inlineStr">
        <is>
          <t>17/03/2026</t>
        </is>
      </c>
      <c r="K1968" s="10" t="inlineStr">
        <is>
          <t>N/A</t>
        </is>
      </c>
      <c r="L1968" s="10" t="inlineStr">
        <is>
          <t>Kế Toán Tổng Hợp, Kế Toán, Tài Chính, Kế Toán Trưởng, Sản Xuất</t>
        </is>
      </c>
      <c r="M1968" s="10" t="inlineStr">
        <is>
          <t>Bonus, Healthcare Plan, Laptop</t>
        </is>
      </c>
      <c r="N1968" s="11">
        <f>HYPERLINK("https://www.vietnamworks.com/ke-toan-tong-hop--2010935-jv","Xem chi tiết")</f>
        <v/>
      </c>
      <c r="O1968" s="10" t="n"/>
    </row>
    <row r="1969">
      <c r="B1969" s="7" t="n">
        <v>1967</v>
      </c>
      <c r="C1969" t="inlineStr">
        <is>
          <t>Kỹ Sư Công Trình</t>
        </is>
      </c>
      <c r="D1969" t="inlineStr">
        <is>
          <t>Công Ty Cổ Phần Nicon</t>
        </is>
      </c>
      <c r="E1969" t="inlineStr">
        <is>
          <t>Thương lượng</t>
        </is>
      </c>
      <c r="F1969" t="inlineStr">
        <is>
          <t>Hồ Chí Minh</t>
        </is>
      </c>
      <c r="G1969" t="inlineStr">
        <is>
          <t>Nhân viên</t>
        </is>
      </c>
      <c r="H1969" t="inlineStr">
        <is>
          <t>09/02/2026</t>
        </is>
      </c>
      <c r="I1969" t="inlineStr">
        <is>
          <t>26/03/2026</t>
        </is>
      </c>
      <c r="J1969" t="inlineStr">
        <is>
          <t>17/03/2026</t>
        </is>
      </c>
      <c r="K1969" t="inlineStr">
        <is>
          <t>N/A</t>
        </is>
      </c>
      <c r="L1969" t="inlineStr">
        <is>
          <t>Giám Sát Thi Công, Giám Sát Xây Dựng, Kỹ Thuật Xây Dựng, Quản Lý An Toàn Lao Động, Đọc Hiểu Bản Vẽ</t>
        </is>
      </c>
      <c r="M1969" t="inlineStr">
        <is>
          <t>Bonus, Healthcare Plan, Training</t>
        </is>
      </c>
      <c r="N1969" s="8">
        <f>HYPERLINK("https://www.vietnamworks.com/ky-su-cong-trinh--2010909-jv","Xem chi tiết")</f>
        <v/>
      </c>
    </row>
    <row r="1970">
      <c r="B1970" s="9" t="n">
        <v>1968</v>
      </c>
      <c r="C1970" s="10" t="inlineStr">
        <is>
          <t>Customer Service Centre Operations Supervisor</t>
        </is>
      </c>
      <c r="D1970" s="10" t="inlineStr">
        <is>
          <t>Easyspeed Global Forwarding (Vietnam) CO., LTD.</t>
        </is>
      </c>
      <c r="E1970" s="10" t="inlineStr">
        <is>
          <t>Thương lượng</t>
        </is>
      </c>
      <c r="F1970" s="10" t="inlineStr">
        <is>
          <t>Hà Nội</t>
        </is>
      </c>
      <c r="G1970" s="10" t="inlineStr">
        <is>
          <t>Nhân viên</t>
        </is>
      </c>
      <c r="H1970" s="10" t="inlineStr">
        <is>
          <t>09/02/2026</t>
        </is>
      </c>
      <c r="I1970" s="10" t="inlineStr">
        <is>
          <t>26/03/2026</t>
        </is>
      </c>
      <c r="J1970" s="10" t="inlineStr">
        <is>
          <t>17/03/2026</t>
        </is>
      </c>
      <c r="K1970" s="10" t="inlineStr">
        <is>
          <t>N/A</t>
        </is>
      </c>
      <c r="L1970" s="10" t="inlineStr">
        <is>
          <t>Communication Skills, Freight Forwarding, Logistics Management, Cargowise Proficiency</t>
        </is>
      </c>
      <c r="M1970" s="10" t="inlineStr">
        <is>
          <t>Paid Leave, Laptop, Travel Opportunities, Transportation</t>
        </is>
      </c>
      <c r="N1970" s="11">
        <f>HYPERLINK("https://www.vietnamworks.com/customer-service-centre-operations-supervisor-2010919-jv","Xem chi tiết")</f>
        <v/>
      </c>
      <c r="O1970" s="10" t="n"/>
    </row>
    <row r="1971">
      <c r="B1971" s="7" t="n">
        <v>1969</v>
      </c>
      <c r="C1971" t="inlineStr">
        <is>
          <t>Nhân Viên Kinh Doanh</t>
        </is>
      </c>
      <c r="D1971" t="inlineStr">
        <is>
          <t>CÔNG TY TNHH THỰC PHẨM TỔNG HỢP KOWA (VIỆT NAM)</t>
        </is>
      </c>
      <c r="E1971" t="inlineStr">
        <is>
          <t>Thương lượng</t>
        </is>
      </c>
      <c r="F1971" t="inlineStr">
        <is>
          <t>Hà Nội</t>
        </is>
      </c>
      <c r="G1971" t="inlineStr">
        <is>
          <t>Mới Tốt Nghiệp</t>
        </is>
      </c>
      <c r="H1971" t="inlineStr">
        <is>
          <t>09/02/2026</t>
        </is>
      </c>
      <c r="I1971" t="inlineStr">
        <is>
          <t>26/03/2026</t>
        </is>
      </c>
      <c r="J1971" t="inlineStr">
        <is>
          <t>17/03/2026</t>
        </is>
      </c>
      <c r="K1971" t="inlineStr">
        <is>
          <t>N/A</t>
        </is>
      </c>
      <c r="L1971" t="inlineStr">
        <is>
          <t>Tiếng Nhật, Chăm Sóc Khách Hàng, Báo Giá, Nghiên Cứu Thị Trường, Thương Mại Quốc Tế</t>
        </is>
      </c>
      <c r="M1971" t="inlineStr">
        <is>
          <t>Bonus, Healthcare Plan</t>
        </is>
      </c>
      <c r="N1971" s="8">
        <f>HYPERLINK("https://www.vietnamworks.com/nhan-vien-kinh-doanh-2010910-jv","Xem chi tiết")</f>
        <v/>
      </c>
    </row>
    <row r="1972">
      <c r="B1972" s="9" t="n">
        <v>1970</v>
      </c>
      <c r="C1972" s="10" t="inlineStr">
        <is>
          <t>Chuyên Viên Kinh Doanh Chứng Khoán</t>
        </is>
      </c>
      <c r="D1972" s="10" t="inlineStr">
        <is>
          <t>Công Ty Chứng Khoán Yuanta Việt Nam</t>
        </is>
      </c>
      <c r="E1972" s="10" t="inlineStr">
        <is>
          <t>$$ 300-800 /tháng</t>
        </is>
      </c>
      <c r="F1972" s="10" t="inlineStr">
        <is>
          <t>Hồ Chí Minh</t>
        </is>
      </c>
      <c r="G1972" s="10" t="inlineStr">
        <is>
          <t>Nhân viên</t>
        </is>
      </c>
      <c r="H1972" s="10" t="inlineStr">
        <is>
          <t>09/02/2026</t>
        </is>
      </c>
      <c r="I1972" s="10" t="inlineStr">
        <is>
          <t>26/03/2026</t>
        </is>
      </c>
      <c r="J1972" s="10" t="inlineStr">
        <is>
          <t>17/03/2026</t>
        </is>
      </c>
      <c r="K1972" s="10" t="inlineStr">
        <is>
          <t>N/A</t>
        </is>
      </c>
      <c r="L1972" s="10" t="inlineStr">
        <is>
          <t>Tư Vấn Đầu Tư, Môi Giới Chứng Khoán, Giao Dịch Chứng Khoán, Brokerage, Investment</t>
        </is>
      </c>
      <c r="M1972" s="10" t="inlineStr">
        <is>
          <t>Bonus, Healthcare Plan, Team Activities</t>
        </is>
      </c>
      <c r="N1972" s="11">
        <f>HYPERLINK("https://www.vietnamworks.com/chuyen-vien-kinh-doanh-chung-khoan--2010921-jv","Xem chi tiết")</f>
        <v/>
      </c>
      <c r="O1972" s="10" t="n"/>
    </row>
    <row r="1973">
      <c r="B1973" s="7" t="n">
        <v>1971</v>
      </c>
      <c r="C1973" t="inlineStr">
        <is>
          <t>Forwarding Staff (Export)</t>
        </is>
      </c>
      <c r="D1973" t="inlineStr">
        <is>
          <t>Công Ty TNHH Hanaro TNS Việt Nam</t>
        </is>
      </c>
      <c r="E1973" t="inlineStr">
        <is>
          <t>Thương lượng</t>
        </is>
      </c>
      <c r="F1973" t="inlineStr">
        <is>
          <t>Hà Nội</t>
        </is>
      </c>
      <c r="G1973" t="inlineStr">
        <is>
          <t>Mới Tốt Nghiệp</t>
        </is>
      </c>
      <c r="H1973" t="inlineStr">
        <is>
          <t>09/02/2026</t>
        </is>
      </c>
      <c r="I1973" t="inlineStr">
        <is>
          <t>26/03/2026</t>
        </is>
      </c>
      <c r="J1973" t="inlineStr">
        <is>
          <t>17/03/2026</t>
        </is>
      </c>
      <c r="K1973" t="inlineStr">
        <is>
          <t>N/A</t>
        </is>
      </c>
      <c r="L1973" t="inlineStr">
        <is>
          <t>Freight Forwarding, Import-Export, English, Foreign Economic, International Economics</t>
        </is>
      </c>
      <c r="M1973" t="inlineStr">
        <is>
          <t>Bonus, Healthcare Plan, Training</t>
        </is>
      </c>
      <c r="N1973" s="8">
        <f>HYPERLINK("https://www.vietnamworks.com/forwarding-staff-export--2010926-jv","Xem chi tiết")</f>
        <v/>
      </c>
    </row>
    <row r="1974">
      <c r="B1974" s="9" t="n">
        <v>1972</v>
      </c>
      <c r="C1974" s="10" t="inlineStr">
        <is>
          <t>Nhân Viên Xuất Nhập Khẩu</t>
        </is>
      </c>
      <c r="D1974" s="10" t="inlineStr">
        <is>
          <t>Công Ty TNHH Vinatech Vina</t>
        </is>
      </c>
      <c r="E1974" s="10" t="inlineStr">
        <is>
          <t>Thương lượng</t>
        </is>
      </c>
      <c r="F1974" s="10" t="inlineStr">
        <is>
          <t>Bắc Ninh</t>
        </is>
      </c>
      <c r="G1974" s="10" t="inlineStr">
        <is>
          <t>Nhân viên</t>
        </is>
      </c>
      <c r="H1974" s="10" t="inlineStr">
        <is>
          <t>09/02/2026</t>
        </is>
      </c>
      <c r="I1974" s="10" t="inlineStr">
        <is>
          <t>26/03/2026</t>
        </is>
      </c>
      <c r="J1974" s="10" t="inlineStr">
        <is>
          <t>17/03/2026</t>
        </is>
      </c>
      <c r="K1974" s="10" t="inlineStr">
        <is>
          <t>N/A</t>
        </is>
      </c>
      <c r="L1974" s="10" t="inlineStr">
        <is>
          <t>Kiểm Tra Chứng Từ, Kiểm Soát Đơn Hàng, Thủ Tục Hải Quan, Báo Cáo Kế Toán, Tiếng Anh</t>
        </is>
      </c>
      <c r="M1974" s="10" t="inlineStr">
        <is>
          <t>Bonus, Healthcare Plan, Training, Canteen, Others</t>
        </is>
      </c>
      <c r="N1974" s="11">
        <f>HYPERLINK("https://www.vietnamworks.com/nhan-vien-xuat-nhap-khau-2010934-jv","Xem chi tiết")</f>
        <v/>
      </c>
      <c r="O1974" s="10" t="n"/>
    </row>
    <row r="1975">
      <c r="B1975" s="7" t="n">
        <v>1973</v>
      </c>
      <c r="C1975" t="inlineStr">
        <is>
          <t>(Senior) Logistics Executive</t>
        </is>
      </c>
      <c r="D1975" t="inlineStr">
        <is>
          <t>Công Ty TNHH Onpoint</t>
        </is>
      </c>
      <c r="E1975" t="inlineStr">
        <is>
          <t>Thương lượng</t>
        </is>
      </c>
      <c r="F1975" t="inlineStr">
        <is>
          <t>Hồ Chí Minh</t>
        </is>
      </c>
      <c r="G1975" t="inlineStr">
        <is>
          <t>Nhân viên</t>
        </is>
      </c>
      <c r="H1975" t="inlineStr">
        <is>
          <t>09/02/2026</t>
        </is>
      </c>
      <c r="I1975" t="inlineStr">
        <is>
          <t>26/03/2026</t>
        </is>
      </c>
      <c r="J1975" t="inlineStr">
        <is>
          <t>17/03/2026</t>
        </is>
      </c>
      <c r="K1975" t="inlineStr">
        <is>
          <t>N/A</t>
        </is>
      </c>
      <c r="L1975" t="inlineStr">
        <is>
          <t>Logistics, Supply Chain Management, Inventory Management, Analytical Skills, Communication Skills</t>
        </is>
      </c>
      <c r="M1975" t="inlineStr">
        <is>
          <t>Bonus, Healthcare Plan, Paid Leave, Laptop, Others</t>
        </is>
      </c>
      <c r="N1975" s="8">
        <f>HYPERLINK("https://www.vietnamworks.com/-senior-logistics-executive-2010911-jv","Xem chi tiết")</f>
        <v/>
      </c>
    </row>
    <row r="1976">
      <c r="B1976" s="9" t="n">
        <v>1974</v>
      </c>
      <c r="C1976" s="10" t="inlineStr">
        <is>
          <t>Nhân Viên Kế Toán Tổng Hợp</t>
        </is>
      </c>
      <c r="D1976" s="10" t="inlineStr">
        <is>
          <t>CÔNG TY CỔ PHẦN ĐẦU TƯ Ô TÔ HẢI ÂU</t>
        </is>
      </c>
      <c r="E1976" s="10" t="inlineStr">
        <is>
          <t>25tr-30tr ₫/tháng</t>
        </is>
      </c>
      <c r="F1976" s="10" t="inlineStr">
        <is>
          <t>Hà Nội</t>
        </is>
      </c>
      <c r="G1976" s="10" t="inlineStr">
        <is>
          <t>Nhân viên</t>
        </is>
      </c>
      <c r="H1976" s="10" t="inlineStr">
        <is>
          <t>09/02/2026</t>
        </is>
      </c>
      <c r="I1976" s="10" t="inlineStr">
        <is>
          <t>26/03/2026</t>
        </is>
      </c>
      <c r="J1976" s="10" t="inlineStr">
        <is>
          <t>17/03/2026</t>
        </is>
      </c>
      <c r="K1976" s="10" t="inlineStr">
        <is>
          <t>N/A</t>
        </is>
      </c>
      <c r="L1976" s="10" t="inlineStr">
        <is>
          <t>Báo Cáo Tài Chính, Công Nợ, Kế Toán, Tài Chính, Chứng Từ Kế Toán</t>
        </is>
      </c>
      <c r="M1976" s="10" t="inlineStr">
        <is>
          <t>Bonus, Healthcare Plan, Paid Leave, Training, Team Activities, Others</t>
        </is>
      </c>
      <c r="N1976" s="11">
        <f>HYPERLINK("https://www.vietnamworks.com/nhan-vien-ke-toan-tong-hop-2010927-jv","Xem chi tiết")</f>
        <v/>
      </c>
      <c r="O1976" s="10" t="n"/>
    </row>
    <row r="1977">
      <c r="B1977" s="7" t="n">
        <v>1975</v>
      </c>
      <c r="C1977" t="inlineStr">
        <is>
          <t>Chuyên Viên Cao Cấp/chuyên Gia Giám Sát Thi Công (Xây Dựng/cơ Điện) - Living Global - 4N012</t>
        </is>
      </c>
      <c r="D1977" t="inlineStr">
        <is>
          <t>Tập đoàn ROX (ROX Group)</t>
        </is>
      </c>
      <c r="E1977" t="inlineStr">
        <is>
          <t>Thương lượng</t>
        </is>
      </c>
      <c r="F1977" t="inlineStr">
        <is>
          <t>Quốc tế</t>
        </is>
      </c>
      <c r="G1977" t="inlineStr">
        <is>
          <t>Nhân viên</t>
        </is>
      </c>
      <c r="H1977" t="inlineStr">
        <is>
          <t>09/02/2026</t>
        </is>
      </c>
      <c r="I1977" t="inlineStr">
        <is>
          <t>26/03/2026</t>
        </is>
      </c>
      <c r="J1977" t="inlineStr">
        <is>
          <t>17/03/2026</t>
        </is>
      </c>
      <c r="K1977" t="inlineStr">
        <is>
          <t>N/A</t>
        </is>
      </c>
      <c r="L1977" t="inlineStr">
        <is>
          <t>Giám Sát Công Trình, Lập Kế Hoạch, Quản Lý Kỹ Thuật, Tiếng Nga, Tiếng Anh thành thạo</t>
        </is>
      </c>
      <c r="M1977" t="inlineStr">
        <is>
          <t>Bonus, Healthcare Plan, Paid Leave</t>
        </is>
      </c>
      <c r="N1977" s="8">
        <f>HYPERLINK("https://www.vietnamworks.com/chuyen-vien-cao-cap-chuyen-gia-giam-sat-thi-cong-xay-dung-co-dien-living-global-4n012-2010929-jv","Xem chi tiết")</f>
        <v/>
      </c>
    </row>
    <row r="1978">
      <c r="B1978" s="9" t="n">
        <v>1976</v>
      </c>
      <c r="C1978" s="10" t="inlineStr">
        <is>
          <t>Phó Tổng Giám Đốc Công Ty Cổ Phần Dịch Vụ Quản Lý Vận Hành Khu Công Nghiệp IMC - 4A070</t>
        </is>
      </c>
      <c r="D1978" s="10" t="inlineStr">
        <is>
          <t>Tập đoàn ROX (ROX Group)</t>
        </is>
      </c>
      <c r="E1978" s="10" t="inlineStr">
        <is>
          <t>Thương lượng</t>
        </is>
      </c>
      <c r="F1978" s="10" t="inlineStr">
        <is>
          <t>Hà Nội</t>
        </is>
      </c>
      <c r="G1978" s="10" t="inlineStr">
        <is>
          <t>Giám Đốc và Cấp Cao Hơn</t>
        </is>
      </c>
      <c r="H1978" s="10" t="inlineStr">
        <is>
          <t>09/02/2026</t>
        </is>
      </c>
      <c r="I1978" s="10" t="inlineStr">
        <is>
          <t>26/03/2026</t>
        </is>
      </c>
      <c r="J1978" s="10" t="inlineStr">
        <is>
          <t>17/03/2026</t>
        </is>
      </c>
      <c r="K1978" s="10" t="inlineStr">
        <is>
          <t>N/A</t>
        </is>
      </c>
      <c r="L1978" s="10" t="inlineStr">
        <is>
          <t>Quản Lý Vận Hành, Quản Lý Khu Công Nghiệp, Xây Dựng Công Nghiệp, Xây Dựng Dân Dụng</t>
        </is>
      </c>
      <c r="M1978" s="10" t="inlineStr">
        <is>
          <t>Bonus, Healthcare Plan, Paid Leave</t>
        </is>
      </c>
      <c r="N1978" s="11">
        <f>HYPERLINK("https://www.vietnamworks.com/pho-tong-giam-doc-cong-ty-co-phan-dich-vu-quan-ly-van-hanh-khu-cong-nghiep-imc-4a070-2010933-jv","Xem chi tiết")</f>
        <v/>
      </c>
      <c r="O1978" s="10" t="n"/>
    </row>
    <row r="1979">
      <c r="B1979" s="7" t="n">
        <v>1977</v>
      </c>
      <c r="C1979" t="inlineStr">
        <is>
          <t>Nhân Viên Lập Trình</t>
        </is>
      </c>
      <c r="D1979" t="inlineStr">
        <is>
          <t>Công ty Cổ phần Logistics Hàng không (ALS)</t>
        </is>
      </c>
      <c r="E1979" t="inlineStr">
        <is>
          <t>12tr-26tr ₫/tháng</t>
        </is>
      </c>
      <c r="F1979" t="inlineStr">
        <is>
          <t>Hà Nội</t>
        </is>
      </c>
      <c r="G1979" t="inlineStr">
        <is>
          <t>Nhân viên</t>
        </is>
      </c>
      <c r="H1979" t="inlineStr">
        <is>
          <t>09/02/2026</t>
        </is>
      </c>
      <c r="I1979" t="inlineStr">
        <is>
          <t>26/03/2026</t>
        </is>
      </c>
      <c r="J1979" t="inlineStr">
        <is>
          <t>17/03/2026</t>
        </is>
      </c>
      <c r="K1979" t="inlineStr">
        <is>
          <t>N/A</t>
        </is>
      </c>
      <c r="L1979" t="inlineStr">
        <is>
          <t>.NET, Razor Page, ReactJS, Agile Methods, DevOps</t>
        </is>
      </c>
      <c r="M1979" t="inlineStr">
        <is>
          <t>Bonus, Healthcare Plan, Travel Opportunities, Others</t>
        </is>
      </c>
      <c r="N1979" s="8">
        <f>HYPERLINK("https://www.vietnamworks.com/nhan-vien-lap-trinh-2010938-jv","Xem chi tiết")</f>
        <v/>
      </c>
    </row>
    <row r="1980">
      <c r="B1980" s="9" t="n">
        <v>1978</v>
      </c>
      <c r="C1980" s="10" t="inlineStr">
        <is>
          <t>Nhân Viên Xử Lý Đơn Hàng - Phòng Thiết Bị Vật Tư Y Tế Tiêu Hao</t>
        </is>
      </c>
      <c r="D1980" s="10" t="inlineStr">
        <is>
          <t>Công Ty Cổ Phần Dược Phẩm 3/2</t>
        </is>
      </c>
      <c r="E1980" s="10" t="inlineStr">
        <is>
          <t>$$ 400-600 /tháng</t>
        </is>
      </c>
      <c r="F1980" s="10" t="inlineStr">
        <is>
          <t>Hồ Chí Minh</t>
        </is>
      </c>
      <c r="G1980" s="10" t="inlineStr">
        <is>
          <t>Nhân viên</t>
        </is>
      </c>
      <c r="H1980" s="10" t="inlineStr">
        <is>
          <t>09/02/2026</t>
        </is>
      </c>
      <c r="I1980" s="10" t="inlineStr">
        <is>
          <t>26/03/2026</t>
        </is>
      </c>
      <c r="J1980" s="10" t="inlineStr">
        <is>
          <t>17/03/2026</t>
        </is>
      </c>
      <c r="K1980" s="10" t="inlineStr">
        <is>
          <t>N/A</t>
        </is>
      </c>
      <c r="L1980" s="10" t="inlineStr">
        <is>
          <t>Excel, Kế Toán, Làm Việc Nhóm, Quản Trị Kinh Doanh, Thiết Bị Y Tế</t>
        </is>
      </c>
      <c r="M1980" s="10" t="inlineStr">
        <is>
          <t>Healthcare Plan, Paid Leave, Training, Others</t>
        </is>
      </c>
      <c r="N1980" s="11">
        <f>HYPERLINK("https://www.vietnamworks.com/nhan-vien-xu-ly-djon-hang-phong-thiet-bi-vat-tu-y-te-tieu-hao-2010966-jv","Xem chi tiết")</f>
        <v/>
      </c>
      <c r="O1980" s="10" t="n"/>
    </row>
    <row r="1981">
      <c r="B1981" s="7" t="n">
        <v>1979</v>
      </c>
      <c r="C1981" t="inlineStr">
        <is>
          <t>Kế Toán Tổng Hợp</t>
        </is>
      </c>
      <c r="D1981" t="inlineStr">
        <is>
          <t>Công ty cổ phần quảng cáo Goclick</t>
        </is>
      </c>
      <c r="E1981" t="inlineStr">
        <is>
          <t>Thương lượng</t>
        </is>
      </c>
      <c r="F1981" t="inlineStr">
        <is>
          <t>Hồ Chí Minh</t>
        </is>
      </c>
      <c r="G1981" t="inlineStr">
        <is>
          <t>Nhân viên</t>
        </is>
      </c>
      <c r="H1981" t="inlineStr">
        <is>
          <t>09/02/2026</t>
        </is>
      </c>
      <c r="I1981" t="inlineStr">
        <is>
          <t>26/03/2026</t>
        </is>
      </c>
      <c r="J1981" t="inlineStr">
        <is>
          <t>17/03/2026</t>
        </is>
      </c>
      <c r="K1981" t="inlineStr">
        <is>
          <t>N/A</t>
        </is>
      </c>
      <c r="L1981" t="inlineStr">
        <is>
          <t>Giao Tiếp, Kế Toán Tổng Hợp, Làm Việc Nhóm, Phần mềm kế toán, Đàm Phán</t>
        </is>
      </c>
      <c r="M1981" t="inlineStr">
        <is>
          <t>Bonus, Healthcare Plan, Others</t>
        </is>
      </c>
      <c r="N1981" s="8">
        <f>HYPERLINK("https://www.vietnamworks.com/ke-toan-tong-hop-2010958-jv","Xem chi tiết")</f>
        <v/>
      </c>
    </row>
    <row r="1982">
      <c r="B1982" s="9" t="n">
        <v>1980</v>
      </c>
      <c r="C1982" s="10" t="inlineStr">
        <is>
          <t>HR Generalist</t>
        </is>
      </c>
      <c r="D1982" s="10" t="inlineStr">
        <is>
          <t>Vietnam Coffee &amp; Tea Company Limited</t>
        </is>
      </c>
      <c r="E1982" s="10" t="inlineStr">
        <is>
          <t>$$ 750-1,150 /tháng</t>
        </is>
      </c>
      <c r="F1982" s="10" t="inlineStr">
        <is>
          <t>Khánh Hòa</t>
        </is>
      </c>
      <c r="G1982" s="10" t="inlineStr">
        <is>
          <t>Nhân viên</t>
        </is>
      </c>
      <c r="H1982" s="10" t="inlineStr">
        <is>
          <t>09/02/2026</t>
        </is>
      </c>
      <c r="I1982" s="10" t="inlineStr">
        <is>
          <t>26/03/2026</t>
        </is>
      </c>
      <c r="J1982" s="10" t="inlineStr">
        <is>
          <t>17/03/2026</t>
        </is>
      </c>
      <c r="K1982" s="10" t="inlineStr">
        <is>
          <t>N/A</t>
        </is>
      </c>
      <c r="L1982" s="10" t="inlineStr">
        <is>
          <t>LinkedIn Recruiting, Onboarding Process, Performance Management, Talent Management &amp; Acquisition, Employee Relations</t>
        </is>
      </c>
      <c r="M1982" s="10" t="inlineStr">
        <is>
          <t>Bonus, Paid Leave, Mobile</t>
        </is>
      </c>
      <c r="N1982" s="11">
        <f>HYPERLINK("https://www.vietnamworks.com/hr-generalist--2010946-jv","Xem chi tiết")</f>
        <v/>
      </c>
      <c r="O1982" s="10" t="n"/>
    </row>
    <row r="1983">
      <c r="B1983" s="7" t="n">
        <v>1981</v>
      </c>
      <c r="C1983" t="inlineStr">
        <is>
          <t>Chuyên Viên Sản Phẩm/ Product Specialist (MRI/ CT)</t>
        </is>
      </c>
      <c r="D1983" t="inlineStr">
        <is>
          <t>CÔNG TY TNHH ANKE VIỆT NAM</t>
        </is>
      </c>
      <c r="E1983" t="inlineStr">
        <is>
          <t>Thương lượng</t>
        </is>
      </c>
      <c r="F1983" t="inlineStr">
        <is>
          <t>Hà Nội</t>
        </is>
      </c>
      <c r="G1983" t="inlineStr">
        <is>
          <t>Mới Tốt Nghiệp</t>
        </is>
      </c>
      <c r="H1983" t="inlineStr">
        <is>
          <t>09/02/2026</t>
        </is>
      </c>
      <c r="I1983" t="inlineStr">
        <is>
          <t>26/03/2026</t>
        </is>
      </c>
      <c r="J1983" t="inlineStr">
        <is>
          <t>17/03/2026</t>
        </is>
      </c>
      <c r="K1983" t="inlineStr">
        <is>
          <t>N/A</t>
        </is>
      </c>
      <c r="L1983" t="inlineStr">
        <is>
          <t>Kỹ Thuật Y Sinh, Chẩn Đoán Hình Ảnh, Thiết Bị Y Tế, Chuẩn Bị Hồ Sơ Đấu Thầu, Giới Thiệu Sản Phẩm</t>
        </is>
      </c>
      <c r="M1983" t="inlineStr">
        <is>
          <t>Bonus, Training, Others</t>
        </is>
      </c>
      <c r="N1983" s="8">
        <f>HYPERLINK("https://www.vietnamworks.com/chuyen-vien-san-pham-product-specialist-mri-ct-2010940-jv","Xem chi tiết")</f>
        <v/>
      </c>
    </row>
    <row r="1984">
      <c r="B1984" s="9" t="n">
        <v>1982</v>
      </c>
      <c r="C1984" s="10" t="inlineStr">
        <is>
          <t>Process Modeler (Wastewater Treatment &amp; Waste Treatment, Renewable Energy)</t>
        </is>
      </c>
      <c r="D1984" s="10" t="inlineStr">
        <is>
          <t>CÔNG TY TNHH ANAERGIA VIETNAM</t>
        </is>
      </c>
      <c r="E1984" s="10" t="inlineStr">
        <is>
          <t>Thương lượng</t>
        </is>
      </c>
      <c r="F1984" s="10" t="inlineStr">
        <is>
          <t>Hồ Chí Minh</t>
        </is>
      </c>
      <c r="G1984" s="10" t="inlineStr">
        <is>
          <t>Nhân viên</t>
        </is>
      </c>
      <c r="H1984" s="10" t="inlineStr">
        <is>
          <t>09/02/2026</t>
        </is>
      </c>
      <c r="I1984" s="10" t="inlineStr">
        <is>
          <t>26/03/2026</t>
        </is>
      </c>
      <c r="J1984" s="10" t="inlineStr">
        <is>
          <t>17/03/2026</t>
        </is>
      </c>
      <c r="K1984" s="10" t="inlineStr">
        <is>
          <t>N/A</t>
        </is>
      </c>
      <c r="L1984" s="10" t="inlineStr">
        <is>
          <t>System Modeling, Python Programming, Data Analysis, Wastewater Treatment, Simcenter Star-CCM+</t>
        </is>
      </c>
      <c r="M1984" s="10" t="inlineStr">
        <is>
          <t>Bonus, Healthcare Plan, Paid Leave</t>
        </is>
      </c>
      <c r="N1984" s="11">
        <f>HYPERLINK("https://www.vietnamworks.com/process-modeler-wastewater-treatment-waste-treatment-renewable-energy-2010951-jv","Xem chi tiết")</f>
        <v/>
      </c>
      <c r="O1984" s="10" t="n"/>
    </row>
    <row r="1985">
      <c r="B1985" s="7" t="n">
        <v>1983</v>
      </c>
      <c r="C1985" t="inlineStr">
        <is>
          <t>Nhân Viên Sản Xuất/ Production Staff</t>
        </is>
      </c>
      <c r="D1985" t="inlineStr">
        <is>
          <t>Showa Gloves Vietnam</t>
        </is>
      </c>
      <c r="E1985" t="inlineStr">
        <is>
          <t>Thương lượng</t>
        </is>
      </c>
      <c r="F1985" t="inlineStr">
        <is>
          <t>Bình Dương, Hồ Chí Minh</t>
        </is>
      </c>
      <c r="G1985" t="inlineStr">
        <is>
          <t>Mới Tốt Nghiệp</t>
        </is>
      </c>
      <c r="H1985" t="inlineStr">
        <is>
          <t>09/02/2026</t>
        </is>
      </c>
      <c r="I1985" t="inlineStr">
        <is>
          <t>26/03/2026</t>
        </is>
      </c>
      <c r="J1985" t="inlineStr">
        <is>
          <t>17/03/2026</t>
        </is>
      </c>
      <c r="K1985" t="inlineStr">
        <is>
          <t>N/A</t>
        </is>
      </c>
      <c r="L1985" t="inlineStr">
        <is>
          <t>Quản Lý Sản Xuất, Quản Lý 5S, Kaizen, ISO 9001, ISO 14001</t>
        </is>
      </c>
      <c r="M1985" t="inlineStr">
        <is>
          <t>Bonus, Healthcare Plan, Transportation</t>
        </is>
      </c>
      <c r="N1985" s="8">
        <f>HYPERLINK("https://www.vietnamworks.com/nhan-vien-san-xuat-production-staff--2010947-jv","Xem chi tiết")</f>
        <v/>
      </c>
    </row>
    <row r="1986">
      <c r="B1986" s="9" t="n">
        <v>1984</v>
      </c>
      <c r="C1986" s="10" t="inlineStr">
        <is>
          <t>Plastic Sales Executive - Chinese Speaking (Ha Noi &amp; Ho Chi Minh)</t>
        </is>
      </c>
      <c r="D1986" s="10" t="inlineStr">
        <is>
          <t>Kin Sang Chemical LTD</t>
        </is>
      </c>
      <c r="E1986" s="10" t="inlineStr">
        <is>
          <t>Từ $ 900 /tháng</t>
        </is>
      </c>
      <c r="F1986" s="10" t="inlineStr">
        <is>
          <t>Hà Nội, Hồ Chí Minh</t>
        </is>
      </c>
      <c r="G1986" s="10" t="inlineStr">
        <is>
          <t>Nhân viên</t>
        </is>
      </c>
      <c r="H1986" s="10" t="inlineStr">
        <is>
          <t>09/02/2026</t>
        </is>
      </c>
      <c r="I1986" s="10" t="inlineStr">
        <is>
          <t>26/03/2026</t>
        </is>
      </c>
      <c r="J1986" s="10" t="inlineStr">
        <is>
          <t>17/03/2026</t>
        </is>
      </c>
      <c r="K1986" s="10" t="inlineStr">
        <is>
          <t>N/A</t>
        </is>
      </c>
      <c r="L1986" s="10" t="inlineStr">
        <is>
          <t>Sales, Kinh Doanh, Tiếng Trung, Sales Engineering, Chinese Speaking</t>
        </is>
      </c>
      <c r="M1986" s="10" t="inlineStr">
        <is>
          <t>Bonus, Healthcare Plan, Paid Leave</t>
        </is>
      </c>
      <c r="N1986" s="11">
        <f>HYPERLINK("https://www.vietnamworks.com/plastic-sales-executive-chinese-speaking-ha-noi-ho-chi-minh-2010953-jv","Xem chi tiết")</f>
        <v/>
      </c>
      <c r="O1986" s="10" t="n"/>
    </row>
    <row r="1987">
      <c r="B1987" s="7" t="n">
        <v>1985</v>
      </c>
      <c r="C1987" t="inlineStr">
        <is>
          <t>Project Management Lead – Video Production</t>
        </is>
      </c>
      <c r="D1987" t="inlineStr">
        <is>
          <t>Fonos</t>
        </is>
      </c>
      <c r="E1987" t="inlineStr">
        <is>
          <t>Thương lượng</t>
        </is>
      </c>
      <c r="F1987" t="inlineStr">
        <is>
          <t>Hồ Chí Minh</t>
        </is>
      </c>
      <c r="G1987" t="inlineStr">
        <is>
          <t>Nhân viên</t>
        </is>
      </c>
      <c r="H1987" t="inlineStr">
        <is>
          <t>09/02/2026</t>
        </is>
      </c>
      <c r="I1987" t="inlineStr">
        <is>
          <t>26/03/2026</t>
        </is>
      </c>
      <c r="J1987" t="inlineStr">
        <is>
          <t>17/03/2026</t>
        </is>
      </c>
      <c r="K1987" t="inlineStr">
        <is>
          <t>N/A</t>
        </is>
      </c>
      <c r="L1987" t="inlineStr">
        <is>
          <t>Biên Tập Video Hậu Kỳ, Kiểm Soát Chất Lượng, Lãnh Đạo, Quản Lý Dự Án, Quay Phim</t>
        </is>
      </c>
      <c r="M1987" t="inlineStr">
        <is>
          <t>Bonus, Healthcare Plan, Training</t>
        </is>
      </c>
      <c r="N1987" s="8">
        <f>HYPERLINK("https://www.vietnamworks.com/project-management-lead-video-production-2010942-jv","Xem chi tiết")</f>
        <v/>
      </c>
    </row>
    <row r="1988">
      <c r="B1988" s="9" t="n">
        <v>1986</v>
      </c>
      <c r="C1988" s="10" t="inlineStr">
        <is>
          <t>Compliance Specialist (Upto 1500 USD)</t>
        </is>
      </c>
      <c r="D1988" s="10" t="inlineStr">
        <is>
          <t>Spectre GT Vietnam</t>
        </is>
      </c>
      <c r="E1988" s="10" t="inlineStr">
        <is>
          <t>Thương lượng</t>
        </is>
      </c>
      <c r="F1988" s="10" t="inlineStr">
        <is>
          <t>Thái Bình, Nam Định</t>
        </is>
      </c>
      <c r="G1988" s="10" t="inlineStr">
        <is>
          <t>Nhân viên</t>
        </is>
      </c>
      <c r="H1988" s="10" t="inlineStr">
        <is>
          <t>09/02/2026</t>
        </is>
      </c>
      <c r="I1988" s="10" t="inlineStr">
        <is>
          <t>26/03/2026</t>
        </is>
      </c>
      <c r="J1988" s="10" t="inlineStr">
        <is>
          <t>17/03/2026</t>
        </is>
      </c>
      <c r="K1988" s="10" t="inlineStr">
        <is>
          <t>N/A</t>
        </is>
      </c>
      <c r="L1988" s="10" t="inlineStr">
        <is>
          <t>Supply Chain, Supply Chain Management, Supply Chain Operations, Supply Chain Development, Apparel Technique</t>
        </is>
      </c>
      <c r="M1988" s="10" t="inlineStr">
        <is>
          <t>Bonus, Healthcare Plan, Others</t>
        </is>
      </c>
      <c r="N1988" s="11">
        <f>HYPERLINK("https://www.vietnamworks.com/compliance-specialist-upto-1500-usd-2010968-jv","Xem chi tiết")</f>
        <v/>
      </c>
      <c r="O1988" s="10" t="n"/>
    </row>
    <row r="1989">
      <c r="B1989" s="7" t="n">
        <v>1987</v>
      </c>
      <c r="C1989" t="inlineStr">
        <is>
          <t>Digital (BIM) Coordinator</t>
        </is>
      </c>
      <c r="D1989" t="inlineStr">
        <is>
          <t>Atlas Industries (Vietnam) Limited</t>
        </is>
      </c>
      <c r="E1989" t="inlineStr">
        <is>
          <t>$$ 1,000-2,000 /tháng</t>
        </is>
      </c>
      <c r="F1989" t="inlineStr">
        <is>
          <t>Hồ Chí Minh</t>
        </is>
      </c>
      <c r="G1989" t="inlineStr">
        <is>
          <t>Nhân viên</t>
        </is>
      </c>
      <c r="H1989" t="inlineStr">
        <is>
          <t>09/02/2026</t>
        </is>
      </c>
      <c r="I1989" t="inlineStr">
        <is>
          <t>26/03/2026</t>
        </is>
      </c>
      <c r="J1989" t="inlineStr">
        <is>
          <t>17/03/2026</t>
        </is>
      </c>
      <c r="K1989" t="inlineStr">
        <is>
          <t>N/A</t>
        </is>
      </c>
      <c r="L1989" t="inlineStr">
        <is>
          <t>Clash Detection, BIM Services, BIM Revit, BIM Coordination, Autodesk</t>
        </is>
      </c>
      <c r="M1989" t="inlineStr">
        <is>
          <t>Bonus, Healthcare Plan, Paid Leave</t>
        </is>
      </c>
      <c r="N1989" s="8">
        <f>HYPERLINK("https://www.vietnamworks.com/digital-bim-coordinator-2010969-jv","Xem chi tiết")</f>
        <v/>
      </c>
    </row>
    <row r="1990">
      <c r="B1990" s="9" t="n">
        <v>1988</v>
      </c>
      <c r="C1990" s="10" t="inlineStr">
        <is>
          <t xml:space="preserve">Nhân Viên Sale Admin kiêm Kế Toán Công Nợ </t>
        </is>
      </c>
      <c r="D1990" s="10" t="inlineStr">
        <is>
          <t>Công Ty Cổ Phần Dược Phẩm 3/2</t>
        </is>
      </c>
      <c r="E1990" s="10" t="inlineStr">
        <is>
          <t>$$ 400-500 /tháng</t>
        </is>
      </c>
      <c r="F1990" s="10" t="inlineStr">
        <is>
          <t>Hồ Chí Minh</t>
        </is>
      </c>
      <c r="G1990" s="10" t="inlineStr">
        <is>
          <t>Nhân viên</t>
        </is>
      </c>
      <c r="H1990" s="10" t="inlineStr">
        <is>
          <t>09/02/2026</t>
        </is>
      </c>
      <c r="I1990" s="10" t="inlineStr">
        <is>
          <t>26/03/2026</t>
        </is>
      </c>
      <c r="J1990" s="10" t="inlineStr">
        <is>
          <t>17/03/2026</t>
        </is>
      </c>
      <c r="K1990" s="10" t="inlineStr">
        <is>
          <t>N/A</t>
        </is>
      </c>
      <c r="L1990" s="10" t="inlineStr">
        <is>
          <t>Giải Quyết Vấn Đề, Giao Tiếp, Tin Học Văn Phòng, Đàm Phán</t>
        </is>
      </c>
      <c r="M1990" s="10" t="inlineStr">
        <is>
          <t>Bonus, Training, Others</t>
        </is>
      </c>
      <c r="N1990" s="11">
        <f>HYPERLINK("https://www.vietnamworks.com/nhan-vien-sale-admin-kiem-ke-toan-cong-no-2010963-jv","Xem chi tiết")</f>
        <v/>
      </c>
      <c r="O1990" s="10" t="n"/>
    </row>
    <row r="1991">
      <c r="B1991" s="7" t="n">
        <v>1989</v>
      </c>
      <c r="C1991" t="inlineStr">
        <is>
          <t>Purchasing Officer - Nhân Viên Mua Hàng</t>
        </is>
      </c>
      <c r="D1991" t="inlineStr">
        <is>
          <t>Crystal Martin (Vietnam) Company Limited</t>
        </is>
      </c>
      <c r="E1991" t="inlineStr">
        <is>
          <t>Thương lượng</t>
        </is>
      </c>
      <c r="F1991" t="inlineStr">
        <is>
          <t>Bắc Giang, Hà Nội, Bắc Ninh</t>
        </is>
      </c>
      <c r="G1991" t="inlineStr">
        <is>
          <t>Nhân viên</t>
        </is>
      </c>
      <c r="H1991" t="inlineStr">
        <is>
          <t>09/02/2026</t>
        </is>
      </c>
      <c r="I1991" t="inlineStr">
        <is>
          <t>26/03/2026</t>
        </is>
      </c>
      <c r="J1991" t="inlineStr">
        <is>
          <t>17/03/2026</t>
        </is>
      </c>
      <c r="K1991" t="inlineStr">
        <is>
          <t>N/A</t>
        </is>
      </c>
      <c r="L1991" t="inlineStr">
        <is>
          <t>Garment Textile, Purchase Management, Data Management, Material Quality, English</t>
        </is>
      </c>
      <c r="M1991" t="inlineStr">
        <is>
          <t>Bonus, Healthcare Plan, Transportation</t>
        </is>
      </c>
      <c r="N1991" s="8">
        <f>HYPERLINK("https://www.vietnamworks.com/purchasing-officer-nhan-vien-mua-hang--2010957-jv","Xem chi tiết")</f>
        <v/>
      </c>
    </row>
    <row r="1992">
      <c r="B1992" s="9" t="n">
        <v>1990</v>
      </c>
      <c r="C1992" s="10" t="inlineStr">
        <is>
          <t>Accountant</t>
        </is>
      </c>
      <c r="D1992" s="10" t="inlineStr">
        <is>
          <t>Công Ty TNHH MTV International Trimmings &amp; Labels (Việt Nam)</t>
        </is>
      </c>
      <c r="E1992" s="10" t="inlineStr">
        <is>
          <t>Thương lượng</t>
        </is>
      </c>
      <c r="F1992" s="10" t="inlineStr">
        <is>
          <t>Bắc Ninh</t>
        </is>
      </c>
      <c r="G1992" s="10" t="inlineStr">
        <is>
          <t>Nhân viên</t>
        </is>
      </c>
      <c r="H1992" s="10" t="inlineStr">
        <is>
          <t>09/02/2026</t>
        </is>
      </c>
      <c r="I1992" s="10" t="inlineStr">
        <is>
          <t>26/03/2026</t>
        </is>
      </c>
      <c r="J1992" s="10" t="inlineStr">
        <is>
          <t>17/03/2026</t>
        </is>
      </c>
      <c r="K1992" s="10" t="inlineStr">
        <is>
          <t>N/A</t>
        </is>
      </c>
      <c r="L1992" s="10" t="inlineStr">
        <is>
          <t>Tài Chính, Kiểm Toán, Kế Toán Tổng Hợp, Kế Toán, Báo Cáo Tài Chính</t>
        </is>
      </c>
      <c r="M1992" s="10" t="inlineStr">
        <is>
          <t>Training, Transportation, Canteen</t>
        </is>
      </c>
      <c r="N1992" s="11">
        <f>HYPERLINK("https://www.vietnamworks.com/accountant--2010945-jv","Xem chi tiết")</f>
        <v/>
      </c>
      <c r="O1992" s="10" t="n"/>
    </row>
    <row r="1993">
      <c r="B1993" s="7" t="n">
        <v>1991</v>
      </c>
      <c r="C1993" t="inlineStr">
        <is>
          <t>Buyer</t>
        </is>
      </c>
      <c r="D1993" t="inlineStr">
        <is>
          <t>Công Ty TNHH Công Nghệ Welco Việt Nam</t>
        </is>
      </c>
      <c r="E1993" t="inlineStr">
        <is>
          <t>Thương lượng</t>
        </is>
      </c>
      <c r="F1993" t="inlineStr">
        <is>
          <t>Hưng Yên, Bắc Ninh, Hải Dương</t>
        </is>
      </c>
      <c r="G1993" t="inlineStr">
        <is>
          <t>Nhân viên</t>
        </is>
      </c>
      <c r="H1993" t="inlineStr">
        <is>
          <t>09/02/2026</t>
        </is>
      </c>
      <c r="I1993" t="inlineStr">
        <is>
          <t>26/03/2026</t>
        </is>
      </c>
      <c r="J1993" t="inlineStr">
        <is>
          <t>17/03/2026</t>
        </is>
      </c>
      <c r="K1993" t="inlineStr">
        <is>
          <t>N/A</t>
        </is>
      </c>
      <c r="L1993" t="inlineStr">
        <is>
          <t>Kỹ Thuật Sản Xuất, PE, Production Line Management, PCBA, Industrial Engineering</t>
        </is>
      </c>
      <c r="M1993" t="inlineStr">
        <is>
          <t>Bonus, Healthcare Plan, Others</t>
        </is>
      </c>
      <c r="N1993" s="8">
        <f>HYPERLINK("https://www.vietnamworks.com/buyer--2010959-jv","Xem chi tiết")</f>
        <v/>
      </c>
    </row>
    <row r="1994">
      <c r="B1994" s="9" t="n">
        <v>1992</v>
      </c>
      <c r="C1994" s="10" t="inlineStr">
        <is>
          <t>Chuyên Viên Quan Hệ Khách Hàng (Sales Rep)</t>
        </is>
      </c>
      <c r="D1994" s="10" t="inlineStr">
        <is>
          <t>Công Ty TNHH Bách Khang Việt Nam</t>
        </is>
      </c>
      <c r="E1994" s="10" t="inlineStr">
        <is>
          <t>Thương lượng</t>
        </is>
      </c>
      <c r="F1994" s="10" t="inlineStr">
        <is>
          <t>Hồ Chí Minh, Hà Nội, Phú Thọ</t>
        </is>
      </c>
      <c r="G1994" s="10" t="inlineStr">
        <is>
          <t>Nhân viên</t>
        </is>
      </c>
      <c r="H1994" s="10" t="inlineStr">
        <is>
          <t>09/02/2026</t>
        </is>
      </c>
      <c r="I1994" s="10" t="inlineStr">
        <is>
          <t>26/03/2026</t>
        </is>
      </c>
      <c r="J1994" s="10" t="inlineStr">
        <is>
          <t>17/03/2026</t>
        </is>
      </c>
      <c r="K1994" s="10" t="inlineStr">
        <is>
          <t>N/A</t>
        </is>
      </c>
      <c r="L1994" s="10" t="inlineStr">
        <is>
          <t>Tư Vấn Bán Hàng, Trình dược viên, Dược Phẩm, Kinh Doanh, Quan Hệ Khách Hàng</t>
        </is>
      </c>
      <c r="M1994" s="10" t="inlineStr">
        <is>
          <t>Bonus, Healthcare Plan, Team Activities</t>
        </is>
      </c>
      <c r="N1994" s="11">
        <f>HYPERLINK("https://www.vietnamworks.com/chuyen-vien-quan-he-khach-hang-sales-rep--2010956-jv","Xem chi tiết")</f>
        <v/>
      </c>
      <c r="O1994" s="10" t="n"/>
    </row>
    <row r="1995">
      <c r="B1995" s="7" t="n">
        <v>1993</v>
      </c>
      <c r="C1995" t="inlineStr">
        <is>
          <t>Supply Chain Development Manager</t>
        </is>
      </c>
      <c r="D1995" t="inlineStr">
        <is>
          <t>Công Ty Cổ phẩn MASAN MEATLife</t>
        </is>
      </c>
      <c r="E1995" t="inlineStr">
        <is>
          <t>Thương lượng</t>
        </is>
      </c>
      <c r="F1995" t="inlineStr">
        <is>
          <t>Hồ Chí Minh</t>
        </is>
      </c>
      <c r="G1995" t="inlineStr">
        <is>
          <t>Trưởng phòng</t>
        </is>
      </c>
      <c r="H1995" t="inlineStr">
        <is>
          <t>09/02/2026</t>
        </is>
      </c>
      <c r="I1995" t="inlineStr">
        <is>
          <t>26/03/2026</t>
        </is>
      </c>
      <c r="J1995" t="inlineStr">
        <is>
          <t>17/03/2026</t>
        </is>
      </c>
      <c r="K1995" t="inlineStr">
        <is>
          <t>N/A</t>
        </is>
      </c>
      <c r="L1995" t="inlineStr">
        <is>
          <t>Giải Pháp Chuỗi Cung Ứng, Giải Quyết Vấn Đề, Hóa Học, Quản Lý Nhóm, Quản Trị Hệ Thống ERP</t>
        </is>
      </c>
      <c r="M1995" t="inlineStr">
        <is>
          <t>Bonus</t>
        </is>
      </c>
      <c r="N1995" s="8">
        <f>HYPERLINK("https://www.vietnamworks.com/supply-chain-development-manager-2010954-jv","Xem chi tiết")</f>
        <v/>
      </c>
    </row>
    <row r="1996">
      <c r="B1996" s="9" t="n">
        <v>1994</v>
      </c>
      <c r="C1996" s="10" t="inlineStr">
        <is>
          <t>[Hà Nội] Quality Management Supervisor</t>
        </is>
      </c>
      <c r="D1996" s="10" t="inlineStr">
        <is>
          <t>Asia Chemical Corporation</t>
        </is>
      </c>
      <c r="E1996" s="10" t="inlineStr">
        <is>
          <t>Thương lượng</t>
        </is>
      </c>
      <c r="F1996" s="10" t="inlineStr">
        <is>
          <t>Hà Nội</t>
        </is>
      </c>
      <c r="G1996" s="10" t="inlineStr">
        <is>
          <t>Trưởng phòng</t>
        </is>
      </c>
      <c r="H1996" s="10" t="inlineStr">
        <is>
          <t>09/02/2026</t>
        </is>
      </c>
      <c r="I1996" s="10" t="inlineStr">
        <is>
          <t>26/03/2026</t>
        </is>
      </c>
      <c r="J1996" s="10" t="inlineStr">
        <is>
          <t>17/03/2026</t>
        </is>
      </c>
      <c r="K1996" s="10" t="inlineStr">
        <is>
          <t>N/A</t>
        </is>
      </c>
      <c r="L1996" s="10" t="inlineStr">
        <is>
          <t>English/Vietnamese Communication, GDP, GMP Management, GSP, QA/QC experience</t>
        </is>
      </c>
      <c r="M1996" s="10" t="inlineStr">
        <is>
          <t>Bonus, Healthcare Plan, Training, Laptop, Mobile, Travel Opportunities</t>
        </is>
      </c>
      <c r="N1996" s="11">
        <f>HYPERLINK("https://www.vietnamworks.com/ha-noi-quality-management-supervisor-2010967-jv","Xem chi tiết")</f>
        <v/>
      </c>
      <c r="O1996" s="10" t="n"/>
    </row>
    <row r="1997">
      <c r="B1997" s="7" t="n">
        <v>1995</v>
      </c>
      <c r="C1997" t="inlineStr">
        <is>
          <t>[JP-222] Kỹ Sư Lập Trình NC, Catia CAM, Xe Ô Tô</t>
        </is>
      </c>
      <c r="D1997" t="inlineStr">
        <is>
          <t>Công Ty TNHH R Techno Việt Nam</t>
        </is>
      </c>
      <c r="E1997" t="inlineStr">
        <is>
          <t>¥ 350,000-480,000 /tháng</t>
        </is>
      </c>
      <c r="F1997" t="inlineStr">
        <is>
          <t>Quốc tế</t>
        </is>
      </c>
      <c r="G1997" t="inlineStr">
        <is>
          <t>Nhân viên</t>
        </is>
      </c>
      <c r="H1997" t="inlineStr">
        <is>
          <t>09/02/2026</t>
        </is>
      </c>
      <c r="I1997" t="inlineStr">
        <is>
          <t>26/03/2026</t>
        </is>
      </c>
      <c r="J1997" t="inlineStr">
        <is>
          <t>17/03/2026</t>
        </is>
      </c>
      <c r="K1997" t="inlineStr">
        <is>
          <t>N/A</t>
        </is>
      </c>
      <c r="L1997" t="inlineStr">
        <is>
          <t>CATIA, Gia Công CNC, Giao Tiếp Tiếng Nhật Bản, Lập Trình NX, Thiết Kế CAD 3D</t>
        </is>
      </c>
      <c r="M1997" t="inlineStr">
        <is>
          <t>Bonus, Healthcare Plan, Paid Leave, Others</t>
        </is>
      </c>
      <c r="N1997" s="8">
        <f>HYPERLINK("https://www.vietnamworks.com/jp-222-ky-su-lap-trinh-nc-catia-cam-xe-o-to-2010941-jv","Xem chi tiết")</f>
        <v/>
      </c>
    </row>
    <row r="1998">
      <c r="B1998" s="9" t="n">
        <v>1996</v>
      </c>
      <c r="C1998" s="10" t="inlineStr">
        <is>
          <t>Nhân Viên Bảo Trì Cơ Điện (Mảng Food)</t>
        </is>
      </c>
      <c r="D1998" s="10" t="inlineStr">
        <is>
          <t>CÔNG TY TNHH DE HEUS</t>
        </is>
      </c>
      <c r="E1998" s="10" t="inlineStr">
        <is>
          <t>10tr-18tr ₫/tháng</t>
        </is>
      </c>
      <c r="F1998" s="10" t="inlineStr">
        <is>
          <t>Hà Nội</t>
        </is>
      </c>
      <c r="G1998" s="10" t="inlineStr">
        <is>
          <t>Nhân viên</t>
        </is>
      </c>
      <c r="H1998" s="10" t="inlineStr">
        <is>
          <t>09/02/2026</t>
        </is>
      </c>
      <c r="I1998" s="10" t="inlineStr">
        <is>
          <t>26/03/2026</t>
        </is>
      </c>
      <c r="J1998" s="10" t="inlineStr">
        <is>
          <t>17/03/2026</t>
        </is>
      </c>
      <c r="K1998" s="10" t="inlineStr">
        <is>
          <t>N/A</t>
        </is>
      </c>
      <c r="L1998" s="10" t="inlineStr">
        <is>
          <t>Giải Quyết Công Việc, Giải Quyết Tình Huống</t>
        </is>
      </c>
      <c r="M1998" s="10" t="inlineStr">
        <is>
          <t>Bonus, Healthcare Plan, Paid Leave, Training, Travel Opportunities, Team Activities, Canteen</t>
        </is>
      </c>
      <c r="N1998" s="11">
        <f>HYPERLINK("https://www.vietnamworks.com/nhan-vien-bao-tri-co-djien-mang-food-2010949-jv","Xem chi tiết")</f>
        <v/>
      </c>
      <c r="O1998" s="10" t="n"/>
    </row>
    <row r="1999">
      <c r="B1999" s="7" t="n">
        <v>1997</v>
      </c>
      <c r="C1999" t="inlineStr">
        <is>
          <t>Trade Marketing Manager</t>
        </is>
      </c>
      <c r="D1999" t="inlineStr">
        <is>
          <t>Công Ty TNHH Thương Mại Dược Phẩm Đông Á</t>
        </is>
      </c>
      <c r="E1999" t="inlineStr">
        <is>
          <t>20tr-35tr ₫/tháng</t>
        </is>
      </c>
      <c r="F1999" t="inlineStr">
        <is>
          <t>Hà Nội</t>
        </is>
      </c>
      <c r="G1999" t="inlineStr">
        <is>
          <t>Trưởng phòng</t>
        </is>
      </c>
      <c r="H1999" t="inlineStr">
        <is>
          <t>09/02/2026</t>
        </is>
      </c>
      <c r="I1999" t="inlineStr">
        <is>
          <t>26/03/2026</t>
        </is>
      </c>
      <c r="J1999" t="inlineStr">
        <is>
          <t>17/03/2026</t>
        </is>
      </c>
      <c r="K1999" t="inlineStr">
        <is>
          <t>N/A</t>
        </is>
      </c>
      <c r="L1999" t="inlineStr">
        <is>
          <t>Budget Management, Data Analysis, Market Access, Sales Administration, Trade Marketing</t>
        </is>
      </c>
      <c r="M1999" t="inlineStr">
        <is>
          <t>Bonus, Healthcare Plan, Training, Team Activities, Canteen, Others</t>
        </is>
      </c>
      <c r="N1999" s="8">
        <f>HYPERLINK("https://www.vietnamworks.com/trade-marketing-manager-2010974-jv","Xem chi tiết")</f>
        <v/>
      </c>
    </row>
    <row r="2000">
      <c r="B2000" s="9" t="n">
        <v>1998</v>
      </c>
      <c r="C2000" s="10" t="inlineStr">
        <is>
          <t>Technical Supervisor (Quảng Ngãi)</t>
        </is>
      </c>
      <c r="D2000" s="10" t="inlineStr">
        <is>
          <t>Vesuvius Vietnam Co., Ltd.</t>
        </is>
      </c>
      <c r="E2000" s="10" t="inlineStr">
        <is>
          <t>Thương lượng</t>
        </is>
      </c>
      <c r="F2000" s="10" t="inlineStr">
        <is>
          <t>Quảng Ngãi</t>
        </is>
      </c>
      <c r="G2000" s="10" t="inlineStr">
        <is>
          <t>Nhân viên</t>
        </is>
      </c>
      <c r="H2000" s="10" t="inlineStr">
        <is>
          <t>09/02/2026</t>
        </is>
      </c>
      <c r="I2000" s="10" t="inlineStr">
        <is>
          <t>26/03/2026</t>
        </is>
      </c>
      <c r="J2000" s="10" t="inlineStr">
        <is>
          <t>17/03/2026</t>
        </is>
      </c>
      <c r="K2000" s="10" t="inlineStr">
        <is>
          <t>N/A</t>
        </is>
      </c>
      <c r="L2000" s="10" t="inlineStr">
        <is>
          <t>Technical Support, Production Control, HSE Compliance, Installation Supervision, Commissioning</t>
        </is>
      </c>
      <c r="M2000" s="10" t="inlineStr">
        <is>
          <t>Bonus, Healthcare Plan, Training</t>
        </is>
      </c>
      <c r="N2000" s="11">
        <f>HYPERLINK("https://www.vietnamworks.com/technical-supervisor-quang-ngai--2010970-jv","Xem chi tiết")</f>
        <v/>
      </c>
      <c r="O2000" s="10" t="n"/>
    </row>
    <row r="2001">
      <c r="B2001" s="7" t="n">
        <v>1999</v>
      </c>
      <c r="C2001" t="inlineStr">
        <is>
          <t>Associate Account Manager</t>
        </is>
      </c>
      <c r="D2001" t="inlineStr">
        <is>
          <t>Givaudan Vietnam Company Limited</t>
        </is>
      </c>
      <c r="E2001" t="inlineStr">
        <is>
          <t>Thương lượng</t>
        </is>
      </c>
      <c r="F2001" t="inlineStr">
        <is>
          <t>Hồ Chí Minh</t>
        </is>
      </c>
      <c r="G2001" t="inlineStr">
        <is>
          <t>Nhân viên</t>
        </is>
      </c>
      <c r="H2001" t="inlineStr">
        <is>
          <t>09/02/2026</t>
        </is>
      </c>
      <c r="I2001" t="inlineStr">
        <is>
          <t>26/03/2026</t>
        </is>
      </c>
      <c r="J2001" t="inlineStr">
        <is>
          <t>17/03/2026</t>
        </is>
      </c>
      <c r="K2001" t="inlineStr">
        <is>
          <t>N/A</t>
        </is>
      </c>
      <c r="L2001" t="inlineStr">
        <is>
          <t>Account Management, Food Industry, Strategic Planning, Relationship Building, Sales Forecast</t>
        </is>
      </c>
      <c r="M2001" t="inlineStr">
        <is>
          <t>Bonus, Paid Leave, Team Activities</t>
        </is>
      </c>
      <c r="N2001" s="8">
        <f>HYPERLINK("https://www.vietnamworks.com/associate-account-manager-2010982-jv","Xem chi tiết")</f>
        <v/>
      </c>
    </row>
    <row r="2002">
      <c r="B2002" s="9" t="n">
        <v>2000</v>
      </c>
      <c r="C2002" s="10" t="inlineStr">
        <is>
          <t>Lái Máy Gạt/ Thợ Sửa Chữa, Bảo Dưỡng</t>
        </is>
      </c>
      <c r="D2002" s="10" t="inlineStr">
        <is>
          <t>Cai Lan International Container Terminal (CICT)</t>
        </is>
      </c>
      <c r="E2002" s="10" t="inlineStr">
        <is>
          <t>Thương lượng</t>
        </is>
      </c>
      <c r="F2002" s="10" t="inlineStr">
        <is>
          <t>Quảng Ninh</t>
        </is>
      </c>
      <c r="G2002" s="10" t="inlineStr">
        <is>
          <t>Nhân viên</t>
        </is>
      </c>
      <c r="H2002" s="10" t="inlineStr">
        <is>
          <t>09/02/2026</t>
        </is>
      </c>
      <c r="I2002" s="10" t="inlineStr">
        <is>
          <t>26/03/2026</t>
        </is>
      </c>
      <c r="J2002" s="10" t="inlineStr">
        <is>
          <t>17/03/2026</t>
        </is>
      </c>
      <c r="K2002" s="10" t="inlineStr">
        <is>
          <t>N/A</t>
        </is>
      </c>
      <c r="L2002" s="10" t="inlineStr">
        <is>
          <t>Báo Cáo Sự Cố, Lái Máy Ủi, Lái Xe Nâng, Sửa Chữa Bảo Dưỡng, Tuân Thủ An Toàn</t>
        </is>
      </c>
      <c r="M2002" s="10" t="inlineStr">
        <is>
          <t>Bonus, Healthcare Plan, Paid Leave, Training, Team Activities, Others</t>
        </is>
      </c>
      <c r="N2002" s="11">
        <f>HYPERLINK("https://www.vietnamworks.com/lai-may-gat-tho-sua-chua-bao-duong-2010971-jv","Xem chi tiết")</f>
        <v/>
      </c>
      <c r="O2002" s="10" t="n"/>
    </row>
    <row r="2003">
      <c r="B2003" s="7" t="n">
        <v>2001</v>
      </c>
      <c r="C2003" t="inlineStr">
        <is>
          <t>Nhân Viên Học Vụ Kiêm Students Care</t>
        </is>
      </c>
      <c r="D2003" t="inlineStr">
        <is>
          <t>Trường Đào Tạo Thiết Kế Đồ Hoạ Ứng Dụng (dpiCENTER)</t>
        </is>
      </c>
      <c r="E2003" t="inlineStr">
        <is>
          <t>9tr-10tr ₫/tháng</t>
        </is>
      </c>
      <c r="F2003" t="inlineStr">
        <is>
          <t>Hồ Chí Minh</t>
        </is>
      </c>
      <c r="G2003" t="inlineStr">
        <is>
          <t>Mới Tốt Nghiệp</t>
        </is>
      </c>
      <c r="H2003" t="inlineStr">
        <is>
          <t>09/02/2026</t>
        </is>
      </c>
      <c r="I2003" t="inlineStr">
        <is>
          <t>26/03/2026</t>
        </is>
      </c>
      <c r="J2003" t="inlineStr">
        <is>
          <t>17/03/2026</t>
        </is>
      </c>
      <c r="K2003" t="inlineStr">
        <is>
          <t>N/A</t>
        </is>
      </c>
      <c r="L2003" t="inlineStr">
        <is>
          <t>Tư Vấn Khách Hàng, Quản Lý Lớp Học, Kỹ Năng Văn Phòng, Sáng Tạo, Thiết Kế Đồ Họa</t>
        </is>
      </c>
      <c r="M2003" t="inlineStr">
        <is>
          <t>Bonus, Healthcare Plan, Paid Leave, Others</t>
        </is>
      </c>
      <c r="N2003" s="8">
        <f>HYPERLINK("https://www.vietnamworks.com/nhan-vien-hoc-vu-kiem-students-care-2010978-jv","Xem chi tiết")</f>
        <v/>
      </c>
    </row>
    <row r="2004">
      <c r="B2004" s="9" t="n">
        <v>2002</v>
      </c>
      <c r="C2004" s="10" t="inlineStr">
        <is>
          <t>Chuyên Viên Thiết Kế Biện Pháp Thi Công - Lương Từ 17-25Tr/tháng</t>
        </is>
      </c>
      <c r="D2004" s="10" t="inlineStr">
        <is>
          <t>Công Ty TNHH Tập Đoàn Xây Dựng Delta</t>
        </is>
      </c>
      <c r="E2004" s="10" t="inlineStr">
        <is>
          <t>17tr-25tr ₫/tháng</t>
        </is>
      </c>
      <c r="F2004" s="10" t="inlineStr">
        <is>
          <t>Hà Nội</t>
        </is>
      </c>
      <c r="G2004" s="10" t="inlineStr">
        <is>
          <t>Nhân viên</t>
        </is>
      </c>
      <c r="H2004" s="10" t="inlineStr">
        <is>
          <t>09/02/2026</t>
        </is>
      </c>
      <c r="I2004" s="10" t="inlineStr">
        <is>
          <t>26/03/2026</t>
        </is>
      </c>
      <c r="J2004" s="10" t="inlineStr">
        <is>
          <t>17/03/2026</t>
        </is>
      </c>
      <c r="K2004" s="10" t="inlineStr">
        <is>
          <t>N/A</t>
        </is>
      </c>
      <c r="L2004" s="10" t="inlineStr">
        <is>
          <t>Auto Cad, Công Trình Đô Thị, Thi Công Dân Dụng, Thiết Kế Thi Công, Xây Dựng</t>
        </is>
      </c>
      <c r="M2004" s="10" t="inlineStr">
        <is>
          <t>Bonus, Healthcare Plan, Paid Leave, Training, Others</t>
        </is>
      </c>
      <c r="N2004" s="11">
        <f>HYPERLINK("https://www.vietnamworks.com/chuyen-vien-thiet-ke-bien-phap-thi-cong-luong-tu-17-25tr-thang-2010984-jv","Xem chi tiết")</f>
        <v/>
      </c>
      <c r="O2004" s="10" t="n"/>
    </row>
    <row r="2005">
      <c r="B2005" s="7" t="n">
        <v>2003</v>
      </c>
      <c r="C2005" t="inlineStr">
        <is>
          <t>Product Manager (Non-Life Insurance Services, Non-Tech)</t>
        </is>
      </c>
      <c r="D2005" t="inlineStr">
        <is>
          <t>Công Ty Cổ Phần Bán Lẻ Kỹ Thuật Số FPT</t>
        </is>
      </c>
      <c r="E2005" t="inlineStr">
        <is>
          <t>Thương lượng</t>
        </is>
      </c>
      <c r="F2005" t="inlineStr">
        <is>
          <t>Hồ Chí Minh</t>
        </is>
      </c>
      <c r="G2005" t="inlineStr">
        <is>
          <t>Nhân viên</t>
        </is>
      </c>
      <c r="H2005" t="inlineStr">
        <is>
          <t>09/02/2026</t>
        </is>
      </c>
      <c r="I2005" t="inlineStr">
        <is>
          <t>26/03/2026</t>
        </is>
      </c>
      <c r="J2005" t="inlineStr">
        <is>
          <t>17/03/2026</t>
        </is>
      </c>
      <c r="K2005" t="inlineStr">
        <is>
          <t>N/A</t>
        </is>
      </c>
      <c r="L2005" t="inlineStr">
        <is>
          <t>Product Planning, Non-life Insurance, Data Analysis, Stakeholder Mangement</t>
        </is>
      </c>
      <c r="M2005" t="inlineStr">
        <is>
          <t>Bonus, Healthcare Plan, Paid Leave</t>
        </is>
      </c>
      <c r="N2005" s="8">
        <f>HYPERLINK("https://www.vietnamworks.com/product-manager-non-life-insurance-services-non-tech-2010987-jv","Xem chi tiết")</f>
        <v/>
      </c>
    </row>
    <row r="2006">
      <c r="B2006" s="9" t="n">
        <v>2004</v>
      </c>
      <c r="C2006" s="10" t="inlineStr">
        <is>
          <t>Giám Sát Kinh Doanh Khu Vực Tây Nguyên</t>
        </is>
      </c>
      <c r="D2006" s="10" t="inlineStr">
        <is>
          <t>Công ty TNHH công nghiệp Vĩnh Tường miền bắc Việt Nam</t>
        </is>
      </c>
      <c r="E2006" s="10" t="inlineStr">
        <is>
          <t>Thương lượng</t>
        </is>
      </c>
      <c r="F2006" s="10" t="inlineStr">
        <is>
          <t>Đắk Lắk</t>
        </is>
      </c>
      <c r="G2006" s="10" t="inlineStr">
        <is>
          <t>Nhân viên</t>
        </is>
      </c>
      <c r="H2006" s="10" t="inlineStr">
        <is>
          <t>09/02/2026</t>
        </is>
      </c>
      <c r="I2006" s="10" t="inlineStr">
        <is>
          <t>26/03/2026</t>
        </is>
      </c>
      <c r="J2006" s="10" t="inlineStr">
        <is>
          <t>17/03/2026</t>
        </is>
      </c>
      <c r="K2006" s="10" t="inlineStr">
        <is>
          <t>N/A</t>
        </is>
      </c>
      <c r="L2006" s="10" t="inlineStr">
        <is>
          <t>Phát Triển Kênh Phân Phối, Phát Triển Kinh Doanh, Xây Dựng, Báo Cáo Phân Tích Thị Trường, Phát Triển Thị Trường</t>
        </is>
      </c>
      <c r="M2006" s="10" t="inlineStr">
        <is>
          <t>Training, Travel Opportunities, Transportation</t>
        </is>
      </c>
      <c r="N2006" s="11">
        <f>HYPERLINK("https://www.vietnamworks.com/giam-sat-kinh-doanh-khu-vuc-tay-nguyen--2010992-jv","Xem chi tiết")</f>
        <v/>
      </c>
      <c r="O2006" s="10" t="n"/>
    </row>
    <row r="2007">
      <c r="B2007" s="7" t="n">
        <v>2005</v>
      </c>
      <c r="C2007" t="inlineStr">
        <is>
          <t>Technical Service Engineer - Chemical/PCB/FPCB Mandarin/English Speaker</t>
        </is>
      </c>
      <c r="D2007" t="inlineStr">
        <is>
          <t>MacDermid Performance Solutions Co., LTD.</t>
        </is>
      </c>
      <c r="E2007" t="inlineStr">
        <is>
          <t>Thương lượng</t>
        </is>
      </c>
      <c r="F2007" t="inlineStr">
        <is>
          <t>Hà Nội, Vĩnh Phúc, Bắc Ninh</t>
        </is>
      </c>
      <c r="G2007" t="inlineStr">
        <is>
          <t>Mới Tốt Nghiệp</t>
        </is>
      </c>
      <c r="H2007" t="inlineStr">
        <is>
          <t>09/02/2026</t>
        </is>
      </c>
      <c r="I2007" t="inlineStr">
        <is>
          <t>26/03/2026</t>
        </is>
      </c>
      <c r="J2007" t="inlineStr">
        <is>
          <t>17/03/2026</t>
        </is>
      </c>
      <c r="K2007" t="inlineStr">
        <is>
          <t>N/A</t>
        </is>
      </c>
      <c r="L2007" t="inlineStr">
        <is>
          <t>Communication, Electronics, PCB, Technical Support</t>
        </is>
      </c>
      <c r="M2007" t="inlineStr">
        <is>
          <t>Bonus, Healthcare Plan, Training, Others</t>
        </is>
      </c>
      <c r="N2007" s="8">
        <f>HYPERLINK("https://www.vietnamworks.com/technical-service-engineer-chemicalpcbfpcb-mandarinenglish-speaker-2010976-jv","Xem chi tiết")</f>
        <v/>
      </c>
    </row>
    <row r="2008">
      <c r="B2008" s="9" t="n">
        <v>2006</v>
      </c>
      <c r="C2008" s="10" t="inlineStr">
        <is>
          <t>Chuyên Viên Kế Toán Hàng Hoá</t>
        </is>
      </c>
      <c r="D2008" s="10" t="inlineStr">
        <is>
          <t>Oristar Corporation - Công Ty Cổ Phần Oristar</t>
        </is>
      </c>
      <c r="E2008" s="10" t="inlineStr">
        <is>
          <t>Thương lượng</t>
        </is>
      </c>
      <c r="F2008" s="10" t="inlineStr">
        <is>
          <t>Hà Nội</t>
        </is>
      </c>
      <c r="G2008" s="10" t="inlineStr">
        <is>
          <t>Nhân viên</t>
        </is>
      </c>
      <c r="H2008" s="10" t="inlineStr">
        <is>
          <t>09/02/2026</t>
        </is>
      </c>
      <c r="I2008" s="10" t="inlineStr">
        <is>
          <t>26/03/2026</t>
        </is>
      </c>
      <c r="J2008" s="10" t="inlineStr">
        <is>
          <t>17/03/2026</t>
        </is>
      </c>
      <c r="K2008" s="10" t="inlineStr">
        <is>
          <t>N/A</t>
        </is>
      </c>
      <c r="L2008" s="10" t="inlineStr">
        <is>
          <t>Kiểm Soát Giá Thành, Lưu Trữ Chứng Từ, Phần Mềm Kế Toán, Quản Lý Công Nợ, Quản Lý Tồn Kho</t>
        </is>
      </c>
      <c r="M2008" s="10" t="inlineStr">
        <is>
          <t>Bonus, Healthcare Plan, Paid Leave, Training, Laptop, Team Activities, Transportation</t>
        </is>
      </c>
      <c r="N2008" s="11">
        <f>HYPERLINK("https://www.vietnamworks.com/chuyen-vien-ke-toan-hang-hoa-2010972-jv","Xem chi tiết")</f>
        <v/>
      </c>
      <c r="O2008" s="10" t="n"/>
    </row>
    <row r="2009">
      <c r="B2009" s="7" t="n">
        <v>2007</v>
      </c>
      <c r="C2009" t="inlineStr">
        <is>
          <t xml:space="preserve">Trưởng Bộ Phận Sản Xuất </t>
        </is>
      </c>
      <c r="D2009" t="inlineStr">
        <is>
          <t>Công Ty Cổ phẩn MASAN MEATLife</t>
        </is>
      </c>
      <c r="E2009" t="inlineStr">
        <is>
          <t>Thương lượng</t>
        </is>
      </c>
      <c r="F2009" t="inlineStr">
        <is>
          <t>Hồ Chí Minh</t>
        </is>
      </c>
      <c r="G2009" t="inlineStr">
        <is>
          <t>Trưởng phòng</t>
        </is>
      </c>
      <c r="H2009" t="inlineStr">
        <is>
          <t>09/02/2026</t>
        </is>
      </c>
      <c r="I2009" t="inlineStr">
        <is>
          <t>26/03/2026</t>
        </is>
      </c>
      <c r="J2009" t="inlineStr">
        <is>
          <t>17/03/2026</t>
        </is>
      </c>
      <c r="K2009" t="inlineStr">
        <is>
          <t>N/A</t>
        </is>
      </c>
      <c r="L2009" t="inlineStr">
        <is>
          <t>Hoạch Định Kiểm Soát, Kiến Thức An Toàn Thực Phẩm, QA/QC experience, Quản Lý Sản Xuất, Vận Hành Nhà Máy</t>
        </is>
      </c>
      <c r="M2009" t="inlineStr">
        <is>
          <t>Bonus, Healthcare Plan, Paid Leave, Training, Laptop, Canteen</t>
        </is>
      </c>
      <c r="N2009" s="8">
        <f>HYPERLINK("https://www.vietnamworks.com/truong-bo-phan-san-xuat-2010986-jv","Xem chi tiết")</f>
        <v/>
      </c>
    </row>
    <row r="2010">
      <c r="B2010" s="9" t="n">
        <v>2008</v>
      </c>
      <c r="C2010" s="10" t="inlineStr">
        <is>
          <t>AML &amp; Sanctions Manager (Quản Lý Phòng Chống Rửa Tiền)</t>
        </is>
      </c>
      <c r="D2010" s="10" t="inlineStr">
        <is>
          <t>Prudential Vietnam Assurance</t>
        </is>
      </c>
      <c r="E2010" s="10" t="inlineStr">
        <is>
          <t>Thương lượng</t>
        </is>
      </c>
      <c r="F2010" s="10" t="inlineStr">
        <is>
          <t>Hồ Chí Minh</t>
        </is>
      </c>
      <c r="G2010" s="10" t="inlineStr">
        <is>
          <t>Trưởng phòng</t>
        </is>
      </c>
      <c r="H2010" s="10" t="inlineStr">
        <is>
          <t>09/02/2026</t>
        </is>
      </c>
      <c r="I2010" s="10" t="inlineStr">
        <is>
          <t>26/03/2026</t>
        </is>
      </c>
      <c r="J2010" s="10" t="inlineStr">
        <is>
          <t>17/03/2026</t>
        </is>
      </c>
      <c r="K2010" s="10" t="inlineStr">
        <is>
          <t>N/A</t>
        </is>
      </c>
      <c r="L2010" s="10" t="inlineStr">
        <is>
          <t>Aml Compliance, English proficiency, Project Management Governance, Compliance Standards</t>
        </is>
      </c>
      <c r="M2010" s="10" t="inlineStr">
        <is>
          <t>Bonus, Healthcare Plan, Paid Leave</t>
        </is>
      </c>
      <c r="N2010" s="11">
        <f>HYPERLINK("https://www.vietnamworks.com/aml-sanctions-manager-quan-ly-phong-chong-rua-tien-2010985-jv","Xem chi tiết")</f>
        <v/>
      </c>
      <c r="O2010" s="10" t="n"/>
    </row>
    <row r="2011">
      <c r="B2011" s="7" t="n">
        <v>2009</v>
      </c>
      <c r="C2011" t="inlineStr">
        <is>
          <t>Chuyên Viên SAP FICO (Support) - ~ $1500 - (Nhận Việc Sau Tết)</t>
        </is>
      </c>
      <c r="D2011" t="inlineStr">
        <is>
          <t>Công Ty Cổ Phần Quốc Tế Sơn Hà</t>
        </is>
      </c>
      <c r="E2011" t="inlineStr">
        <is>
          <t>$$ 800-1,500 /tháng</t>
        </is>
      </c>
      <c r="F2011" t="inlineStr">
        <is>
          <t>Hà Nội</t>
        </is>
      </c>
      <c r="G2011" t="inlineStr">
        <is>
          <t>Nhân viên</t>
        </is>
      </c>
      <c r="H2011" t="inlineStr">
        <is>
          <t>09/02/2026</t>
        </is>
      </c>
      <c r="I2011" t="inlineStr">
        <is>
          <t>26/03/2026</t>
        </is>
      </c>
      <c r="J2011" t="inlineStr">
        <is>
          <t>17/03/2026</t>
        </is>
      </c>
      <c r="K2011" t="inlineStr">
        <is>
          <t>N/A</t>
        </is>
      </c>
      <c r="L2011" t="inlineStr">
        <is>
          <t>SAP, ERP, SAP FICO, SAP S4/Hana, Business Systems Analysis</t>
        </is>
      </c>
      <c r="M2011" t="inlineStr">
        <is>
          <t>Bonus, Healthcare Plan, Laptop</t>
        </is>
      </c>
      <c r="N2011" s="8">
        <f>HYPERLINK("https://www.vietnamworks.com/chuyen-vien-sap-fico-support-1500-nhan-viec-sau-tet-2010994-jv","Xem chi tiết")</f>
        <v/>
      </c>
    </row>
    <row r="2012">
      <c r="B2012" s="9" t="n">
        <v>2010</v>
      </c>
      <c r="C2012" s="10" t="inlineStr">
        <is>
          <t>Senior R&amp;D Executive</t>
        </is>
      </c>
      <c r="D2012" s="10" t="inlineStr">
        <is>
          <t>Asia Chemical Corporation</t>
        </is>
      </c>
      <c r="E2012" s="10" t="inlineStr">
        <is>
          <t>Thương lượng</t>
        </is>
      </c>
      <c r="F2012" s="10" t="inlineStr">
        <is>
          <t>Bình Dương, Hồ Chí Minh</t>
        </is>
      </c>
      <c r="G2012" s="10" t="inlineStr">
        <is>
          <t>Nhân viên</t>
        </is>
      </c>
      <c r="H2012" s="10" t="inlineStr">
        <is>
          <t>09/02/2026</t>
        </is>
      </c>
      <c r="I2012" s="10" t="inlineStr">
        <is>
          <t>26/03/2026</t>
        </is>
      </c>
      <c r="J2012" s="10" t="inlineStr">
        <is>
          <t>17/03/2026</t>
        </is>
      </c>
      <c r="K2012" s="10" t="inlineStr">
        <is>
          <t>N/A</t>
        </is>
      </c>
      <c r="L2012" s="10" t="inlineStr">
        <is>
          <t>R&amp;D Dược Phẩm</t>
        </is>
      </c>
      <c r="M2012" s="10" t="inlineStr">
        <is>
          <t>Bonus, Healthcare Plan, Training</t>
        </is>
      </c>
      <c r="N2012" s="11">
        <f>HYPERLINK("https://www.vietnamworks.com/senior-r-d-executive-2--2010973-jv","Xem chi tiết")</f>
        <v/>
      </c>
      <c r="O2012" s="10" t="n"/>
    </row>
    <row r="2013">
      <c r="B2013" s="7" t="n">
        <v>2011</v>
      </c>
      <c r="C2013" t="inlineStr">
        <is>
          <t>Global Customer Service Manager (Testing &amp; Laboratory)</t>
        </is>
      </c>
      <c r="D2013" t="inlineStr">
        <is>
          <t>Eurofins Vietnam</t>
        </is>
      </c>
      <c r="E2013" t="inlineStr">
        <is>
          <t>Thương lượng</t>
        </is>
      </c>
      <c r="F2013" t="inlineStr">
        <is>
          <t>Hồ Chí Minh</t>
        </is>
      </c>
      <c r="G2013" t="inlineStr">
        <is>
          <t>Trưởng phòng</t>
        </is>
      </c>
      <c r="H2013" t="inlineStr">
        <is>
          <t>09/02/2026</t>
        </is>
      </c>
      <c r="I2013" t="inlineStr">
        <is>
          <t>26/03/2026</t>
        </is>
      </c>
      <c r="J2013" t="inlineStr">
        <is>
          <t>17/03/2026</t>
        </is>
      </c>
      <c r="K2013" t="inlineStr">
        <is>
          <t>N/A</t>
        </is>
      </c>
      <c r="L2013" t="inlineStr">
        <is>
          <t>Customer Service &amp; After Service, Laboratory Administration, Lab Technician Softline, Footwear Lab Technician, Chemical Testing</t>
        </is>
      </c>
      <c r="M2013" t="inlineStr">
        <is>
          <t>Bonus, Healthcare Plan, Others</t>
        </is>
      </c>
      <c r="N2013" s="8">
        <f>HYPERLINK("https://www.vietnamworks.com/global-customer-service-manager-testing-laboratory-2010983-jv","Xem chi tiết")</f>
        <v/>
      </c>
    </row>
    <row r="2014">
      <c r="B2014" s="9" t="n">
        <v>2012</v>
      </c>
      <c r="C2014" s="10" t="inlineStr">
        <is>
          <t>Phó Phòng PQA</t>
        </is>
      </c>
      <c r="D2014" s="10" t="inlineStr">
        <is>
          <t>Công Ty TNHH Công Nghệ Shunyun (Hà Nội, Việt Nam)</t>
        </is>
      </c>
      <c r="E2014" s="10" t="inlineStr">
        <is>
          <t>$$ 1,000-1,500 /tháng</t>
        </is>
      </c>
      <c r="F2014" s="10" t="inlineStr">
        <is>
          <t>Bắc Ninh</t>
        </is>
      </c>
      <c r="G2014" s="10" t="inlineStr">
        <is>
          <t>Trưởng phòng</t>
        </is>
      </c>
      <c r="H2014" s="10" t="inlineStr">
        <is>
          <t>09/02/2026</t>
        </is>
      </c>
      <c r="I2014" s="10" t="inlineStr">
        <is>
          <t>26/03/2026</t>
        </is>
      </c>
      <c r="J2014" s="10" t="inlineStr">
        <is>
          <t>17/03/2026</t>
        </is>
      </c>
      <c r="K2014" s="10" t="inlineStr">
        <is>
          <t>N/A</t>
        </is>
      </c>
      <c r="L2014" s="10" t="inlineStr">
        <is>
          <t>Tiếng Anh, Tiếng Trung, PQA, Đảm Bảo Chất Lượng</t>
        </is>
      </c>
      <c r="M2014" s="10" t="inlineStr">
        <is>
          <t>Bonus, Paid Leave, Transportation</t>
        </is>
      </c>
      <c r="N2014" s="11">
        <f>HYPERLINK("https://www.vietnamworks.com/pho-phong-pqa--2010981-jv","Xem chi tiết")</f>
        <v/>
      </c>
      <c r="O2014" s="10" t="n"/>
    </row>
    <row r="2015">
      <c r="B2015" s="7" t="n">
        <v>2013</v>
      </c>
      <c r="C2015" t="inlineStr">
        <is>
          <t>Accountant Payable (Thu Duc, HCMC)</t>
        </is>
      </c>
      <c r="D2015" t="inlineStr">
        <is>
          <t>Eurofins Vietnam</t>
        </is>
      </c>
      <c r="E2015" t="inlineStr">
        <is>
          <t>Thương lượng</t>
        </is>
      </c>
      <c r="F2015" t="inlineStr">
        <is>
          <t>Hồ Chí Minh</t>
        </is>
      </c>
      <c r="G2015" t="inlineStr">
        <is>
          <t>Nhân viên</t>
        </is>
      </c>
      <c r="H2015" t="inlineStr">
        <is>
          <t>09/02/2026</t>
        </is>
      </c>
      <c r="I2015" t="inlineStr">
        <is>
          <t>26/03/2026</t>
        </is>
      </c>
      <c r="J2015" t="inlineStr">
        <is>
          <t>17/03/2026</t>
        </is>
      </c>
      <c r="K2015" t="inlineStr">
        <is>
          <t>N/A</t>
        </is>
      </c>
      <c r="L2015" t="inlineStr">
        <is>
          <t>Account, Payment accounting, Accounts Payable, Payable Accounting, Accountant</t>
        </is>
      </c>
      <c r="M2015" t="inlineStr">
        <is>
          <t>Bonus, Healthcare Plan, Others</t>
        </is>
      </c>
      <c r="N2015" s="8">
        <f>HYPERLINK("https://www.vietnamworks.com/accountant-payable-thu-duc-hcmc-2010975-jv","Xem chi tiết")</f>
        <v/>
      </c>
    </row>
    <row r="2016">
      <c r="B2016" s="9" t="n">
        <v>2014</v>
      </c>
      <c r="C2016" s="10" t="inlineStr">
        <is>
          <t>Brand &amp; Production Manager (Real Estate) - 4N011</t>
        </is>
      </c>
      <c r="D2016" s="10" t="inlineStr">
        <is>
          <t>Tập đoàn ROX (ROX Group)</t>
        </is>
      </c>
      <c r="E2016" s="10" t="inlineStr">
        <is>
          <t>$$ 1,500-2,000 /tháng</t>
        </is>
      </c>
      <c r="F2016" s="10" t="inlineStr">
        <is>
          <t>Hà Nội</t>
        </is>
      </c>
      <c r="G2016" s="10" t="inlineStr">
        <is>
          <t>Trưởng phòng</t>
        </is>
      </c>
      <c r="H2016" s="10" t="inlineStr">
        <is>
          <t>09/02/2026</t>
        </is>
      </c>
      <c r="I2016" s="10" t="inlineStr">
        <is>
          <t>26/03/2026</t>
        </is>
      </c>
      <c r="J2016" s="10" t="inlineStr">
        <is>
          <t>17/03/2026</t>
        </is>
      </c>
      <c r="K2016" s="10" t="inlineStr">
        <is>
          <t>N/A</t>
        </is>
      </c>
      <c r="L2016" s="10" t="inlineStr">
        <is>
          <t>Tiếng Anh lưu loát, Tiếng Nga, Branding Marketing</t>
        </is>
      </c>
      <c r="M2016" s="10" t="inlineStr">
        <is>
          <t>Bonus, Healthcare Plan, Paid Leave</t>
        </is>
      </c>
      <c r="N2016" s="11">
        <f>HYPERLINK("https://www.vietnamworks.com/brand-production-manager-real-estate-4n011-2010997-jv","Xem chi tiết")</f>
        <v/>
      </c>
      <c r="O2016" s="10" t="n"/>
    </row>
    <row r="2017">
      <c r="B2017" s="7" t="n">
        <v>2015</v>
      </c>
      <c r="C2017" t="inlineStr">
        <is>
          <t>Nhân Viên Kiểm Tra Chất Lượng Trên Chuyền (IPC)</t>
        </is>
      </c>
      <c r="D2017" t="inlineStr">
        <is>
          <t>MOTUL VIETNAM</t>
        </is>
      </c>
      <c r="E2017" t="inlineStr">
        <is>
          <t>Thương lượng</t>
        </is>
      </c>
      <c r="F2017" t="inlineStr">
        <is>
          <t>Hồ Chí Minh</t>
        </is>
      </c>
      <c r="G2017" t="inlineStr">
        <is>
          <t>Nhân viên</t>
        </is>
      </c>
      <c r="H2017" t="inlineStr">
        <is>
          <t>09/02/2026</t>
        </is>
      </c>
      <c r="I2017" t="inlineStr">
        <is>
          <t>26/03/2026</t>
        </is>
      </c>
      <c r="J2017" t="inlineStr">
        <is>
          <t>17/03/2026</t>
        </is>
      </c>
      <c r="K2017" t="inlineStr">
        <is>
          <t>N/A</t>
        </is>
      </c>
      <c r="L2017" t="inlineStr">
        <is>
          <t>Process Quality Management, Quality Inspection, Kiểm Tra Chất Lượng, Chất lượng, Kiểm Soát Chất Lượng</t>
        </is>
      </c>
      <c r="M2017" t="inlineStr">
        <is>
          <t>Bonus, Healthcare Plan, Training</t>
        </is>
      </c>
      <c r="N2017" s="8">
        <f>HYPERLINK("https://www.vietnamworks.com/nhan-vien-kiem-tra-chat-luong-tren-chuyen-ipc--2011001-jv","Xem chi tiết")</f>
        <v/>
      </c>
    </row>
    <row r="2018">
      <c r="B2018" s="9" t="n">
        <v>2016</v>
      </c>
      <c r="C2018" s="10" t="inlineStr">
        <is>
          <t>Consumer Market Knowledge Supervisor</t>
        </is>
      </c>
      <c r="D2018" s="10" t="inlineStr">
        <is>
          <t>Masan Consumer Holdings</t>
        </is>
      </c>
      <c r="E2018" s="10" t="inlineStr">
        <is>
          <t>Thương lượng</t>
        </is>
      </c>
      <c r="F2018" s="10" t="inlineStr">
        <is>
          <t>Hồ Chí Minh</t>
        </is>
      </c>
      <c r="G2018" s="10" t="inlineStr">
        <is>
          <t>Trưởng phòng</t>
        </is>
      </c>
      <c r="H2018" s="10" t="inlineStr">
        <is>
          <t>09/02/2026</t>
        </is>
      </c>
      <c r="I2018" s="10" t="inlineStr">
        <is>
          <t>26/03/2026</t>
        </is>
      </c>
      <c r="J2018" s="10" t="inlineStr">
        <is>
          <t>17/03/2026</t>
        </is>
      </c>
      <c r="K2018" s="10" t="inlineStr">
        <is>
          <t>N/A</t>
        </is>
      </c>
      <c r="L2018" s="10" t="inlineStr">
        <is>
          <t>Quantitative Analysis, Qualitative Market Research, Market Research, Consumer Insight, Consumer Analysis</t>
        </is>
      </c>
      <c r="M2018" s="10" t="inlineStr">
        <is>
          <t>Bonus, Laptop, Others</t>
        </is>
      </c>
      <c r="N2018" s="11">
        <f>HYPERLINK("https://www.vietnamworks.com/consumer-market-knowledge-supervisor--2010991-jv","Xem chi tiết")</f>
        <v/>
      </c>
      <c r="O2018" s="10" t="n"/>
    </row>
    <row r="2019">
      <c r="B2019" s="7" t="n">
        <v>2017</v>
      </c>
      <c r="C2019" t="inlineStr">
        <is>
          <t>Data Governance Manager</t>
        </is>
      </c>
      <c r="D2019" t="inlineStr">
        <is>
          <t>United Overseas Bank (Vietnam) Limited (UOB)</t>
        </is>
      </c>
      <c r="E2019" t="inlineStr">
        <is>
          <t>Thương lượng</t>
        </is>
      </c>
      <c r="F2019" t="inlineStr">
        <is>
          <t>Hồ Chí Minh</t>
        </is>
      </c>
      <c r="G2019" t="inlineStr">
        <is>
          <t>Nhân viên</t>
        </is>
      </c>
      <c r="H2019" t="inlineStr">
        <is>
          <t>09/02/2026</t>
        </is>
      </c>
      <c r="I2019" t="inlineStr">
        <is>
          <t>26/03/2026</t>
        </is>
      </c>
      <c r="J2019" t="inlineStr">
        <is>
          <t>17/03/2026</t>
        </is>
      </c>
      <c r="K2019" t="inlineStr">
        <is>
          <t>N/A</t>
        </is>
      </c>
      <c r="L2019" t="inlineStr">
        <is>
          <t>Data Quality Assessment, Data Transformation, SAS, SQL</t>
        </is>
      </c>
      <c r="M2019" t="inlineStr">
        <is>
          <t>Bonus, Healthcare Plan, Paid Leave, Others</t>
        </is>
      </c>
      <c r="N2019" s="8">
        <f>HYPERLINK("https://www.vietnamworks.com/data-governance-manager-2011006-jv","Xem chi tiết")</f>
        <v/>
      </c>
    </row>
    <row r="2020">
      <c r="B2020" s="9" t="n">
        <v>2018</v>
      </c>
      <c r="C2020" s="10" t="inlineStr">
        <is>
          <t>Data Governance Team Manager</t>
        </is>
      </c>
      <c r="D2020" s="10" t="inlineStr">
        <is>
          <t>United Overseas Bank (Vietnam) Limited (UOB)</t>
        </is>
      </c>
      <c r="E2020" s="10" t="inlineStr">
        <is>
          <t>Thương lượng</t>
        </is>
      </c>
      <c r="F2020" s="10" t="inlineStr">
        <is>
          <t>Hồ Chí Minh</t>
        </is>
      </c>
      <c r="G2020" s="10" t="inlineStr">
        <is>
          <t>Trưởng phòng</t>
        </is>
      </c>
      <c r="H2020" s="10" t="inlineStr">
        <is>
          <t>09/02/2026</t>
        </is>
      </c>
      <c r="I2020" s="10" t="inlineStr">
        <is>
          <t>26/03/2026</t>
        </is>
      </c>
      <c r="J2020" s="10" t="inlineStr">
        <is>
          <t>17/03/2026</t>
        </is>
      </c>
      <c r="K2020" s="10" t="inlineStr">
        <is>
          <t>N/A</t>
        </is>
      </c>
      <c r="L2020" s="10" t="inlineStr">
        <is>
          <t>Analytical Thinking, Data Integration, Data Management, Data Quality Assessment, SAS Programming</t>
        </is>
      </c>
      <c r="M2020" s="10" t="inlineStr">
        <is>
          <t>Bonus, Healthcare Plan, Paid Leave, Others</t>
        </is>
      </c>
      <c r="N2020" s="11">
        <f>HYPERLINK("https://www.vietnamworks.com/data-governance-team-manager-2011009-jv","Xem chi tiết")</f>
        <v/>
      </c>
      <c r="O2020" s="10" t="n"/>
    </row>
    <row r="2021">
      <c r="B2021" s="7" t="n">
        <v>2019</v>
      </c>
      <c r="C2021" t="inlineStr">
        <is>
          <t>Compensation &amp; Benefits Specialist</t>
        </is>
      </c>
      <c r="D2021" t="inlineStr">
        <is>
          <t>NEYU</t>
        </is>
      </c>
      <c r="E2021" t="inlineStr">
        <is>
          <t>Thương lượng</t>
        </is>
      </c>
      <c r="F2021" t="inlineStr">
        <is>
          <t>Hà Nội</t>
        </is>
      </c>
      <c r="G2021" t="inlineStr">
        <is>
          <t>Nhân viên</t>
        </is>
      </c>
      <c r="H2021" t="inlineStr">
        <is>
          <t>09/02/2026</t>
        </is>
      </c>
      <c r="I2021" t="inlineStr">
        <is>
          <t>26/03/2026</t>
        </is>
      </c>
      <c r="J2021" t="inlineStr">
        <is>
          <t>17/03/2026</t>
        </is>
      </c>
      <c r="K2021" t="inlineStr">
        <is>
          <t>N/A</t>
        </is>
      </c>
      <c r="L2021" t="inlineStr">
        <is>
          <t>Payroll processing, Social Insurance, Labor Law, Labor Law Compliance, Human Resources</t>
        </is>
      </c>
      <c r="M2021" t="inlineStr">
        <is>
          <t>Bonus, Healthcare Plan, Travel Opportunities</t>
        </is>
      </c>
      <c r="N2021" s="8">
        <f>HYPERLINK("https://www.vietnamworks.com/compensation-benefits-specialist--2011007-jv","Xem chi tiết")</f>
        <v/>
      </c>
    </row>
    <row r="2022">
      <c r="B2022" s="9" t="n">
        <v>2020</v>
      </c>
      <c r="C2022" s="10" t="inlineStr">
        <is>
          <t>Account Manager / Sales Lead</t>
        </is>
      </c>
      <c r="D2022" s="10" t="inlineStr">
        <is>
          <t>CÔNG TY TNHH SIGNAL CLARITY</t>
        </is>
      </c>
      <c r="E2022" s="10" t="inlineStr">
        <is>
          <t>Thương lượng</t>
        </is>
      </c>
      <c r="F2022" s="10" t="inlineStr">
        <is>
          <t>Hồ Chí Minh</t>
        </is>
      </c>
      <c r="G2022" s="10" t="inlineStr">
        <is>
          <t>Trưởng phòng</t>
        </is>
      </c>
      <c r="H2022" s="10" t="inlineStr">
        <is>
          <t>23/02/2026</t>
        </is>
      </c>
      <c r="I2022" s="10" t="inlineStr">
        <is>
          <t>26/03/2026</t>
        </is>
      </c>
      <c r="J2022" s="10" t="inlineStr">
        <is>
          <t>17/03/2026</t>
        </is>
      </c>
      <c r="K2022" s="10" t="inlineStr">
        <is>
          <t>N/A</t>
        </is>
      </c>
      <c r="L2022" s="10" t="inlineStr">
        <is>
          <t>Channel Relationship Management, Communication Skills, Digital Advertising, Media Planning, Project Management</t>
        </is>
      </c>
      <c r="M2022" s="10" t="inlineStr">
        <is>
          <t>Bonus, Paid Leave, Others</t>
        </is>
      </c>
      <c r="N2022" s="11">
        <f>HYPERLINK("https://www.vietnamworks.com/account-manager-sales-lead-2012334-jv","Xem chi tiết")</f>
        <v/>
      </c>
      <c r="O2022" s="10" t="n"/>
    </row>
    <row r="2023">
      <c r="B2023" s="7" t="n">
        <v>2021</v>
      </c>
      <c r="C2023" t="inlineStr">
        <is>
          <t>Learning, Talent &amp; Development Senior Officer</t>
        </is>
      </c>
      <c r="D2023" t="inlineStr">
        <is>
          <t>United Overseas Bank (Vietnam) Limited (UOB)</t>
        </is>
      </c>
      <c r="E2023" t="inlineStr">
        <is>
          <t>Thương lượng</t>
        </is>
      </c>
      <c r="F2023" t="inlineStr">
        <is>
          <t>Hồ Chí Minh</t>
        </is>
      </c>
      <c r="G2023" t="inlineStr">
        <is>
          <t>Nhân viên</t>
        </is>
      </c>
      <c r="H2023" t="inlineStr">
        <is>
          <t>09/02/2026</t>
        </is>
      </c>
      <c r="I2023" t="inlineStr">
        <is>
          <t>26/03/2026</t>
        </is>
      </c>
      <c r="J2023" t="inlineStr">
        <is>
          <t>17/03/2026</t>
        </is>
      </c>
      <c r="K2023" t="inlineStr">
        <is>
          <t>N/A</t>
        </is>
      </c>
      <c r="L2023" t="inlineStr">
        <is>
          <t>Effective Communication, Employee Engagement, HR Management, MS Office, Training Development</t>
        </is>
      </c>
      <c r="M2023" t="inlineStr">
        <is>
          <t>Bonus, Healthcare Plan, Paid Leave, Others</t>
        </is>
      </c>
      <c r="N2023" s="8">
        <f>HYPERLINK("https://www.vietnamworks.com/learning-talent-and-development-senior-officer-2011010-jv","Xem chi tiết")</f>
        <v/>
      </c>
    </row>
    <row r="2024">
      <c r="B2024" s="9" t="n">
        <v>2022</v>
      </c>
      <c r="C2024" s="10" t="inlineStr">
        <is>
          <t>Software Engineer / Technical Engineer</t>
        </is>
      </c>
      <c r="D2024" s="10" t="inlineStr">
        <is>
          <t>SI CYBER SECURITY ARCHITECTURE CO FZCO</t>
        </is>
      </c>
      <c r="E2024" s="10" t="inlineStr">
        <is>
          <t>Tới $ 2,000 /tháng</t>
        </is>
      </c>
      <c r="F2024" s="10" t="inlineStr">
        <is>
          <t>Hồ Chí Minh</t>
        </is>
      </c>
      <c r="G2024" s="10" t="inlineStr">
        <is>
          <t>Nhân viên</t>
        </is>
      </c>
      <c r="H2024" s="10" t="inlineStr">
        <is>
          <t>23/02/2026</t>
        </is>
      </c>
      <c r="I2024" s="10" t="inlineStr">
        <is>
          <t>26/03/2026</t>
        </is>
      </c>
      <c r="J2024" s="10" t="inlineStr">
        <is>
          <t>17/03/2026</t>
        </is>
      </c>
      <c r="K2024" s="10" t="inlineStr">
        <is>
          <t>N/A</t>
        </is>
      </c>
      <c r="L2024" s="10" t="inlineStr">
        <is>
          <t>IT Solutions Delivery, Network Principles, Security Information, Virtualization, Windows Server</t>
        </is>
      </c>
      <c r="M2024" s="10" t="inlineStr">
        <is>
          <t>Bonus, Training, Others</t>
        </is>
      </c>
      <c r="N2024" s="11">
        <f>HYPERLINK("https://www.vietnamworks.com/software-engineer-technical-engineer-2012659-jv","Xem chi tiết")</f>
        <v/>
      </c>
      <c r="O2024" s="10" t="n"/>
    </row>
    <row r="2025">
      <c r="B2025" s="7" t="n">
        <v>2023</v>
      </c>
      <c r="C2025" t="inlineStr">
        <is>
          <t>(Senior) Supply Chain Specialist</t>
        </is>
      </c>
      <c r="D2025" t="inlineStr">
        <is>
          <t>Sharkninja Vietnam</t>
        </is>
      </c>
      <c r="E2025" t="inlineStr">
        <is>
          <t>Thương lượng</t>
        </is>
      </c>
      <c r="F2025" t="inlineStr">
        <is>
          <t>Hồ Chí Minh</t>
        </is>
      </c>
      <c r="G2025" t="inlineStr">
        <is>
          <t>Nhân viên</t>
        </is>
      </c>
      <c r="H2025" t="inlineStr">
        <is>
          <t>23/02/2026</t>
        </is>
      </c>
      <c r="I2025" t="inlineStr">
        <is>
          <t>26/03/2026</t>
        </is>
      </c>
      <c r="J2025" t="inlineStr">
        <is>
          <t>17/03/2026</t>
        </is>
      </c>
      <c r="K2025" t="inlineStr">
        <is>
          <t>N/A</t>
        </is>
      </c>
      <c r="L2025" t="inlineStr">
        <is>
          <t>Supply Strategy, Logistics Control, Procurement, Sourcing Management, Comparative Price</t>
        </is>
      </c>
      <c r="M2025" t="inlineStr">
        <is>
          <t>Bonus, Healthcare Plan, Training</t>
        </is>
      </c>
      <c r="N2025" s="8">
        <f>HYPERLINK("https://www.vietnamworks.com/senior-supply-chain-specialist--2012629-jv","Xem chi tiết")</f>
        <v/>
      </c>
    </row>
    <row r="2026">
      <c r="B2026" s="9" t="n">
        <v>2024</v>
      </c>
      <c r="C2026" s="10" t="inlineStr">
        <is>
          <t>Business Training Manager</t>
        </is>
      </c>
      <c r="D2026" s="10" t="inlineStr">
        <is>
          <t>United Overseas Bank (Vietnam) Limited (UOB)</t>
        </is>
      </c>
      <c r="E2026" s="10" t="inlineStr">
        <is>
          <t>Thương lượng</t>
        </is>
      </c>
      <c r="F2026" s="10" t="inlineStr">
        <is>
          <t>Hồ Chí Minh</t>
        </is>
      </c>
      <c r="G2026" s="10" t="inlineStr">
        <is>
          <t>Trưởng phòng</t>
        </is>
      </c>
      <c r="H2026" s="10" t="inlineStr">
        <is>
          <t>09/02/2026</t>
        </is>
      </c>
      <c r="I2026" s="10" t="inlineStr">
        <is>
          <t>26/03/2026</t>
        </is>
      </c>
      <c r="J2026" s="10" t="inlineStr">
        <is>
          <t>17/03/2026</t>
        </is>
      </c>
      <c r="K2026" s="10" t="inlineStr">
        <is>
          <t>N/A</t>
        </is>
      </c>
      <c r="L2026" s="10" t="inlineStr">
        <is>
          <t>Analytical Skills, Communication Skills, Interpersonal Skills, Presentation Skills, Training Program Design</t>
        </is>
      </c>
      <c r="M2026" s="10" t="inlineStr">
        <is>
          <t>Bonus, Healthcare Plan, Paid Leave, Others</t>
        </is>
      </c>
      <c r="N2026" s="11">
        <f>HYPERLINK("https://www.vietnamworks.com/business-training-manager-2011008-jv","Xem chi tiết")</f>
        <v/>
      </c>
      <c r="O2026" s="10" t="n"/>
    </row>
    <row r="2027">
      <c r="B2027" s="7" t="n">
        <v>2025</v>
      </c>
      <c r="C2027" t="inlineStr">
        <is>
          <t>Nhân Viên Điều Phối Vận Tải</t>
        </is>
      </c>
      <c r="D2027" t="inlineStr">
        <is>
          <t>Công Ty TNHH Thương Mại &amp; Dịch Vụ Ael</t>
        </is>
      </c>
      <c r="E2027" t="inlineStr">
        <is>
          <t>Thương lượng</t>
        </is>
      </c>
      <c r="F2027" t="inlineStr">
        <is>
          <t>Hồ Chí Minh</t>
        </is>
      </c>
      <c r="G2027" t="inlineStr">
        <is>
          <t>Nhân viên</t>
        </is>
      </c>
      <c r="H2027" t="inlineStr">
        <is>
          <t>11/02/2026</t>
        </is>
      </c>
      <c r="I2027" t="inlineStr">
        <is>
          <t>26/03/2026</t>
        </is>
      </c>
      <c r="J2027" t="inlineStr">
        <is>
          <t>17/03/2026</t>
        </is>
      </c>
      <c r="K2027" t="inlineStr">
        <is>
          <t>N/A</t>
        </is>
      </c>
      <c r="L2027" t="inlineStr">
        <is>
          <t>Tiếng anh cơ bản, Tin Học Văn Phòng, Giao Tiếp Chủ Động</t>
        </is>
      </c>
      <c r="M2027" t="inlineStr">
        <is>
          <t>Bonus, Healthcare Plan</t>
        </is>
      </c>
      <c r="N2027" s="8">
        <f>HYPERLINK("https://www.vietnamworks.com/nhan-vien-dieu-phoi-van-tai--2011398-jv","Xem chi tiết")</f>
        <v/>
      </c>
    </row>
    <row r="2028">
      <c r="B2028" s="9" t="n">
        <v>2026</v>
      </c>
      <c r="C2028" s="10" t="inlineStr">
        <is>
          <t>Presales Manager</t>
        </is>
      </c>
      <c r="D2028" s="10" t="inlineStr">
        <is>
          <t>SI CYBER SECURITY ARCHITECTURE CO FZCO</t>
        </is>
      </c>
      <c r="E2028" s="10" t="inlineStr">
        <is>
          <t>Tới $ 2,000 /tháng</t>
        </is>
      </c>
      <c r="F2028" s="10" t="inlineStr">
        <is>
          <t>Hồ Chí Minh</t>
        </is>
      </c>
      <c r="G2028" s="10" t="inlineStr">
        <is>
          <t>Trưởng phòng</t>
        </is>
      </c>
      <c r="H2028" s="10" t="inlineStr">
        <is>
          <t>23/02/2026</t>
        </is>
      </c>
      <c r="I2028" s="10" t="inlineStr">
        <is>
          <t>26/03/2026</t>
        </is>
      </c>
      <c r="J2028" s="10" t="inlineStr">
        <is>
          <t>17/03/2026</t>
        </is>
      </c>
      <c r="K2028" s="10" t="inlineStr">
        <is>
          <t>N/A</t>
        </is>
      </c>
      <c r="L2028" s="10" t="inlineStr">
        <is>
          <t>Information Security, Systems Integration, IT Infrastructure, IT Technical Support, Telecommunications</t>
        </is>
      </c>
      <c r="M2028" s="10" t="inlineStr">
        <is>
          <t>Healthcare Plan, Training, Others</t>
        </is>
      </c>
      <c r="N2028" s="11">
        <f>HYPERLINK("https://www.vietnamworks.com/presales-manager-2012625-jv","Xem chi tiết")</f>
        <v/>
      </c>
      <c r="O2028" s="10" t="n"/>
    </row>
    <row r="2029">
      <c r="B2029" s="7" t="n">
        <v>2027</v>
      </c>
      <c r="C2029" t="inlineStr">
        <is>
          <t>Giám Đốc Ban Vật Tư</t>
        </is>
      </c>
      <c r="D2029" t="inlineStr">
        <is>
          <t>GELEX Group</t>
        </is>
      </c>
      <c r="E2029" t="inlineStr">
        <is>
          <t>Thương lượng</t>
        </is>
      </c>
      <c r="F2029" t="inlineStr">
        <is>
          <t>Hà Nội</t>
        </is>
      </c>
      <c r="G2029" t="inlineStr">
        <is>
          <t>Giám Đốc và Cấp Cao Hơn</t>
        </is>
      </c>
      <c r="H2029" t="inlineStr">
        <is>
          <t>23/02/2026</t>
        </is>
      </c>
      <c r="I2029" t="inlineStr">
        <is>
          <t>26/03/2026</t>
        </is>
      </c>
      <c r="J2029" t="inlineStr">
        <is>
          <t>17/03/2026</t>
        </is>
      </c>
      <c r="K2029" t="inlineStr">
        <is>
          <t>N/A</t>
        </is>
      </c>
      <c r="L2029" t="inlineStr">
        <is>
          <t>Lãnh Đạo, Phân Tích Chiến Lược, Quản Lý Cung Ứng, Quản Trị Mối Quan Hệ, Đàm Phán Hợp Đồng</t>
        </is>
      </c>
      <c r="M2029" t="inlineStr">
        <is>
          <t>Bonus, Training, Canteen</t>
        </is>
      </c>
      <c r="N2029" s="8">
        <f>HYPERLINK("https://www.vietnamworks.com/giam-djoc-ban-vat-tu-2012516-jv","Xem chi tiết")</f>
        <v/>
      </c>
    </row>
    <row r="2030">
      <c r="B2030" s="9" t="n">
        <v>2028</v>
      </c>
      <c r="C2030" s="10" t="inlineStr">
        <is>
          <t>Kỹ Sư Cơ Khí (Kỹ Thuật Sản Xuất)</t>
        </is>
      </c>
      <c r="D2030" s="10" t="inlineStr">
        <is>
          <t>AMA - Automobile &amp; Motocycle Parts Manufacturing Hung Yen CO., LTD</t>
        </is>
      </c>
      <c r="E2030" s="10" t="inlineStr">
        <is>
          <t>Thương lượng</t>
        </is>
      </c>
      <c r="F2030" s="10" t="inlineStr">
        <is>
          <t>Hưng Yên, Hà Nội</t>
        </is>
      </c>
      <c r="G2030" s="10" t="inlineStr">
        <is>
          <t>Mới Tốt Nghiệp</t>
        </is>
      </c>
      <c r="H2030" s="10" t="inlineStr">
        <is>
          <t>23/02/2026</t>
        </is>
      </c>
      <c r="I2030" s="10" t="inlineStr">
        <is>
          <t>26/03/2026</t>
        </is>
      </c>
      <c r="J2030" s="10" t="inlineStr">
        <is>
          <t>17/03/2026</t>
        </is>
      </c>
      <c r="K2030" s="10" t="inlineStr">
        <is>
          <t>N/A</t>
        </is>
      </c>
      <c r="L2030" s="10" t="inlineStr">
        <is>
          <t>High Pressure Die-Casting, Metal Machining, Plating, Technical Documentation, Problem-solving</t>
        </is>
      </c>
      <c r="M2030" s="10" t="inlineStr">
        <is>
          <t>Bonus, Healthcare Plan, Training, Team Activities, Others</t>
        </is>
      </c>
      <c r="N2030" s="11">
        <f>HYPERLINK("https://www.vietnamworks.com/ky-su-co-khi-ky-thuat-san-xuat-2012641-jv","Xem chi tiết")</f>
        <v/>
      </c>
      <c r="O2030" s="10" t="n"/>
    </row>
    <row r="2031">
      <c r="B2031" s="7" t="n">
        <v>2029</v>
      </c>
      <c r="C2031" t="inlineStr">
        <is>
          <t>Sales Manager (Cybersecurity Solutions)</t>
        </is>
      </c>
      <c r="D2031" t="inlineStr">
        <is>
          <t>SI CYBER SECURITY ARCHITECTURE CO FZCO</t>
        </is>
      </c>
      <c r="E2031" t="inlineStr">
        <is>
          <t>Tới $ 2,000 /tháng</t>
        </is>
      </c>
      <c r="F2031" t="inlineStr">
        <is>
          <t>Hồ Chí Minh</t>
        </is>
      </c>
      <c r="G2031" t="inlineStr">
        <is>
          <t>Trưởng phòng</t>
        </is>
      </c>
      <c r="H2031" t="inlineStr">
        <is>
          <t>23/02/2026</t>
        </is>
      </c>
      <c r="I2031" t="inlineStr">
        <is>
          <t>26/03/2026</t>
        </is>
      </c>
      <c r="J2031" t="inlineStr">
        <is>
          <t>17/03/2026</t>
        </is>
      </c>
      <c r="K2031" t="inlineStr">
        <is>
          <t>N/A</t>
        </is>
      </c>
      <c r="L2031" t="inlineStr">
        <is>
          <t>Channel Relationship Management, Partnership Development, Sales &amp; Business Development, IT, B2B</t>
        </is>
      </c>
      <c r="M2031" t="inlineStr">
        <is>
          <t>Healthcare Plan, Training, Others</t>
        </is>
      </c>
      <c r="N2031" s="8">
        <f>HYPERLINK("https://www.vietnamworks.com/sales-manager-cybersecurity-solutions-2012644-jv","Xem chi tiết")</f>
        <v/>
      </c>
    </row>
    <row r="2032">
      <c r="B2032" s="9" t="n">
        <v>2030</v>
      </c>
      <c r="C2032" s="10" t="inlineStr">
        <is>
          <t>Media Sales Strategist</t>
        </is>
      </c>
      <c r="D2032" s="10" t="inlineStr">
        <is>
          <t>CÔNG TY TNHH SIGNAL CLARITY</t>
        </is>
      </c>
      <c r="E2032" s="10" t="inlineStr">
        <is>
          <t>Thương lượng</t>
        </is>
      </c>
      <c r="F2032" s="10" t="inlineStr">
        <is>
          <t>Hồ Chí Minh</t>
        </is>
      </c>
      <c r="G2032" s="10" t="inlineStr">
        <is>
          <t>Nhân viên</t>
        </is>
      </c>
      <c r="H2032" s="10" t="inlineStr">
        <is>
          <t>23/02/2026</t>
        </is>
      </c>
      <c r="I2032" s="10" t="inlineStr">
        <is>
          <t>26/03/2026</t>
        </is>
      </c>
      <c r="J2032" s="10" t="inlineStr">
        <is>
          <t>17/03/2026</t>
        </is>
      </c>
      <c r="K2032" s="10" t="inlineStr">
        <is>
          <t>N/A</t>
        </is>
      </c>
      <c r="L2032" s="10" t="inlineStr">
        <is>
          <t>Digital Advertising, Media Planning, Agency Management, Communication and negotiation skills, Presentation Report</t>
        </is>
      </c>
      <c r="M2032" s="10" t="inlineStr">
        <is>
          <t>Bonus, Others</t>
        </is>
      </c>
      <c r="N2032" s="11">
        <f>HYPERLINK("https://www.vietnamworks.com/media-sales-strategist-2012386-jv","Xem chi tiết")</f>
        <v/>
      </c>
      <c r="O2032" s="10" t="n"/>
    </row>
    <row r="2033">
      <c r="B2033" s="7" t="n">
        <v>2031</v>
      </c>
      <c r="C2033" t="inlineStr">
        <is>
          <t>Kế Toán Tổng Hợp Thu Nhập Upto 18Tr</t>
        </is>
      </c>
      <c r="D2033" t="inlineStr">
        <is>
          <t>Công Ty Cổ Phần Austrong Group</t>
        </is>
      </c>
      <c r="E2033" t="inlineStr">
        <is>
          <t>14tr-18tr ₫/tháng</t>
        </is>
      </c>
      <c r="F2033" t="inlineStr">
        <is>
          <t>Hà Nội</t>
        </is>
      </c>
      <c r="G2033" t="inlineStr">
        <is>
          <t>Nhân viên</t>
        </is>
      </c>
      <c r="H2033" t="inlineStr">
        <is>
          <t>23/02/2026</t>
        </is>
      </c>
      <c r="I2033" t="inlineStr">
        <is>
          <t>26/03/2026</t>
        </is>
      </c>
      <c r="J2033" t="inlineStr">
        <is>
          <t>17/03/2026</t>
        </is>
      </c>
      <c r="K2033" t="inlineStr">
        <is>
          <t>N/A</t>
        </is>
      </c>
      <c r="L2033" t="inlineStr">
        <is>
          <t>Phân Tích Số Liệu, Excel, Phần mềm kế toán, Nghiệp Vụ Kế Toán, Quy Định Thuế</t>
        </is>
      </c>
      <c r="M2033" t="inlineStr">
        <is>
          <t>Bonus, Healthcare Plan, Training, Others</t>
        </is>
      </c>
      <c r="N2033" s="8">
        <f>HYPERLINK("https://www.vietnamworks.com/ke-toan-tong-hop-thu-nhap-upto-18tr-2012562-jv","Xem chi tiết")</f>
        <v/>
      </c>
    </row>
    <row r="2034">
      <c r="B2034" s="9" t="n">
        <v>2032</v>
      </c>
      <c r="C2034" s="10" t="inlineStr">
        <is>
          <t>Nhân Viên Kỹ Thuật/ Kỹ sư Điện-Điện Tử/ Kỹ sư máy móc/ Cơ khí</t>
        </is>
      </c>
      <c r="D2034" s="10" t="inlineStr">
        <is>
          <t>CÔNG TY TNHH NEXVISION METROLOGY VIỆT NAM</t>
        </is>
      </c>
      <c r="E2034" s="10" t="inlineStr">
        <is>
          <t>Thương lượng</t>
        </is>
      </c>
      <c r="F2034" s="10" t="inlineStr">
        <is>
          <t>Hồ Chí Minh</t>
        </is>
      </c>
      <c r="G2034" s="10" t="inlineStr">
        <is>
          <t>Nhân viên</t>
        </is>
      </c>
      <c r="H2034" s="10" t="inlineStr">
        <is>
          <t>23/02/2026</t>
        </is>
      </c>
      <c r="I2034" s="10" t="inlineStr">
        <is>
          <t>26/03/2026</t>
        </is>
      </c>
      <c r="J2034" s="10" t="inlineStr">
        <is>
          <t>17/03/2026</t>
        </is>
      </c>
      <c r="K2034" s="10" t="inlineStr">
        <is>
          <t>N/A</t>
        </is>
      </c>
      <c r="L2034" s="10" t="inlineStr">
        <is>
          <t>Điện, Điện Tử, Cơ Khí, Cơ Điện Tử, Tư Duy Hệ Thống</t>
        </is>
      </c>
      <c r="M2034" s="10" t="inlineStr">
        <is>
          <t>Bonus, Healthcare Plan, Paid Leave, Training, Others</t>
        </is>
      </c>
      <c r="N2034" s="11">
        <f>HYPERLINK("https://www.vietnamworks.com/nhan-vien-ky-thuat-ky-su-djien-djien-tu-ky-su-may-moc-co-khi-2012658-jv","Xem chi tiết")</f>
        <v/>
      </c>
      <c r="O2034" s="10" t="n"/>
    </row>
    <row r="2035">
      <c r="B2035" s="7" t="n">
        <v>2033</v>
      </c>
      <c r="C2035" t="inlineStr">
        <is>
          <t>Remote Accountant / Bookkeeper (Australia Melbourne Firm)</t>
        </is>
      </c>
      <c r="D2035" t="inlineStr">
        <is>
          <t>KDC Advisory</t>
        </is>
      </c>
      <c r="E2035" t="inlineStr">
        <is>
          <t>$$ 500-1,000 /tháng</t>
        </is>
      </c>
      <c r="F2035" t="inlineStr">
        <is>
          <t>Quốc tế</t>
        </is>
      </c>
      <c r="G2035" t="inlineStr">
        <is>
          <t>Nhân viên</t>
        </is>
      </c>
      <c r="H2035" t="inlineStr">
        <is>
          <t>24/02/2026</t>
        </is>
      </c>
      <c r="I2035" t="inlineStr">
        <is>
          <t>26/03/2026</t>
        </is>
      </c>
      <c r="J2035" t="inlineStr">
        <is>
          <t>17/03/2026</t>
        </is>
      </c>
      <c r="K2035" t="inlineStr">
        <is>
          <t>N/A</t>
        </is>
      </c>
      <c r="L2035" t="inlineStr">
        <is>
          <t>Tax Accountant, Bookkeeping Experience, Australian Accounting Experience</t>
        </is>
      </c>
      <c r="M2035" t="inlineStr">
        <is>
          <t>Healthcare Plan, Paid Leave, Training</t>
        </is>
      </c>
      <c r="N2035" s="8">
        <f>HYPERLINK("https://www.vietnamworks.com/remote-accountant-bookkeeper-australia-melbourne-firm--2012710-jv","Xem chi tiết")</f>
        <v/>
      </c>
    </row>
    <row r="2036">
      <c r="B2036" s="9" t="n">
        <v>2034</v>
      </c>
      <c r="C2036" s="10" t="inlineStr">
        <is>
          <t>Brand Marketing Executive - Strategy &amp; Planning (1–2 Năm Kinh Nghiệm)</t>
        </is>
      </c>
      <c r="D2036" s="10" t="inlineStr">
        <is>
          <t>Công Ty TNHH Soleil Farm</t>
        </is>
      </c>
      <c r="E2036" s="10" t="inlineStr">
        <is>
          <t>$$ 500-600 /tháng</t>
        </is>
      </c>
      <c r="F2036" s="10" t="inlineStr">
        <is>
          <t>Hồ Chí Minh</t>
        </is>
      </c>
      <c r="G2036" s="10" t="inlineStr">
        <is>
          <t>Nhân viên</t>
        </is>
      </c>
      <c r="H2036" s="10" t="inlineStr">
        <is>
          <t>23/02/2026</t>
        </is>
      </c>
      <c r="I2036" s="10" t="inlineStr">
        <is>
          <t>26/03/2026</t>
        </is>
      </c>
      <c r="J2036" s="10" t="inlineStr">
        <is>
          <t>17/03/2026</t>
        </is>
      </c>
      <c r="K2036" s="10" t="inlineStr">
        <is>
          <t>N/A</t>
        </is>
      </c>
      <c r="L2036" s="10" t="inlineStr">
        <is>
          <t>Marketing, Digital Marketing, Branding Marketing, Social Media Management, Trade Marketing</t>
        </is>
      </c>
      <c r="M2036" s="10" t="inlineStr">
        <is>
          <t>Bonus, Healthcare Plan, Training</t>
        </is>
      </c>
      <c r="N2036" s="11">
        <f>HYPERLINK("https://www.vietnamworks.com/brand-marketing-executive-strategy-planning-1-2-nam-kinh-nghiem-2012429-jv","Xem chi tiết")</f>
        <v/>
      </c>
      <c r="O2036" s="10" t="n"/>
    </row>
    <row r="2037">
      <c r="B2037" s="7" t="n">
        <v>2035</v>
      </c>
      <c r="C2037" t="inlineStr">
        <is>
          <t>Prescription Engineer</t>
        </is>
      </c>
      <c r="D2037" t="inlineStr">
        <is>
          <t>Schneider Electric Vietnam Limited</t>
        </is>
      </c>
      <c r="E2037" t="inlineStr">
        <is>
          <t>Thương lượng</t>
        </is>
      </c>
      <c r="F2037" t="inlineStr">
        <is>
          <t>Hà Nội</t>
        </is>
      </c>
      <c r="G2037" t="inlineStr">
        <is>
          <t>Nhân viên</t>
        </is>
      </c>
      <c r="H2037" t="inlineStr">
        <is>
          <t>24/02/2026</t>
        </is>
      </c>
      <c r="I2037" t="inlineStr">
        <is>
          <t>26/03/2026</t>
        </is>
      </c>
      <c r="J2037" t="inlineStr">
        <is>
          <t>17/03/2026</t>
        </is>
      </c>
      <c r="K2037" t="inlineStr">
        <is>
          <t>N/A</t>
        </is>
      </c>
      <c r="L2037" t="inlineStr">
        <is>
          <t>Electrical &amp; Electronic, M&amp;E, Electrical Productions, Customer Management, Consultant</t>
        </is>
      </c>
      <c r="M2037" t="inlineStr">
        <is>
          <t>Bonus, Healthcare Plan, Paid Leave</t>
        </is>
      </c>
      <c r="N2037" s="8">
        <f>HYPERLINK("https://www.vietnamworks.com/prescription-engineer--2012712-jv","Xem chi tiết")</f>
        <v/>
      </c>
    </row>
    <row r="2038">
      <c r="B2038" s="9" t="n">
        <v>2036</v>
      </c>
      <c r="C2038" s="10" t="inlineStr">
        <is>
          <t>Learning And Development Manager</t>
        </is>
      </c>
      <c r="D2038" s="10" t="inlineStr">
        <is>
          <t>NEYU</t>
        </is>
      </c>
      <c r="E2038" s="10" t="inlineStr">
        <is>
          <t>Thương lượng</t>
        </is>
      </c>
      <c r="F2038" s="10" t="inlineStr">
        <is>
          <t>Hồ Chí Minh, Hà Nội</t>
        </is>
      </c>
      <c r="G2038" s="10" t="inlineStr">
        <is>
          <t>Trưởng phòng</t>
        </is>
      </c>
      <c r="H2038" s="10" t="inlineStr">
        <is>
          <t>23/02/2026</t>
        </is>
      </c>
      <c r="I2038" s="10" t="inlineStr">
        <is>
          <t>26/03/2026</t>
        </is>
      </c>
      <c r="J2038" s="10" t="inlineStr">
        <is>
          <t>17/03/2026</t>
        </is>
      </c>
      <c r="K2038" s="10" t="inlineStr">
        <is>
          <t>N/A</t>
        </is>
      </c>
      <c r="L2038" s="10" t="inlineStr">
        <is>
          <t>Communication Skills, Data Analysis, Learning Material Development, Project Management, Training Program Design</t>
        </is>
      </c>
      <c r="M2038" s="10" t="inlineStr">
        <is>
          <t>Bonus, Paid Leave, Team Activities, Others</t>
        </is>
      </c>
      <c r="N2038" s="11">
        <f>HYPERLINK("https://www.vietnamworks.com/learning-and-development-manager-2012626-jv","Xem chi tiết")</f>
        <v/>
      </c>
      <c r="O2038" s="10" t="n"/>
    </row>
    <row r="2039">
      <c r="B2039" s="7" t="n">
        <v>2037</v>
      </c>
      <c r="C2039" t="inlineStr">
        <is>
          <t>2D AutoCAD Drafters</t>
        </is>
      </c>
      <c r="D2039" t="inlineStr">
        <is>
          <t>Ascension 6</t>
        </is>
      </c>
      <c r="E2039" t="inlineStr">
        <is>
          <t>Thương lượng</t>
        </is>
      </c>
      <c r="F2039" t="inlineStr">
        <is>
          <t>Hồ Chí Minh</t>
        </is>
      </c>
      <c r="G2039" t="inlineStr">
        <is>
          <t>Nhân viên</t>
        </is>
      </c>
      <c r="H2039" t="inlineStr">
        <is>
          <t>24/02/2026</t>
        </is>
      </c>
      <c r="I2039" t="inlineStr">
        <is>
          <t>26/03/2026</t>
        </is>
      </c>
      <c r="J2039" t="inlineStr">
        <is>
          <t>17/03/2026</t>
        </is>
      </c>
      <c r="K2039" t="inlineStr">
        <is>
          <t>N/A</t>
        </is>
      </c>
      <c r="L2039" t="inlineStr">
        <is>
          <t>Effective Communication, Autocad</t>
        </is>
      </c>
      <c r="M2039" t="inlineStr">
        <is>
          <t>Bonus, Training, Others</t>
        </is>
      </c>
      <c r="N2039" s="8">
        <f>HYPERLINK("https://www.vietnamworks.com/2d-autocad-drafters-2012716-jv","Xem chi tiết")</f>
        <v/>
      </c>
    </row>
    <row r="2040">
      <c r="B2040" s="9" t="n">
        <v>2038</v>
      </c>
      <c r="C2040" s="10" t="inlineStr">
        <is>
          <t>Nhân Viên Xử Lý Dự Án</t>
        </is>
      </c>
      <c r="D2040" s="10" t="inlineStr">
        <is>
          <t>PHALANX SERVICES</t>
        </is>
      </c>
      <c r="E2040" s="10" t="inlineStr">
        <is>
          <t>$$ 400-600 /tháng</t>
        </is>
      </c>
      <c r="F2040" s="10" t="inlineStr">
        <is>
          <t>Hồ Chí Minh</t>
        </is>
      </c>
      <c r="G2040" s="10" t="inlineStr">
        <is>
          <t>Mới Tốt Nghiệp</t>
        </is>
      </c>
      <c r="H2040" s="10" t="inlineStr">
        <is>
          <t>24/02/2026</t>
        </is>
      </c>
      <c r="I2040" s="10" t="inlineStr">
        <is>
          <t>26/03/2026</t>
        </is>
      </c>
      <c r="J2040" s="10" t="inlineStr">
        <is>
          <t>17/03/2026</t>
        </is>
      </c>
      <c r="K2040" s="10" t="inlineStr">
        <is>
          <t>N/A</t>
        </is>
      </c>
      <c r="L2040" s="10" t="inlineStr">
        <is>
          <t>Xử Lý Dữ Liệu, Điều Phối Dự Án, Project Operations, Lập Báo Cáo, TOEIC 700</t>
        </is>
      </c>
      <c r="M2040" s="10" t="inlineStr">
        <is>
          <t>Bonus, Training, Others</t>
        </is>
      </c>
      <c r="N2040" s="11">
        <f>HYPERLINK("https://www.vietnamworks.com/nhan-vien-xu-ly-du-an--2012720-jv","Xem chi tiết")</f>
        <v/>
      </c>
      <c r="O2040" s="10" t="n"/>
    </row>
    <row r="2041">
      <c r="B2041" s="7" t="n">
        <v>2039</v>
      </c>
      <c r="C2041" t="inlineStr">
        <is>
          <t>Kế Toán Chính Sách Giá Bán Biết Tiếng Trung</t>
        </is>
      </c>
      <c r="D2041" t="inlineStr">
        <is>
          <t>Hisense Viet Nam Co., Ltd</t>
        </is>
      </c>
      <c r="E2041" t="inlineStr">
        <is>
          <t>Thương lượng</t>
        </is>
      </c>
      <c r="F2041" t="inlineStr">
        <is>
          <t>Hồ Chí Minh</t>
        </is>
      </c>
      <c r="G2041" t="inlineStr">
        <is>
          <t>Nhân viên</t>
        </is>
      </c>
      <c r="H2041" t="inlineStr">
        <is>
          <t>24/02/2026</t>
        </is>
      </c>
      <c r="I2041" t="inlineStr">
        <is>
          <t>26/03/2026</t>
        </is>
      </c>
      <c r="J2041" t="inlineStr">
        <is>
          <t>17/03/2026</t>
        </is>
      </c>
      <c r="K2041" t="inlineStr">
        <is>
          <t>N/A</t>
        </is>
      </c>
      <c r="L2041" t="inlineStr">
        <is>
          <t>Kế Toán Giá Thành, Tiếng Trung, Kế Toán Tổng Hợp, Kiểm Toán, VAS</t>
        </is>
      </c>
      <c r="M2041" t="inlineStr">
        <is>
          <t>Bonus, Healthcare Plan, Training</t>
        </is>
      </c>
      <c r="N2041" s="8">
        <f>HYPERLINK("https://www.vietnamworks.com/ke-toan-chinh-sach-gia-ban-biet-tieng-trung-2012726-jv","Xem chi tiết")</f>
        <v/>
      </c>
    </row>
    <row r="2042">
      <c r="B2042" s="9" t="n">
        <v>2040</v>
      </c>
      <c r="C2042" s="10" t="inlineStr">
        <is>
          <t>Kế Toán Trưởng</t>
        </is>
      </c>
      <c r="D2042" s="10" t="inlineStr">
        <is>
          <t>Công Ty TNHH Atai Fuji Electric Việt Nam</t>
        </is>
      </c>
      <c r="E2042" s="10" t="inlineStr">
        <is>
          <t>Thương lượng</t>
        </is>
      </c>
      <c r="F2042" s="10" t="inlineStr">
        <is>
          <t>Đồng Nai</t>
        </is>
      </c>
      <c r="G2042" s="10" t="inlineStr">
        <is>
          <t>Trưởng phòng</t>
        </is>
      </c>
      <c r="H2042" s="10" t="inlineStr">
        <is>
          <t>24/02/2026</t>
        </is>
      </c>
      <c r="I2042" s="10" t="inlineStr">
        <is>
          <t>26/03/2026</t>
        </is>
      </c>
      <c r="J2042" s="10" t="inlineStr">
        <is>
          <t>17/03/2026</t>
        </is>
      </c>
      <c r="K2042" s="10" t="inlineStr">
        <is>
          <t>N/A</t>
        </is>
      </c>
      <c r="L2042" s="10" t="inlineStr">
        <is>
          <t>Kế Toán, Chief Accountant Certificate, Tài Chính, Kiểm Toán, Kế Toán Tổng Hợp</t>
        </is>
      </c>
      <c r="M2042" s="10" t="inlineStr">
        <is>
          <t>Healthcare Plan, Training, Canteen</t>
        </is>
      </c>
      <c r="N2042" s="11">
        <f>HYPERLINK("https://www.vietnamworks.com/ke-toan-truong--2012719-jv","Xem chi tiết")</f>
        <v/>
      </c>
      <c r="O2042" s="10" t="n"/>
    </row>
    <row r="2043">
      <c r="B2043" s="7" t="n">
        <v>2041</v>
      </c>
      <c r="C2043" t="inlineStr">
        <is>
          <t>Key Account Supervisor (Direct Sales) - Hospitality Channel</t>
        </is>
      </c>
      <c r="D2043" t="inlineStr">
        <is>
          <t>Công Ty TNHH Một Thành Viên Kärcher</t>
        </is>
      </c>
      <c r="E2043" t="inlineStr">
        <is>
          <t>Thương lượng</t>
        </is>
      </c>
      <c r="F2043" t="inlineStr">
        <is>
          <t>Hồ Chí Minh</t>
        </is>
      </c>
      <c r="G2043" t="inlineStr">
        <is>
          <t>Nhân viên</t>
        </is>
      </c>
      <c r="H2043" t="inlineStr">
        <is>
          <t>24/02/2026</t>
        </is>
      </c>
      <c r="I2043" t="inlineStr">
        <is>
          <t>26/03/2026</t>
        </is>
      </c>
      <c r="J2043" t="inlineStr">
        <is>
          <t>17/03/2026</t>
        </is>
      </c>
      <c r="K2043" t="inlineStr">
        <is>
          <t>N/A</t>
        </is>
      </c>
      <c r="L2043" t="inlineStr">
        <is>
          <t>English Communication, Key Account Management, Kinh Doanh B2B, Negotiation, Strategic Thinking</t>
        </is>
      </c>
      <c r="M2043" t="inlineStr">
        <is>
          <t>Bonus, Healthcare Plan, Training, Others</t>
        </is>
      </c>
      <c r="N2043" s="8">
        <f>HYPERLINK("https://www.vietnamworks.com/key-account-supervisor-direct-sales-hospitality-channel-2012715-jv","Xem chi tiết")</f>
        <v/>
      </c>
    </row>
    <row r="2044">
      <c r="B2044" s="9" t="n">
        <v>2042</v>
      </c>
      <c r="C2044" s="10" t="inlineStr">
        <is>
          <t>Import-Export Operator</t>
        </is>
      </c>
      <c r="D2044" s="10" t="inlineStr">
        <is>
          <t>Ken Logistics CO., LTD.</t>
        </is>
      </c>
      <c r="E2044" s="10" t="inlineStr">
        <is>
          <t>Thương lượng</t>
        </is>
      </c>
      <c r="F2044" s="10" t="inlineStr">
        <is>
          <t>Hồ Chí Minh</t>
        </is>
      </c>
      <c r="G2044" s="10" t="inlineStr">
        <is>
          <t>Nhân viên</t>
        </is>
      </c>
      <c r="H2044" s="10" t="inlineStr">
        <is>
          <t>24/02/2026</t>
        </is>
      </c>
      <c r="I2044" s="10" t="inlineStr">
        <is>
          <t>26/03/2026</t>
        </is>
      </c>
      <c r="J2044" s="10" t="inlineStr">
        <is>
          <t>17/03/2026</t>
        </is>
      </c>
      <c r="K2044" s="10" t="inlineStr">
        <is>
          <t>N/A</t>
        </is>
      </c>
      <c r="L2044" s="10" t="inlineStr">
        <is>
          <t>Forwarding, Logistics, Import-Export, Customer Service, Overseas Trading</t>
        </is>
      </c>
      <c r="M2044" s="10" t="inlineStr">
        <is>
          <t>Bonus, Paid Leave, Others</t>
        </is>
      </c>
      <c r="N2044" s="11">
        <f>HYPERLINK("https://www.vietnamworks.com/import-export-operator--2012729-jv","Xem chi tiết")</f>
        <v/>
      </c>
      <c r="O2044" s="10" t="n"/>
    </row>
    <row r="2045">
      <c r="B2045" s="7" t="n">
        <v>2043</v>
      </c>
      <c r="C2045" t="inlineStr">
        <is>
          <t>Associate Marketing Director</t>
        </is>
      </c>
      <c r="D2045" t="inlineStr">
        <is>
          <t>Masan Consumer Holdings</t>
        </is>
      </c>
      <c r="E2045" t="inlineStr">
        <is>
          <t>Thương lượng</t>
        </is>
      </c>
      <c r="F2045" t="inlineStr">
        <is>
          <t>Hồ Chí Minh</t>
        </is>
      </c>
      <c r="G2045" t="inlineStr">
        <is>
          <t>Trưởng phòng</t>
        </is>
      </c>
      <c r="H2045" t="inlineStr">
        <is>
          <t>24/02/2026</t>
        </is>
      </c>
      <c r="I2045" t="inlineStr">
        <is>
          <t>26/03/2026</t>
        </is>
      </c>
      <c r="J2045" t="inlineStr">
        <is>
          <t>17/03/2026</t>
        </is>
      </c>
      <c r="K2045" t="inlineStr">
        <is>
          <t>N/A</t>
        </is>
      </c>
      <c r="L2045" t="inlineStr">
        <is>
          <t>FMCG, Marketing, Business Administration, Economics, English</t>
        </is>
      </c>
      <c r="M2045" t="inlineStr">
        <is>
          <t>Bonus, Laptop, Others</t>
        </is>
      </c>
      <c r="N2045" s="8">
        <f>HYPERLINK("https://www.vietnamworks.com/associate-marketing-director--2012727-jv","Xem chi tiết")</f>
        <v/>
      </c>
    </row>
    <row r="2046">
      <c r="B2046" s="9" t="n">
        <v>2044</v>
      </c>
      <c r="C2046" s="10" t="inlineStr">
        <is>
          <t>Program Management Intern</t>
        </is>
      </c>
      <c r="D2046" s="10" t="inlineStr">
        <is>
          <t>Piaggio Vietnam Co., Ltd (Pvn)</t>
        </is>
      </c>
      <c r="E2046" s="10" t="inlineStr">
        <is>
          <t>Thương lượng</t>
        </is>
      </c>
      <c r="F2046" s="10" t="inlineStr">
        <is>
          <t>Vĩnh Phúc</t>
        </is>
      </c>
      <c r="G2046" s="10" t="inlineStr">
        <is>
          <t>Thực tập sinh/Sinh viên</t>
        </is>
      </c>
      <c r="H2046" s="10" t="inlineStr">
        <is>
          <t>24/02/2026</t>
        </is>
      </c>
      <c r="I2046" s="10" t="inlineStr">
        <is>
          <t>26/03/2026</t>
        </is>
      </c>
      <c r="J2046" s="10" t="inlineStr">
        <is>
          <t>17/03/2026</t>
        </is>
      </c>
      <c r="K2046" s="10" t="inlineStr">
        <is>
          <t>N/A</t>
        </is>
      </c>
      <c r="L2046" s="10" t="inlineStr">
        <is>
          <t>Mechanical, Planning Management, Product Development, Project Management, Technical Drawing</t>
        </is>
      </c>
      <c r="M2046" s="10" t="inlineStr">
        <is>
          <t>Bonus, Healthcare Plan, Paid Leave</t>
        </is>
      </c>
      <c r="N2046" s="11">
        <f>HYPERLINK("https://www.vietnamworks.com/program-management-intern-2012732-jv","Xem chi tiết")</f>
        <v/>
      </c>
      <c r="O2046" s="10" t="n"/>
    </row>
    <row r="2047">
      <c r="B2047" s="7" t="n">
        <v>2045</v>
      </c>
      <c r="C2047" t="inlineStr">
        <is>
          <t>Kỹ Sư Cơ Khí (Không Yc Kinh Nghiệm, Lương 12-20Tr)</t>
        </is>
      </c>
      <c r="D2047" t="inlineStr">
        <is>
          <t>Công Ty TNHH Thép Hòa Phát Hưng Yên</t>
        </is>
      </c>
      <c r="E2047" t="inlineStr">
        <is>
          <t>Thương lượng</t>
        </is>
      </c>
      <c r="F2047" t="inlineStr">
        <is>
          <t>Hưng Yên, Hà Nội, Bắc Ninh</t>
        </is>
      </c>
      <c r="G2047" t="inlineStr">
        <is>
          <t>Nhân viên</t>
        </is>
      </c>
      <c r="H2047" t="inlineStr">
        <is>
          <t>24/02/2026</t>
        </is>
      </c>
      <c r="I2047" t="inlineStr">
        <is>
          <t>26/03/2026</t>
        </is>
      </c>
      <c r="J2047" t="inlineStr">
        <is>
          <t>17/03/2026</t>
        </is>
      </c>
      <c r="K2047" t="inlineStr">
        <is>
          <t>N/A</t>
        </is>
      </c>
      <c r="L2047" t="inlineStr">
        <is>
          <t>Sửa Chữa Máy Móc, Cơ Khí Sửa Chữa Máy, Cơ Khí Chế Tạo Máy, Cơ Khí Điện Công Nghiệp, Cơ Khí</t>
        </is>
      </c>
      <c r="M2047" t="inlineStr">
        <is>
          <t>Healthcare Plan, Travel Opportunities, Others</t>
        </is>
      </c>
      <c r="N2047" s="8">
        <f>HYPERLINK("https://www.vietnamworks.com/ky-su-co-khi-khong-yc-kinh-nghiem-luong-12-20tr-2012724-jv","Xem chi tiết")</f>
        <v/>
      </c>
    </row>
    <row r="2048">
      <c r="B2048" s="9" t="n">
        <v>2046</v>
      </c>
      <c r="C2048" s="10" t="inlineStr">
        <is>
          <t>Giám sát kinh doanh - Thuận An, Bình Dương</t>
        </is>
      </c>
      <c r="D2048" s="10" t="inlineStr">
        <is>
          <t>Shinhan Vietnam Finance Company Limited</t>
        </is>
      </c>
      <c r="E2048" s="10" t="inlineStr">
        <is>
          <t>Thương lượng</t>
        </is>
      </c>
      <c r="F2048" s="10" t="inlineStr">
        <is>
          <t>Bình Dương</t>
        </is>
      </c>
      <c r="G2048" s="10" t="inlineStr">
        <is>
          <t>Trưởng phòng</t>
        </is>
      </c>
      <c r="H2048" s="10" t="inlineStr">
        <is>
          <t>24/02/2026</t>
        </is>
      </c>
      <c r="I2048" s="10" t="inlineStr">
        <is>
          <t>26/03/2026</t>
        </is>
      </c>
      <c r="J2048" s="10" t="inlineStr">
        <is>
          <t>17/03/2026</t>
        </is>
      </c>
      <c r="K2048" s="10" t="inlineStr">
        <is>
          <t>N/A</t>
        </is>
      </c>
      <c r="L2048" s="10" t="inlineStr">
        <is>
          <t>Sales Supervisor, Tài Chính, Phân Tích Nhu Cầu</t>
        </is>
      </c>
      <c r="M2048" s="10" t="inlineStr">
        <is>
          <t>Bonus, Healthcare Plan, Laptop, Travel Opportunities</t>
        </is>
      </c>
      <c r="N2048" s="11">
        <f>HYPERLINK("https://www.vietnamworks.com/giam-sat-kinh-doanh-thuan-an-binh-duong-2012734-jv","Xem chi tiết")</f>
        <v/>
      </c>
      <c r="O2048" s="10" t="n"/>
    </row>
    <row r="2049">
      <c r="B2049" s="7" t="n">
        <v>2047</v>
      </c>
      <c r="C2049" t="inlineStr">
        <is>
          <t>Sales Manager - Trưởng Phòng Kinh Doanh</t>
        </is>
      </c>
      <c r="D2049" t="inlineStr">
        <is>
          <t>Shinhan Vietnam Finance Company Limited</t>
        </is>
      </c>
      <c r="E2049" t="inlineStr">
        <is>
          <t>$$ 1,000-1,500 /tháng</t>
        </is>
      </c>
      <c r="F2049" t="inlineStr">
        <is>
          <t>Hồ Chí Minh</t>
        </is>
      </c>
      <c r="G2049" t="inlineStr">
        <is>
          <t>Trưởng phòng</t>
        </is>
      </c>
      <c r="H2049" t="inlineStr">
        <is>
          <t>24/02/2026</t>
        </is>
      </c>
      <c r="I2049" t="inlineStr">
        <is>
          <t>26/03/2026</t>
        </is>
      </c>
      <c r="J2049" t="inlineStr">
        <is>
          <t>17/03/2026</t>
        </is>
      </c>
      <c r="K2049" t="inlineStr">
        <is>
          <t>N/A</t>
        </is>
      </c>
      <c r="L2049" t="inlineStr">
        <is>
          <t>Trưởng phòng kinh doanh, Giám Sát Kinh Doanh Vùng, Giám Sát Kinh Doanh, Quản Lý Khu Vực, Tài Chính Ngân Hàng</t>
        </is>
      </c>
      <c r="M2049" t="inlineStr">
        <is>
          <t>Bonus, Healthcare Plan, Paid Leave</t>
        </is>
      </c>
      <c r="N2049" s="8">
        <f>HYPERLINK("https://www.vietnamworks.com/sales-manager-truong-phong-kinh-doanh--2012730-jv","Xem chi tiết")</f>
        <v/>
      </c>
    </row>
    <row r="2050">
      <c r="B2050" s="9" t="n">
        <v>2048</v>
      </c>
      <c r="C2050" s="10" t="inlineStr">
        <is>
          <t>Head of Procurement</t>
        </is>
      </c>
      <c r="D2050" s="10" t="inlineStr">
        <is>
          <t>M Village</t>
        </is>
      </c>
      <c r="E2050" s="10" t="inlineStr">
        <is>
          <t>$$ 1,000-2,000 /tháng</t>
        </is>
      </c>
      <c r="F2050" s="10" t="inlineStr">
        <is>
          <t>Hồ Chí Minh</t>
        </is>
      </c>
      <c r="G2050" s="10" t="inlineStr">
        <is>
          <t>Trưởng phòng</t>
        </is>
      </c>
      <c r="H2050" s="10" t="inlineStr">
        <is>
          <t>24/02/2026</t>
        </is>
      </c>
      <c r="I2050" s="10" t="inlineStr">
        <is>
          <t>26/03/2026</t>
        </is>
      </c>
      <c r="J2050" s="10" t="inlineStr">
        <is>
          <t>17/03/2026</t>
        </is>
      </c>
      <c r="K2050" s="10" t="inlineStr">
        <is>
          <t>N/A</t>
        </is>
      </c>
      <c r="L2050" s="10" t="inlineStr">
        <is>
          <t>Procurement, Logistics, Supply Base Management, Data Analysis</t>
        </is>
      </c>
      <c r="M2050" s="10" t="inlineStr">
        <is>
          <t>Bonus, Healthcare Plan, Others</t>
        </is>
      </c>
      <c r="N2050" s="11">
        <f>HYPERLINK("https://www.vietnamworks.com/head-of-procurement--2012706-jv","Xem chi tiết")</f>
        <v/>
      </c>
      <c r="O2050" s="10" t="n"/>
    </row>
    <row r="2051">
      <c r="B2051" s="7" t="n">
        <v>2049</v>
      </c>
      <c r="C2051" t="inlineStr">
        <is>
          <t>Packaging Manager</t>
        </is>
      </c>
      <c r="D2051" t="inlineStr">
        <is>
          <t>Vietnamworks' Client</t>
        </is>
      </c>
      <c r="E2051" t="inlineStr">
        <is>
          <t>Thương lượng</t>
        </is>
      </c>
      <c r="F2051" t="inlineStr">
        <is>
          <t>Bình Dương</t>
        </is>
      </c>
      <c r="G2051" t="inlineStr">
        <is>
          <t>Trưởng phòng</t>
        </is>
      </c>
      <c r="H2051" t="inlineStr">
        <is>
          <t>24/02/2026</t>
        </is>
      </c>
      <c r="I2051" t="inlineStr">
        <is>
          <t>26/03/2026</t>
        </is>
      </c>
      <c r="J2051" t="inlineStr">
        <is>
          <t>17/03/2026</t>
        </is>
      </c>
      <c r="K2051" t="inlineStr">
        <is>
          <t>N/A</t>
        </is>
      </c>
      <c r="L2051" t="inlineStr">
        <is>
          <t>Packaging, Automation, Production Management, Maintenance, Electrical</t>
        </is>
      </c>
      <c r="M2051" t="inlineStr">
        <is>
          <t>Healthcare Plan, Paid Leave, Training</t>
        </is>
      </c>
      <c r="N2051" s="8">
        <f>HYPERLINK("https://www.vietnamworks.com/packaging-manager--2012739-jv","Xem chi tiết")</f>
        <v/>
      </c>
    </row>
    <row r="2052">
      <c r="B2052" s="9" t="n">
        <v>2050</v>
      </c>
      <c r="C2052" s="10" t="inlineStr">
        <is>
          <t>Production Planner</t>
        </is>
      </c>
      <c r="D2052" s="10" t="inlineStr">
        <is>
          <t>Công Ty TNHH LEGO Manufacturing Việt Nam</t>
        </is>
      </c>
      <c r="E2052" s="10" t="inlineStr">
        <is>
          <t>Thương lượng</t>
        </is>
      </c>
      <c r="F2052" s="10" t="inlineStr">
        <is>
          <t>Hồ Chí Minh</t>
        </is>
      </c>
      <c r="G2052" s="10" t="inlineStr">
        <is>
          <t>Nhân viên</t>
        </is>
      </c>
      <c r="H2052" s="10" t="inlineStr">
        <is>
          <t>24/02/2026</t>
        </is>
      </c>
      <c r="I2052" s="10" t="inlineStr">
        <is>
          <t>26/03/2026</t>
        </is>
      </c>
      <c r="J2052" s="10" t="inlineStr">
        <is>
          <t>17/03/2026</t>
        </is>
      </c>
      <c r="K2052" s="10" t="inlineStr">
        <is>
          <t>N/A</t>
        </is>
      </c>
      <c r="L2052" s="10" t="inlineStr">
        <is>
          <t>Inventory Management, Industrial Engineering, Manufacturing Control, ERP management systems, Production Operations Management</t>
        </is>
      </c>
      <c r="M2052" s="10" t="inlineStr">
        <is>
          <t>Bonus, Healthcare Plan, Paid Leave</t>
        </is>
      </c>
      <c r="N2052" s="11">
        <f>HYPERLINK("https://www.vietnamworks.com/production-planner--2012735-jv","Xem chi tiết")</f>
        <v/>
      </c>
      <c r="O2052" s="10" t="n"/>
    </row>
    <row r="2053">
      <c r="B2053" s="7" t="n">
        <v>2051</v>
      </c>
      <c r="C2053" t="inlineStr">
        <is>
          <t>Phú Quốc - Chuyên Viên Quản Lý Kế Hoạch Tiến Độ - Dự Án Park Hyatt</t>
        </is>
      </c>
      <c r="D2053" t="inlineStr">
        <is>
          <t>Công Ty BIM Group Kiên Giang</t>
        </is>
      </c>
      <c r="E2053" t="inlineStr">
        <is>
          <t>$$ 1,100-1,300 /tháng</t>
        </is>
      </c>
      <c r="F2053" t="inlineStr">
        <is>
          <t>Kiên Giang</t>
        </is>
      </c>
      <c r="G2053" t="inlineStr">
        <is>
          <t>Nhân viên</t>
        </is>
      </c>
      <c r="H2053" t="inlineStr">
        <is>
          <t>24/02/2026</t>
        </is>
      </c>
      <c r="I2053" t="inlineStr">
        <is>
          <t>26/03/2026</t>
        </is>
      </c>
      <c r="J2053" t="inlineStr">
        <is>
          <t>17/03/2026</t>
        </is>
      </c>
      <c r="K2053" t="inlineStr">
        <is>
          <t>N/A</t>
        </is>
      </c>
      <c r="L2053" t="inlineStr">
        <is>
          <t>Điều Phối Dự Án, Tiếng Anh Ngành Xây Dựng, Quản Lý Tiến Độ</t>
        </is>
      </c>
      <c r="M2053" t="inlineStr">
        <is>
          <t>Canteen</t>
        </is>
      </c>
      <c r="N2053" s="8">
        <f>HYPERLINK("https://www.vietnamworks.com/phu-quoc-chuyen-vien-quan-ly-ke-hoach-tien-do-du-an-park-hyatt--2012714-jv","Xem chi tiết")</f>
        <v/>
      </c>
    </row>
    <row r="2054">
      <c r="B2054" s="9" t="n">
        <v>2052</v>
      </c>
      <c r="C2054" s="10" t="inlineStr">
        <is>
          <t>Trưởng Nhóm Kinh Doanh - Khu Vực Hồ Chí Minh</t>
        </is>
      </c>
      <c r="D2054" s="10" t="inlineStr">
        <is>
          <t>Shinhan Vietnam Finance Company Limited</t>
        </is>
      </c>
      <c r="E2054" s="10" t="inlineStr">
        <is>
          <t>Thương lượng</t>
        </is>
      </c>
      <c r="F2054" s="10" t="inlineStr">
        <is>
          <t>Hồ Chí Minh</t>
        </is>
      </c>
      <c r="G2054" s="10" t="inlineStr">
        <is>
          <t>Trưởng phòng</t>
        </is>
      </c>
      <c r="H2054" s="10" t="inlineStr">
        <is>
          <t>24/02/2026</t>
        </is>
      </c>
      <c r="I2054" s="10" t="inlineStr">
        <is>
          <t>26/03/2026</t>
        </is>
      </c>
      <c r="J2054" s="10" t="inlineStr">
        <is>
          <t>17/03/2026</t>
        </is>
      </c>
      <c r="K2054" s="10" t="inlineStr">
        <is>
          <t>N/A</t>
        </is>
      </c>
      <c r="L2054" s="10" t="inlineStr">
        <is>
          <t>Giao tiếp, Tài chính doanh nghiệp, ngân hàng, Tài Chính, Kinh Doanh</t>
        </is>
      </c>
      <c r="M2054" s="10" t="inlineStr">
        <is>
          <t>Bonus, Healthcare Plan, Paid Leave</t>
        </is>
      </c>
      <c r="N2054" s="11">
        <f>HYPERLINK("https://www.vietnamworks.com/truong-nhom-kinh-doanh-khu-vuc-ho-chi-minh--2012738-jv","Xem chi tiết")</f>
        <v/>
      </c>
      <c r="O2054" s="10" t="n"/>
    </row>
    <row r="2055">
      <c r="B2055" s="7" t="n">
        <v>2053</v>
      </c>
      <c r="C2055" t="inlineStr">
        <is>
          <t>Planning Specialist (Data &amp; Analytics)</t>
        </is>
      </c>
      <c r="D2055" t="inlineStr">
        <is>
          <t>Công Ty TNHH LEGO Manufacturing Việt Nam</t>
        </is>
      </c>
      <c r="E2055" t="inlineStr">
        <is>
          <t>Thương lượng</t>
        </is>
      </c>
      <c r="F2055" t="inlineStr">
        <is>
          <t>Hồ Chí Minh</t>
        </is>
      </c>
      <c r="G2055" t="inlineStr">
        <is>
          <t>Nhân viên</t>
        </is>
      </c>
      <c r="H2055" t="inlineStr">
        <is>
          <t>24/02/2026</t>
        </is>
      </c>
      <c r="I2055" t="inlineStr">
        <is>
          <t>26/03/2026</t>
        </is>
      </c>
      <c r="J2055" t="inlineStr">
        <is>
          <t>17/03/2026</t>
        </is>
      </c>
      <c r="K2055" t="inlineStr">
        <is>
          <t>N/A</t>
        </is>
      </c>
      <c r="L2055" t="inlineStr">
        <is>
          <t>English, Data Analysis</t>
        </is>
      </c>
      <c r="M2055" t="inlineStr">
        <is>
          <t>Bonus, Healthcare Plan, Paid Leave</t>
        </is>
      </c>
      <c r="N2055" s="8">
        <f>HYPERLINK("https://www.vietnamworks.com/planning-specialist-data-analytics-2012722-jv","Xem chi tiết")</f>
        <v/>
      </c>
    </row>
    <row r="2056">
      <c r="B2056" s="9" t="n">
        <v>2054</v>
      </c>
      <c r="C2056" s="10" t="inlineStr">
        <is>
          <t>Nhân Viên Cad/bim Cơ Điện</t>
        </is>
      </c>
      <c r="D2056" s="10" t="inlineStr">
        <is>
          <t>Công Ty TNHH Kinden Việt Nam</t>
        </is>
      </c>
      <c r="E2056" s="10" t="inlineStr">
        <is>
          <t>$$ 600-1,200 /tháng</t>
        </is>
      </c>
      <c r="F2056" s="10" t="inlineStr">
        <is>
          <t>Hồ Chí Minh</t>
        </is>
      </c>
      <c r="G2056" s="10" t="inlineStr">
        <is>
          <t>Nhân viên</t>
        </is>
      </c>
      <c r="H2056" s="10" t="inlineStr">
        <is>
          <t>24/02/2026</t>
        </is>
      </c>
      <c r="I2056" s="10" t="inlineStr">
        <is>
          <t>26/03/2026</t>
        </is>
      </c>
      <c r="J2056" s="10" t="inlineStr">
        <is>
          <t>17/03/2026</t>
        </is>
      </c>
      <c r="K2056" s="10" t="inlineStr">
        <is>
          <t>N/A</t>
        </is>
      </c>
      <c r="L2056" s="10" t="inlineStr">
        <is>
          <t>Revit, Cơ Điện, AutoCAD, MEP, BIM</t>
        </is>
      </c>
      <c r="M2056" s="10" t="inlineStr">
        <is>
          <t>Bonus, Healthcare Plan, Awards</t>
        </is>
      </c>
      <c r="N2056" s="11">
        <f>HYPERLINK("https://www.vietnamworks.com/nhan-vien-cad-bim-co-dien--2012718-jv","Xem chi tiết")</f>
        <v/>
      </c>
      <c r="O2056" s="10" t="n"/>
    </row>
    <row r="2057">
      <c r="B2057" s="7" t="n">
        <v>2055</v>
      </c>
      <c r="C2057" t="inlineStr">
        <is>
          <t>Kỹ Sư HVAC - Làm Việc Tại Hà Nam - Ưu Tiên Sinh Viên Mới Tốt Nghiệp</t>
        </is>
      </c>
      <c r="D2057" t="inlineStr">
        <is>
          <t>Công Ty TNHH Công Nghệ Công Trình Sheng Huei</t>
        </is>
      </c>
      <c r="E2057" t="inlineStr">
        <is>
          <t>Thương lượng</t>
        </is>
      </c>
      <c r="F2057" t="inlineStr">
        <is>
          <t>Hà Nội, Hà Nam, Ninh Bình</t>
        </is>
      </c>
      <c r="G2057" t="inlineStr">
        <is>
          <t>Mới Tốt Nghiệp</t>
        </is>
      </c>
      <c r="H2057" t="inlineStr">
        <is>
          <t>24/02/2026</t>
        </is>
      </c>
      <c r="I2057" t="inlineStr">
        <is>
          <t>26/03/2026</t>
        </is>
      </c>
      <c r="J2057" t="inlineStr">
        <is>
          <t>17/03/2026</t>
        </is>
      </c>
      <c r="K2057" t="inlineStr">
        <is>
          <t>N/A</t>
        </is>
      </c>
      <c r="L2057" t="inlineStr">
        <is>
          <t>AutoCAD, Cấp Thoát Nước, HVAC, MEP, PCCC</t>
        </is>
      </c>
      <c r="M2057" t="inlineStr">
        <is>
          <t>Bonus, Healthcare Plan, Awards</t>
        </is>
      </c>
      <c r="N2057" s="8">
        <f>HYPERLINK("https://www.vietnamworks.com/ky-su-hvac-lam-viec-tai-ha-nam-uu-tien-sinh-vien-moi-tot-nghiep-2012747-jv","Xem chi tiết")</f>
        <v/>
      </c>
    </row>
    <row r="2058">
      <c r="B2058" s="9" t="n">
        <v>2056</v>
      </c>
      <c r="C2058" s="10" t="inlineStr">
        <is>
          <t>Kỹ Sư Cấp Thoát Nước, PCCC - Làm Việc Tại Hà Nam - Ưu Tiên Sinh Viên Mới Tốt Nghiệp</t>
        </is>
      </c>
      <c r="D2058" s="10" t="inlineStr">
        <is>
          <t>Công Ty TNHH Công Nghệ Công Trình Sheng Huei</t>
        </is>
      </c>
      <c r="E2058" s="10" t="inlineStr">
        <is>
          <t>Thương lượng</t>
        </is>
      </c>
      <c r="F2058" s="10" t="inlineStr">
        <is>
          <t>Hà Nội, Hà Nam, Ninh Bình</t>
        </is>
      </c>
      <c r="G2058" s="10" t="inlineStr">
        <is>
          <t>Nhân viên</t>
        </is>
      </c>
      <c r="H2058" s="10" t="inlineStr">
        <is>
          <t>24/02/2026</t>
        </is>
      </c>
      <c r="I2058" s="10" t="inlineStr">
        <is>
          <t>26/03/2026</t>
        </is>
      </c>
      <c r="J2058" s="10" t="inlineStr">
        <is>
          <t>17/03/2026</t>
        </is>
      </c>
      <c r="K2058" s="10" t="inlineStr">
        <is>
          <t>N/A</t>
        </is>
      </c>
      <c r="L2058" s="10" t="inlineStr">
        <is>
          <t>An Toàn Công Trường, ATLĐ, Chứng chỉ An toàn lao động, HSE, PCCC</t>
        </is>
      </c>
      <c r="M2058" s="10" t="inlineStr">
        <is>
          <t>Bonus, Healthcare Plan, Awards</t>
        </is>
      </c>
      <c r="N2058" s="11">
        <f>HYPERLINK("https://www.vietnamworks.com/ky-su-cap-thoat-nuoc-pccc-lam-viec-tai-ha-nam-uu-tien-sinh-vien-moi-tot-nghiep-2012754-jv","Xem chi tiết")</f>
        <v/>
      </c>
      <c r="O2058" s="10" t="n"/>
    </row>
    <row r="2059">
      <c r="B2059" s="7" t="n">
        <v>2057</v>
      </c>
      <c r="C2059" t="inlineStr">
        <is>
          <t>Nhân Viên Kế Toán Công Nợ Schools Link</t>
        </is>
      </c>
      <c r="D2059" t="inlineStr">
        <is>
          <t>Language Link Vietnam</t>
        </is>
      </c>
      <c r="E2059" t="inlineStr">
        <is>
          <t>$$ 450-550 /tháng</t>
        </is>
      </c>
      <c r="F2059" t="inlineStr">
        <is>
          <t>Hà Nội</t>
        </is>
      </c>
      <c r="G2059" t="inlineStr">
        <is>
          <t>Nhân viên</t>
        </is>
      </c>
      <c r="H2059" t="inlineStr">
        <is>
          <t>24/02/2026</t>
        </is>
      </c>
      <c r="I2059" t="inlineStr">
        <is>
          <t>26/03/2026</t>
        </is>
      </c>
      <c r="J2059" t="inlineStr">
        <is>
          <t>17/03/2026</t>
        </is>
      </c>
      <c r="K2059" t="inlineStr">
        <is>
          <t>N/A</t>
        </is>
      </c>
      <c r="L2059" t="inlineStr">
        <is>
          <t>Accountant, Communications</t>
        </is>
      </c>
      <c r="M2059" t="inlineStr">
        <is>
          <t>Bonus, Healthcare Plan, Paid Leave</t>
        </is>
      </c>
      <c r="N2059" s="8">
        <f>HYPERLINK("https://www.vietnamworks.com/nhan-vien-ke-toan-cong-no-schools-link-2012758-jv","Xem chi tiết")</f>
        <v/>
      </c>
    </row>
    <row r="2060">
      <c r="B2060" s="9" t="n">
        <v>2058</v>
      </c>
      <c r="C2060" s="10" t="inlineStr">
        <is>
          <t>Chuyên Viên Pháp Chế Và Tuân Thủ</t>
        </is>
      </c>
      <c r="D2060" s="10" t="inlineStr">
        <is>
          <t>Công Ty Cổ Phần Chứng Khoán Asam</t>
        </is>
      </c>
      <c r="E2060" s="10" t="inlineStr">
        <is>
          <t>Thương lượng</t>
        </is>
      </c>
      <c r="F2060" s="10" t="inlineStr">
        <is>
          <t>Hồ Chí Minh</t>
        </is>
      </c>
      <c r="G2060" s="10" t="inlineStr">
        <is>
          <t>Nhân viên</t>
        </is>
      </c>
      <c r="H2060" s="10" t="inlineStr">
        <is>
          <t>24/02/2026</t>
        </is>
      </c>
      <c r="I2060" s="10" t="inlineStr">
        <is>
          <t>26/03/2026</t>
        </is>
      </c>
      <c r="J2060" s="10" t="inlineStr">
        <is>
          <t>17/03/2026</t>
        </is>
      </c>
      <c r="K2060" s="10" t="inlineStr">
        <is>
          <t>N/A</t>
        </is>
      </c>
      <c r="L2060" s="10" t="inlineStr">
        <is>
          <t>Luật, Tiếng Anh, Giám Sát Tuân Thủ, Pháp Chế, Securities Market Knowledge</t>
        </is>
      </c>
      <c r="M2060" s="10" t="inlineStr">
        <is>
          <t>Bonus, Healthcare Plan, Training, Laptop, Others</t>
        </is>
      </c>
      <c r="N2060" s="11">
        <f>HYPERLINK("https://www.vietnamworks.com/chuyen-vien-phap-che-va-tuan-thu-2012742-jv","Xem chi tiết")</f>
        <v/>
      </c>
      <c r="O2060" s="10" t="n"/>
    </row>
    <row r="2061">
      <c r="B2061" s="7" t="n">
        <v>2059</v>
      </c>
      <c r="C2061" t="inlineStr">
        <is>
          <t>[THASCO Chi Nhánh Miền Bắc] Tuyển dụng ADMIN - Hành Chính &amp; Xử Lý Đơn Hàng</t>
        </is>
      </c>
      <c r="D2061" t="inlineStr">
        <is>
          <t>CÔNG TY TNHH THASCO INTERNATIONAL</t>
        </is>
      </c>
      <c r="E2061" t="inlineStr">
        <is>
          <t>Thương lượng</t>
        </is>
      </c>
      <c r="F2061" t="inlineStr">
        <is>
          <t>Hà Nội</t>
        </is>
      </c>
      <c r="G2061" t="inlineStr">
        <is>
          <t>Nhân viên</t>
        </is>
      </c>
      <c r="H2061" t="inlineStr">
        <is>
          <t>24/02/2026</t>
        </is>
      </c>
      <c r="I2061" t="inlineStr">
        <is>
          <t>26/03/2026</t>
        </is>
      </c>
      <c r="J2061" t="inlineStr">
        <is>
          <t>17/03/2026</t>
        </is>
      </c>
      <c r="K2061" t="inlineStr">
        <is>
          <t>N/A</t>
        </is>
      </c>
      <c r="L2061" t="inlineStr">
        <is>
          <t>Hành Chính, Kế Toán, Quản Trị Kinh Doanh, Tiếng Anh Căn Bản, Vi tính văn phòng</t>
        </is>
      </c>
      <c r="M2061" t="inlineStr">
        <is>
          <t>Bonus, Healthcare Plan, Travel Opportunities, Others</t>
        </is>
      </c>
      <c r="N2061" s="8">
        <f>HYPERLINK("https://www.vietnamworks.com/thasco-chi-nhanh-mien-bac-tuyen-dung-admin-hanh-chinh-and-xu-ly-djon-hang-2012748-jv","Xem chi tiết")</f>
        <v/>
      </c>
    </row>
    <row r="2062">
      <c r="B2062" s="9" t="n">
        <v>2060</v>
      </c>
      <c r="C2062" s="10" t="inlineStr">
        <is>
          <t>Trưởng Phòng Kinh Doanh Công Ty Nhật Tại HCM</t>
        </is>
      </c>
      <c r="D2062" s="10" t="inlineStr">
        <is>
          <t>CÔNG TY TNHH STK ENG</t>
        </is>
      </c>
      <c r="E2062" s="10" t="inlineStr">
        <is>
          <t>Thương lượng</t>
        </is>
      </c>
      <c r="F2062" s="10" t="inlineStr">
        <is>
          <t>Hồ Chí Minh</t>
        </is>
      </c>
      <c r="G2062" s="10" t="inlineStr">
        <is>
          <t>Trưởng phòng</t>
        </is>
      </c>
      <c r="H2062" s="10" t="inlineStr">
        <is>
          <t>24/02/2026</t>
        </is>
      </c>
      <c r="I2062" s="10" t="inlineStr">
        <is>
          <t>26/03/2026</t>
        </is>
      </c>
      <c r="J2062" s="10" t="inlineStr">
        <is>
          <t>17/03/2026</t>
        </is>
      </c>
      <c r="K2062" s="10" t="inlineStr">
        <is>
          <t>N/A</t>
        </is>
      </c>
      <c r="L2062" s="10" t="inlineStr">
        <is>
          <t>Chăm Sóc Khách Hàng, Kinh Doanh Cơ Khí, Quản Lý Kinh Doanh, Quản Trị Kinh Doanh, Tìm Kiếm Khách Hàng</t>
        </is>
      </c>
      <c r="M2062" s="10" t="inlineStr">
        <is>
          <t>Bonus, Healthcare Plan, Training, Others</t>
        </is>
      </c>
      <c r="N2062" s="11">
        <f>HYPERLINK("https://www.vietnamworks.com/truong-phong-kinh-doanh-cong-ty-nhat-tai-hcm-2012745-jv","Xem chi tiết")</f>
        <v/>
      </c>
      <c r="O2062" s="10" t="n"/>
    </row>
    <row r="2063">
      <c r="B2063" s="7" t="n">
        <v>2061</v>
      </c>
      <c r="C2063" t="inlineStr">
        <is>
          <t>Giám Đốc Tài Chính Kế Toán</t>
        </is>
      </c>
      <c r="D2063" t="inlineStr">
        <is>
          <t>CÔNG TY CỔ PHẦN KINH DOANH VÀ DỊCH VỤ BẤT ĐỘNG SẢN REALTY HOLDINGS</t>
        </is>
      </c>
      <c r="E2063" t="inlineStr">
        <is>
          <t>$$ 40tr-80tr /tháng</t>
        </is>
      </c>
      <c r="F2063" t="inlineStr">
        <is>
          <t>Hồ Chí Minh</t>
        </is>
      </c>
      <c r="G2063" t="inlineStr">
        <is>
          <t>Giám Đốc và Cấp Cao Hơn</t>
        </is>
      </c>
      <c r="H2063" t="inlineStr">
        <is>
          <t>24/02/2026</t>
        </is>
      </c>
      <c r="I2063" t="inlineStr">
        <is>
          <t>26/03/2026</t>
        </is>
      </c>
      <c r="J2063" t="inlineStr">
        <is>
          <t>17/03/2026</t>
        </is>
      </c>
      <c r="K2063" t="inlineStr">
        <is>
          <t>N/A</t>
        </is>
      </c>
      <c r="L2063" t="inlineStr">
        <is>
          <t>Giải Quyết Vấn Đề, Kế Toán, Kiểm Toán, Tài Chính, Tin Học Văn Phòng</t>
        </is>
      </c>
      <c r="M2063" t="inlineStr">
        <is>
          <t>Bonus, Healthcare Plan, Laptop, Canteen</t>
        </is>
      </c>
      <c r="N2063" s="8">
        <f>HYPERLINK("https://www.vietnamworks.com/giam-djoc-tai-chinh-ke-toan-2012761-jv","Xem chi tiết")</f>
        <v/>
      </c>
    </row>
    <row r="2064">
      <c r="B2064" s="9" t="n">
        <v>2062</v>
      </c>
      <c r="C2064" s="10" t="inlineStr">
        <is>
          <t>Trưởng Nhóm Kinh Doanh Kênh Trả Góp - Củ Chi</t>
        </is>
      </c>
      <c r="D2064" s="10" t="inlineStr">
        <is>
          <t>Shinhan Vietnam Finance Company Limited</t>
        </is>
      </c>
      <c r="E2064" s="10" t="inlineStr">
        <is>
          <t>Thương lượng</t>
        </is>
      </c>
      <c r="F2064" s="10" t="inlineStr">
        <is>
          <t>Hồ Chí Minh</t>
        </is>
      </c>
      <c r="G2064" s="10" t="inlineStr">
        <is>
          <t>Trưởng phòng</t>
        </is>
      </c>
      <c r="H2064" s="10" t="inlineStr">
        <is>
          <t>24/02/2026</t>
        </is>
      </c>
      <c r="I2064" s="10" t="inlineStr">
        <is>
          <t>26/03/2026</t>
        </is>
      </c>
      <c r="J2064" s="10" t="inlineStr">
        <is>
          <t>17/03/2026</t>
        </is>
      </c>
      <c r="K2064" s="10" t="inlineStr">
        <is>
          <t>N/A</t>
        </is>
      </c>
      <c r="L2064" s="10" t="inlineStr">
        <is>
          <t>Giao tiếp, Tài chính doanh nghiệp, ngân hàng, Tài Chính, Kinh Doanh</t>
        </is>
      </c>
      <c r="M2064" s="10" t="inlineStr">
        <is>
          <t>Bonus, Healthcare Plan, Paid Leave</t>
        </is>
      </c>
      <c r="N2064" s="11">
        <f>HYPERLINK("https://www.vietnamworks.com/truong-nhom-kinh-doanh-kenh-tra-gop-cu-chi-2012755-jv","Xem chi tiết")</f>
        <v/>
      </c>
      <c r="O2064" s="10" t="n"/>
    </row>
    <row r="2065">
      <c r="B2065" s="7" t="n">
        <v>2063</v>
      </c>
      <c r="C2065" t="inlineStr">
        <is>
          <t>Trợ Lý Tiếng Trung Phỏng Vấn Đi Làm Ngay</t>
        </is>
      </c>
      <c r="D2065" t="inlineStr">
        <is>
          <t>Công Ty TNHH Công Nghệ Công Trình Sheng Huei</t>
        </is>
      </c>
      <c r="E2065" t="inlineStr">
        <is>
          <t>Thương lượng</t>
        </is>
      </c>
      <c r="F2065" t="inlineStr">
        <is>
          <t>Hà Nam, Ninh Bình, Hà Nội</t>
        </is>
      </c>
      <c r="G2065" t="inlineStr">
        <is>
          <t>Mới Tốt Nghiệp</t>
        </is>
      </c>
      <c r="H2065" t="inlineStr">
        <is>
          <t>24/02/2026</t>
        </is>
      </c>
      <c r="I2065" t="inlineStr">
        <is>
          <t>26/03/2026</t>
        </is>
      </c>
      <c r="J2065" t="inlineStr">
        <is>
          <t>17/03/2026</t>
        </is>
      </c>
      <c r="K2065" t="inlineStr">
        <is>
          <t>N/A</t>
        </is>
      </c>
      <c r="L2065" t="inlineStr">
        <is>
          <t>Tiếng Trung, Tin Học Văn Phòng, Phiên Dịch, Lưu Trữ Giấy Tờ, Hành Chính</t>
        </is>
      </c>
      <c r="M2065" t="inlineStr">
        <is>
          <t>Bonus, Healthcare Plan, Awards, Others</t>
        </is>
      </c>
      <c r="N2065" s="8">
        <f>HYPERLINK("https://www.vietnamworks.com/tro-ly-tieng-trung-phong-van-dji-lam-ngay-2012752-jv","Xem chi tiết")</f>
        <v/>
      </c>
    </row>
    <row r="2066">
      <c r="B2066" s="9" t="n">
        <v>2064</v>
      </c>
      <c r="C2066" s="10" t="inlineStr">
        <is>
          <t>Kỹ Sư Cơ Khí Có Kinh Nghiệm Công Ty Nhật Tại HCM</t>
        </is>
      </c>
      <c r="D2066" s="10" t="inlineStr">
        <is>
          <t>CÔNG TY TNHH STK ENG</t>
        </is>
      </c>
      <c r="E2066" s="10" t="inlineStr">
        <is>
          <t>Thương lượng</t>
        </is>
      </c>
      <c r="F2066" s="10" t="inlineStr">
        <is>
          <t>Hồ Chí Minh</t>
        </is>
      </c>
      <c r="G2066" s="10" t="inlineStr">
        <is>
          <t>Nhân viên</t>
        </is>
      </c>
      <c r="H2066" s="10" t="inlineStr">
        <is>
          <t>24/02/2026</t>
        </is>
      </c>
      <c r="I2066" s="10" t="inlineStr">
        <is>
          <t>26/03/2026</t>
        </is>
      </c>
      <c r="J2066" s="10" t="inlineStr">
        <is>
          <t>17/03/2026</t>
        </is>
      </c>
      <c r="K2066" s="10" t="inlineStr">
        <is>
          <t>N/A</t>
        </is>
      </c>
      <c r="L2066" s="10" t="inlineStr">
        <is>
          <t>Cơ Khí, AutoCAD, SolidWorks, Tiếng Anh, Phát Triển Sản Phẩm</t>
        </is>
      </c>
      <c r="M2066" s="10" t="inlineStr">
        <is>
          <t>Healthcare Plan, Paid Leave, Training, Others</t>
        </is>
      </c>
      <c r="N2066" s="11">
        <f>HYPERLINK("https://www.vietnamworks.com/ky-su-co-khi-co-kinh-nghiem-cong-ty-nhat-tai-hcm-2012751-jv","Xem chi tiết")</f>
        <v/>
      </c>
      <c r="O2066" s="10" t="n"/>
    </row>
    <row r="2067">
      <c r="B2067" s="7" t="n">
        <v>2065</v>
      </c>
      <c r="C2067" t="inlineStr">
        <is>
          <t>Giám Đốc Phòng Kinh Doanh (KHCN) - VIB Vùng Tây Hà Nội</t>
        </is>
      </c>
      <c r="D2067" t="inlineStr">
        <is>
          <t>Ngân hàng TMCP Quốc Tế Việt Nam</t>
        </is>
      </c>
      <c r="E2067" t="inlineStr">
        <is>
          <t>$$ 1,000-5,000 /tháng</t>
        </is>
      </c>
      <c r="F2067" t="inlineStr">
        <is>
          <t>Hà Nội</t>
        </is>
      </c>
      <c r="G2067" t="inlineStr">
        <is>
          <t>Giám Đốc và Cấp Cao Hơn</t>
        </is>
      </c>
      <c r="H2067" t="inlineStr">
        <is>
          <t>24/02/2026</t>
        </is>
      </c>
      <c r="I2067" t="inlineStr">
        <is>
          <t>26/03/2026</t>
        </is>
      </c>
      <c r="J2067" t="inlineStr">
        <is>
          <t>17/03/2026</t>
        </is>
      </c>
      <c r="K2067" t="inlineStr">
        <is>
          <t>N/A</t>
        </is>
      </c>
      <c r="L2067" t="inlineStr">
        <is>
          <t>Tín Dụng Bán Lẻ, Quản Trị Rủi Ro, Xây Dựng Mối Quan Hệ, Quản Lý Kinh Doanh, Quản Lý Danh Mục</t>
        </is>
      </c>
      <c r="M2067" t="inlineStr">
        <is>
          <t>Bonus</t>
        </is>
      </c>
      <c r="N2067" s="8">
        <f>HYPERLINK("https://www.vietnamworks.com/giam-doc-phong-kinh-doanh-khcn-vib-vung-tay-ha-noi-2012766-jv","Xem chi tiết")</f>
        <v/>
      </c>
    </row>
    <row r="2068">
      <c r="B2068" s="9" t="n">
        <v>2066</v>
      </c>
      <c r="C2068" s="10" t="inlineStr">
        <is>
          <t>Phiên Dịch Hiện Trường Tiếng Trung</t>
        </is>
      </c>
      <c r="D2068" s="10" t="inlineStr">
        <is>
          <t>Công Ty TNHH Công Nghệ Công Trình Sheng Huei</t>
        </is>
      </c>
      <c r="E2068" s="10" t="inlineStr">
        <is>
          <t>Thương lượng</t>
        </is>
      </c>
      <c r="F2068" s="10" t="inlineStr">
        <is>
          <t>Hà Nam, Ninh Bình, Hà Nội</t>
        </is>
      </c>
      <c r="G2068" s="10" t="inlineStr">
        <is>
          <t>Nhân viên</t>
        </is>
      </c>
      <c r="H2068" s="10" t="inlineStr">
        <is>
          <t>24/02/2026</t>
        </is>
      </c>
      <c r="I2068" s="10" t="inlineStr">
        <is>
          <t>26/03/2026</t>
        </is>
      </c>
      <c r="J2068" s="10" t="inlineStr">
        <is>
          <t>17/03/2026</t>
        </is>
      </c>
      <c r="K2068" s="10" t="inlineStr">
        <is>
          <t>N/A</t>
        </is>
      </c>
      <c r="L2068" s="10" t="inlineStr">
        <is>
          <t>Biên Dịch Tiếng Trung, Tiếng Trung, Đọc Viết Tiếng Trung, Giao Tiếp, Phiên Dịch Hiện Trường</t>
        </is>
      </c>
      <c r="M2068" s="10" t="inlineStr">
        <is>
          <t>Bonus, Healthcare Plan, Awards, Team Activities, Others</t>
        </is>
      </c>
      <c r="N2068" s="11">
        <f>HYPERLINK("https://www.vietnamworks.com/phien-dich-hien-truong-tieng-trung-2012750-jv","Xem chi tiết")</f>
        <v/>
      </c>
      <c r="O2068" s="10" t="n"/>
    </row>
    <row r="2069">
      <c r="B2069" s="7" t="n">
        <v>2067</v>
      </c>
      <c r="C2069" t="inlineStr">
        <is>
          <t>Financial Controller</t>
        </is>
      </c>
      <c r="D2069" t="inlineStr">
        <is>
          <t>Công Ty Cổ Phần Uniben</t>
        </is>
      </c>
      <c r="E2069" t="inlineStr">
        <is>
          <t>Thương lượng</t>
        </is>
      </c>
      <c r="F2069" t="inlineStr">
        <is>
          <t>Hồ Chí Minh</t>
        </is>
      </c>
      <c r="G2069" t="inlineStr">
        <is>
          <t>Nhân viên</t>
        </is>
      </c>
      <c r="H2069" t="inlineStr">
        <is>
          <t>24/02/2026</t>
        </is>
      </c>
      <c r="I2069" t="inlineStr">
        <is>
          <t>26/03/2026</t>
        </is>
      </c>
      <c r="J2069" t="inlineStr">
        <is>
          <t>17/03/2026</t>
        </is>
      </c>
      <c r="K2069" t="inlineStr">
        <is>
          <t>N/A</t>
        </is>
      </c>
      <c r="L2069" t="inlineStr">
        <is>
          <t>Cost Analysis, Financial Planning, Financial Modeling, Problem-solving</t>
        </is>
      </c>
      <c r="M2069" t="inlineStr">
        <is>
          <t>Bonus, Training, Canteen, Others</t>
        </is>
      </c>
      <c r="N2069" s="8">
        <f>HYPERLINK("https://www.vietnamworks.com/financial-controller-2012765-jv","Xem chi tiết")</f>
        <v/>
      </c>
    </row>
    <row r="2070">
      <c r="B2070" s="9" t="n">
        <v>2068</v>
      </c>
      <c r="C2070" s="10" t="inlineStr">
        <is>
          <t>Nhân Viên Trade Marketing</t>
        </is>
      </c>
      <c r="D2070" s="10" t="inlineStr">
        <is>
          <t>Công Ty TNHH Dược Phẩm Ích Nhân</t>
        </is>
      </c>
      <c r="E2070" s="10" t="inlineStr">
        <is>
          <t>12tr-15tr ₫/tháng</t>
        </is>
      </c>
      <c r="F2070" s="10" t="inlineStr">
        <is>
          <t>Hà Nội</t>
        </is>
      </c>
      <c r="G2070" s="10" t="inlineStr">
        <is>
          <t>Nhân viên</t>
        </is>
      </c>
      <c r="H2070" s="10" t="inlineStr">
        <is>
          <t>24/02/2026</t>
        </is>
      </c>
      <c r="I2070" s="10" t="inlineStr">
        <is>
          <t>26/03/2026</t>
        </is>
      </c>
      <c r="J2070" s="10" t="inlineStr">
        <is>
          <t>17/03/2026</t>
        </is>
      </c>
      <c r="K2070" s="10" t="inlineStr">
        <is>
          <t>N/A</t>
        </is>
      </c>
      <c r="L2070" s="10" t="inlineStr">
        <is>
          <t>Trade Marketing, Data Analysis, Time Management, Teamwork, Communication</t>
        </is>
      </c>
      <c r="M2070" s="10" t="inlineStr">
        <is>
          <t>Bonus, Healthcare Plan, Paid Leave, Training, Others</t>
        </is>
      </c>
      <c r="N2070" s="11">
        <f>HYPERLINK("https://www.vietnamworks.com/nhan-vien-trade-marketing--2012762-jv","Xem chi tiết")</f>
        <v/>
      </c>
      <c r="O2070" s="10" t="n"/>
    </row>
    <row r="2071">
      <c r="B2071" s="7" t="n">
        <v>2069</v>
      </c>
      <c r="C2071" t="inlineStr">
        <is>
          <t>CV Chính Kiểm Soát Kế hoạch Tiến Độ - Ban QLDA Tây Hồ Tây</t>
        </is>
      </c>
      <c r="D2071" t="inlineStr">
        <is>
          <t>Công Ty Cổ Phần Tập Đoàn Thái Bình Dương</t>
        </is>
      </c>
      <c r="E2071" t="inlineStr">
        <is>
          <t>Thương lượng</t>
        </is>
      </c>
      <c r="F2071" t="inlineStr">
        <is>
          <t>Hà Nội</t>
        </is>
      </c>
      <c r="G2071" t="inlineStr">
        <is>
          <t>Nhân viên</t>
        </is>
      </c>
      <c r="H2071" t="inlineStr">
        <is>
          <t>24/02/2026</t>
        </is>
      </c>
      <c r="I2071" t="inlineStr">
        <is>
          <t>26/03/2026</t>
        </is>
      </c>
      <c r="J2071" t="inlineStr">
        <is>
          <t>17/03/2026</t>
        </is>
      </c>
      <c r="K2071" t="inlineStr">
        <is>
          <t>N/A</t>
        </is>
      </c>
      <c r="L2071" t="inlineStr">
        <is>
          <t>Giao Tiếp, Kiểm Soát Tiến Độ Thi Công, Lập Kế Hoạch, Pháp Lý Xây Dựng, Quản Lý Dự Án</t>
        </is>
      </c>
      <c r="M2071" t="inlineStr">
        <is>
          <t>Bonus, Healthcare Plan, Training, Laptop, Team Activities, Others</t>
        </is>
      </c>
      <c r="N2071" s="8">
        <f>HYPERLINK("https://www.vietnamworks.com/cv-chinh-kiem-soat-ke-hoach-tien-djo-ban-qlda-tay-ho-tay-2012767-jv","Xem chi tiết")</f>
        <v/>
      </c>
    </row>
    <row r="2072">
      <c r="B2072" s="9" t="n">
        <v>2070</v>
      </c>
      <c r="C2072" s="10" t="inlineStr">
        <is>
          <t>Chuyên Viên Phát Triển Thị Trường (B2B)</t>
        </is>
      </c>
      <c r="D2072" s="10" t="inlineStr">
        <is>
          <t>Công Ty Cổ Phần Seadent</t>
        </is>
      </c>
      <c r="E2072" s="10" t="inlineStr">
        <is>
          <t>$$ 600-900 /tháng</t>
        </is>
      </c>
      <c r="F2072" s="10" t="inlineStr">
        <is>
          <t>Hồ Chí Minh, Hà Nội</t>
        </is>
      </c>
      <c r="G2072" s="10" t="inlineStr">
        <is>
          <t>Nhân viên</t>
        </is>
      </c>
      <c r="H2072" s="10" t="inlineStr">
        <is>
          <t>24/02/2026</t>
        </is>
      </c>
      <c r="I2072" s="10" t="inlineStr">
        <is>
          <t>26/03/2026</t>
        </is>
      </c>
      <c r="J2072" s="10" t="inlineStr">
        <is>
          <t>17/03/2026</t>
        </is>
      </c>
      <c r="K2072" s="10" t="inlineStr">
        <is>
          <t>N/A</t>
        </is>
      </c>
      <c r="L2072" s="10" t="inlineStr">
        <is>
          <t>Kinh Doanh, B2B, Business Development, Phát Triển Thị Trường, Kinh Doanh Thiết Bị Y Tế</t>
        </is>
      </c>
      <c r="M2072" s="10" t="inlineStr">
        <is>
          <t>Bonus, Healthcare Plan, Travel Opportunities</t>
        </is>
      </c>
      <c r="N2072" s="11">
        <f>HYPERLINK("https://www.vietnamworks.com/chuyen-vien-phat-trien-thi-truong-b2b--2012756-jv","Xem chi tiết")</f>
        <v/>
      </c>
      <c r="O2072" s="10" t="n"/>
    </row>
    <row r="2073">
      <c r="B2073" s="7" t="n">
        <v>2071</v>
      </c>
      <c r="C2073" t="inlineStr">
        <is>
          <t>Hardline Manager (Testing/inspection/certification)</t>
        </is>
      </c>
      <c r="D2073" t="inlineStr">
        <is>
          <t>CÔNG TY TNHH PHÒNG THỬ NGHIỆM HOHENSTEIN VIETNAM</t>
        </is>
      </c>
      <c r="E2073" t="inlineStr">
        <is>
          <t>Thương lượng</t>
        </is>
      </c>
      <c r="F2073" t="inlineStr">
        <is>
          <t>Hồ Chí Minh</t>
        </is>
      </c>
      <c r="G2073" t="inlineStr">
        <is>
          <t>Trưởng phòng</t>
        </is>
      </c>
      <c r="H2073" t="inlineStr">
        <is>
          <t>24/02/2026</t>
        </is>
      </c>
      <c r="I2073" t="inlineStr">
        <is>
          <t>26/03/2026</t>
        </is>
      </c>
      <c r="J2073" t="inlineStr">
        <is>
          <t>17/03/2026</t>
        </is>
      </c>
      <c r="K2073" t="inlineStr">
        <is>
          <t>N/A</t>
        </is>
      </c>
      <c r="L2073" t="inlineStr">
        <is>
          <t>Hardlines Testing, Inspection, Certification, Laboratory, ISO 17025</t>
        </is>
      </c>
      <c r="M2073" t="inlineStr">
        <is>
          <t>Healthcare Plan, Paid Leave, Training, Team Activities, Others</t>
        </is>
      </c>
      <c r="N2073" s="8">
        <f>HYPERLINK("https://www.vietnamworks.com/hardline-manager-testing-inspection-certification-2012771-jv","Xem chi tiết")</f>
        <v/>
      </c>
    </row>
    <row r="2074">
      <c r="B2074" s="9" t="n">
        <v>2072</v>
      </c>
      <c r="C2074" s="10" t="inlineStr">
        <is>
          <t>Phó Phòng Tài Chính Kế Toán (Lương Từ 20 Triệu Trở Lên)</t>
        </is>
      </c>
      <c r="D2074" s="10" t="inlineStr">
        <is>
          <t>Công Ty Cổ Phần Đầu Tư Và Thương Mại Bắc Chương Dương</t>
        </is>
      </c>
      <c r="E2074" s="10" t="inlineStr">
        <is>
          <t>Từ 20tr ₫/tháng</t>
        </is>
      </c>
      <c r="F2074" s="10" t="inlineStr">
        <is>
          <t>Hà Nội</t>
        </is>
      </c>
      <c r="G2074" s="10" t="inlineStr">
        <is>
          <t>Nhân viên</t>
        </is>
      </c>
      <c r="H2074" s="10" t="inlineStr">
        <is>
          <t>24/02/2026</t>
        </is>
      </c>
      <c r="I2074" s="10" t="inlineStr">
        <is>
          <t>26/03/2026</t>
        </is>
      </c>
      <c r="J2074" s="10" t="inlineStr">
        <is>
          <t>17/03/2026</t>
        </is>
      </c>
      <c r="K2074" s="10" t="inlineStr">
        <is>
          <t>N/A</t>
        </is>
      </c>
      <c r="L2074" s="10" t="inlineStr">
        <is>
          <t>Báo Cáo Tài Chính, Hạch Toán, Kê Khai Thuế, Lập Ngân Sách, Tài Chính Kế Toán</t>
        </is>
      </c>
      <c r="M2074" s="10" t="inlineStr">
        <is>
          <t>Bonus, Healthcare Plan, Others</t>
        </is>
      </c>
      <c r="N2074" s="11">
        <f>HYPERLINK("https://www.vietnamworks.com/pho-phong-tai-chinh-ke-toan-luong-tu-20-trieu-tro-len-2012774-jv","Xem chi tiết")</f>
        <v/>
      </c>
      <c r="O2074" s="10" t="n"/>
    </row>
    <row r="2075">
      <c r="B2075" s="7" t="n">
        <v>2073</v>
      </c>
      <c r="C2075" t="inlineStr">
        <is>
          <t>HR Executive</t>
        </is>
      </c>
      <c r="D2075" t="inlineStr">
        <is>
          <t>Công Ty Cổ Phần Anne Hill</t>
        </is>
      </c>
      <c r="E2075" t="inlineStr">
        <is>
          <t>$$ 300-600 /tháng</t>
        </is>
      </c>
      <c r="F2075" t="inlineStr">
        <is>
          <t>Hồ Chí Minh</t>
        </is>
      </c>
      <c r="G2075" t="inlineStr">
        <is>
          <t>Nhân viên</t>
        </is>
      </c>
      <c r="H2075" t="inlineStr">
        <is>
          <t>24/02/2026</t>
        </is>
      </c>
      <c r="I2075" t="inlineStr">
        <is>
          <t>26/03/2026</t>
        </is>
      </c>
      <c r="J2075" t="inlineStr">
        <is>
          <t>17/03/2026</t>
        </is>
      </c>
      <c r="K2075" t="inlineStr">
        <is>
          <t>N/A</t>
        </is>
      </c>
      <c r="L2075" t="inlineStr">
        <is>
          <t>Recruitment, Admin Support, Compensation Management, Labor Law</t>
        </is>
      </c>
      <c r="M2075" t="inlineStr">
        <is>
          <t>Paid Leave, Training</t>
        </is>
      </c>
      <c r="N2075" s="8">
        <f>HYPERLINK("https://www.vietnamworks.com/hr-executive-2012785-jv","Xem chi tiết")</f>
        <v/>
      </c>
    </row>
    <row r="2076">
      <c r="B2076" s="9" t="n">
        <v>2074</v>
      </c>
      <c r="C2076" s="10" t="inlineStr">
        <is>
          <t>Sales Director</t>
        </is>
      </c>
      <c r="D2076" s="10" t="inlineStr">
        <is>
          <t>Công Ty Cổ Phần Prowtech International Vina</t>
        </is>
      </c>
      <c r="E2076" s="10" t="inlineStr">
        <is>
          <t>Thương lượng</t>
        </is>
      </c>
      <c r="F2076" s="10" t="inlineStr">
        <is>
          <t>Hồ Chí Minh</t>
        </is>
      </c>
      <c r="G2076" s="10" t="inlineStr">
        <is>
          <t>Giám Đốc và Cấp Cao Hơn</t>
        </is>
      </c>
      <c r="H2076" s="10" t="inlineStr">
        <is>
          <t>24/02/2026</t>
        </is>
      </c>
      <c r="I2076" s="10" t="inlineStr">
        <is>
          <t>26/03/2026</t>
        </is>
      </c>
      <c r="J2076" s="10" t="inlineStr">
        <is>
          <t>17/03/2026</t>
        </is>
      </c>
      <c r="K2076" s="10" t="inlineStr">
        <is>
          <t>N/A</t>
        </is>
      </c>
      <c r="L2076" s="10" t="inlineStr">
        <is>
          <t>Truyền Thông, Quảng Cáo, Marketing, Tiếng Anh</t>
        </is>
      </c>
      <c r="M2076" s="10" t="inlineStr">
        <is>
          <t>Bonus, Healthcare Plan, Training</t>
        </is>
      </c>
      <c r="N2076" s="11">
        <f>HYPERLINK("https://www.vietnamworks.com/sales-director--2012769-jv","Xem chi tiết")</f>
        <v/>
      </c>
      <c r="O2076" s="10" t="n"/>
    </row>
    <row r="2077">
      <c r="B2077" s="7" t="n">
        <v>2075</v>
      </c>
      <c r="C2077" t="inlineStr">
        <is>
          <t>Head Of Product (Nutra)</t>
        </is>
      </c>
      <c r="D2077" t="inlineStr">
        <is>
          <t>NEYU</t>
        </is>
      </c>
      <c r="E2077" t="inlineStr">
        <is>
          <t>Thương lượng</t>
        </is>
      </c>
      <c r="F2077" t="inlineStr">
        <is>
          <t>Hồ Chí Minh, Hà Nội</t>
        </is>
      </c>
      <c r="G2077" t="inlineStr">
        <is>
          <t>Trưởng phòng</t>
        </is>
      </c>
      <c r="H2077" t="inlineStr">
        <is>
          <t>24/02/2026</t>
        </is>
      </c>
      <c r="I2077" t="inlineStr">
        <is>
          <t>26/03/2026</t>
        </is>
      </c>
      <c r="J2077" t="inlineStr">
        <is>
          <t>17/03/2026</t>
        </is>
      </c>
      <c r="K2077" t="inlineStr">
        <is>
          <t>N/A</t>
        </is>
      </c>
      <c r="L2077" t="inlineStr">
        <is>
          <t>Nutrition, Food Science, Pharmacy, pharmaceutical, Biotechnology</t>
        </is>
      </c>
      <c r="M2077" t="inlineStr">
        <is>
          <t>Bonus, Healthcare Plan, Travel Opportunities</t>
        </is>
      </c>
      <c r="N2077" s="8">
        <f>HYPERLINK("https://www.vietnamworks.com/head-of-product-nutra-2012782-jv","Xem chi tiết")</f>
        <v/>
      </c>
    </row>
    <row r="2078">
      <c r="B2078" s="9" t="n">
        <v>2076</v>
      </c>
      <c r="C2078" s="10" t="inlineStr">
        <is>
          <t>Talent Acquisition Manager</t>
        </is>
      </c>
      <c r="D2078" s="10" t="inlineStr">
        <is>
          <t>CÔNG TY CỔ PHẦN GREENFEED VIỆT NAM</t>
        </is>
      </c>
      <c r="E2078" s="10" t="inlineStr">
        <is>
          <t>Thương lượng</t>
        </is>
      </c>
      <c r="F2078" s="10" t="inlineStr">
        <is>
          <t>Hồ Chí Minh</t>
        </is>
      </c>
      <c r="G2078" s="10" t="inlineStr">
        <is>
          <t>Trưởng phòng</t>
        </is>
      </c>
      <c r="H2078" s="10" t="inlineStr">
        <is>
          <t>24/02/2026</t>
        </is>
      </c>
      <c r="I2078" s="10" t="inlineStr">
        <is>
          <t>26/03/2026</t>
        </is>
      </c>
      <c r="J2078" s="10" t="inlineStr">
        <is>
          <t>17/03/2026</t>
        </is>
      </c>
      <c r="K2078" s="10" t="inlineStr">
        <is>
          <t>N/A</t>
        </is>
      </c>
      <c r="L2078" s="10" t="inlineStr">
        <is>
          <t>Employer Branding, Global Recruiting, Hris Experience, Interpersonal Skills, Talent Acquisition</t>
        </is>
      </c>
      <c r="M2078" s="10" t="inlineStr">
        <is>
          <t>Bonus</t>
        </is>
      </c>
      <c r="N2078" s="11">
        <f>HYPERLINK("https://www.vietnamworks.com/talent-acquisition-manager-2012775-jv","Xem chi tiết")</f>
        <v/>
      </c>
      <c r="O2078" s="10" t="n"/>
    </row>
    <row r="2079">
      <c r="B2079" s="7" t="n">
        <v>2077</v>
      </c>
      <c r="C2079" t="inlineStr">
        <is>
          <t>Online Marketing Leader (Livestream, Video&amp;affiliate)</t>
        </is>
      </c>
      <c r="D2079" t="inlineStr">
        <is>
          <t>Diana Unicharm JSC</t>
        </is>
      </c>
      <c r="E2079" t="inlineStr">
        <is>
          <t>$$ 1,500-2,000 /tháng</t>
        </is>
      </c>
      <c r="F2079" t="inlineStr">
        <is>
          <t>Hà Nội</t>
        </is>
      </c>
      <c r="G2079" t="inlineStr">
        <is>
          <t>Nhân viên</t>
        </is>
      </c>
      <c r="H2079" t="inlineStr">
        <is>
          <t>24/02/2026</t>
        </is>
      </c>
      <c r="I2079" t="inlineStr">
        <is>
          <t>26/03/2026</t>
        </is>
      </c>
      <c r="J2079" t="inlineStr">
        <is>
          <t>17/03/2026</t>
        </is>
      </c>
      <c r="K2079" t="inlineStr">
        <is>
          <t>N/A</t>
        </is>
      </c>
      <c r="L2079" t="inlineStr">
        <is>
          <t>Digital Marketing, E-Commerce Platforms Knowledge, Livestream, Online Marketing Analysis, Online Marketing Strategies</t>
        </is>
      </c>
      <c r="M2079" t="inlineStr">
        <is>
          <t>Bonus, Healthcare Plan, Paid Leave, Training, Laptop, Team Activities, Canteen</t>
        </is>
      </c>
      <c r="N2079" s="8">
        <f>HYPERLINK("https://www.vietnamworks.com/online-marketing-leader-livestream-video-affiliate-2012786-jv","Xem chi tiết")</f>
        <v/>
      </c>
    </row>
    <row r="2080">
      <c r="B2080" s="9" t="n">
        <v>2078</v>
      </c>
      <c r="C2080" s="10" t="inlineStr">
        <is>
          <t>Họa Sỹ Hoạt Hình 3D – Thiết Kế Nhân Vật, Dựng Mô Hình 3D (pm Zbrush)</t>
        </is>
      </c>
      <c r="D2080" s="10" t="inlineStr">
        <is>
          <t>Công Ty TNHH R Techno Việt Nam</t>
        </is>
      </c>
      <c r="E2080" s="10" t="inlineStr">
        <is>
          <t>$$ 13.8tr-34.5tr /tháng</t>
        </is>
      </c>
      <c r="F2080" s="10" t="inlineStr">
        <is>
          <t>Hồ Chí Minh</t>
        </is>
      </c>
      <c r="G2080" s="10" t="inlineStr">
        <is>
          <t>Nhân viên</t>
        </is>
      </c>
      <c r="H2080" s="10" t="inlineStr">
        <is>
          <t>24/02/2026</t>
        </is>
      </c>
      <c r="I2080" s="10" t="inlineStr">
        <is>
          <t>26/03/2026</t>
        </is>
      </c>
      <c r="J2080" s="10" t="inlineStr">
        <is>
          <t>17/03/2026</t>
        </is>
      </c>
      <c r="K2080" s="10" t="inlineStr">
        <is>
          <t>N/A</t>
        </is>
      </c>
      <c r="L2080" s="10" t="inlineStr">
        <is>
          <t>3D Modeling, Character Design, Pixologic ZBrush, Problem-solving</t>
        </is>
      </c>
      <c r="M2080" s="10" t="inlineStr">
        <is>
          <t>Bonus, Healthcare Plan, Paid Leave, Others</t>
        </is>
      </c>
      <c r="N2080" s="11">
        <f>HYPERLINK("https://www.vietnamworks.com/hoa-sy-hoat-hinh-3d-thiet-ke-nhan-vat-dung-mo-hinh-3d-pm-zbrush-2012783-jv","Xem chi tiết")</f>
        <v/>
      </c>
      <c r="O2080" s="10" t="n"/>
    </row>
    <row r="2081">
      <c r="B2081" s="7" t="n">
        <v>2079</v>
      </c>
      <c r="C2081" t="inlineStr">
        <is>
          <t>Merchandise Coordinator (American Furniture Company)</t>
        </is>
      </c>
      <c r="D2081" t="inlineStr">
        <is>
          <t>Living Spaces</t>
        </is>
      </c>
      <c r="E2081" t="inlineStr">
        <is>
          <t>Thương lượng</t>
        </is>
      </c>
      <c r="F2081" t="inlineStr">
        <is>
          <t>Hồ Chí Minh, Bình Dương</t>
        </is>
      </c>
      <c r="G2081" t="inlineStr">
        <is>
          <t>Mới Tốt Nghiệp</t>
        </is>
      </c>
      <c r="H2081" t="inlineStr">
        <is>
          <t>24/02/2026</t>
        </is>
      </c>
      <c r="I2081" t="inlineStr">
        <is>
          <t>26/03/2026</t>
        </is>
      </c>
      <c r="J2081" t="inlineStr">
        <is>
          <t>17/03/2026</t>
        </is>
      </c>
      <c r="K2081" t="inlineStr">
        <is>
          <t>N/A</t>
        </is>
      </c>
      <c r="L2081" t="inlineStr">
        <is>
          <t>Furniture Products, Merchandise Planning, Merchandise Sourcing, Merchandising, Retail industry knowledge</t>
        </is>
      </c>
      <c r="M2081" t="inlineStr">
        <is>
          <t>Bonus, Paid Leave, Team Activities</t>
        </is>
      </c>
      <c r="N2081" s="8">
        <f>HYPERLINK("https://www.vietnamworks.com/merchandise-coordinator-american-furniture-company-2012791-jv","Xem chi tiết")</f>
        <v/>
      </c>
    </row>
    <row r="2082">
      <c r="B2082" s="9" t="n">
        <v>2080</v>
      </c>
      <c r="C2082" s="10" t="inlineStr">
        <is>
          <t>Sales Manager - Trưởng Phòng Kinh Doanh Trực Tiếp</t>
        </is>
      </c>
      <c r="D2082" s="10" t="inlineStr">
        <is>
          <t>Shinhan Vietnam Finance Company Limited</t>
        </is>
      </c>
      <c r="E2082" s="10" t="inlineStr">
        <is>
          <t>Thương lượng</t>
        </is>
      </c>
      <c r="F2082" s="10" t="inlineStr">
        <is>
          <t>Hồ Chí Minh</t>
        </is>
      </c>
      <c r="G2082" s="10" t="inlineStr">
        <is>
          <t>Trưởng phòng</t>
        </is>
      </c>
      <c r="H2082" s="10" t="inlineStr">
        <is>
          <t>24/02/2026</t>
        </is>
      </c>
      <c r="I2082" s="10" t="inlineStr">
        <is>
          <t>26/03/2026</t>
        </is>
      </c>
      <c r="J2082" s="10" t="inlineStr">
        <is>
          <t>17/03/2026</t>
        </is>
      </c>
      <c r="K2082" s="10" t="inlineStr">
        <is>
          <t>N/A</t>
        </is>
      </c>
      <c r="L2082" s="10" t="inlineStr">
        <is>
          <t>Sales Management, Team management skills, Productivity Improvement, Risk Evaluation, Recruitment Planning</t>
        </is>
      </c>
      <c r="M2082" s="10" t="inlineStr">
        <is>
          <t>Bonus, Healthcare Plan, Paid Leave</t>
        </is>
      </c>
      <c r="N2082" s="11">
        <f>HYPERLINK("https://www.vietnamworks.com/sales-manager-truong-phong-kinh-doanh-truc-tiep--2012768-jv","Xem chi tiết")</f>
        <v/>
      </c>
      <c r="O2082" s="10" t="n"/>
    </row>
    <row r="2083">
      <c r="B2083" s="7" t="n">
        <v>2081</v>
      </c>
      <c r="C2083" t="inlineStr">
        <is>
          <t>Sales Engineer</t>
        </is>
      </c>
      <c r="D2083" t="inlineStr">
        <is>
          <t>Pebsteel Buildings Co., Ltd.</t>
        </is>
      </c>
      <c r="E2083" t="inlineStr">
        <is>
          <t>Thương lượng</t>
        </is>
      </c>
      <c r="F2083" t="inlineStr">
        <is>
          <t>Hồ Chí Minh</t>
        </is>
      </c>
      <c r="G2083" t="inlineStr">
        <is>
          <t>Nhân viên</t>
        </is>
      </c>
      <c r="H2083" t="inlineStr">
        <is>
          <t>24/02/2026</t>
        </is>
      </c>
      <c r="I2083" t="inlineStr">
        <is>
          <t>26/03/2026</t>
        </is>
      </c>
      <c r="J2083" t="inlineStr">
        <is>
          <t>17/03/2026</t>
        </is>
      </c>
      <c r="K2083" t="inlineStr">
        <is>
          <t>N/A</t>
        </is>
      </c>
      <c r="L2083" t="inlineStr">
        <is>
          <t>Kinh Doanh, Sales Engineering, Bán Hàng, Bán Hàng Kỹ Thuật, Xây Dựng</t>
        </is>
      </c>
      <c r="M2083" t="inlineStr">
        <is>
          <t>Bonus, Healthcare Plan, Team Activities</t>
        </is>
      </c>
      <c r="N2083" s="8">
        <f>HYPERLINK("https://www.vietnamworks.com/sales-engineer--2012788-jv","Xem chi tiết")</f>
        <v/>
      </c>
    </row>
    <row r="2084">
      <c r="B2084" s="9" t="n">
        <v>2082</v>
      </c>
      <c r="C2084" s="10" t="inlineStr">
        <is>
          <t>Business Development Specialist (Oversea Market)</t>
        </is>
      </c>
      <c r="D2084" s="10" t="inlineStr">
        <is>
          <t>Pebsteel Buildings Co., Ltd.</t>
        </is>
      </c>
      <c r="E2084" s="10" t="inlineStr">
        <is>
          <t>Thương lượng</t>
        </is>
      </c>
      <c r="F2084" s="10" t="inlineStr">
        <is>
          <t>Hồ Chí Minh</t>
        </is>
      </c>
      <c r="G2084" s="10" t="inlineStr">
        <is>
          <t>Nhân viên</t>
        </is>
      </c>
      <c r="H2084" s="10" t="inlineStr">
        <is>
          <t>24/02/2026</t>
        </is>
      </c>
      <c r="I2084" s="10" t="inlineStr">
        <is>
          <t>26/03/2026</t>
        </is>
      </c>
      <c r="J2084" s="10" t="inlineStr">
        <is>
          <t>17/03/2026</t>
        </is>
      </c>
      <c r="K2084" s="10" t="inlineStr">
        <is>
          <t>N/A</t>
        </is>
      </c>
      <c r="L2084" s="10" t="inlineStr">
        <is>
          <t>Business Developing, Kinh Doanh, Kinh Doanh Quốc Tế</t>
        </is>
      </c>
      <c r="M2084" s="10" t="inlineStr">
        <is>
          <t>Bonus, Healthcare Plan, Team Activities</t>
        </is>
      </c>
      <c r="N2084" s="11">
        <f>HYPERLINK("https://www.vietnamworks.com/business-development-specialist-oversea-market-2012793-jv","Xem chi tiết")</f>
        <v/>
      </c>
      <c r="O2084" s="10" t="n"/>
    </row>
    <row r="2085">
      <c r="B2085" s="7" t="n">
        <v>2083</v>
      </c>
      <c r="C2085" t="inlineStr">
        <is>
          <t>Trưởng Nhóm Kinh Doanh Kênh Tiền Mặt - Khu Vực Cần Thơ</t>
        </is>
      </c>
      <c r="D2085" t="inlineStr">
        <is>
          <t>Shinhan Vietnam Finance Company Limited</t>
        </is>
      </c>
      <c r="E2085" t="inlineStr">
        <is>
          <t>Thương lượng</t>
        </is>
      </c>
      <c r="F2085" t="inlineStr">
        <is>
          <t>Cần Thơ</t>
        </is>
      </c>
      <c r="G2085" t="inlineStr">
        <is>
          <t>Trưởng phòng</t>
        </is>
      </c>
      <c r="H2085" t="inlineStr">
        <is>
          <t>24/02/2026</t>
        </is>
      </c>
      <c r="I2085" t="inlineStr">
        <is>
          <t>26/03/2026</t>
        </is>
      </c>
      <c r="J2085" t="inlineStr">
        <is>
          <t>17/03/2026</t>
        </is>
      </c>
      <c r="K2085" t="inlineStr">
        <is>
          <t>N/A</t>
        </is>
      </c>
      <c r="L2085" t="inlineStr">
        <is>
          <t>Giao tiếp, Tài chính doanh nghiệp, ngân hàng, Tài Chính, Kinh Doanh</t>
        </is>
      </c>
      <c r="M2085" t="inlineStr">
        <is>
          <t>Bonus, Healthcare Plan, Paid Leave</t>
        </is>
      </c>
      <c r="N2085" s="8">
        <f>HYPERLINK("https://www.vietnamworks.com/truong-nhom-kinh-doanh-kenh-tien-mat-khu-vuc-can-tho-2012789-jv","Xem chi tiết")</f>
        <v/>
      </c>
    </row>
    <row r="2086">
      <c r="B2086" s="9" t="n">
        <v>2084</v>
      </c>
      <c r="C2086" s="10" t="inlineStr">
        <is>
          <t>Senior Digital Marketing Specialist (strong Performance)</t>
        </is>
      </c>
      <c r="D2086" s="10" t="inlineStr">
        <is>
          <t>CÔNG TY TNHH PATI GROUP AGENCY</t>
        </is>
      </c>
      <c r="E2086" s="10" t="inlineStr">
        <is>
          <t>Thương lượng</t>
        </is>
      </c>
      <c r="F2086" s="10" t="inlineStr">
        <is>
          <t>Hồ Chí Minh</t>
        </is>
      </c>
      <c r="G2086" s="10" t="inlineStr">
        <is>
          <t>Nhân viên</t>
        </is>
      </c>
      <c r="H2086" s="10" t="inlineStr">
        <is>
          <t>24/02/2026</t>
        </is>
      </c>
      <c r="I2086" s="10" t="inlineStr">
        <is>
          <t>26/03/2026</t>
        </is>
      </c>
      <c r="J2086" s="10" t="inlineStr">
        <is>
          <t>17/03/2026</t>
        </is>
      </c>
      <c r="K2086" s="10" t="inlineStr">
        <is>
          <t>N/A</t>
        </is>
      </c>
      <c r="L2086" s="10" t="inlineStr">
        <is>
          <t>Digital Marketing, Facebook Ads, Marketing Online, Paid Media, Performance Marketing</t>
        </is>
      </c>
      <c r="M2086" s="10" t="inlineStr">
        <is>
          <t>Bonus, Healthcare Plan, Paid Leave, Team Activities, Others</t>
        </is>
      </c>
      <c r="N2086" s="11">
        <f>HYPERLINK("https://www.vietnamworks.com/senior-digital-marketing-specialist-strong-performance-2012794-jv","Xem chi tiết")</f>
        <v/>
      </c>
      <c r="O2086" s="10" t="n"/>
    </row>
    <row r="2087">
      <c r="B2087" s="7" t="n">
        <v>2085</v>
      </c>
      <c r="C2087" t="inlineStr">
        <is>
          <t>Trưởng Bộ Phận S.H.E</t>
        </is>
      </c>
      <c r="D2087" t="inlineStr">
        <is>
          <t>Công Ty Cổ phẩn MASAN MEATLife</t>
        </is>
      </c>
      <c r="E2087" t="inlineStr">
        <is>
          <t>$$ 1,200-2,000 /tháng</t>
        </is>
      </c>
      <c r="F2087" t="inlineStr">
        <is>
          <t>Nghệ An</t>
        </is>
      </c>
      <c r="G2087" t="inlineStr">
        <is>
          <t>Trưởng phòng</t>
        </is>
      </c>
      <c r="H2087" t="inlineStr">
        <is>
          <t>24/02/2026</t>
        </is>
      </c>
      <c r="I2087" t="inlineStr">
        <is>
          <t>26/03/2026</t>
        </is>
      </c>
      <c r="J2087" t="inlineStr">
        <is>
          <t>17/03/2026</t>
        </is>
      </c>
      <c r="K2087" t="inlineStr">
        <is>
          <t>N/A</t>
        </is>
      </c>
      <c r="L2087" t="inlineStr">
        <is>
          <t>Đào Tạo Đội Nhóm, Quản Lý, Giao Tiếp Tốt, Giải Quyết Công Việc, Kỹ năng làm việc nhóm</t>
        </is>
      </c>
      <c r="M2087" t="inlineStr">
        <is>
          <t>Bonus, Healthcare Plan, Training</t>
        </is>
      </c>
      <c r="N2087" s="8">
        <f>HYPERLINK("https://www.vietnamworks.com/truong-bo-phan-s-h-e-2012743-jv","Xem chi tiết")</f>
        <v/>
      </c>
    </row>
    <row r="2088">
      <c r="B2088" s="9" t="n">
        <v>2086</v>
      </c>
      <c r="C2088" s="10" t="inlineStr">
        <is>
          <t>Kế Toán Viên (Accountant)</t>
        </is>
      </c>
      <c r="D2088" s="10" t="inlineStr">
        <is>
          <t>CÔNG TY CỔ PHẦN YOUPASS</t>
        </is>
      </c>
      <c r="E2088" s="10" t="inlineStr">
        <is>
          <t>13tr-20tr ₫/tháng</t>
        </is>
      </c>
      <c r="F2088" s="10" t="inlineStr">
        <is>
          <t>Hồ Chí Minh</t>
        </is>
      </c>
      <c r="G2088" s="10" t="inlineStr">
        <is>
          <t>Nhân viên</t>
        </is>
      </c>
      <c r="H2088" s="10" t="inlineStr">
        <is>
          <t>24/02/2026</t>
        </is>
      </c>
      <c r="I2088" s="10" t="inlineStr">
        <is>
          <t>26/03/2026</t>
        </is>
      </c>
      <c r="J2088" s="10" t="inlineStr">
        <is>
          <t>17/03/2026</t>
        </is>
      </c>
      <c r="K2088" s="10" t="inlineStr">
        <is>
          <t>N/A</t>
        </is>
      </c>
      <c r="L2088" s="10" t="inlineStr">
        <is>
          <t>Kế Toán, Tài Chính, Kiểm Toán, Phân Tích Số Liệu, Giao Tiếp</t>
        </is>
      </c>
      <c r="M2088" s="10" t="inlineStr">
        <is>
          <t>Bonus, Healthcare Plan, Team Activities</t>
        </is>
      </c>
      <c r="N2088" s="11">
        <f>HYPERLINK("https://www.vietnamworks.com/ke-toan-vien-accountant-2012787-jv","Xem chi tiết")</f>
        <v/>
      </c>
      <c r="O2088" s="10" t="n"/>
    </row>
    <row r="2089">
      <c r="B2089" s="7" t="n">
        <v>2087</v>
      </c>
      <c r="C2089" t="inlineStr">
        <is>
          <t>Nhân Viên Kế Toán Tổng Hợp - Lương Upto 20 Triệu</t>
        </is>
      </c>
      <c r="D2089" t="inlineStr">
        <is>
          <t>Công ty TNHH Nagen</t>
        </is>
      </c>
      <c r="E2089" t="inlineStr">
        <is>
          <t>15tr-20tr ₫/tháng</t>
        </is>
      </c>
      <c r="F2089" t="inlineStr">
        <is>
          <t>Hà Nội</t>
        </is>
      </c>
      <c r="G2089" t="inlineStr">
        <is>
          <t>Nhân viên</t>
        </is>
      </c>
      <c r="H2089" t="inlineStr">
        <is>
          <t>24/02/2026</t>
        </is>
      </c>
      <c r="I2089" t="inlineStr">
        <is>
          <t>26/03/2026</t>
        </is>
      </c>
      <c r="J2089" t="inlineStr">
        <is>
          <t>17/03/2026</t>
        </is>
      </c>
      <c r="K2089" t="inlineStr">
        <is>
          <t>N/A</t>
        </is>
      </c>
      <c r="L2089" t="inlineStr">
        <is>
          <t>Hạch Toán, Phần Mềm Kế Toán, Phân Tích Báo Cáo, Theo Dõi Công Nợ, Đối Chiếu Số Liệu</t>
        </is>
      </c>
      <c r="M2089" t="inlineStr">
        <is>
          <t>Healthcare Plan, Training, Team Activities, Others</t>
        </is>
      </c>
      <c r="N2089" s="8">
        <f>HYPERLINK("https://www.vietnamworks.com/nhan-vien-ke-toan-tong-hop-luong-upto-20-trieu-2012763-jv","Xem chi tiết")</f>
        <v/>
      </c>
    </row>
    <row r="2090">
      <c r="B2090" s="9" t="n">
        <v>2088</v>
      </c>
      <c r="C2090" s="10" t="inlineStr">
        <is>
          <t>Nhân Viên Vận Hành Sàn TMĐT</t>
        </is>
      </c>
      <c r="D2090" s="10" t="inlineStr">
        <is>
          <t>Công Ty TNHH Dược Phẩm Ích Nhân</t>
        </is>
      </c>
      <c r="E2090" s="10" t="inlineStr">
        <is>
          <t>10tr-13tr ₫/tháng</t>
        </is>
      </c>
      <c r="F2090" s="10" t="inlineStr">
        <is>
          <t>Hà Nội</t>
        </is>
      </c>
      <c r="G2090" s="10" t="inlineStr">
        <is>
          <t>Nhân viên</t>
        </is>
      </c>
      <c r="H2090" s="10" t="inlineStr">
        <is>
          <t>24/02/2026</t>
        </is>
      </c>
      <c r="I2090" s="10" t="inlineStr">
        <is>
          <t>26/03/2026</t>
        </is>
      </c>
      <c r="J2090" s="10" t="inlineStr">
        <is>
          <t>17/03/2026</t>
        </is>
      </c>
      <c r="K2090" s="10" t="inlineStr">
        <is>
          <t>N/A</t>
        </is>
      </c>
      <c r="L2090" s="10" t="inlineStr">
        <is>
          <t>Phân tích dữ liệu, Marketing Development, Tiktok, Vận Hành Sàn TMĐT</t>
        </is>
      </c>
      <c r="M2090" s="10" t="inlineStr">
        <is>
          <t>Bonus, Healthcare Plan, Paid Leave, Training, Others</t>
        </is>
      </c>
      <c r="N2090" s="11">
        <f>HYPERLINK("https://www.vietnamworks.com/nhan-vien-van-hanh-san-tmdjt-2012759-jv","Xem chi tiết")</f>
        <v/>
      </c>
      <c r="O2090" s="10" t="n"/>
    </row>
    <row r="2091">
      <c r="B2091" s="7" t="n">
        <v>2089</v>
      </c>
      <c r="C2091" t="inlineStr">
        <is>
          <t xml:space="preserve">Nhân Viên Thủ Kho Thành Phẩm </t>
        </is>
      </c>
      <c r="D2091" t="inlineStr">
        <is>
          <t>Công Ty Cổ Phần Dược Phẩm 3/2</t>
        </is>
      </c>
      <c r="E2091" t="inlineStr">
        <is>
          <t>$$ 400-600 /tháng</t>
        </is>
      </c>
      <c r="F2091" t="inlineStr">
        <is>
          <t>Hồ Chí Minh</t>
        </is>
      </c>
      <c r="G2091" t="inlineStr">
        <is>
          <t>Nhân viên</t>
        </is>
      </c>
      <c r="H2091" t="inlineStr">
        <is>
          <t>24/02/2026</t>
        </is>
      </c>
      <c r="I2091" t="inlineStr">
        <is>
          <t>26/03/2026</t>
        </is>
      </c>
      <c r="J2091" t="inlineStr">
        <is>
          <t>17/03/2026</t>
        </is>
      </c>
      <c r="K2091" t="inlineStr">
        <is>
          <t>N/A</t>
        </is>
      </c>
      <c r="L2091" t="inlineStr">
        <is>
          <t>Chăm sóc, Giao Tiếp, Quản Lý Kho, Sử dụng phần mềm máy tính, Xử Lý Tình Huống</t>
        </is>
      </c>
      <c r="M2091" t="inlineStr">
        <is>
          <t>Bonus, Healthcare Plan, Paid Leave, Others</t>
        </is>
      </c>
      <c r="N2091" s="8">
        <f>HYPERLINK("https://www.vietnamworks.com/nhan-vien-thu-kho-thanh-pham-2012792-jv","Xem chi tiết")</f>
        <v/>
      </c>
    </row>
    <row r="2092">
      <c r="B2092" s="9" t="n">
        <v>2090</v>
      </c>
      <c r="C2092" s="10" t="inlineStr">
        <is>
          <t>Giám Định Viên Kỹ Thuật (Kỹ Sư Xây Dựng/ Cơ Điện/ Tự Động Hóa)</t>
        </is>
      </c>
      <c r="D2092" s="10" t="inlineStr">
        <is>
          <t>United Asia Company Limited</t>
        </is>
      </c>
      <c r="E2092" s="10" t="inlineStr">
        <is>
          <t>Tới 1,000 ₫/tháng</t>
        </is>
      </c>
      <c r="F2092" s="10" t="inlineStr">
        <is>
          <t>Hà Nội</t>
        </is>
      </c>
      <c r="G2092" s="10" t="inlineStr">
        <is>
          <t>Nhân viên</t>
        </is>
      </c>
      <c r="H2092" s="10" t="inlineStr">
        <is>
          <t>24/02/2026</t>
        </is>
      </c>
      <c r="I2092" s="10" t="inlineStr">
        <is>
          <t>26/03/2026</t>
        </is>
      </c>
      <c r="J2092" s="10" t="inlineStr">
        <is>
          <t>17/03/2026</t>
        </is>
      </c>
      <c r="K2092" s="10" t="inlineStr">
        <is>
          <t>N/A</t>
        </is>
      </c>
      <c r="L2092" s="10" t="inlineStr">
        <is>
          <t>Cơ Khí, Hạ Tầng Giao Thông, Địa Chất, Kỹ Thuật Điện, Xây Dựng</t>
        </is>
      </c>
      <c r="M2092" s="10" t="inlineStr">
        <is>
          <t>Bonus, Healthcare Plan, Training</t>
        </is>
      </c>
      <c r="N2092" s="11">
        <f>HYPERLINK("https://www.vietnamworks.com/giam-dinh-vien-ky-thuat-ky-su-xay-dung-co-dien-tu-dong-hoa-2012797-jv","Xem chi tiết")</f>
        <v/>
      </c>
      <c r="O2092" s="10" t="n"/>
    </row>
    <row r="2093">
      <c r="B2093" s="7" t="n">
        <v>2091</v>
      </c>
      <c r="C2093" t="inlineStr">
        <is>
          <t>Sales Support Specialist (MT Channel)</t>
        </is>
      </c>
      <c r="D2093" t="inlineStr">
        <is>
          <t>Orion Food Vina Co,. Ltd - Head Office</t>
        </is>
      </c>
      <c r="E2093" t="inlineStr">
        <is>
          <t>Thương lượng</t>
        </is>
      </c>
      <c r="F2093" t="inlineStr">
        <is>
          <t>Hồ Chí Minh</t>
        </is>
      </c>
      <c r="G2093" t="inlineStr">
        <is>
          <t>Nhân viên</t>
        </is>
      </c>
      <c r="H2093" t="inlineStr">
        <is>
          <t>24/02/2026</t>
        </is>
      </c>
      <c r="I2093" t="inlineStr">
        <is>
          <t>26/03/2026</t>
        </is>
      </c>
      <c r="J2093" t="inlineStr">
        <is>
          <t>17/03/2026</t>
        </is>
      </c>
      <c r="K2093" t="inlineStr">
        <is>
          <t>N/A</t>
        </is>
      </c>
      <c r="L2093" t="inlineStr">
        <is>
          <t>Sales Administration, Sales Planning, Trade Promotion, Sales Management, Sales Support</t>
        </is>
      </c>
      <c r="M2093" t="inlineStr">
        <is>
          <t>Bonus, Healthcare Plan, Team Activities</t>
        </is>
      </c>
      <c r="N2093" s="8">
        <f>HYPERLINK("https://www.vietnamworks.com/sales-support-specialist-mt-channel-2012799-jv","Xem chi tiết")</f>
        <v/>
      </c>
    </row>
    <row r="2094">
      <c r="B2094" s="9" t="n">
        <v>2092</v>
      </c>
      <c r="C2094" s="10" t="inlineStr">
        <is>
          <t>Production Industrialization Quality Specialist For Hand Tech Center Team (Gloves Product)</t>
        </is>
      </c>
      <c r="D2094" s="10" t="inlineStr">
        <is>
          <t>Vietnamworks' Client</t>
        </is>
      </c>
      <c r="E2094" s="10" t="inlineStr">
        <is>
          <t>Thương lượng</t>
        </is>
      </c>
      <c r="F2094" s="10" t="inlineStr">
        <is>
          <t>Hà Nội</t>
        </is>
      </c>
      <c r="G2094" s="10" t="inlineStr">
        <is>
          <t>Nhân viên</t>
        </is>
      </c>
      <c r="H2094" s="10" t="inlineStr">
        <is>
          <t>24/02/2026</t>
        </is>
      </c>
      <c r="I2094" s="10" t="inlineStr">
        <is>
          <t>26/03/2026</t>
        </is>
      </c>
      <c r="J2094" s="10" t="inlineStr">
        <is>
          <t>17/03/2026</t>
        </is>
      </c>
      <c r="K2094" s="10" t="inlineStr">
        <is>
          <t>N/A</t>
        </is>
      </c>
      <c r="L2094" s="10" t="inlineStr">
        <is>
          <t>Quality Management Processes, Quality Management System, Merchandise Development, Commercialization Process</t>
        </is>
      </c>
      <c r="M2094" s="10" t="inlineStr">
        <is>
          <t>Bonus, Healthcare Plan, Paid Leave</t>
        </is>
      </c>
      <c r="N2094" s="11">
        <f>HYPERLINK("https://www.vietnamworks.com/production-industrialization-quality-specialist-for-hand-tech-center-team-gloves-product-2012800-jv","Xem chi tiết")</f>
        <v/>
      </c>
      <c r="O2094" s="10" t="n"/>
    </row>
    <row r="2095">
      <c r="B2095" s="7" t="n">
        <v>2093</v>
      </c>
      <c r="C2095" t="inlineStr">
        <is>
          <t>Merchandising Director</t>
        </is>
      </c>
      <c r="D2095" t="inlineStr">
        <is>
          <t>Saitex International Dong Nai (VN)</t>
        </is>
      </c>
      <c r="E2095" t="inlineStr">
        <is>
          <t>Thương lượng</t>
        </is>
      </c>
      <c r="F2095" t="inlineStr">
        <is>
          <t>Hồ Chí Minh, Đồng Nai</t>
        </is>
      </c>
      <c r="G2095" t="inlineStr">
        <is>
          <t>Giám Đốc và Cấp Cao Hơn</t>
        </is>
      </c>
      <c r="H2095" t="inlineStr">
        <is>
          <t>24/02/2026</t>
        </is>
      </c>
      <c r="I2095" t="inlineStr">
        <is>
          <t>26/03/2026</t>
        </is>
      </c>
      <c r="J2095" t="inlineStr">
        <is>
          <t>17/03/2026</t>
        </is>
      </c>
      <c r="K2095" t="inlineStr">
        <is>
          <t>N/A</t>
        </is>
      </c>
      <c r="L2095" t="inlineStr">
        <is>
          <t>Merchandise Garment, Fabric Merchandising, Purchasing &amp; Sourcing Management, Sample Development, Order Management</t>
        </is>
      </c>
      <c r="M2095" t="inlineStr">
        <is>
          <t>Bonus, Healthcare Plan, Transportation</t>
        </is>
      </c>
      <c r="N2095" s="8">
        <f>HYPERLINK("https://www.vietnamworks.com/merchandising-director--2012819-jv","Xem chi tiết")</f>
        <v/>
      </c>
    </row>
    <row r="2096">
      <c r="B2096" s="9" t="n">
        <v>2094</v>
      </c>
      <c r="C2096" s="10" t="inlineStr">
        <is>
          <t>Business Development Specialist (Vietnam Market)</t>
        </is>
      </c>
      <c r="D2096" s="10" t="inlineStr">
        <is>
          <t>Pebsteel Buildings Co., Ltd.</t>
        </is>
      </c>
      <c r="E2096" s="10" t="inlineStr">
        <is>
          <t>Thương lượng</t>
        </is>
      </c>
      <c r="F2096" s="10" t="inlineStr">
        <is>
          <t>Hồ Chí Minh</t>
        </is>
      </c>
      <c r="G2096" s="10" t="inlineStr">
        <is>
          <t>Nhân viên</t>
        </is>
      </c>
      <c r="H2096" s="10" t="inlineStr">
        <is>
          <t>24/02/2026</t>
        </is>
      </c>
      <c r="I2096" s="10" t="inlineStr">
        <is>
          <t>26/03/2026</t>
        </is>
      </c>
      <c r="J2096" s="10" t="inlineStr">
        <is>
          <t>17/03/2026</t>
        </is>
      </c>
      <c r="K2096" s="10" t="inlineStr">
        <is>
          <t>N/A</t>
        </is>
      </c>
      <c r="L2096" s="10" t="inlineStr">
        <is>
          <t>Steel Structure, Business Networking, Business Development, Client Engagement, Market Research</t>
        </is>
      </c>
      <c r="M2096" s="10" t="inlineStr">
        <is>
          <t>Bonus, Healthcare Plan, Team Activities</t>
        </is>
      </c>
      <c r="N2096" s="11">
        <f>HYPERLINK("https://www.vietnamworks.com/business-development-specialist-vietnam-market--2012798-jv","Xem chi tiết")</f>
        <v/>
      </c>
      <c r="O2096" s="10" t="n"/>
    </row>
    <row r="2097">
      <c r="B2097" s="7" t="n">
        <v>2095</v>
      </c>
      <c r="C2097" t="inlineStr">
        <is>
          <t>Kế Toán Trưởng</t>
        </is>
      </c>
      <c r="D2097" t="inlineStr">
        <is>
          <t>CÔNG TY TNHH MERAKI LAND</t>
        </is>
      </c>
      <c r="E2097" t="inlineStr">
        <is>
          <t>25tr-50tr ₫/tháng</t>
        </is>
      </c>
      <c r="F2097" t="inlineStr">
        <is>
          <t>Hồ Chí Minh</t>
        </is>
      </c>
      <c r="G2097" t="inlineStr">
        <is>
          <t>Trưởng phòng</t>
        </is>
      </c>
      <c r="H2097" t="inlineStr">
        <is>
          <t>24/02/2026</t>
        </is>
      </c>
      <c r="I2097" t="inlineStr">
        <is>
          <t>26/03/2026</t>
        </is>
      </c>
      <c r="J2097" t="inlineStr">
        <is>
          <t>17/03/2026</t>
        </is>
      </c>
      <c r="K2097" t="inlineStr">
        <is>
          <t>N/A</t>
        </is>
      </c>
      <c r="L2097" t="inlineStr">
        <is>
          <t>Tài Chính, Kiểm Toán, Kế Toán, Chief Accountant Certificate, CPA</t>
        </is>
      </c>
      <c r="M2097" t="inlineStr">
        <is>
          <t>Bonus, Healthcare Plan, Others</t>
        </is>
      </c>
      <c r="N2097" s="8">
        <f>HYPERLINK("https://www.vietnamworks.com/ke-toan-truong--2012801-jv","Xem chi tiết")</f>
        <v/>
      </c>
    </row>
    <row r="2098">
      <c r="B2098" s="9" t="n">
        <v>2096</v>
      </c>
      <c r="C2098" s="10" t="inlineStr">
        <is>
          <t>R&amp;D Supervisor (Material)</t>
        </is>
      </c>
      <c r="D2098" s="10" t="inlineStr">
        <is>
          <t>Panasonic Appliances Vietnam</t>
        </is>
      </c>
      <c r="E2098" s="10" t="inlineStr">
        <is>
          <t>Thương lượng</t>
        </is>
      </c>
      <c r="F2098" s="10" t="inlineStr">
        <is>
          <t>Hưng Yên</t>
        </is>
      </c>
      <c r="G2098" s="10" t="inlineStr">
        <is>
          <t>Nhân viên</t>
        </is>
      </c>
      <c r="H2098" s="10" t="inlineStr">
        <is>
          <t>24/02/2026</t>
        </is>
      </c>
      <c r="I2098" s="10" t="inlineStr">
        <is>
          <t>26/03/2026</t>
        </is>
      </c>
      <c r="J2098" s="10" t="inlineStr">
        <is>
          <t>17/03/2026</t>
        </is>
      </c>
      <c r="K2098" s="10" t="inlineStr">
        <is>
          <t>N/A</t>
        </is>
      </c>
      <c r="L2098" s="10" t="inlineStr">
        <is>
          <t>Material Engineering, Raw Materials, Material Quality, Test, Chemical</t>
        </is>
      </c>
      <c r="M2098" s="10" t="inlineStr">
        <is>
          <t>Bonus, Healthcare Plan, Transportation</t>
        </is>
      </c>
      <c r="N2098" s="11">
        <f>HYPERLINK("https://www.vietnamworks.com/r-d-supervisor-material--2012822-jv","Xem chi tiết")</f>
        <v/>
      </c>
      <c r="O2098" s="10" t="n"/>
    </row>
    <row r="2099">
      <c r="B2099" s="7" t="n">
        <v>2097</v>
      </c>
      <c r="C2099" t="inlineStr">
        <is>
          <t>IT Intern (IT Helpdesk)</t>
        </is>
      </c>
      <c r="D2099" t="inlineStr">
        <is>
          <t>Tesa Site Haiphong Company Limited</t>
        </is>
      </c>
      <c r="E2099" t="inlineStr">
        <is>
          <t>Thương lượng</t>
        </is>
      </c>
      <c r="F2099" t="inlineStr">
        <is>
          <t>Hải Phòng</t>
        </is>
      </c>
      <c r="G2099" t="inlineStr">
        <is>
          <t>Thực tập sinh/Sinh viên</t>
        </is>
      </c>
      <c r="H2099" t="inlineStr">
        <is>
          <t>24/02/2026</t>
        </is>
      </c>
      <c r="I2099" t="inlineStr">
        <is>
          <t>26/03/2026</t>
        </is>
      </c>
      <c r="J2099" t="inlineStr">
        <is>
          <t>17/03/2026</t>
        </is>
      </c>
      <c r="K2099" t="inlineStr">
        <is>
          <t>N/A</t>
        </is>
      </c>
      <c r="L2099" t="inlineStr">
        <is>
          <t>IT Helpdesk, Windows OS, MS Office, Basic Networking, Communication Skills</t>
        </is>
      </c>
      <c r="M2099" t="inlineStr">
        <is>
          <t>Healthcare Plan, Training, Team Activities, Transportation, Others</t>
        </is>
      </c>
      <c r="N2099" s="8">
        <f>HYPERLINK("https://www.vietnamworks.com/it-intern-it-helpdesk-2012820-jv","Xem chi tiết")</f>
        <v/>
      </c>
    </row>
    <row r="2100">
      <c r="B2100" s="9" t="n">
        <v>2098</v>
      </c>
      <c r="C2100" s="10" t="inlineStr">
        <is>
          <t>Compliance Illustrator</t>
        </is>
      </c>
      <c r="D2100" s="10" t="inlineStr">
        <is>
          <t>2-Connect ApS</t>
        </is>
      </c>
      <c r="E2100" s="10" t="inlineStr">
        <is>
          <t>Thương lượng</t>
        </is>
      </c>
      <c r="F2100" s="10" t="inlineStr">
        <is>
          <t>Hồ Chí Minh</t>
        </is>
      </c>
      <c r="G2100" s="10" t="inlineStr">
        <is>
          <t>Nhân viên</t>
        </is>
      </c>
      <c r="H2100" s="10" t="inlineStr">
        <is>
          <t>24/02/2026</t>
        </is>
      </c>
      <c r="I2100" s="10" t="inlineStr">
        <is>
          <t>26/03/2026</t>
        </is>
      </c>
      <c r="J2100" s="10" t="inlineStr">
        <is>
          <t>17/03/2026</t>
        </is>
      </c>
      <c r="K2100" s="10" t="inlineStr">
        <is>
          <t>N/A</t>
        </is>
      </c>
      <c r="L2100" s="10" t="inlineStr">
        <is>
          <t>Adobe Illustrator, Drawing, English, Furniture Engineering, Auto CAD</t>
        </is>
      </c>
      <c r="M2100" s="10" t="inlineStr">
        <is>
          <t>Bonus, Healthcare Plan, Travel Opportunities</t>
        </is>
      </c>
      <c r="N2100" s="11">
        <f>HYPERLINK("https://www.vietnamworks.com/compliance-illustrator-2012802-jv","Xem chi tiết")</f>
        <v/>
      </c>
      <c r="O2100" s="10" t="n"/>
    </row>
    <row r="2101">
      <c r="B2101" s="7" t="n">
        <v>2099</v>
      </c>
      <c r="C2101" t="inlineStr">
        <is>
          <t>General Accountant cum Office Administrator</t>
        </is>
      </c>
      <c r="D2101" t="inlineStr">
        <is>
          <t>United Asia Company Limited</t>
        </is>
      </c>
      <c r="E2101" t="inlineStr">
        <is>
          <t>Thương lượng</t>
        </is>
      </c>
      <c r="F2101" t="inlineStr">
        <is>
          <t>Hà Nội</t>
        </is>
      </c>
      <c r="G2101" t="inlineStr">
        <is>
          <t>Nhân viên</t>
        </is>
      </c>
      <c r="H2101" t="inlineStr">
        <is>
          <t>24/02/2026</t>
        </is>
      </c>
      <c r="I2101" t="inlineStr">
        <is>
          <t>26/03/2026</t>
        </is>
      </c>
      <c r="J2101" t="inlineStr">
        <is>
          <t>17/03/2026</t>
        </is>
      </c>
      <c r="K2101" t="inlineStr">
        <is>
          <t>N/A</t>
        </is>
      </c>
      <c r="L2101" t="inlineStr">
        <is>
          <t>Account Receivable, Accounting Software, Office Administration, Payroll, Reporting</t>
        </is>
      </c>
      <c r="M2101" t="inlineStr">
        <is>
          <t>Healthcare Plan, Paid Leave, Training, Awards, Team Activities, Canteen, Others</t>
        </is>
      </c>
      <c r="N2101" s="8">
        <f>HYPERLINK("https://www.vietnamworks.com/general-accountant-cum-office-administrator-2012795-jv","Xem chi tiết")</f>
        <v/>
      </c>
    </row>
    <row r="2102">
      <c r="B2102" s="9" t="n">
        <v>2100</v>
      </c>
      <c r="C2102" s="10" t="inlineStr">
        <is>
          <t>Senior Accountant (IFRS Experience) - Fintech</t>
        </is>
      </c>
      <c r="D2102" s="10" t="inlineStr">
        <is>
          <t>Vietpay Corporation</t>
        </is>
      </c>
      <c r="E2102" s="10" t="inlineStr">
        <is>
          <t>Thương lượng</t>
        </is>
      </c>
      <c r="F2102" s="10" t="inlineStr">
        <is>
          <t>Hồ Chí Minh, Hà Nội</t>
        </is>
      </c>
      <c r="G2102" s="10" t="inlineStr">
        <is>
          <t>Nhân viên</t>
        </is>
      </c>
      <c r="H2102" s="10" t="inlineStr">
        <is>
          <t>24/02/2026</t>
        </is>
      </c>
      <c r="I2102" s="10" t="inlineStr">
        <is>
          <t>26/03/2026</t>
        </is>
      </c>
      <c r="J2102" s="10" t="inlineStr">
        <is>
          <t>17/03/2026</t>
        </is>
      </c>
      <c r="K2102" s="10" t="inlineStr">
        <is>
          <t>N/A</t>
        </is>
      </c>
      <c r="L2102" s="10" t="inlineStr">
        <is>
          <t>Accounting, Auditing, English, Financial Reporting, IFRS Accounting</t>
        </is>
      </c>
      <c r="M2102" s="10" t="inlineStr">
        <is>
          <t>Bonus, Healthcare Plan, Awards, Others</t>
        </is>
      </c>
      <c r="N2102" s="11">
        <f>HYPERLINK("https://www.vietnamworks.com/senior-accountant-ifrs-experience-fintech-2012821-jv","Xem chi tiết")</f>
        <v/>
      </c>
      <c r="O2102" s="10" t="n"/>
    </row>
    <row r="2103">
      <c r="B2103" s="7" t="n">
        <v>2101</v>
      </c>
      <c r="C2103" t="inlineStr">
        <is>
          <t>Accountant</t>
        </is>
      </c>
      <c r="D2103" t="inlineStr">
        <is>
          <t>Hansen Transport Vietnam Co., Ltd.</t>
        </is>
      </c>
      <c r="E2103" t="inlineStr">
        <is>
          <t>8tr-9tr ₫/tháng</t>
        </is>
      </c>
      <c r="F2103" t="inlineStr">
        <is>
          <t>Hồ Chí Minh, Hà Tĩnh</t>
        </is>
      </c>
      <c r="G2103" t="inlineStr">
        <is>
          <t>Nhân viên</t>
        </is>
      </c>
      <c r="H2103" t="inlineStr">
        <is>
          <t>24/02/2026</t>
        </is>
      </c>
      <c r="I2103" t="inlineStr">
        <is>
          <t>26/03/2026</t>
        </is>
      </c>
      <c r="J2103" t="inlineStr">
        <is>
          <t>17/03/2026</t>
        </is>
      </c>
      <c r="K2103" t="inlineStr">
        <is>
          <t>N/A</t>
        </is>
      </c>
      <c r="L2103" t="inlineStr">
        <is>
          <t>Accounts Payable, Account Receivable, English Speaking, Expenses Calculation, Revenue Management</t>
        </is>
      </c>
      <c r="M2103" t="inlineStr">
        <is>
          <t>Bonus, Healthcare Plan, Others</t>
        </is>
      </c>
      <c r="N2103" s="8">
        <f>HYPERLINK("https://www.vietnamworks.com/accountant-2012818-jv","Xem chi tiết")</f>
        <v/>
      </c>
    </row>
    <row r="2104">
      <c r="B2104" s="9" t="n">
        <v>2102</v>
      </c>
      <c r="C2104" s="10" t="inlineStr">
        <is>
          <t>Senior HR Specialist - Regional Scope (Fluent English Required)</t>
        </is>
      </c>
      <c r="D2104" s="10" t="inlineStr">
        <is>
          <t>CÔNG TY TNHH RBA VIỆT NAM</t>
        </is>
      </c>
      <c r="E2104" s="10" t="inlineStr">
        <is>
          <t>Tới 35tr ₫/tháng</t>
        </is>
      </c>
      <c r="F2104" s="10" t="inlineStr">
        <is>
          <t>Hồ Chí Minh</t>
        </is>
      </c>
      <c r="G2104" s="10" t="inlineStr">
        <is>
          <t>Nhân viên</t>
        </is>
      </c>
      <c r="H2104" s="10" t="inlineStr">
        <is>
          <t>24/02/2026</t>
        </is>
      </c>
      <c r="I2104" s="10" t="inlineStr">
        <is>
          <t>26/03/2026</t>
        </is>
      </c>
      <c r="J2104" s="10" t="inlineStr">
        <is>
          <t>17/03/2026</t>
        </is>
      </c>
      <c r="K2104" s="10" t="inlineStr">
        <is>
          <t>N/A</t>
        </is>
      </c>
      <c r="L2104" s="10" t="inlineStr">
        <is>
          <t>C&amp;B, Excel, HR, Hr Software Systems, Payroll</t>
        </is>
      </c>
      <c r="M2104" s="10" t="inlineStr">
        <is>
          <t>Bonus, Healthcare Plan, Paid Leave, Training, Team Activities, Others</t>
        </is>
      </c>
      <c r="N2104" s="11">
        <f>HYPERLINK("https://www.vietnamworks.com/senior-hr-specialist-regional-scope-fluent-english-required-2012805-jv","Xem chi tiết")</f>
        <v/>
      </c>
      <c r="O2104" s="10" t="n"/>
    </row>
    <row r="2105">
      <c r="B2105" s="7" t="n">
        <v>2103</v>
      </c>
      <c r="C2105" t="inlineStr">
        <is>
          <t>Detailer | Detailing Engineer (Tekla)</t>
        </is>
      </c>
      <c r="D2105" t="inlineStr">
        <is>
          <t>Pebsteel Buildings Co., Ltd.</t>
        </is>
      </c>
      <c r="E2105" t="inlineStr">
        <is>
          <t>Thương lượng</t>
        </is>
      </c>
      <c r="F2105" t="inlineStr">
        <is>
          <t>Hồ Chí Minh</t>
        </is>
      </c>
      <c r="G2105" t="inlineStr">
        <is>
          <t>Nhân viên</t>
        </is>
      </c>
      <c r="H2105" t="inlineStr">
        <is>
          <t>24/02/2026</t>
        </is>
      </c>
      <c r="I2105" t="inlineStr">
        <is>
          <t>26/03/2026</t>
        </is>
      </c>
      <c r="J2105" t="inlineStr">
        <is>
          <t>17/03/2026</t>
        </is>
      </c>
      <c r="K2105" t="inlineStr">
        <is>
          <t>N/A</t>
        </is>
      </c>
      <c r="L2105" t="inlineStr">
        <is>
          <t>Auto CAD, BOM Creation, Eager To Learn, RC Detailing, Steel Manufacturing</t>
        </is>
      </c>
      <c r="M2105" t="inlineStr">
        <is>
          <t>Bonus, Healthcare Plan, Team Activities</t>
        </is>
      </c>
      <c r="N2105" s="8">
        <f>HYPERLINK("https://www.vietnamworks.com/detailer-or-detailing-engineer-tekla-2012810-jv","Xem chi tiết")</f>
        <v/>
      </c>
    </row>
    <row r="2106">
      <c r="B2106" s="9" t="n">
        <v>2104</v>
      </c>
      <c r="C2106" s="10" t="inlineStr">
        <is>
          <t>Chuyên Viên Security Operations Center (SOC)</t>
        </is>
      </c>
      <c r="D2106" s="10" t="inlineStr">
        <is>
          <t>Công Ty Cổ Phần Chứng Khoán KB Việt Nam</t>
        </is>
      </c>
      <c r="E2106" s="10" t="inlineStr">
        <is>
          <t>Thương lượng</t>
        </is>
      </c>
      <c r="F2106" s="10" t="inlineStr">
        <is>
          <t>Hà Nội</t>
        </is>
      </c>
      <c r="G2106" s="10" t="inlineStr">
        <is>
          <t>Nhân viên</t>
        </is>
      </c>
      <c r="H2106" s="10" t="inlineStr">
        <is>
          <t>24/02/2026</t>
        </is>
      </c>
      <c r="I2106" s="10" t="inlineStr">
        <is>
          <t>26/03/2026</t>
        </is>
      </c>
      <c r="J2106" s="10" t="inlineStr">
        <is>
          <t>17/03/2026</t>
        </is>
      </c>
      <c r="K2106" s="10" t="inlineStr">
        <is>
          <t>N/A</t>
        </is>
      </c>
      <c r="L2106" s="10" t="inlineStr">
        <is>
          <t>Security Operations, SIEM, Microsoft Windows, Linux, Network Security</t>
        </is>
      </c>
      <c r="M2106" s="10" t="inlineStr">
        <is>
          <t>Bonus, Healthcare Plan, Paid Leave, Others</t>
        </is>
      </c>
      <c r="N2106" s="11">
        <f>HYPERLINK("https://www.vietnamworks.com/chuyen-vien-security-operations-center-soc-2012803-jv","Xem chi tiết")</f>
        <v/>
      </c>
      <c r="O2106" s="10" t="n"/>
    </row>
    <row r="2107">
      <c r="B2107" s="7" t="n">
        <v>2105</v>
      </c>
      <c r="C2107" t="inlineStr">
        <is>
          <t>Product Development Engineer - Australian Company in Binh Duong</t>
        </is>
      </c>
      <c r="D2107" t="inlineStr">
        <is>
          <t>Rheem Viet Nam LTD.</t>
        </is>
      </c>
      <c r="E2107" t="inlineStr">
        <is>
          <t>Thương lượng</t>
        </is>
      </c>
      <c r="F2107" t="inlineStr">
        <is>
          <t>Bình Dương, Đồng Nai, Hồ Chí Minh</t>
        </is>
      </c>
      <c r="G2107" t="inlineStr">
        <is>
          <t>Nhân viên</t>
        </is>
      </c>
      <c r="H2107" t="inlineStr">
        <is>
          <t>24/02/2026</t>
        </is>
      </c>
      <c r="I2107" t="inlineStr">
        <is>
          <t>26/03/2026</t>
        </is>
      </c>
      <c r="J2107" t="inlineStr">
        <is>
          <t>17/03/2026</t>
        </is>
      </c>
      <c r="K2107" t="inlineStr">
        <is>
          <t>N/A</t>
        </is>
      </c>
      <c r="L2107" t="inlineStr">
        <is>
          <t>Mechanical Engineering, Product Development, C/C++, Microcontroller Programming, Embedded Systems</t>
        </is>
      </c>
      <c r="M2107" t="inlineStr">
        <is>
          <t>Bonus, Laptop, Others</t>
        </is>
      </c>
      <c r="N2107" s="8">
        <f>HYPERLINK("https://www.vietnamworks.com/product-development-engineer-australian-company-in-binh-duong--2012815-jv","Xem chi tiết")</f>
        <v/>
      </c>
    </row>
    <row r="2108">
      <c r="B2108" s="9" t="n">
        <v>2106</v>
      </c>
      <c r="C2108" s="10" t="inlineStr">
        <is>
          <t>Document Position / Ship Agent</t>
        </is>
      </c>
      <c r="D2108" s="10" t="inlineStr">
        <is>
          <t>Hansen Transport Vietnam Co., Ltd.</t>
        </is>
      </c>
      <c r="E2108" s="10" t="inlineStr">
        <is>
          <t>Thương lượng</t>
        </is>
      </c>
      <c r="F2108" s="10" t="inlineStr">
        <is>
          <t>Hà Tĩnh</t>
        </is>
      </c>
      <c r="G2108" s="10" t="inlineStr">
        <is>
          <t>Nhân viên</t>
        </is>
      </c>
      <c r="H2108" s="10" t="inlineStr">
        <is>
          <t>24/02/2026</t>
        </is>
      </c>
      <c r="I2108" s="10" t="inlineStr">
        <is>
          <t>26/03/2026</t>
        </is>
      </c>
      <c r="J2108" s="10" t="inlineStr">
        <is>
          <t>17/03/2026</t>
        </is>
      </c>
      <c r="K2108" s="10" t="inlineStr">
        <is>
          <t>N/A</t>
        </is>
      </c>
      <c r="L2108" s="10" t="inlineStr">
        <is>
          <t>Shipping, Transportation, Business Writing, Admin, Coordinating</t>
        </is>
      </c>
      <c r="M2108" s="10" t="inlineStr">
        <is>
          <t>Bonus, Healthcare Plan, Others</t>
        </is>
      </c>
      <c r="N2108" s="11">
        <f>HYPERLINK("https://www.vietnamworks.com/document-position-ship-agent-2012823-jv","Xem chi tiết")</f>
        <v/>
      </c>
      <c r="O2108" s="10" t="n"/>
    </row>
    <row r="2109">
      <c r="B2109" s="7" t="n">
        <v>2107</v>
      </c>
      <c r="C2109" t="inlineStr">
        <is>
          <t>Customs Assistant Manager (Phó Phòng Hải Quan)</t>
        </is>
      </c>
      <c r="D2109" t="inlineStr">
        <is>
          <t>Wanek Furniture CO., LTD.</t>
        </is>
      </c>
      <c r="E2109" t="inlineStr">
        <is>
          <t>25tr-40tr ₫/tháng</t>
        </is>
      </c>
      <c r="F2109" t="inlineStr">
        <is>
          <t>Bà Rịa - Vũng Tàu</t>
        </is>
      </c>
      <c r="G2109" t="inlineStr">
        <is>
          <t>Trưởng phòng</t>
        </is>
      </c>
      <c r="H2109" t="inlineStr">
        <is>
          <t>24/02/2026</t>
        </is>
      </c>
      <c r="I2109" t="inlineStr">
        <is>
          <t>26/03/2026</t>
        </is>
      </c>
      <c r="J2109" t="inlineStr">
        <is>
          <t>17/03/2026</t>
        </is>
      </c>
      <c r="K2109" t="inlineStr">
        <is>
          <t>N/A</t>
        </is>
      </c>
      <c r="L2109" t="inlineStr">
        <is>
          <t>Analytical Thinking, Customs Compliance, Import-Export Procedure, Inventory Control, Leadership Skills</t>
        </is>
      </c>
      <c r="M2109" t="inlineStr">
        <is>
          <t>Paid Leave, Transportation, Canteen</t>
        </is>
      </c>
      <c r="N2109" s="8">
        <f>HYPERLINK("https://www.vietnamworks.com/customs-assistant-manager-pho-phong-hai-quan-2012813-jv","Xem chi tiết")</f>
        <v/>
      </c>
    </row>
    <row r="2110">
      <c r="B2110" s="9" t="n">
        <v>2108</v>
      </c>
      <c r="C2110" s="10" t="inlineStr">
        <is>
          <t>Wash Technical Manager (Denim / Garment Washing)</t>
        </is>
      </c>
      <c r="D2110" s="10" t="inlineStr">
        <is>
          <t>Saitex International Dong Nai (VN)</t>
        </is>
      </c>
      <c r="E2110" s="10" t="inlineStr">
        <is>
          <t>Thương lượng</t>
        </is>
      </c>
      <c r="F2110" s="10" t="inlineStr">
        <is>
          <t>Hồ Chí Minh</t>
        </is>
      </c>
      <c r="G2110" s="10" t="inlineStr">
        <is>
          <t>Trưởng phòng</t>
        </is>
      </c>
      <c r="H2110" s="10" t="inlineStr">
        <is>
          <t>24/02/2026</t>
        </is>
      </c>
      <c r="I2110" s="10" t="inlineStr">
        <is>
          <t>26/03/2026</t>
        </is>
      </c>
      <c r="J2110" s="10" t="inlineStr">
        <is>
          <t>17/03/2026</t>
        </is>
      </c>
      <c r="K2110" s="10" t="inlineStr">
        <is>
          <t>N/A</t>
        </is>
      </c>
      <c r="L2110" s="10" t="inlineStr">
        <is>
          <t>Denim washing, Wet Processing, Garment Washing, Quality Control, CAPA</t>
        </is>
      </c>
      <c r="M2110" s="10" t="inlineStr">
        <is>
          <t>Bonus, Healthcare Plan, Transportation</t>
        </is>
      </c>
      <c r="N2110" s="11">
        <f>HYPERLINK("https://www.vietnamworks.com/wash-technical-manager-denim-garment-washing-2012806-jv","Xem chi tiết")</f>
        <v/>
      </c>
      <c r="O2110" s="10" t="n"/>
    </row>
    <row r="2111">
      <c r="B2111" s="7" t="n">
        <v>2109</v>
      </c>
      <c r="C2111" t="inlineStr">
        <is>
          <t>Senior Design Supporter</t>
        </is>
      </c>
      <c r="D2111" t="inlineStr">
        <is>
          <t>Pebsteel Buildings Co., Ltd.</t>
        </is>
      </c>
      <c r="E2111" t="inlineStr">
        <is>
          <t>Thương lượng</t>
        </is>
      </c>
      <c r="F2111" t="inlineStr">
        <is>
          <t>Hồ Chí Minh</t>
        </is>
      </c>
      <c r="G2111" t="inlineStr">
        <is>
          <t>Nhân viên</t>
        </is>
      </c>
      <c r="H2111" t="inlineStr">
        <is>
          <t>24/02/2026</t>
        </is>
      </c>
      <c r="I2111" t="inlineStr">
        <is>
          <t>26/03/2026</t>
        </is>
      </c>
      <c r="J2111" t="inlineStr">
        <is>
          <t>17/03/2026</t>
        </is>
      </c>
      <c r="K2111" t="inlineStr">
        <is>
          <t>N/A</t>
        </is>
      </c>
      <c r="L2111" t="inlineStr">
        <is>
          <t>Thiết Kế Kết Cấu Thép, Kết Cấu Thép, PEB Design, PEB</t>
        </is>
      </c>
      <c r="M2111" t="inlineStr">
        <is>
          <t>Bonus, Healthcare Plan, Team Activities</t>
        </is>
      </c>
      <c r="N2111" s="8">
        <f>HYPERLINK("https://www.vietnamworks.com/senior-design-supporter-2012833-jv","Xem chi tiết")</f>
        <v/>
      </c>
    </row>
    <row r="2112">
      <c r="B2112" s="9" t="n">
        <v>2110</v>
      </c>
      <c r="C2112" s="10" t="inlineStr">
        <is>
          <t>Senior Revit Architect - Kiến Trúc Sư Revit</t>
        </is>
      </c>
      <c r="D2112" s="10" t="inlineStr">
        <is>
          <t>The Away Group Viet Nam LTD</t>
        </is>
      </c>
      <c r="E2112" s="10" t="inlineStr">
        <is>
          <t>Thương lượng</t>
        </is>
      </c>
      <c r="F2112" s="10" t="inlineStr">
        <is>
          <t>Hồ Chí Minh</t>
        </is>
      </c>
      <c r="G2112" s="10" t="inlineStr">
        <is>
          <t>Nhân viên</t>
        </is>
      </c>
      <c r="H2112" s="10" t="inlineStr">
        <is>
          <t>24/02/2026</t>
        </is>
      </c>
      <c r="I2112" s="10" t="inlineStr">
        <is>
          <t>26/03/2026</t>
        </is>
      </c>
      <c r="J2112" s="10" t="inlineStr">
        <is>
          <t>17/03/2026</t>
        </is>
      </c>
      <c r="K2112" s="10" t="inlineStr">
        <is>
          <t>N/A</t>
        </is>
      </c>
      <c r="L2112" s="10" t="inlineStr">
        <is>
          <t>Revit, BIM, Architect, BIM360</t>
        </is>
      </c>
      <c r="M2112" s="10" t="inlineStr">
        <is>
          <t>Bonus, Healthcare Plan, Canteen</t>
        </is>
      </c>
      <c r="N2112" s="11">
        <f>HYPERLINK("https://www.vietnamworks.com/senior-revit-architect-kien-truc-su-revit-2012826-jv","Xem chi tiết")</f>
        <v/>
      </c>
      <c r="O2112" s="10" t="n"/>
    </row>
    <row r="2113">
      <c r="B2113" s="7" t="n">
        <v>2111</v>
      </c>
      <c r="C2113" t="inlineStr">
        <is>
          <t>Kế Toán Trưởng</t>
        </is>
      </c>
      <c r="D2113" t="inlineStr">
        <is>
          <t>Tập đoàn TUTA</t>
        </is>
      </c>
      <c r="E2113" t="inlineStr">
        <is>
          <t>$$ 1,000-1,500 /tháng</t>
        </is>
      </c>
      <c r="F2113" t="inlineStr">
        <is>
          <t>Bắc Ninh, Hà Nội</t>
        </is>
      </c>
      <c r="G2113" t="inlineStr">
        <is>
          <t>Trưởng phòng</t>
        </is>
      </c>
      <c r="H2113" t="inlineStr">
        <is>
          <t>24/02/2026</t>
        </is>
      </c>
      <c r="I2113" t="inlineStr">
        <is>
          <t>26/03/2026</t>
        </is>
      </c>
      <c r="J2113" t="inlineStr">
        <is>
          <t>17/03/2026</t>
        </is>
      </c>
      <c r="K2113" t="inlineStr">
        <is>
          <t>N/A</t>
        </is>
      </c>
      <c r="L2113" t="inlineStr">
        <is>
          <t>Quản Lý Kế Toán Xây Dựng, Kế Toán Tài Chính, Lập Báo Cáo Tài Chính, Kế Toán Dự Án, kế toán trưởng</t>
        </is>
      </c>
      <c r="M2113" t="inlineStr">
        <is>
          <t>Bonus, Paid Leave, Travel Opportunities</t>
        </is>
      </c>
      <c r="N2113" s="8">
        <f>HYPERLINK("https://www.vietnamworks.com/ke-toan-truong--2012834-jv","Xem chi tiết")</f>
        <v/>
      </c>
    </row>
    <row r="2114">
      <c r="B2114" s="9" t="n">
        <v>2112</v>
      </c>
      <c r="C2114" s="10" t="inlineStr">
        <is>
          <t>Visual Merchandiser Executive (VMD)</t>
        </is>
      </c>
      <c r="D2114" s="10" t="inlineStr">
        <is>
          <t>Công Ty TNHH Lock&amp;Lock HCM</t>
        </is>
      </c>
      <c r="E2114" s="10" t="inlineStr">
        <is>
          <t>Thương lượng</t>
        </is>
      </c>
      <c r="F2114" s="10" t="inlineStr">
        <is>
          <t>Hồ Chí Minh</t>
        </is>
      </c>
      <c r="G2114" s="10" t="inlineStr">
        <is>
          <t>Nhân viên</t>
        </is>
      </c>
      <c r="H2114" s="10" t="inlineStr">
        <is>
          <t>24/02/2026</t>
        </is>
      </c>
      <c r="I2114" s="10" t="inlineStr">
        <is>
          <t>26/03/2026</t>
        </is>
      </c>
      <c r="J2114" s="10" t="inlineStr">
        <is>
          <t>17/03/2026</t>
        </is>
      </c>
      <c r="K2114" s="10" t="inlineStr">
        <is>
          <t>N/A</t>
        </is>
      </c>
      <c r="L2114" s="10" t="inlineStr">
        <is>
          <t>Consumer Electronics, Home Appliances, Market Research, Product Management, Project Management</t>
        </is>
      </c>
      <c r="M2114" s="10" t="inlineStr">
        <is>
          <t>Bonus, Healthcare Plan, Training, Team Activities, Vouchers, Others</t>
        </is>
      </c>
      <c r="N2114" s="11">
        <f>HYPERLINK("https://www.vietnamworks.com/visual-merchandiser-executive-vmd-2012837-jv","Xem chi tiết")</f>
        <v/>
      </c>
      <c r="O2114" s="10" t="n"/>
    </row>
    <row r="2115">
      <c r="B2115" s="7" t="n">
        <v>2113</v>
      </c>
      <c r="C2115" t="inlineStr">
        <is>
          <t>Production Engineering/ Nhân Viên Kỹ Thuật Sản Xuất (Working in Hung Yen)</t>
        </is>
      </c>
      <c r="D2115" t="inlineStr">
        <is>
          <t>Công ty TNHH Thiết bị Công nghiệp Toyota Việt Nam</t>
        </is>
      </c>
      <c r="E2115" t="inlineStr">
        <is>
          <t>10tr-18tr ₫/tháng</t>
        </is>
      </c>
      <c r="F2115" t="inlineStr">
        <is>
          <t>Hà Nội, Hải Dương, Hưng Yên</t>
        </is>
      </c>
      <c r="G2115" t="inlineStr">
        <is>
          <t>Nhân viên</t>
        </is>
      </c>
      <c r="H2115" t="inlineStr">
        <is>
          <t>24/02/2026</t>
        </is>
      </c>
      <c r="I2115" t="inlineStr">
        <is>
          <t>26/03/2026</t>
        </is>
      </c>
      <c r="J2115" t="inlineStr">
        <is>
          <t>17/03/2026</t>
        </is>
      </c>
      <c r="K2115" t="inlineStr">
        <is>
          <t>N/A</t>
        </is>
      </c>
      <c r="L2115" t="inlineStr">
        <is>
          <t>Mechanical Drawing, Kỹ Thuật Sản Xuất, CAD, Manufacturing, Mechanical</t>
        </is>
      </c>
      <c r="M2115" t="inlineStr">
        <is>
          <t>Bonus, Paid Leave, Transportation</t>
        </is>
      </c>
      <c r="N2115" s="8">
        <f>HYPERLINK("https://www.vietnamworks.com/production-engineering-nhan-vien-ky-thuat-san-xuat-working-in-hung-yen--2012827-jv","Xem chi tiết")</f>
        <v/>
      </c>
    </row>
    <row r="2116">
      <c r="B2116" s="9" t="n">
        <v>2114</v>
      </c>
      <c r="C2116" s="10" t="inlineStr">
        <is>
          <t>Epicor ERP Technical Analyst</t>
        </is>
      </c>
      <c r="D2116" s="10" t="inlineStr">
        <is>
          <t>Công Ty TNHH Mi-Jack Manufacturing Global Viet Nam</t>
        </is>
      </c>
      <c r="E2116" s="10" t="inlineStr">
        <is>
          <t>Thương lượng</t>
        </is>
      </c>
      <c r="F2116" s="10" t="inlineStr">
        <is>
          <t>Hồ Chí Minh</t>
        </is>
      </c>
      <c r="G2116" s="10" t="inlineStr">
        <is>
          <t>Nhân viên</t>
        </is>
      </c>
      <c r="H2116" s="10" t="inlineStr">
        <is>
          <t>24/02/2026</t>
        </is>
      </c>
      <c r="I2116" s="10" t="inlineStr">
        <is>
          <t>26/03/2026</t>
        </is>
      </c>
      <c r="J2116" s="10" t="inlineStr">
        <is>
          <t>17/03/2026</t>
        </is>
      </c>
      <c r="K2116" s="10" t="inlineStr">
        <is>
          <t>N/A</t>
        </is>
      </c>
      <c r="L2116" s="10" t="inlineStr">
        <is>
          <t>Epicor Kinetic, C#, .NET software development, REST API, ERP</t>
        </is>
      </c>
      <c r="M2116" s="10" t="inlineStr">
        <is>
          <t>Bonus, Healthcare Plan, Paid Leave, Laptop, Travel Opportunities, Team Activities, Others</t>
        </is>
      </c>
      <c r="N2116" s="11">
        <f>HYPERLINK("https://www.vietnamworks.com/epicor-erp-technical-analyst-2012825-jv","Xem chi tiết")</f>
        <v/>
      </c>
      <c r="O2116" s="10" t="n"/>
    </row>
    <row r="2117">
      <c r="B2117" s="7" t="n">
        <v>2115</v>
      </c>
      <c r="C2117" t="inlineStr">
        <is>
          <t>Chuyên Viên Phát Triển Thị Trường</t>
        </is>
      </c>
      <c r="D2117" t="inlineStr">
        <is>
          <t>Công ty TNHH Nagen</t>
        </is>
      </c>
      <c r="E2117" t="inlineStr">
        <is>
          <t>15tr-30tr ₫/tháng</t>
        </is>
      </c>
      <c r="F2117" t="inlineStr">
        <is>
          <t>Hà Nội</t>
        </is>
      </c>
      <c r="G2117" t="inlineStr">
        <is>
          <t>Nhân viên</t>
        </is>
      </c>
      <c r="H2117" t="inlineStr">
        <is>
          <t>24/02/2026</t>
        </is>
      </c>
      <c r="I2117" t="inlineStr">
        <is>
          <t>26/03/2026</t>
        </is>
      </c>
      <c r="J2117" t="inlineStr">
        <is>
          <t>17/03/2026</t>
        </is>
      </c>
      <c r="K2117" t="inlineStr">
        <is>
          <t>N/A</t>
        </is>
      </c>
      <c r="L2117" t="inlineStr">
        <is>
          <t>Duy Trì Mối Quan Hệ, Phát Triển Khách Hàng, Phát Triển Thị Trường, Tìm Kiếm Khách Hàng, Tư Vấn Sản Phẩm</t>
        </is>
      </c>
      <c r="M2117" t="inlineStr">
        <is>
          <t>Bonus, Healthcare Plan, Training, Team Activities, Others</t>
        </is>
      </c>
      <c r="N2117" s="8">
        <f>HYPERLINK("https://www.vietnamworks.com/chuyen-vien-phat-trien-thi-truong-2012809-jv","Xem chi tiết")</f>
        <v/>
      </c>
    </row>
    <row r="2118">
      <c r="B2118" s="9" t="n">
        <v>2116</v>
      </c>
      <c r="C2118" s="10" t="inlineStr">
        <is>
          <t>Service Accountant – Accounting &amp; Tax Service/outsourcing Service</t>
        </is>
      </c>
      <c r="D2118" s="10" t="inlineStr">
        <is>
          <t>Branch of HSK Viet Nam Audit Company Limited in Ho Chi Minh City</t>
        </is>
      </c>
      <c r="E2118" s="10" t="inlineStr">
        <is>
          <t>Thương lượng</t>
        </is>
      </c>
      <c r="F2118" s="10" t="inlineStr">
        <is>
          <t>Hồ Chí Minh, Đà Nẵng</t>
        </is>
      </c>
      <c r="G2118" s="10" t="inlineStr">
        <is>
          <t>Nhân viên</t>
        </is>
      </c>
      <c r="H2118" s="10" t="inlineStr">
        <is>
          <t>24/02/2026</t>
        </is>
      </c>
      <c r="I2118" s="10" t="inlineStr">
        <is>
          <t>26/03/2026</t>
        </is>
      </c>
      <c r="J2118" s="10" t="inlineStr">
        <is>
          <t>17/03/2026</t>
        </is>
      </c>
      <c r="K2118" s="10" t="inlineStr">
        <is>
          <t>N/A</t>
        </is>
      </c>
      <c r="L2118" s="10" t="inlineStr">
        <is>
          <t>Auditing, Accounting, Taxation, Leadership, Analytical</t>
        </is>
      </c>
      <c r="M2118" s="10" t="inlineStr">
        <is>
          <t>Bonus, Paid Leave, Team Activities, Others</t>
        </is>
      </c>
      <c r="N2118" s="11">
        <f>HYPERLINK("https://www.vietnamworks.com/service-accountant-accounting-tax-service-outsourcing-service-2012840-jv","Xem chi tiết")</f>
        <v/>
      </c>
      <c r="O2118" s="10" t="n"/>
    </row>
    <row r="2119">
      <c r="B2119" s="7" t="n">
        <v>2117</v>
      </c>
      <c r="C2119" t="inlineStr">
        <is>
          <t>Trưởng/phó Phòng Chuyển Đổi Số</t>
        </is>
      </c>
      <c r="D2119" t="inlineStr">
        <is>
          <t>Petrovietnam Transportation Corporation (PVTrans)</t>
        </is>
      </c>
      <c r="E2119" t="inlineStr">
        <is>
          <t>Thương lượng</t>
        </is>
      </c>
      <c r="F2119" t="inlineStr">
        <is>
          <t>Hồ Chí Minh</t>
        </is>
      </c>
      <c r="G2119" t="inlineStr">
        <is>
          <t>Trưởng phòng</t>
        </is>
      </c>
      <c r="H2119" t="inlineStr">
        <is>
          <t>24/02/2026</t>
        </is>
      </c>
      <c r="I2119" t="inlineStr">
        <is>
          <t>26/03/2026</t>
        </is>
      </c>
      <c r="J2119" t="inlineStr">
        <is>
          <t>17/03/2026</t>
        </is>
      </c>
      <c r="K2119" t="inlineStr">
        <is>
          <t>N/A</t>
        </is>
      </c>
      <c r="L2119" t="inlineStr">
        <is>
          <t>Chuyển Đổi Số, Công Nghệ Thông Tin, ERP, Khoa Học Máy Tính, Triển Khai Phần Mềm</t>
        </is>
      </c>
      <c r="M2119" t="inlineStr">
        <is>
          <t>Bonus, Healthcare Plan, Training</t>
        </is>
      </c>
      <c r="N2119" s="8">
        <f>HYPERLINK("https://www.vietnamworks.com/truongpho-phong-chuyen-djoi-so-2012838-jv","Xem chi tiết")</f>
        <v/>
      </c>
    </row>
    <row r="2120">
      <c r="B2120" s="9" t="n">
        <v>2118</v>
      </c>
      <c r="C2120" s="10" t="inlineStr">
        <is>
          <t>Nhân Viên Kỹ Thuật Thiết Bị Y Tế ( Có Đào Tạo – Lương: 9–15Tr)</t>
        </is>
      </c>
      <c r="D2120" s="10" t="inlineStr">
        <is>
          <t>Công Ty Cổ Phần Seadent</t>
        </is>
      </c>
      <c r="E2120" s="10" t="inlineStr">
        <is>
          <t>9tr-15tr ₫/tháng</t>
        </is>
      </c>
      <c r="F2120" s="10" t="inlineStr">
        <is>
          <t>Hà Nội, Hồ Chí Minh</t>
        </is>
      </c>
      <c r="G2120" s="10" t="inlineStr">
        <is>
          <t>Nhân viên</t>
        </is>
      </c>
      <c r="H2120" s="10" t="inlineStr">
        <is>
          <t>24/02/2026</t>
        </is>
      </c>
      <c r="I2120" s="10" t="inlineStr">
        <is>
          <t>26/03/2026</t>
        </is>
      </c>
      <c r="J2120" s="10" t="inlineStr">
        <is>
          <t>17/03/2026</t>
        </is>
      </c>
      <c r="K2120" s="10" t="inlineStr">
        <is>
          <t>N/A</t>
        </is>
      </c>
      <c r="L2120" s="10" t="inlineStr">
        <is>
          <t>Auto Cad, Bảo Trì, Kỹ Thuật Y Sinh, Lắp Đặt Thiết Bị, Điện điện tử</t>
        </is>
      </c>
      <c r="M2120" s="10" t="inlineStr">
        <is>
          <t>Bonus, Healthcare Plan, Training, Travel Opportunities, Others</t>
        </is>
      </c>
      <c r="N2120" s="11">
        <f>HYPERLINK("https://www.vietnamworks.com/nhan-vien-ky-thuat-thiet-bi-y-te-co-djao-tao-luong-9-15tr-2012841-jv","Xem chi tiết")</f>
        <v/>
      </c>
      <c r="O2120" s="10" t="n"/>
    </row>
    <row r="2121">
      <c r="B2121" s="7" t="n">
        <v>2119</v>
      </c>
      <c r="C2121" t="inlineStr">
        <is>
          <t>[Hà Nội] Trưởng Phòng R&amp;D - Lương Upto 45 Triệu</t>
        </is>
      </c>
      <c r="D2121" t="inlineStr">
        <is>
          <t>Công ty Cổ phần Thương mại Kiềm Saphia Pharma</t>
        </is>
      </c>
      <c r="E2121" t="inlineStr">
        <is>
          <t>35tr-45tr ₫/tháng</t>
        </is>
      </c>
      <c r="F2121" t="inlineStr">
        <is>
          <t>Hà Nội</t>
        </is>
      </c>
      <c r="G2121" t="inlineStr">
        <is>
          <t>Trưởng phòng</t>
        </is>
      </c>
      <c r="H2121" t="inlineStr">
        <is>
          <t>24/02/2026</t>
        </is>
      </c>
      <c r="I2121" t="inlineStr">
        <is>
          <t>26/03/2026</t>
        </is>
      </c>
      <c r="J2121" t="inlineStr">
        <is>
          <t>17/03/2026</t>
        </is>
      </c>
      <c r="K2121" t="inlineStr">
        <is>
          <t>N/A</t>
        </is>
      </c>
      <c r="L2121" t="inlineStr">
        <is>
          <t>Công Nghệ Thực Phẩm, Hoá Dược, Công Nghệ Sinh Học, R&amp;D, Sản Xuất Đồ Uống</t>
        </is>
      </c>
      <c r="M2121" t="inlineStr">
        <is>
          <t>Bonus</t>
        </is>
      </c>
      <c r="N2121" s="8">
        <f>HYPERLINK("https://www.vietnamworks.com/ha-noi-truong-phong-r-d-luong-upto-45-trieu-2012832-jv","Xem chi tiết")</f>
        <v/>
      </c>
    </row>
    <row r="2122">
      <c r="B2122" s="9" t="n">
        <v>2120</v>
      </c>
      <c r="C2122" s="10" t="inlineStr">
        <is>
          <t>Senior Architect/ Kiến Trúc Sư</t>
        </is>
      </c>
      <c r="D2122" s="10" t="inlineStr">
        <is>
          <t>GSASTUDIO CO. LTD</t>
        </is>
      </c>
      <c r="E2122" s="10" t="inlineStr">
        <is>
          <t>Thương lượng</t>
        </is>
      </c>
      <c r="F2122" s="10" t="inlineStr">
        <is>
          <t>Hồ Chí Minh</t>
        </is>
      </c>
      <c r="G2122" s="10" t="inlineStr">
        <is>
          <t>Nhân viên</t>
        </is>
      </c>
      <c r="H2122" s="10" t="inlineStr">
        <is>
          <t>24/02/2026</t>
        </is>
      </c>
      <c r="I2122" s="10" t="inlineStr">
        <is>
          <t>26/03/2026</t>
        </is>
      </c>
      <c r="J2122" s="10" t="inlineStr">
        <is>
          <t>17/03/2026</t>
        </is>
      </c>
      <c r="K2122" s="10" t="inlineStr">
        <is>
          <t>N/A</t>
        </is>
      </c>
      <c r="L2122" s="10" t="inlineStr">
        <is>
          <t>Project Management, Technical skills, Revit, Documentation, Kiến Trúc Sư</t>
        </is>
      </c>
      <c r="M2122" s="10" t="inlineStr">
        <is>
          <t>Healthcare Plan, Paid Leave, Team Activities, Others</t>
        </is>
      </c>
      <c r="N2122" s="11">
        <f>HYPERLINK("https://www.vietnamworks.com/senior-architect-kien-truc-su--2012847-jv","Xem chi tiết")</f>
        <v/>
      </c>
      <c r="O2122" s="10" t="n"/>
    </row>
    <row r="2123">
      <c r="B2123" s="7" t="n">
        <v>2121</v>
      </c>
      <c r="C2123" t="inlineStr">
        <is>
          <t>Giám Đốc Quản Trị Danh Mục - Phòng Quản Trị Danh Mục</t>
        </is>
      </c>
      <c r="D2123" t="inlineStr">
        <is>
          <t>Công Ty Cổ Phần Chứng Khoán Vpbank</t>
        </is>
      </c>
      <c r="E2123" t="inlineStr">
        <is>
          <t>Thương lượng</t>
        </is>
      </c>
      <c r="F2123" t="inlineStr">
        <is>
          <t>Hà Nội</t>
        </is>
      </c>
      <c r="G2123" t="inlineStr">
        <is>
          <t>Giám Đốc và Cấp Cao Hơn</t>
        </is>
      </c>
      <c r="H2123" t="inlineStr">
        <is>
          <t>24/02/2026</t>
        </is>
      </c>
      <c r="I2123" t="inlineStr">
        <is>
          <t>26/03/2026</t>
        </is>
      </c>
      <c r="J2123" t="inlineStr">
        <is>
          <t>17/03/2026</t>
        </is>
      </c>
      <c r="K2123" t="inlineStr">
        <is>
          <t>N/A</t>
        </is>
      </c>
      <c r="L2123" t="inlineStr">
        <is>
          <t>Quản Lý Danh Mục, Phân Tích Tài Chính, Lãnh Đạo, Định Giá, Đầu Tư</t>
        </is>
      </c>
      <c r="M2123" t="inlineStr">
        <is>
          <t>Bonus, Healthcare Plan, Training, Laptop, Team Activities</t>
        </is>
      </c>
      <c r="N2123" s="8">
        <f>HYPERLINK("https://www.vietnamworks.com/giam-djoc-quan-tri-danh-muc-phong-quan-tri-danh-muc-2012856-jv","Xem chi tiết")</f>
        <v/>
      </c>
    </row>
    <row r="2124">
      <c r="B2124" s="9" t="n">
        <v>2122</v>
      </c>
      <c r="C2124" s="10" t="inlineStr">
        <is>
          <t>Product Marketing Manager</t>
        </is>
      </c>
      <c r="D2124" s="10" t="inlineStr">
        <is>
          <t>CÔNG TY CỔ PHẦN GROUPE SEB VIỆT NAM</t>
        </is>
      </c>
      <c r="E2124" s="10" t="inlineStr">
        <is>
          <t>Thương lượng</t>
        </is>
      </c>
      <c r="F2124" s="10" t="inlineStr">
        <is>
          <t>Hồ Chí Minh</t>
        </is>
      </c>
      <c r="G2124" s="10" t="inlineStr">
        <is>
          <t>Trưởng phòng</t>
        </is>
      </c>
      <c r="H2124" s="10" t="inlineStr">
        <is>
          <t>24/02/2026</t>
        </is>
      </c>
      <c r="I2124" s="10" t="inlineStr">
        <is>
          <t>26/03/2026</t>
        </is>
      </c>
      <c r="J2124" s="10" t="inlineStr">
        <is>
          <t>17/03/2026</t>
        </is>
      </c>
      <c r="K2124" s="10" t="inlineStr">
        <is>
          <t>N/A</t>
        </is>
      </c>
      <c r="L2124" s="10" t="inlineStr">
        <is>
          <t>Product Marketing, Sales Price Calculation, Data Analysis</t>
        </is>
      </c>
      <c r="M2124" s="10" t="inlineStr">
        <is>
          <t>Bonus, Healthcare Plan, Vouchers</t>
        </is>
      </c>
      <c r="N2124" s="11">
        <f>HYPERLINK("https://www.vietnamworks.com/product-marketing-manager-2012849-jv","Xem chi tiết")</f>
        <v/>
      </c>
      <c r="O2124" s="10" t="n"/>
    </row>
    <row r="2125">
      <c r="B2125" s="7" t="n">
        <v>2123</v>
      </c>
      <c r="C2125" t="inlineStr">
        <is>
          <t>Trưởng Phòng Truyền Thông, Marketing và Đối Ngoại</t>
        </is>
      </c>
      <c r="D2125" t="inlineStr">
        <is>
          <t>Công Ty Cổ Phần Tập Đoàn Phú Thái Holdings</t>
        </is>
      </c>
      <c r="E2125" t="inlineStr">
        <is>
          <t>Thương lượng</t>
        </is>
      </c>
      <c r="F2125" t="inlineStr">
        <is>
          <t>Hà Nội</t>
        </is>
      </c>
      <c r="G2125" t="inlineStr">
        <is>
          <t>Trưởng phòng</t>
        </is>
      </c>
      <c r="H2125" t="inlineStr">
        <is>
          <t>24/02/2026</t>
        </is>
      </c>
      <c r="I2125" t="inlineStr">
        <is>
          <t>26/03/2026</t>
        </is>
      </c>
      <c r="J2125" t="inlineStr">
        <is>
          <t>17/03/2026</t>
        </is>
      </c>
      <c r="K2125" t="inlineStr">
        <is>
          <t>N/A</t>
        </is>
      </c>
      <c r="L2125" t="inlineStr">
        <is>
          <t>Digital Marketing, Marketing Planning, Public Relation, Đối Ngoại, Quan hệ công chúng &amp; báo chí</t>
        </is>
      </c>
      <c r="M2125" t="inlineStr">
        <is>
          <t>Bonus, Training, Team Activities, Others</t>
        </is>
      </c>
      <c r="N2125" s="8">
        <f>HYPERLINK("https://www.vietnamworks.com/truong-phong-truyen-thong-marketing-va-doi-ngoai-2012844-jv","Xem chi tiết")</f>
        <v/>
      </c>
    </row>
    <row r="2126">
      <c r="B2126" s="9" t="n">
        <v>2124</v>
      </c>
      <c r="C2126" s="10" t="inlineStr">
        <is>
          <t>Nhân Viên Kinh Doanh HCM Đồng Nai | Thu Nhập 9-15 Triệu</t>
        </is>
      </c>
      <c r="D2126" s="10" t="inlineStr">
        <is>
          <t>CÔNG TY TNHH THIẾT BỊ CÔNG NGHIỆP PHƯƠNG ANH</t>
        </is>
      </c>
      <c r="E2126" s="10" t="inlineStr">
        <is>
          <t>$$ 300-600 /tháng</t>
        </is>
      </c>
      <c r="F2126" s="10" t="inlineStr">
        <is>
          <t>Hồ Chí Minh, Đồng Nai, Hưng Yên</t>
        </is>
      </c>
      <c r="G2126" s="10" t="inlineStr">
        <is>
          <t>Nhân viên</t>
        </is>
      </c>
      <c r="H2126" s="10" t="inlineStr">
        <is>
          <t>24/02/2026</t>
        </is>
      </c>
      <c r="I2126" s="10" t="inlineStr">
        <is>
          <t>26/03/2026</t>
        </is>
      </c>
      <c r="J2126" s="10" t="inlineStr">
        <is>
          <t>17/03/2026</t>
        </is>
      </c>
      <c r="K2126" s="10" t="inlineStr">
        <is>
          <t>N/A</t>
        </is>
      </c>
      <c r="L2126" s="10" t="inlineStr">
        <is>
          <t>Bán hàng, Kinh Doanh, Sale, công trình, Thiết Bị</t>
        </is>
      </c>
      <c r="M2126" s="10" t="inlineStr">
        <is>
          <t>Bonus, Healthcare Plan, Canteen</t>
        </is>
      </c>
      <c r="N2126" s="11">
        <f>HYPERLINK("https://www.vietnamworks.com/nhan-vien-kinh-doanh-hcm-dong-nai-thu-nhap-9-15-trieu-2012842-jv","Xem chi tiết")</f>
        <v/>
      </c>
      <c r="O2126" s="10" t="n"/>
    </row>
    <row r="2127">
      <c r="B2127" s="7" t="n">
        <v>2125</v>
      </c>
      <c r="C2127" t="inlineStr">
        <is>
          <t>Trưởng Phòng Kinh Doanh Bất Động Sản</t>
        </is>
      </c>
      <c r="D2127" t="inlineStr">
        <is>
          <t>CÔNG TY TNHH BẤT ĐỘNG SẢN RECO</t>
        </is>
      </c>
      <c r="E2127" t="inlineStr">
        <is>
          <t>15tr-150tr ₫/tháng</t>
        </is>
      </c>
      <c r="F2127" t="inlineStr">
        <is>
          <t>Hồ Chí Minh</t>
        </is>
      </c>
      <c r="G2127" t="inlineStr">
        <is>
          <t>Trưởng phòng</t>
        </is>
      </c>
      <c r="H2127" t="inlineStr">
        <is>
          <t>24/02/2026</t>
        </is>
      </c>
      <c r="I2127" t="inlineStr">
        <is>
          <t>26/03/2026</t>
        </is>
      </c>
      <c r="J2127" t="inlineStr">
        <is>
          <t>17/03/2026</t>
        </is>
      </c>
      <c r="K2127" t="inlineStr">
        <is>
          <t>N/A</t>
        </is>
      </c>
      <c r="L2127" t="inlineStr">
        <is>
          <t>Quản Trị Đội Ngũ, Kế Hoạch Bán Hàng, Đàm Phán Khách Hàng, Chăm Sóc Khách Hàng, Kinh Doanh Bất Động Sản</t>
        </is>
      </c>
      <c r="M2127" t="inlineStr">
        <is>
          <t>Bonus, Others</t>
        </is>
      </c>
      <c r="N2127" s="8">
        <f>HYPERLINK("https://www.vietnamworks.com/truong-phong-kinh-doanh-bat-djong-san-2012858-jv","Xem chi tiết")</f>
        <v/>
      </c>
    </row>
    <row r="2128">
      <c r="B2128" s="9" t="n">
        <v>2126</v>
      </c>
      <c r="C2128" s="10" t="inlineStr">
        <is>
          <t>Nhân Viên Kinh Doanh Bất Động Sản - Hỗ Trợ KH MKT Chạy Quảng Cáo</t>
        </is>
      </c>
      <c r="D2128" s="10" t="inlineStr">
        <is>
          <t>CÔNG TY TNHH BẤT ĐỘNG SẢN RECO</t>
        </is>
      </c>
      <c r="E2128" s="10" t="inlineStr">
        <is>
          <t>10tr-100tr ₫/tháng</t>
        </is>
      </c>
      <c r="F2128" s="10" t="inlineStr">
        <is>
          <t>Hồ Chí Minh</t>
        </is>
      </c>
      <c r="G2128" s="10" t="inlineStr">
        <is>
          <t>Nhân viên</t>
        </is>
      </c>
      <c r="H2128" s="10" t="inlineStr">
        <is>
          <t>24/02/2026</t>
        </is>
      </c>
      <c r="I2128" s="10" t="inlineStr">
        <is>
          <t>26/03/2026</t>
        </is>
      </c>
      <c r="J2128" s="10" t="inlineStr">
        <is>
          <t>17/03/2026</t>
        </is>
      </c>
      <c r="K2128" s="10" t="inlineStr">
        <is>
          <t>N/A</t>
        </is>
      </c>
      <c r="L2128" s="10" t="inlineStr">
        <is>
          <t>Kinh Doanh Bất Động Sản, Tư Vấn Khách Hàng, Chăm Sóc Khách Hàng, Tìm Kiếm Khách Hàng, Tinh Thần Tập Thể</t>
        </is>
      </c>
      <c r="M2128" s="10" t="inlineStr">
        <is>
          <t>Bonus, Training, Team Activities, Others</t>
        </is>
      </c>
      <c r="N2128" s="11">
        <f>HYPERLINK("https://www.vietnamworks.com/nhan-vien-kinh-doanh-bat-djong-san-ho-tro-kh-mkt-chay-quang-cao-2012859-jv","Xem chi tiết")</f>
        <v/>
      </c>
      <c r="O2128" s="10" t="n"/>
    </row>
    <row r="2129">
      <c r="B2129" s="7" t="n">
        <v>2127</v>
      </c>
      <c r="C2129" t="inlineStr">
        <is>
          <t>[ Hot Job ] E - Commerce Manager</t>
        </is>
      </c>
      <c r="D2129" t="inlineStr">
        <is>
          <t>Công ty TNHH Sypanel Vina</t>
        </is>
      </c>
      <c r="E2129" t="inlineStr">
        <is>
          <t>Thương lượng</t>
        </is>
      </c>
      <c r="F2129" t="inlineStr">
        <is>
          <t>Hà Nội, Hồ Chí Minh</t>
        </is>
      </c>
      <c r="G2129" t="inlineStr">
        <is>
          <t>Trưởng phòng</t>
        </is>
      </c>
      <c r="H2129" t="inlineStr">
        <is>
          <t>24/02/2026</t>
        </is>
      </c>
      <c r="I2129" t="inlineStr">
        <is>
          <t>26/03/2026</t>
        </is>
      </c>
      <c r="J2129" t="inlineStr">
        <is>
          <t>17/03/2026</t>
        </is>
      </c>
      <c r="K2129" t="inlineStr">
        <is>
          <t>N/A</t>
        </is>
      </c>
      <c r="L2129" t="inlineStr">
        <is>
          <t>Brand Management, Content, E-Commerce, Marketing, Media Marketing</t>
        </is>
      </c>
      <c r="M2129" t="inlineStr">
        <is>
          <t>Bonus, Healthcare Plan, Paid Leave</t>
        </is>
      </c>
      <c r="N2129" s="8">
        <f>HYPERLINK("https://www.vietnamworks.com/hot-job-e-commerce-manager-2012845-jv","Xem chi tiết")</f>
        <v/>
      </c>
    </row>
    <row r="2130">
      <c r="B2130" s="9" t="n">
        <v>2128</v>
      </c>
      <c r="C2130" s="10" t="inlineStr">
        <is>
          <t>POG Team Leader</t>
        </is>
      </c>
      <c r="D2130" s="10" t="inlineStr">
        <is>
          <t>CÔNG TY TNHH GS 25 VIETNAM</t>
        </is>
      </c>
      <c r="E2130" s="10" t="inlineStr">
        <is>
          <t>Thương lượng</t>
        </is>
      </c>
      <c r="F2130" s="10" t="inlineStr">
        <is>
          <t>Hồ Chí Minh</t>
        </is>
      </c>
      <c r="G2130" s="10" t="inlineStr">
        <is>
          <t>Trưởng phòng</t>
        </is>
      </c>
      <c r="H2130" s="10" t="inlineStr">
        <is>
          <t>24/02/2026</t>
        </is>
      </c>
      <c r="I2130" s="10" t="inlineStr">
        <is>
          <t>26/03/2026</t>
        </is>
      </c>
      <c r="J2130" s="10" t="inlineStr">
        <is>
          <t>17/03/2026</t>
        </is>
      </c>
      <c r="K2130" s="10" t="inlineStr">
        <is>
          <t>N/A</t>
        </is>
      </c>
      <c r="L2130" s="10" t="inlineStr">
        <is>
          <t>Category Management, Data Analysis, layout &amp; planogram, Space Optimization, Team leadership</t>
        </is>
      </c>
      <c r="M2130" s="10" t="inlineStr">
        <is>
          <t>Healthcare Plan, Paid Leave, Laptop</t>
        </is>
      </c>
      <c r="N2130" s="11">
        <f>HYPERLINK("https://www.vietnamworks.com/pog-team-leader-2012855-jv","Xem chi tiết")</f>
        <v/>
      </c>
      <c r="O2130" s="10" t="n"/>
    </row>
    <row r="2131">
      <c r="B2131" s="7" t="n">
        <v>2129</v>
      </c>
      <c r="C2131" t="inlineStr">
        <is>
          <t>Chuyên Viên Quảng Cáo Hiệu Suất (Peformance Executive)</t>
        </is>
      </c>
      <c r="D2131" t="inlineStr">
        <is>
          <t>Công ty Cổ phần Chứng khoán SSI</t>
        </is>
      </c>
      <c r="E2131" t="inlineStr">
        <is>
          <t>Thương lượng</t>
        </is>
      </c>
      <c r="F2131" t="inlineStr">
        <is>
          <t>Hà Nội</t>
        </is>
      </c>
      <c r="G2131" t="inlineStr">
        <is>
          <t>Nhân viên</t>
        </is>
      </c>
      <c r="H2131" t="inlineStr">
        <is>
          <t>24/02/2026</t>
        </is>
      </c>
      <c r="I2131" t="inlineStr">
        <is>
          <t>26/03/2026</t>
        </is>
      </c>
      <c r="J2131" t="inlineStr">
        <is>
          <t>17/03/2026</t>
        </is>
      </c>
      <c r="K2131" t="inlineStr">
        <is>
          <t>N/A</t>
        </is>
      </c>
      <c r="L2131" t="inlineStr">
        <is>
          <t>Data-Driven, Google Ads, Google Analytics, MultiAd Creator, Performance Marketing</t>
        </is>
      </c>
      <c r="M2131" t="inlineStr">
        <is>
          <t>Healthcare Plan, Training, Team Activities, Others</t>
        </is>
      </c>
      <c r="N2131" s="8">
        <f>HYPERLINK("https://www.vietnamworks.com/chuyen-vien-quang-cao-hieu-suat-peformance-executive-2012853-jv","Xem chi tiết")</f>
        <v/>
      </c>
    </row>
    <row r="2132">
      <c r="B2132" s="9" t="n">
        <v>2130</v>
      </c>
      <c r="C2132" s="10" t="inlineStr">
        <is>
          <t>[Hà Nội] Business Intelligence Executive (Data Analyst Executive)</t>
        </is>
      </c>
      <c r="D2132" s="10" t="inlineStr">
        <is>
          <t>Diana Unicharm JSC</t>
        </is>
      </c>
      <c r="E2132" s="10" t="inlineStr">
        <is>
          <t>Thương lượng</t>
        </is>
      </c>
      <c r="F2132" s="10" t="inlineStr">
        <is>
          <t>Hà Nội</t>
        </is>
      </c>
      <c r="G2132" s="10" t="inlineStr">
        <is>
          <t>Nhân viên</t>
        </is>
      </c>
      <c r="H2132" s="10" t="inlineStr">
        <is>
          <t>24/02/2026</t>
        </is>
      </c>
      <c r="I2132" s="10" t="inlineStr">
        <is>
          <t>26/03/2026</t>
        </is>
      </c>
      <c r="J2132" s="10" t="inlineStr">
        <is>
          <t>17/03/2026</t>
        </is>
      </c>
      <c r="K2132" s="10" t="inlineStr">
        <is>
          <t>N/A</t>
        </is>
      </c>
      <c r="L2132" s="10" t="inlineStr">
        <is>
          <t>Data-driven mindset, eCommerce, Sales Planning, Data Analysis, Data Analysis  (Excel, Power BI...)</t>
        </is>
      </c>
      <c r="M2132" s="10" t="inlineStr">
        <is>
          <t>Bonus, Healthcare Plan, Paid Leave, Laptop, Travel Opportunities, Team Activities, Canteen, Others</t>
        </is>
      </c>
      <c r="N2132" s="11">
        <f>HYPERLINK("https://www.vietnamworks.com/ha-noi-business-intelligence-executive-data-analyst-executive-2012862-jv","Xem chi tiết")</f>
        <v/>
      </c>
      <c r="O2132" s="10" t="n"/>
    </row>
    <row r="2133">
      <c r="B2133" s="7" t="n">
        <v>2131</v>
      </c>
      <c r="C2133" t="inlineStr">
        <is>
          <t>Chuyên Viên Cao Cấp Tuân Thủ/ Senior Compliance Executive</t>
        </is>
      </c>
      <c r="D2133" t="inlineStr">
        <is>
          <t>Công Ty Tài Chính TNHH Ngân Hàng TMCP Sài Gòn - Hà Nội (SHBFinance)</t>
        </is>
      </c>
      <c r="E2133" t="inlineStr">
        <is>
          <t>Thương lượng</t>
        </is>
      </c>
      <c r="F2133" t="inlineStr">
        <is>
          <t>Hồ Chí Minh</t>
        </is>
      </c>
      <c r="G2133" t="inlineStr">
        <is>
          <t>Nhân viên</t>
        </is>
      </c>
      <c r="H2133" t="inlineStr">
        <is>
          <t>24/02/2026</t>
        </is>
      </c>
      <c r="I2133" t="inlineStr">
        <is>
          <t>26/03/2026</t>
        </is>
      </c>
      <c r="J2133" t="inlineStr">
        <is>
          <t>17/03/2026</t>
        </is>
      </c>
      <c r="K2133" t="inlineStr">
        <is>
          <t>N/A</t>
        </is>
      </c>
      <c r="L2133" t="inlineStr">
        <is>
          <t>Banking Regulation, Compliance Management, Consumer Credit Service, Lean Knowledge, Professional Experience</t>
        </is>
      </c>
      <c r="M2133" t="inlineStr">
        <is>
          <t>Healthcare Plan, Paid Leave, Others</t>
        </is>
      </c>
      <c r="N2133" s="8">
        <f>HYPERLINK("https://www.vietnamworks.com/chuyen-vien-cao-cap-tuan-thu-senior-compliance-executive-2012852-jv","Xem chi tiết")</f>
        <v/>
      </c>
    </row>
    <row r="2134">
      <c r="B2134" s="9" t="n">
        <v>2132</v>
      </c>
      <c r="C2134" s="10" t="inlineStr">
        <is>
          <t>Chuyên Viên Tư Vấn Khách Hàng Cá Nhân (Không Yêu Cầu Kinh Nghiệm)</t>
        </is>
      </c>
      <c r="D2134" s="10" t="inlineStr">
        <is>
          <t>ABBank - Ngân Hàng TMCP An Bình</t>
        </is>
      </c>
      <c r="E2134" s="10" t="inlineStr">
        <is>
          <t>$$ 100-300 /tháng</t>
        </is>
      </c>
      <c r="F2134" s="10" t="inlineStr">
        <is>
          <t>Hồ Chí Minh, ĐBSCL, Khánh Hòa</t>
        </is>
      </c>
      <c r="G2134" s="10" t="inlineStr">
        <is>
          <t>Nhân viên</t>
        </is>
      </c>
      <c r="H2134" s="10" t="inlineStr">
        <is>
          <t>24/02/2026</t>
        </is>
      </c>
      <c r="I2134" s="10" t="inlineStr">
        <is>
          <t>26/03/2026</t>
        </is>
      </c>
      <c r="J2134" s="10" t="inlineStr">
        <is>
          <t>17/03/2026</t>
        </is>
      </c>
      <c r="K2134" s="10" t="inlineStr">
        <is>
          <t>N/A</t>
        </is>
      </c>
      <c r="L2134" s="10" t="inlineStr">
        <is>
          <t>Giao Tiếp</t>
        </is>
      </c>
      <c r="M2134" s="10" t="inlineStr">
        <is>
          <t>Bonus, Training, Others</t>
        </is>
      </c>
      <c r="N2134" s="11">
        <f>HYPERLINK("https://www.vietnamworks.com/chuyen-vien-tu-van-khach-hang-ca-nhan-khong-yeu-cau-kinh-nghiem-2012854-jv","Xem chi tiết")</f>
        <v/>
      </c>
      <c r="O2134" s="10" t="n"/>
    </row>
    <row r="2135">
      <c r="B2135" s="7" t="n">
        <v>2133</v>
      </c>
      <c r="C2135" t="inlineStr">
        <is>
          <t>Kế Toán Tổng Hợp - Thu Nhập 15-25Tr/tháng (Hà Nội)</t>
        </is>
      </c>
      <c r="D2135" t="inlineStr">
        <is>
          <t>Công Ty Cổ Phần Thiết Bị Và Dịch Vụ Tce</t>
        </is>
      </c>
      <c r="E2135" t="inlineStr">
        <is>
          <t>15tr-25tr ₫/tháng</t>
        </is>
      </c>
      <c r="F2135" t="inlineStr">
        <is>
          <t>Hà Nội</t>
        </is>
      </c>
      <c r="G2135" t="inlineStr">
        <is>
          <t>Nhân viên</t>
        </is>
      </c>
      <c r="H2135" t="inlineStr">
        <is>
          <t>24/02/2026</t>
        </is>
      </c>
      <c r="I2135" t="inlineStr">
        <is>
          <t>26/03/2026</t>
        </is>
      </c>
      <c r="J2135" t="inlineStr">
        <is>
          <t>17/03/2026</t>
        </is>
      </c>
      <c r="K2135" t="inlineStr">
        <is>
          <t>N/A</t>
        </is>
      </c>
      <c r="L2135" t="inlineStr">
        <is>
          <t>Kế Toán Tổng Hợp, Quản Lý Công Việc</t>
        </is>
      </c>
      <c r="M2135" t="inlineStr">
        <is>
          <t>Bonus, Healthcare Plan, Training</t>
        </is>
      </c>
      <c r="N2135" s="8">
        <f>HYPERLINK("https://www.vietnamworks.com/ke-toan-tong-hop-thu-nhap-15-25trthang-ha-noi-2012843-jv","Xem chi tiết")</f>
        <v/>
      </c>
    </row>
    <row r="2136">
      <c r="B2136" s="9" t="n">
        <v>2134</v>
      </c>
      <c r="C2136" s="10" t="inlineStr">
        <is>
          <t>Trưởng Nhóm/Chuyên Gia Phân Tích Dữ Liệu (Data Analytics Expert)</t>
        </is>
      </c>
      <c r="D2136" s="10" t="inlineStr">
        <is>
          <t>Công Ty Cổ Phần Chứng Khoán KAFI</t>
        </is>
      </c>
      <c r="E2136" s="10" t="inlineStr">
        <is>
          <t>Thương lượng</t>
        </is>
      </c>
      <c r="F2136" s="10" t="inlineStr">
        <is>
          <t>Hồ Chí Minh</t>
        </is>
      </c>
      <c r="G2136" s="10" t="inlineStr">
        <is>
          <t>Nhân viên</t>
        </is>
      </c>
      <c r="H2136" s="10" t="inlineStr">
        <is>
          <t>24/02/2026</t>
        </is>
      </c>
      <c r="I2136" s="10" t="inlineStr">
        <is>
          <t>26/03/2026</t>
        </is>
      </c>
      <c r="J2136" s="10" t="inlineStr">
        <is>
          <t>17/03/2026</t>
        </is>
      </c>
      <c r="K2136" s="10" t="inlineStr">
        <is>
          <t>N/A</t>
        </is>
      </c>
      <c r="L2136" s="10" t="inlineStr">
        <is>
          <t>SQL, Python, Power BI, Big Data, Datawarehouse</t>
        </is>
      </c>
      <c r="M2136" s="10" t="inlineStr">
        <is>
          <t>Bonus, Healthcare Plan, Awards</t>
        </is>
      </c>
      <c r="N2136" s="11">
        <f>HYPERLINK("https://www.vietnamworks.com/truong-nhomchuyen-gia-phan-tich-du-lieu-data-analytics-expert-2012861-jv","Xem chi tiết")</f>
        <v/>
      </c>
      <c r="O2136" s="10" t="n"/>
    </row>
    <row r="2137">
      <c r="B2137" s="7" t="n">
        <v>2135</v>
      </c>
      <c r="C2137" t="inlineStr">
        <is>
          <t>Supplier Development Engineer</t>
        </is>
      </c>
      <c r="D2137" t="inlineStr">
        <is>
          <t>Công Ty Trách Nhiệm Hữu Hạn Meggitt (Việt Nam)</t>
        </is>
      </c>
      <c r="E2137" t="inlineStr">
        <is>
          <t>Thương lượng</t>
        </is>
      </c>
      <c r="F2137" t="inlineStr">
        <is>
          <t>Đồng Nai, Hồ Chí Minh</t>
        </is>
      </c>
      <c r="G2137" t="inlineStr">
        <is>
          <t>Nhân viên</t>
        </is>
      </c>
      <c r="H2137" t="inlineStr">
        <is>
          <t>24/02/2026</t>
        </is>
      </c>
      <c r="I2137" t="inlineStr">
        <is>
          <t>26/03/2026</t>
        </is>
      </c>
      <c r="J2137" t="inlineStr">
        <is>
          <t>17/03/2026</t>
        </is>
      </c>
      <c r="K2137" t="inlineStr">
        <is>
          <t>N/A</t>
        </is>
      </c>
      <c r="L2137" t="inlineStr">
        <is>
          <t>Supplier Development, Analytical Skills, Lean Thinking, Six Sigma, Communication Skills</t>
        </is>
      </c>
      <c r="M2137" t="inlineStr">
        <is>
          <t>Bonus</t>
        </is>
      </c>
      <c r="N2137" s="8">
        <f>HYPERLINK("https://www.vietnamworks.com/supplier-development-engineer-2012867-jv","Xem chi tiết")</f>
        <v/>
      </c>
    </row>
    <row r="2138">
      <c r="B2138" s="9" t="n">
        <v>2136</v>
      </c>
      <c r="C2138" s="10" t="inlineStr">
        <is>
          <t>Junior Accountant</t>
        </is>
      </c>
      <c r="D2138" s="10" t="inlineStr">
        <is>
          <t>Moose Toys Vietnam</t>
        </is>
      </c>
      <c r="E2138" s="10" t="inlineStr">
        <is>
          <t>Thương lượng</t>
        </is>
      </c>
      <c r="F2138" s="10" t="inlineStr">
        <is>
          <t>Hồ Chí Minh</t>
        </is>
      </c>
      <c r="G2138" s="10" t="inlineStr">
        <is>
          <t>Nhân viên</t>
        </is>
      </c>
      <c r="H2138" s="10" t="inlineStr">
        <is>
          <t>24/02/2026</t>
        </is>
      </c>
      <c r="I2138" s="10" t="inlineStr">
        <is>
          <t>26/03/2026</t>
        </is>
      </c>
      <c r="J2138" s="10" t="inlineStr">
        <is>
          <t>17/03/2026</t>
        </is>
      </c>
      <c r="K2138" s="10" t="inlineStr">
        <is>
          <t>N/A</t>
        </is>
      </c>
      <c r="L2138" s="10" t="inlineStr">
        <is>
          <t>Accounts receivable, Credit Control, Accountant, Ledger Management, Payment Collection</t>
        </is>
      </c>
      <c r="M2138" s="10" t="inlineStr">
        <is>
          <t>Others</t>
        </is>
      </c>
      <c r="N2138" s="11">
        <f>HYPERLINK("https://www.vietnamworks.com/junior-accountant-2012848-jv","Xem chi tiết")</f>
        <v/>
      </c>
      <c r="O2138" s="10" t="n"/>
    </row>
    <row r="2139">
      <c r="B2139" s="7" t="n">
        <v>2137</v>
      </c>
      <c r="C2139" t="inlineStr">
        <is>
          <t>[Sapa] Trưởng Bộ Phận An Toàn Lao Động BQLDA - Alphanam Group</t>
        </is>
      </c>
      <c r="D2139" t="inlineStr">
        <is>
          <t>Alphanam Group</t>
        </is>
      </c>
      <c r="E2139" t="inlineStr">
        <is>
          <t>Thương lượng</t>
        </is>
      </c>
      <c r="F2139" t="inlineStr">
        <is>
          <t>Lào Cai</t>
        </is>
      </c>
      <c r="G2139" t="inlineStr">
        <is>
          <t>Trưởng phòng</t>
        </is>
      </c>
      <c r="H2139" t="inlineStr">
        <is>
          <t>24/02/2026</t>
        </is>
      </c>
      <c r="I2139" t="inlineStr">
        <is>
          <t>26/03/2026</t>
        </is>
      </c>
      <c r="J2139" t="inlineStr">
        <is>
          <t>17/03/2026</t>
        </is>
      </c>
      <c r="K2139" t="inlineStr">
        <is>
          <t>N/A</t>
        </is>
      </c>
      <c r="L2139" t="inlineStr">
        <is>
          <t>HSE, Kiểm Soát Quy Định Atlđ, Giám sát ATLĐ, Vệ Sinh Môi Trường, Bảo Hộ Lao Động</t>
        </is>
      </c>
      <c r="M2139" t="inlineStr">
        <is>
          <t>Bonus, Training, Travel Opportunities</t>
        </is>
      </c>
      <c r="N2139" s="8">
        <f>HYPERLINK("https://www.vietnamworks.com/sapa-truong-bo-phan-an-toan-lao-dong-bqlda-alphanam-group-2012850-jv","Xem chi tiết")</f>
        <v/>
      </c>
    </row>
    <row r="2140">
      <c r="B2140" s="9" t="n">
        <v>2138</v>
      </c>
      <c r="C2140" s="10" t="inlineStr">
        <is>
          <t>Sales Engineer</t>
        </is>
      </c>
      <c r="D2140" s="10" t="inlineStr">
        <is>
          <t>ANP Technical Company Limited</t>
        </is>
      </c>
      <c r="E2140" s="10" t="inlineStr">
        <is>
          <t>$$ 600-800 /tháng</t>
        </is>
      </c>
      <c r="F2140" s="10" t="inlineStr">
        <is>
          <t>Hồ Chí Minh</t>
        </is>
      </c>
      <c r="G2140" s="10" t="inlineStr">
        <is>
          <t>Nhân viên</t>
        </is>
      </c>
      <c r="H2140" s="10" t="inlineStr">
        <is>
          <t>24/02/2026</t>
        </is>
      </c>
      <c r="I2140" s="10" t="inlineStr">
        <is>
          <t>26/03/2026</t>
        </is>
      </c>
      <c r="J2140" s="10" t="inlineStr">
        <is>
          <t>17/03/2026</t>
        </is>
      </c>
      <c r="K2140" s="10" t="inlineStr">
        <is>
          <t>N/A</t>
        </is>
      </c>
      <c r="L2140" s="10" t="inlineStr">
        <is>
          <t>Sales Engineering, Communication Skills, Value Based Marketing, Technical Support, Customer Experience Management</t>
        </is>
      </c>
      <c r="M2140" s="10" t="inlineStr">
        <is>
          <t>Bonus, Healthcare Plan, Paid Leave, Training, Team Activities, Others</t>
        </is>
      </c>
      <c r="N2140" s="11">
        <f>HYPERLINK("https://www.vietnamworks.com/sales-engineer-2012851-jv","Xem chi tiết")</f>
        <v/>
      </c>
      <c r="O2140" s="10" t="n"/>
    </row>
    <row r="2141">
      <c r="B2141" s="7" t="n">
        <v>2139</v>
      </c>
      <c r="C2141" t="inlineStr">
        <is>
          <t>Phó Phòng Hành Chính Nhân Sự</t>
        </is>
      </c>
      <c r="D2141" t="inlineStr">
        <is>
          <t>Công Ty Cổ Phần Đầu Tư Nhật Huy</t>
        </is>
      </c>
      <c r="E2141" t="inlineStr">
        <is>
          <t>$$ 1,000-1,500 /tháng</t>
        </is>
      </c>
      <c r="F2141" t="inlineStr">
        <is>
          <t>Hà Nội</t>
        </is>
      </c>
      <c r="G2141" t="inlineStr">
        <is>
          <t>Trưởng phòng</t>
        </is>
      </c>
      <c r="H2141" t="inlineStr">
        <is>
          <t>24/02/2026</t>
        </is>
      </c>
      <c r="I2141" t="inlineStr">
        <is>
          <t>26/03/2026</t>
        </is>
      </c>
      <c r="J2141" t="inlineStr">
        <is>
          <t>17/03/2026</t>
        </is>
      </c>
      <c r="K2141" t="inlineStr">
        <is>
          <t>N/A</t>
        </is>
      </c>
      <c r="L2141" t="inlineStr">
        <is>
          <t>Quản Lý Nhân Sự, Tuyển Dụng, Quản Trị Nhân Lực, Nhân Sự, Hành Chính Nhân Sự</t>
        </is>
      </c>
      <c r="M2141" t="inlineStr">
        <is>
          <t>Bonus, Healthcare Plan, Training</t>
        </is>
      </c>
      <c r="N2141" s="8">
        <f>HYPERLINK("https://www.vietnamworks.com/pho-phong-hanh-chinh-nhan-su--2012866-jv","Xem chi tiết")</f>
        <v/>
      </c>
    </row>
    <row r="2142">
      <c r="B2142" s="9" t="n">
        <v>2140</v>
      </c>
      <c r="C2142" s="10" t="inlineStr">
        <is>
          <t>Chuyên Gia/ Chuyên Viên Cao Cấp Phân Tích Nghiệp Vụ</t>
        </is>
      </c>
      <c r="D2142" s="10" t="inlineStr">
        <is>
          <t>Công Ty TNHH Chứng Khoán Jb Việt Nam</t>
        </is>
      </c>
      <c r="E2142" s="10" t="inlineStr">
        <is>
          <t>Thương lượng</t>
        </is>
      </c>
      <c r="F2142" s="10" t="inlineStr">
        <is>
          <t>Hà Nội</t>
        </is>
      </c>
      <c r="G2142" s="10" t="inlineStr">
        <is>
          <t>Nhân viên</t>
        </is>
      </c>
      <c r="H2142" s="10" t="inlineStr">
        <is>
          <t>24/02/2026</t>
        </is>
      </c>
      <c r="I2142" s="10" t="inlineStr">
        <is>
          <t>26/03/2026</t>
        </is>
      </c>
      <c r="J2142" s="10" t="inlineStr">
        <is>
          <t>17/03/2026</t>
        </is>
      </c>
      <c r="K2142" s="10" t="inlineStr">
        <is>
          <t>N/A</t>
        </is>
      </c>
      <c r="L2142" s="10" t="inlineStr">
        <is>
          <t>Quản Lý Dự Án, Môi Giới Chứng Khoán, Phân Tích Nghiệp Vụ, Phát Triển Sản Phẩm, Thiết Kế Giao Diện Phần Mềm</t>
        </is>
      </c>
      <c r="M2142" s="10" t="inlineStr">
        <is>
          <t>Healthcare Plan, Paid Leave, Others</t>
        </is>
      </c>
      <c r="N2142" s="11">
        <f>HYPERLINK("https://www.vietnamworks.com/chuyen-gia-chuyen-vien-cao-cap-phan-tich-nghiep-vu--2012870-jv","Xem chi tiết")</f>
        <v/>
      </c>
      <c r="O2142" s="10" t="n"/>
    </row>
    <row r="2143">
      <c r="B2143" s="7" t="n">
        <v>2141</v>
      </c>
      <c r="C2143" t="inlineStr">
        <is>
          <t>Trưởng Phòng Mua Hàng (Nữ - Yêu Cầu Tiếng Nhật)</t>
        </is>
      </c>
      <c r="D2143" t="inlineStr">
        <is>
          <t>Kaga Electronics (Viet Nam) Co.,Ltd</t>
        </is>
      </c>
      <c r="E2143" t="inlineStr">
        <is>
          <t>Thương lượng</t>
        </is>
      </c>
      <c r="F2143" t="inlineStr">
        <is>
          <t>Hưng Yên</t>
        </is>
      </c>
      <c r="G2143" t="inlineStr">
        <is>
          <t>Trưởng phòng</t>
        </is>
      </c>
      <c r="H2143" t="inlineStr">
        <is>
          <t>24/02/2026</t>
        </is>
      </c>
      <c r="I2143" t="inlineStr">
        <is>
          <t>26/03/2026</t>
        </is>
      </c>
      <c r="J2143" t="inlineStr">
        <is>
          <t>17/03/2026</t>
        </is>
      </c>
      <c r="K2143" t="inlineStr">
        <is>
          <t>N/A</t>
        </is>
      </c>
      <c r="L2143" t="inlineStr">
        <is>
          <t>Đàm Phán, Phân Tích Chi Phí, Quản Lý Rủi Ro, Mua Hàng, Thu Mua Nguyên Vật Liệu</t>
        </is>
      </c>
      <c r="M2143" t="inlineStr">
        <is>
          <t>Bonus, Healthcare Plan, Paid Leave, Transportation, Canteen, Others</t>
        </is>
      </c>
      <c r="N2143" s="8">
        <f>HYPERLINK("https://www.vietnamworks.com/truong-phong-mua-hang-nu-yeu-cau-tieng-nhat-2012872-jv","Xem chi tiết")</f>
        <v/>
      </c>
    </row>
    <row r="2144">
      <c r="B2144" s="9" t="n">
        <v>2142</v>
      </c>
      <c r="C2144" s="10" t="inlineStr">
        <is>
          <t>Cantonese Speaking Customer Services Officer ASAP</t>
        </is>
      </c>
      <c r="D2144" s="10" t="inlineStr">
        <is>
          <t>MEDICONCEN LIMITED</t>
        </is>
      </c>
      <c r="E2144" s="10" t="inlineStr">
        <is>
          <t>$$ 600-900 /tháng</t>
        </is>
      </c>
      <c r="F2144" s="10" t="inlineStr">
        <is>
          <t>Hồ Chí Minh</t>
        </is>
      </c>
      <c r="G2144" s="10" t="inlineStr">
        <is>
          <t>Mới Tốt Nghiệp</t>
        </is>
      </c>
      <c r="H2144" s="10" t="inlineStr">
        <is>
          <t>24/02/2026</t>
        </is>
      </c>
      <c r="I2144" s="10" t="inlineStr">
        <is>
          <t>26/03/2026</t>
        </is>
      </c>
      <c r="J2144" s="10" t="inlineStr">
        <is>
          <t>17/03/2026</t>
        </is>
      </c>
      <c r="K2144" s="10" t="inlineStr">
        <is>
          <t>N/A</t>
        </is>
      </c>
      <c r="L2144" s="10" t="inlineStr">
        <is>
          <t>Microsoft Office, Cantonese, Customer Service, Customer Support, English</t>
        </is>
      </c>
      <c r="M2144" s="10" t="inlineStr">
        <is>
          <t>Bonus, Paid Leave, Others</t>
        </is>
      </c>
      <c r="N2144" s="11">
        <f>HYPERLINK("https://www.vietnamworks.com/cantonese-speaking-customer-services-officer-asap-2012873-jv","Xem chi tiết")</f>
        <v/>
      </c>
      <c r="O2144" s="10" t="n"/>
    </row>
    <row r="2145">
      <c r="B2145" s="7" t="n">
        <v>2143</v>
      </c>
      <c r="C2145" t="inlineStr">
        <is>
          <t>Key Account Planning Manager</t>
        </is>
      </c>
      <c r="D2145" t="inlineStr">
        <is>
          <t>Bel</t>
        </is>
      </c>
      <c r="E2145" t="inlineStr">
        <is>
          <t>Thương lượng</t>
        </is>
      </c>
      <c r="F2145" t="inlineStr">
        <is>
          <t>Hòa Bình, Hồ Chí Minh</t>
        </is>
      </c>
      <c r="G2145" t="inlineStr">
        <is>
          <t>Trưởng phòng</t>
        </is>
      </c>
      <c r="H2145" t="inlineStr">
        <is>
          <t>24/02/2026</t>
        </is>
      </c>
      <c r="I2145" t="inlineStr">
        <is>
          <t>26/03/2026</t>
        </is>
      </c>
      <c r="J2145" t="inlineStr">
        <is>
          <t>17/03/2026</t>
        </is>
      </c>
      <c r="K2145" t="inlineStr">
        <is>
          <t>N/A</t>
        </is>
      </c>
      <c r="L2145" t="inlineStr">
        <is>
          <t>Account Management, Sales Planning, Analytical Skills, Negotiation Skills, FMCG</t>
        </is>
      </c>
      <c r="M2145" t="inlineStr">
        <is>
          <t>Bonus, Healthcare Plan, Paid Leave</t>
        </is>
      </c>
      <c r="N2145" s="8">
        <f>HYPERLINK("https://www.vietnamworks.com/key-account-planning-manager-2012871-jv","Xem chi tiết")</f>
        <v/>
      </c>
    </row>
    <row r="2146">
      <c r="B2146" s="9" t="n">
        <v>2144</v>
      </c>
      <c r="C2146" s="10" t="inlineStr">
        <is>
          <t>Mechanical Team Leader/ Supervisor</t>
        </is>
      </c>
      <c r="D2146" s="10" t="inlineStr">
        <is>
          <t>Công Ty Trách Nhiệm Hữu Hạn Meggitt (Việt Nam)</t>
        </is>
      </c>
      <c r="E2146" s="10" t="inlineStr">
        <is>
          <t>Thương lượng</t>
        </is>
      </c>
      <c r="F2146" s="10" t="inlineStr">
        <is>
          <t>Đồng Nai, Hồ Chí Minh</t>
        </is>
      </c>
      <c r="G2146" s="10" t="inlineStr">
        <is>
          <t>Nhân viên</t>
        </is>
      </c>
      <c r="H2146" s="10" t="inlineStr">
        <is>
          <t>24/02/2026</t>
        </is>
      </c>
      <c r="I2146" s="10" t="inlineStr">
        <is>
          <t>26/03/2026</t>
        </is>
      </c>
      <c r="J2146" s="10" t="inlineStr">
        <is>
          <t>17/03/2026</t>
        </is>
      </c>
      <c r="K2146" s="10" t="inlineStr">
        <is>
          <t>N/A</t>
        </is>
      </c>
      <c r="L2146" s="10" t="inlineStr">
        <is>
          <t>Mechanical Engineering, Production Planning, Lean Manufacturing, HSE Experience, Leadership</t>
        </is>
      </c>
      <c r="M2146" s="10" t="inlineStr">
        <is>
          <t>Bonus</t>
        </is>
      </c>
      <c r="N2146" s="11">
        <f>HYPERLINK("https://www.vietnamworks.com/mechanical-team-leader-supervisor-2012869-jv","Xem chi tiết")</f>
        <v/>
      </c>
      <c r="O2146" s="10" t="n"/>
    </row>
    <row r="2147">
      <c r="B2147" s="7" t="n">
        <v>2145</v>
      </c>
      <c r="C2147" t="inlineStr">
        <is>
          <t>Accounting Staff</t>
        </is>
      </c>
      <c r="D2147" t="inlineStr">
        <is>
          <t>Công Ty TNHH Iosg</t>
        </is>
      </c>
      <c r="E2147" t="inlineStr">
        <is>
          <t>Thương lượng</t>
        </is>
      </c>
      <c r="F2147" t="inlineStr">
        <is>
          <t>Hồ Chí Minh</t>
        </is>
      </c>
      <c r="G2147" t="inlineStr">
        <is>
          <t>Mới Tốt Nghiệp</t>
        </is>
      </c>
      <c r="H2147" t="inlineStr">
        <is>
          <t>24/02/2026</t>
        </is>
      </c>
      <c r="I2147" t="inlineStr">
        <is>
          <t>26/03/2026</t>
        </is>
      </c>
      <c r="J2147" t="inlineStr">
        <is>
          <t>17/03/2026</t>
        </is>
      </c>
      <c r="K2147" t="inlineStr">
        <is>
          <t>N/A</t>
        </is>
      </c>
      <c r="L2147" t="inlineStr">
        <is>
          <t>Financial Statement, Australian Tax, Kế toán &amp; Tài chính, Tax &amp; Accounting, Taxation</t>
        </is>
      </c>
      <c r="M2147" t="inlineStr">
        <is>
          <t>Healthcare Plan, Paid Leave, Training</t>
        </is>
      </c>
      <c r="N2147" s="8">
        <f>HYPERLINK("https://www.vietnamworks.com/accounting-staff--2012880-jv","Xem chi tiết")</f>
        <v/>
      </c>
    </row>
    <row r="2148">
      <c r="B2148" s="9" t="n">
        <v>2146</v>
      </c>
      <c r="C2148" s="10" t="inlineStr">
        <is>
          <t>Kỹ Sư Tự Động Hóa - Lập Trình PLC</t>
        </is>
      </c>
      <c r="D2148" s="10" t="inlineStr">
        <is>
          <t>OSCO International</t>
        </is>
      </c>
      <c r="E2148" s="10" t="inlineStr">
        <is>
          <t>$$ 400-1,000 /tháng</t>
        </is>
      </c>
      <c r="F2148" s="10" t="inlineStr">
        <is>
          <t>Hà Nội</t>
        </is>
      </c>
      <c r="G2148" s="10" t="inlineStr">
        <is>
          <t>Nhân viên</t>
        </is>
      </c>
      <c r="H2148" s="10" t="inlineStr">
        <is>
          <t>24/02/2026</t>
        </is>
      </c>
      <c r="I2148" s="10" t="inlineStr">
        <is>
          <t>26/03/2026</t>
        </is>
      </c>
      <c r="J2148" s="10" t="inlineStr">
        <is>
          <t>17/03/2026</t>
        </is>
      </c>
      <c r="K2148" s="10" t="inlineStr">
        <is>
          <t>N/A</t>
        </is>
      </c>
      <c r="L2148" s="10" t="inlineStr">
        <is>
          <t>Cơ Khí Chế Tạo Máy, PLC, Tự Động Hóa, Cơ Điện Tử, HMI</t>
        </is>
      </c>
      <c r="M2148" s="10" t="inlineStr">
        <is>
          <t>Bonus, Healthcare Plan, Transportation</t>
        </is>
      </c>
      <c r="N2148" s="11">
        <f>HYPERLINK("https://www.vietnamworks.com/ky-su-tu-dong-hoa-lap-trinh-plc-6--2012881-jv","Xem chi tiết")</f>
        <v/>
      </c>
      <c r="O2148" s="10" t="n"/>
    </row>
    <row r="2149">
      <c r="B2149" s="7" t="n">
        <v>2147</v>
      </c>
      <c r="C2149" t="inlineStr">
        <is>
          <t>Support Sales Engineer (Tekla Shopdrawing)</t>
        </is>
      </c>
      <c r="D2149" t="inlineStr">
        <is>
          <t>Pebsteel Buildings Co., Ltd.</t>
        </is>
      </c>
      <c r="E2149" t="inlineStr">
        <is>
          <t>Thương lượng</t>
        </is>
      </c>
      <c r="F2149" t="inlineStr">
        <is>
          <t>Hồ Chí Minh</t>
        </is>
      </c>
      <c r="G2149" t="inlineStr">
        <is>
          <t>Nhân viên</t>
        </is>
      </c>
      <c r="H2149" t="inlineStr">
        <is>
          <t>24/02/2026</t>
        </is>
      </c>
      <c r="I2149" t="inlineStr">
        <is>
          <t>26/03/2026</t>
        </is>
      </c>
      <c r="J2149" t="inlineStr">
        <is>
          <t>17/03/2026</t>
        </is>
      </c>
      <c r="K2149" t="inlineStr">
        <is>
          <t>N/A</t>
        </is>
      </c>
      <c r="L2149" t="inlineStr">
        <is>
          <t>PEB Design, Tekla Structures, Tekla Modeling, Tekla, Shopdrawing</t>
        </is>
      </c>
      <c r="M2149" t="inlineStr">
        <is>
          <t>Bonus, Healthcare Plan, Team Activities</t>
        </is>
      </c>
      <c r="N2149" s="8">
        <f>HYPERLINK("https://www.vietnamworks.com/support-sales-engineer-tekla-shopdrawing-2012888-jv","Xem chi tiết")</f>
        <v/>
      </c>
    </row>
    <row r="2150">
      <c r="B2150" s="9" t="n">
        <v>2148</v>
      </c>
      <c r="C2150" s="10" t="inlineStr">
        <is>
          <t>Chuyên Viên Tư Vấn Pháp Lý Tại Thủ Dầu Một, Bình Dương</t>
        </is>
      </c>
      <c r="D2150" s="10" t="inlineStr">
        <is>
          <t>CÔNG TY TNHH SEN VÀNG INVESTMENT</t>
        </is>
      </c>
      <c r="E2150" s="10" t="inlineStr">
        <is>
          <t>8tr-12tr ₫/tháng</t>
        </is>
      </c>
      <c r="F2150" s="10" t="inlineStr">
        <is>
          <t>Hồ Chí Minh, Bình Dương</t>
        </is>
      </c>
      <c r="G2150" s="10" t="inlineStr">
        <is>
          <t>Nhân viên</t>
        </is>
      </c>
      <c r="H2150" s="10" t="inlineStr">
        <is>
          <t>24/02/2026</t>
        </is>
      </c>
      <c r="I2150" s="10" t="inlineStr">
        <is>
          <t>26/03/2026</t>
        </is>
      </c>
      <c r="J2150" s="10" t="inlineStr">
        <is>
          <t>17/03/2026</t>
        </is>
      </c>
      <c r="K2150" s="10" t="inlineStr">
        <is>
          <t>N/A</t>
        </is>
      </c>
      <c r="L2150" s="10" t="inlineStr">
        <is>
          <t>Luật, Pháp Lý Doanh Nghiệp, Tư Vấn Pháp Lý, Quy Trình Pháp Lý Đầu Tư, Soạn Thảo Hợp Đồng</t>
        </is>
      </c>
      <c r="M2150" s="10" t="inlineStr">
        <is>
          <t>Bonus, Healthcare Plan, Team Activities</t>
        </is>
      </c>
      <c r="N2150" s="11">
        <f>HYPERLINK("https://www.vietnamworks.com/chuyen-vien-tu-van-phap-ly-tai-thu-dau-mot-binh-duong-2012889-jv","Xem chi tiết")</f>
        <v/>
      </c>
      <c r="O2150" s="10" t="n"/>
    </row>
    <row r="2151">
      <c r="B2151" s="7" t="n">
        <v>2149</v>
      </c>
      <c r="C2151" t="inlineStr">
        <is>
          <t>Accounting Specialist</t>
        </is>
      </c>
      <c r="D2151" t="inlineStr">
        <is>
          <t>The Access Group</t>
        </is>
      </c>
      <c r="E2151" t="inlineStr">
        <is>
          <t>Thương lượng</t>
        </is>
      </c>
      <c r="F2151" t="inlineStr">
        <is>
          <t>Hồ Chí Minh</t>
        </is>
      </c>
      <c r="G2151" t="inlineStr">
        <is>
          <t>Nhân viên</t>
        </is>
      </c>
      <c r="H2151" t="inlineStr">
        <is>
          <t>24/02/2026</t>
        </is>
      </c>
      <c r="I2151" t="inlineStr">
        <is>
          <t>26/03/2026</t>
        </is>
      </c>
      <c r="J2151" t="inlineStr">
        <is>
          <t>17/03/2026</t>
        </is>
      </c>
      <c r="K2151" t="inlineStr">
        <is>
          <t>N/A</t>
        </is>
      </c>
      <c r="L2151" t="inlineStr">
        <is>
          <t>English Communication, Revenue Control, Billing, Finance, Accounting</t>
        </is>
      </c>
      <c r="M2151" t="inlineStr">
        <is>
          <t>Bonus, Paid Leave, Others</t>
        </is>
      </c>
      <c r="N2151" s="8">
        <f>HYPERLINK("https://www.vietnamworks.com/accounting-specialist--2012892-jv","Xem chi tiết")</f>
        <v/>
      </c>
    </row>
    <row r="2152">
      <c r="B2152" s="9" t="n">
        <v>2150</v>
      </c>
      <c r="C2152" s="10" t="inlineStr">
        <is>
          <t>RPA &amp; AI Automation Engineer</t>
        </is>
      </c>
      <c r="D2152" s="10" t="inlineStr">
        <is>
          <t>Odyssey Resources (Vietnam) Limited.</t>
        </is>
      </c>
      <c r="E2152" s="10" t="inlineStr">
        <is>
          <t>Thương lượng</t>
        </is>
      </c>
      <c r="F2152" s="10" t="inlineStr">
        <is>
          <t>Hồ Chí Minh</t>
        </is>
      </c>
      <c r="G2152" s="10" t="inlineStr">
        <is>
          <t>Nhân viên</t>
        </is>
      </c>
      <c r="H2152" s="10" t="inlineStr">
        <is>
          <t>24/02/2026</t>
        </is>
      </c>
      <c r="I2152" s="10" t="inlineStr">
        <is>
          <t>26/03/2026</t>
        </is>
      </c>
      <c r="J2152" s="10" t="inlineStr">
        <is>
          <t>17/03/2026</t>
        </is>
      </c>
      <c r="K2152" s="10" t="inlineStr">
        <is>
          <t>N/A</t>
        </is>
      </c>
      <c r="L2152" s="10" t="inlineStr">
        <is>
          <t>UI Path, Python, Software Development Life Cycle (SDLC), RPA Coding, OCR</t>
        </is>
      </c>
      <c r="M2152" s="10" t="inlineStr">
        <is>
          <t>Paid Leave, Team Activities</t>
        </is>
      </c>
      <c r="N2152" s="11">
        <f>HYPERLINK("https://www.vietnamworks.com/rpa-ai-automation-engineer-2012885-jv","Xem chi tiết")</f>
        <v/>
      </c>
      <c r="O2152" s="10" t="n"/>
    </row>
    <row r="2153">
      <c r="B2153" s="7" t="n">
        <v>2151</v>
      </c>
      <c r="C2153" t="inlineStr">
        <is>
          <t>(JP 226) Kỹ Sư Thiết Kế Hệ Thống Máy Tự Động FA (Pm ICAD SX) Đi Nhật Miễn Phí</t>
        </is>
      </c>
      <c r="D2153" t="inlineStr">
        <is>
          <t>Công Ty TNHH R Techno Việt Nam</t>
        </is>
      </c>
      <c r="E2153" t="inlineStr">
        <is>
          <t>¥ 350,000-370,000 /tháng</t>
        </is>
      </c>
      <c r="F2153" t="inlineStr">
        <is>
          <t>Quốc tế</t>
        </is>
      </c>
      <c r="G2153" t="inlineStr">
        <is>
          <t>Nhân viên</t>
        </is>
      </c>
      <c r="H2153" t="inlineStr">
        <is>
          <t>24/02/2026</t>
        </is>
      </c>
      <c r="I2153" t="inlineStr">
        <is>
          <t>26/03/2026</t>
        </is>
      </c>
      <c r="J2153" t="inlineStr">
        <is>
          <t>17/03/2026</t>
        </is>
      </c>
      <c r="K2153" t="inlineStr">
        <is>
          <t>N/A</t>
        </is>
      </c>
      <c r="L2153" t="inlineStr">
        <is>
          <t>3D CAD, Icad, Thiết Kế Cơ Khí, Tiếng Nhật N3, Tự Động Hóa</t>
        </is>
      </c>
      <c r="M2153" t="inlineStr">
        <is>
          <t>Healthcare Plan, Paid Leave, Training, Others</t>
        </is>
      </c>
      <c r="N2153" s="8">
        <f>HYPERLINK("https://www.vietnamworks.com/-jp-226-ky-su-thiet-ke-he-thong-may-tu-djong-fa-pm-icad-sx-dji-nhat-mien-phi-2012882-jv","Xem chi tiết")</f>
        <v/>
      </c>
    </row>
    <row r="2154">
      <c r="B2154" s="9" t="n">
        <v>2152</v>
      </c>
      <c r="C2154" s="10" t="inlineStr">
        <is>
          <t>Chuyên Viên Mua Hàng Dự Án Kỹ Thuật Thực Phẩm</t>
        </is>
      </c>
      <c r="D2154" s="10" t="inlineStr">
        <is>
          <t>Công Ty Cổ Phần Tập Đoàn TH</t>
        </is>
      </c>
      <c r="E2154" s="10" t="inlineStr">
        <is>
          <t>Thương lượng</t>
        </is>
      </c>
      <c r="F2154" s="10" t="inlineStr">
        <is>
          <t>Hà Nội</t>
        </is>
      </c>
      <c r="G2154" s="10" t="inlineStr">
        <is>
          <t>Nhân viên</t>
        </is>
      </c>
      <c r="H2154" s="10" t="inlineStr">
        <is>
          <t>24/02/2026</t>
        </is>
      </c>
      <c r="I2154" s="10" t="inlineStr">
        <is>
          <t>26/03/2026</t>
        </is>
      </c>
      <c r="J2154" s="10" t="inlineStr">
        <is>
          <t>17/03/2026</t>
        </is>
      </c>
      <c r="K2154" s="10" t="inlineStr">
        <is>
          <t>N/A</t>
        </is>
      </c>
      <c r="L2154" s="10" t="inlineStr">
        <is>
          <t>Phân Tích Tài Chính, Financial Analysis, Financial Planning</t>
        </is>
      </c>
      <c r="M2154" s="10" t="inlineStr">
        <is>
          <t>Healthcare Plan</t>
        </is>
      </c>
      <c r="N2154" s="11">
        <f>HYPERLINK("https://www.vietnamworks.com/chuyen-vien-mua-hang-du-an-ky-thuat-thuc-pham--2012890-jv","Xem chi tiết")</f>
        <v/>
      </c>
      <c r="O2154" s="10" t="n"/>
    </row>
    <row r="2155">
      <c r="B2155" s="7" t="n">
        <v>2153</v>
      </c>
      <c r="C2155" t="inlineStr">
        <is>
          <t xml:space="preserve">Chuyên viên Tuyển dụng &amp; Đào tạo - Recruitment &amp; Training Specialist </t>
        </is>
      </c>
      <c r="D2155" t="inlineStr">
        <is>
          <t>Pontech JSC</t>
        </is>
      </c>
      <c r="E2155" t="inlineStr">
        <is>
          <t>Thương lượng</t>
        </is>
      </c>
      <c r="F2155" t="inlineStr">
        <is>
          <t>Hồ Chí Minh</t>
        </is>
      </c>
      <c r="G2155" t="inlineStr">
        <is>
          <t>Nhân viên</t>
        </is>
      </c>
      <c r="H2155" t="inlineStr">
        <is>
          <t>24/02/2026</t>
        </is>
      </c>
      <c r="I2155" t="inlineStr">
        <is>
          <t>26/03/2026</t>
        </is>
      </c>
      <c r="J2155" t="inlineStr">
        <is>
          <t>17/03/2026</t>
        </is>
      </c>
      <c r="K2155" t="inlineStr">
        <is>
          <t>N/A</t>
        </is>
      </c>
      <c r="L2155" t="inlineStr">
        <is>
          <t>Quản Trị Nhân Sự, Tuyển Dụng, Recruitment Planning, Talent Acquisition, Đào Tạo</t>
        </is>
      </c>
      <c r="M2155" t="inlineStr">
        <is>
          <t>Bonus, Healthcare Plan, Paid Leave, Awards, Travel Opportunities, Team Activities, Others</t>
        </is>
      </c>
      <c r="N2155" s="8">
        <f>HYPERLINK("https://www.vietnamworks.com/chuyen-vien-tuyen-dung-and-djao-tao-recruitment-and-training-specialist-2012886-jv","Xem chi tiết")</f>
        <v/>
      </c>
    </row>
    <row r="2156">
      <c r="B2156" s="9" t="n">
        <v>2154</v>
      </c>
      <c r="C2156" s="10" t="inlineStr">
        <is>
          <t>Export Sales Executive (B2B – Food &amp; Spices Industry)</t>
        </is>
      </c>
      <c r="D2156" s="10" t="inlineStr">
        <is>
          <t>Công ty Cổ phần TTD Global Việt Nam</t>
        </is>
      </c>
      <c r="E2156" s="10" t="inlineStr">
        <is>
          <t>10tr-15tr ₫/tháng</t>
        </is>
      </c>
      <c r="F2156" s="10" t="inlineStr">
        <is>
          <t>Hồ Chí Minh</t>
        </is>
      </c>
      <c r="G2156" s="10" t="inlineStr">
        <is>
          <t>Nhân viên</t>
        </is>
      </c>
      <c r="H2156" s="10" t="inlineStr">
        <is>
          <t>24/02/2026</t>
        </is>
      </c>
      <c r="I2156" s="10" t="inlineStr">
        <is>
          <t>26/03/2026</t>
        </is>
      </c>
      <c r="J2156" s="10" t="inlineStr">
        <is>
          <t>17/03/2026</t>
        </is>
      </c>
      <c r="K2156" s="10" t="inlineStr">
        <is>
          <t>N/A</t>
        </is>
      </c>
      <c r="L2156" s="10" t="inlineStr">
        <is>
          <t>B2B Sales, Export Procedure, Food Safety Systems, Incoterms 2020, Quotation Preparation</t>
        </is>
      </c>
      <c r="M2156" s="10" t="inlineStr">
        <is>
          <t>Bonus, Healthcare Plan, Paid Leave, Awards, Travel Opportunities, Team Activities, Others</t>
        </is>
      </c>
      <c r="N2156" s="11">
        <f>HYPERLINK("https://www.vietnamworks.com/export-sales-executive-b2b-food-and-spices-industry-2012879-jv","Xem chi tiết")</f>
        <v/>
      </c>
      <c r="O2156" s="10" t="n"/>
    </row>
    <row r="2157">
      <c r="B2157" s="7" t="n">
        <v>2155</v>
      </c>
      <c r="C2157" t="inlineStr">
        <is>
          <t>Project Assistant (Thư Ký Dự Án)</t>
        </is>
      </c>
      <c r="D2157" t="inlineStr">
        <is>
          <t>Intes Co., Ltd</t>
        </is>
      </c>
      <c r="E2157" t="inlineStr">
        <is>
          <t>$$ 400-700 /tháng</t>
        </is>
      </c>
      <c r="F2157" t="inlineStr">
        <is>
          <t>Đà Nẵng</t>
        </is>
      </c>
      <c r="G2157" t="inlineStr">
        <is>
          <t>Nhân viên</t>
        </is>
      </c>
      <c r="H2157" t="inlineStr">
        <is>
          <t>24/02/2026</t>
        </is>
      </c>
      <c r="I2157" t="inlineStr">
        <is>
          <t>26/03/2026</t>
        </is>
      </c>
      <c r="J2157" t="inlineStr">
        <is>
          <t>17/03/2026</t>
        </is>
      </c>
      <c r="K2157" t="inlineStr">
        <is>
          <t>N/A</t>
        </is>
      </c>
      <c r="L2157" t="inlineStr">
        <is>
          <t>Project Management, Document Control, Project Assistance, Admin Assistant, English</t>
        </is>
      </c>
      <c r="M2157" t="inlineStr">
        <is>
          <t>Bonus, Healthcare Plan, Training</t>
        </is>
      </c>
      <c r="N2157" s="8">
        <f>HYPERLINK("https://www.vietnamworks.com/project-assistant-thu-ky-du-an-2012893-jv","Xem chi tiết")</f>
        <v/>
      </c>
    </row>
    <row r="2158">
      <c r="B2158" s="9" t="n">
        <v>2156</v>
      </c>
      <c r="C2158" s="10" t="inlineStr">
        <is>
          <t>Họa Viên Khai Triển Autocad 2D</t>
        </is>
      </c>
      <c r="D2158" s="10" t="inlineStr">
        <is>
          <t>CÔNG TY TNHH THƯƠNG MẠI DỊCH VỤ GREEN LEAF VIỆT NAM</t>
        </is>
      </c>
      <c r="E2158" s="10" t="inlineStr">
        <is>
          <t>8tr-13tr ₫/tháng</t>
        </is>
      </c>
      <c r="F2158" s="10" t="inlineStr">
        <is>
          <t>Hồ Chí Minh</t>
        </is>
      </c>
      <c r="G2158" s="10" t="inlineStr">
        <is>
          <t>Nhân viên</t>
        </is>
      </c>
      <c r="H2158" s="10" t="inlineStr">
        <is>
          <t>24/02/2026</t>
        </is>
      </c>
      <c r="I2158" s="10" t="inlineStr">
        <is>
          <t>26/03/2026</t>
        </is>
      </c>
      <c r="J2158" s="10" t="inlineStr">
        <is>
          <t>17/03/2026</t>
        </is>
      </c>
      <c r="K2158" s="10" t="inlineStr">
        <is>
          <t>N/A</t>
        </is>
      </c>
      <c r="L2158" s="10" t="inlineStr">
        <is>
          <t>AutoCAD 2D, Duyệt Hồ Sơ Thiết Kế, 2D Drafting, Thiết Kế 2D, Triển Khai Bản Vẽ</t>
        </is>
      </c>
      <c r="M2158" s="10" t="inlineStr">
        <is>
          <t>Bonus, Training, Others</t>
        </is>
      </c>
      <c r="N2158" s="11">
        <f>HYPERLINK("https://www.vietnamworks.com/hoa-vien-khai-trien-autocad-2d-2012876-jv","Xem chi tiết")</f>
        <v/>
      </c>
      <c r="O2158" s="10" t="n"/>
    </row>
    <row r="2159">
      <c r="B2159" s="7" t="n">
        <v>2157</v>
      </c>
      <c r="C2159" t="inlineStr">
        <is>
          <t>Nhân Viên Kế Toán Tổng Hợp</t>
        </is>
      </c>
      <c r="D2159" t="inlineStr">
        <is>
          <t>Công Ty TNHH Thương Mại &amp; Tư Vấn Minh Anh</t>
        </is>
      </c>
      <c r="E2159" t="inlineStr">
        <is>
          <t>12tr-16tr ₫/tháng</t>
        </is>
      </c>
      <c r="F2159" t="inlineStr">
        <is>
          <t>Hà Nội</t>
        </is>
      </c>
      <c r="G2159" t="inlineStr">
        <is>
          <t>Nhân viên</t>
        </is>
      </c>
      <c r="H2159" t="inlineStr">
        <is>
          <t>24/02/2026</t>
        </is>
      </c>
      <c r="I2159" t="inlineStr">
        <is>
          <t>26/03/2026</t>
        </is>
      </c>
      <c r="J2159" t="inlineStr">
        <is>
          <t>17/03/2026</t>
        </is>
      </c>
      <c r="K2159" t="inlineStr">
        <is>
          <t>N/A</t>
        </is>
      </c>
      <c r="L2159" t="inlineStr">
        <is>
          <t>Kế Toán, Kiểm Toán, Tài Chính, Phần mềm kế toán Misa, Excel</t>
        </is>
      </c>
      <c r="M2159" t="inlineStr">
        <is>
          <t>Bonus, Healthcare Plan, Paid Leave, Training, Team Activities, Others</t>
        </is>
      </c>
      <c r="N2159" s="8">
        <f>HYPERLINK("https://www.vietnamworks.com/nhan-vien-ke-toan-tong-hop-2012877-jv","Xem chi tiết")</f>
        <v/>
      </c>
    </row>
    <row r="2160">
      <c r="B2160" s="9" t="n">
        <v>2158</v>
      </c>
      <c r="C2160" s="10" t="inlineStr">
        <is>
          <t>Merchandising Manager</t>
        </is>
      </c>
      <c r="D2160" s="10" t="inlineStr">
        <is>
          <t>Công Ty TNHH MTV Công Nghiệp Germton</t>
        </is>
      </c>
      <c r="E2160" s="10" t="inlineStr">
        <is>
          <t>Thương lượng</t>
        </is>
      </c>
      <c r="F2160" s="10" t="inlineStr">
        <is>
          <t>Quảng Nam, Đà Nẵng</t>
        </is>
      </c>
      <c r="G2160" s="10" t="inlineStr">
        <is>
          <t>Trưởng phòng</t>
        </is>
      </c>
      <c r="H2160" s="10" t="inlineStr">
        <is>
          <t>24/02/2026</t>
        </is>
      </c>
      <c r="I2160" s="10" t="inlineStr">
        <is>
          <t>26/03/2026</t>
        </is>
      </c>
      <c r="J2160" s="10" t="inlineStr">
        <is>
          <t>17/03/2026</t>
        </is>
      </c>
      <c r="K2160" s="10" t="inlineStr">
        <is>
          <t>N/A</t>
        </is>
      </c>
      <c r="L2160" s="10" t="inlineStr">
        <is>
          <t>Chinese, English, Merchandise Management, Negotiation, Service Mindset</t>
        </is>
      </c>
      <c r="M2160" s="10" t="inlineStr">
        <is>
          <t>Bonus, Healthcare Plan, Transportation, Others</t>
        </is>
      </c>
      <c r="N2160" s="11">
        <f>HYPERLINK("https://www.vietnamworks.com/merchandising-manager-2012895-jv","Xem chi tiết")</f>
        <v/>
      </c>
      <c r="O2160" s="10" t="n"/>
    </row>
    <row r="2161">
      <c r="B2161" s="7" t="n">
        <v>2159</v>
      </c>
      <c r="C2161" t="inlineStr">
        <is>
          <t>Account Supervisor (Apparel/ Footwear)</t>
        </is>
      </c>
      <c r="D2161" t="inlineStr">
        <is>
          <t>Avery Dennison Vietnam</t>
        </is>
      </c>
      <c r="E2161" t="inlineStr">
        <is>
          <t>$$ 1,000-2,000 /tháng</t>
        </is>
      </c>
      <c r="F2161" t="inlineStr">
        <is>
          <t>Long An</t>
        </is>
      </c>
      <c r="G2161" t="inlineStr">
        <is>
          <t>Nhân viên</t>
        </is>
      </c>
      <c r="H2161" t="inlineStr">
        <is>
          <t>24/02/2026</t>
        </is>
      </c>
      <c r="I2161" t="inlineStr">
        <is>
          <t>26/03/2026</t>
        </is>
      </c>
      <c r="J2161" t="inlineStr">
        <is>
          <t>17/03/2026</t>
        </is>
      </c>
      <c r="K2161" t="inlineStr">
        <is>
          <t>N/A</t>
        </is>
      </c>
      <c r="L2161" t="inlineStr">
        <is>
          <t>Customer Service, Financial Skills, Negotiation Skills, Sales Experience, Territory Analysis</t>
        </is>
      </c>
      <c r="M2161" t="inlineStr">
        <is>
          <t>Bonus, Healthcare Plan, Transportation, Canteen</t>
        </is>
      </c>
      <c r="N2161" s="8">
        <f>HYPERLINK("https://www.vietnamworks.com/account-supervisor-apparel-footwear-2012896-jv","Xem chi tiết")</f>
        <v/>
      </c>
    </row>
    <row r="2162">
      <c r="B2162" s="9" t="n">
        <v>2160</v>
      </c>
      <c r="C2162" s="10" t="inlineStr">
        <is>
          <t>Nhân Viên Kinh Doanh Quốc Tế/ International Sales Executive Thu Nhập Trên 50Tr/tháng</t>
        </is>
      </c>
      <c r="D2162" s="10" t="inlineStr">
        <is>
          <t>Công ty Cổ phần Vinares Việt Nam</t>
        </is>
      </c>
      <c r="E2162" s="10" t="inlineStr">
        <is>
          <t>10tr-50tr ₫/tháng</t>
        </is>
      </c>
      <c r="F2162" s="10" t="inlineStr">
        <is>
          <t>Hà Nội</t>
        </is>
      </c>
      <c r="G2162" s="10" t="inlineStr">
        <is>
          <t>Nhân viên</t>
        </is>
      </c>
      <c r="H2162" s="10" t="inlineStr">
        <is>
          <t>24/02/2026</t>
        </is>
      </c>
      <c r="I2162" s="10" t="inlineStr">
        <is>
          <t>26/03/2026</t>
        </is>
      </c>
      <c r="J2162" s="10" t="inlineStr">
        <is>
          <t>17/03/2026</t>
        </is>
      </c>
      <c r="K2162" s="10" t="inlineStr">
        <is>
          <t>N/A</t>
        </is>
      </c>
      <c r="L2162" s="10" t="inlineStr">
        <is>
          <t>International Sales &amp; Marketing, Market Research, Microsoft Office, Canva, Communication</t>
        </is>
      </c>
      <c r="M2162" s="10" t="inlineStr">
        <is>
          <t>Bonus, Healthcare Plan, Training, Laptop, Travel Opportunities, Others</t>
        </is>
      </c>
      <c r="N2162" s="11">
        <f>HYPERLINK("https://www.vietnamworks.com/nhan-vien-kinh-doanh-quoc-te-international-sales-executive-thu-nhap-tren-50tr-thang-2012894-jv","Xem chi tiết")</f>
        <v/>
      </c>
      <c r="O2162" s="10" t="n"/>
    </row>
    <row r="2163">
      <c r="B2163" s="7" t="n">
        <v>2161</v>
      </c>
      <c r="C2163" t="inlineStr">
        <is>
          <t>Chuyên Viên Sales Thị Trường Quốc Tế (Biết Tiếng Anh)</t>
        </is>
      </c>
      <c r="D2163" t="inlineStr">
        <is>
          <t>Công Ty TNHH ATM International</t>
        </is>
      </c>
      <c r="E2163" t="inlineStr">
        <is>
          <t>Thương lượng</t>
        </is>
      </c>
      <c r="F2163" t="inlineStr">
        <is>
          <t>Hồ Chí Minh</t>
        </is>
      </c>
      <c r="G2163" t="inlineStr">
        <is>
          <t>Nhân viên</t>
        </is>
      </c>
      <c r="H2163" t="inlineStr">
        <is>
          <t>24/02/2026</t>
        </is>
      </c>
      <c r="I2163" t="inlineStr">
        <is>
          <t>26/03/2026</t>
        </is>
      </c>
      <c r="J2163" t="inlineStr">
        <is>
          <t>17/03/2026</t>
        </is>
      </c>
      <c r="K2163" t="inlineStr">
        <is>
          <t>N/A</t>
        </is>
      </c>
      <c r="L2163" t="inlineStr">
        <is>
          <t>Thuyết Phục Bán Hàng, English, Business Development, Kinh doanh &amp; Phát triển khách hàng, Tư Vấn Khách Hàng</t>
        </is>
      </c>
      <c r="M2163" t="inlineStr">
        <is>
          <t>Bonus, Healthcare Plan, Training, Others</t>
        </is>
      </c>
      <c r="N2163" s="8">
        <f>HYPERLINK("https://www.vietnamworks.com/chuyen-vien-sales-thi-truong-quoc-te-biet-tieng-anh-2012902-jv","Xem chi tiết")</f>
        <v/>
      </c>
    </row>
    <row r="2164">
      <c r="B2164" s="9" t="n">
        <v>2162</v>
      </c>
      <c r="C2164" s="10" t="inlineStr">
        <is>
          <t>Chuyên Viên Pháp Chế / Legal Executive</t>
        </is>
      </c>
      <c r="D2164" s="10" t="inlineStr">
        <is>
          <t>Vietjet Air</t>
        </is>
      </c>
      <c r="E2164" s="10" t="inlineStr">
        <is>
          <t>Thương lượng</t>
        </is>
      </c>
      <c r="F2164" s="10" t="inlineStr">
        <is>
          <t>Hồ Chí Minh</t>
        </is>
      </c>
      <c r="G2164" s="10" t="inlineStr">
        <is>
          <t>Nhân viên</t>
        </is>
      </c>
      <c r="H2164" s="10" t="inlineStr">
        <is>
          <t>24/02/2026</t>
        </is>
      </c>
      <c r="I2164" s="10" t="inlineStr">
        <is>
          <t>26/03/2026</t>
        </is>
      </c>
      <c r="J2164" s="10" t="inlineStr">
        <is>
          <t>17/03/2026</t>
        </is>
      </c>
      <c r="K2164" s="10" t="inlineStr">
        <is>
          <t>N/A</t>
        </is>
      </c>
      <c r="L2164" s="10" t="inlineStr">
        <is>
          <t>Contract Drafting, Corporate Affairs, English Communication, Legal Thinking, Time Management</t>
        </is>
      </c>
      <c r="M2164" s="10" t="inlineStr">
        <is>
          <t>Bonus, Healthcare Plan, Training, Travel Opportunities</t>
        </is>
      </c>
      <c r="N2164" s="11">
        <f>HYPERLINK("https://www.vietnamworks.com/chuyen-vien-phap-che-legal-executive-2012900-jv","Xem chi tiết")</f>
        <v/>
      </c>
      <c r="O2164" s="10" t="n"/>
    </row>
    <row r="2165">
      <c r="B2165" s="7" t="n">
        <v>2163</v>
      </c>
      <c r="C2165" t="inlineStr">
        <is>
          <t>Electrical Design Engineer</t>
        </is>
      </c>
      <c r="D2165" t="inlineStr">
        <is>
          <t>Inros Lackner Vietnam</t>
        </is>
      </c>
      <c r="E2165" t="inlineStr">
        <is>
          <t>Thương lượng</t>
        </is>
      </c>
      <c r="F2165" t="inlineStr">
        <is>
          <t>Hà Nội</t>
        </is>
      </c>
      <c r="G2165" t="inlineStr">
        <is>
          <t>Nhân viên</t>
        </is>
      </c>
      <c r="H2165" t="inlineStr">
        <is>
          <t>24/02/2026</t>
        </is>
      </c>
      <c r="I2165" t="inlineStr">
        <is>
          <t>26/03/2026</t>
        </is>
      </c>
      <c r="J2165" t="inlineStr">
        <is>
          <t>17/03/2026</t>
        </is>
      </c>
      <c r="K2165" t="inlineStr">
        <is>
          <t>N/A</t>
        </is>
      </c>
      <c r="L2165" t="inlineStr">
        <is>
          <t>Electrical</t>
        </is>
      </c>
      <c r="M2165" t="inlineStr">
        <is>
          <t>Team Activities, Others</t>
        </is>
      </c>
      <c r="N2165" s="8">
        <f>HYPERLINK("https://www.vietnamworks.com/electrical-design-engineer-2012904-jv","Xem chi tiết")</f>
        <v/>
      </c>
    </row>
    <row r="2166">
      <c r="B2166" s="9" t="n">
        <v>2164</v>
      </c>
      <c r="C2166" s="10" t="inlineStr">
        <is>
          <t>Sales Executive</t>
        </is>
      </c>
      <c r="D2166" s="10" t="inlineStr">
        <is>
          <t>OIA GLOBAL Vietnam</t>
        </is>
      </c>
      <c r="E2166" s="10" t="inlineStr">
        <is>
          <t>Thương lượng</t>
        </is>
      </c>
      <c r="F2166" s="10" t="inlineStr">
        <is>
          <t>Hồ Chí Minh</t>
        </is>
      </c>
      <c r="G2166" s="10" t="inlineStr">
        <is>
          <t>Nhân viên</t>
        </is>
      </c>
      <c r="H2166" s="10" t="inlineStr">
        <is>
          <t>24/02/2026</t>
        </is>
      </c>
      <c r="I2166" s="10" t="inlineStr">
        <is>
          <t>26/03/2026</t>
        </is>
      </c>
      <c r="J2166" s="10" t="inlineStr">
        <is>
          <t>17/03/2026</t>
        </is>
      </c>
      <c r="K2166" s="10" t="inlineStr">
        <is>
          <t>N/A</t>
        </is>
      </c>
      <c r="L2166" s="10" t="inlineStr">
        <is>
          <t>Communication Skills, Freight Forwarding, Logistics, Negotiation Skills, Sales Fundamentals</t>
        </is>
      </c>
      <c r="M2166" s="10" t="inlineStr">
        <is>
          <t>Bonus, Healthcare Plan, Paid Leave</t>
        </is>
      </c>
      <c r="N2166" s="11">
        <f>HYPERLINK("https://www.vietnamworks.com/sales-executive-2012907-jv","Xem chi tiết")</f>
        <v/>
      </c>
      <c r="O2166" s="10" t="n"/>
    </row>
    <row r="2167">
      <c r="B2167" s="7" t="n">
        <v>2165</v>
      </c>
      <c r="C2167" t="inlineStr">
        <is>
          <t>Production Manager</t>
        </is>
      </c>
      <c r="D2167" t="inlineStr">
        <is>
          <t>METKRAFT LTD. (A Division of Fisher Barton)</t>
        </is>
      </c>
      <c r="E2167" t="inlineStr">
        <is>
          <t>Thương lượng</t>
        </is>
      </c>
      <c r="F2167" t="inlineStr">
        <is>
          <t>Hồ Chí Minh</t>
        </is>
      </c>
      <c r="G2167" t="inlineStr">
        <is>
          <t>Trưởng phòng</t>
        </is>
      </c>
      <c r="H2167" t="inlineStr">
        <is>
          <t>24/02/2026</t>
        </is>
      </c>
      <c r="I2167" t="inlineStr">
        <is>
          <t>26/03/2026</t>
        </is>
      </c>
      <c r="J2167" t="inlineStr">
        <is>
          <t>17/03/2026</t>
        </is>
      </c>
      <c r="K2167" t="inlineStr">
        <is>
          <t>N/A</t>
        </is>
      </c>
      <c r="L2167" t="inlineStr">
        <is>
          <t>Lean Manufacturing, Six Sigma, 5S, Manufacturing Operations, Manufacturing Operations Management</t>
        </is>
      </c>
      <c r="M2167" t="inlineStr">
        <is>
          <t>Bonus, Paid Leave, Training</t>
        </is>
      </c>
      <c r="N2167" s="8">
        <f>HYPERLINK("https://www.vietnamworks.com/production-manager-2012898-jv","Xem chi tiết")</f>
        <v/>
      </c>
    </row>
    <row r="2168">
      <c r="B2168" s="9" t="n">
        <v>2166</v>
      </c>
      <c r="C2168" s="10" t="inlineStr">
        <is>
          <t>HVAC Engineer</t>
        </is>
      </c>
      <c r="D2168" s="10" t="inlineStr">
        <is>
          <t>Inros Lackner Vietnam</t>
        </is>
      </c>
      <c r="E2168" s="10" t="inlineStr">
        <is>
          <t>Thương lượng</t>
        </is>
      </c>
      <c r="F2168" s="10" t="inlineStr">
        <is>
          <t>Hà Nội</t>
        </is>
      </c>
      <c r="G2168" s="10" t="inlineStr">
        <is>
          <t>Nhân viên</t>
        </is>
      </c>
      <c r="H2168" s="10" t="inlineStr">
        <is>
          <t>24/02/2026</t>
        </is>
      </c>
      <c r="I2168" s="10" t="inlineStr">
        <is>
          <t>26/03/2026</t>
        </is>
      </c>
      <c r="J2168" s="10" t="inlineStr">
        <is>
          <t>17/03/2026</t>
        </is>
      </c>
      <c r="K2168" s="10" t="inlineStr">
        <is>
          <t>N/A</t>
        </is>
      </c>
      <c r="L2168" s="10" t="inlineStr">
        <is>
          <t>Engineering</t>
        </is>
      </c>
      <c r="M2168" s="10" t="inlineStr">
        <is>
          <t>Team Activities, Others</t>
        </is>
      </c>
      <c r="N2168" s="11">
        <f>HYPERLINK("https://www.vietnamworks.com/hvac-engineer-2012909-jv","Xem chi tiết")</f>
        <v/>
      </c>
      <c r="O2168" s="10" t="n"/>
    </row>
    <row r="2169">
      <c r="B2169" s="7" t="n">
        <v>2167</v>
      </c>
      <c r="C2169" t="inlineStr">
        <is>
          <t>Marketing Operation Manager</t>
        </is>
      </c>
      <c r="D2169" t="inlineStr">
        <is>
          <t>NEYU</t>
        </is>
      </c>
      <c r="E2169" t="inlineStr">
        <is>
          <t>Thương lượng</t>
        </is>
      </c>
      <c r="F2169" t="inlineStr">
        <is>
          <t>Hà Nội</t>
        </is>
      </c>
      <c r="G2169" t="inlineStr">
        <is>
          <t>Trưởng phòng</t>
        </is>
      </c>
      <c r="H2169" t="inlineStr">
        <is>
          <t>24/02/2026</t>
        </is>
      </c>
      <c r="I2169" t="inlineStr">
        <is>
          <t>26/03/2026</t>
        </is>
      </c>
      <c r="J2169" t="inlineStr">
        <is>
          <t>17/03/2026</t>
        </is>
      </c>
      <c r="K2169" t="inlineStr">
        <is>
          <t>N/A</t>
        </is>
      </c>
      <c r="L2169" t="inlineStr">
        <is>
          <t>Affiliate Marketing, CPA, Performance Marketing, ROI Optimization, Task Coordination</t>
        </is>
      </c>
      <c r="M2169" t="inlineStr">
        <is>
          <t>Bonus</t>
        </is>
      </c>
      <c r="N2169" s="8">
        <f>HYPERLINK("https://www.vietnamworks.com/marketing-operation-manager-2012905-jv","Xem chi tiết")</f>
        <v/>
      </c>
    </row>
    <row r="2170">
      <c r="B2170" s="9" t="n">
        <v>2168</v>
      </c>
      <c r="C2170" s="10" t="inlineStr">
        <is>
          <t>Merchandier Assistant and Operations Support</t>
        </is>
      </c>
      <c r="D2170" s="10" t="inlineStr">
        <is>
          <t>GOYOUNG CORPORATION</t>
        </is>
      </c>
      <c r="E2170" s="10" t="inlineStr">
        <is>
          <t>10tr-10.001tr ₫/tháng</t>
        </is>
      </c>
      <c r="F2170" s="10" t="inlineStr">
        <is>
          <t>Hồ Chí Minh</t>
        </is>
      </c>
      <c r="G2170" s="10" t="inlineStr">
        <is>
          <t>Mới Tốt Nghiệp</t>
        </is>
      </c>
      <c r="H2170" s="10" t="inlineStr">
        <is>
          <t>24/02/2026</t>
        </is>
      </c>
      <c r="I2170" s="10" t="inlineStr">
        <is>
          <t>26/03/2026</t>
        </is>
      </c>
      <c r="J2170" s="10" t="inlineStr">
        <is>
          <t>17/03/2026</t>
        </is>
      </c>
      <c r="K2170" s="10" t="inlineStr">
        <is>
          <t>N/A</t>
        </is>
      </c>
      <c r="L2170" s="10" t="inlineStr">
        <is>
          <t>Communication Skills, Document Management, MS Office, Logistics Training, Responsibility</t>
        </is>
      </c>
      <c r="M2170" s="10" t="inlineStr">
        <is>
          <t>Bonus, Healthcare Plan, Paid Leave, Others</t>
        </is>
      </c>
      <c r="N2170" s="11">
        <f>HYPERLINK("https://www.vietnamworks.com/merchandier-assistant-and-operations-support-2012917-jv","Xem chi tiết")</f>
        <v/>
      </c>
      <c r="O2170" s="10" t="n"/>
    </row>
    <row r="2171">
      <c r="B2171" s="7" t="n">
        <v>2169</v>
      </c>
      <c r="C2171" t="inlineStr">
        <is>
          <t>Nhân Viên Quản Lý Chi Phí/ Cost Management Staff</t>
        </is>
      </c>
      <c r="D2171" t="inlineStr">
        <is>
          <t>Công Ty TNHH Dainese Việt Nam</t>
        </is>
      </c>
      <c r="E2171" t="inlineStr">
        <is>
          <t>Thương lượng</t>
        </is>
      </c>
      <c r="F2171" t="inlineStr">
        <is>
          <t>Thái Nguyên</t>
        </is>
      </c>
      <c r="G2171" t="inlineStr">
        <is>
          <t>Nhân viên</t>
        </is>
      </c>
      <c r="H2171" t="inlineStr">
        <is>
          <t>24/02/2026</t>
        </is>
      </c>
      <c r="I2171" t="inlineStr">
        <is>
          <t>26/03/2026</t>
        </is>
      </c>
      <c r="J2171" t="inlineStr">
        <is>
          <t>17/03/2026</t>
        </is>
      </c>
      <c r="K2171" t="inlineStr">
        <is>
          <t>N/A</t>
        </is>
      </c>
      <c r="L2171" t="inlineStr">
        <is>
          <t>Cost Control, Industrial Control, Cost Accountant, Inventory Control, Cost Management</t>
        </is>
      </c>
      <c r="M2171" t="inlineStr">
        <is>
          <t>Bonus, Paid Leave, Laptop, Transportation, Canteen</t>
        </is>
      </c>
      <c r="N2171" s="8">
        <f>HYPERLINK("https://www.vietnamworks.com/nhan-vien-quan-ly-chi-phi-cost-management-staff-2012916-jv","Xem chi tiết")</f>
        <v/>
      </c>
    </row>
    <row r="2172">
      <c r="B2172" s="9" t="n">
        <v>2170</v>
      </c>
      <c r="C2172" s="10" t="inlineStr">
        <is>
          <t>Chuyên Viên Tìm Nguồn Cung Ứng/Sourcing Specialist</t>
        </is>
      </c>
      <c r="D2172" s="10" t="inlineStr">
        <is>
          <t>Công Ty TNHH Dainese Việt Nam</t>
        </is>
      </c>
      <c r="E2172" s="10" t="inlineStr">
        <is>
          <t>Thương lượng</t>
        </is>
      </c>
      <c r="F2172" s="10" t="inlineStr">
        <is>
          <t>Thái Nguyên</t>
        </is>
      </c>
      <c r="G2172" s="10" t="inlineStr">
        <is>
          <t>Nhân viên</t>
        </is>
      </c>
      <c r="H2172" s="10" t="inlineStr">
        <is>
          <t>24/02/2026</t>
        </is>
      </c>
      <c r="I2172" s="10" t="inlineStr">
        <is>
          <t>26/03/2026</t>
        </is>
      </c>
      <c r="J2172" s="10" t="inlineStr">
        <is>
          <t>17/03/2026</t>
        </is>
      </c>
      <c r="K2172" s="10" t="inlineStr">
        <is>
          <t>N/A</t>
        </is>
      </c>
      <c r="L2172" s="10" t="inlineStr">
        <is>
          <t>Collaboration, Cost Analysis, Problem-solving, Supplier Assessment, Supplier Sourcing</t>
        </is>
      </c>
      <c r="M2172" s="10" t="inlineStr">
        <is>
          <t>Bonus, Paid Leave, Laptop, Transportation, Canteen</t>
        </is>
      </c>
      <c r="N2172" s="11">
        <f>HYPERLINK("https://www.vietnamworks.com/chuyen-vien-tim-nguon-cung-ungsourcing-specialist-2012936-jv","Xem chi tiết")</f>
        <v/>
      </c>
      <c r="O2172" s="10" t="n"/>
    </row>
    <row r="2173">
      <c r="B2173" s="7" t="n">
        <v>2171</v>
      </c>
      <c r="C2173" t="inlineStr">
        <is>
          <t>Learning &amp; Development Manager</t>
        </is>
      </c>
      <c r="D2173" t="inlineStr">
        <is>
          <t>Asia Chemical Corporation</t>
        </is>
      </c>
      <c r="E2173" t="inlineStr">
        <is>
          <t>Thương lượng</t>
        </is>
      </c>
      <c r="F2173" t="inlineStr">
        <is>
          <t>Hồ Chí Minh</t>
        </is>
      </c>
      <c r="G2173" t="inlineStr">
        <is>
          <t>Trưởng phòng</t>
        </is>
      </c>
      <c r="H2173" t="inlineStr">
        <is>
          <t>24/02/2026</t>
        </is>
      </c>
      <c r="I2173" t="inlineStr">
        <is>
          <t>26/03/2026</t>
        </is>
      </c>
      <c r="J2173" t="inlineStr">
        <is>
          <t>17/03/2026</t>
        </is>
      </c>
      <c r="K2173" t="inlineStr">
        <is>
          <t>N/A</t>
        </is>
      </c>
      <c r="L2173" t="inlineStr">
        <is>
          <t>Đào Tạo, Training, Human Resources, Influencer Engagement, English</t>
        </is>
      </c>
      <c r="M2173" t="inlineStr">
        <is>
          <t>Bonus, Healthcare Plan, Training</t>
        </is>
      </c>
      <c r="N2173" s="8">
        <f>HYPERLINK("https://www.vietnamworks.com/learning-development-manager--2012921-jv","Xem chi tiết")</f>
        <v/>
      </c>
    </row>
    <row r="2174">
      <c r="B2174" s="9" t="n">
        <v>2172</v>
      </c>
      <c r="C2174" s="10" t="inlineStr">
        <is>
          <t>Chuyên Viên Truyền Thông</t>
        </is>
      </c>
      <c r="D2174" s="10" t="inlineStr">
        <is>
          <t>PEGATRON VIETNAM</t>
        </is>
      </c>
      <c r="E2174" s="10" t="inlineStr">
        <is>
          <t>Thương lượng</t>
        </is>
      </c>
      <c r="F2174" s="10" t="inlineStr">
        <is>
          <t>Hải Phòng</t>
        </is>
      </c>
      <c r="G2174" s="10" t="inlineStr">
        <is>
          <t>Nhân viên</t>
        </is>
      </c>
      <c r="H2174" s="10" t="inlineStr">
        <is>
          <t>24/02/2026</t>
        </is>
      </c>
      <c r="I2174" s="10" t="inlineStr">
        <is>
          <t>26/03/2026</t>
        </is>
      </c>
      <c r="J2174" s="10" t="inlineStr">
        <is>
          <t>17/03/2026</t>
        </is>
      </c>
      <c r="K2174" s="10" t="inlineStr">
        <is>
          <t>N/A</t>
        </is>
      </c>
      <c r="L2174" s="10" t="inlineStr">
        <is>
          <t>Truyền Thông, Báo chí, Báo Chí Truyền Thông, Canva</t>
        </is>
      </c>
      <c r="M2174" s="10" t="inlineStr">
        <is>
          <t>Laptop, Transportation, Canteen</t>
        </is>
      </c>
      <c r="N2174" s="11">
        <f>HYPERLINK("https://www.vietnamworks.com/chuyen-vien-truyen-thong-2012912-jv","Xem chi tiết")</f>
        <v/>
      </c>
      <c r="O2174" s="10" t="n"/>
    </row>
    <row r="2175">
      <c r="B2175" s="7" t="n">
        <v>2173</v>
      </c>
      <c r="C2175" t="inlineStr">
        <is>
          <t>Chuyên Viên Tư Vấn Khách Hàng - Telesales</t>
        </is>
      </c>
      <c r="D2175" t="inlineStr">
        <is>
          <t>WEI ZHENG Ltd.</t>
        </is>
      </c>
      <c r="E2175" t="inlineStr">
        <is>
          <t>500-1,300 ₫/tháng</t>
        </is>
      </c>
      <c r="F2175" t="inlineStr">
        <is>
          <t>Hồ Chí Minh</t>
        </is>
      </c>
      <c r="G2175" t="inlineStr">
        <is>
          <t>Nhân viên</t>
        </is>
      </c>
      <c r="H2175" t="inlineStr">
        <is>
          <t>24/02/2026</t>
        </is>
      </c>
      <c r="I2175" t="inlineStr">
        <is>
          <t>26/03/2026</t>
        </is>
      </c>
      <c r="J2175" t="inlineStr">
        <is>
          <t>17/03/2026</t>
        </is>
      </c>
      <c r="K2175" t="inlineStr">
        <is>
          <t>N/A</t>
        </is>
      </c>
      <c r="L2175" t="inlineStr">
        <is>
          <t>Adaptability, Communication Skills, Customer Engagement, Office Software, Problem-solving</t>
        </is>
      </c>
      <c r="M2175" t="inlineStr">
        <is>
          <t>Bonus, Training, Mobile, Travel Opportunities, Team Activities, Others</t>
        </is>
      </c>
      <c r="N2175" s="8">
        <f>HYPERLINK("https://www.vietnamworks.com/chuyen-vien-tu-van-khach-hang-telesales-2012920-jv","Xem chi tiết")</f>
        <v/>
      </c>
    </row>
    <row r="2176">
      <c r="B2176" s="9" t="n">
        <v>2174</v>
      </c>
      <c r="C2176" s="10" t="inlineStr">
        <is>
          <t>Partnerships Executive (English)</t>
        </is>
      </c>
      <c r="D2176" s="10" t="inlineStr">
        <is>
          <t>Công Ty TNHH ATM International</t>
        </is>
      </c>
      <c r="E2176" s="10" t="inlineStr">
        <is>
          <t>Thương lượng</t>
        </is>
      </c>
      <c r="F2176" s="10" t="inlineStr">
        <is>
          <t>Hồ Chí Minh</t>
        </is>
      </c>
      <c r="G2176" s="10" t="inlineStr">
        <is>
          <t>Nhân viên</t>
        </is>
      </c>
      <c r="H2176" s="10" t="inlineStr">
        <is>
          <t>24/02/2026</t>
        </is>
      </c>
      <c r="I2176" s="10" t="inlineStr">
        <is>
          <t>26/03/2026</t>
        </is>
      </c>
      <c r="J2176" s="10" t="inlineStr">
        <is>
          <t>17/03/2026</t>
        </is>
      </c>
      <c r="K2176" s="10" t="inlineStr">
        <is>
          <t>N/A</t>
        </is>
      </c>
      <c r="L2176" s="10" t="inlineStr">
        <is>
          <t>Anh Văn Giao Tiếp, Chiến Lược Kinh Doanh, Đàm Phán Đối Tác, Thương Mại Quốc Tế, Quan hệ đối tác</t>
        </is>
      </c>
      <c r="M2176" s="10" t="inlineStr">
        <is>
          <t>Healthcare Plan, Awards, Others</t>
        </is>
      </c>
      <c r="N2176" s="11">
        <f>HYPERLINK("https://www.vietnamworks.com/partnerships-executive-english-2012922-jv","Xem chi tiết")</f>
        <v/>
      </c>
      <c r="O2176" s="10" t="n"/>
    </row>
    <row r="2177">
      <c r="B2177" s="7" t="n">
        <v>2175</v>
      </c>
      <c r="C2177" t="inlineStr">
        <is>
          <t>Trưởng Nhóm Marketing</t>
        </is>
      </c>
      <c r="D2177" t="inlineStr">
        <is>
          <t>Hãng Thời Trang Eva De Eva</t>
        </is>
      </c>
      <c r="E2177" t="inlineStr">
        <is>
          <t>15tr-20tr ₫/tháng</t>
        </is>
      </c>
      <c r="F2177" t="inlineStr">
        <is>
          <t>Hà Nội</t>
        </is>
      </c>
      <c r="G2177" t="inlineStr">
        <is>
          <t>Nhân viên</t>
        </is>
      </c>
      <c r="H2177" t="inlineStr">
        <is>
          <t>24/02/2026</t>
        </is>
      </c>
      <c r="I2177" t="inlineStr">
        <is>
          <t>26/03/2026</t>
        </is>
      </c>
      <c r="J2177" t="inlineStr">
        <is>
          <t>17/03/2026</t>
        </is>
      </c>
      <c r="K2177" t="inlineStr">
        <is>
          <t>N/A</t>
        </is>
      </c>
      <c r="L2177" t="inlineStr">
        <is>
          <t>Brand Management, Content Creation, Creative Thinking, Marketing Strategy, Social Media</t>
        </is>
      </c>
      <c r="M2177" t="inlineStr">
        <is>
          <t>Bonus, Healthcare Plan, Paid Leave, Team Activities, Others</t>
        </is>
      </c>
      <c r="N2177" s="8">
        <f>HYPERLINK("https://www.vietnamworks.com/truong-nhom-marketing-2012908-jv","Xem chi tiết")</f>
        <v/>
      </c>
    </row>
    <row r="2178">
      <c r="B2178" s="9" t="n">
        <v>2176</v>
      </c>
      <c r="C2178" s="10" t="inlineStr">
        <is>
          <t>Senior Credit Controller</t>
        </is>
      </c>
      <c r="D2178" s="10" t="inlineStr">
        <is>
          <t>DSV</t>
        </is>
      </c>
      <c r="E2178" s="10" t="inlineStr">
        <is>
          <t>Thương lượng</t>
        </is>
      </c>
      <c r="F2178" s="10" t="inlineStr">
        <is>
          <t>Hồ Chí Minh</t>
        </is>
      </c>
      <c r="G2178" s="10" t="inlineStr">
        <is>
          <t>Nhân viên</t>
        </is>
      </c>
      <c r="H2178" s="10" t="inlineStr">
        <is>
          <t>24/02/2026</t>
        </is>
      </c>
      <c r="I2178" s="10" t="inlineStr">
        <is>
          <t>26/03/2026</t>
        </is>
      </c>
      <c r="J2178" s="10" t="inlineStr">
        <is>
          <t>17/03/2026</t>
        </is>
      </c>
      <c r="K2178" s="10" t="inlineStr">
        <is>
          <t>N/A</t>
        </is>
      </c>
      <c r="L2178" s="10" t="inlineStr">
        <is>
          <t>Account Receivable, Credit Risk Management, English Language Proficiency, Experience In SAP, Microsoft Office</t>
        </is>
      </c>
      <c r="M2178" s="10" t="inlineStr">
        <is>
          <t>Bonus, Healthcare Plan, Travel Opportunities</t>
        </is>
      </c>
      <c r="N2178" s="11">
        <f>HYPERLINK("https://www.vietnamworks.com/senior-credit-controller-2012911-jv","Xem chi tiết")</f>
        <v/>
      </c>
      <c r="O2178" s="10" t="n"/>
    </row>
    <row r="2179">
      <c r="B2179" s="7" t="n">
        <v>2177</v>
      </c>
      <c r="C2179" t="inlineStr">
        <is>
          <t>[Hot Job] Nhân Viên Kế Toán</t>
        </is>
      </c>
      <c r="D2179" t="inlineStr">
        <is>
          <t>CÔNG TY TNHH YASKAWA VIỆT NAM MECHATRONICS SYSTEM</t>
        </is>
      </c>
      <c r="E2179" t="inlineStr">
        <is>
          <t>Thương lượng</t>
        </is>
      </c>
      <c r="F2179" t="inlineStr">
        <is>
          <t>Quảng Ninh, Hải Phòng</t>
        </is>
      </c>
      <c r="G2179" t="inlineStr">
        <is>
          <t>Nhân viên</t>
        </is>
      </c>
      <c r="H2179" t="inlineStr">
        <is>
          <t>24/02/2026</t>
        </is>
      </c>
      <c r="I2179" t="inlineStr">
        <is>
          <t>26/03/2026</t>
        </is>
      </c>
      <c r="J2179" t="inlineStr">
        <is>
          <t>17/03/2026</t>
        </is>
      </c>
      <c r="K2179" t="inlineStr">
        <is>
          <t>N/A</t>
        </is>
      </c>
      <c r="L2179" t="inlineStr">
        <is>
          <t>Báo Cáo Tài Chính, Phân Tích Số Liệu, VAS, Kế Toán Giá Thành, Thuế</t>
        </is>
      </c>
      <c r="M2179" t="inlineStr">
        <is>
          <t>Bonus, Healthcare Plan, Paid Leave, Team Activities, Transportation</t>
        </is>
      </c>
      <c r="N2179" s="8">
        <f>HYPERLINK("https://www.vietnamworks.com/hot-job-nhan-vien-ke-toan-2012934-jv","Xem chi tiết")</f>
        <v/>
      </c>
    </row>
    <row r="2180">
      <c r="B2180" s="9" t="n">
        <v>2178</v>
      </c>
      <c r="C2180" s="10" t="inlineStr">
        <is>
          <t>Chuyên Viên Kinh Doanh Dự Án</t>
        </is>
      </c>
      <c r="D2180" s="10" t="inlineStr">
        <is>
          <t>Công Ty Cổ Phần Nicon</t>
        </is>
      </c>
      <c r="E2180" s="10" t="inlineStr">
        <is>
          <t>Thương lượng</t>
        </is>
      </c>
      <c r="F2180" s="10" t="inlineStr">
        <is>
          <t>Hồ Chí Minh</t>
        </is>
      </c>
      <c r="G2180" s="10" t="inlineStr">
        <is>
          <t>Nhân viên</t>
        </is>
      </c>
      <c r="H2180" s="10" t="inlineStr">
        <is>
          <t>24/02/2026</t>
        </is>
      </c>
      <c r="I2180" s="10" t="inlineStr">
        <is>
          <t>26/03/2026</t>
        </is>
      </c>
      <c r="J2180" s="10" t="inlineStr">
        <is>
          <t>17/03/2026</t>
        </is>
      </c>
      <c r="K2180" s="10" t="inlineStr">
        <is>
          <t>N/A</t>
        </is>
      </c>
      <c r="L2180" s="10" t="inlineStr">
        <is>
          <t>Kinh Doanh, Chăm Sóc Khách Hàng, Bán Hàng Dự Án, Bán Hàng, B2B Sales</t>
        </is>
      </c>
      <c r="M2180" s="10" t="inlineStr">
        <is>
          <t>Bonus, Healthcare Plan, Training</t>
        </is>
      </c>
      <c r="N2180" s="11">
        <f>HYPERLINK("https://www.vietnamworks.com/chuyen-vien-kinh-doanh-du-an--2012926-jv","Xem chi tiết")</f>
        <v/>
      </c>
      <c r="O2180" s="10" t="n"/>
    </row>
    <row r="2181">
      <c r="B2181" s="7" t="n">
        <v>2179</v>
      </c>
      <c r="C2181" t="inlineStr">
        <is>
          <t>Giám Đốc Dịch Vụ Khách Hàng</t>
        </is>
      </c>
      <c r="D2181" t="inlineStr">
        <is>
          <t>Ngân Hàng Thương Mại Cổ Phần Thịnh Vượng Và Phát Triển (PGBANK)</t>
        </is>
      </c>
      <c r="E2181" t="inlineStr">
        <is>
          <t>850-1,500 ₫/tháng</t>
        </is>
      </c>
      <c r="F2181" t="inlineStr">
        <is>
          <t>Hà Nội, Quảng Ninh</t>
        </is>
      </c>
      <c r="G2181" t="inlineStr">
        <is>
          <t>Trưởng phòng</t>
        </is>
      </c>
      <c r="H2181" t="inlineStr">
        <is>
          <t>24/02/2026</t>
        </is>
      </c>
      <c r="I2181" t="inlineStr">
        <is>
          <t>26/03/2026</t>
        </is>
      </c>
      <c r="J2181" t="inlineStr">
        <is>
          <t>17/03/2026</t>
        </is>
      </c>
      <c r="K2181" t="inlineStr">
        <is>
          <t>N/A</t>
        </is>
      </c>
      <c r="L2181" t="inlineStr">
        <is>
          <t>Bán Chéo Bảo Hiểm, Giao Dịch Ngoại Tệ, Huy Động Vốn, Kế Toán Kiểm Soát, Quản Lý Kho Quỹ</t>
        </is>
      </c>
      <c r="M2181" t="inlineStr">
        <is>
          <t>Bonus, Healthcare Plan, Training</t>
        </is>
      </c>
      <c r="N2181" s="8">
        <f>HYPERLINK("https://www.vietnamworks.com/giam-djoc-dich-vu-khach-hang-2012927-jv","Xem chi tiết")</f>
        <v/>
      </c>
    </row>
    <row r="2182">
      <c r="B2182" s="9" t="n">
        <v>2180</v>
      </c>
      <c r="C2182" s="10" t="inlineStr">
        <is>
          <t>Kỹ Sư Kiểm Soát Chất Lượng Hiện Trường</t>
        </is>
      </c>
      <c r="D2182" s="10" t="inlineStr">
        <is>
          <t>Công ty Cổ phần Xây dựng Hợp Lực</t>
        </is>
      </c>
      <c r="E2182" s="10" t="inlineStr">
        <is>
          <t>14tr-20tr ₫/tháng</t>
        </is>
      </c>
      <c r="F2182" s="10" t="inlineStr">
        <is>
          <t>Hà Nội</t>
        </is>
      </c>
      <c r="G2182" s="10" t="inlineStr">
        <is>
          <t>Nhân viên</t>
        </is>
      </c>
      <c r="H2182" s="10" t="inlineStr">
        <is>
          <t>24/02/2026</t>
        </is>
      </c>
      <c r="I2182" s="10" t="inlineStr">
        <is>
          <t>26/03/2026</t>
        </is>
      </c>
      <c r="J2182" s="10" t="inlineStr">
        <is>
          <t>17/03/2026</t>
        </is>
      </c>
      <c r="K2182" s="10" t="inlineStr">
        <is>
          <t>N/A</t>
        </is>
      </c>
      <c r="L2182" s="10" t="inlineStr">
        <is>
          <t>Autocad, Kiểm Soát Chất Lượng Thi Công, Nghiệm Thu Xây Dựng, Thi Công Xây Dựng, Tư Vấn Giám Sát Công Trình</t>
        </is>
      </c>
      <c r="M2182" s="10" t="inlineStr">
        <is>
          <t>Bonus, Healthcare Plan, Paid Leave, Training, Travel Opportunities, Others</t>
        </is>
      </c>
      <c r="N2182" s="11">
        <f>HYPERLINK("https://www.vietnamworks.com/ky-su-kiem-soat-chat-luong-hien-truong-2012932-jv","Xem chi tiết")</f>
        <v/>
      </c>
      <c r="O2182" s="10" t="n"/>
    </row>
    <row r="2183">
      <c r="B2183" s="7" t="n">
        <v>2181</v>
      </c>
      <c r="C2183" t="inlineStr">
        <is>
          <t>Kế Toán Nội Bộ - Lương Upto 16 Triệu/tháng</t>
        </is>
      </c>
      <c r="D2183" t="inlineStr">
        <is>
          <t>CÔNG TY TNHH LIC VINA</t>
        </is>
      </c>
      <c r="E2183" t="inlineStr">
        <is>
          <t>Tới 16tr ₫/tháng</t>
        </is>
      </c>
      <c r="F2183" t="inlineStr">
        <is>
          <t>Hà Nội</t>
        </is>
      </c>
      <c r="G2183" t="inlineStr">
        <is>
          <t>Nhân viên</t>
        </is>
      </c>
      <c r="H2183" t="inlineStr">
        <is>
          <t>24/02/2026</t>
        </is>
      </c>
      <c r="I2183" t="inlineStr">
        <is>
          <t>26/03/2026</t>
        </is>
      </c>
      <c r="J2183" t="inlineStr">
        <is>
          <t>17/03/2026</t>
        </is>
      </c>
      <c r="K2183" t="inlineStr">
        <is>
          <t>N/A</t>
        </is>
      </c>
      <c r="L2183" t="inlineStr">
        <is>
          <t>Kế Toán, Tài Chính, Kế Toán Nội Bộ, Tiếng Hàn, Excel</t>
        </is>
      </c>
      <c r="M2183" t="inlineStr">
        <is>
          <t>Bonus, Healthcare Plan, Paid Leave</t>
        </is>
      </c>
      <c r="N2183" s="8">
        <f>HYPERLINK("https://www.vietnamworks.com/ke-toan-noi-bo-luong-upto-16-trieu-thang-2012928-jv","Xem chi tiết")</f>
        <v/>
      </c>
    </row>
    <row r="2184">
      <c r="B2184" s="9" t="n">
        <v>2182</v>
      </c>
      <c r="C2184" s="10" t="inlineStr">
        <is>
          <t xml:space="preserve">Trưởng Nhóm Chăm Sóc Khách Hàng </t>
        </is>
      </c>
      <c r="D2184" s="10" t="inlineStr">
        <is>
          <t>Tổng Công Ty Mbland - Mbland Holdings</t>
        </is>
      </c>
      <c r="E2184" s="10" t="inlineStr">
        <is>
          <t>Thương lượng</t>
        </is>
      </c>
      <c r="F2184" s="10" t="inlineStr">
        <is>
          <t>Hà Nội</t>
        </is>
      </c>
      <c r="G2184" s="10" t="inlineStr">
        <is>
          <t>Trưởng phòng</t>
        </is>
      </c>
      <c r="H2184" s="10" t="inlineStr">
        <is>
          <t>24/02/2026</t>
        </is>
      </c>
      <c r="I2184" s="10" t="inlineStr">
        <is>
          <t>26/03/2026</t>
        </is>
      </c>
      <c r="J2184" s="10" t="inlineStr">
        <is>
          <t>17/03/2026</t>
        </is>
      </c>
      <c r="K2184" s="10" t="inlineStr">
        <is>
          <t>N/A</t>
        </is>
      </c>
      <c r="L2184" s="10" t="inlineStr">
        <is>
          <t>Chăm Sóc Khách Hàng, Giao Tiếp Xuất Sắc, Lãnh Đạo, Quản Trị Đội Ngũ, Đàm Phán</t>
        </is>
      </c>
      <c r="M2184" s="10" t="inlineStr">
        <is>
          <t>Bonus, Healthcare Plan, Paid Leave, Training, Awards, Travel Opportunities, Team Activities, Canteen, Others</t>
        </is>
      </c>
      <c r="N2184" s="11">
        <f>HYPERLINK("https://www.vietnamworks.com/truong-nhom-cham-soc-khach-hang-2012923-jv","Xem chi tiết")</f>
        <v/>
      </c>
      <c r="O2184" s="10" t="n"/>
    </row>
    <row r="2185">
      <c r="B2185" s="7" t="n">
        <v>2183</v>
      </c>
      <c r="C2185" t="inlineStr">
        <is>
          <t>Trưởng Nhóm Kinh Doanh - Online (Thu Nhập Upto 30 Triệu)</t>
        </is>
      </c>
      <c r="D2185" t="inlineStr">
        <is>
          <t>Công ty TNHH Himen Art</t>
        </is>
      </c>
      <c r="E2185" t="inlineStr">
        <is>
          <t>12tr-30tr ₫/tháng</t>
        </is>
      </c>
      <c r="F2185" t="inlineStr">
        <is>
          <t>Hà Nội</t>
        </is>
      </c>
      <c r="G2185" t="inlineStr">
        <is>
          <t>Nhân viên</t>
        </is>
      </c>
      <c r="H2185" t="inlineStr">
        <is>
          <t>24/02/2026</t>
        </is>
      </c>
      <c r="I2185" t="inlineStr">
        <is>
          <t>26/03/2026</t>
        </is>
      </c>
      <c r="J2185" t="inlineStr">
        <is>
          <t>17/03/2026</t>
        </is>
      </c>
      <c r="K2185" t="inlineStr">
        <is>
          <t>N/A</t>
        </is>
      </c>
      <c r="L2185" t="inlineStr">
        <is>
          <t>Lập Kế Hoạch Kinh Doanh, Sale Management, Sale &amp; Business development, Kinh doanh &amp; Phát triển khách hàng, Sale</t>
        </is>
      </c>
      <c r="M2185" t="inlineStr">
        <is>
          <t>Bonus, Healthcare Plan, Travel Opportunities, Team Activities, Others</t>
        </is>
      </c>
      <c r="N2185" s="8">
        <f>HYPERLINK("https://www.vietnamworks.com/truong-nhom-kinh-doanh-online-thu-nhap-upto-30-trieu-2012924-jv","Xem chi tiết")</f>
        <v/>
      </c>
    </row>
    <row r="2186">
      <c r="B2186" s="9" t="n">
        <v>2184</v>
      </c>
      <c r="C2186" s="10" t="inlineStr">
        <is>
          <t>Nhân Viên Vận Hành Máy</t>
        </is>
      </c>
      <c r="D2186" s="10" t="inlineStr">
        <is>
          <t>Asia Chemical Corporation</t>
        </is>
      </c>
      <c r="E2186" s="10" t="inlineStr">
        <is>
          <t>Thương lượng</t>
        </is>
      </c>
      <c r="F2186" s="10" t="inlineStr">
        <is>
          <t>Bến Tre</t>
        </is>
      </c>
      <c r="G2186" s="10" t="inlineStr">
        <is>
          <t>Nhân viên</t>
        </is>
      </c>
      <c r="H2186" s="10" t="inlineStr">
        <is>
          <t>24/02/2026</t>
        </is>
      </c>
      <c r="I2186" s="10" t="inlineStr">
        <is>
          <t>26/03/2026</t>
        </is>
      </c>
      <c r="J2186" s="10" t="inlineStr">
        <is>
          <t>17/03/2026</t>
        </is>
      </c>
      <c r="K2186" s="10" t="inlineStr">
        <is>
          <t>N/A</t>
        </is>
      </c>
      <c r="L2186" s="10" t="inlineStr">
        <is>
          <t>Công Nghệ Thực Phẩm, Vận hành &amp; bảo trì, Tự Động Hóa, Thiết Bị Điện, Sản xuất</t>
        </is>
      </c>
      <c r="M2186" s="10" t="inlineStr">
        <is>
          <t>Bonus</t>
        </is>
      </c>
      <c r="N2186" s="11">
        <f>HYPERLINK("https://www.vietnamworks.com/nhan-vien-van-hanh-may-2012937-jv","Xem chi tiết")</f>
        <v/>
      </c>
      <c r="O2186" s="10" t="n"/>
    </row>
    <row r="2187">
      <c r="B2187" s="7" t="n">
        <v>2185</v>
      </c>
      <c r="C2187" t="inlineStr">
        <is>
          <t>Giám Sát Kỹ Thuật Công Trường | Hải Phòng &amp; Quảng Ninh</t>
        </is>
      </c>
      <c r="D2187" t="inlineStr">
        <is>
          <t>CBC - Civil &amp; Building Construction</t>
        </is>
      </c>
      <c r="E2187" t="inlineStr">
        <is>
          <t>800-1,000 ₫/tháng</t>
        </is>
      </c>
      <c r="F2187" t="inlineStr">
        <is>
          <t>Quảng Ninh, Hải Phòng</t>
        </is>
      </c>
      <c r="G2187" t="inlineStr">
        <is>
          <t>Nhân viên</t>
        </is>
      </c>
      <c r="H2187" t="inlineStr">
        <is>
          <t>24/02/2026</t>
        </is>
      </c>
      <c r="I2187" t="inlineStr">
        <is>
          <t>26/03/2026</t>
        </is>
      </c>
      <c r="J2187" t="inlineStr">
        <is>
          <t>17/03/2026</t>
        </is>
      </c>
      <c r="K2187" t="inlineStr">
        <is>
          <t>N/A</t>
        </is>
      </c>
      <c r="L2187" t="inlineStr">
        <is>
          <t>Giám Sát Kỹ Thuật, Giám Sát Thi Công, Đọc Hiểu Bản Vẽ Kỹ Thuật, Quản Lý Tổ Đội Thi Công, Xử Lý Tình Huống</t>
        </is>
      </c>
      <c r="M2187" t="inlineStr">
        <is>
          <t>Training</t>
        </is>
      </c>
      <c r="N2187" s="8">
        <f>HYPERLINK("https://www.vietnamworks.com/giam-sat-ky-thuat-cong-truong-hai-phong-quang-ninh-2012942-jv","Xem chi tiết")</f>
        <v/>
      </c>
    </row>
    <row r="2188">
      <c r="B2188" s="9" t="n">
        <v>2186</v>
      </c>
      <c r="C2188" s="10" t="inlineStr">
        <is>
          <t>Nhân Viên Shop Drawing (Làm Việc Tại Công Trường) | Quảng Ninh, Hải Phòng, HCM</t>
        </is>
      </c>
      <c r="D2188" s="10" t="inlineStr">
        <is>
          <t>CBC - Civil &amp; Building Construction</t>
        </is>
      </c>
      <c r="E2188" s="10" t="inlineStr">
        <is>
          <t>15tr-22tr ₫/tháng</t>
        </is>
      </c>
      <c r="F2188" s="10" t="inlineStr">
        <is>
          <t>Hồ Chí Minh, Hải Phòng, Quảng Ninh</t>
        </is>
      </c>
      <c r="G2188" s="10" t="inlineStr">
        <is>
          <t>Nhân viên</t>
        </is>
      </c>
      <c r="H2188" s="10" t="inlineStr">
        <is>
          <t>24/02/2026</t>
        </is>
      </c>
      <c r="I2188" s="10" t="inlineStr">
        <is>
          <t>26/03/2026</t>
        </is>
      </c>
      <c r="J2188" s="10" t="inlineStr">
        <is>
          <t>17/03/2026</t>
        </is>
      </c>
      <c r="K2188" s="10" t="inlineStr">
        <is>
          <t>N/A</t>
        </is>
      </c>
      <c r="L2188" s="10" t="inlineStr">
        <is>
          <t>Shop Drawing, AutoCAD Tool, Construction Process, Triển Khai Bản Vẽ Xây Dựng</t>
        </is>
      </c>
      <c r="M2188" s="10" t="inlineStr">
        <is>
          <t>Bonus, Healthcare Plan, Training</t>
        </is>
      </c>
      <c r="N2188" s="11">
        <f>HYPERLINK("https://www.vietnamworks.com/nhan-vien-shop-drawing-lam-viec-tai-cong-truong-or-quang-ninh-hai-phong-hcm-2012940-jv","Xem chi tiết")</f>
        <v/>
      </c>
      <c r="O2188" s="10" t="n"/>
    </row>
    <row r="2189">
      <c r="B2189" s="7" t="n">
        <v>2187</v>
      </c>
      <c r="C2189" t="inlineStr">
        <is>
          <t>Giám Sát Thi Công Nội Thất</t>
        </is>
      </c>
      <c r="D2189" t="inlineStr">
        <is>
          <t>CÔNG TY TNHH CRAFTEC VIỆT NAM</t>
        </is>
      </c>
      <c r="E2189" t="inlineStr">
        <is>
          <t>12tr-20tr ₫/tháng</t>
        </is>
      </c>
      <c r="F2189" t="inlineStr">
        <is>
          <t>Hồ Chí Minh</t>
        </is>
      </c>
      <c r="G2189" t="inlineStr">
        <is>
          <t>Nhân viên</t>
        </is>
      </c>
      <c r="H2189" t="inlineStr">
        <is>
          <t>24/02/2026</t>
        </is>
      </c>
      <c r="I2189" t="inlineStr">
        <is>
          <t>26/03/2026</t>
        </is>
      </c>
      <c r="J2189" t="inlineStr">
        <is>
          <t>17/03/2026</t>
        </is>
      </c>
      <c r="K2189" t="inlineStr">
        <is>
          <t>N/A</t>
        </is>
      </c>
      <c r="L2189" t="inlineStr">
        <is>
          <t>Nội Thất, Architectural Construction, Giám Sát Nội Thất, Đọc Hiểu Bản Vẽ, Giao Tiếp Tiếng Anh</t>
        </is>
      </c>
      <c r="M2189" t="inlineStr">
        <is>
          <t>Bonus, Healthcare Plan, Paid Leave, Laptop, Travel Opportunities, Others</t>
        </is>
      </c>
      <c r="N2189" s="8">
        <f>HYPERLINK("https://www.vietnamworks.com/giam-sat-thi-cong-noi-that-2012943-jv","Xem chi tiết")</f>
        <v/>
      </c>
    </row>
    <row r="2190">
      <c r="B2190" s="9" t="n">
        <v>2188</v>
      </c>
      <c r="C2190" s="10" t="inlineStr">
        <is>
          <t>Chuyên Viên Tuyển Dụng - Đào Tạo</t>
        </is>
      </c>
      <c r="D2190" s="10" t="inlineStr">
        <is>
          <t>Công ty Cổ phần Xây dựng Hợp Lực</t>
        </is>
      </c>
      <c r="E2190" s="10" t="inlineStr">
        <is>
          <t>Thương lượng</t>
        </is>
      </c>
      <c r="F2190" s="10" t="inlineStr">
        <is>
          <t>Hà Nội</t>
        </is>
      </c>
      <c r="G2190" s="10" t="inlineStr">
        <is>
          <t>Nhân viên</t>
        </is>
      </c>
      <c r="H2190" s="10" t="inlineStr">
        <is>
          <t>24/02/2026</t>
        </is>
      </c>
      <c r="I2190" s="10" t="inlineStr">
        <is>
          <t>26/03/2026</t>
        </is>
      </c>
      <c r="J2190" s="10" t="inlineStr">
        <is>
          <t>17/03/2026</t>
        </is>
      </c>
      <c r="K2190" s="10" t="inlineStr">
        <is>
          <t>N/A</t>
        </is>
      </c>
      <c r="L2190" s="10" t="inlineStr">
        <is>
          <t>Quản Trị Nhân Lực, Sàng Lọc Ứng Viên, Tìm Kiếm Ứng Viên, Tuyển Dụng Nhân Sự, Đào Tạo Nhân Sự</t>
        </is>
      </c>
      <c r="M2190" s="10" t="inlineStr">
        <is>
          <t>Bonus, Healthcare Plan, Paid Leave, Training, Travel Opportunities, Others</t>
        </is>
      </c>
      <c r="N2190" s="11">
        <f>HYPERLINK("https://www.vietnamworks.com/chuyen-vien-tuyen-dung-djao-tao-2012966-jv","Xem chi tiết")</f>
        <v/>
      </c>
      <c r="O2190" s="10" t="n"/>
    </row>
    <row r="2191">
      <c r="B2191" s="7" t="n">
        <v>2189</v>
      </c>
      <c r="C2191" t="inlineStr">
        <is>
          <t>Kế Toán Trưởng</t>
        </is>
      </c>
      <c r="D2191" t="inlineStr">
        <is>
          <t>Công Ty Cổ Phần Tập Đoàn Stp</t>
        </is>
      </c>
      <c r="E2191" t="inlineStr">
        <is>
          <t>$$ 1,200-1,700 /tháng</t>
        </is>
      </c>
      <c r="F2191" t="inlineStr">
        <is>
          <t>Hà Nội</t>
        </is>
      </c>
      <c r="G2191" t="inlineStr">
        <is>
          <t>Giám Đốc và Cấp Cao Hơn</t>
        </is>
      </c>
      <c r="H2191" t="inlineStr">
        <is>
          <t>24/02/2026</t>
        </is>
      </c>
      <c r="I2191" t="inlineStr">
        <is>
          <t>26/03/2026</t>
        </is>
      </c>
      <c r="J2191" t="inlineStr">
        <is>
          <t>17/03/2026</t>
        </is>
      </c>
      <c r="K2191" t="inlineStr">
        <is>
          <t>N/A</t>
        </is>
      </c>
      <c r="L2191" t="inlineStr">
        <is>
          <t>Giải Quyết Vấn Đề, Kế Toán, Lãnh Đạo, Phân Tích Tài Chính, Quản Lý Nhân Sự</t>
        </is>
      </c>
      <c r="M2191" t="inlineStr">
        <is>
          <t>Bonus, Healthcare Plan, Training, Team Activities, Others</t>
        </is>
      </c>
      <c r="N2191" s="8">
        <f>HYPERLINK("https://www.vietnamworks.com/ke-toan-truong-2012935-jv","Xem chi tiết")</f>
        <v/>
      </c>
    </row>
    <row r="2192">
      <c r="B2192" s="9" t="n">
        <v>2190</v>
      </c>
      <c r="C2192" s="10" t="inlineStr">
        <is>
          <t>QA/ QC Engineer Airport Project</t>
        </is>
      </c>
      <c r="D2192" s="10" t="inlineStr">
        <is>
          <t>Thương Mại Khánh Thiện</t>
        </is>
      </c>
      <c r="E2192" s="10" t="inlineStr">
        <is>
          <t>Thương lượng</t>
        </is>
      </c>
      <c r="F2192" s="10" t="inlineStr">
        <is>
          <t>Hồ Chí Minh</t>
        </is>
      </c>
      <c r="G2192" s="10" t="inlineStr">
        <is>
          <t>Nhân viên</t>
        </is>
      </c>
      <c r="H2192" s="10" t="inlineStr">
        <is>
          <t>24/02/2026</t>
        </is>
      </c>
      <c r="I2192" s="10" t="inlineStr">
        <is>
          <t>26/03/2026</t>
        </is>
      </c>
      <c r="J2192" s="10" t="inlineStr">
        <is>
          <t>17/03/2026</t>
        </is>
      </c>
      <c r="K2192" s="10" t="inlineStr">
        <is>
          <t>N/A</t>
        </is>
      </c>
      <c r="L2192" s="10" t="inlineStr">
        <is>
          <t>Lập Báo Cáo, Lập Hồ Sơ Chất Lượng, Lập Kế Hoạch, MS Office, Nghiệm Thu Chất Lượng</t>
        </is>
      </c>
      <c r="M2192" s="10" t="inlineStr">
        <is>
          <t>Bonus, Paid Leave, Others</t>
        </is>
      </c>
      <c r="N2192" s="11">
        <f>HYPERLINK("https://www.vietnamworks.com/qa-qc-engineer-airport-project-2012949-jv","Xem chi tiết")</f>
        <v/>
      </c>
      <c r="O2192" s="10" t="n"/>
    </row>
    <row r="2193">
      <c r="B2193" s="7" t="n">
        <v>2191</v>
      </c>
      <c r="C2193" t="inlineStr">
        <is>
          <t>Kỹ Sư QA/QC Văn Phòng</t>
        </is>
      </c>
      <c r="D2193" t="inlineStr">
        <is>
          <t>Công ty Cổ phần Xây dựng Hợp Lực</t>
        </is>
      </c>
      <c r="E2193" t="inlineStr">
        <is>
          <t>15tr-20tr ₫/tháng</t>
        </is>
      </c>
      <c r="F2193" t="inlineStr">
        <is>
          <t>Hà Nội</t>
        </is>
      </c>
      <c r="G2193" t="inlineStr">
        <is>
          <t>Nhân viên</t>
        </is>
      </c>
      <c r="H2193" t="inlineStr">
        <is>
          <t>24/02/2026</t>
        </is>
      </c>
      <c r="I2193" t="inlineStr">
        <is>
          <t>26/03/2026</t>
        </is>
      </c>
      <c r="J2193" t="inlineStr">
        <is>
          <t>17/03/2026</t>
        </is>
      </c>
      <c r="K2193" t="inlineStr">
        <is>
          <t>N/A</t>
        </is>
      </c>
      <c r="L2193" t="inlineStr">
        <is>
          <t>Autocad, Kiểm Soát Tiến Độ Thi Công, Nghiệm Thu Xây Dựng, Thi Công Xây Dựng, Tư Vấn Giám Sát Công Trình</t>
        </is>
      </c>
      <c r="M2193" t="inlineStr">
        <is>
          <t>Bonus, Healthcare Plan, Paid Leave, Training, Travel Opportunities, Others</t>
        </is>
      </c>
      <c r="N2193" s="8">
        <f>HYPERLINK("https://www.vietnamworks.com/ky-su-qaqc-van-phong-2012954-jv","Xem chi tiết")</f>
        <v/>
      </c>
    </row>
    <row r="2194">
      <c r="B2194" s="9" t="n">
        <v>2192</v>
      </c>
      <c r="C2194" s="10" t="inlineStr">
        <is>
          <t>Kế Toán Trưởng Chuyên F&amp;B [Đi Làm Ngay]</t>
        </is>
      </c>
      <c r="D2194" s="10" t="inlineStr">
        <is>
          <t>CÔNG TY TNHH DỊCH VỤ VÀ THƯƠNG MẠI ĐỨC BÌNH</t>
        </is>
      </c>
      <c r="E2194" s="10" t="inlineStr">
        <is>
          <t>$$ 1,000-2,000 /tháng</t>
        </is>
      </c>
      <c r="F2194" s="10" t="inlineStr">
        <is>
          <t>Hà Nội</t>
        </is>
      </c>
      <c r="G2194" s="10" t="inlineStr">
        <is>
          <t>Trưởng phòng</t>
        </is>
      </c>
      <c r="H2194" s="10" t="inlineStr">
        <is>
          <t>24/02/2026</t>
        </is>
      </c>
      <c r="I2194" s="10" t="inlineStr">
        <is>
          <t>26/03/2026</t>
        </is>
      </c>
      <c r="J2194" s="10" t="inlineStr">
        <is>
          <t>17/03/2026</t>
        </is>
      </c>
      <c r="K2194" s="10" t="inlineStr">
        <is>
          <t>N/A</t>
        </is>
      </c>
      <c r="L2194" s="10" t="inlineStr">
        <is>
          <t>Kế Toán Kiểm Soát, Quản Lý Tài Chính, Quản Lý Kế Toán, Báo Cáo Tài Chính, F&amp;B</t>
        </is>
      </c>
      <c r="M2194" s="10" t="inlineStr">
        <is>
          <t>Bonus, Healthcare Plan, Canteen</t>
        </is>
      </c>
      <c r="N2194" s="11">
        <f>HYPERLINK("https://www.vietnamworks.com/ke-toan-truong-chuyen-f-b-di-lam-ngay-2012944-jv","Xem chi tiết")</f>
        <v/>
      </c>
      <c r="O2194" s="10" t="n"/>
    </row>
    <row r="2195">
      <c r="B2195" s="7" t="n">
        <v>2193</v>
      </c>
      <c r="C2195" t="inlineStr">
        <is>
          <t>Nhân Viên Kỹ Thuật - Phụ Trách Báo Giá Sản Phẩm</t>
        </is>
      </c>
      <c r="D2195" t="inlineStr">
        <is>
          <t>Công Ty TNHH Sumitomo Heavy Industries (Việt Nam)</t>
        </is>
      </c>
      <c r="E2195" t="inlineStr">
        <is>
          <t>$$ 400-600 /tháng</t>
        </is>
      </c>
      <c r="F2195" t="inlineStr">
        <is>
          <t>Hà Nội</t>
        </is>
      </c>
      <c r="G2195" t="inlineStr">
        <is>
          <t>Nhân viên</t>
        </is>
      </c>
      <c r="H2195" t="inlineStr">
        <is>
          <t>24/02/2026</t>
        </is>
      </c>
      <c r="I2195" t="inlineStr">
        <is>
          <t>26/03/2026</t>
        </is>
      </c>
      <c r="J2195" t="inlineStr">
        <is>
          <t>17/03/2026</t>
        </is>
      </c>
      <c r="K2195" t="inlineStr">
        <is>
          <t>N/A</t>
        </is>
      </c>
      <c r="L2195" t="inlineStr">
        <is>
          <t>Kỹ Thuật, Báo Giá, Cơ Khí, Tiếng Anh, Cơ Khí Chế Tạo Máy</t>
        </is>
      </c>
      <c r="M2195" t="inlineStr">
        <is>
          <t>Awards, Travel Opportunities, Canteen</t>
        </is>
      </c>
      <c r="N2195" s="8">
        <f>HYPERLINK("https://www.vietnamworks.com/nhan-vien-ky-thuat-phu-trach-bao-gia-san-pham-2012953-jv","Xem chi tiết")</f>
        <v/>
      </c>
    </row>
    <row r="2196">
      <c r="B2196" s="9" t="n">
        <v>2194</v>
      </c>
      <c r="C2196" s="10" t="inlineStr">
        <is>
          <t>Graduate to Senior Consultant | IT Audit (Digital Trust) in HCMC Office</t>
        </is>
      </c>
      <c r="D2196" s="10" t="inlineStr">
        <is>
          <t>Ernst &amp; Young Vietnam Limited (EY Vietnam)</t>
        </is>
      </c>
      <c r="E2196" s="10" t="inlineStr">
        <is>
          <t>Thương lượng</t>
        </is>
      </c>
      <c r="F2196" s="10" t="inlineStr">
        <is>
          <t>Hồ Chí Minh</t>
        </is>
      </c>
      <c r="G2196" s="10" t="inlineStr">
        <is>
          <t>Nhân viên</t>
        </is>
      </c>
      <c r="H2196" s="10" t="inlineStr">
        <is>
          <t>24/02/2026</t>
        </is>
      </c>
      <c r="I2196" s="10" t="inlineStr">
        <is>
          <t>26/03/2026</t>
        </is>
      </c>
      <c r="J2196" s="10" t="inlineStr">
        <is>
          <t>17/03/2026</t>
        </is>
      </c>
      <c r="K2196" s="10" t="inlineStr">
        <is>
          <t>N/A</t>
        </is>
      </c>
      <c r="L2196" s="10" t="inlineStr">
        <is>
          <t>IT Security GRC, IT Audit, CISA, Data protection regulations, IT Governance</t>
        </is>
      </c>
      <c r="M2196" s="10" t="inlineStr">
        <is>
          <t>Bonus, Awards, Others</t>
        </is>
      </c>
      <c r="N2196" s="11">
        <f>HYPERLINK("https://www.vietnamworks.com/graduate-to-senior-consultant-it-audit-digital-trust-in-hcmc-office-2012941-jv","Xem chi tiết")</f>
        <v/>
      </c>
      <c r="O2196" s="10" t="n"/>
    </row>
    <row r="2197">
      <c r="B2197" s="7" t="n">
        <v>2195</v>
      </c>
      <c r="C2197" t="inlineStr">
        <is>
          <t>Manager/Senior Manager | IT Audit (Digital Trust) in HCMC Office</t>
        </is>
      </c>
      <c r="D2197" t="inlineStr">
        <is>
          <t>Ernst &amp; Young Vietnam Limited (EY Vietnam)</t>
        </is>
      </c>
      <c r="E2197" t="inlineStr">
        <is>
          <t>Thương lượng</t>
        </is>
      </c>
      <c r="F2197" t="inlineStr">
        <is>
          <t>Hồ Chí Minh</t>
        </is>
      </c>
      <c r="G2197" t="inlineStr">
        <is>
          <t>Trưởng phòng</t>
        </is>
      </c>
      <c r="H2197" t="inlineStr">
        <is>
          <t>24/02/2026</t>
        </is>
      </c>
      <c r="I2197" t="inlineStr">
        <is>
          <t>26/03/2026</t>
        </is>
      </c>
      <c r="J2197" t="inlineStr">
        <is>
          <t>17/03/2026</t>
        </is>
      </c>
      <c r="K2197" t="inlineStr">
        <is>
          <t>N/A</t>
        </is>
      </c>
      <c r="L2197" t="inlineStr">
        <is>
          <t>IT Audit, IT Governance, CISA, ITGC, SOX Control Testing</t>
        </is>
      </c>
      <c r="M2197" t="inlineStr">
        <is>
          <t>Bonus, Awards, Others</t>
        </is>
      </c>
      <c r="N2197" s="8">
        <f>HYPERLINK("https://www.vietnamworks.com/manager-senior-manager-it-audit-digital-trust-in-hcmc-office-2012946-jv","Xem chi tiết")</f>
        <v/>
      </c>
    </row>
    <row r="2198">
      <c r="B2198" s="9" t="n">
        <v>2196</v>
      </c>
      <c r="C2198" s="10" t="inlineStr">
        <is>
          <t>Affiliate Managing Director (CPA net)</t>
        </is>
      </c>
      <c r="D2198" s="10" t="inlineStr">
        <is>
          <t>NEYU</t>
        </is>
      </c>
      <c r="E2198" s="10" t="inlineStr">
        <is>
          <t>Thương lượng</t>
        </is>
      </c>
      <c r="F2198" s="10" t="inlineStr">
        <is>
          <t>Hà Nội</t>
        </is>
      </c>
      <c r="G2198" s="10" t="inlineStr">
        <is>
          <t>Giám Đốc và Cấp Cao Hơn</t>
        </is>
      </c>
      <c r="H2198" s="10" t="inlineStr">
        <is>
          <t>24/02/2026</t>
        </is>
      </c>
      <c r="I2198" s="10" t="inlineStr">
        <is>
          <t>26/03/2026</t>
        </is>
      </c>
      <c r="J2198" s="10" t="inlineStr">
        <is>
          <t>17/03/2026</t>
        </is>
      </c>
      <c r="K2198" s="10" t="inlineStr">
        <is>
          <t>N/A</t>
        </is>
      </c>
      <c r="L2198" s="10" t="inlineStr">
        <is>
          <t>Affiliate Marketing, Business Expansion, CPA, Financial performance, Leadership Management</t>
        </is>
      </c>
      <c r="M2198" s="10" t="inlineStr">
        <is>
          <t>Bonus, Healthcare Plan, Paid Leave, Laptop, Travel Opportunities, Team Activities</t>
        </is>
      </c>
      <c r="N2198" s="11">
        <f>HYPERLINK("https://www.vietnamworks.com/affiliate-managing-director-cpa-net-2012939-jv","Xem chi tiết")</f>
        <v/>
      </c>
      <c r="O2198" s="10" t="n"/>
    </row>
    <row r="2199">
      <c r="B2199" s="7" t="n">
        <v>2197</v>
      </c>
      <c r="C2199" t="inlineStr">
        <is>
          <t>Production Engineer - Good English Communication Skills</t>
        </is>
      </c>
      <c r="D2199" t="inlineStr">
        <is>
          <t>Vietnamworks' Client</t>
        </is>
      </c>
      <c r="E2199" t="inlineStr">
        <is>
          <t>Thương lượng</t>
        </is>
      </c>
      <c r="F2199" t="inlineStr">
        <is>
          <t>Bắc Ninh</t>
        </is>
      </c>
      <c r="G2199" t="inlineStr">
        <is>
          <t>Nhân viên</t>
        </is>
      </c>
      <c r="H2199" t="inlineStr">
        <is>
          <t>24/02/2026</t>
        </is>
      </c>
      <c r="I2199" t="inlineStr">
        <is>
          <t>26/03/2026</t>
        </is>
      </c>
      <c r="J2199" t="inlineStr">
        <is>
          <t>17/03/2026</t>
        </is>
      </c>
      <c r="K2199" t="inlineStr">
        <is>
          <t>N/A</t>
        </is>
      </c>
      <c r="L2199" t="inlineStr">
        <is>
          <t>Mechanical Engineering, Troubleshooting, Tự Động Hóa, Interpersonal Skill, Production Engineer</t>
        </is>
      </c>
      <c r="M2199" t="inlineStr">
        <is>
          <t>Bonus, Healthcare Plan, Transportation</t>
        </is>
      </c>
      <c r="N2199" s="8">
        <f>HYPERLINK("https://www.vietnamworks.com/production-engineer-good-english-communication-skills-2012945-jv","Xem chi tiết")</f>
        <v/>
      </c>
    </row>
    <row r="2200">
      <c r="B2200" s="9" t="n">
        <v>2198</v>
      </c>
      <c r="C2200" s="10" t="inlineStr">
        <is>
          <t>Giám Đốc Ban – PR &amp; Branding Director</t>
        </is>
      </c>
      <c r="D2200" s="10" t="inlineStr">
        <is>
          <t>CÔNG TY CỔ PHẦN HÀNG KHÔNG LỮ HÀNH VIỆT NAM</t>
        </is>
      </c>
      <c r="E2200" s="10" t="inlineStr">
        <is>
          <t>Thương lượng</t>
        </is>
      </c>
      <c r="F2200" s="10" t="inlineStr">
        <is>
          <t>Hà Nội</t>
        </is>
      </c>
      <c r="G2200" s="10" t="inlineStr">
        <is>
          <t>Giám Đốc và Cấp Cao Hơn</t>
        </is>
      </c>
      <c r="H2200" s="10" t="inlineStr">
        <is>
          <t>24/02/2026</t>
        </is>
      </c>
      <c r="I2200" s="10" t="inlineStr">
        <is>
          <t>26/03/2026</t>
        </is>
      </c>
      <c r="J2200" s="10" t="inlineStr">
        <is>
          <t>17/03/2026</t>
        </is>
      </c>
      <c r="K2200" s="10" t="inlineStr">
        <is>
          <t>N/A</t>
        </is>
      </c>
      <c r="L2200" s="10" t="inlineStr">
        <is>
          <t>Branding Management, Chiến Lược Truyền Thông, Phân Tích Thông Tin, Public Relation</t>
        </is>
      </c>
      <c r="M2200" s="10" t="inlineStr">
        <is>
          <t>Bonus, Healthcare Plan, Paid Leave</t>
        </is>
      </c>
      <c r="N2200" s="11">
        <f>HYPERLINK("https://www.vietnamworks.com/giam-djoc-ban-pr-and-branding-director-2012965-jv","Xem chi tiết")</f>
        <v/>
      </c>
      <c r="O2200" s="10" t="n"/>
    </row>
    <row r="2201">
      <c r="B2201" s="7" t="n">
        <v>2199</v>
      </c>
      <c r="C2201" t="inlineStr">
        <is>
          <t>Nhân Viên Kỹ Thuật Điện (R&amp;D)</t>
        </is>
      </c>
      <c r="D2201" t="inlineStr">
        <is>
          <t>Công Ty TNHH Sumitomo Heavy Industries (Việt Nam)</t>
        </is>
      </c>
      <c r="E2201" t="inlineStr">
        <is>
          <t>$$ 400-750 /tháng</t>
        </is>
      </c>
      <c r="F2201" t="inlineStr">
        <is>
          <t>Hà Nội</t>
        </is>
      </c>
      <c r="G2201" t="inlineStr">
        <is>
          <t>Nhân viên</t>
        </is>
      </c>
      <c r="H2201" t="inlineStr">
        <is>
          <t>24/02/2026</t>
        </is>
      </c>
      <c r="I2201" t="inlineStr">
        <is>
          <t>26/03/2026</t>
        </is>
      </c>
      <c r="J2201" t="inlineStr">
        <is>
          <t>17/03/2026</t>
        </is>
      </c>
      <c r="K2201" t="inlineStr">
        <is>
          <t>N/A</t>
        </is>
      </c>
      <c r="L2201" t="inlineStr">
        <is>
          <t>Thiết Bị Điện, Động Cơ Điện, R&amp;D, Vận Hành Điện, Chuyên Ngành Điện</t>
        </is>
      </c>
      <c r="M2201" t="inlineStr">
        <is>
          <t>Awards, Travel Opportunities, Canteen</t>
        </is>
      </c>
      <c r="N2201" s="8">
        <f>HYPERLINK("https://www.vietnamworks.com/nhan-vien-ky-thuat-dien-r-d-2012951-jv","Xem chi tiết")</f>
        <v/>
      </c>
    </row>
    <row r="2202">
      <c r="B2202" s="9" t="n">
        <v>2200</v>
      </c>
      <c r="C2202" s="10" t="inlineStr">
        <is>
          <t>Nhân Viên Thiết Kế HVAC</t>
        </is>
      </c>
      <c r="D2202" s="10" t="inlineStr">
        <is>
          <t>Công ty Cổ phần Xây dựng Hợp Lực</t>
        </is>
      </c>
      <c r="E2202" s="10" t="inlineStr">
        <is>
          <t>Thương lượng</t>
        </is>
      </c>
      <c r="F2202" s="10" t="inlineStr">
        <is>
          <t>Hà Nội</t>
        </is>
      </c>
      <c r="G2202" s="10" t="inlineStr">
        <is>
          <t>Nhân viên</t>
        </is>
      </c>
      <c r="H2202" s="10" t="inlineStr">
        <is>
          <t>24/02/2026</t>
        </is>
      </c>
      <c r="I2202" s="10" t="inlineStr">
        <is>
          <t>26/03/2026</t>
        </is>
      </c>
      <c r="J2202" s="10" t="inlineStr">
        <is>
          <t>17/03/2026</t>
        </is>
      </c>
      <c r="K2202" s="10" t="inlineStr">
        <is>
          <t>N/A</t>
        </is>
      </c>
      <c r="L2202" s="10" t="inlineStr">
        <is>
          <t>Autocad, Revit, Thiết Kế Hệ Thống HVAC, Thiết Kế Điều Hòa Thông Gió, Xử Lý Khí Thải</t>
        </is>
      </c>
      <c r="M2202" s="10" t="inlineStr">
        <is>
          <t>Bonus, Healthcare Plan, Others</t>
        </is>
      </c>
      <c r="N2202" s="11">
        <f>HYPERLINK("https://www.vietnamworks.com/nhan-vien-thiet-ke-hvac-2012960-jv","Xem chi tiết")</f>
        <v/>
      </c>
      <c r="O2202" s="10" t="n"/>
    </row>
    <row r="2203">
      <c r="B2203" s="7" t="n">
        <v>2201</v>
      </c>
      <c r="C2203" t="inlineStr">
        <is>
          <t>Data Analyst</t>
        </is>
      </c>
      <c r="D2203" t="inlineStr">
        <is>
          <t>Công Ty TNHH Ariston Việt Nam</t>
        </is>
      </c>
      <c r="E2203" t="inlineStr">
        <is>
          <t>Thương lượng</t>
        </is>
      </c>
      <c r="F2203" t="inlineStr">
        <is>
          <t>Bắc Ninh, Hà Nội, Bắc Giang</t>
        </is>
      </c>
      <c r="G2203" t="inlineStr">
        <is>
          <t>Nhân viên</t>
        </is>
      </c>
      <c r="H2203" t="inlineStr">
        <is>
          <t>24/02/2026</t>
        </is>
      </c>
      <c r="I2203" t="inlineStr">
        <is>
          <t>26/03/2026</t>
        </is>
      </c>
      <c r="J2203" t="inlineStr">
        <is>
          <t>17/03/2026</t>
        </is>
      </c>
      <c r="K2203" t="inlineStr">
        <is>
          <t>N/A</t>
        </is>
      </c>
      <c r="L2203" t="inlineStr">
        <is>
          <t>SQL, Python, Data Management, Data Analysis, Business Intelligence</t>
        </is>
      </c>
      <c r="M2203" t="inlineStr">
        <is>
          <t>Healthcare Plan, Team Activities, Canteen</t>
        </is>
      </c>
      <c r="N2203" s="8">
        <f>HYPERLINK("https://www.vietnamworks.com/data-analyst--2012955-jv","Xem chi tiết")</f>
        <v/>
      </c>
    </row>
    <row r="2204">
      <c r="B2204" s="9" t="n">
        <v>2202</v>
      </c>
      <c r="C2204" s="10" t="inlineStr">
        <is>
          <t>Construction Manager</t>
        </is>
      </c>
      <c r="D2204" s="10" t="inlineStr">
        <is>
          <t>First Quality Management Corporation (FQM Corp.)</t>
        </is>
      </c>
      <c r="E2204" s="10" t="inlineStr">
        <is>
          <t>Thương lượng</t>
        </is>
      </c>
      <c r="F2204" s="10" t="inlineStr">
        <is>
          <t>Hồ Chí Minh, Hà Nội, Nghệ An</t>
        </is>
      </c>
      <c r="G2204" s="10" t="inlineStr">
        <is>
          <t>Trưởng phòng</t>
        </is>
      </c>
      <c r="H2204" s="10" t="inlineStr">
        <is>
          <t>24/02/2026</t>
        </is>
      </c>
      <c r="I2204" s="10" t="inlineStr">
        <is>
          <t>26/03/2026</t>
        </is>
      </c>
      <c r="J2204" s="10" t="inlineStr">
        <is>
          <t>17/03/2026</t>
        </is>
      </c>
      <c r="K2204" s="10" t="inlineStr">
        <is>
          <t>N/A</t>
        </is>
      </c>
      <c r="L2204" s="10" t="inlineStr">
        <is>
          <t>Civil Engineering, Construction Regulation, Effective Communication, Project Management, Curtain Wall System</t>
        </is>
      </c>
      <c r="M2204" s="10" t="inlineStr">
        <is>
          <t>Bonus, Healthcare Plan, Travel Opportunities</t>
        </is>
      </c>
      <c r="N2204" s="11">
        <f>HYPERLINK("https://www.vietnamworks.com/construction-manager-2012948-jv","Xem chi tiết")</f>
        <v/>
      </c>
      <c r="O2204" s="10" t="n"/>
    </row>
    <row r="2205">
      <c r="B2205" s="7" t="n">
        <v>2203</v>
      </c>
      <c r="C2205" t="inlineStr">
        <is>
          <t>Costing Specialist, Footwear (HCM, Binh Tan District)</t>
        </is>
      </c>
      <c r="D2205" t="inlineStr">
        <is>
          <t>Amer Sports Vietnam Limited</t>
        </is>
      </c>
      <c r="E2205" t="inlineStr">
        <is>
          <t>$$ 1,200-1,500 /tháng</t>
        </is>
      </c>
      <c r="F2205" t="inlineStr">
        <is>
          <t>Hồ Chí Minh</t>
        </is>
      </c>
      <c r="G2205" t="inlineStr">
        <is>
          <t>Nhân viên</t>
        </is>
      </c>
      <c r="H2205" t="inlineStr">
        <is>
          <t>24/02/2026</t>
        </is>
      </c>
      <c r="I2205" t="inlineStr">
        <is>
          <t>26/03/2026</t>
        </is>
      </c>
      <c r="J2205" t="inlineStr">
        <is>
          <t>17/03/2026</t>
        </is>
      </c>
      <c r="K2205" t="inlineStr">
        <is>
          <t>N/A</t>
        </is>
      </c>
      <c r="L2205" t="inlineStr">
        <is>
          <t>Excel, Price Negotiation, Product Costing, Footwear Costing</t>
        </is>
      </c>
      <c r="M2205" t="inlineStr">
        <is>
          <t>Bonus</t>
        </is>
      </c>
      <c r="N2205" s="8">
        <f>HYPERLINK("https://www.vietnamworks.com/costing-specialist-footwear-hcm-binh-tan-district-2012962-jv","Xem chi tiết")</f>
        <v/>
      </c>
    </row>
    <row r="2206">
      <c r="B2206" s="9" t="n">
        <v>2204</v>
      </c>
      <c r="C2206" s="10" t="inlineStr">
        <is>
          <t>Nhân Viên Bán Hàng Livestream</t>
        </is>
      </c>
      <c r="D2206" s="10" t="inlineStr">
        <is>
          <t>CÔNG TY CỔ PHẦN GROUPE SEB VIỆT NAM</t>
        </is>
      </c>
      <c r="E2206" s="10" t="inlineStr">
        <is>
          <t>Thương lượng</t>
        </is>
      </c>
      <c r="F2206" s="10" t="inlineStr">
        <is>
          <t>Hồ Chí Minh</t>
        </is>
      </c>
      <c r="G2206" s="10" t="inlineStr">
        <is>
          <t>Nhân viên</t>
        </is>
      </c>
      <c r="H2206" s="10" t="inlineStr">
        <is>
          <t>24/02/2026</t>
        </is>
      </c>
      <c r="I2206" s="10" t="inlineStr">
        <is>
          <t>26/03/2026</t>
        </is>
      </c>
      <c r="J2206" s="10" t="inlineStr">
        <is>
          <t>17/03/2026</t>
        </is>
      </c>
      <c r="K2206" s="10" t="inlineStr">
        <is>
          <t>N/A</t>
        </is>
      </c>
      <c r="L2206" s="10" t="inlineStr">
        <is>
          <t>Bán hàng, Giới Thiệu Sản Phẩm, Livestream, Online Sales, Tư Vấn</t>
        </is>
      </c>
      <c r="M2206" s="10" t="inlineStr">
        <is>
          <t>Bonus, Healthcare Plan, Vouchers</t>
        </is>
      </c>
      <c r="N2206" s="11">
        <f>HYPERLINK("https://www.vietnamworks.com/nhan-vien-ban-hang-livestream-2012975-jv","Xem chi tiết")</f>
        <v/>
      </c>
      <c r="O2206" s="10" t="n"/>
    </row>
    <row r="2207">
      <c r="B2207" s="7" t="n">
        <v>2205</v>
      </c>
      <c r="C2207" t="inlineStr">
        <is>
          <t>Scientific Affairs &amp; Regulatory Affairs (SARA) Manager, VN</t>
        </is>
      </c>
      <c r="D2207" t="inlineStr">
        <is>
          <t>Mondelēz Kinh Đô Việt Nam</t>
        </is>
      </c>
      <c r="E2207" t="inlineStr">
        <is>
          <t>Thương lượng</t>
        </is>
      </c>
      <c r="F2207" t="inlineStr">
        <is>
          <t>Hồ Chí Minh</t>
        </is>
      </c>
      <c r="G2207" t="inlineStr">
        <is>
          <t>Trưởng phòng</t>
        </is>
      </c>
      <c r="H2207" t="inlineStr">
        <is>
          <t>24/02/2026</t>
        </is>
      </c>
      <c r="I2207" t="inlineStr">
        <is>
          <t>26/03/2026</t>
        </is>
      </c>
      <c r="J2207" t="inlineStr">
        <is>
          <t>17/03/2026</t>
        </is>
      </c>
      <c r="K2207" t="inlineStr">
        <is>
          <t>N/A</t>
        </is>
      </c>
      <c r="L2207" t="inlineStr">
        <is>
          <t>Food Knowledge, Food Law, Negotiation Skills, Project Management, Regulatory Compliance</t>
        </is>
      </c>
      <c r="M2207" t="inlineStr">
        <is>
          <t>Bonus, Healthcare Plan, Paid Leave</t>
        </is>
      </c>
      <c r="N2207" s="8">
        <f>HYPERLINK("https://www.vietnamworks.com/scientific-affairs-and-regulatory-affairs-sara-manager-vn-2012947-jv","Xem chi tiết")</f>
        <v/>
      </c>
    </row>
    <row r="2208">
      <c r="B2208" s="9" t="n">
        <v>2206</v>
      </c>
      <c r="C2208" s="10" t="inlineStr">
        <is>
          <t>Chemist Engineer (PU Foam)</t>
        </is>
      </c>
      <c r="D2208" s="10" t="inlineStr">
        <is>
          <t>Arneplant Vietnam Company</t>
        </is>
      </c>
      <c r="E2208" s="10" t="inlineStr">
        <is>
          <t>Thương lượng</t>
        </is>
      </c>
      <c r="F2208" s="10" t="inlineStr">
        <is>
          <t>Hồ Chí Minh</t>
        </is>
      </c>
      <c r="G2208" s="10" t="inlineStr">
        <is>
          <t>Nhân viên</t>
        </is>
      </c>
      <c r="H2208" s="10" t="inlineStr">
        <is>
          <t>24/02/2026</t>
        </is>
      </c>
      <c r="I2208" s="10" t="inlineStr">
        <is>
          <t>26/03/2026</t>
        </is>
      </c>
      <c r="J2208" s="10" t="inlineStr">
        <is>
          <t>17/03/2026</t>
        </is>
      </c>
      <c r="K2208" s="10" t="inlineStr">
        <is>
          <t>N/A</t>
        </is>
      </c>
      <c r="L2208" s="10" t="inlineStr">
        <is>
          <t>Analytical Thinking, Chemical Formulation, Laboratory Management, Technical Support</t>
        </is>
      </c>
      <c r="M2208" s="10" t="inlineStr">
        <is>
          <t>Bonus, Paid Leave, Laptop, Transportation</t>
        </is>
      </c>
      <c r="N2208" s="11">
        <f>HYPERLINK("https://www.vietnamworks.com/chemist-engineer-pu-foam-2012970-jv","Xem chi tiết")</f>
        <v/>
      </c>
      <c r="O2208" s="10" t="n"/>
    </row>
    <row r="2209">
      <c r="B2209" s="7" t="n">
        <v>2207</v>
      </c>
      <c r="C2209" t="inlineStr">
        <is>
          <t>Overseas Sales Manager</t>
        </is>
      </c>
      <c r="D2209" t="inlineStr">
        <is>
          <t>Công Ty TNHH H&amp;p Logis Việt Nam</t>
        </is>
      </c>
      <c r="E2209" t="inlineStr">
        <is>
          <t>$$ 1,000-1,500 /tháng</t>
        </is>
      </c>
      <c r="F2209" t="inlineStr">
        <is>
          <t>Hà Nội</t>
        </is>
      </c>
      <c r="G2209" t="inlineStr">
        <is>
          <t>Trưởng phòng</t>
        </is>
      </c>
      <c r="H2209" t="inlineStr">
        <is>
          <t>24/02/2026</t>
        </is>
      </c>
      <c r="I2209" t="inlineStr">
        <is>
          <t>26/03/2026</t>
        </is>
      </c>
      <c r="J2209" t="inlineStr">
        <is>
          <t>17/03/2026</t>
        </is>
      </c>
      <c r="K2209" t="inlineStr">
        <is>
          <t>N/A</t>
        </is>
      </c>
      <c r="L2209" t="inlineStr">
        <is>
          <t>Channel Relationship Management, Communication, Market Analysis, Negotiation Skills, Sales Strategy</t>
        </is>
      </c>
      <c r="M2209" t="inlineStr">
        <is>
          <t>Bonus, Healthcare Plan, Training, Travel Opportunities, Team Activities</t>
        </is>
      </c>
      <c r="N2209" s="8">
        <f>HYPERLINK("https://www.vietnamworks.com/overseas-sales-manager-2012973-jv","Xem chi tiết")</f>
        <v/>
      </c>
    </row>
    <row r="2210">
      <c r="B2210" s="9" t="n">
        <v>2208</v>
      </c>
      <c r="C2210" s="10" t="inlineStr">
        <is>
          <t>Điều Phối Giao Hàng</t>
        </is>
      </c>
      <c r="D2210" s="10" t="inlineStr">
        <is>
          <t>Công Ty TNHH Khí Công Nghiệp Messer Việt Nam</t>
        </is>
      </c>
      <c r="E2210" s="10" t="inlineStr">
        <is>
          <t>8tr-12tr ₫/tháng</t>
        </is>
      </c>
      <c r="F2210" s="10" t="inlineStr">
        <is>
          <t>Hải Dương</t>
        </is>
      </c>
      <c r="G2210" s="10" t="inlineStr">
        <is>
          <t>Nhân viên</t>
        </is>
      </c>
      <c r="H2210" s="10" t="inlineStr">
        <is>
          <t>24/02/2026</t>
        </is>
      </c>
      <c r="I2210" s="10" t="inlineStr">
        <is>
          <t>26/03/2026</t>
        </is>
      </c>
      <c r="J2210" s="10" t="inlineStr">
        <is>
          <t>17/03/2026</t>
        </is>
      </c>
      <c r="K2210" s="10" t="inlineStr">
        <is>
          <t>N/A</t>
        </is>
      </c>
      <c r="L2210" s="10" t="inlineStr">
        <is>
          <t>Kiểm Kê Hàng Hóa, Quản Lý Kho, Xử Lí Đơn Hàng, Điều Phối Giao Hàng</t>
        </is>
      </c>
      <c r="M2210" s="10" t="inlineStr">
        <is>
          <t>Bonus, Training, Team Activities</t>
        </is>
      </c>
      <c r="N2210" s="11">
        <f>HYPERLINK("https://www.vietnamworks.com/djieu-phoi-giao-hang-2012981-jv","Xem chi tiết")</f>
        <v/>
      </c>
      <c r="O2210" s="10" t="n"/>
    </row>
    <row r="2211">
      <c r="B2211" s="7" t="n">
        <v>2209</v>
      </c>
      <c r="C2211" t="inlineStr">
        <is>
          <t>Nhân Viên Kế Toán</t>
        </is>
      </c>
      <c r="D2211" t="inlineStr">
        <is>
          <t>YG-1 Vietnam</t>
        </is>
      </c>
      <c r="E2211" t="inlineStr">
        <is>
          <t>600-800 ₫/tháng</t>
        </is>
      </c>
      <c r="F2211" t="inlineStr">
        <is>
          <t>Hà Nội</t>
        </is>
      </c>
      <c r="G2211" t="inlineStr">
        <is>
          <t>Nhân viên</t>
        </is>
      </c>
      <c r="H2211" t="inlineStr">
        <is>
          <t>24/02/2026</t>
        </is>
      </c>
      <c r="I2211" t="inlineStr">
        <is>
          <t>26/03/2026</t>
        </is>
      </c>
      <c r="J2211" t="inlineStr">
        <is>
          <t>17/03/2026</t>
        </is>
      </c>
      <c r="K2211" t="inlineStr">
        <is>
          <t>N/A</t>
        </is>
      </c>
      <c r="L2211" t="inlineStr">
        <is>
          <t>Kế Toán, Quản Lý Hóa Đơn Chứng Từ, Lập Hồ Sơ Thanh Toán, MS Office, Thanh Toán Thuế</t>
        </is>
      </c>
      <c r="M2211" t="inlineStr">
        <is>
          <t>Bonus, Healthcare Plan, Others</t>
        </is>
      </c>
      <c r="N2211" s="8">
        <f>HYPERLINK("https://www.vietnamworks.com/nhan-vien-ke-toan--2012967-jv","Xem chi tiết")</f>
        <v/>
      </c>
    </row>
    <row r="2212">
      <c r="B2212" s="9" t="n">
        <v>2210</v>
      </c>
      <c r="C2212" s="10" t="inlineStr">
        <is>
          <t>Plating Process Engineer</t>
        </is>
      </c>
      <c r="D2212" s="10" t="inlineStr">
        <is>
          <t>Molex Vietnam Co., Ltd.</t>
        </is>
      </c>
      <c r="E2212" s="10" t="inlineStr">
        <is>
          <t>Thương lượng</t>
        </is>
      </c>
      <c r="F2212" s="10" t="inlineStr">
        <is>
          <t>Hưng Yên</t>
        </is>
      </c>
      <c r="G2212" s="10" t="inlineStr">
        <is>
          <t>Nhân viên</t>
        </is>
      </c>
      <c r="H2212" s="10" t="inlineStr">
        <is>
          <t>24/02/2026</t>
        </is>
      </c>
      <c r="I2212" s="10" t="inlineStr">
        <is>
          <t>26/03/2026</t>
        </is>
      </c>
      <c r="J2212" s="10" t="inlineStr">
        <is>
          <t>17/03/2026</t>
        </is>
      </c>
      <c r="K2212" s="10" t="inlineStr">
        <is>
          <t>N/A</t>
        </is>
      </c>
      <c r="L2212" s="10" t="inlineStr">
        <is>
          <t>Manufacturing knowledge, Plating, Process Engineering, Process Manufacturing</t>
        </is>
      </c>
      <c r="M2212" s="10" t="inlineStr">
        <is>
          <t>Bonus, Healthcare Plan, Paid Leave, Team Activities, Transportation</t>
        </is>
      </c>
      <c r="N2212" s="11">
        <f>HYPERLINK("https://www.vietnamworks.com/plating-process-engineer-2012974-jv","Xem chi tiết")</f>
        <v/>
      </c>
      <c r="O2212" s="10" t="n"/>
    </row>
    <row r="2213">
      <c r="B2213" s="7" t="n">
        <v>2211</v>
      </c>
      <c r="C2213" t="inlineStr">
        <is>
          <t>Vietnam GS Support Officer</t>
        </is>
      </c>
      <c r="D2213" t="inlineStr">
        <is>
          <t>CÔNG TY TNHH DANONE VIỆT NAM</t>
        </is>
      </c>
      <c r="E2213" t="inlineStr">
        <is>
          <t>Thương lượng</t>
        </is>
      </c>
      <c r="F2213" t="inlineStr">
        <is>
          <t>Hồ Chí Minh</t>
        </is>
      </c>
      <c r="G2213" t="inlineStr">
        <is>
          <t>Nhân viên</t>
        </is>
      </c>
      <c r="H2213" t="inlineStr">
        <is>
          <t>24/02/2026</t>
        </is>
      </c>
      <c r="I2213" t="inlineStr">
        <is>
          <t>26/03/2026</t>
        </is>
      </c>
      <c r="J2213" t="inlineStr">
        <is>
          <t>17/03/2026</t>
        </is>
      </c>
      <c r="K2213" t="inlineStr">
        <is>
          <t>N/A</t>
        </is>
      </c>
      <c r="L2213" t="inlineStr">
        <is>
          <t>Communication Skills, Problem-solving, Audit, Legal Compliance, Regulatory Affairs</t>
        </is>
      </c>
      <c r="M2213" t="inlineStr">
        <is>
          <t>Bonus</t>
        </is>
      </c>
      <c r="N2213" s="8">
        <f>HYPERLINK("https://www.vietnamworks.com/vietnam-gs-support-officer-2012969-jv","Xem chi tiết")</f>
        <v/>
      </c>
    </row>
    <row r="2214">
      <c r="B2214" s="9" t="n">
        <v>2212</v>
      </c>
      <c r="C2214" s="10" t="inlineStr">
        <is>
          <t>Chuyên Viên Chính Sách Kế Toán Tổng Hợp - Khối Tài Chính</t>
        </is>
      </c>
      <c r="D2214" s="10" t="inlineStr">
        <is>
          <t>Ngân Hàng TMCP Việt Nam Thương Tín (Vietbank)</t>
        </is>
      </c>
      <c r="E2214" s="10" t="inlineStr">
        <is>
          <t>Thương lượng</t>
        </is>
      </c>
      <c r="F2214" s="10" t="inlineStr">
        <is>
          <t>Hồ Chí Minh</t>
        </is>
      </c>
      <c r="G2214" s="10" t="inlineStr">
        <is>
          <t>Nhân viên</t>
        </is>
      </c>
      <c r="H2214" s="10" t="inlineStr">
        <is>
          <t>24/02/2026</t>
        </is>
      </c>
      <c r="I2214" s="10" t="inlineStr">
        <is>
          <t>26/03/2026</t>
        </is>
      </c>
      <c r="J2214" s="10" t="inlineStr">
        <is>
          <t>17/03/2026</t>
        </is>
      </c>
      <c r="K2214" s="10" t="inlineStr">
        <is>
          <t>N/A</t>
        </is>
      </c>
      <c r="L2214" s="10" t="inlineStr">
        <is>
          <t>ngân hàng, Tài Chính Tiền Tệ, Kế Toán Tổng Hợp</t>
        </is>
      </c>
      <c r="M2214" s="10" t="inlineStr">
        <is>
          <t>Bonus, Healthcare Plan, Training</t>
        </is>
      </c>
      <c r="N2214" s="11">
        <f>HYPERLINK("https://www.vietnamworks.com/chuyen-vien-chinh-sach-ke-toan-tong-hop-khoi-tai-chinh-2012976-jv","Xem chi tiết")</f>
        <v/>
      </c>
      <c r="O2214" s="10" t="n"/>
    </row>
    <row r="2215">
      <c r="B2215" s="7" t="n">
        <v>2213</v>
      </c>
      <c r="C2215" t="inlineStr">
        <is>
          <t>Điều Phái Bay - Flight Dispatcher</t>
        </is>
      </c>
      <c r="D2215" t="inlineStr">
        <is>
          <t>CÔNG TY CỔ PHẦN HÀNG KHÔNG LỮ HÀNH VIỆT NAM</t>
        </is>
      </c>
      <c r="E2215" t="inlineStr">
        <is>
          <t>Thương lượng</t>
        </is>
      </c>
      <c r="F2215" t="inlineStr">
        <is>
          <t>Hà Nội</t>
        </is>
      </c>
      <c r="G2215" t="inlineStr">
        <is>
          <t>Nhân viên</t>
        </is>
      </c>
      <c r="H2215" t="inlineStr">
        <is>
          <t>24/02/2026</t>
        </is>
      </c>
      <c r="I2215" t="inlineStr">
        <is>
          <t>26/03/2026</t>
        </is>
      </c>
      <c r="J2215" t="inlineStr">
        <is>
          <t>17/03/2026</t>
        </is>
      </c>
      <c r="K2215" t="inlineStr">
        <is>
          <t>N/A</t>
        </is>
      </c>
      <c r="L2215" t="inlineStr">
        <is>
          <t>Flight Control Systems, Flight Operations, Hàng Không, Quản Lý Thời Gian, Kinh Nghiệm Khai Thác Bay</t>
        </is>
      </c>
      <c r="M2215" t="inlineStr">
        <is>
          <t>Bonus, Healthcare Plan, Paid Leave</t>
        </is>
      </c>
      <c r="N2215" s="8">
        <f>HYPERLINK("https://www.vietnamworks.com/djieu-phai-bay-flight-dispatcher-2012968-jv","Xem chi tiết")</f>
        <v/>
      </c>
    </row>
    <row r="2216">
      <c r="B2216" s="9" t="n">
        <v>2214</v>
      </c>
      <c r="C2216" s="10" t="inlineStr">
        <is>
          <t>[Hot] Chuyên Viên Tư Vấn Đầu Tư &amp; Định Cư Quốc Tế/ Investment &amp; Immigration Speacialist (Thu Nhập Hấp Dẫn, Môi Trường Trẻ Trung, Quốc Tế &amp; Chuyên Nghiệp)</t>
        </is>
      </c>
      <c r="D2216" s="10" t="inlineStr">
        <is>
          <t>Công ty Cổ phần Đầu tư và Phát triển Bắc Sơn</t>
        </is>
      </c>
      <c r="E2216" s="10" t="inlineStr">
        <is>
          <t>$$ 1,000-1,500 /tháng</t>
        </is>
      </c>
      <c r="F2216" s="10" t="inlineStr">
        <is>
          <t>Hà Nội, Hồ Chí Minh</t>
        </is>
      </c>
      <c r="G2216" s="10" t="inlineStr">
        <is>
          <t>Nhân viên</t>
        </is>
      </c>
      <c r="H2216" s="10" t="inlineStr">
        <is>
          <t>24/02/2026</t>
        </is>
      </c>
      <c r="I2216" s="10" t="inlineStr">
        <is>
          <t>26/03/2026</t>
        </is>
      </c>
      <c r="J2216" s="10" t="inlineStr">
        <is>
          <t>17/03/2026</t>
        </is>
      </c>
      <c r="K2216" s="10" t="inlineStr">
        <is>
          <t>N/A</t>
        </is>
      </c>
      <c r="L2216" s="10" t="inlineStr">
        <is>
          <t>Tư Vấn Đầu Tư, Chăm Sóc Khách Hàng, Tư Vấn Định Cư, Quản Lý Dự Án, CRM</t>
        </is>
      </c>
      <c r="M2216" s="10" t="inlineStr">
        <is>
          <t>Bonus, Awards, Team Activities</t>
        </is>
      </c>
      <c r="N2216" s="11">
        <f>HYPERLINK("https://www.vietnamworks.com/hot-chuyen-vien-tu-van-dau-tu-dinh-cu-quoc-te-investment-immigration-speacialist-thu-nhap-hap-dan-moi-truong-tre-trung-quoc-te-chuyen-nghiep--2012987-jv","Xem chi tiết")</f>
        <v/>
      </c>
      <c r="O2216" s="10" t="n"/>
    </row>
    <row r="2217">
      <c r="B2217" s="7" t="n">
        <v>2215</v>
      </c>
      <c r="C2217" t="inlineStr">
        <is>
          <t>Chuyên Viên Báo Cáo Kế Toán Tổng Hợp - Khối Tài Chính</t>
        </is>
      </c>
      <c r="D2217" t="inlineStr">
        <is>
          <t>Ngân Hàng TMCP Việt Nam Thương Tín (Vietbank)</t>
        </is>
      </c>
      <c r="E2217" t="inlineStr">
        <is>
          <t>Thương lượng</t>
        </is>
      </c>
      <c r="F2217" t="inlineStr">
        <is>
          <t>Hồ Chí Minh</t>
        </is>
      </c>
      <c r="G2217" t="inlineStr">
        <is>
          <t>Nhân viên</t>
        </is>
      </c>
      <c r="H2217" t="inlineStr">
        <is>
          <t>24/02/2026</t>
        </is>
      </c>
      <c r="I2217" t="inlineStr">
        <is>
          <t>26/03/2026</t>
        </is>
      </c>
      <c r="J2217" t="inlineStr">
        <is>
          <t>17/03/2026</t>
        </is>
      </c>
      <c r="K2217" t="inlineStr">
        <is>
          <t>N/A</t>
        </is>
      </c>
      <c r="L2217" t="inlineStr">
        <is>
          <t>ngân hàng, Tài Chính Ngân Hàng Chứng Khoán, Kế Toán Tổng Hợp</t>
        </is>
      </c>
      <c r="M2217" t="inlineStr">
        <is>
          <t>Bonus, Healthcare Plan, Training</t>
        </is>
      </c>
      <c r="N2217" s="8">
        <f>HYPERLINK("https://www.vietnamworks.com/chuyen-vien-bao-cao-ke-toan-tong-hop-khoi-tai-chinh-2012983-jv","Xem chi tiết")</f>
        <v/>
      </c>
    </row>
    <row r="2218">
      <c r="B2218" s="9" t="n">
        <v>2216</v>
      </c>
      <c r="C2218" s="10" t="inlineStr">
        <is>
          <t>Nhân Viên Quản Lý Phương Tiện Vận Tải</t>
        </is>
      </c>
      <c r="D2218" s="10" t="inlineStr">
        <is>
          <t>Công Ty TNHH Khí Công Nghiệp Messer Việt Nam</t>
        </is>
      </c>
      <c r="E2218" s="10" t="inlineStr">
        <is>
          <t>8tr-10.5tr ₫/tháng</t>
        </is>
      </c>
      <c r="F2218" s="10" t="inlineStr">
        <is>
          <t>Hải Dương</t>
        </is>
      </c>
      <c r="G2218" s="10" t="inlineStr">
        <is>
          <t>Nhân viên</t>
        </is>
      </c>
      <c r="H2218" s="10" t="inlineStr">
        <is>
          <t>24/02/2026</t>
        </is>
      </c>
      <c r="I2218" s="10" t="inlineStr">
        <is>
          <t>26/03/2026</t>
        </is>
      </c>
      <c r="J2218" s="10" t="inlineStr">
        <is>
          <t>17/03/2026</t>
        </is>
      </c>
      <c r="K2218" s="10" t="inlineStr">
        <is>
          <t>N/A</t>
        </is>
      </c>
      <c r="L2218" s="10" t="inlineStr">
        <is>
          <t>Dịch Vụ Hỗ Trợ Vận Tải, Vận Tải Đường Bộ</t>
        </is>
      </c>
      <c r="M2218" s="10" t="inlineStr">
        <is>
          <t>Healthcare Plan, Team Activities</t>
        </is>
      </c>
      <c r="N2218" s="11">
        <f>HYPERLINK("https://www.vietnamworks.com/nhan-vien-quan-ly-phuong-tien-van-tai-2012988-jv","Xem chi tiết")</f>
        <v/>
      </c>
      <c r="O2218" s="10" t="n"/>
    </row>
    <row r="2219">
      <c r="B2219" s="7" t="n">
        <v>2217</v>
      </c>
      <c r="C2219" t="inlineStr">
        <is>
          <t>Trưởng Bộ Phận Nhân Sự</t>
        </is>
      </c>
      <c r="D2219" t="inlineStr">
        <is>
          <t>Công ty TNHH CNSL INDUSTRIAL</t>
        </is>
      </c>
      <c r="E2219" t="inlineStr">
        <is>
          <t>Thương lượng</t>
        </is>
      </c>
      <c r="F2219" t="inlineStr">
        <is>
          <t>Hồ Chí Minh</t>
        </is>
      </c>
      <c r="G2219" t="inlineStr">
        <is>
          <t>Trưởng phòng</t>
        </is>
      </c>
      <c r="H2219" t="inlineStr">
        <is>
          <t>24/02/2026</t>
        </is>
      </c>
      <c r="I2219" t="inlineStr">
        <is>
          <t>26/03/2026</t>
        </is>
      </c>
      <c r="J2219" t="inlineStr">
        <is>
          <t>17/03/2026</t>
        </is>
      </c>
      <c r="K2219" t="inlineStr">
        <is>
          <t>N/A</t>
        </is>
      </c>
      <c r="L2219" t="inlineStr">
        <is>
          <t>C&amp;B, Labor Law, HRM, Recruitment, HR Management</t>
        </is>
      </c>
      <c r="M2219" t="inlineStr">
        <is>
          <t>Bonus, Healthcare Plan, Others</t>
        </is>
      </c>
      <c r="N2219" s="8">
        <f>HYPERLINK("https://www.vietnamworks.com/truong-bo-phan-nhan-su-2012986-jv","Xem chi tiết")</f>
        <v/>
      </c>
    </row>
    <row r="2220">
      <c r="B2220" s="9" t="n">
        <v>2218</v>
      </c>
      <c r="C2220" s="10" t="inlineStr">
        <is>
          <t>Process Engineer (Exp 1-3 Years) - Salary Upto 25M/month</t>
        </is>
      </c>
      <c r="D2220" s="10" t="inlineStr">
        <is>
          <t>Autoliv Vietnam</t>
        </is>
      </c>
      <c r="E2220" s="10" t="inlineStr">
        <is>
          <t>Tới 25tr ₫/tháng</t>
        </is>
      </c>
      <c r="F2220" s="10" t="inlineStr">
        <is>
          <t>Quảng Ninh, Hải Phòng</t>
        </is>
      </c>
      <c r="G2220" s="10" t="inlineStr">
        <is>
          <t>Nhân viên</t>
        </is>
      </c>
      <c r="H2220" s="10" t="inlineStr">
        <is>
          <t>24/02/2026</t>
        </is>
      </c>
      <c r="I2220" s="10" t="inlineStr">
        <is>
          <t>26/03/2026</t>
        </is>
      </c>
      <c r="J2220" s="10" t="inlineStr">
        <is>
          <t>17/03/2026</t>
        </is>
      </c>
      <c r="K2220" s="10" t="inlineStr">
        <is>
          <t>N/A</t>
        </is>
      </c>
      <c r="L2220" s="10" t="inlineStr">
        <is>
          <t>Machine Engineering, Machine Operation, Process Engineer, Lean Manufacturing, Maintenance Engineering</t>
        </is>
      </c>
      <c r="M2220" s="10" t="inlineStr">
        <is>
          <t>Bonus, Paid Leave, Transportation</t>
        </is>
      </c>
      <c r="N2220" s="11">
        <f>HYPERLINK("https://www.vietnamworks.com/process-engineer-exp-1-3-years-salary-upto-25m-month-2012992-jv","Xem chi tiết")</f>
        <v/>
      </c>
      <c r="O2220" s="10" t="n"/>
    </row>
    <row r="2221">
      <c r="B2221" s="7" t="n">
        <v>2219</v>
      </c>
      <c r="C2221" t="inlineStr">
        <is>
          <t>Phiên Dịch Tiếng Hàn Quốc</t>
        </is>
      </c>
      <c r="D2221" t="inlineStr">
        <is>
          <t>Công Ty TNHH Yura Corporation Vina</t>
        </is>
      </c>
      <c r="E2221" t="inlineStr">
        <is>
          <t>$$ 500-1,500 /tháng</t>
        </is>
      </c>
      <c r="F2221" t="inlineStr">
        <is>
          <t>Hưng Yên</t>
        </is>
      </c>
      <c r="G2221" t="inlineStr">
        <is>
          <t>Nhân viên</t>
        </is>
      </c>
      <c r="H2221" t="inlineStr">
        <is>
          <t>24/02/2026</t>
        </is>
      </c>
      <c r="I2221" t="inlineStr">
        <is>
          <t>26/03/2026</t>
        </is>
      </c>
      <c r="J2221" t="inlineStr">
        <is>
          <t>17/03/2026</t>
        </is>
      </c>
      <c r="K2221" t="inlineStr">
        <is>
          <t>N/A</t>
        </is>
      </c>
      <c r="L2221" t="inlineStr">
        <is>
          <t>Korean, Interpretation, MS Office, Commercial Experience, Communication Skills</t>
        </is>
      </c>
      <c r="M2221" t="inlineStr">
        <is>
          <t>Bonus, Healthcare Plan, Paid Leave, Training, Travel Opportunities, Team Activities, Others</t>
        </is>
      </c>
      <c r="N2221" s="8">
        <f>HYPERLINK("https://www.vietnamworks.com/phien-dich-tieng-han-quoc-2013011-jv","Xem chi tiết")</f>
        <v/>
      </c>
    </row>
    <row r="2222">
      <c r="B2222" s="9" t="n">
        <v>2220</v>
      </c>
      <c r="C2222" s="10" t="inlineStr">
        <is>
          <t>Trưởng Phòng Mua Sắm Vật Tư (Ngành Xây Dựng)</t>
        </is>
      </c>
      <c r="D2222" s="10" t="inlineStr">
        <is>
          <t>Công Ty Cổ phần Ứng Dụng Và Chuyển Giao Công Nghệ Xây Dựng (CJSC)</t>
        </is>
      </c>
      <c r="E2222" s="10" t="inlineStr">
        <is>
          <t>Thương lượng</t>
        </is>
      </c>
      <c r="F2222" s="10" t="inlineStr">
        <is>
          <t>Hà Nội</t>
        </is>
      </c>
      <c r="G2222" s="10" t="inlineStr">
        <is>
          <t>Trưởng phòng</t>
        </is>
      </c>
      <c r="H2222" s="10" t="inlineStr">
        <is>
          <t>24/02/2026</t>
        </is>
      </c>
      <c r="I2222" s="10" t="inlineStr">
        <is>
          <t>26/03/2026</t>
        </is>
      </c>
      <c r="J2222" s="10" t="inlineStr">
        <is>
          <t>17/03/2026</t>
        </is>
      </c>
      <c r="K2222" s="10" t="inlineStr">
        <is>
          <t>N/A</t>
        </is>
      </c>
      <c r="L2222" s="10" t="inlineStr">
        <is>
          <t>Quản Lý Mua Hàng, Đàm Phán Hợp Đồng, Quản Lý Nhà Cung Cấp, Kiểm Soát Chất Lượng, Kiểm Soát Chi Phí</t>
        </is>
      </c>
      <c r="M2222" s="10" t="inlineStr">
        <is>
          <t>Healthcare Plan, Team Activities, Others</t>
        </is>
      </c>
      <c r="N2222" s="11">
        <f>HYPERLINK("https://www.vietnamworks.com/truong-phong-mua-sam-vat-tu-nganh-xay-dung-2013000-jv","Xem chi tiết")</f>
        <v/>
      </c>
      <c r="O2222" s="10" t="n"/>
    </row>
    <row r="2223">
      <c r="B2223" s="7" t="n">
        <v>2221</v>
      </c>
      <c r="C2223" t="inlineStr">
        <is>
          <t>Giám Đốc Marketing</t>
        </is>
      </c>
      <c r="D2223" t="inlineStr">
        <is>
          <t>CÔNG TY CỔ PHẦN DỊCH VỤ BẤT ĐỘNG SẢN ĐẤT XANH</t>
        </is>
      </c>
      <c r="E2223" t="inlineStr">
        <is>
          <t>Thương lượng</t>
        </is>
      </c>
      <c r="F2223" t="inlineStr">
        <is>
          <t>Hồ Chí Minh</t>
        </is>
      </c>
      <c r="G2223" t="inlineStr">
        <is>
          <t>Giám Đốc và Cấp Cao Hơn</t>
        </is>
      </c>
      <c r="H2223" t="inlineStr">
        <is>
          <t>24/02/2026</t>
        </is>
      </c>
      <c r="I2223" t="inlineStr">
        <is>
          <t>26/03/2026</t>
        </is>
      </c>
      <c r="J2223" t="inlineStr">
        <is>
          <t>17/03/2026</t>
        </is>
      </c>
      <c r="K2223" t="inlineStr">
        <is>
          <t>N/A</t>
        </is>
      </c>
      <c r="L2223" t="inlineStr">
        <is>
          <t>Bất Động Sản, Marketing Strategy, Brand Marketing, Digital Marketing, Online Marketing</t>
        </is>
      </c>
      <c r="M2223" t="inlineStr">
        <is>
          <t>Healthcare Plan, Laptop, Travel Opportunities</t>
        </is>
      </c>
      <c r="N2223" s="8">
        <f>HYPERLINK("https://www.vietnamworks.com/giam-doc-marketing--2013003-jv","Xem chi tiết")</f>
        <v/>
      </c>
    </row>
    <row r="2224">
      <c r="B2224" s="9" t="n">
        <v>2222</v>
      </c>
      <c r="C2224" s="10" t="inlineStr">
        <is>
          <t>External Communication &amp; Content Specialist</t>
        </is>
      </c>
      <c r="D2224" s="10" t="inlineStr">
        <is>
          <t>Công Ty TNHH Khí Công Nghiệp Messer Việt Nam</t>
        </is>
      </c>
      <c r="E2224" s="10" t="inlineStr">
        <is>
          <t>Thương lượng</t>
        </is>
      </c>
      <c r="F2224" s="10" t="inlineStr">
        <is>
          <t>Hà Nội</t>
        </is>
      </c>
      <c r="G2224" s="10" t="inlineStr">
        <is>
          <t>Nhân viên</t>
        </is>
      </c>
      <c r="H2224" s="10" t="inlineStr">
        <is>
          <t>24/02/2026</t>
        </is>
      </c>
      <c r="I2224" s="10" t="inlineStr">
        <is>
          <t>26/03/2026</t>
        </is>
      </c>
      <c r="J2224" s="10" t="inlineStr">
        <is>
          <t>17/03/2026</t>
        </is>
      </c>
      <c r="K2224" s="10" t="inlineStr">
        <is>
          <t>N/A</t>
        </is>
      </c>
      <c r="L2224" s="10" t="inlineStr">
        <is>
          <t>Brand Communication, Content Production, English Language Proficiency</t>
        </is>
      </c>
      <c r="M2224" s="10" t="inlineStr">
        <is>
          <t>Bonus, Travel Opportunities</t>
        </is>
      </c>
      <c r="N2224" s="11">
        <f>HYPERLINK("https://www.vietnamworks.com/external-communication-and-content-specialist-2012991-jv","Xem chi tiết")</f>
        <v/>
      </c>
      <c r="O2224" s="10" t="n"/>
    </row>
    <row r="2225">
      <c r="B2225" s="7" t="n">
        <v>2223</v>
      </c>
      <c r="C2225" t="inlineStr">
        <is>
          <t>Hà Nội+Hcm+Nghệ An - Kỹ Sư Kinh Doanh (Sales Engineer)</t>
        </is>
      </c>
      <c r="D2225" t="inlineStr">
        <is>
          <t>Công Ty Cổ Phần Giải Pháp Tự Động Hóa Etek</t>
        </is>
      </c>
      <c r="E2225" t="inlineStr">
        <is>
          <t>Thương lượng</t>
        </is>
      </c>
      <c r="F2225" t="inlineStr">
        <is>
          <t>Hà Nội, Hồ Chí Minh, Nghệ An</t>
        </is>
      </c>
      <c r="G2225" t="inlineStr">
        <is>
          <t>Nhân viên</t>
        </is>
      </c>
      <c r="H2225" t="inlineStr">
        <is>
          <t>24/02/2026</t>
        </is>
      </c>
      <c r="I2225" t="inlineStr">
        <is>
          <t>26/03/2026</t>
        </is>
      </c>
      <c r="J2225" t="inlineStr">
        <is>
          <t>17/03/2026</t>
        </is>
      </c>
      <c r="K2225" t="inlineStr">
        <is>
          <t>N/A</t>
        </is>
      </c>
      <c r="L2225" t="inlineStr">
        <is>
          <t>Kinh Doanh, Tìm Kiếm Khách Hàng, Phát Triển Thị Trường, Tự Động Hóa, Bán Hàng Kỹ Thuật</t>
        </is>
      </c>
      <c r="M2225" t="inlineStr">
        <is>
          <t>Bonus, Healthcare Plan, Awards</t>
        </is>
      </c>
      <c r="N2225" s="8">
        <f>HYPERLINK("https://www.vietnamworks.com/ha-noi-hcm-nghe-an-ky-su-kinh-doanh-sales-engineer-2012989-jv","Xem chi tiết")</f>
        <v/>
      </c>
    </row>
    <row r="2226">
      <c r="B2226" s="9" t="n">
        <v>2224</v>
      </c>
      <c r="C2226" s="10" t="inlineStr">
        <is>
          <t>Junior Video Editor</t>
        </is>
      </c>
      <c r="D2226" s="10" t="inlineStr">
        <is>
          <t>AF Productions</t>
        </is>
      </c>
      <c r="E2226" s="10" t="inlineStr">
        <is>
          <t>$$ 400-720 /tháng</t>
        </is>
      </c>
      <c r="F2226" s="10" t="inlineStr">
        <is>
          <t>Hồ Chí Minh</t>
        </is>
      </c>
      <c r="G2226" s="10" t="inlineStr">
        <is>
          <t>Mới Tốt Nghiệp</t>
        </is>
      </c>
      <c r="H2226" s="10" t="inlineStr">
        <is>
          <t>24/02/2026</t>
        </is>
      </c>
      <c r="I2226" s="10" t="inlineStr">
        <is>
          <t>26/03/2026</t>
        </is>
      </c>
      <c r="J2226" s="10" t="inlineStr">
        <is>
          <t>17/03/2026</t>
        </is>
      </c>
      <c r="K2226" s="10" t="inlineStr">
        <is>
          <t>N/A</t>
        </is>
      </c>
      <c r="L2226" s="10" t="inlineStr">
        <is>
          <t>Video Editing, Adobe Premiere Pro, Adobe Photoshop, Adobe After Effects, DaVinci Resolve</t>
        </is>
      </c>
      <c r="M2226" s="10" t="inlineStr">
        <is>
          <t>Bonus, Laptop, Travel Opportunities</t>
        </is>
      </c>
      <c r="N2226" s="11">
        <f>HYPERLINK("https://www.vietnamworks.com/junior-video-editor--2013001-jv","Xem chi tiết")</f>
        <v/>
      </c>
      <c r="O2226" s="10" t="n"/>
    </row>
    <row r="2227">
      <c r="B2227" s="7" t="n">
        <v>2225</v>
      </c>
      <c r="C2227" t="inlineStr">
        <is>
          <t>Legal &amp; Quality Compliance Officer</t>
        </is>
      </c>
      <c r="D2227" t="inlineStr">
        <is>
          <t>Công Ty TNHH B.pure Việt Nam</t>
        </is>
      </c>
      <c r="E2227" t="inlineStr">
        <is>
          <t>18tr-20tr ₫/tháng</t>
        </is>
      </c>
      <c r="F2227" t="inlineStr">
        <is>
          <t>Hà Nội</t>
        </is>
      </c>
      <c r="G2227" t="inlineStr">
        <is>
          <t>Nhân viên</t>
        </is>
      </c>
      <c r="H2227" t="inlineStr">
        <is>
          <t>24/02/2026</t>
        </is>
      </c>
      <c r="I2227" t="inlineStr">
        <is>
          <t>26/03/2026</t>
        </is>
      </c>
      <c r="J2227" t="inlineStr">
        <is>
          <t>17/03/2026</t>
        </is>
      </c>
      <c r="K2227" t="inlineStr">
        <is>
          <t>N/A</t>
        </is>
      </c>
      <c r="L2227" t="inlineStr">
        <is>
          <t>Regulatory Compliance, Quality Assurance, Draft Legal Documents, GMP, English Language Proficiency</t>
        </is>
      </c>
      <c r="M2227" t="inlineStr">
        <is>
          <t>Bonus, Healthcare Plan, Paid Leave, Training, Others</t>
        </is>
      </c>
      <c r="N2227" s="8">
        <f>HYPERLINK("https://www.vietnamworks.com/legal-and-quality-compliance-officer-2013004-jv","Xem chi tiết")</f>
        <v/>
      </c>
    </row>
    <row r="2228">
      <c r="B2228" s="9" t="n">
        <v>2226</v>
      </c>
      <c r="C2228" s="10" t="inlineStr">
        <is>
          <t>Senior Accountant</t>
        </is>
      </c>
      <c r="D2228" s="10" t="inlineStr">
        <is>
          <t>Văn phòng đại diện The Zenitaka Corporation tại Hà Nội</t>
        </is>
      </c>
      <c r="E2228" s="10" t="inlineStr">
        <is>
          <t>20tr-25tr ₫/tháng</t>
        </is>
      </c>
      <c r="F2228" s="10" t="inlineStr">
        <is>
          <t>Hà Nội</t>
        </is>
      </c>
      <c r="G2228" s="10" t="inlineStr">
        <is>
          <t>Nhân viên</t>
        </is>
      </c>
      <c r="H2228" s="10" t="inlineStr">
        <is>
          <t>24/02/2026</t>
        </is>
      </c>
      <c r="I2228" s="10" t="inlineStr">
        <is>
          <t>26/03/2026</t>
        </is>
      </c>
      <c r="J2228" s="10" t="inlineStr">
        <is>
          <t>17/03/2026</t>
        </is>
      </c>
      <c r="K2228" s="10" t="inlineStr">
        <is>
          <t>N/A</t>
        </is>
      </c>
      <c r="L2228" s="10" t="inlineStr">
        <is>
          <t>Báo Cáo Tài Chính, Tiếng Anh, Hạch Toán, Bookkeeping, PIT declarations</t>
        </is>
      </c>
      <c r="M2228" s="10" t="inlineStr">
        <is>
          <t>Bonus, Healthcare Plan, Travel Opportunities, Others</t>
        </is>
      </c>
      <c r="N2228" s="11">
        <f>HYPERLINK("https://www.vietnamworks.com/senior-accountant-2013007-jv","Xem chi tiết")</f>
        <v/>
      </c>
      <c r="O2228" s="10" t="n"/>
    </row>
    <row r="2229">
      <c r="B2229" s="7" t="n">
        <v>2227</v>
      </c>
      <c r="C2229" t="inlineStr">
        <is>
          <t>Sales Specialist/ Sales Manager</t>
        </is>
      </c>
      <c r="D2229" t="inlineStr">
        <is>
          <t>Long Hai Security JSC (Securitas Vietnam)</t>
        </is>
      </c>
      <c r="E2229" t="inlineStr">
        <is>
          <t>$$ 1,000-2,000 /tháng</t>
        </is>
      </c>
      <c r="F2229" t="inlineStr">
        <is>
          <t>Hồ Chí Minh, Bình Dương, Hà Nội</t>
        </is>
      </c>
      <c r="G2229" t="inlineStr">
        <is>
          <t>Trưởng phòng</t>
        </is>
      </c>
      <c r="H2229" t="inlineStr">
        <is>
          <t>24/02/2026</t>
        </is>
      </c>
      <c r="I2229" t="inlineStr">
        <is>
          <t>26/03/2026</t>
        </is>
      </c>
      <c r="J2229" t="inlineStr">
        <is>
          <t>17/03/2026</t>
        </is>
      </c>
      <c r="K2229" t="inlineStr">
        <is>
          <t>N/A</t>
        </is>
      </c>
      <c r="L2229" t="inlineStr">
        <is>
          <t>Hospitality, Business Development, Bán Hàng, B2B Sales</t>
        </is>
      </c>
      <c r="M2229" t="inlineStr">
        <is>
          <t>Bonus, Paid Leave, Laptop</t>
        </is>
      </c>
      <c r="N2229" s="8">
        <f>HYPERLINK("https://www.vietnamworks.com/sales-specialist-sales-manager-2013009-jv","Xem chi tiết")</f>
        <v/>
      </c>
    </row>
    <row r="2230">
      <c r="B2230" s="9" t="n">
        <v>2228</v>
      </c>
      <c r="C2230" s="10" t="inlineStr">
        <is>
          <t>Nhân Viên Kinh Doanh/ Business Development Executive</t>
        </is>
      </c>
      <c r="D2230" s="10" t="inlineStr">
        <is>
          <t>JC VIETNAM JOINT STOCK COMPANY (JC)</t>
        </is>
      </c>
      <c r="E2230" s="10" t="inlineStr">
        <is>
          <t>$$ 500-700 /tháng</t>
        </is>
      </c>
      <c r="F2230" s="10" t="inlineStr">
        <is>
          <t>Hà Nội</t>
        </is>
      </c>
      <c r="G2230" s="10" t="inlineStr">
        <is>
          <t>Nhân viên</t>
        </is>
      </c>
      <c r="H2230" s="10" t="inlineStr">
        <is>
          <t>24/02/2026</t>
        </is>
      </c>
      <c r="I2230" s="10" t="inlineStr">
        <is>
          <t>26/03/2026</t>
        </is>
      </c>
      <c r="J2230" s="10" t="inlineStr">
        <is>
          <t>17/03/2026</t>
        </is>
      </c>
      <c r="K2230" s="10" t="inlineStr">
        <is>
          <t>N/A</t>
        </is>
      </c>
      <c r="L2230" s="10" t="inlineStr">
        <is>
          <t>Kinh Doanh, Business Development, Kinh Doanh Bất Động Sản, Quản Lý Dự Án</t>
        </is>
      </c>
      <c r="M2230" s="10" t="inlineStr">
        <is>
          <t>Bonus, Healthcare Plan, Paid Leave</t>
        </is>
      </c>
      <c r="N2230" s="11">
        <f>HYPERLINK("https://www.vietnamworks.com/nhan-vien-kinh-doanh-business-development-executive--2013008-jv","Xem chi tiết")</f>
        <v/>
      </c>
      <c r="O2230" s="10" t="n"/>
    </row>
    <row r="2231">
      <c r="B2231" s="7" t="n">
        <v>2229</v>
      </c>
      <c r="C2231" t="inlineStr">
        <is>
          <t>Giám đốc CNTT - IT Director</t>
        </is>
      </c>
      <c r="D2231" t="inlineStr">
        <is>
          <t>CÔNG TY CỔ PHẦN HÀNG KHÔNG LỮ HÀNH VIỆT NAM</t>
        </is>
      </c>
      <c r="E2231" t="inlineStr">
        <is>
          <t>Thương lượng</t>
        </is>
      </c>
      <c r="F2231" t="inlineStr">
        <is>
          <t>Hà Nội</t>
        </is>
      </c>
      <c r="G2231" t="inlineStr">
        <is>
          <t>Giám Đốc và Cấp Cao Hơn</t>
        </is>
      </c>
      <c r="H2231" t="inlineStr">
        <is>
          <t>24/02/2026</t>
        </is>
      </c>
      <c r="I2231" t="inlineStr">
        <is>
          <t>26/03/2026</t>
        </is>
      </c>
      <c r="J2231" t="inlineStr">
        <is>
          <t>17/03/2026</t>
        </is>
      </c>
      <c r="K2231" t="inlineStr">
        <is>
          <t>N/A</t>
        </is>
      </c>
      <c r="L2231" t="inlineStr">
        <is>
          <t>IT Administration, IT Advisory, IT Management, IT Operations, IT Security</t>
        </is>
      </c>
      <c r="M2231" t="inlineStr">
        <is>
          <t>Bonus, Healthcare Plan, Awards</t>
        </is>
      </c>
      <c r="N2231" s="8">
        <f>HYPERLINK("https://www.vietnamworks.com/giam-djoc-cntt-it-director-2012997-jv","Xem chi tiết")</f>
        <v/>
      </c>
    </row>
    <row r="2232">
      <c r="B2232" s="9" t="n">
        <v>2230</v>
      </c>
      <c r="C2232" s="10" t="inlineStr">
        <is>
          <t>Product Idea Creator</t>
        </is>
      </c>
      <c r="D2232" s="10" t="inlineStr">
        <is>
          <t>Vietnamworks' Client</t>
        </is>
      </c>
      <c r="E2232" s="10" t="inlineStr">
        <is>
          <t>8tr-12tr ₫/tháng</t>
        </is>
      </c>
      <c r="F2232" s="10" t="inlineStr">
        <is>
          <t>Hồ Chí Minh</t>
        </is>
      </c>
      <c r="G2232" s="10" t="inlineStr">
        <is>
          <t>Nhân viên</t>
        </is>
      </c>
      <c r="H2232" s="10" t="inlineStr">
        <is>
          <t>24/02/2026</t>
        </is>
      </c>
      <c r="I2232" s="10" t="inlineStr">
        <is>
          <t>26/03/2026</t>
        </is>
      </c>
      <c r="J2232" s="10" t="inlineStr">
        <is>
          <t>17/03/2026</t>
        </is>
      </c>
      <c r="K2232" s="10" t="inlineStr">
        <is>
          <t>N/A</t>
        </is>
      </c>
      <c r="L2232" s="10" t="inlineStr">
        <is>
          <t>Data Analysis, Teamwork, Creative Content, English, Market Research</t>
        </is>
      </c>
      <c r="M2232" s="10" t="inlineStr">
        <is>
          <t>Bonus, Healthcare Plan, Team Activities, Canteen, Others</t>
        </is>
      </c>
      <c r="N2232" s="11">
        <f>HYPERLINK("https://www.vietnamworks.com/product-idea-creator-2013020-jv","Xem chi tiết")</f>
        <v/>
      </c>
      <c r="O2232" s="10" t="n"/>
    </row>
    <row r="2233">
      <c r="B2233" s="7" t="n">
        <v>2231</v>
      </c>
      <c r="C2233" t="inlineStr">
        <is>
          <t>Chuyên Viên Cao Cấp Kế Toán Chi Phí kiêm Kế Toán Kho</t>
        </is>
      </c>
      <c r="D2233" t="inlineStr">
        <is>
          <t>One Mount</t>
        </is>
      </c>
      <c r="E2233" t="inlineStr">
        <is>
          <t>Thương lượng</t>
        </is>
      </c>
      <c r="F2233" t="inlineStr">
        <is>
          <t>Hà Nội</t>
        </is>
      </c>
      <c r="G2233" t="inlineStr">
        <is>
          <t>Trưởng phòng</t>
        </is>
      </c>
      <c r="H2233" t="inlineStr">
        <is>
          <t>24/02/2026</t>
        </is>
      </c>
      <c r="I2233" t="inlineStr">
        <is>
          <t>26/03/2026</t>
        </is>
      </c>
      <c r="J2233" t="inlineStr">
        <is>
          <t>17/03/2026</t>
        </is>
      </c>
      <c r="K2233" t="inlineStr">
        <is>
          <t>N/A</t>
        </is>
      </c>
      <c r="L2233" t="inlineStr">
        <is>
          <t>Kế Toán, Kế Toán Chi Phí, Cost Accounting, Kế Toán Kho, Kế toán &amp; Tài chính</t>
        </is>
      </c>
      <c r="M2233" t="inlineStr">
        <is>
          <t>Healthcare Plan, Laptop, Team Activities</t>
        </is>
      </c>
      <c r="N2233" s="8">
        <f>HYPERLINK("https://www.vietnamworks.com/chuyen-vien-cao-cap-ke-toan-chi-phi-kiem-ke-toan-kho-2013015-jv","Xem chi tiết")</f>
        <v/>
      </c>
    </row>
    <row r="2234">
      <c r="B2234" s="9" t="n">
        <v>2232</v>
      </c>
      <c r="C2234" s="10" t="inlineStr">
        <is>
          <t>Lead-Product Management - SDA</t>
        </is>
      </c>
      <c r="D2234" s="10" t="inlineStr">
        <is>
          <t>Arcelik Hitachi Home Appliances Sales Vietnam Co., Ltd.</t>
        </is>
      </c>
      <c r="E2234" s="10" t="inlineStr">
        <is>
          <t>Thương lượng</t>
        </is>
      </c>
      <c r="F2234" s="10" t="inlineStr">
        <is>
          <t>Hồ Chí Minh</t>
        </is>
      </c>
      <c r="G2234" s="10" t="inlineStr">
        <is>
          <t>Nhân viên</t>
        </is>
      </c>
      <c r="H2234" s="10" t="inlineStr">
        <is>
          <t>24/02/2026</t>
        </is>
      </c>
      <c r="I2234" s="10" t="inlineStr">
        <is>
          <t>26/03/2026</t>
        </is>
      </c>
      <c r="J2234" s="10" t="inlineStr">
        <is>
          <t>17/03/2026</t>
        </is>
      </c>
      <c r="K2234" s="10" t="inlineStr">
        <is>
          <t>N/A</t>
        </is>
      </c>
      <c r="L2234" s="10" t="inlineStr">
        <is>
          <t>Product Marketing, Home Appliances, Product Life Cycle, Product Development, Product Management</t>
        </is>
      </c>
      <c r="M2234" s="10" t="inlineStr">
        <is>
          <t>Bonus, Healthcare Plan, Team Activities</t>
        </is>
      </c>
      <c r="N2234" s="11">
        <f>HYPERLINK("https://www.vietnamworks.com/lead-product-management-sda-2013016-jv","Xem chi tiết")</f>
        <v/>
      </c>
      <c r="O2234" s="10" t="n"/>
    </row>
    <row r="2235">
      <c r="B2235" s="7" t="n">
        <v>2233</v>
      </c>
      <c r="C2235" t="inlineStr">
        <is>
          <t>Chuyên viên Tiền lương Phúc lợi - C&amp;B Executive</t>
        </is>
      </c>
      <c r="D2235" t="inlineStr">
        <is>
          <t>CÔNG TY CỔ PHẦN HÀNG KHÔNG LỮ HÀNH VIỆT NAM</t>
        </is>
      </c>
      <c r="E2235" t="inlineStr">
        <is>
          <t>Thương lượng</t>
        </is>
      </c>
      <c r="F2235" t="inlineStr">
        <is>
          <t>Hà Nội</t>
        </is>
      </c>
      <c r="G2235" t="inlineStr">
        <is>
          <t>Nhân viên</t>
        </is>
      </c>
      <c r="H2235" t="inlineStr">
        <is>
          <t>24/02/2026</t>
        </is>
      </c>
      <c r="I2235" t="inlineStr">
        <is>
          <t>26/03/2026</t>
        </is>
      </c>
      <c r="J2235" t="inlineStr">
        <is>
          <t>17/03/2026</t>
        </is>
      </c>
      <c r="K2235" t="inlineStr">
        <is>
          <t>N/A</t>
        </is>
      </c>
      <c r="L2235" t="inlineStr">
        <is>
          <t>Bảo Hiểm Xã Hội, C&amp;B, Luật Lao Động, Quản Lý Tiền Lương, Tin Học Văn Phòng</t>
        </is>
      </c>
      <c r="M2235" t="inlineStr">
        <is>
          <t>Bonus, Healthcare Plan, Awards</t>
        </is>
      </c>
      <c r="N2235" s="8">
        <f>HYPERLINK("https://www.vietnamworks.com/chuyen-vien-tien-luong-phuc-loi-candb-executive-2013005-jv","Xem chi tiết")</f>
        <v/>
      </c>
    </row>
    <row r="2236">
      <c r="B2236" s="9" t="n">
        <v>2234</v>
      </c>
      <c r="C2236" s="10" t="inlineStr">
        <is>
          <t>Production Engineer (New Product Development)</t>
        </is>
      </c>
      <c r="D2236" s="10" t="inlineStr">
        <is>
          <t>Regalo International LLC</t>
        </is>
      </c>
      <c r="E2236" s="10" t="inlineStr">
        <is>
          <t>Thương lượng</t>
        </is>
      </c>
      <c r="F2236" s="10" t="inlineStr">
        <is>
          <t>Bình Dương</t>
        </is>
      </c>
      <c r="G2236" s="10" t="inlineStr">
        <is>
          <t>Nhân viên</t>
        </is>
      </c>
      <c r="H2236" s="10" t="inlineStr">
        <is>
          <t>24/02/2026</t>
        </is>
      </c>
      <c r="I2236" s="10" t="inlineStr">
        <is>
          <t>26/03/2026</t>
        </is>
      </c>
      <c r="J2236" s="10" t="inlineStr">
        <is>
          <t>17/03/2026</t>
        </is>
      </c>
      <c r="K2236" s="10" t="inlineStr">
        <is>
          <t>N/A</t>
        </is>
      </c>
      <c r="L2236" s="10" t="inlineStr">
        <is>
          <t>Design On Solidworks, English Language Proficiency, New Product Development, Production Engineer, Quality Control</t>
        </is>
      </c>
      <c r="M2236" s="10" t="inlineStr">
        <is>
          <t>Bonus, Healthcare Plan, Paid Leave, Training, Laptop, Team Activities</t>
        </is>
      </c>
      <c r="N2236" s="11">
        <f>HYPERLINK("https://www.vietnamworks.com/production-engineer-new-product-development-2013012-jv","Xem chi tiết")</f>
        <v/>
      </c>
      <c r="O2236" s="10" t="n"/>
    </row>
    <row r="2237">
      <c r="B2237" s="7" t="n">
        <v>2235</v>
      </c>
      <c r="C2237" t="inlineStr">
        <is>
          <t>Chuyên Viên Kinh Doanh Phần Mềm ERP / IT Sales Executive</t>
        </is>
      </c>
      <c r="D2237" t="inlineStr">
        <is>
          <t>CÔNG TY CỔ PHẦN CÔNG NGHỆ FOXAI</t>
        </is>
      </c>
      <c r="E2237" t="inlineStr">
        <is>
          <t>20tr-50tr ₫/tháng</t>
        </is>
      </c>
      <c r="F2237" t="inlineStr">
        <is>
          <t>Hà Nội</t>
        </is>
      </c>
      <c r="G2237" t="inlineStr">
        <is>
          <t>Nhân viên</t>
        </is>
      </c>
      <c r="H2237" t="inlineStr">
        <is>
          <t>24/02/2026</t>
        </is>
      </c>
      <c r="I2237" t="inlineStr">
        <is>
          <t>26/03/2026</t>
        </is>
      </c>
      <c r="J2237" t="inlineStr">
        <is>
          <t>17/03/2026</t>
        </is>
      </c>
      <c r="K2237" t="inlineStr">
        <is>
          <t>N/A</t>
        </is>
      </c>
      <c r="L2237" t="inlineStr">
        <is>
          <t>Erp Sales Experience, B2B Software, Business Development, sale IT</t>
        </is>
      </c>
      <c r="M2237" t="inlineStr">
        <is>
          <t>Bonus, Healthcare Plan, Training, Team Activities, Others</t>
        </is>
      </c>
      <c r="N2237" s="8">
        <f>HYPERLINK("https://www.vietnamworks.com/chuyen-vien-kinh-doanh-phan-mem-erp-it-sales-executive-2013019-jv","Xem chi tiết")</f>
        <v/>
      </c>
    </row>
    <row r="2238">
      <c r="B2238" s="9" t="n">
        <v>2236</v>
      </c>
      <c r="C2238" s="10" t="inlineStr">
        <is>
          <t>Trưởng Phòng Tài Chính (Finance Manager)</t>
        </is>
      </c>
      <c r="D2238" s="10" t="inlineStr">
        <is>
          <t>Công Ty Cổ Phần Tập Đoàn Stp</t>
        </is>
      </c>
      <c r="E2238" s="10" t="inlineStr">
        <is>
          <t>$$ 1,200-1,700 /tháng</t>
        </is>
      </c>
      <c r="F2238" s="10" t="inlineStr">
        <is>
          <t>Hà Nội</t>
        </is>
      </c>
      <c r="G2238" s="10" t="inlineStr">
        <is>
          <t>Trưởng phòng</t>
        </is>
      </c>
      <c r="H2238" s="10" t="inlineStr">
        <is>
          <t>24/02/2026</t>
        </is>
      </c>
      <c r="I2238" s="10" t="inlineStr">
        <is>
          <t>26/03/2026</t>
        </is>
      </c>
      <c r="J2238" s="10" t="inlineStr">
        <is>
          <t>17/03/2026</t>
        </is>
      </c>
      <c r="K2238" s="10" t="inlineStr">
        <is>
          <t>N/A</t>
        </is>
      </c>
      <c r="L2238" s="10" t="inlineStr">
        <is>
          <t>Giải Quyết Vấn Đề, Giao Tiếp, Hoạch Định Ngân Sách, Phân Tích Tài Chính, Quản Lý Tài Chính</t>
        </is>
      </c>
      <c r="M2238" s="10" t="inlineStr">
        <is>
          <t>Bonus, Healthcare Plan, Training, Travel Opportunities, Others</t>
        </is>
      </c>
      <c r="N2238" s="11">
        <f>HYPERLINK("https://www.vietnamworks.com/truong-phong-tai-chinh-finance-manager-2013013-jv","Xem chi tiết")</f>
        <v/>
      </c>
      <c r="O2238" s="10" t="n"/>
    </row>
    <row r="2239">
      <c r="B2239" s="7" t="n">
        <v>2237</v>
      </c>
      <c r="C2239" t="inlineStr">
        <is>
          <t>Nhân Viên Sản Xuất</t>
        </is>
      </c>
      <c r="D2239" t="inlineStr">
        <is>
          <t>Công Ty TNHH Yura Corporation Vina</t>
        </is>
      </c>
      <c r="E2239" t="inlineStr">
        <is>
          <t>Thương lượng</t>
        </is>
      </c>
      <c r="F2239" t="inlineStr">
        <is>
          <t>Hưng Yên</t>
        </is>
      </c>
      <c r="G2239" t="inlineStr">
        <is>
          <t>Nhân viên</t>
        </is>
      </c>
      <c r="H2239" t="inlineStr">
        <is>
          <t>24/02/2026</t>
        </is>
      </c>
      <c r="I2239" t="inlineStr">
        <is>
          <t>26/03/2026</t>
        </is>
      </c>
      <c r="J2239" t="inlineStr">
        <is>
          <t>17/03/2026</t>
        </is>
      </c>
      <c r="K2239" t="inlineStr">
        <is>
          <t>N/A</t>
        </is>
      </c>
      <c r="L2239" t="inlineStr">
        <is>
          <t>Cung Ứng Vật Liệu, Cơ Khí, Chế Tạo Máy, Sản Xuất Điện, Nhân viên sản xuất</t>
        </is>
      </c>
      <c r="M2239" t="inlineStr">
        <is>
          <t>Bonus, Healthcare Plan, Awards</t>
        </is>
      </c>
      <c r="N2239" s="8">
        <f>HYPERLINK("https://www.vietnamworks.com/nhan-vien-san-xuat--2013014-jv","Xem chi tiết")</f>
        <v/>
      </c>
    </row>
    <row r="2240">
      <c r="B2240" s="9" t="n">
        <v>2238</v>
      </c>
      <c r="C2240" s="10" t="inlineStr">
        <is>
          <t>Architectural Revit Modeler (Họa Viên Revit Kiến Trúc)</t>
        </is>
      </c>
      <c r="D2240" s="10" t="inlineStr">
        <is>
          <t>BYG Projects (Vietnam) Ltd.</t>
        </is>
      </c>
      <c r="E2240" s="10" t="inlineStr">
        <is>
          <t>Thương lượng</t>
        </is>
      </c>
      <c r="F2240" s="10" t="inlineStr">
        <is>
          <t>Hồ Chí Minh</t>
        </is>
      </c>
      <c r="G2240" s="10" t="inlineStr">
        <is>
          <t>Nhân viên</t>
        </is>
      </c>
      <c r="H2240" s="10" t="inlineStr">
        <is>
          <t>24/02/2026</t>
        </is>
      </c>
      <c r="I2240" s="10" t="inlineStr">
        <is>
          <t>26/03/2026</t>
        </is>
      </c>
      <c r="J2240" s="10" t="inlineStr">
        <is>
          <t>17/03/2026</t>
        </is>
      </c>
      <c r="K2240" s="10" t="inlineStr">
        <is>
          <t>N/A</t>
        </is>
      </c>
      <c r="L2240" s="10" t="inlineStr">
        <is>
          <t>Revit, AutoCAD, BIM, Architecture, Revit Architect</t>
        </is>
      </c>
      <c r="M2240" s="10" t="inlineStr">
        <is>
          <t>Bonus, Healthcare Plan, Training</t>
        </is>
      </c>
      <c r="N2240" s="11">
        <f>HYPERLINK("https://www.vietnamworks.com/architectural-revit-modeler-hoa-vien-revit-kien-truc-2013025-jv","Xem chi tiết")</f>
        <v/>
      </c>
      <c r="O2240" s="10" t="n"/>
    </row>
    <row r="2241">
      <c r="B2241" s="7" t="n">
        <v>2239</v>
      </c>
      <c r="C2241" t="inlineStr">
        <is>
          <t>[Japanit Matcha] - Kế Toán Nội Bộ</t>
        </is>
      </c>
      <c r="D2241" t="inlineStr">
        <is>
          <t>JAPANIT MATCHA</t>
        </is>
      </c>
      <c r="E2241" t="inlineStr">
        <is>
          <t>Từ 12tr ₫/tháng</t>
        </is>
      </c>
      <c r="F2241" t="inlineStr">
        <is>
          <t>Hồ Chí Minh</t>
        </is>
      </c>
      <c r="G2241" t="inlineStr">
        <is>
          <t>Nhân viên</t>
        </is>
      </c>
      <c r="H2241" t="inlineStr">
        <is>
          <t>24/02/2026</t>
        </is>
      </c>
      <c r="I2241" t="inlineStr">
        <is>
          <t>26/03/2026</t>
        </is>
      </c>
      <c r="J2241" t="inlineStr">
        <is>
          <t>17/03/2026</t>
        </is>
      </c>
      <c r="K2241" t="inlineStr">
        <is>
          <t>N/A</t>
        </is>
      </c>
      <c r="L2241" t="inlineStr">
        <is>
          <t>Quản Lý Công Nợ, Tính Lương, General Accountant, Theo Dõi Công Nợ, Kế Toán Tài Chính</t>
        </is>
      </c>
      <c r="M2241" t="inlineStr">
        <is>
          <t>Bonus, Others</t>
        </is>
      </c>
      <c r="N2241" s="8">
        <f>HYPERLINK("https://www.vietnamworks.com/japanit-matcha-ke-toan-noi-bo-2013032-jv","Xem chi tiết")</f>
        <v/>
      </c>
    </row>
    <row r="2242">
      <c r="B2242" s="9" t="n">
        <v>2240</v>
      </c>
      <c r="C2242" s="10" t="inlineStr">
        <is>
          <t>Nghiệp Vụ Theo Dõi Đơn Hàng Găng Tay (Merchandise - Glove)</t>
        </is>
      </c>
      <c r="D2242" s="10" t="inlineStr">
        <is>
          <t>Công Ty Trách Nhiệm Hữu Hạn Hung Way</t>
        </is>
      </c>
      <c r="E2242" s="10" t="inlineStr">
        <is>
          <t>Thương lượng</t>
        </is>
      </c>
      <c r="F2242" s="10" t="inlineStr">
        <is>
          <t>Hồ Chí Minh</t>
        </is>
      </c>
      <c r="G2242" s="10" t="inlineStr">
        <is>
          <t>Nhân viên</t>
        </is>
      </c>
      <c r="H2242" s="10" t="inlineStr">
        <is>
          <t>24/02/2026</t>
        </is>
      </c>
      <c r="I2242" s="10" t="inlineStr">
        <is>
          <t>26/03/2026</t>
        </is>
      </c>
      <c r="J2242" s="10" t="inlineStr">
        <is>
          <t>17/03/2026</t>
        </is>
      </c>
      <c r="K2242" s="10" t="inlineStr">
        <is>
          <t>N/A</t>
        </is>
      </c>
      <c r="L2242" s="10" t="inlineStr">
        <is>
          <t>Theo Dõi Đơn Hàng, Quản Lý Đơn Hàng May Mặc, Merchandise Garment, Merchandise Management, Tiếng Anh Lưu Loát</t>
        </is>
      </c>
      <c r="M2242" s="10" t="inlineStr">
        <is>
          <t>Bonus, Healthcare Plan, Team Activities</t>
        </is>
      </c>
      <c r="N2242" s="11">
        <f>HYPERLINK("https://www.vietnamworks.com/nghiep-vu-theo-doi-don-hang-gang-tay-merchandise-glove-1-1-1-1--2013023-jv","Xem chi tiết")</f>
        <v/>
      </c>
      <c r="O2242" s="10" t="n"/>
    </row>
    <row r="2243">
      <c r="B2243" s="7" t="n">
        <v>2241</v>
      </c>
      <c r="C2243" t="inlineStr">
        <is>
          <t>QA Engineer</t>
        </is>
      </c>
      <c r="D2243" t="inlineStr">
        <is>
          <t>VIETNAM HOUSEWARES CORP</t>
        </is>
      </c>
      <c r="E2243" t="inlineStr">
        <is>
          <t>Thương lượng</t>
        </is>
      </c>
      <c r="F2243" t="inlineStr">
        <is>
          <t>Bình Dương</t>
        </is>
      </c>
      <c r="G2243" t="inlineStr">
        <is>
          <t>Nhân viên</t>
        </is>
      </c>
      <c r="H2243" t="inlineStr">
        <is>
          <t>24/02/2026</t>
        </is>
      </c>
      <c r="I2243" t="inlineStr">
        <is>
          <t>26/03/2026</t>
        </is>
      </c>
      <c r="J2243" t="inlineStr">
        <is>
          <t>17/03/2026</t>
        </is>
      </c>
      <c r="K2243" t="inlineStr">
        <is>
          <t>N/A</t>
        </is>
      </c>
      <c r="L2243" t="inlineStr">
        <is>
          <t>Quality Assurance, Root Cause Analysis, Quality Tools, Technical Drawing, Analytical Skills</t>
        </is>
      </c>
      <c r="M2243" t="inlineStr">
        <is>
          <t>Healthcare Plan, Training, Awards, Others</t>
        </is>
      </c>
      <c r="N2243" s="8">
        <f>HYPERLINK("https://www.vietnamworks.com/qa-engineer-2013029-jv","Xem chi tiết")</f>
        <v/>
      </c>
    </row>
    <row r="2244">
      <c r="B2244" s="9" t="n">
        <v>2242</v>
      </c>
      <c r="C2244" s="10" t="inlineStr">
        <is>
          <t>Payable Accountant</t>
        </is>
      </c>
      <c r="D2244" s="10" t="inlineStr">
        <is>
          <t>BW Industrial Development JSC</t>
        </is>
      </c>
      <c r="E2244" s="10" t="inlineStr">
        <is>
          <t>Thương lượng</t>
        </is>
      </c>
      <c r="F2244" s="10" t="inlineStr">
        <is>
          <t>Hồ Chí Minh</t>
        </is>
      </c>
      <c r="G2244" s="10" t="inlineStr">
        <is>
          <t>Nhân viên</t>
        </is>
      </c>
      <c r="H2244" s="10" t="inlineStr">
        <is>
          <t>24/02/2026</t>
        </is>
      </c>
      <c r="I2244" s="10" t="inlineStr">
        <is>
          <t>26/03/2026</t>
        </is>
      </c>
      <c r="J2244" s="10" t="inlineStr">
        <is>
          <t>17/03/2026</t>
        </is>
      </c>
      <c r="K2244" s="10" t="inlineStr">
        <is>
          <t>N/A</t>
        </is>
      </c>
      <c r="L2244" s="10" t="inlineStr">
        <is>
          <t>Accounting, Accounts Payable, MS Office, Oracle, Problem-solving</t>
        </is>
      </c>
      <c r="M2244" s="10" t="inlineStr">
        <is>
          <t>Bonus, Healthcare Plan, Laptop</t>
        </is>
      </c>
      <c r="N2244" s="11">
        <f>HYPERLINK("https://www.vietnamworks.com/payable-accountant-2013048-jv","Xem chi tiết")</f>
        <v/>
      </c>
      <c r="O2244" s="10" t="n"/>
    </row>
    <row r="2245">
      <c r="B2245" s="7" t="n">
        <v>2243</v>
      </c>
      <c r="C2245" t="inlineStr">
        <is>
          <t>Digital Marketing Specialist (Google Ads, Meta Ads &amp; Analytics)</t>
        </is>
      </c>
      <c r="D2245" t="inlineStr">
        <is>
          <t>Công Ty TNHH A G Steel Manufacture</t>
        </is>
      </c>
      <c r="E2245" t="inlineStr">
        <is>
          <t>$$ 700-1,100 /tháng</t>
        </is>
      </c>
      <c r="F2245" t="inlineStr">
        <is>
          <t>Hồ Chí Minh</t>
        </is>
      </c>
      <c r="G2245" t="inlineStr">
        <is>
          <t>Nhân viên</t>
        </is>
      </c>
      <c r="H2245" t="inlineStr">
        <is>
          <t>24/02/2026</t>
        </is>
      </c>
      <c r="I2245" t="inlineStr">
        <is>
          <t>26/03/2026</t>
        </is>
      </c>
      <c r="J2245" t="inlineStr">
        <is>
          <t>17/03/2026</t>
        </is>
      </c>
      <c r="K2245" t="inlineStr">
        <is>
          <t>N/A</t>
        </is>
      </c>
      <c r="L2245" t="inlineStr">
        <is>
          <t>Ads Google, Ads Marketing</t>
        </is>
      </c>
      <c r="M2245" t="inlineStr">
        <is>
          <t>Bonus, Laptop, Team Activities</t>
        </is>
      </c>
      <c r="N2245" s="8">
        <f>HYPERLINK("https://www.vietnamworks.com/digital-marketing-specialist-google-ads-meta-ads-analytics-2013026-jv","Xem chi tiết")</f>
        <v/>
      </c>
    </row>
    <row r="2246">
      <c r="B2246" s="9" t="n">
        <v>2244</v>
      </c>
      <c r="C2246" s="10" t="inlineStr">
        <is>
          <t>Sales Technical (Bán Hàng Kỹ Thuật) - Hồ Chí Minh, Hà Nội, Đà Nẵng</t>
        </is>
      </c>
      <c r="D2246" s="10" t="inlineStr">
        <is>
          <t>Công Ty TNHH Đầu Tư Phát Triển Công Nghệ Và Thương Mại Việt Nam</t>
        </is>
      </c>
      <c r="E2246" s="10" t="inlineStr">
        <is>
          <t>10tr-15tr ₫/tháng</t>
        </is>
      </c>
      <c r="F2246" s="10" t="inlineStr">
        <is>
          <t>Hà Nội, Hồ Chí Minh, Đà Nẵng</t>
        </is>
      </c>
      <c r="G2246" s="10" t="inlineStr">
        <is>
          <t>Mới Tốt Nghiệp</t>
        </is>
      </c>
      <c r="H2246" s="10" t="inlineStr">
        <is>
          <t>24/02/2026</t>
        </is>
      </c>
      <c r="I2246" s="10" t="inlineStr">
        <is>
          <t>26/03/2026</t>
        </is>
      </c>
      <c r="J2246" s="10" t="inlineStr">
        <is>
          <t>17/03/2026</t>
        </is>
      </c>
      <c r="K2246" s="10" t="inlineStr">
        <is>
          <t>N/A</t>
        </is>
      </c>
      <c r="L2246" s="10" t="inlineStr">
        <is>
          <t>Cơ Khí, Kinh Doanh, Cơ Điện Tử, Tự Động Hóa, Sales Technical Product</t>
        </is>
      </c>
      <c r="M2246" s="10" t="inlineStr">
        <is>
          <t>Bonus, Paid Leave, Travel Opportunities</t>
        </is>
      </c>
      <c r="N2246" s="11">
        <f>HYPERLINK("https://www.vietnamworks.com/sales-technical-ban-hang-ky-thuat-ho-chi-minh-ha-noi-da-nang-2013036-jv","Xem chi tiết")</f>
        <v/>
      </c>
      <c r="O2246" s="10" t="n"/>
    </row>
    <row r="2247">
      <c r="B2247" s="7" t="n">
        <v>2245</v>
      </c>
      <c r="C2247" t="inlineStr">
        <is>
          <t>Phiên Dịch Viên Tiếng Nhật (Japanese Interpreter)</t>
        </is>
      </c>
      <c r="D2247" t="inlineStr">
        <is>
          <t>VIETNAM NOK</t>
        </is>
      </c>
      <c r="E2247" t="inlineStr">
        <is>
          <t>15tr-25tr ₫/tháng</t>
        </is>
      </c>
      <c r="F2247" t="inlineStr">
        <is>
          <t>Đồng Nai</t>
        </is>
      </c>
      <c r="G2247" t="inlineStr">
        <is>
          <t>Nhân viên</t>
        </is>
      </c>
      <c r="H2247" t="inlineStr">
        <is>
          <t>24/02/2026</t>
        </is>
      </c>
      <c r="I2247" t="inlineStr">
        <is>
          <t>26/03/2026</t>
        </is>
      </c>
      <c r="J2247" t="inlineStr">
        <is>
          <t>17/03/2026</t>
        </is>
      </c>
      <c r="K2247" t="inlineStr">
        <is>
          <t>N/A</t>
        </is>
      </c>
      <c r="L2247" t="inlineStr">
        <is>
          <t>Biên Dịch, Giao Tiếp, Kỹ Năng Quản Lý Thời Gian, Phiên Dịch, Tiếng Nhật N2</t>
        </is>
      </c>
      <c r="M2247" t="inlineStr">
        <is>
          <t>Bonus, Healthcare Plan, Paid Leave, Training, Travel Opportunities</t>
        </is>
      </c>
      <c r="N2247" s="8">
        <f>HYPERLINK("https://www.vietnamworks.com/phien-dich-vien-tieng-nhat-japanese-interpreter-2013035-jv","Xem chi tiết")</f>
        <v/>
      </c>
    </row>
    <row r="2248">
      <c r="B2248" s="9" t="n">
        <v>2246</v>
      </c>
      <c r="C2248" s="10" t="inlineStr">
        <is>
          <t>Kỹ Sư Bảo Trì - Sửa Chữa Thiết Bị (Maintenance Engineer - Equipment Repair)</t>
        </is>
      </c>
      <c r="D2248" s="10" t="inlineStr">
        <is>
          <t>VIETNAM NOK</t>
        </is>
      </c>
      <c r="E2248" s="10" t="inlineStr">
        <is>
          <t>11tr-15tr ₫/tháng</t>
        </is>
      </c>
      <c r="F2248" s="10" t="inlineStr">
        <is>
          <t>Đồng Nai</t>
        </is>
      </c>
      <c r="G2248" s="10" t="inlineStr">
        <is>
          <t>Nhân viên</t>
        </is>
      </c>
      <c r="H2248" s="10" t="inlineStr">
        <is>
          <t>24/02/2026</t>
        </is>
      </c>
      <c r="I2248" s="10" t="inlineStr">
        <is>
          <t>26/03/2026</t>
        </is>
      </c>
      <c r="J2248" s="10" t="inlineStr">
        <is>
          <t>17/03/2026</t>
        </is>
      </c>
      <c r="K2248" s="10" t="inlineStr">
        <is>
          <t>N/A</t>
        </is>
      </c>
      <c r="L2248" s="10" t="inlineStr">
        <is>
          <t>Tiếng Nhật, HMI, Maintenance, PLC, Sửa Chữa Bảo Trì Thiết Bị</t>
        </is>
      </c>
      <c r="M2248" s="10" t="inlineStr">
        <is>
          <t>Bonus, Training, Others</t>
        </is>
      </c>
      <c r="N2248" s="11">
        <f>HYPERLINK("https://www.vietnamworks.com/ky-su-bao-tri-sua-chua-thiet-bi-maintenance-engineer-equipment-repair-2013037-jv","Xem chi tiết")</f>
        <v/>
      </c>
      <c r="O2248" s="10" t="n"/>
    </row>
    <row r="2249">
      <c r="B2249" s="7" t="n">
        <v>2247</v>
      </c>
      <c r="C2249" t="inlineStr">
        <is>
          <t>Customer Service Staff_Nhân Viên Chăm Sóc Khách Hàng</t>
        </is>
      </c>
      <c r="D2249" t="inlineStr">
        <is>
          <t>LX Pantos Vietnam</t>
        </is>
      </c>
      <c r="E2249" t="inlineStr">
        <is>
          <t>$$ 400-700 /tháng</t>
        </is>
      </c>
      <c r="F2249" t="inlineStr">
        <is>
          <t>Hải Phòng</t>
        </is>
      </c>
      <c r="G2249" t="inlineStr">
        <is>
          <t>Nhân viên</t>
        </is>
      </c>
      <c r="H2249" t="inlineStr">
        <is>
          <t>24/02/2026</t>
        </is>
      </c>
      <c r="I2249" t="inlineStr">
        <is>
          <t>26/03/2026</t>
        </is>
      </c>
      <c r="J2249" t="inlineStr">
        <is>
          <t>17/03/2026</t>
        </is>
      </c>
      <c r="K2249" t="inlineStr">
        <is>
          <t>N/A</t>
        </is>
      </c>
      <c r="L2249" t="inlineStr">
        <is>
          <t>Tiếng Anh, Xuất Nhập Khẩu, Logistics</t>
        </is>
      </c>
      <c r="M2249" t="inlineStr">
        <is>
          <t>Bonus, Healthcare Plan, Training</t>
        </is>
      </c>
      <c r="N2249" s="8">
        <f>HYPERLINK("https://www.vietnamworks.com/customer-service-staff-nhan-vien-cham-soc-khach-hang--2013039-jv","Xem chi tiết")</f>
        <v/>
      </c>
    </row>
    <row r="2250">
      <c r="B2250" s="9" t="n">
        <v>2248</v>
      </c>
      <c r="C2250" s="10" t="inlineStr">
        <is>
          <t>Tuyển Gấp- Nhân Viên Kinh Doanh ( Nữ- Lương Từ 14 Triệu)</t>
        </is>
      </c>
      <c r="D2250" s="10" t="inlineStr">
        <is>
          <t>Trung Tâm Toán Số 1 Nhật Bản Gakken Classroom</t>
        </is>
      </c>
      <c r="E2250" s="10" t="inlineStr">
        <is>
          <t>Thương lượng</t>
        </is>
      </c>
      <c r="F2250" s="10" t="inlineStr">
        <is>
          <t>Bắc Ninh, Hà Nội, Bắc Giang</t>
        </is>
      </c>
      <c r="G2250" s="10" t="inlineStr">
        <is>
          <t>Nhân viên</t>
        </is>
      </c>
      <c r="H2250" s="10" t="inlineStr">
        <is>
          <t>24/02/2026</t>
        </is>
      </c>
      <c r="I2250" s="10" t="inlineStr">
        <is>
          <t>26/03/2026</t>
        </is>
      </c>
      <c r="J2250" s="10" t="inlineStr">
        <is>
          <t>17/03/2026</t>
        </is>
      </c>
      <c r="K2250" s="10" t="inlineStr">
        <is>
          <t>N/A</t>
        </is>
      </c>
      <c r="L2250" s="10" t="inlineStr">
        <is>
          <t>Kinh Doanh, Tiếng Nhật N2, Chăm Sóc Khách Hàng, Hỗ Trợ Kinh Doanh, Quản Lý Đơn Hàng</t>
        </is>
      </c>
      <c r="M2250" s="10" t="inlineStr">
        <is>
          <t>Bonus, Healthcare Plan, Others</t>
        </is>
      </c>
      <c r="N2250" s="11">
        <f>HYPERLINK("https://www.vietnamworks.com/tuyen-gap-nhan-vien-kinh-doanh-nu-luong-tu-14-trieu-2013043-jv","Xem chi tiết")</f>
        <v/>
      </c>
      <c r="O2250" s="10" t="n"/>
    </row>
    <row r="2251">
      <c r="B2251" s="7" t="n">
        <v>2249</v>
      </c>
      <c r="C2251" t="inlineStr">
        <is>
          <t>Viettel Future Changemakers - Quản Trị Viên Tập Sự - Quản Lý Sản Phẩm</t>
        </is>
      </c>
      <c r="D2251" t="inlineStr">
        <is>
          <t>Tập Đoàn Công Nghiệp - Viễn Thông Quân Đội (Viettel Group)</t>
        </is>
      </c>
      <c r="E2251" t="inlineStr">
        <is>
          <t>$$ 1,000-2,000 /tháng</t>
        </is>
      </c>
      <c r="F2251" t="inlineStr">
        <is>
          <t>Hà Nội</t>
        </is>
      </c>
      <c r="G2251" t="inlineStr">
        <is>
          <t>Nhân viên</t>
        </is>
      </c>
      <c r="H2251" t="inlineStr">
        <is>
          <t>24/02/2026</t>
        </is>
      </c>
      <c r="I2251" t="inlineStr">
        <is>
          <t>26/03/2026</t>
        </is>
      </c>
      <c r="J2251" t="inlineStr">
        <is>
          <t>17/03/2026</t>
        </is>
      </c>
      <c r="K2251" t="inlineStr">
        <is>
          <t>N/A</t>
        </is>
      </c>
      <c r="L2251" t="inlineStr">
        <is>
          <t>IT Phần Mềm, business analyst, product owner, Product Designing, Product Development</t>
        </is>
      </c>
      <c r="M2251" t="inlineStr">
        <is>
          <t>Bonus, Team Activities, Transportation</t>
        </is>
      </c>
      <c r="N2251" s="8">
        <f>HYPERLINK("https://www.vietnamworks.com/viettel-future-changemakers-quan-tri-vien-tap-su-quan-ly-san-pham--2013045-jv","Xem chi tiết")</f>
        <v/>
      </c>
    </row>
    <row r="2252">
      <c r="B2252" s="9" t="n">
        <v>2250</v>
      </c>
      <c r="C2252" s="10" t="inlineStr">
        <is>
          <t>Sale Logistics</t>
        </is>
      </c>
      <c r="D2252" s="10" t="inlineStr">
        <is>
          <t>GH Trans Corp</t>
        </is>
      </c>
      <c r="E2252" s="10" t="inlineStr">
        <is>
          <t>7tr-15tr ₫/tháng</t>
        </is>
      </c>
      <c r="F2252" s="10" t="inlineStr">
        <is>
          <t>Hồ Chí Minh, Hà Nội</t>
        </is>
      </c>
      <c r="G2252" s="10" t="inlineStr">
        <is>
          <t>Nhân viên</t>
        </is>
      </c>
      <c r="H2252" s="10" t="inlineStr">
        <is>
          <t>24/02/2026</t>
        </is>
      </c>
      <c r="I2252" s="10" t="inlineStr">
        <is>
          <t>26/03/2026</t>
        </is>
      </c>
      <c r="J2252" s="10" t="inlineStr">
        <is>
          <t>17/03/2026</t>
        </is>
      </c>
      <c r="K2252" s="10" t="inlineStr">
        <is>
          <t>N/A</t>
        </is>
      </c>
      <c r="L2252" s="10" t="inlineStr">
        <is>
          <t>Kinh Doanh Xuất Nhập Khẩu, Shipping Logistics, Kinh Doanh, Logistics Sales, Tư Vấn</t>
        </is>
      </c>
      <c r="M2252" s="10" t="inlineStr">
        <is>
          <t>Bonus, Healthcare Plan, Paid Leave, Travel Opportunities, Others</t>
        </is>
      </c>
      <c r="N2252" s="11">
        <f>HYPERLINK("https://www.vietnamworks.com/sale-logistics-2013040-jv","Xem chi tiết")</f>
        <v/>
      </c>
      <c r="O2252" s="10" t="n"/>
    </row>
    <row r="2253">
      <c r="B2253" s="7" t="n">
        <v>2251</v>
      </c>
      <c r="C2253" t="inlineStr">
        <is>
          <t>Nhân Viên Thiết Kế (Đóng Gói, Mẫu, Báo Giá)</t>
        </is>
      </c>
      <c r="D2253" t="inlineStr">
        <is>
          <t>EFS FURNITURE VIETNAM CO.,LTD</t>
        </is>
      </c>
      <c r="E2253" t="inlineStr">
        <is>
          <t>Thương lượng</t>
        </is>
      </c>
      <c r="F2253" t="inlineStr">
        <is>
          <t>Bình Dương, Hồ Chí Minh</t>
        </is>
      </c>
      <c r="G2253" t="inlineStr">
        <is>
          <t>Nhân viên</t>
        </is>
      </c>
      <c r="H2253" t="inlineStr">
        <is>
          <t>24/02/2026</t>
        </is>
      </c>
      <c r="I2253" t="inlineStr">
        <is>
          <t>26/03/2026</t>
        </is>
      </c>
      <c r="J2253" t="inlineStr">
        <is>
          <t>17/03/2026</t>
        </is>
      </c>
      <c r="K2253" t="inlineStr">
        <is>
          <t>N/A</t>
        </is>
      </c>
      <c r="L2253" t="inlineStr">
        <is>
          <t>Thiết Kế Mẫu, 2D Autocad, 3D, 3D CAD Systems</t>
        </is>
      </c>
      <c r="M2253" t="inlineStr">
        <is>
          <t>Bonus, Healthcare Plan, Paid Leave, Canteen</t>
        </is>
      </c>
      <c r="N2253" s="8">
        <f>HYPERLINK("https://www.vietnamworks.com/nhan-vien-thiet-ke-djong-goi-mau-bao-gia-2013030-jv","Xem chi tiết")</f>
        <v/>
      </c>
    </row>
    <row r="2254">
      <c r="B2254" s="9" t="n">
        <v>2252</v>
      </c>
      <c r="C2254" s="10" t="inlineStr">
        <is>
          <t>Nhân Viên Phụ Trách Sản Phẩm (Product Specialist)</t>
        </is>
      </c>
      <c r="D2254" s="10" t="inlineStr">
        <is>
          <t>Công Ty TNHH Thiết Bị Minh Tâm (Mitalab Co., Ltd)</t>
        </is>
      </c>
      <c r="E2254" s="10" t="inlineStr">
        <is>
          <t>Thương lượng</t>
        </is>
      </c>
      <c r="F2254" s="10" t="inlineStr">
        <is>
          <t>Hồ Chí Minh, Hà Nội</t>
        </is>
      </c>
      <c r="G2254" s="10" t="inlineStr">
        <is>
          <t>Nhân viên</t>
        </is>
      </c>
      <c r="H2254" s="10" t="inlineStr">
        <is>
          <t>24/02/2026</t>
        </is>
      </c>
      <c r="I2254" s="10" t="inlineStr">
        <is>
          <t>26/03/2026</t>
        </is>
      </c>
      <c r="J2254" s="10" t="inlineStr">
        <is>
          <t>17/03/2026</t>
        </is>
      </c>
      <c r="K2254" s="10" t="inlineStr">
        <is>
          <t>N/A</t>
        </is>
      </c>
      <c r="L2254" s="10" t="inlineStr">
        <is>
          <t>Marketing, Product Maketing, ETC, Dược, Thiết Bị Y Tế</t>
        </is>
      </c>
      <c r="M2254" s="10" t="inlineStr">
        <is>
          <t>Bonus, Training, Travel Opportunities</t>
        </is>
      </c>
      <c r="N2254" s="11">
        <f>HYPERLINK("https://www.vietnamworks.com/nhan-vien-phu-trach-san-pham-product-specialist--2013038-jv","Xem chi tiết")</f>
        <v/>
      </c>
      <c r="O2254" s="10" t="n"/>
    </row>
    <row r="2255">
      <c r="B2255" s="7" t="n">
        <v>2253</v>
      </c>
      <c r="C2255" t="inlineStr">
        <is>
          <t>Production Injection Molding Manager - EMS</t>
        </is>
      </c>
      <c r="D2255" t="inlineStr">
        <is>
          <t>Michael Page Vietnam</t>
        </is>
      </c>
      <c r="E2255" t="inlineStr">
        <is>
          <t>$$ 2,000-3,000 /tháng</t>
        </is>
      </c>
      <c r="F2255" t="inlineStr">
        <is>
          <t>Đồng Nai</t>
        </is>
      </c>
      <c r="G2255" t="inlineStr">
        <is>
          <t>Trưởng phòng</t>
        </is>
      </c>
      <c r="H2255" t="inlineStr">
        <is>
          <t>24/02/2026</t>
        </is>
      </c>
      <c r="I2255" t="inlineStr">
        <is>
          <t>26/03/2026</t>
        </is>
      </c>
      <c r="J2255" t="inlineStr">
        <is>
          <t>17/03/2026</t>
        </is>
      </c>
      <c r="K2255" t="inlineStr">
        <is>
          <t>N/A</t>
        </is>
      </c>
      <c r="L2255" t="inlineStr">
        <is>
          <t>Injection Molding, SMT, Mechanical Engineering, Industrial Engineering, Plastics Molding</t>
        </is>
      </c>
      <c r="M2255" t="inlineStr">
        <is>
          <t>Bonus, Transportation, Canteen</t>
        </is>
      </c>
      <c r="N2255" s="8">
        <f>HYPERLINK("https://www.vietnamworks.com/production-injection-molding-manager-ems-2013044-jv","Xem chi tiết")</f>
        <v/>
      </c>
    </row>
    <row r="2256">
      <c r="B2256" s="9" t="n">
        <v>2254</v>
      </c>
      <c r="C2256" s="10" t="inlineStr">
        <is>
          <t>Nhân Viên Tiếng Hàn (Phòng IT)</t>
        </is>
      </c>
      <c r="D2256" s="10" t="inlineStr">
        <is>
          <t>Ngân Hàng Kookmin - Chi Nhánh Hà Nội</t>
        </is>
      </c>
      <c r="E2256" s="10" t="inlineStr">
        <is>
          <t>Thương lượng</t>
        </is>
      </c>
      <c r="F2256" s="10" t="inlineStr">
        <is>
          <t>Hà Nội</t>
        </is>
      </c>
      <c r="G2256" s="10" t="inlineStr">
        <is>
          <t>Mới Tốt Nghiệp</t>
        </is>
      </c>
      <c r="H2256" s="10" t="inlineStr">
        <is>
          <t>24/02/2026</t>
        </is>
      </c>
      <c r="I2256" s="10" t="inlineStr">
        <is>
          <t>26/03/2026</t>
        </is>
      </c>
      <c r="J2256" s="10" t="inlineStr">
        <is>
          <t>17/03/2026</t>
        </is>
      </c>
      <c r="K2256" s="10" t="inlineStr">
        <is>
          <t>N/A</t>
        </is>
      </c>
      <c r="L2256" s="10" t="inlineStr">
        <is>
          <t>Korean Language</t>
        </is>
      </c>
      <c r="M2256" s="10" t="inlineStr">
        <is>
          <t>Bonus, Healthcare Plan, Training</t>
        </is>
      </c>
      <c r="N2256" s="11">
        <f>HYPERLINK("https://www.vietnamworks.com/nhan-vien-tieng-han-phong-it-2013047-jv","Xem chi tiết")</f>
        <v/>
      </c>
      <c r="O2256" s="10" t="n"/>
    </row>
    <row r="2257">
      <c r="B2257" s="7" t="n">
        <v>2255</v>
      </c>
      <c r="C2257" t="inlineStr">
        <is>
          <t>Chuyên Viên Nghiên Cứu Thị Trường - (Senior) Market Research Executive (Quantitative Research Background Preferred)</t>
        </is>
      </c>
      <c r="D2257" t="inlineStr">
        <is>
          <t>Công Ty Cổ Phần Sữa Việt Nam (Vinamilk)</t>
        </is>
      </c>
      <c r="E2257" t="inlineStr">
        <is>
          <t>Thương lượng</t>
        </is>
      </c>
      <c r="F2257" t="inlineStr">
        <is>
          <t>Hồ Chí Minh</t>
        </is>
      </c>
      <c r="G2257" t="inlineStr">
        <is>
          <t>Nhân viên</t>
        </is>
      </c>
      <c r="H2257" t="inlineStr">
        <is>
          <t>24/02/2026</t>
        </is>
      </c>
      <c r="I2257" t="inlineStr">
        <is>
          <t>26/03/2026</t>
        </is>
      </c>
      <c r="J2257" t="inlineStr">
        <is>
          <t>17/03/2026</t>
        </is>
      </c>
      <c r="K2257" t="inlineStr">
        <is>
          <t>N/A</t>
        </is>
      </c>
      <c r="L2257" t="inlineStr">
        <is>
          <t>Tìm Hiểu Thị Trường, Phân Tích Dữ Liệu, Nghiên Cứu Thị Trường, Market Research, Khảo Sát Thị Trường</t>
        </is>
      </c>
      <c r="M2257" t="inlineStr">
        <is>
          <t>Bonus, Healthcare Plan, Training</t>
        </is>
      </c>
      <c r="N2257" s="8">
        <f>HYPERLINK("https://www.vietnamworks.com/chuyen-vien-nghien-cuu-thi-truong-senior-market-research-executive-quantitative-research-background-preferred-2013028-jv","Xem chi tiết")</f>
        <v/>
      </c>
    </row>
    <row r="2258">
      <c r="B2258" s="9" t="n">
        <v>2256</v>
      </c>
      <c r="C2258" s="10" t="inlineStr">
        <is>
          <t>Kỹ Sư Kỹ Thuật Sản Xuất (Production Technical Engineer)</t>
        </is>
      </c>
      <c r="D2258" s="10" t="inlineStr">
        <is>
          <t>VIETNAM NOK</t>
        </is>
      </c>
      <c r="E2258" s="10" t="inlineStr">
        <is>
          <t>12tr-16tr ₫/tháng</t>
        </is>
      </c>
      <c r="F2258" s="10" t="inlineStr">
        <is>
          <t>Đồng Nai</t>
        </is>
      </c>
      <c r="G2258" s="10" t="inlineStr">
        <is>
          <t>Nhân viên</t>
        </is>
      </c>
      <c r="H2258" s="10" t="inlineStr">
        <is>
          <t>24/02/2026</t>
        </is>
      </c>
      <c r="I2258" s="10" t="inlineStr">
        <is>
          <t>26/03/2026</t>
        </is>
      </c>
      <c r="J2258" s="10" t="inlineStr">
        <is>
          <t>17/03/2026</t>
        </is>
      </c>
      <c r="K2258" s="10" t="inlineStr">
        <is>
          <t>N/A</t>
        </is>
      </c>
      <c r="L2258" s="10" t="inlineStr">
        <is>
          <t>Cơ Khí, Giải Quyết Vấn Đề, Phân Tích Tư Duy, Kỹ Thuật Sản Xuất, Tối Ưu Hóa Sản Xuất</t>
        </is>
      </c>
      <c r="M2258" s="10" t="inlineStr">
        <is>
          <t>Healthcare Plan, Training, Others</t>
        </is>
      </c>
      <c r="N2258" s="11">
        <f>HYPERLINK("https://www.vietnamworks.com/ky-su-ky-thuat-san-xuat-production-technical-engineer-2013033-jv","Xem chi tiết")</f>
        <v/>
      </c>
      <c r="O2258" s="10" t="n"/>
    </row>
    <row r="2259">
      <c r="B2259" s="7" t="n">
        <v>2257</v>
      </c>
      <c r="C2259" t="inlineStr">
        <is>
          <t>Chuyên Viên Tư Vấn Khách Hàng Cá Nhân - Fasttrack 2026</t>
        </is>
      </c>
      <c r="D2259" t="inlineStr">
        <is>
          <t>ABBank - Ngân Hàng TMCP An Bình</t>
        </is>
      </c>
      <c r="E2259" t="inlineStr">
        <is>
          <t>6tr-20tr ₫/tháng</t>
        </is>
      </c>
      <c r="F2259" t="inlineStr">
        <is>
          <t>Hồ Chí Minh, Hà Nội</t>
        </is>
      </c>
      <c r="G2259" t="inlineStr">
        <is>
          <t>Mới Tốt Nghiệp</t>
        </is>
      </c>
      <c r="H2259" t="inlineStr">
        <is>
          <t>24/02/2026</t>
        </is>
      </c>
      <c r="I2259" t="inlineStr">
        <is>
          <t>26/03/2026</t>
        </is>
      </c>
      <c r="J2259" t="inlineStr">
        <is>
          <t>17/03/2026</t>
        </is>
      </c>
      <c r="K2259" t="inlineStr">
        <is>
          <t>N/A</t>
        </is>
      </c>
      <c r="L2259" t="inlineStr">
        <is>
          <t>Bán Hàng, Chứng Khoán, Giao Tiếp, Ngân hàng, Tư Vấn Tài Chính</t>
        </is>
      </c>
      <c r="M2259" t="inlineStr">
        <is>
          <t>Bonus, Healthcare Plan, Paid Leave, Training, Travel Opportunities, Others</t>
        </is>
      </c>
      <c r="N2259" s="8">
        <f>HYPERLINK("https://www.vietnamworks.com/chuyen-vien-tu-van-khach-hang-ca-nhan-fasttrack-2026-2013049-jv","Xem chi tiết")</f>
        <v/>
      </c>
    </row>
    <row r="2260">
      <c r="B2260" s="9" t="n">
        <v>2258</v>
      </c>
      <c r="C2260" s="10" t="inlineStr">
        <is>
          <t>Cashier/ Finance Front Office</t>
        </is>
      </c>
      <c r="D2260" s="10" t="inlineStr">
        <is>
          <t>Columbia Asia Hospital Binh Duong</t>
        </is>
      </c>
      <c r="E2260" s="10" t="inlineStr">
        <is>
          <t>$$ 400-480 /tháng</t>
        </is>
      </c>
      <c r="F2260" s="10" t="inlineStr">
        <is>
          <t>Bình Dương</t>
        </is>
      </c>
      <c r="G2260" s="10" t="inlineStr">
        <is>
          <t>Nhân viên</t>
        </is>
      </c>
      <c r="H2260" s="10" t="inlineStr">
        <is>
          <t>24/02/2026</t>
        </is>
      </c>
      <c r="I2260" s="10" t="inlineStr">
        <is>
          <t>26/03/2026</t>
        </is>
      </c>
      <c r="J2260" s="10" t="inlineStr">
        <is>
          <t>17/03/2026</t>
        </is>
      </c>
      <c r="K2260" s="10" t="inlineStr">
        <is>
          <t>N/A</t>
        </is>
      </c>
      <c r="L2260" s="10" t="inlineStr">
        <is>
          <t>Kế Toán, Finance, Tài Chính, Thu ngân</t>
        </is>
      </c>
      <c r="M2260" s="10" t="inlineStr">
        <is>
          <t>Bonus, Healthcare Plan, Training</t>
        </is>
      </c>
      <c r="N2260" s="11">
        <f>HYPERLINK("https://www.vietnamworks.com/cashier-finance-front-office--2013052-jv","Xem chi tiết")</f>
        <v/>
      </c>
      <c r="O2260" s="10" t="n"/>
    </row>
    <row r="2261">
      <c r="B2261" s="7" t="n">
        <v>2259</v>
      </c>
      <c r="C2261" t="inlineStr">
        <is>
          <t>IT Staff - MES (Production Operating System/ Xe Đưa Đón Hà Nội Hưng Yên Hải Dương)</t>
        </is>
      </c>
      <c r="D2261" t="inlineStr">
        <is>
          <t>NIKKISO VIETNAM, INC.</t>
        </is>
      </c>
      <c r="E2261" t="inlineStr">
        <is>
          <t>$$ 400-700 /tháng</t>
        </is>
      </c>
      <c r="F2261" t="inlineStr">
        <is>
          <t>Hà Nội, Hưng Yên, Hải Dương</t>
        </is>
      </c>
      <c r="G2261" t="inlineStr">
        <is>
          <t>Nhân viên</t>
        </is>
      </c>
      <c r="H2261" t="inlineStr">
        <is>
          <t>24/02/2026</t>
        </is>
      </c>
      <c r="I2261" t="inlineStr">
        <is>
          <t>26/03/2026</t>
        </is>
      </c>
      <c r="J2261" t="inlineStr">
        <is>
          <t>17/03/2026</t>
        </is>
      </c>
      <c r="K2261" t="inlineStr">
        <is>
          <t>N/A</t>
        </is>
      </c>
      <c r="L2261" t="inlineStr">
        <is>
          <t>English, ERP, Maintenance Management, Troubleshooting Analysis, Hardware Support</t>
        </is>
      </c>
      <c r="M2261" t="inlineStr">
        <is>
          <t>Bonus, Healthcare Plan, Transportation</t>
        </is>
      </c>
      <c r="N2261" s="8">
        <f>HYPERLINK("https://www.vietnamworks.com/it-staff-mes-production-operating-system-xe-dua-don-ha-noi-hung-yen-hai-duong--2013051-jv","Xem chi tiết")</f>
        <v/>
      </c>
    </row>
    <row r="2262">
      <c r="B2262" s="9" t="n">
        <v>2260</v>
      </c>
      <c r="C2262" s="10" t="inlineStr">
        <is>
          <t>Sales &amp; Proposal Executive (Chinese Speaking | Fresh Graduate)</t>
        </is>
      </c>
      <c r="D2262" s="10" t="inlineStr">
        <is>
          <t>TND CORPORATE SERVICES</t>
        </is>
      </c>
      <c r="E2262" s="10" t="inlineStr">
        <is>
          <t>Thương lượng</t>
        </is>
      </c>
      <c r="F2262" s="10" t="inlineStr">
        <is>
          <t>Hồ Chí Minh</t>
        </is>
      </c>
      <c r="G2262" s="10" t="inlineStr">
        <is>
          <t>Mới Tốt Nghiệp</t>
        </is>
      </c>
      <c r="H2262" s="10" t="inlineStr">
        <is>
          <t>24/02/2026</t>
        </is>
      </c>
      <c r="I2262" s="10" t="inlineStr">
        <is>
          <t>26/03/2026</t>
        </is>
      </c>
      <c r="J2262" s="10" t="inlineStr">
        <is>
          <t>17/03/2026</t>
        </is>
      </c>
      <c r="K2262" s="10" t="inlineStr">
        <is>
          <t>N/A</t>
        </is>
      </c>
      <c r="L2262" s="10" t="inlineStr">
        <is>
          <t>Chinese proficiency, Microsoft Office, Communication Skills, Solution Oriented, Teamwork</t>
        </is>
      </c>
      <c r="M2262" s="10" t="inlineStr">
        <is>
          <t>Bonus, Healthcare Plan, Others</t>
        </is>
      </c>
      <c r="N2262" s="11">
        <f>HYPERLINK("https://www.vietnamworks.com/sales-and-proposal-executive-chinese-speaking-or-fresh-graduate-2013053-jv","Xem chi tiết")</f>
        <v/>
      </c>
      <c r="O2262" s="10" t="n"/>
    </row>
    <row r="2263">
      <c r="B2263" s="7" t="n">
        <v>2261</v>
      </c>
      <c r="C2263" t="inlineStr">
        <is>
          <t>Kỹ Sư Thiết Kế Cơ Khí Robot (Lương Lên Tới 20 Triệu/ Tháng)</t>
        </is>
      </c>
      <c r="D2263" t="inlineStr">
        <is>
          <t>Công Ty Cổ Phần Meiko Automation</t>
        </is>
      </c>
      <c r="E2263" t="inlineStr">
        <is>
          <t>10tr-20tr ₫/tháng</t>
        </is>
      </c>
      <c r="F2263" t="inlineStr">
        <is>
          <t>Hà Nội</t>
        </is>
      </c>
      <c r="G2263" t="inlineStr">
        <is>
          <t>Nhân viên</t>
        </is>
      </c>
      <c r="H2263" t="inlineStr">
        <is>
          <t>24/02/2026</t>
        </is>
      </c>
      <c r="I2263" t="inlineStr">
        <is>
          <t>26/03/2026</t>
        </is>
      </c>
      <c r="J2263" t="inlineStr">
        <is>
          <t>17/03/2026</t>
        </is>
      </c>
      <c r="K2263" t="inlineStr">
        <is>
          <t>N/A</t>
        </is>
      </c>
      <c r="L2263" t="inlineStr">
        <is>
          <t>Thiết Kế Cơ Khí, SolidWorks, Thiết Kế Robot, Thiết Kế Máy Tự Động, Thiết Kế Máy Tự Động Hoá</t>
        </is>
      </c>
      <c r="M2263" t="inlineStr">
        <is>
          <t>Bonus, Healthcare Plan, Paid Leave, Awards, Travel Opportunities, Transportation</t>
        </is>
      </c>
      <c r="N2263" s="8">
        <f>HYPERLINK("https://www.vietnamworks.com/ky-su-thiet-ke-co-khi-robot-luong-len-toi-20-trieu-thang-2013057-jv","Xem chi tiết")</f>
        <v/>
      </c>
    </row>
    <row r="2264">
      <c r="B2264" s="9" t="n">
        <v>2262</v>
      </c>
      <c r="C2264" s="10" t="inlineStr">
        <is>
          <t>Kỹ Sư Cơ Điện (MEP Engineer) - Làm Việc Tại VP Hà Nội hoặc Dự Án Hải Dương</t>
        </is>
      </c>
      <c r="D2264" s="10" t="inlineStr">
        <is>
          <t>KAS E&amp;C (Vietnam) Ltd Company</t>
        </is>
      </c>
      <c r="E2264" s="10" t="inlineStr">
        <is>
          <t>$$ 700-1,000 /tháng</t>
        </is>
      </c>
      <c r="F2264" s="10" t="inlineStr">
        <is>
          <t>Hà Nội, Bình Định, Hải Dương</t>
        </is>
      </c>
      <c r="G2264" s="10" t="inlineStr">
        <is>
          <t>Nhân viên</t>
        </is>
      </c>
      <c r="H2264" s="10" t="inlineStr">
        <is>
          <t>24/02/2026</t>
        </is>
      </c>
      <c r="I2264" s="10" t="inlineStr">
        <is>
          <t>26/03/2026</t>
        </is>
      </c>
      <c r="J2264" s="10" t="inlineStr">
        <is>
          <t>17/03/2026</t>
        </is>
      </c>
      <c r="K2264" s="10" t="inlineStr">
        <is>
          <t>N/A</t>
        </is>
      </c>
      <c r="L2264" s="10" t="inlineStr">
        <is>
          <t>Bóc Tách Khối Lượng, Cơ Điện, Giám Sát Thi Công</t>
        </is>
      </c>
      <c r="M2264" s="10" t="inlineStr">
        <is>
          <t>Bonus, Healthcare Plan, Others</t>
        </is>
      </c>
      <c r="N2264" s="11">
        <f>HYPERLINK("https://www.vietnamworks.com/ky-su-co-dien-mep-engineer-lam-viec-tai-vp-ha-noi-hoac-du-an-hai-duong--2013059-jv","Xem chi tiết")</f>
        <v/>
      </c>
      <c r="O2264" s="10" t="n"/>
    </row>
    <row r="2265">
      <c r="B2265" s="7" t="n">
        <v>2263</v>
      </c>
      <c r="C2265" t="inlineStr">
        <is>
          <t>Shipping Coordinator</t>
        </is>
      </c>
      <c r="D2265" t="inlineStr">
        <is>
          <t>Metasource</t>
        </is>
      </c>
      <c r="E2265" t="inlineStr">
        <is>
          <t>Thương lượng</t>
        </is>
      </c>
      <c r="F2265" t="inlineStr">
        <is>
          <t>Hồ Chí Minh</t>
        </is>
      </c>
      <c r="G2265" t="inlineStr">
        <is>
          <t>Nhân viên</t>
        </is>
      </c>
      <c r="H2265" t="inlineStr">
        <is>
          <t>24/02/2026</t>
        </is>
      </c>
      <c r="I2265" t="inlineStr">
        <is>
          <t>26/03/2026</t>
        </is>
      </c>
      <c r="J2265" t="inlineStr">
        <is>
          <t>17/03/2026</t>
        </is>
      </c>
      <c r="K2265" t="inlineStr">
        <is>
          <t>N/A</t>
        </is>
      </c>
      <c r="L2265" t="inlineStr">
        <is>
          <t>Analytical Skills, Attention To Detail, English Fluency, Global Logistics, Logistics Management</t>
        </is>
      </c>
      <c r="M2265" t="inlineStr">
        <is>
          <t>Healthcare Plan, Paid Leave, Training, Others</t>
        </is>
      </c>
      <c r="N2265" s="8">
        <f>HYPERLINK("https://www.vietnamworks.com/shipping-coordinator-2013077-jv","Xem chi tiết")</f>
        <v/>
      </c>
    </row>
    <row r="2266">
      <c r="B2266" s="9" t="n">
        <v>2264</v>
      </c>
      <c r="C2266" s="10" t="inlineStr">
        <is>
          <t>Performance Marketing Specialist (HCMC)</t>
        </is>
      </c>
      <c r="D2266" s="10" t="inlineStr">
        <is>
          <t>Công Ty TNHH Cuckoovina</t>
        </is>
      </c>
      <c r="E2266" s="10" t="inlineStr">
        <is>
          <t>18tr-22tr ₫/tháng</t>
        </is>
      </c>
      <c r="F2266" s="10" t="inlineStr">
        <is>
          <t>Hồ Chí Minh</t>
        </is>
      </c>
      <c r="G2266" s="10" t="inlineStr">
        <is>
          <t>Nhân viên</t>
        </is>
      </c>
      <c r="H2266" s="10" t="inlineStr">
        <is>
          <t>24/02/2026</t>
        </is>
      </c>
      <c r="I2266" s="10" t="inlineStr">
        <is>
          <t>26/03/2026</t>
        </is>
      </c>
      <c r="J2266" s="10" t="inlineStr">
        <is>
          <t>17/03/2026</t>
        </is>
      </c>
      <c r="K2266" s="10" t="inlineStr">
        <is>
          <t>N/A</t>
        </is>
      </c>
      <c r="L2266" s="10" t="inlineStr">
        <is>
          <t>Digital Marketing, Data Analysis, Campaign Management, Market Research, Analytical Thinking</t>
        </is>
      </c>
      <c r="M2266" s="10" t="inlineStr">
        <is>
          <t>Healthcare Plan, Team Activities, Others</t>
        </is>
      </c>
      <c r="N2266" s="11">
        <f>HYPERLINK("https://www.vietnamworks.com/performance-marketing-specialist-hcmc-2013080-jv","Xem chi tiết")</f>
        <v/>
      </c>
      <c r="O2266" s="10" t="n"/>
    </row>
    <row r="2267">
      <c r="B2267" s="7" t="n">
        <v>2265</v>
      </c>
      <c r="C2267" t="inlineStr">
        <is>
          <t>Giáo Viên Mầm Non Song Ngữ | Vietnamese Preschool Teacher</t>
        </is>
      </c>
      <c r="D2267" t="inlineStr">
        <is>
          <t>CÔNG TY TNHH GIÁO DỤC E-MAISON VIỆT NAM</t>
        </is>
      </c>
      <c r="E2267" t="inlineStr">
        <is>
          <t>Thương lượng</t>
        </is>
      </c>
      <c r="F2267" t="inlineStr">
        <is>
          <t>Hồ Chí Minh</t>
        </is>
      </c>
      <c r="G2267" t="inlineStr">
        <is>
          <t>Nhân viên</t>
        </is>
      </c>
      <c r="H2267" t="inlineStr">
        <is>
          <t>24/02/2026</t>
        </is>
      </c>
      <c r="I2267" t="inlineStr">
        <is>
          <t>26/03/2026</t>
        </is>
      </c>
      <c r="J2267" t="inlineStr">
        <is>
          <t>17/03/2026</t>
        </is>
      </c>
      <c r="K2267" t="inlineStr">
        <is>
          <t>N/A</t>
        </is>
      </c>
      <c r="L2267" t="inlineStr">
        <is>
          <t>Giáo Dục Mầm Non, Sư Phạm Mầm Non, Teaching Students, Giảng Dạy Mầm Non, Trông Trẻ</t>
        </is>
      </c>
      <c r="M2267" t="inlineStr">
        <is>
          <t>Bonus, Training, Team Activities</t>
        </is>
      </c>
      <c r="N2267" s="8">
        <f>HYPERLINK("https://www.vietnamworks.com/giao-vien-mam-non-song-ngu-vietnamese-preschool-teacher-2013058-jv","Xem chi tiết")</f>
        <v/>
      </c>
    </row>
    <row r="2268">
      <c r="B2268" s="9" t="n">
        <v>2266</v>
      </c>
      <c r="C2268" s="10" t="inlineStr">
        <is>
          <t>Digital Marketing Executive</t>
        </is>
      </c>
      <c r="D2268" s="10" t="inlineStr">
        <is>
          <t>Cubes Asia Co., Ltd.</t>
        </is>
      </c>
      <c r="E2268" s="10" t="inlineStr">
        <is>
          <t>Tới $ 600 /tháng</t>
        </is>
      </c>
      <c r="F2268" s="10" t="inlineStr">
        <is>
          <t>Hồ Chí Minh</t>
        </is>
      </c>
      <c r="G2268" s="10" t="inlineStr">
        <is>
          <t>Nhân viên</t>
        </is>
      </c>
      <c r="H2268" s="10" t="inlineStr">
        <is>
          <t>24/02/2026</t>
        </is>
      </c>
      <c r="I2268" s="10" t="inlineStr">
        <is>
          <t>26/03/2026</t>
        </is>
      </c>
      <c r="J2268" s="10" t="inlineStr">
        <is>
          <t>17/03/2026</t>
        </is>
      </c>
      <c r="K2268" s="10" t="inlineStr">
        <is>
          <t>N/A</t>
        </is>
      </c>
      <c r="L2268" s="10" t="inlineStr">
        <is>
          <t>Store Management, Retail Management, Retail Management Programs, Customer-Focus Mindset, Sales experience</t>
        </is>
      </c>
      <c r="M2268" s="10" t="inlineStr">
        <is>
          <t>Bonus, Healthcare Plan, Travel Opportunities</t>
        </is>
      </c>
      <c r="N2268" s="11">
        <f>HYPERLINK("https://www.vietnamworks.com/digital-marketing-executive--2013074-jv","Xem chi tiết")</f>
        <v/>
      </c>
      <c r="O2268" s="10" t="n"/>
    </row>
    <row r="2269">
      <c r="B2269" s="7" t="n">
        <v>2267</v>
      </c>
      <c r="C2269" t="inlineStr">
        <is>
          <t>Kế Toán Trưởng</t>
        </is>
      </c>
      <c r="D2269" t="inlineStr">
        <is>
          <t>Chi Nhánh Công Ty TNHH Quốc Tế Vũ Gia Tại Hà Nam</t>
        </is>
      </c>
      <c r="E2269" t="inlineStr">
        <is>
          <t>Thương lượng</t>
        </is>
      </c>
      <c r="F2269" t="inlineStr">
        <is>
          <t>Hà Nam</t>
        </is>
      </c>
      <c r="G2269" t="inlineStr">
        <is>
          <t>Trưởng phòng</t>
        </is>
      </c>
      <c r="H2269" t="inlineStr">
        <is>
          <t>24/02/2026</t>
        </is>
      </c>
      <c r="I2269" t="inlineStr">
        <is>
          <t>26/03/2026</t>
        </is>
      </c>
      <c r="J2269" t="inlineStr">
        <is>
          <t>17/03/2026</t>
        </is>
      </c>
      <c r="K2269" t="inlineStr">
        <is>
          <t>N/A</t>
        </is>
      </c>
      <c r="L2269" t="inlineStr">
        <is>
          <t>Kế Toán Sản Xuất, Phân Tích Tài Chính, Kiểm Soát Chi Phí, Kiểm Soát Tồn Kho, Quyết Toán Thuế</t>
        </is>
      </c>
      <c r="M2269" t="inlineStr">
        <is>
          <t>Bonus, Healthcare Plan, Paid Leave</t>
        </is>
      </c>
      <c r="N2269" s="8">
        <f>HYPERLINK("https://www.vietnamworks.com/ke-toan-truong-2013070-jv","Xem chi tiết")</f>
        <v/>
      </c>
    </row>
    <row r="2270">
      <c r="B2270" s="9" t="n">
        <v>2268</v>
      </c>
      <c r="C2270" s="10" t="inlineStr">
        <is>
          <t>[Hot] Trợ Lý Ban Giám Đốc (Thu Nhập Hấp Dẫn, Môi Trường Trẻ Trung, Quốc Tế &amp; Chuyên Nghiệp)</t>
        </is>
      </c>
      <c r="D2270" s="10" t="inlineStr">
        <is>
          <t>Công ty Cổ phần Đầu tư và Phát triển Bắc Sơn</t>
        </is>
      </c>
      <c r="E2270" s="10" t="inlineStr">
        <is>
          <t>$$ 500-1,000 /tháng</t>
        </is>
      </c>
      <c r="F2270" s="10" t="inlineStr">
        <is>
          <t>Hà Nội</t>
        </is>
      </c>
      <c r="G2270" s="10" t="inlineStr">
        <is>
          <t>Mới Tốt Nghiệp</t>
        </is>
      </c>
      <c r="H2270" s="10" t="inlineStr">
        <is>
          <t>24/02/2026</t>
        </is>
      </c>
      <c r="I2270" s="10" t="inlineStr">
        <is>
          <t>26/03/2026</t>
        </is>
      </c>
      <c r="J2270" s="10" t="inlineStr">
        <is>
          <t>17/03/2026</t>
        </is>
      </c>
      <c r="K2270" s="10" t="inlineStr">
        <is>
          <t>N/A</t>
        </is>
      </c>
      <c r="L2270" s="10" t="inlineStr">
        <is>
          <t>Tiếng Anh, Trợ Lý, Trợ lý Giám Đốc, Hành Chính Thư Ký, Thư Ký</t>
        </is>
      </c>
      <c r="M2270" s="10" t="inlineStr">
        <is>
          <t>Bonus, Healthcare Plan, Team Activities</t>
        </is>
      </c>
      <c r="N2270" s="11">
        <f>HYPERLINK("https://www.vietnamworks.com/hot-tro-ly-ban-giam-doc-thu-nhap-hap-dan-moi-truong-tre-trung-quoc-te-chuyen-nghiep--2013071-jv","Xem chi tiết")</f>
        <v/>
      </c>
      <c r="O2270" s="10" t="n"/>
    </row>
    <row r="2271">
      <c r="B2271" s="7" t="n">
        <v>2269</v>
      </c>
      <c r="C2271" t="inlineStr">
        <is>
          <t>Manager/ Senior Manager, Agency Planning</t>
        </is>
      </c>
      <c r="D2271" t="inlineStr">
        <is>
          <t>CÔNG TY TNHH BẢO HIỂM SHINHAN LIFE VIỆT NAM</t>
        </is>
      </c>
      <c r="E2271" t="inlineStr">
        <is>
          <t>Thương lượng</t>
        </is>
      </c>
      <c r="F2271" t="inlineStr">
        <is>
          <t>Hồ Chí Minh</t>
        </is>
      </c>
      <c r="G2271" t="inlineStr">
        <is>
          <t>Trưởng phòng</t>
        </is>
      </c>
      <c r="H2271" t="inlineStr">
        <is>
          <t>24/02/2026</t>
        </is>
      </c>
      <c r="I2271" t="inlineStr">
        <is>
          <t>26/03/2026</t>
        </is>
      </c>
      <c r="J2271" t="inlineStr">
        <is>
          <t>17/03/2026</t>
        </is>
      </c>
      <c r="K2271" t="inlineStr">
        <is>
          <t>N/A</t>
        </is>
      </c>
      <c r="L2271" t="inlineStr">
        <is>
          <t>Leadership, Planning Management, Computer Science, Logical Analysis</t>
        </is>
      </c>
      <c r="M2271" t="inlineStr">
        <is>
          <t>Healthcare Plan</t>
        </is>
      </c>
      <c r="N2271" s="8">
        <f>HYPERLINK("https://www.vietnamworks.com/manager-senior-manager-agency-planning-2013076-jv","Xem chi tiết")</f>
        <v/>
      </c>
    </row>
    <row r="2272">
      <c r="B2272" s="9" t="n">
        <v>2270</v>
      </c>
      <c r="C2272" s="10" t="inlineStr">
        <is>
          <t>Nhân Viên Sales Logistics</t>
        </is>
      </c>
      <c r="D2272" s="10" t="inlineStr">
        <is>
          <t>Công ty TNHH MTV Logistics Viettel</t>
        </is>
      </c>
      <c r="E2272" s="10" t="inlineStr">
        <is>
          <t>Tới 30tr ₫/tháng</t>
        </is>
      </c>
      <c r="F2272" s="10" t="inlineStr">
        <is>
          <t>Hà Nội, Hồ Chí Minh, Đà Nẵng</t>
        </is>
      </c>
      <c r="G2272" s="10" t="inlineStr">
        <is>
          <t>Nhân viên</t>
        </is>
      </c>
      <c r="H2272" s="10" t="inlineStr">
        <is>
          <t>24/02/2026</t>
        </is>
      </c>
      <c r="I2272" s="10" t="inlineStr">
        <is>
          <t>26/03/2026</t>
        </is>
      </c>
      <c r="J2272" s="10" t="inlineStr">
        <is>
          <t>17/03/2026</t>
        </is>
      </c>
      <c r="K2272" s="10" t="inlineStr">
        <is>
          <t>N/A</t>
        </is>
      </c>
      <c r="L2272" s="10" t="inlineStr">
        <is>
          <t>Xuất Nhập Khẩu, Logistics Sales, Logistics, Kinh Doanh, Sales Logistics</t>
        </is>
      </c>
      <c r="M2272" s="10" t="inlineStr">
        <is>
          <t>Healthcare Plan, Training, Travel Opportunities</t>
        </is>
      </c>
      <c r="N2272" s="11">
        <f>HYPERLINK("https://www.vietnamworks.com/nhan-vien-sales-logistics--2013079-jv","Xem chi tiết")</f>
        <v/>
      </c>
      <c r="O2272" s="10" t="n"/>
    </row>
    <row r="2273">
      <c r="B2273" s="7" t="n">
        <v>2271</v>
      </c>
      <c r="C2273" t="inlineStr">
        <is>
          <t>IDD - BIM Manager</t>
        </is>
      </c>
      <c r="D2273" t="inlineStr">
        <is>
          <t>GS Engineering &amp; Construction</t>
        </is>
      </c>
      <c r="E2273" t="inlineStr">
        <is>
          <t>Thương lượng</t>
        </is>
      </c>
      <c r="F2273" t="inlineStr">
        <is>
          <t>Hồ Chí Minh</t>
        </is>
      </c>
      <c r="G2273" t="inlineStr">
        <is>
          <t>Trưởng phòng</t>
        </is>
      </c>
      <c r="H2273" t="inlineStr">
        <is>
          <t>24/02/2026</t>
        </is>
      </c>
      <c r="I2273" t="inlineStr">
        <is>
          <t>26/03/2026</t>
        </is>
      </c>
      <c r="J2273" t="inlineStr">
        <is>
          <t>17/03/2026</t>
        </is>
      </c>
      <c r="K2273" t="inlineStr">
        <is>
          <t>N/A</t>
        </is>
      </c>
      <c r="L2273" t="inlineStr">
        <is>
          <t>BIM, Digital Innovation, BIM management, Chuyển Đổi Số, Architect</t>
        </is>
      </c>
      <c r="M2273" t="inlineStr">
        <is>
          <t>Bonus, Laptop, Others</t>
        </is>
      </c>
      <c r="N2273" s="8">
        <f>HYPERLINK("https://www.vietnamworks.com/idd-bim-manager--2013067-jv","Xem chi tiết")</f>
        <v/>
      </c>
    </row>
    <row r="2274">
      <c r="B2274" s="9" t="n">
        <v>2272</v>
      </c>
      <c r="C2274" s="10" t="inlineStr">
        <is>
          <t>CSR Manager (Environment, Health &amp; Safety Focus - Northern)</t>
        </is>
      </c>
      <c r="D2274" s="10" t="inlineStr">
        <is>
          <t>Metasource</t>
        </is>
      </c>
      <c r="E2274" s="10" t="inlineStr">
        <is>
          <t>Thương lượng</t>
        </is>
      </c>
      <c r="F2274" s="10" t="inlineStr">
        <is>
          <t>Hà Nội</t>
        </is>
      </c>
      <c r="G2274" s="10" t="inlineStr">
        <is>
          <t>Trưởng phòng</t>
        </is>
      </c>
      <c r="H2274" s="10" t="inlineStr">
        <is>
          <t>24/02/2026</t>
        </is>
      </c>
      <c r="I2274" s="10" t="inlineStr">
        <is>
          <t>26/03/2026</t>
        </is>
      </c>
      <c r="J2274" s="10" t="inlineStr">
        <is>
          <t>17/03/2026</t>
        </is>
      </c>
      <c r="K2274" s="10" t="inlineStr">
        <is>
          <t>N/A</t>
        </is>
      </c>
      <c r="L2274" s="10" t="inlineStr">
        <is>
          <t>Communication CSR Branding, EHS Management, Product Compliance, Risk Assessment, Stakeholder Management</t>
        </is>
      </c>
      <c r="M2274" s="10" t="inlineStr">
        <is>
          <t>Healthcare Plan, Paid Leave, Training, Others</t>
        </is>
      </c>
      <c r="N2274" s="11">
        <f>HYPERLINK("https://www.vietnamworks.com/csr-manager-environment-health-and-safety-focus-northern-2013068-jv","Xem chi tiết")</f>
        <v/>
      </c>
      <c r="O2274" s="10" t="n"/>
    </row>
    <row r="2275">
      <c r="B2275" s="7" t="n">
        <v>2273</v>
      </c>
      <c r="C2275" t="inlineStr">
        <is>
          <t>Production Planner (Nhà Máy Hà Nam/Ninh Bình)</t>
        </is>
      </c>
      <c r="D2275" t="inlineStr">
        <is>
          <t>PepsiCo Foods Vietnam Company</t>
        </is>
      </c>
      <c r="E2275" t="inlineStr">
        <is>
          <t>Thương lượng</t>
        </is>
      </c>
      <c r="F2275" t="inlineStr">
        <is>
          <t>Ninh Bình, Hà Nội, Hưng Yên</t>
        </is>
      </c>
      <c r="G2275" t="inlineStr">
        <is>
          <t>Nhân viên</t>
        </is>
      </c>
      <c r="H2275" t="inlineStr">
        <is>
          <t>24/02/2026</t>
        </is>
      </c>
      <c r="I2275" t="inlineStr">
        <is>
          <t>26/03/2026</t>
        </is>
      </c>
      <c r="J2275" t="inlineStr">
        <is>
          <t>17/03/2026</t>
        </is>
      </c>
      <c r="K2275" t="inlineStr">
        <is>
          <t>N/A</t>
        </is>
      </c>
      <c r="L2275" t="inlineStr">
        <is>
          <t>Cải Tiến Dây Chuyền Sản Xuất, Kế Hoạch Sản Xuất</t>
        </is>
      </c>
      <c r="M2275" t="inlineStr">
        <is>
          <t>Bonus, Others</t>
        </is>
      </c>
      <c r="N2275" s="8">
        <f>HYPERLINK("https://www.vietnamworks.com/production-planner-nha-may-ha-namninh-binh-2013050-jv","Xem chi tiết")</f>
        <v/>
      </c>
    </row>
    <row r="2276">
      <c r="B2276" s="9" t="n">
        <v>2274</v>
      </c>
      <c r="C2276" s="10" t="inlineStr">
        <is>
          <t>Trưởng Nhóm Phát Triển Kinh Doanh - Dự Án Travel App - Ngân Hàng Số</t>
        </is>
      </c>
      <c r="D2276" s="10" t="inlineStr">
        <is>
          <t>Ngân Hàng TMCP Đại Chúng Việt Nam</t>
        </is>
      </c>
      <c r="E2276" s="10" t="inlineStr">
        <is>
          <t>Thương lượng</t>
        </is>
      </c>
      <c r="F2276" s="10" t="inlineStr">
        <is>
          <t>Hà Nội</t>
        </is>
      </c>
      <c r="G2276" s="10" t="inlineStr">
        <is>
          <t>Nhân viên</t>
        </is>
      </c>
      <c r="H2276" s="10" t="inlineStr">
        <is>
          <t>24/02/2026</t>
        </is>
      </c>
      <c r="I2276" s="10" t="inlineStr">
        <is>
          <t>26/03/2026</t>
        </is>
      </c>
      <c r="J2276" s="10" t="inlineStr">
        <is>
          <t>17/03/2026</t>
        </is>
      </c>
      <c r="K2276" s="10" t="inlineStr">
        <is>
          <t>N/A</t>
        </is>
      </c>
      <c r="L2276" s="10" t="inlineStr">
        <is>
          <t>Tài Chính Ngân Hàng, Fintech, Tài Chính, Dịch Vụ Ngân Hàng Điện Tử, Phát Triển Đối Tác</t>
        </is>
      </c>
      <c r="M2276" s="10" t="inlineStr">
        <is>
          <t>Bonus</t>
        </is>
      </c>
      <c r="N2276" s="11">
        <f>HYPERLINK("https://www.vietnamworks.com/truong-nhom-phat-trien-kinh-doanh-du-an-travel-app-ngan-hang-so-2013056-jv","Xem chi tiết")</f>
        <v/>
      </c>
      <c r="O2276" s="10" t="n"/>
    </row>
    <row r="2277">
      <c r="B2277" s="7" t="n">
        <v>2275</v>
      </c>
      <c r="C2277" t="inlineStr">
        <is>
          <t>Leasing Planning Executive (Hanoi Head Office - 587)</t>
        </is>
      </c>
      <c r="D2277" t="inlineStr">
        <is>
          <t>AEONMALL Vietnam Co., Ltd.</t>
        </is>
      </c>
      <c r="E2277" t="inlineStr">
        <is>
          <t>$$ 550-800 /tháng</t>
        </is>
      </c>
      <c r="F2277" t="inlineStr">
        <is>
          <t>Hà Nội</t>
        </is>
      </c>
      <c r="G2277" t="inlineStr">
        <is>
          <t>Nhân viên</t>
        </is>
      </c>
      <c r="H2277" t="inlineStr">
        <is>
          <t>24/02/2026</t>
        </is>
      </c>
      <c r="I2277" t="inlineStr">
        <is>
          <t>26/03/2026</t>
        </is>
      </c>
      <c r="J2277" t="inlineStr">
        <is>
          <t>17/03/2026</t>
        </is>
      </c>
      <c r="K2277" t="inlineStr">
        <is>
          <t>N/A</t>
        </is>
      </c>
      <c r="L2277" t="inlineStr">
        <is>
          <t>Real Estate, Data Analysis, Presentation Skills, Market Research, Critical Thinking</t>
        </is>
      </c>
      <c r="M2277" t="inlineStr">
        <is>
          <t>Healthcare Plan, Training, Others</t>
        </is>
      </c>
      <c r="N2277" s="8">
        <f>HYPERLINK("https://www.vietnamworks.com/leasing-planning-executive-hanoi-head-office-587-2013065-jv","Xem chi tiết")</f>
        <v/>
      </c>
    </row>
    <row r="2278">
      <c r="B2278" s="9" t="n">
        <v>2276</v>
      </c>
      <c r="C2278" s="10" t="inlineStr">
        <is>
          <t>Store Manager/ Quản Lý Cửa Hàng</t>
        </is>
      </c>
      <c r="D2278" s="10" t="inlineStr">
        <is>
          <t>Công Ty TNHH HLA Garment (Việt Nam)</t>
        </is>
      </c>
      <c r="E2278" s="10" t="inlineStr">
        <is>
          <t>18tr-25tr ₫/tháng</t>
        </is>
      </c>
      <c r="F2278" s="10" t="inlineStr">
        <is>
          <t>Hà Nội</t>
        </is>
      </c>
      <c r="G2278" s="10" t="inlineStr">
        <is>
          <t>Nhân viên</t>
        </is>
      </c>
      <c r="H2278" s="10" t="inlineStr">
        <is>
          <t>24/02/2026</t>
        </is>
      </c>
      <c r="I2278" s="10" t="inlineStr">
        <is>
          <t>26/03/2026</t>
        </is>
      </c>
      <c r="J2278" s="10" t="inlineStr">
        <is>
          <t>17/03/2026</t>
        </is>
      </c>
      <c r="K2278" s="10" t="inlineStr">
        <is>
          <t>N/A</t>
        </is>
      </c>
      <c r="L2278" s="10" t="inlineStr">
        <is>
          <t>Customer Support, English, Fashion Retail, Retail Store Operations, Complaint Handling</t>
        </is>
      </c>
      <c r="M2278" s="10" t="inlineStr">
        <is>
          <t>Bonus, Healthcare Plan, Paid Leave</t>
        </is>
      </c>
      <c r="N2278" s="11">
        <f>HYPERLINK("https://www.vietnamworks.com/store-manager-quan-ly-cua-hang-2013054-jv","Xem chi tiết")</f>
        <v/>
      </c>
      <c r="O2278" s="10" t="n"/>
    </row>
    <row r="2279">
      <c r="B2279" s="7" t="n">
        <v>2277</v>
      </c>
      <c r="C2279" t="inlineStr">
        <is>
          <t>Key Account Executive Hyper Channel (HCMC)</t>
        </is>
      </c>
      <c r="D2279" t="inlineStr">
        <is>
          <t>Công Ty TNHH Cuckoovina</t>
        </is>
      </c>
      <c r="E2279" t="inlineStr">
        <is>
          <t>Thương lượng</t>
        </is>
      </c>
      <c r="F2279" t="inlineStr">
        <is>
          <t>Hồ Chí Minh</t>
        </is>
      </c>
      <c r="G2279" t="inlineStr">
        <is>
          <t>Nhân viên</t>
        </is>
      </c>
      <c r="H2279" t="inlineStr">
        <is>
          <t>24/02/2026</t>
        </is>
      </c>
      <c r="I2279" t="inlineStr">
        <is>
          <t>26/03/2026</t>
        </is>
      </c>
      <c r="J2279" t="inlineStr">
        <is>
          <t>17/03/2026</t>
        </is>
      </c>
      <c r="K2279" t="inlineStr">
        <is>
          <t>N/A</t>
        </is>
      </c>
      <c r="L2279" t="inlineStr">
        <is>
          <t>Key Account Management, Sales Strategy, Negotiation Skills, Analytical Skills, Relationship Management</t>
        </is>
      </c>
      <c r="M2279" t="inlineStr">
        <is>
          <t>Healthcare Plan, Team Activities, Others</t>
        </is>
      </c>
      <c r="N2279" s="8">
        <f>HYPERLINK("https://www.vietnamworks.com/key-account-executive-hyper-channel-hcmc-2013069-jv","Xem chi tiết")</f>
        <v/>
      </c>
    </row>
    <row r="2280">
      <c r="B2280" s="9" t="n">
        <v>2278</v>
      </c>
      <c r="C2280" s="10" t="inlineStr">
        <is>
          <t>Purchasing Specialist-Chuyên Viên Thu Mua</t>
        </is>
      </c>
      <c r="D2280" s="10" t="inlineStr">
        <is>
          <t>Quickpack Vietnam Co.ltd</t>
        </is>
      </c>
      <c r="E2280" s="10" t="inlineStr">
        <is>
          <t>$$ 500-1,000 /tháng</t>
        </is>
      </c>
      <c r="F2280" s="10" t="inlineStr">
        <is>
          <t>Tây Ninh</t>
        </is>
      </c>
      <c r="G2280" s="10" t="inlineStr">
        <is>
          <t>Nhân viên</t>
        </is>
      </c>
      <c r="H2280" s="10" t="inlineStr">
        <is>
          <t>24/02/2026</t>
        </is>
      </c>
      <c r="I2280" s="10" t="inlineStr">
        <is>
          <t>26/03/2026</t>
        </is>
      </c>
      <c r="J2280" s="10" t="inlineStr">
        <is>
          <t>17/03/2026</t>
        </is>
      </c>
      <c r="K2280" s="10" t="inlineStr">
        <is>
          <t>N/A</t>
        </is>
      </c>
      <c r="L2280" s="10" t="inlineStr">
        <is>
          <t>Purchase Management, Mua Hàng</t>
        </is>
      </c>
      <c r="M2280" s="10" t="inlineStr">
        <is>
          <t>Bonus, Travel Opportunities, Transportation</t>
        </is>
      </c>
      <c r="N2280" s="11">
        <f>HYPERLINK("https://www.vietnamworks.com/purchasing-specialist-chuyen-vien-thu-mua-2013081-jv","Xem chi tiết")</f>
        <v/>
      </c>
      <c r="O2280" s="10" t="n"/>
    </row>
    <row r="2281">
      <c r="B2281" s="7" t="n">
        <v>2279</v>
      </c>
      <c r="C2281" t="inlineStr">
        <is>
          <t>Nhân Viên Quản Lý Nhà Cung Cấp Linh Kiện (Nam)</t>
        </is>
      </c>
      <c r="D2281" t="inlineStr">
        <is>
          <t>Công ty TNHH Hamaden Việt Nam</t>
        </is>
      </c>
      <c r="E2281" t="inlineStr">
        <is>
          <t>Thương lượng</t>
        </is>
      </c>
      <c r="F2281" t="inlineStr">
        <is>
          <t>Hưng Yên, Hải Dương, Hà Nội</t>
        </is>
      </c>
      <c r="G2281" t="inlineStr">
        <is>
          <t>Nhân viên</t>
        </is>
      </c>
      <c r="H2281" t="inlineStr">
        <is>
          <t>24/02/2026</t>
        </is>
      </c>
      <c r="I2281" t="inlineStr">
        <is>
          <t>26/03/2026</t>
        </is>
      </c>
      <c r="J2281" t="inlineStr">
        <is>
          <t>17/03/2026</t>
        </is>
      </c>
      <c r="K2281" t="inlineStr">
        <is>
          <t>N/A</t>
        </is>
      </c>
      <c r="L2281" t="inlineStr">
        <is>
          <t>Tiếng Nhật N3, Kỹ Thuật Linh Kiện, Đảm Bảo Chất Lượng, Xử lý lỗi phát sinh, chế tạo cơ khí</t>
        </is>
      </c>
      <c r="M2281" t="inlineStr">
        <is>
          <t>Bonus, Healthcare Plan, Transportation</t>
        </is>
      </c>
      <c r="N2281" s="8">
        <f>HYPERLINK("https://www.vietnamworks.com/nhan-vien-quan-ly-nha-cung-cap-linh-kien-nam--2013090-jv","Xem chi tiết")</f>
        <v/>
      </c>
    </row>
    <row r="2282">
      <c r="B2282" s="9" t="n">
        <v>2280</v>
      </c>
      <c r="C2282" s="10" t="inlineStr">
        <is>
          <t>Chuyên Viên Tài Chính (Thu Xếp Vốn &amp; Quan Hệ Tín Dụng)</t>
        </is>
      </c>
      <c r="D2282" s="10" t="inlineStr">
        <is>
          <t>VSD Holdings</t>
        </is>
      </c>
      <c r="E2282" s="10" t="inlineStr">
        <is>
          <t>Thương lượng</t>
        </is>
      </c>
      <c r="F2282" s="10" t="inlineStr">
        <is>
          <t>Hà Nội</t>
        </is>
      </c>
      <c r="G2282" s="10" t="inlineStr">
        <is>
          <t>Nhân viên</t>
        </is>
      </c>
      <c r="H2282" s="10" t="inlineStr">
        <is>
          <t>24/02/2026</t>
        </is>
      </c>
      <c r="I2282" s="10" t="inlineStr">
        <is>
          <t>26/03/2026</t>
        </is>
      </c>
      <c r="J2282" s="10" t="inlineStr">
        <is>
          <t>17/03/2026</t>
        </is>
      </c>
      <c r="K2282" s="10" t="inlineStr">
        <is>
          <t>N/A</t>
        </is>
      </c>
      <c r="L2282" s="10" t="inlineStr">
        <is>
          <t>Tài Chính Doanh Nghiệp, MS Excel, Phân Tích Đầu Tư, Quản Lý Hợp Đồng, Thẩm Định Tài Chính</t>
        </is>
      </c>
      <c r="M2282" s="10" t="inlineStr">
        <is>
          <t>Bonus, Healthcare Plan, Team Activities</t>
        </is>
      </c>
      <c r="N2282" s="11">
        <f>HYPERLINK("https://www.vietnamworks.com/chuyen-vien-tai-chinh-thu-xep-von-and-quan-he-tin-dung-2013084-jv","Xem chi tiết")</f>
        <v/>
      </c>
      <c r="O2282" s="10" t="n"/>
    </row>
    <row r="2283">
      <c r="B2283" s="7" t="n">
        <v>2281</v>
      </c>
      <c r="C2283" t="inlineStr">
        <is>
          <t>Hành Chính - Nhân Sự</t>
        </is>
      </c>
      <c r="D2283" t="inlineStr">
        <is>
          <t>CÔNG TY TNHH CÔNG NGHIỆP YIHUA</t>
        </is>
      </c>
      <c r="E2283" t="inlineStr">
        <is>
          <t>Thương lượng</t>
        </is>
      </c>
      <c r="F2283" t="inlineStr">
        <is>
          <t>Hưng Yên</t>
        </is>
      </c>
      <c r="G2283" t="inlineStr">
        <is>
          <t>Nhân viên</t>
        </is>
      </c>
      <c r="H2283" t="inlineStr">
        <is>
          <t>24/02/2026</t>
        </is>
      </c>
      <c r="I2283" t="inlineStr">
        <is>
          <t>26/03/2026</t>
        </is>
      </c>
      <c r="J2283" t="inlineStr">
        <is>
          <t>17/03/2026</t>
        </is>
      </c>
      <c r="K2283" t="inlineStr">
        <is>
          <t>N/A</t>
        </is>
      </c>
      <c r="L2283" t="inlineStr">
        <is>
          <t>Bảo Hiểm Xã Hội, Quan Hệ Lao Động, Quản Lý Hiệu Suất, Tuyển Dụng, Xử Lý Khiếu Nại</t>
        </is>
      </c>
      <c r="M2283" t="inlineStr">
        <is>
          <t>Bonus, Healthcare Plan, Training, Others</t>
        </is>
      </c>
      <c r="N2283" s="8">
        <f>HYPERLINK("https://www.vietnamworks.com/hanh-chinh-nhan-su-2013086-jv","Xem chi tiết")</f>
        <v/>
      </c>
    </row>
    <row r="2284">
      <c r="B2284" s="9" t="n">
        <v>2282</v>
      </c>
      <c r="C2284" s="10" t="inlineStr">
        <is>
          <t>Trình Dược Viên ETC (Tuyển Gấp) - Toàn Quốc</t>
        </is>
      </c>
      <c r="D2284" s="10" t="inlineStr">
        <is>
          <t>Công Ty Cổ Phần Dược Phẩm Namex</t>
        </is>
      </c>
      <c r="E2284" s="10" t="inlineStr">
        <is>
          <t>1,500-2,000 ₫/tháng</t>
        </is>
      </c>
      <c r="F2284" s="10" t="inlineStr">
        <is>
          <t>Hà Nội, Long An, Đà Nẵng</t>
        </is>
      </c>
      <c r="G2284" s="10" t="inlineStr">
        <is>
          <t>Mới Tốt Nghiệp</t>
        </is>
      </c>
      <c r="H2284" s="10" t="inlineStr">
        <is>
          <t>24/02/2026</t>
        </is>
      </c>
      <c r="I2284" s="10" t="inlineStr">
        <is>
          <t>26/03/2026</t>
        </is>
      </c>
      <c r="J2284" s="10" t="inlineStr">
        <is>
          <t>17/03/2026</t>
        </is>
      </c>
      <c r="K2284" s="10" t="inlineStr">
        <is>
          <t>N/A</t>
        </is>
      </c>
      <c r="L2284" s="10" t="inlineStr">
        <is>
          <t>Chăm Sóc Khách Hàng, Phát Triển Thị Trường, ETC, Kinh Doanh, Xây Dựng Hình Ảnh</t>
        </is>
      </c>
      <c r="M2284" s="10" t="inlineStr">
        <is>
          <t>Bonus, Training, Team Activities</t>
        </is>
      </c>
      <c r="N2284" s="11">
        <f>HYPERLINK("https://www.vietnamworks.com/trinh-duoc-vien-etc-tuyen-gap-toan-quoc-2013096-jv","Xem chi tiết")</f>
        <v/>
      </c>
      <c r="O2284" s="10" t="n"/>
    </row>
    <row r="2285">
      <c r="B2285" s="7" t="n">
        <v>2283</v>
      </c>
      <c r="C2285" t="inlineStr">
        <is>
          <t>Senior Marketing Communication Specialist</t>
        </is>
      </c>
      <c r="D2285" t="inlineStr">
        <is>
          <t>Navigos Group</t>
        </is>
      </c>
      <c r="E2285" t="inlineStr">
        <is>
          <t>20tr-22tr ₫/tháng</t>
        </is>
      </c>
      <c r="F2285" t="inlineStr">
        <is>
          <t>Hồ Chí Minh</t>
        </is>
      </c>
      <c r="G2285" t="inlineStr">
        <is>
          <t>Nhân viên</t>
        </is>
      </c>
      <c r="H2285" t="inlineStr">
        <is>
          <t>24/02/2026</t>
        </is>
      </c>
      <c r="I2285" t="inlineStr">
        <is>
          <t>26/03/2026</t>
        </is>
      </c>
      <c r="J2285" t="inlineStr">
        <is>
          <t>17/03/2026</t>
        </is>
      </c>
      <c r="K2285" t="inlineStr">
        <is>
          <t>N/A</t>
        </is>
      </c>
      <c r="L2285" t="inlineStr">
        <is>
          <t>Content creation, Content Writing, Project Management</t>
        </is>
      </c>
      <c r="M2285" t="inlineStr">
        <is>
          <t>Healthcare Plan, Paid Leave</t>
        </is>
      </c>
      <c r="N2285" s="8">
        <f>HYPERLINK("https://www.vietnamworks.com/senior-marketing-communication-specialist-2013091-jv","Xem chi tiết")</f>
        <v/>
      </c>
    </row>
    <row r="2286">
      <c r="B2286" s="9" t="n">
        <v>2284</v>
      </c>
      <c r="C2286" s="10" t="inlineStr">
        <is>
          <t>Technical Sales Specialist</t>
        </is>
      </c>
      <c r="D2286" s="10" t="inlineStr">
        <is>
          <t>HYUNDAI HT VINA</t>
        </is>
      </c>
      <c r="E2286" s="10" t="inlineStr">
        <is>
          <t>$$ 500-1,000 /tháng</t>
        </is>
      </c>
      <c r="F2286" s="10" t="inlineStr">
        <is>
          <t>Hồ Chí Minh</t>
        </is>
      </c>
      <c r="G2286" s="10" t="inlineStr">
        <is>
          <t>Mới Tốt Nghiệp</t>
        </is>
      </c>
      <c r="H2286" s="10" t="inlineStr">
        <is>
          <t>24/02/2026</t>
        </is>
      </c>
      <c r="I2286" s="10" t="inlineStr">
        <is>
          <t>26/03/2026</t>
        </is>
      </c>
      <c r="J2286" s="10" t="inlineStr">
        <is>
          <t>17/03/2026</t>
        </is>
      </c>
      <c r="K2286" s="10" t="inlineStr">
        <is>
          <t>N/A</t>
        </is>
      </c>
      <c r="L2286" s="10" t="inlineStr">
        <is>
          <t>Communication Skills, Electrical Systems, Technical Documentation, Technical Sales Support, English/Vietnamese Communication</t>
        </is>
      </c>
      <c r="M2286" s="10" t="inlineStr">
        <is>
          <t>Bonus, Healthcare Plan, Paid Leave, Training, Others</t>
        </is>
      </c>
      <c r="N2286" s="11">
        <f>HYPERLINK("https://www.vietnamworks.com/technical-sales-specialist-2013085-jv","Xem chi tiết")</f>
        <v/>
      </c>
      <c r="O2286" s="10" t="n"/>
    </row>
    <row r="2287">
      <c r="B2287" s="7" t="n">
        <v>2285</v>
      </c>
      <c r="C2287" t="inlineStr">
        <is>
          <t>Nhân Viên Kinh Doanh Khối Khách Hàng Cá Nhân - Hà Nội</t>
        </is>
      </c>
      <c r="D2287" t="inlineStr">
        <is>
          <t>HSBC Vietnam</t>
        </is>
      </c>
      <c r="E2287" t="inlineStr">
        <is>
          <t>Thương lượng</t>
        </is>
      </c>
      <c r="F2287" t="inlineStr">
        <is>
          <t>Hà Nội</t>
        </is>
      </c>
      <c r="G2287" t="inlineStr">
        <is>
          <t>Nhân viên</t>
        </is>
      </c>
      <c r="H2287" t="inlineStr">
        <is>
          <t>24/02/2026</t>
        </is>
      </c>
      <c r="I2287" t="inlineStr">
        <is>
          <t>26/03/2026</t>
        </is>
      </c>
      <c r="J2287" t="inlineStr">
        <is>
          <t>17/03/2026</t>
        </is>
      </c>
      <c r="K2287" t="inlineStr">
        <is>
          <t>N/A</t>
        </is>
      </c>
      <c r="L2287" t="inlineStr">
        <is>
          <t>Direct Sales, Business Development, Banking, Sale</t>
        </is>
      </c>
      <c r="M2287" t="inlineStr">
        <is>
          <t>Bonus, Healthcare Plan, Awards</t>
        </is>
      </c>
      <c r="N2287" s="8">
        <f>HYPERLINK("https://www.vietnamworks.com/nhan-vien-kinh-doanh-khoi-khach-hang-ca-nhan-ha-noi--2013089-jv","Xem chi tiết")</f>
        <v/>
      </c>
    </row>
    <row r="2288">
      <c r="B2288" s="9" t="n">
        <v>2286</v>
      </c>
      <c r="C2288" s="10" t="inlineStr">
        <is>
          <t>UI UX Designer</t>
        </is>
      </c>
      <c r="D2288" s="10" t="inlineStr">
        <is>
          <t>Công Ty TNHH Musea Journey</t>
        </is>
      </c>
      <c r="E2288" s="10" t="inlineStr">
        <is>
          <t>$$ 1,500-1,700 /tháng</t>
        </is>
      </c>
      <c r="F2288" s="10" t="inlineStr">
        <is>
          <t>Hồ Chí Minh</t>
        </is>
      </c>
      <c r="G2288" s="10" t="inlineStr">
        <is>
          <t>Nhân viên</t>
        </is>
      </c>
      <c r="H2288" s="10" t="inlineStr">
        <is>
          <t>24/02/2026</t>
        </is>
      </c>
      <c r="I2288" s="10" t="inlineStr">
        <is>
          <t>26/03/2026</t>
        </is>
      </c>
      <c r="J2288" s="10" t="inlineStr">
        <is>
          <t>17/03/2026</t>
        </is>
      </c>
      <c r="K2288" s="10" t="inlineStr">
        <is>
          <t>N/A</t>
        </is>
      </c>
      <c r="L2288" s="10" t="inlineStr">
        <is>
          <t>UX Design, UI Design, Music, English, AI Agents</t>
        </is>
      </c>
      <c r="M2288" s="10" t="inlineStr">
        <is>
          <t>Bonus</t>
        </is>
      </c>
      <c r="N2288" s="11">
        <f>HYPERLINK("https://www.vietnamworks.com/ui-ux-designer--2013094-jv","Xem chi tiết")</f>
        <v/>
      </c>
      <c r="O2288" s="10" t="n"/>
    </row>
    <row r="2289">
      <c r="B2289" s="7" t="n">
        <v>2287</v>
      </c>
      <c r="C2289" t="inlineStr">
        <is>
          <t>Kỹ Sư Xây Dựng Làm Việc Tại Hà Nội (Thu Nhập Tới 20Tr/ Không Yêu Cầu Kinh Nghiệm)</t>
        </is>
      </c>
      <c r="D2289" t="inlineStr">
        <is>
          <t>Công ty CP Tư vấn và Dịch vụ Viettel</t>
        </is>
      </c>
      <c r="E2289" t="inlineStr">
        <is>
          <t>Tới 20tr ₫/tháng</t>
        </is>
      </c>
      <c r="F2289" t="inlineStr">
        <is>
          <t>Hà Nội</t>
        </is>
      </c>
      <c r="G2289" t="inlineStr">
        <is>
          <t>Mới Tốt Nghiệp</t>
        </is>
      </c>
      <c r="H2289" t="inlineStr">
        <is>
          <t>24/02/2026</t>
        </is>
      </c>
      <c r="I2289" t="inlineStr">
        <is>
          <t>26/03/2026</t>
        </is>
      </c>
      <c r="J2289" t="inlineStr">
        <is>
          <t>17/03/2026</t>
        </is>
      </c>
      <c r="K2289" t="inlineStr">
        <is>
          <t>N/A</t>
        </is>
      </c>
      <c r="L2289" t="inlineStr">
        <is>
          <t>Xây Dựng, Thi Công Xây Lắp, Nghiệm Thu Công Trình, Bóc Tách Khối Lượng, Autocad</t>
        </is>
      </c>
      <c r="M2289" t="inlineStr">
        <is>
          <t>Bonus, Healthcare Plan, Others</t>
        </is>
      </c>
      <c r="N2289" s="8">
        <f>HYPERLINK("https://www.vietnamworks.com/ky-su-xay-dung-lam-viec-tai-ha-noi-thu-nhap-toi-20tr-khong-yeu-cau-kinh-nghiem-2013100-jv","Xem chi tiết")</f>
        <v/>
      </c>
    </row>
    <row r="2290">
      <c r="B2290" s="9" t="n">
        <v>2288</v>
      </c>
      <c r="C2290" s="10" t="inlineStr">
        <is>
          <t>Quality Control Lead (Central Vietnam)</t>
        </is>
      </c>
      <c r="D2290" s="10" t="inlineStr">
        <is>
          <t>Metasource</t>
        </is>
      </c>
      <c r="E2290" s="10" t="inlineStr">
        <is>
          <t>Thương lượng</t>
        </is>
      </c>
      <c r="F2290" s="10" t="inlineStr">
        <is>
          <t>Ninh Thuận</t>
        </is>
      </c>
      <c r="G2290" s="10" t="inlineStr">
        <is>
          <t>Nhân viên</t>
        </is>
      </c>
      <c r="H2290" s="10" t="inlineStr">
        <is>
          <t>24/02/2026</t>
        </is>
      </c>
      <c r="I2290" s="10" t="inlineStr">
        <is>
          <t>26/03/2026</t>
        </is>
      </c>
      <c r="J2290" s="10" t="inlineStr">
        <is>
          <t>17/03/2026</t>
        </is>
      </c>
      <c r="K2290" s="10" t="inlineStr">
        <is>
          <t>N/A</t>
        </is>
      </c>
      <c r="L2290" s="10" t="inlineStr">
        <is>
          <t>Communication, Defect Analysis, Inspection, Quality Control, Team Management</t>
        </is>
      </c>
      <c r="M2290" s="10" t="inlineStr">
        <is>
          <t>Others</t>
        </is>
      </c>
      <c r="N2290" s="11">
        <f>HYPERLINK("https://www.vietnamworks.com/quality-control-lead-central-vietnam-2013095-jv","Xem chi tiết")</f>
        <v/>
      </c>
      <c r="O2290" s="10" t="n"/>
    </row>
    <row r="2291">
      <c r="B2291" s="7" t="n">
        <v>2289</v>
      </c>
      <c r="C2291" t="inlineStr">
        <is>
          <t>Affiliate Coordinator (VN/PH Based)</t>
        </is>
      </c>
      <c r="D2291" t="inlineStr">
        <is>
          <t>Metasource</t>
        </is>
      </c>
      <c r="E2291" t="inlineStr">
        <is>
          <t>20tr-20tr ₫/tháng</t>
        </is>
      </c>
      <c r="F2291" t="inlineStr">
        <is>
          <t>Hồ Chí Minh</t>
        </is>
      </c>
      <c r="G2291" t="inlineStr">
        <is>
          <t>Nhân viên</t>
        </is>
      </c>
      <c r="H2291" t="inlineStr">
        <is>
          <t>24/02/2026</t>
        </is>
      </c>
      <c r="I2291" t="inlineStr">
        <is>
          <t>26/03/2026</t>
        </is>
      </c>
      <c r="J2291" t="inlineStr">
        <is>
          <t>17/03/2026</t>
        </is>
      </c>
      <c r="K2291" t="inlineStr">
        <is>
          <t>N/A</t>
        </is>
      </c>
      <c r="L2291" t="inlineStr">
        <is>
          <t>Affiliate Networks, Data Analysis, Digital Marketing, Organizational skills, Performance Enhancement</t>
        </is>
      </c>
      <c r="M2291" t="inlineStr">
        <is>
          <t>Others</t>
        </is>
      </c>
      <c r="N2291" s="8">
        <f>HYPERLINK("https://www.vietnamworks.com/affiliate-coordinator-vnph-based-2013104-jv","Xem chi tiết")</f>
        <v/>
      </c>
    </row>
    <row r="2292">
      <c r="B2292" s="9" t="n">
        <v>2290</v>
      </c>
      <c r="C2292" s="10" t="inlineStr">
        <is>
          <t>Giám Đốc Marketing</t>
        </is>
      </c>
      <c r="D2292" s="10" t="inlineStr">
        <is>
          <t>Công Ty Cổ Phần Cơ Điện Trần Phú</t>
        </is>
      </c>
      <c r="E2292" s="10" t="inlineStr">
        <is>
          <t>Thương lượng</t>
        </is>
      </c>
      <c r="F2292" s="10" t="inlineStr">
        <is>
          <t>Hà Nội</t>
        </is>
      </c>
      <c r="G2292" s="10" t="inlineStr">
        <is>
          <t>Giám Đốc và Cấp Cao Hơn</t>
        </is>
      </c>
      <c r="H2292" s="10" t="inlineStr">
        <is>
          <t>24/02/2026</t>
        </is>
      </c>
      <c r="I2292" s="10" t="inlineStr">
        <is>
          <t>26/03/2026</t>
        </is>
      </c>
      <c r="J2292" s="10" t="inlineStr">
        <is>
          <t>17/03/2026</t>
        </is>
      </c>
      <c r="K2292" s="10" t="inlineStr">
        <is>
          <t>N/A</t>
        </is>
      </c>
      <c r="L2292" s="10" t="inlineStr">
        <is>
          <t>Phát Triển Sản Phẩm, Phát Triển Kinh Doanh, Nghiên Cứu Thị Trường, Digital Marketing, Branding</t>
        </is>
      </c>
      <c r="M2292" s="10" t="inlineStr">
        <is>
          <t>Bonus, Travel Opportunities, Canteen</t>
        </is>
      </c>
      <c r="N2292" s="11">
        <f>HYPERLINK("https://www.vietnamworks.com/giam-doc-marketing--2013101-jv","Xem chi tiết")</f>
        <v/>
      </c>
      <c r="O2292" s="10" t="n"/>
    </row>
    <row r="2293">
      <c r="B2293" s="7" t="n">
        <v>2291</v>
      </c>
      <c r="C2293" t="inlineStr">
        <is>
          <t>Chuyên Viên Pháp Chế</t>
        </is>
      </c>
      <c r="D2293" t="inlineStr">
        <is>
          <t>CÔNG TY TNHH ĐẦU TƯ VÀ XÂY DỰNG TNG</t>
        </is>
      </c>
      <c r="E2293" t="inlineStr">
        <is>
          <t>22tr-25tr ₫/tháng</t>
        </is>
      </c>
      <c r="F2293" t="inlineStr">
        <is>
          <t>Hà Nội</t>
        </is>
      </c>
      <c r="G2293" t="inlineStr">
        <is>
          <t>Nhân viên</t>
        </is>
      </c>
      <c r="H2293" t="inlineStr">
        <is>
          <t>24/02/2026</t>
        </is>
      </c>
      <c r="I2293" t="inlineStr">
        <is>
          <t>26/03/2026</t>
        </is>
      </c>
      <c r="J2293" t="inlineStr">
        <is>
          <t>17/03/2026</t>
        </is>
      </c>
      <c r="K2293" t="inlineStr">
        <is>
          <t>N/A</t>
        </is>
      </c>
      <c r="L2293" t="inlineStr">
        <is>
          <t>Giao Tiếp, Pháp Chế, Thẩm Định Hợp Đồng, Tin Học Văn Phòng, Xử Lý Tình Huống</t>
        </is>
      </c>
      <c r="M2293" t="inlineStr">
        <is>
          <t>Bonus, Healthcare Plan, Team Activities, Others</t>
        </is>
      </c>
      <c r="N2293" s="8">
        <f>HYPERLINK("https://www.vietnamworks.com/chuyen-vien-phap-che-2013093-jv","Xem chi tiết")</f>
        <v/>
      </c>
    </row>
    <row r="2294">
      <c r="B2294" s="9" t="n">
        <v>2292</v>
      </c>
      <c r="C2294" s="10" t="inlineStr">
        <is>
          <t>Chuyên Viên Nhân Sự</t>
        </is>
      </c>
      <c r="D2294" s="10" t="inlineStr">
        <is>
          <t>Công Ty Cổ Phần Địa Ốc Phú Long</t>
        </is>
      </c>
      <c r="E2294" s="10" t="inlineStr">
        <is>
          <t>Thương lượng</t>
        </is>
      </c>
      <c r="F2294" s="10" t="inlineStr">
        <is>
          <t>Hồ Chí Minh</t>
        </is>
      </c>
      <c r="G2294" s="10" t="inlineStr">
        <is>
          <t>Nhân viên</t>
        </is>
      </c>
      <c r="H2294" s="10" t="inlineStr">
        <is>
          <t>24/02/2026</t>
        </is>
      </c>
      <c r="I2294" s="10" t="inlineStr">
        <is>
          <t>26/03/2026</t>
        </is>
      </c>
      <c r="J2294" s="10" t="inlineStr">
        <is>
          <t>17/03/2026</t>
        </is>
      </c>
      <c r="K2294" s="10" t="inlineStr">
        <is>
          <t>N/A</t>
        </is>
      </c>
      <c r="L2294" s="10" t="inlineStr">
        <is>
          <t>Recruitment, Nhân Sự, Human Resources, HR</t>
        </is>
      </c>
      <c r="M2294" s="10" t="inlineStr">
        <is>
          <t>Bonus, Awards, Others</t>
        </is>
      </c>
      <c r="N2294" s="11">
        <f>HYPERLINK("https://www.vietnamworks.com/chuyen-vien-nhan-su--2013109-jv","Xem chi tiết")</f>
        <v/>
      </c>
      <c r="O2294" s="10" t="n"/>
    </row>
    <row r="2295">
      <c r="B2295" s="7" t="n">
        <v>2293</v>
      </c>
      <c r="C2295" t="inlineStr">
        <is>
          <t>Ecommerce Manager</t>
        </is>
      </c>
      <c r="D2295" t="inlineStr">
        <is>
          <t>A Oi Concept</t>
        </is>
      </c>
      <c r="E2295" t="inlineStr">
        <is>
          <t>20tr-25tr ₫/tháng</t>
        </is>
      </c>
      <c r="F2295" t="inlineStr">
        <is>
          <t>Hồ Chí Minh</t>
        </is>
      </c>
      <c r="G2295" t="inlineStr">
        <is>
          <t>Nhân viên</t>
        </is>
      </c>
      <c r="H2295" t="inlineStr">
        <is>
          <t>24/02/2026</t>
        </is>
      </c>
      <c r="I2295" t="inlineStr">
        <is>
          <t>26/03/2026</t>
        </is>
      </c>
      <c r="J2295" t="inlineStr">
        <is>
          <t>17/03/2026</t>
        </is>
      </c>
      <c r="K2295" t="inlineStr">
        <is>
          <t>N/A</t>
        </is>
      </c>
      <c r="L2295" t="inlineStr">
        <is>
          <t>Ecommerce, FMCG, Sales, Thương Mại Điện Tử, Marketing</t>
        </is>
      </c>
      <c r="M2295" t="inlineStr">
        <is>
          <t>Bonus, Healthcare Plan, Paid Leave, Team Activities, Others</t>
        </is>
      </c>
      <c r="N2295" s="8">
        <f>HYPERLINK("https://www.vietnamworks.com/ecommerce-manager-2013102-jv","Xem chi tiết")</f>
        <v/>
      </c>
    </row>
    <row r="2296">
      <c r="B2296" s="9" t="n">
        <v>2294</v>
      </c>
      <c r="C2296" s="10" t="inlineStr">
        <is>
          <t>Controller Development (Mạch Điện Tử/ Vi Mạch Điều Khiển PCB)</t>
        </is>
      </c>
      <c r="D2296" s="10" t="inlineStr">
        <is>
          <t>LG Electronics Việt Nam Hải Phòng</t>
        </is>
      </c>
      <c r="E2296" s="10" t="inlineStr">
        <is>
          <t>Thương lượng</t>
        </is>
      </c>
      <c r="F2296" s="10" t="inlineStr">
        <is>
          <t>Hải Phòng</t>
        </is>
      </c>
      <c r="G2296" s="10" t="inlineStr">
        <is>
          <t>Mới Tốt Nghiệp</t>
        </is>
      </c>
      <c r="H2296" s="10" t="inlineStr">
        <is>
          <t>24/02/2026</t>
        </is>
      </c>
      <c r="I2296" s="10" t="inlineStr">
        <is>
          <t>26/03/2026</t>
        </is>
      </c>
      <c r="J2296" s="10" t="inlineStr">
        <is>
          <t>17/03/2026</t>
        </is>
      </c>
      <c r="K2296" s="10" t="inlineStr">
        <is>
          <t>N/A</t>
        </is>
      </c>
      <c r="L2296" s="10" t="inlineStr">
        <is>
          <t>PCB Process, Circuit Design, Mạch Điện Tử, 2D Drawing, BOM</t>
        </is>
      </c>
      <c r="M2296" s="10" t="inlineStr">
        <is>
          <t>Bonus, Healthcare Plan, Paid Leave, Transportation</t>
        </is>
      </c>
      <c r="N2296" s="11">
        <f>HYPERLINK("https://www.vietnamworks.com/controller-development-mach-djien-tu-vi-mach-djieu-khien-pcb-2013111-jv","Xem chi tiết")</f>
        <v/>
      </c>
      <c r="O2296" s="10" t="n"/>
    </row>
    <row r="2297">
      <c r="B2297" s="7" t="n">
        <v>2295</v>
      </c>
      <c r="C2297" t="inlineStr">
        <is>
          <t>Chuyên Viên Cao Cấp Chiến Lược - Sáng Tạo/ Senior Creative Planner</t>
        </is>
      </c>
      <c r="D2297" t="inlineStr">
        <is>
          <t>CÔNG TY CỔ PHẦN MAT GROUP</t>
        </is>
      </c>
      <c r="E2297" t="inlineStr">
        <is>
          <t>Thương lượng</t>
        </is>
      </c>
      <c r="F2297" t="inlineStr">
        <is>
          <t>Hà Nội</t>
        </is>
      </c>
      <c r="G2297" t="inlineStr">
        <is>
          <t>Nhân viên</t>
        </is>
      </c>
      <c r="H2297" t="inlineStr">
        <is>
          <t>24/02/2026</t>
        </is>
      </c>
      <c r="I2297" t="inlineStr">
        <is>
          <t>26/03/2026</t>
        </is>
      </c>
      <c r="J2297" t="inlineStr">
        <is>
          <t>17/03/2026</t>
        </is>
      </c>
      <c r="K2297" t="inlineStr">
        <is>
          <t>N/A</t>
        </is>
      </c>
      <c r="L2297" t="inlineStr">
        <is>
          <t>Chiến Lược Truyền Thông, Quản Lý Dự Án, Phân Tích Hiệu Quả Tiếp Thị, kỹ năng tự học, Truyền thông &amp; Marketing</t>
        </is>
      </c>
      <c r="M2297" t="inlineStr">
        <is>
          <t>Bonus, Healthcare Plan, Paid Leave, Training, Laptop, Others</t>
        </is>
      </c>
      <c r="N2297" s="8">
        <f>HYPERLINK("https://www.vietnamworks.com/chuyen-vien-cao-cap-chien-luoc-sang-tao-senior-creative-planner-2013098-jv","Xem chi tiết")</f>
        <v/>
      </c>
    </row>
    <row r="2298">
      <c r="B2298" s="9" t="n">
        <v>2296</v>
      </c>
      <c r="C2298" s="10" t="inlineStr">
        <is>
          <t>Chuyên Viên Đào Tạo Kỹ Năng Bán Hàng</t>
        </is>
      </c>
      <c r="D2298" s="10" t="inlineStr">
        <is>
          <t>CÔNG TY CỔ PHẦN PICO RETAIL</t>
        </is>
      </c>
      <c r="E2298" s="10" t="inlineStr">
        <is>
          <t>20tr-30tr ₫/tháng</t>
        </is>
      </c>
      <c r="F2298" s="10" t="inlineStr">
        <is>
          <t>Hà Nội</t>
        </is>
      </c>
      <c r="G2298" s="10" t="inlineStr">
        <is>
          <t>Nhân viên</t>
        </is>
      </c>
      <c r="H2298" s="10" t="inlineStr">
        <is>
          <t>24/02/2026</t>
        </is>
      </c>
      <c r="I2298" s="10" t="inlineStr">
        <is>
          <t>26/03/2026</t>
        </is>
      </c>
      <c r="J2298" s="10" t="inlineStr">
        <is>
          <t>17/03/2026</t>
        </is>
      </c>
      <c r="K2298" s="10" t="inlineStr">
        <is>
          <t>N/A</t>
        </is>
      </c>
      <c r="L2298" s="10" t="inlineStr">
        <is>
          <t>Thuyết Trình, Coaching, Huấn Luyện Bán Hàng, Xây Dựng Chương Trình Đào Tạo, Đào Tạo Sales</t>
        </is>
      </c>
      <c r="M2298" s="10" t="inlineStr">
        <is>
          <t>Bonus, Healthcare Plan, Awards, Team Activities, Others</t>
        </is>
      </c>
      <c r="N2298" s="11">
        <f>HYPERLINK("https://www.vietnamworks.com/chuyen-vien-dao-tao-ky-nang-ban-hang--2013092-jv","Xem chi tiết")</f>
        <v/>
      </c>
      <c r="O2298" s="10" t="n"/>
    </row>
    <row r="2299">
      <c r="B2299" s="7" t="n">
        <v>2297</v>
      </c>
      <c r="C2299" t="inlineStr">
        <is>
          <t>Packaging Technician (Vung Tau Brewery)</t>
        </is>
      </c>
      <c r="D2299" t="inlineStr">
        <is>
          <t>HEINEKEN Vietnam</t>
        </is>
      </c>
      <c r="E2299" t="inlineStr">
        <is>
          <t>Thương lượng</t>
        </is>
      </c>
      <c r="F2299" t="inlineStr">
        <is>
          <t>Bà Rịa - Vũng Tàu</t>
        </is>
      </c>
      <c r="G2299" t="inlineStr">
        <is>
          <t>Nhân viên</t>
        </is>
      </c>
      <c r="H2299" t="inlineStr">
        <is>
          <t>24/02/2026</t>
        </is>
      </c>
      <c r="I2299" t="inlineStr">
        <is>
          <t>26/03/2026</t>
        </is>
      </c>
      <c r="J2299" t="inlineStr">
        <is>
          <t>17/03/2026</t>
        </is>
      </c>
      <c r="K2299" t="inlineStr">
        <is>
          <t>N/A</t>
        </is>
      </c>
      <c r="L2299" t="inlineStr">
        <is>
          <t>Mechatronics Engineering, Packaging Technology, FMCG, Brewing, Mechanics</t>
        </is>
      </c>
      <c r="M2299" t="inlineStr">
        <is>
          <t>Healthcare Plan, Paid Leave, Canteen</t>
        </is>
      </c>
      <c r="N2299" s="8">
        <f>HYPERLINK("https://www.vietnamworks.com/packaging-technician-vung-tau-brewery--2013112-jv","Xem chi tiết")</f>
        <v/>
      </c>
    </row>
    <row r="2300">
      <c r="B2300" s="9" t="n">
        <v>2298</v>
      </c>
      <c r="C2300" s="10" t="inlineStr">
        <is>
          <t>Kế Toán Trưởng</t>
        </is>
      </c>
      <c r="D2300" s="10" t="inlineStr">
        <is>
          <t>CÔNG TY TNHH TEXIM PRIME</t>
        </is>
      </c>
      <c r="E2300" s="10" t="inlineStr">
        <is>
          <t>25tr-35tr ₫/tháng</t>
        </is>
      </c>
      <c r="F2300" s="10" t="inlineStr">
        <is>
          <t>Hồ Chí Minh</t>
        </is>
      </c>
      <c r="G2300" s="10" t="inlineStr">
        <is>
          <t>Nhân viên</t>
        </is>
      </c>
      <c r="H2300" s="10" t="inlineStr">
        <is>
          <t>24/02/2026</t>
        </is>
      </c>
      <c r="I2300" s="10" t="inlineStr">
        <is>
          <t>26/03/2026</t>
        </is>
      </c>
      <c r="J2300" s="10" t="inlineStr">
        <is>
          <t>17/03/2026</t>
        </is>
      </c>
      <c r="K2300" s="10" t="inlineStr">
        <is>
          <t>N/A</t>
        </is>
      </c>
      <c r="L2300" s="10" t="inlineStr">
        <is>
          <t>Chief Accountant, Financial Planning, Management Reporting, Tax Finalization, VAT Refund</t>
        </is>
      </c>
      <c r="M2300" s="10" t="inlineStr">
        <is>
          <t>Bonus, Healthcare Plan, Others</t>
        </is>
      </c>
      <c r="N2300" s="11">
        <f>HYPERLINK("https://www.vietnamworks.com/ke-toan-truong-2013113-jv","Xem chi tiết")</f>
        <v/>
      </c>
      <c r="O2300" s="10" t="n"/>
    </row>
    <row r="2301">
      <c r="B2301" s="7" t="n">
        <v>2299</v>
      </c>
      <c r="C2301" t="inlineStr">
        <is>
          <t>Kế Toán Tổng Hợp (Lương 12-20 Triệu)</t>
        </is>
      </c>
      <c r="D2301" t="inlineStr">
        <is>
          <t>Công ty TNHH Xây Dựng và Vận Tải Phú An Phát</t>
        </is>
      </c>
      <c r="E2301" t="inlineStr">
        <is>
          <t>12tr-20tr ₫/tháng</t>
        </is>
      </c>
      <c r="F2301" t="inlineStr">
        <is>
          <t>Hồ Chí Minh</t>
        </is>
      </c>
      <c r="G2301" t="inlineStr">
        <is>
          <t>Nhân viên</t>
        </is>
      </c>
      <c r="H2301" t="inlineStr">
        <is>
          <t>24/02/2026</t>
        </is>
      </c>
      <c r="I2301" t="inlineStr">
        <is>
          <t>26/03/2026</t>
        </is>
      </c>
      <c r="J2301" t="inlineStr">
        <is>
          <t>17/03/2026</t>
        </is>
      </c>
      <c r="K2301" t="inlineStr">
        <is>
          <t>N/A</t>
        </is>
      </c>
      <c r="L2301" t="inlineStr">
        <is>
          <t>Kế Toán Tổng Hợp, Báo Cáo Thuế, Kế Toán Xây Dựng, Thuế GTGT, TNDN, TNCN</t>
        </is>
      </c>
      <c r="M2301" t="inlineStr">
        <is>
          <t>Bonus, Healthcare Plan, Training, Others</t>
        </is>
      </c>
      <c r="N2301" s="8">
        <f>HYPERLINK("https://www.vietnamworks.com/ke-toan-tong-hop-luong-12-20-trieu-2013116-jv","Xem chi tiết")</f>
        <v/>
      </c>
    </row>
    <row r="2302">
      <c r="B2302" s="9" t="n">
        <v>2300</v>
      </c>
      <c r="C2302" s="10" t="inlineStr">
        <is>
          <t>Chuyên Viên Cao Cấp Phát Triển Dự Án (Senior Project Development Specialist)</t>
        </is>
      </c>
      <c r="D2302" s="10" t="inlineStr">
        <is>
          <t>Công ty TNHH Golf Artexport - Tam Nông</t>
        </is>
      </c>
      <c r="E2302" s="10" t="inlineStr">
        <is>
          <t>Thương lượng</t>
        </is>
      </c>
      <c r="F2302" s="10" t="inlineStr">
        <is>
          <t>Hà Nội</t>
        </is>
      </c>
      <c r="G2302" s="10" t="inlineStr">
        <is>
          <t>Nhân viên</t>
        </is>
      </c>
      <c r="H2302" s="10" t="inlineStr">
        <is>
          <t>24/02/2026</t>
        </is>
      </c>
      <c r="I2302" s="10" t="inlineStr">
        <is>
          <t>26/03/2026</t>
        </is>
      </c>
      <c r="J2302" s="10" t="inlineStr">
        <is>
          <t>17/03/2026</t>
        </is>
      </c>
      <c r="K2302" s="10" t="inlineStr">
        <is>
          <t>N/A</t>
        </is>
      </c>
      <c r="L2302" s="10" t="inlineStr">
        <is>
          <t>Luật, Pháp Lý Dự Án, Pháp Lý Dự Án Đầu Tư, Quy Hoạch Kiến Trúc, Đầu Tư Phát Triển Dự Án</t>
        </is>
      </c>
      <c r="M2302" s="10" t="inlineStr">
        <is>
          <t>Bonus, Healthcare Plan, Training, Team Activities, Others</t>
        </is>
      </c>
      <c r="N2302" s="11">
        <f>HYPERLINK("https://www.vietnamworks.com/chuyen-vien-cao-cap-phat-trien-du-an-senior-project-development-specialist-2013114-jv","Xem chi tiết")</f>
        <v/>
      </c>
      <c r="O2302" s="10" t="n"/>
    </row>
    <row r="2303">
      <c r="B2303" s="7" t="n">
        <v>2301</v>
      </c>
      <c r="C2303" t="inlineStr">
        <is>
          <t>Medical Representative ETC (HCM)</t>
        </is>
      </c>
      <c r="D2303" t="inlineStr">
        <is>
          <t>Laboratoire Aguettant France</t>
        </is>
      </c>
      <c r="E2303" t="inlineStr">
        <is>
          <t>Thương lượng</t>
        </is>
      </c>
      <c r="F2303" t="inlineStr">
        <is>
          <t>Hồ Chí Minh</t>
        </is>
      </c>
      <c r="G2303" t="inlineStr">
        <is>
          <t>Nhân viên</t>
        </is>
      </c>
      <c r="H2303" t="inlineStr">
        <is>
          <t>24/02/2026</t>
        </is>
      </c>
      <c r="I2303" t="inlineStr">
        <is>
          <t>26/03/2026</t>
        </is>
      </c>
      <c r="J2303" t="inlineStr">
        <is>
          <t>17/03/2026</t>
        </is>
      </c>
      <c r="K2303" t="inlineStr">
        <is>
          <t>N/A</t>
        </is>
      </c>
      <c r="L2303" t="inlineStr">
        <is>
          <t>Relationship Management, Market Research, Communication, Selling, Presentation Skills</t>
        </is>
      </c>
      <c r="M2303" t="inlineStr">
        <is>
          <t>Bonus, Healthcare Plan, Training</t>
        </is>
      </c>
      <c r="N2303" s="8">
        <f>HYPERLINK("https://www.vietnamworks.com/medical-representative-etc-hcm--2013122-jv","Xem chi tiết")</f>
        <v/>
      </c>
    </row>
    <row r="2304">
      <c r="B2304" s="9" t="n">
        <v>2302</v>
      </c>
      <c r="C2304" s="10" t="inlineStr">
        <is>
          <t>Shopper Marketing Manager (Visibility Platform)</t>
        </is>
      </c>
      <c r="D2304" s="10" t="inlineStr">
        <is>
          <t>Masan Consumer Holdings</t>
        </is>
      </c>
      <c r="E2304" s="10" t="inlineStr">
        <is>
          <t>Thương lượng</t>
        </is>
      </c>
      <c r="F2304" s="10" t="inlineStr">
        <is>
          <t>Hồ Chí Minh</t>
        </is>
      </c>
      <c r="G2304" s="10" t="inlineStr">
        <is>
          <t>Trưởng phòng</t>
        </is>
      </c>
      <c r="H2304" s="10" t="inlineStr">
        <is>
          <t>24/02/2026</t>
        </is>
      </c>
      <c r="I2304" s="10" t="inlineStr">
        <is>
          <t>26/03/2026</t>
        </is>
      </c>
      <c r="J2304" s="10" t="inlineStr">
        <is>
          <t>17/03/2026</t>
        </is>
      </c>
      <c r="K2304" s="10" t="inlineStr">
        <is>
          <t>N/A</t>
        </is>
      </c>
      <c r="L2304" s="10" t="inlineStr">
        <is>
          <t>Business Planning, PLANOGRAM, POSM Managing, Trade Marketing</t>
        </is>
      </c>
      <c r="M2304" s="10" t="inlineStr">
        <is>
          <t>Bonus</t>
        </is>
      </c>
      <c r="N2304" s="11">
        <f>HYPERLINK("https://www.vietnamworks.com/shopper-marketing-manager-visibility-platform-2013126-jv","Xem chi tiết")</f>
        <v/>
      </c>
      <c r="O2304" s="10" t="n"/>
    </row>
    <row r="2305">
      <c r="B2305" s="7" t="n">
        <v>2303</v>
      </c>
      <c r="C2305" t="inlineStr">
        <is>
          <t>SEO Specialist</t>
        </is>
      </c>
      <c r="D2305" t="inlineStr">
        <is>
          <t>Metasource</t>
        </is>
      </c>
      <c r="E2305" t="inlineStr">
        <is>
          <t>20tr-20tr ₫/tháng</t>
        </is>
      </c>
      <c r="F2305" t="inlineStr">
        <is>
          <t>Hà Nội</t>
        </is>
      </c>
      <c r="G2305" t="inlineStr">
        <is>
          <t>Nhân viên</t>
        </is>
      </c>
      <c r="H2305" t="inlineStr">
        <is>
          <t>24/02/2026</t>
        </is>
      </c>
      <c r="I2305" t="inlineStr">
        <is>
          <t>26/03/2026</t>
        </is>
      </c>
      <c r="J2305" t="inlineStr">
        <is>
          <t>17/03/2026</t>
        </is>
      </c>
      <c r="K2305" t="inlineStr">
        <is>
          <t>N/A</t>
        </is>
      </c>
      <c r="L2305" t="inlineStr">
        <is>
          <t>Analytical Skills, Content Strategy, Keyword research, Link Building, Technical SEO</t>
        </is>
      </c>
      <c r="M2305" t="inlineStr">
        <is>
          <t>Others</t>
        </is>
      </c>
      <c r="N2305" s="8">
        <f>HYPERLINK("https://www.vietnamworks.com/seo-specialist-2013124-jv","Xem chi tiết")</f>
        <v/>
      </c>
    </row>
    <row r="2306">
      <c r="B2306" s="9" t="n">
        <v>2304</v>
      </c>
      <c r="C2306" s="10" t="inlineStr">
        <is>
          <t>Nhân Viên Lái Xe Riêng Cho Giám Đốc (Nữ)</t>
        </is>
      </c>
      <c r="D2306" s="10" t="inlineStr">
        <is>
          <t>Công ty TNHH Đại Hoàng Long Trung Yên (Xây dựng – BĐS Chủ đầu tư)</t>
        </is>
      </c>
      <c r="E2306" s="10" t="inlineStr">
        <is>
          <t>Thương lượng</t>
        </is>
      </c>
      <c r="F2306" s="10" t="inlineStr">
        <is>
          <t>Hà Nội</t>
        </is>
      </c>
      <c r="G2306" s="10" t="inlineStr">
        <is>
          <t>Nhân viên</t>
        </is>
      </c>
      <c r="H2306" s="10" t="inlineStr">
        <is>
          <t>24/02/2026</t>
        </is>
      </c>
      <c r="I2306" s="10" t="inlineStr">
        <is>
          <t>26/03/2026</t>
        </is>
      </c>
      <c r="J2306" s="10" t="inlineStr">
        <is>
          <t>17/03/2026</t>
        </is>
      </c>
      <c r="K2306" s="10" t="inlineStr">
        <is>
          <t>N/A</t>
        </is>
      </c>
      <c r="L2306" s="10" t="inlineStr">
        <is>
          <t>Am Hiểu Đường Xá, Bảo Dưỡng, Chủ Động Thời Gian, Giao Tiếp, Xử Lý Tình Huống</t>
        </is>
      </c>
      <c r="M2306" s="10" t="inlineStr">
        <is>
          <t>Others</t>
        </is>
      </c>
      <c r="N2306" s="11">
        <f>HYPERLINK("https://www.vietnamworks.com/nhan-vien-lai-xe-rieng-cho-giam-djoc-nu-2013127-jv","Xem chi tiết")</f>
        <v/>
      </c>
      <c r="O2306" s="10" t="n"/>
    </row>
    <row r="2307">
      <c r="B2307" s="7" t="n">
        <v>2305</v>
      </c>
      <c r="C2307" t="inlineStr">
        <is>
          <t>Quản Lý Kinh Doanh Khu Vực</t>
        </is>
      </c>
      <c r="D2307" t="inlineStr">
        <is>
          <t>Công Ty TNHH Dầu Nhờn GS Việt Nam</t>
        </is>
      </c>
      <c r="E2307" t="inlineStr">
        <is>
          <t>Tới 50tr ₫/tháng</t>
        </is>
      </c>
      <c r="F2307" t="inlineStr">
        <is>
          <t>Hải Phòng, Nam Định, Hà Nội</t>
        </is>
      </c>
      <c r="G2307" t="inlineStr">
        <is>
          <t>Trưởng phòng</t>
        </is>
      </c>
      <c r="H2307" t="inlineStr">
        <is>
          <t>24/02/2026</t>
        </is>
      </c>
      <c r="I2307" t="inlineStr">
        <is>
          <t>26/03/2026</t>
        </is>
      </c>
      <c r="J2307" t="inlineStr">
        <is>
          <t>17/03/2026</t>
        </is>
      </c>
      <c r="K2307" t="inlineStr">
        <is>
          <t>N/A</t>
        </is>
      </c>
      <c r="L2307" t="inlineStr">
        <is>
          <t>Chăm Sóc Khách Hàng, Dầu Nhớt Công Nghiệp, Kinh Doanh B2B, Quản Lý Khu Vực, Tư Vấn Giải Pháp</t>
        </is>
      </c>
      <c r="M2307" t="inlineStr">
        <is>
          <t>Bonus, Healthcare Plan, Paid Leave, Training, Travel Opportunities, Transportation</t>
        </is>
      </c>
      <c r="N2307" s="8">
        <f>HYPERLINK("https://www.vietnamworks.com/quan-ly-kinh-doanh-khu-vuc-2013115-jv","Xem chi tiết")</f>
        <v/>
      </c>
    </row>
    <row r="2308">
      <c r="B2308" s="9" t="n">
        <v>2306</v>
      </c>
      <c r="C2308" s="10" t="inlineStr">
        <is>
          <t>Trưởng Phòng Khách Hàng Lớn</t>
        </is>
      </c>
      <c r="D2308" s="10" t="inlineStr">
        <is>
          <t>Công Ty Cổ Phần Chứng Khoán Dầu Khí (Psi)</t>
        </is>
      </c>
      <c r="E2308" s="10" t="inlineStr">
        <is>
          <t>Thương lượng</t>
        </is>
      </c>
      <c r="F2308" s="10" t="inlineStr">
        <is>
          <t>Hà Nội</t>
        </is>
      </c>
      <c r="G2308" s="10" t="inlineStr">
        <is>
          <t>Trưởng phòng</t>
        </is>
      </c>
      <c r="H2308" s="10" t="inlineStr">
        <is>
          <t>24/02/2026</t>
        </is>
      </c>
      <c r="I2308" s="10" t="inlineStr">
        <is>
          <t>26/03/2026</t>
        </is>
      </c>
      <c r="J2308" s="10" t="inlineStr">
        <is>
          <t>17/03/2026</t>
        </is>
      </c>
      <c r="K2308" s="10" t="inlineStr">
        <is>
          <t>N/A</t>
        </is>
      </c>
      <c r="L2308" s="10" t="inlineStr">
        <is>
          <t>Môi Giới Chứng Khoán, Phân Tích Tài Chính, Quản Trị Khách Hàng, Tư Vấn Trái Phiếu, Định Chế Tài Chính</t>
        </is>
      </c>
      <c r="M2308" s="10" t="inlineStr">
        <is>
          <t>Bonus, Healthcare Plan, Training, Canteen, Others</t>
        </is>
      </c>
      <c r="N2308" s="11">
        <f>HYPERLINK("https://www.vietnamworks.com/truong-phong-khach-hang-lon-2013131-jv","Xem chi tiết")</f>
        <v/>
      </c>
      <c r="O2308" s="10" t="n"/>
    </row>
    <row r="2309">
      <c r="B2309" s="7" t="n">
        <v>2307</v>
      </c>
      <c r="C2309" t="inlineStr">
        <is>
          <t>Operation Manager</t>
        </is>
      </c>
      <c r="D2309" t="inlineStr">
        <is>
          <t>Công Ty TNHH H&amp;p Logis Việt Nam</t>
        </is>
      </c>
      <c r="E2309" t="inlineStr">
        <is>
          <t>$$ 1,000-1,500 /tháng</t>
        </is>
      </c>
      <c r="F2309" t="inlineStr">
        <is>
          <t>Hà Nội</t>
        </is>
      </c>
      <c r="G2309" t="inlineStr">
        <is>
          <t>Trưởng phòng</t>
        </is>
      </c>
      <c r="H2309" t="inlineStr">
        <is>
          <t>24/02/2026</t>
        </is>
      </c>
      <c r="I2309" t="inlineStr">
        <is>
          <t>26/03/2026</t>
        </is>
      </c>
      <c r="J2309" t="inlineStr">
        <is>
          <t>17/03/2026</t>
        </is>
      </c>
      <c r="K2309" t="inlineStr">
        <is>
          <t>N/A</t>
        </is>
      </c>
      <c r="L2309" t="inlineStr">
        <is>
          <t>Customs Regulation, Data Analysis, Logistics Management, Project Management, Customs Clearance</t>
        </is>
      </c>
      <c r="M2309" t="inlineStr">
        <is>
          <t>Bonus, Healthcare Plan, Training, Others</t>
        </is>
      </c>
      <c r="N2309" s="8">
        <f>HYPERLINK("https://www.vietnamworks.com/operation-manager-2013133-jv","Xem chi tiết")</f>
        <v/>
      </c>
    </row>
    <row r="2310">
      <c r="B2310" s="9" t="n">
        <v>2308</v>
      </c>
      <c r="C2310" s="10" t="inlineStr">
        <is>
          <t>Quản Lý Dự Án B2B Marketing - Xúc Tiến Giao Thương Việt Nam-Hàn Quốc (Ưu Tiên Ứng Viên Biết Tiếng Hàn)</t>
        </is>
      </c>
      <c r="D2310" s="10" t="inlineStr">
        <is>
          <t>CÔNG TY TNHH CLICK VINA</t>
        </is>
      </c>
      <c r="E2310" s="10" t="inlineStr">
        <is>
          <t>Thương lượng</t>
        </is>
      </c>
      <c r="F2310" s="10" t="inlineStr">
        <is>
          <t>Hà Nội</t>
        </is>
      </c>
      <c r="G2310" s="10" t="inlineStr">
        <is>
          <t>Nhân viên</t>
        </is>
      </c>
      <c r="H2310" s="10" t="inlineStr">
        <is>
          <t>24/02/2026</t>
        </is>
      </c>
      <c r="I2310" s="10" t="inlineStr">
        <is>
          <t>26/03/2026</t>
        </is>
      </c>
      <c r="J2310" s="10" t="inlineStr">
        <is>
          <t>17/03/2026</t>
        </is>
      </c>
      <c r="K2310" s="10" t="inlineStr">
        <is>
          <t>N/A</t>
        </is>
      </c>
      <c r="L2310" s="10" t="inlineStr">
        <is>
          <t>Project Management, B2B Marketing, Team Management, International Trade, Pressure Handling</t>
        </is>
      </c>
      <c r="M2310" s="10" t="inlineStr">
        <is>
          <t>Bonus, Healthcare Plan, Training, Others</t>
        </is>
      </c>
      <c r="N2310" s="11">
        <f>HYPERLINK("https://www.vietnamworks.com/quan-ly-du-an-b2b-marketing-xuc-tien-giao-thuong-viet-nam-han-quoc-uu-tien-ung-vien-biet-tieng-han-2013129-jv","Xem chi tiết")</f>
        <v/>
      </c>
      <c r="O2310" s="10" t="n"/>
    </row>
    <row r="2311">
      <c r="B2311" s="7" t="n">
        <v>2309</v>
      </c>
      <c r="C2311" t="inlineStr">
        <is>
          <t>Giám Sát Thi Công Công Trình Nội Thất</t>
        </is>
      </c>
      <c r="D2311" t="inlineStr">
        <is>
          <t>Công Ty Cổ Phần Apollo Silicone</t>
        </is>
      </c>
      <c r="E2311" t="inlineStr">
        <is>
          <t>Thương lượng</t>
        </is>
      </c>
      <c r="F2311" t="inlineStr">
        <is>
          <t>Hà Nội</t>
        </is>
      </c>
      <c r="G2311" t="inlineStr">
        <is>
          <t>Nhân viên</t>
        </is>
      </c>
      <c r="H2311" t="inlineStr">
        <is>
          <t>24/02/2026</t>
        </is>
      </c>
      <c r="I2311" t="inlineStr">
        <is>
          <t>26/03/2026</t>
        </is>
      </c>
      <c r="J2311" t="inlineStr">
        <is>
          <t>17/03/2026</t>
        </is>
      </c>
      <c r="K2311" t="inlineStr">
        <is>
          <t>N/A</t>
        </is>
      </c>
      <c r="L2311" t="inlineStr">
        <is>
          <t>AutoCAD, Xây Dựng, Giám Sát Nội Thất, Thi Công Nội Thất, Hoàn Thiện Công Trình</t>
        </is>
      </c>
      <c r="M2311" t="inlineStr">
        <is>
          <t>Bonus</t>
        </is>
      </c>
      <c r="N2311" s="8">
        <f>HYPERLINK("https://www.vietnamworks.com/giam-sat-thi-cong-cong-trinh-noi-that--2013125-jv","Xem chi tiết")</f>
        <v/>
      </c>
    </row>
    <row r="2312">
      <c r="B2312" s="9" t="n">
        <v>2310</v>
      </c>
      <c r="C2312" s="10" t="inlineStr">
        <is>
          <t>Chuyên Viên B2B Marketing - Xúc Tiến Giao Thương Việt Nam-Hàn Quốc (Ưu Tiên Ứng Viên Biết Tiếng Hàn)</t>
        </is>
      </c>
      <c r="D2312" s="10" t="inlineStr">
        <is>
          <t>CÔNG TY TNHH CLICK VINA</t>
        </is>
      </c>
      <c r="E2312" s="10" t="inlineStr">
        <is>
          <t>8tr-12tr ₫/tháng</t>
        </is>
      </c>
      <c r="F2312" s="10" t="inlineStr">
        <is>
          <t>Hà Nội</t>
        </is>
      </c>
      <c r="G2312" s="10" t="inlineStr">
        <is>
          <t>Nhân viên</t>
        </is>
      </c>
      <c r="H2312" s="10" t="inlineStr">
        <is>
          <t>24/02/2026</t>
        </is>
      </c>
      <c r="I2312" s="10" t="inlineStr">
        <is>
          <t>26/03/2026</t>
        </is>
      </c>
      <c r="J2312" s="10" t="inlineStr">
        <is>
          <t>17/03/2026</t>
        </is>
      </c>
      <c r="K2312" s="10" t="inlineStr">
        <is>
          <t>N/A</t>
        </is>
      </c>
      <c r="L2312" s="10" t="inlineStr">
        <is>
          <t>Marketing Development, Telesales, Market Research, Digital Marketing, Communication</t>
        </is>
      </c>
      <c r="M2312" s="10" t="inlineStr">
        <is>
          <t>Bonus, Paid Leave, Library, Others</t>
        </is>
      </c>
      <c r="N2312" s="11">
        <f>HYPERLINK("https://www.vietnamworks.com/chuyen-vien-b2b-marketing-xuc-tien-giao-thuong-viet-nam-han-quoc-uu-tien-ung-vien-biet-tieng-han--2013121-jv","Xem chi tiết")</f>
        <v/>
      </c>
      <c r="O2312" s="10" t="n"/>
    </row>
    <row r="2313">
      <c r="B2313" s="7" t="n">
        <v>2311</v>
      </c>
      <c r="C2313" t="inlineStr">
        <is>
          <t>Kế Toán Viên (Làm Việc Tại Trung Tâm Giáo Dục Uy Tín)</t>
        </is>
      </c>
      <c r="D2313" t="inlineStr">
        <is>
          <t>Công Ty Cổ Phần Giáo Dục Titan</t>
        </is>
      </c>
      <c r="E2313" t="inlineStr">
        <is>
          <t>$$ 14tr-15tr /tháng</t>
        </is>
      </c>
      <c r="F2313" t="inlineStr">
        <is>
          <t>Hồ Chí Minh</t>
        </is>
      </c>
      <c r="G2313" t="inlineStr">
        <is>
          <t>Nhân viên</t>
        </is>
      </c>
      <c r="H2313" t="inlineStr">
        <is>
          <t>24/02/2026</t>
        </is>
      </c>
      <c r="I2313" t="inlineStr">
        <is>
          <t>26/03/2026</t>
        </is>
      </c>
      <c r="J2313" t="inlineStr">
        <is>
          <t>17/03/2026</t>
        </is>
      </c>
      <c r="K2313" t="inlineStr">
        <is>
          <t>N/A</t>
        </is>
      </c>
      <c r="L2313" t="inlineStr">
        <is>
          <t>Xử Lý Công Việc, Phần mềm kế toán, Báo Cáo Thuế, Kiểm Soát Chứng Từ, xuất hóa đơn</t>
        </is>
      </c>
      <c r="M2313" t="inlineStr">
        <is>
          <t>Bonus, Healthcare Plan, Paid Leave, Team Activities, Others</t>
        </is>
      </c>
      <c r="N2313" s="8">
        <f>HYPERLINK("https://www.vietnamworks.com/ke-toan-vien-lam-viec-tai-trung-tam-giao-duc-uy-tin-2013132-jv","Xem chi tiết")</f>
        <v/>
      </c>
    </row>
    <row r="2314">
      <c r="B2314" s="9" t="n">
        <v>2312</v>
      </c>
      <c r="C2314" s="10" t="inlineStr">
        <is>
          <t>Giám Đốc Quan Hệ Khách Hàng Doanh Nghiệp Lớn (SRM - LCs) - Khu Vực Hà Nội (Lương Từ 40Tr - 60Tr)</t>
        </is>
      </c>
      <c r="D2314" s="10" t="inlineStr">
        <is>
          <t>Ngân Hàng TMCP Quốc Dân ( NCB )</t>
        </is>
      </c>
      <c r="E2314" s="10" t="inlineStr">
        <is>
          <t>40tr-60tr ₫/tháng</t>
        </is>
      </c>
      <c r="F2314" s="10" t="inlineStr">
        <is>
          <t>Hà Nội</t>
        </is>
      </c>
      <c r="G2314" s="10" t="inlineStr">
        <is>
          <t>Giám Đốc và Cấp Cao Hơn</t>
        </is>
      </c>
      <c r="H2314" s="10" t="inlineStr">
        <is>
          <t>24/02/2026</t>
        </is>
      </c>
      <c r="I2314" s="10" t="inlineStr">
        <is>
          <t>26/03/2026</t>
        </is>
      </c>
      <c r="J2314" s="10" t="inlineStr">
        <is>
          <t>17/03/2026</t>
        </is>
      </c>
      <c r="K2314" s="10" t="inlineStr">
        <is>
          <t>N/A</t>
        </is>
      </c>
      <c r="L2314" s="10" t="inlineStr">
        <is>
          <t>Phát Triển Khách Hàng, Kinh Doanh, Tài Chính Doanh Nghiệp, Tìm Kiếm Khách Hàng, Khách Hàng Doanh Nghiệp</t>
        </is>
      </c>
      <c r="M2314" s="10" t="inlineStr">
        <is>
          <t>Bonus, Training, Awards</t>
        </is>
      </c>
      <c r="N2314" s="11">
        <f>HYPERLINK("https://www.vietnamworks.com/giam-doc-quan-he-khach-hang-doanh-nghiep-lon-srm-lcs-khu-vuc-ha-noi-luong-tu-40tr-60tr-2013119-jv","Xem chi tiết")</f>
        <v/>
      </c>
      <c r="O2314" s="10" t="n"/>
    </row>
    <row r="2315">
      <c r="B2315" s="7" t="n">
        <v>2313</v>
      </c>
      <c r="C2315" t="inlineStr">
        <is>
          <t>Chuyên Viên Quan Hệ Khách Hàng Doanh Nghiệp (Thu Nhập Upto 30 Triệu)</t>
        </is>
      </c>
      <c r="D2315" t="inlineStr">
        <is>
          <t>Ngân Hàng TNHH MTV Kỷ Nguyên Thịnh Vượng - GPBank</t>
        </is>
      </c>
      <c r="E2315" t="inlineStr">
        <is>
          <t>15tr-30tr ₫/tháng</t>
        </is>
      </c>
      <c r="F2315" t="inlineStr">
        <is>
          <t>Hà Nội, Hải Phòng, Hồ Chí Minh</t>
        </is>
      </c>
      <c r="G2315" t="inlineStr">
        <is>
          <t>Nhân viên</t>
        </is>
      </c>
      <c r="H2315" t="inlineStr">
        <is>
          <t>24/02/2026</t>
        </is>
      </c>
      <c r="I2315" t="inlineStr">
        <is>
          <t>26/03/2026</t>
        </is>
      </c>
      <c r="J2315" t="inlineStr">
        <is>
          <t>17/03/2026</t>
        </is>
      </c>
      <c r="K2315" t="inlineStr">
        <is>
          <t>N/A</t>
        </is>
      </c>
      <c r="L2315" t="inlineStr">
        <is>
          <t>Tài Chính Ngân Hàng, Dịch Vụ Ngân Hàng, Khách Hàng Doanh Nghiệp, Quan Hệ Khách Hàng, Kinh Doanh</t>
        </is>
      </c>
      <c r="M2315" t="inlineStr">
        <is>
          <t>Bonus, Healthcare Plan, Paid Leave, Training</t>
        </is>
      </c>
      <c r="N2315" s="8">
        <f>HYPERLINK("https://www.vietnamworks.com/chuyen-vien-quan-he-khach-hang-doanh-nghiep-thu-nhap-upto-30-trieu-2013134-jv","Xem chi tiết")</f>
        <v/>
      </c>
    </row>
    <row r="2316">
      <c r="B2316" s="9" t="n">
        <v>2314</v>
      </c>
      <c r="C2316" s="10" t="inlineStr">
        <is>
          <t>Nhân Viên QA/QC Công Trường | Hải Phòng &amp; Quảng Ninh</t>
        </is>
      </c>
      <c r="D2316" s="10" t="inlineStr">
        <is>
          <t>CBC - Civil &amp; Building Construction</t>
        </is>
      </c>
      <c r="E2316" s="10" t="inlineStr">
        <is>
          <t>800-1,000 ₫/tháng</t>
        </is>
      </c>
      <c r="F2316" s="10" t="inlineStr">
        <is>
          <t>Hải Phòng, Quảng Ninh</t>
        </is>
      </c>
      <c r="G2316" s="10" t="inlineStr">
        <is>
          <t>Nhân viên</t>
        </is>
      </c>
      <c r="H2316" s="10" t="inlineStr">
        <is>
          <t>24/02/2026</t>
        </is>
      </c>
      <c r="I2316" s="10" t="inlineStr">
        <is>
          <t>26/03/2026</t>
        </is>
      </c>
      <c r="J2316" s="10" t="inlineStr">
        <is>
          <t>17/03/2026</t>
        </is>
      </c>
      <c r="K2316" s="10" t="inlineStr">
        <is>
          <t>N/A</t>
        </is>
      </c>
      <c r="L2316" s="10" t="inlineStr">
        <is>
          <t>Quality Control, QA, QC, công trình xây dựng, QA/ QC</t>
        </is>
      </c>
      <c r="M2316" s="10" t="inlineStr">
        <is>
          <t>Training</t>
        </is>
      </c>
      <c r="N2316" s="11">
        <f>HYPERLINK("https://www.vietnamworks.com/nhan-vien-qa-qc-cong-truong-hai-phong-quang-ninh-2013130-jv","Xem chi tiết")</f>
        <v/>
      </c>
      <c r="O2316" s="10" t="n"/>
    </row>
    <row r="2317">
      <c r="B2317" s="7" t="n">
        <v>2315</v>
      </c>
      <c r="C2317" t="inlineStr">
        <is>
          <t>Trưởng Phòng Khách Hàng Cá Nhân Khu Vực Hà Nội</t>
        </is>
      </c>
      <c r="D2317" t="inlineStr">
        <is>
          <t>Ngân Hàng TMCP Quốc Dân ( NCB )</t>
        </is>
      </c>
      <c r="E2317" t="inlineStr">
        <is>
          <t>Thương lượng</t>
        </is>
      </c>
      <c r="F2317" t="inlineStr">
        <is>
          <t>Hà Nội</t>
        </is>
      </c>
      <c r="G2317" t="inlineStr">
        <is>
          <t>Trưởng phòng</t>
        </is>
      </c>
      <c r="H2317" t="inlineStr">
        <is>
          <t>24/02/2026</t>
        </is>
      </c>
      <c r="I2317" t="inlineStr">
        <is>
          <t>26/03/2026</t>
        </is>
      </c>
      <c r="J2317" t="inlineStr">
        <is>
          <t>17/03/2026</t>
        </is>
      </c>
      <c r="K2317" t="inlineStr">
        <is>
          <t>N/A</t>
        </is>
      </c>
      <c r="L2317" t="inlineStr">
        <is>
          <t>Phân Tích Tài Chính, Kế Hoạch Bán Hàng, Quản Lý Kinh Doanh, Khách Hàng Cá Nhân, Ngân hàng</t>
        </is>
      </c>
      <c r="M2317" t="inlineStr">
        <is>
          <t>Bonus, Training, Awards</t>
        </is>
      </c>
      <c r="N2317" s="8">
        <f>HYPERLINK("https://www.vietnamworks.com/truong-phong-khach-hang-ca-nhan-khu-vuc-ha-noi-2013128-jv","Xem chi tiết")</f>
        <v/>
      </c>
    </row>
    <row r="2318">
      <c r="B2318" s="9" t="n">
        <v>2316</v>
      </c>
      <c r="C2318" s="10" t="inlineStr">
        <is>
          <t>Chuyên Gia Phân Tích Tài Chính Kinh Doanh - Khối Tài chính Kế toán - HO Hà Nội</t>
        </is>
      </c>
      <c r="D2318" s="10" t="inlineStr">
        <is>
          <t>ABBank - Ngân Hàng TMCP An Bình</t>
        </is>
      </c>
      <c r="E2318" s="10" t="inlineStr">
        <is>
          <t>35tr-45tr ₫/tháng</t>
        </is>
      </c>
      <c r="F2318" s="10" t="inlineStr">
        <is>
          <t>Hà Nội</t>
        </is>
      </c>
      <c r="G2318" s="10" t="inlineStr">
        <is>
          <t>Nhân viên</t>
        </is>
      </c>
      <c r="H2318" s="10" t="inlineStr">
        <is>
          <t>24/02/2026</t>
        </is>
      </c>
      <c r="I2318" s="10" t="inlineStr">
        <is>
          <t>26/03/2026</t>
        </is>
      </c>
      <c r="J2318" s="10" t="inlineStr">
        <is>
          <t>17/03/2026</t>
        </is>
      </c>
      <c r="K2318" s="10" t="inlineStr">
        <is>
          <t>N/A</t>
        </is>
      </c>
      <c r="L2318" s="10" t="inlineStr">
        <is>
          <t>Giao Tiếp Tiếng Anh, Kỹ năng tin học văn phòng, Lập Kế Hoạch Tài Chính, Phân Tích Kinh Doanh, Phân Tích Tài Chính</t>
        </is>
      </c>
      <c r="M2318" s="10" t="inlineStr">
        <is>
          <t>Bonus, Healthcare Plan, Paid Leave, Training, Laptop, Travel Opportunities, Others</t>
        </is>
      </c>
      <c r="N2318" s="11">
        <f>HYPERLINK("https://www.vietnamworks.com/chuyen-gia-phan-tich-tai-chinh-kinh-doanh-khoi-tai-chinh-ke-toan-ho-ha-noi-2013135-jv","Xem chi tiết")</f>
        <v/>
      </c>
      <c r="O2318" s="10" t="n"/>
    </row>
    <row r="2319">
      <c r="B2319" s="7" t="n">
        <v>2317</v>
      </c>
      <c r="C2319" t="inlineStr">
        <is>
          <t>Kế Toán Trưởng</t>
        </is>
      </c>
      <c r="D2319" t="inlineStr">
        <is>
          <t>Công Ty Cổ Phần Bảo Hiểm Opes</t>
        </is>
      </c>
      <c r="E2319" t="inlineStr">
        <is>
          <t>$$ 2,000-3,000 /tháng</t>
        </is>
      </c>
      <c r="F2319" t="inlineStr">
        <is>
          <t>Hà Nội</t>
        </is>
      </c>
      <c r="G2319" t="inlineStr">
        <is>
          <t>Trưởng phòng</t>
        </is>
      </c>
      <c r="H2319" t="inlineStr">
        <is>
          <t>24/02/2026</t>
        </is>
      </c>
      <c r="I2319" t="inlineStr">
        <is>
          <t>26/03/2026</t>
        </is>
      </c>
      <c r="J2319" t="inlineStr">
        <is>
          <t>17/03/2026</t>
        </is>
      </c>
      <c r="K2319" t="inlineStr">
        <is>
          <t>N/A</t>
        </is>
      </c>
      <c r="L2319" t="inlineStr">
        <is>
          <t>Kế Toán Trưởng, Bảo Hiểm, Kế toán Quản trị, Báo Cáo Tài Chính, Management Accounting</t>
        </is>
      </c>
      <c r="M2319" t="inlineStr">
        <is>
          <t>Bonus, Training, Team Activities</t>
        </is>
      </c>
      <c r="N2319" s="8">
        <f>HYPERLINK("https://www.vietnamworks.com/ke-toan-truong--2013136-jv","Xem chi tiết")</f>
        <v/>
      </c>
    </row>
    <row r="2320">
      <c r="B2320" s="9" t="n">
        <v>2318</v>
      </c>
      <c r="C2320" s="10" t="inlineStr">
        <is>
          <t>Thiết Kế Đồ Họa (Chuyên In Offset)</t>
        </is>
      </c>
      <c r="D2320" s="10" t="inlineStr">
        <is>
          <t>CÔNG TY CỔ PHẦN SẢN XUẤT VÀ THƯƠNG MẠI PHỤ LIỆU NGÀNH MAY KIM NGUYÊN</t>
        </is>
      </c>
      <c r="E2320" s="10" t="inlineStr">
        <is>
          <t>8tr-15tr ₫/tháng</t>
        </is>
      </c>
      <c r="F2320" s="10" t="inlineStr">
        <is>
          <t>Hà Nội</t>
        </is>
      </c>
      <c r="G2320" s="10" t="inlineStr">
        <is>
          <t>Mới Tốt Nghiệp</t>
        </is>
      </c>
      <c r="H2320" s="10" t="inlineStr">
        <is>
          <t>24/02/2026</t>
        </is>
      </c>
      <c r="I2320" s="10" t="inlineStr">
        <is>
          <t>26/03/2026</t>
        </is>
      </c>
      <c r="J2320" s="10" t="inlineStr">
        <is>
          <t>17/03/2026</t>
        </is>
      </c>
      <c r="K2320" s="10" t="inlineStr">
        <is>
          <t>N/A</t>
        </is>
      </c>
      <c r="L2320" s="10" t="inlineStr">
        <is>
          <t>Adobe Illustrator, Photoshop, InDesign, Bình File, Thiết Kế In Ấn</t>
        </is>
      </c>
      <c r="M2320" s="10" t="inlineStr">
        <is>
          <t>Bonus, Healthcare Plan, Others</t>
        </is>
      </c>
      <c r="N2320" s="11">
        <f>HYPERLINK("https://www.vietnamworks.com/thiet-ke-djo-hoa-chuyen-in-offset-2013137-jv","Xem chi tiết")</f>
        <v/>
      </c>
      <c r="O2320" s="10" t="n"/>
    </row>
    <row r="2321">
      <c r="B2321" s="7" t="n">
        <v>2319</v>
      </c>
      <c r="C2321" t="inlineStr">
        <is>
          <t>Vendor Quality Engineer</t>
        </is>
      </c>
      <c r="D2321" t="inlineStr">
        <is>
          <t>Công Ty TNHH Mattel Việt Nam</t>
        </is>
      </c>
      <c r="E2321" t="inlineStr">
        <is>
          <t>Thương lượng</t>
        </is>
      </c>
      <c r="F2321" t="inlineStr">
        <is>
          <t>Hải Phòng, Thanh Hóa</t>
        </is>
      </c>
      <c r="G2321" t="inlineStr">
        <is>
          <t>Nhân viên</t>
        </is>
      </c>
      <c r="H2321" t="inlineStr">
        <is>
          <t>24/02/2026</t>
        </is>
      </c>
      <c r="I2321" t="inlineStr">
        <is>
          <t>26/03/2026</t>
        </is>
      </c>
      <c r="J2321" t="inlineStr">
        <is>
          <t>17/03/2026</t>
        </is>
      </c>
      <c r="K2321" t="inlineStr">
        <is>
          <t>N/A</t>
        </is>
      </c>
      <c r="L2321" t="inlineStr">
        <is>
          <t>Vendor Service Management, Supplier Quality, QMS, Negotiation Skills, Product Quality Management</t>
        </is>
      </c>
      <c r="M2321" t="inlineStr">
        <is>
          <t>Bonus, Healthcare Plan, Paid Leave</t>
        </is>
      </c>
      <c r="N2321" s="8">
        <f>HYPERLINK("https://www.vietnamworks.com/vendor-quality-engineer-2013154-jv","Xem chi tiết")</f>
        <v/>
      </c>
    </row>
    <row r="2322">
      <c r="B2322" s="9" t="n">
        <v>2320</v>
      </c>
      <c r="C2322" s="10" t="inlineStr">
        <is>
          <t>Accounting Supervisor (Chinese Required)</t>
        </is>
      </c>
      <c r="D2322" s="10" t="inlineStr">
        <is>
          <t>Công Ty TNHH Ezocean Logistics Vietnam</t>
        </is>
      </c>
      <c r="E2322" s="10" t="inlineStr">
        <is>
          <t>Thương lượng</t>
        </is>
      </c>
      <c r="F2322" s="10" t="inlineStr">
        <is>
          <t>Hồ Chí Minh</t>
        </is>
      </c>
      <c r="G2322" s="10" t="inlineStr">
        <is>
          <t>Nhân viên</t>
        </is>
      </c>
      <c r="H2322" s="10" t="inlineStr">
        <is>
          <t>24/02/2026</t>
        </is>
      </c>
      <c r="I2322" s="10" t="inlineStr">
        <is>
          <t>26/03/2026</t>
        </is>
      </c>
      <c r="J2322" s="10" t="inlineStr">
        <is>
          <t>17/03/2026</t>
        </is>
      </c>
      <c r="K2322" s="10" t="inlineStr">
        <is>
          <t>N/A</t>
        </is>
      </c>
      <c r="L2322" s="10" t="inlineStr">
        <is>
          <t>Chinese, Accounting, Logistics, Kế Toán</t>
        </is>
      </c>
      <c r="M2322" s="10" t="inlineStr">
        <is>
          <t>Bonus, Healthcare Plan, Others</t>
        </is>
      </c>
      <c r="N2322" s="11">
        <f>HYPERLINK("https://www.vietnamworks.com/accounting-supervisor-chinese-required--2013139-jv","Xem chi tiết")</f>
        <v/>
      </c>
      <c r="O2322" s="10" t="n"/>
    </row>
    <row r="2323">
      <c r="B2323" s="7" t="n">
        <v>2321</v>
      </c>
      <c r="C2323" t="inlineStr">
        <is>
          <t>Kỹ Sư Xây Dựng (Dự Toán - QS)</t>
        </is>
      </c>
      <c r="D2323" t="inlineStr">
        <is>
          <t>Công Ty TNHH Mega D&amp;C</t>
        </is>
      </c>
      <c r="E2323" t="inlineStr">
        <is>
          <t>Thương lượng</t>
        </is>
      </c>
      <c r="F2323" t="inlineStr">
        <is>
          <t>Hồ Chí Minh</t>
        </is>
      </c>
      <c r="G2323" t="inlineStr">
        <is>
          <t>Nhân viên</t>
        </is>
      </c>
      <c r="H2323" t="inlineStr">
        <is>
          <t>24/02/2026</t>
        </is>
      </c>
      <c r="I2323" t="inlineStr">
        <is>
          <t>26/03/2026</t>
        </is>
      </c>
      <c r="J2323" t="inlineStr">
        <is>
          <t>17/03/2026</t>
        </is>
      </c>
      <c r="K2323" t="inlineStr">
        <is>
          <t>N/A</t>
        </is>
      </c>
      <c r="L2323" t="inlineStr">
        <is>
          <t>AutoCAD, Dự Toán, Bóc Tách Khối Lượng, Kinh Tế Xây Dựng, Đọc Hiểu Bản Vẽ</t>
        </is>
      </c>
      <c r="M2323" t="inlineStr">
        <is>
          <t>Bonus, Healthcare Plan, Paid Leave, Awards, Others</t>
        </is>
      </c>
      <c r="N2323" s="8">
        <f>HYPERLINK("https://www.vietnamworks.com/ky-su-xay-dung-du-toan-qs-2013152-jv","Xem chi tiết")</f>
        <v/>
      </c>
    </row>
    <row r="2324">
      <c r="B2324" s="9" t="n">
        <v>2322</v>
      </c>
      <c r="C2324" s="10" t="inlineStr">
        <is>
          <t>Chuyên Viên Giám Sát Cơ Điện</t>
        </is>
      </c>
      <c r="D2324" s="10" t="inlineStr">
        <is>
          <t>BIM Group</t>
        </is>
      </c>
      <c r="E2324" s="10" t="inlineStr">
        <is>
          <t>Thương lượng</t>
        </is>
      </c>
      <c r="F2324" s="10" t="inlineStr">
        <is>
          <t>Phú Thọ, Hà Nội</t>
        </is>
      </c>
      <c r="G2324" s="10" t="inlineStr">
        <is>
          <t>Nhân viên</t>
        </is>
      </c>
      <c r="H2324" s="10" t="inlineStr">
        <is>
          <t>24/02/2026</t>
        </is>
      </c>
      <c r="I2324" s="10" t="inlineStr">
        <is>
          <t>26/03/2026</t>
        </is>
      </c>
      <c r="J2324" s="10" t="inlineStr">
        <is>
          <t>17/03/2026</t>
        </is>
      </c>
      <c r="K2324" s="10" t="inlineStr">
        <is>
          <t>N/A</t>
        </is>
      </c>
      <c r="L2324" s="10" t="inlineStr">
        <is>
          <t>Autocad, Lập Bản Vẽ Thiết Kế, Quản Lý Tiến Độ Công Việc, Thành Thạo Ms Office, Tỉ Mỉ Cẩn Trọng</t>
        </is>
      </c>
      <c r="M2324" s="10" t="inlineStr">
        <is>
          <t>Bonus, Healthcare Plan, Paid Leave, Training, Awards, Team Activities, Canteen, Others</t>
        </is>
      </c>
      <c r="N2324" s="11">
        <f>HYPERLINK("https://www.vietnamworks.com/chuyen-vien-giam-sat-co-djien-2013147-jv","Xem chi tiết")</f>
        <v/>
      </c>
      <c r="O2324" s="10" t="n"/>
    </row>
    <row r="2325">
      <c r="B2325" s="7" t="n">
        <v>2323</v>
      </c>
      <c r="C2325" t="inlineStr">
        <is>
          <t>Trưởng Phòng Đầu Tư Nguồn Vốn</t>
        </is>
      </c>
      <c r="D2325" t="inlineStr">
        <is>
          <t>Công Ty Cổ Phần Chứng Khoán Dầu Khí (Psi)</t>
        </is>
      </c>
      <c r="E2325" t="inlineStr">
        <is>
          <t>Thương lượng</t>
        </is>
      </c>
      <c r="F2325" t="inlineStr">
        <is>
          <t>Hà Nội</t>
        </is>
      </c>
      <c r="G2325" t="inlineStr">
        <is>
          <t>Trưởng phòng</t>
        </is>
      </c>
      <c r="H2325" t="inlineStr">
        <is>
          <t>24/02/2026</t>
        </is>
      </c>
      <c r="I2325" t="inlineStr">
        <is>
          <t>26/03/2026</t>
        </is>
      </c>
      <c r="J2325" t="inlineStr">
        <is>
          <t>17/03/2026</t>
        </is>
      </c>
      <c r="K2325" t="inlineStr">
        <is>
          <t>N/A</t>
        </is>
      </c>
      <c r="L2325" t="inlineStr">
        <is>
          <t>Công Tác Đầu Tư, Kiểm Soát Dòng Tiền, Phân Tích Tài Chính, Quản Lý Danh Mục, Quản Lý Nguồn Vốn</t>
        </is>
      </c>
      <c r="M2325" t="inlineStr">
        <is>
          <t>Bonus, Healthcare Plan, Paid Leave, Training, Others</t>
        </is>
      </c>
      <c r="N2325" s="8">
        <f>HYPERLINK("https://www.vietnamworks.com/truong-phong-djau-tu-nguon-von-2013146-jv","Xem chi tiết")</f>
        <v/>
      </c>
    </row>
    <row r="2326">
      <c r="B2326" s="9" t="n">
        <v>2324</v>
      </c>
      <c r="C2326" s="10" t="inlineStr">
        <is>
          <t>Chuyên Viên Khách Hàng Cá Nhân - CN. Bắc Giang (CNLT.535)</t>
        </is>
      </c>
      <c r="D2326" s="10" t="inlineStr">
        <is>
          <t>NGÂN HÀNG TMCP QUÂN ĐỘI – MBBANK</t>
        </is>
      </c>
      <c r="E2326" s="10" t="inlineStr">
        <is>
          <t>9tr-35tr ₫/tháng</t>
        </is>
      </c>
      <c r="F2326" s="10" t="inlineStr">
        <is>
          <t>Bắc Ninh</t>
        </is>
      </c>
      <c r="G2326" s="10" t="inlineStr">
        <is>
          <t>Nhân viên</t>
        </is>
      </c>
      <c r="H2326" s="10" t="inlineStr">
        <is>
          <t>24/02/2026</t>
        </is>
      </c>
      <c r="I2326" s="10" t="inlineStr">
        <is>
          <t>26/03/2026</t>
        </is>
      </c>
      <c r="J2326" s="10" t="inlineStr">
        <is>
          <t>17/03/2026</t>
        </is>
      </c>
      <c r="K2326" s="10" t="inlineStr">
        <is>
          <t>N/A</t>
        </is>
      </c>
      <c r="L2326" s="10" t="inlineStr">
        <is>
          <t>Business Development, Financial Analysis, Leadership, Negotiation, Risk Management</t>
        </is>
      </c>
      <c r="M2326" s="10" t="inlineStr">
        <is>
          <t>Bonus, Healthcare Plan, Training, Team Activities, Others</t>
        </is>
      </c>
      <c r="N2326" s="11">
        <f>HYPERLINK("https://www.vietnamworks.com/chuyen-vien-khach-hang-ca-nhan-cn-bac-giang-cnlt-535-2013145-jv","Xem chi tiết")</f>
        <v/>
      </c>
      <c r="O2326" s="10" t="n"/>
    </row>
    <row r="2327">
      <c r="B2327" s="7" t="n">
        <v>2325</v>
      </c>
      <c r="C2327" t="inlineStr">
        <is>
          <t>Account Executive ( Imc/creative)</t>
        </is>
      </c>
      <c r="D2327" t="inlineStr">
        <is>
          <t>Tập đoàn NOVAON</t>
        </is>
      </c>
      <c r="E2327" t="inlineStr">
        <is>
          <t>Thương lượng</t>
        </is>
      </c>
      <c r="F2327" t="inlineStr">
        <is>
          <t>Hà Nội, Hồ Chí Minh</t>
        </is>
      </c>
      <c r="G2327" t="inlineStr">
        <is>
          <t>Nhân viên</t>
        </is>
      </c>
      <c r="H2327" t="inlineStr">
        <is>
          <t>24/02/2026</t>
        </is>
      </c>
      <c r="I2327" t="inlineStr">
        <is>
          <t>26/03/2026</t>
        </is>
      </c>
      <c r="J2327" t="inlineStr">
        <is>
          <t>17/03/2026</t>
        </is>
      </c>
      <c r="K2327" t="inlineStr">
        <is>
          <t>N/A</t>
        </is>
      </c>
      <c r="L2327" t="inlineStr">
        <is>
          <t>Digital Marketing, Project Management, Client Interaction, Proposal Writing, Creative Thinking</t>
        </is>
      </c>
      <c r="M2327" t="inlineStr">
        <is>
          <t>Bonus, Healthcare Plan, Training, Team Activities, Others</t>
        </is>
      </c>
      <c r="N2327" s="8">
        <f>HYPERLINK("https://www.vietnamworks.com/account-executive-imc-creative-2013143-jv","Xem chi tiết")</f>
        <v/>
      </c>
    </row>
    <row r="2328">
      <c r="B2328" s="9" t="n">
        <v>2326</v>
      </c>
      <c r="C2328" s="10" t="inlineStr">
        <is>
          <t>Chuyên Viên Khách Hàng Doanh Nghiệp - Khu Vực Đà Nẵng (CNLT.32)</t>
        </is>
      </c>
      <c r="D2328" s="10" t="inlineStr">
        <is>
          <t>NGÂN HÀNG TMCP QUÂN ĐỘI – MBBANK</t>
        </is>
      </c>
      <c r="E2328" s="10" t="inlineStr">
        <is>
          <t>10tr-35tr ₫/tháng</t>
        </is>
      </c>
      <c r="F2328" s="10" t="inlineStr">
        <is>
          <t>Đà Nẵng</t>
        </is>
      </c>
      <c r="G2328" s="10" t="inlineStr">
        <is>
          <t>Nhân viên</t>
        </is>
      </c>
      <c r="H2328" s="10" t="inlineStr">
        <is>
          <t>24/02/2026</t>
        </is>
      </c>
      <c r="I2328" s="10" t="inlineStr">
        <is>
          <t>26/03/2026</t>
        </is>
      </c>
      <c r="J2328" s="10" t="inlineStr">
        <is>
          <t>17/03/2026</t>
        </is>
      </c>
      <c r="K2328" s="10" t="inlineStr">
        <is>
          <t>N/A</t>
        </is>
      </c>
      <c r="L2328" s="10" t="inlineStr">
        <is>
          <t>Business Development, Financial Analysis, Leadership, Negotiation, Risk Management</t>
        </is>
      </c>
      <c r="M2328" s="10" t="inlineStr">
        <is>
          <t>Bonus, Healthcare Plan, Paid Leave, Training, Awards, Library, Team Activities</t>
        </is>
      </c>
      <c r="N2328" s="11">
        <f>HYPERLINK("https://www.vietnamworks.com/chuyen-vien-khach-hang-doanh-nghiep-khu-vuc-dja-nang-cnlt-32-2013142-jv","Xem chi tiết")</f>
        <v/>
      </c>
      <c r="O2328" s="10" t="n"/>
    </row>
    <row r="2329">
      <c r="B2329" s="7" t="n">
        <v>2327</v>
      </c>
      <c r="C2329" t="inlineStr">
        <is>
          <t>Chuyên Viên Khách Hàng Cá Nhân - CN. Hà Tĩnh (CNLT.289)</t>
        </is>
      </c>
      <c r="D2329" t="inlineStr">
        <is>
          <t>NGÂN HÀNG TMCP QUÂN ĐỘI – MBBANK</t>
        </is>
      </c>
      <c r="E2329" t="inlineStr">
        <is>
          <t>9tr-35tr ₫/tháng</t>
        </is>
      </c>
      <c r="F2329" t="inlineStr">
        <is>
          <t>Hà Tĩnh</t>
        </is>
      </c>
      <c r="G2329" t="inlineStr">
        <is>
          <t>Nhân viên</t>
        </is>
      </c>
      <c r="H2329" t="inlineStr">
        <is>
          <t>24/02/2026</t>
        </is>
      </c>
      <c r="I2329" t="inlineStr">
        <is>
          <t>26/03/2026</t>
        </is>
      </c>
      <c r="J2329" t="inlineStr">
        <is>
          <t>17/03/2026</t>
        </is>
      </c>
      <c r="K2329" t="inlineStr">
        <is>
          <t>N/A</t>
        </is>
      </c>
      <c r="L2329" t="inlineStr">
        <is>
          <t>Business Development, Financial Analysis, Leadership, Negotiation, Risk Management</t>
        </is>
      </c>
      <c r="M2329" t="inlineStr">
        <is>
          <t>Bonus, Healthcare Plan, Paid Leave, Training, Awards, Library, Team Activities</t>
        </is>
      </c>
      <c r="N2329" s="8">
        <f>HYPERLINK("https://www.vietnamworks.com/chuyen-vien-khach-hang-ca-nhan-cn-ha-tinh-cnlt-289-2013138-jv","Xem chi tiết")</f>
        <v/>
      </c>
    </row>
    <row r="2330">
      <c r="B2330" s="9" t="n">
        <v>2328</v>
      </c>
      <c r="C2330" s="10" t="inlineStr">
        <is>
          <t>Chuyên Viên Khách Hàng Doanh Nghiệp - CN. Hà Tĩnh (CNLT.290)</t>
        </is>
      </c>
      <c r="D2330" s="10" t="inlineStr">
        <is>
          <t>NGÂN HÀNG TMCP QUÂN ĐỘI – MBBANK</t>
        </is>
      </c>
      <c r="E2330" s="10" t="inlineStr">
        <is>
          <t>10tr-35tr ₫/tháng</t>
        </is>
      </c>
      <c r="F2330" s="10" t="inlineStr">
        <is>
          <t>Hà Tĩnh</t>
        </is>
      </c>
      <c r="G2330" s="10" t="inlineStr">
        <is>
          <t>Nhân viên</t>
        </is>
      </c>
      <c r="H2330" s="10" t="inlineStr">
        <is>
          <t>24/02/2026</t>
        </is>
      </c>
      <c r="I2330" s="10" t="inlineStr">
        <is>
          <t>26/03/2026</t>
        </is>
      </c>
      <c r="J2330" s="10" t="inlineStr">
        <is>
          <t>17/03/2026</t>
        </is>
      </c>
      <c r="K2330" s="10" t="inlineStr">
        <is>
          <t>N/A</t>
        </is>
      </c>
      <c r="L2330" s="10" t="inlineStr">
        <is>
          <t>Business Development, Financial Analysis, Leadership, Negotiation, Risk Management</t>
        </is>
      </c>
      <c r="M2330" s="10" t="inlineStr">
        <is>
          <t>Bonus, Healthcare Plan, Training, Team Activities, Others</t>
        </is>
      </c>
      <c r="N2330" s="11">
        <f>HYPERLINK("https://www.vietnamworks.com/chuyen-vien-khach-hang-doanh-nghiep-cn-ha-tinh-cnlt-290-2013148-jv","Xem chi tiết")</f>
        <v/>
      </c>
      <c r="O2330" s="10" t="n"/>
    </row>
    <row r="2331">
      <c r="B2331" s="7" t="n">
        <v>2329</v>
      </c>
      <c r="C2331" t="inlineStr">
        <is>
          <t>Chuyên Viên Khách Hàng Doanh Nghiệp - CN. Huế (CNLT.866)</t>
        </is>
      </c>
      <c r="D2331" t="inlineStr">
        <is>
          <t>NGÂN HÀNG TMCP QUÂN ĐỘI – MBBANK</t>
        </is>
      </c>
      <c r="E2331" t="inlineStr">
        <is>
          <t>10tr-35tr ₫/tháng</t>
        </is>
      </c>
      <c r="F2331" t="inlineStr">
        <is>
          <t>Thừa Thiên Huế</t>
        </is>
      </c>
      <c r="G2331" t="inlineStr">
        <is>
          <t>Nhân viên</t>
        </is>
      </c>
      <c r="H2331" t="inlineStr">
        <is>
          <t>24/02/2026</t>
        </is>
      </c>
      <c r="I2331" t="inlineStr">
        <is>
          <t>26/03/2026</t>
        </is>
      </c>
      <c r="J2331" t="inlineStr">
        <is>
          <t>17/03/2026</t>
        </is>
      </c>
      <c r="K2331" t="inlineStr">
        <is>
          <t>N/A</t>
        </is>
      </c>
      <c r="L2331" t="inlineStr">
        <is>
          <t>Business Development, Financial Analysis, Leadership, Negotiation, Risk Management</t>
        </is>
      </c>
      <c r="M2331" t="inlineStr">
        <is>
          <t>Bonus, Healthcare Plan, Paid Leave, Training, Awards, Library, Team Activities</t>
        </is>
      </c>
      <c r="N2331" s="8">
        <f>HYPERLINK("https://www.vietnamworks.com/chuyen-vien-khach-hang-doanh-nghiep-cn-hue-cnlt-866-2013144-jv","Xem chi tiết")</f>
        <v/>
      </c>
    </row>
    <row r="2332">
      <c r="B2332" s="9" t="n">
        <v>2330</v>
      </c>
      <c r="C2332" s="10" t="inlineStr">
        <is>
          <t>Kế Toán Trưởng</t>
        </is>
      </c>
      <c r="D2332" s="10" t="inlineStr">
        <is>
          <t>CÔNG TY CỔ PHẦN CẨM THẠCH XANH</t>
        </is>
      </c>
      <c r="E2332" s="10" t="inlineStr">
        <is>
          <t>Thương lượng</t>
        </is>
      </c>
      <c r="F2332" s="10" t="inlineStr">
        <is>
          <t>Khánh Hòa</t>
        </is>
      </c>
      <c r="G2332" s="10" t="inlineStr">
        <is>
          <t>Nhân viên</t>
        </is>
      </c>
      <c r="H2332" s="10" t="inlineStr">
        <is>
          <t>24/02/2026</t>
        </is>
      </c>
      <c r="I2332" s="10" t="inlineStr">
        <is>
          <t>26/03/2026</t>
        </is>
      </c>
      <c r="J2332" s="10" t="inlineStr">
        <is>
          <t>17/03/2026</t>
        </is>
      </c>
      <c r="K2332" s="10" t="inlineStr">
        <is>
          <t>N/A</t>
        </is>
      </c>
      <c r="L2332" s="10" t="inlineStr">
        <is>
          <t>Báo Cáo Tài Chính, Hạch Toán, MISA Accounting, Tài Chính Kế Toán, Tài Chính</t>
        </is>
      </c>
      <c r="M2332" s="10" t="inlineStr">
        <is>
          <t>Healthcare Plan</t>
        </is>
      </c>
      <c r="N2332" s="11">
        <f>HYPERLINK("https://www.vietnamworks.com/ke-toan-truong-2013149-jv","Xem chi tiết")</f>
        <v/>
      </c>
      <c r="O2332" s="10" t="n"/>
    </row>
    <row r="2333">
      <c r="B2333" s="7" t="n">
        <v>2331</v>
      </c>
      <c r="C2333" t="inlineStr">
        <is>
          <t>Chuyên Viên Khách Hàng Cá Nhân - Khu Vực Hà Nội (CNLT.01)</t>
        </is>
      </c>
      <c r="D2333" t="inlineStr">
        <is>
          <t>NGÂN HÀNG TMCP QUÂN ĐỘI – MBBANK</t>
        </is>
      </c>
      <c r="E2333" t="inlineStr">
        <is>
          <t>9tr-35tr ₫/tháng</t>
        </is>
      </c>
      <c r="F2333" t="inlineStr">
        <is>
          <t>Hà Nội</t>
        </is>
      </c>
      <c r="G2333" t="inlineStr">
        <is>
          <t>Nhân viên</t>
        </is>
      </c>
      <c r="H2333" t="inlineStr">
        <is>
          <t>24/02/2026</t>
        </is>
      </c>
      <c r="I2333" t="inlineStr">
        <is>
          <t>26/03/2026</t>
        </is>
      </c>
      <c r="J2333" t="inlineStr">
        <is>
          <t>17/03/2026</t>
        </is>
      </c>
      <c r="K2333" t="inlineStr">
        <is>
          <t>N/A</t>
        </is>
      </c>
      <c r="L2333" t="inlineStr">
        <is>
          <t>Financial Analysis, Risk Management, Business Development, Negotiation, Leadership</t>
        </is>
      </c>
      <c r="M2333" t="inlineStr">
        <is>
          <t>Bonus, Healthcare Plan, Paid Leave</t>
        </is>
      </c>
      <c r="N2333" s="8">
        <f>HYPERLINK("https://www.vietnamworks.com/chuyen-vien-khach-hang-ca-nhan-khu-vuc-ha-noi-cnlt-01--2013158-jv","Xem chi tiết")</f>
        <v/>
      </c>
    </row>
    <row r="2334">
      <c r="B2334" s="9" t="n">
        <v>2332</v>
      </c>
      <c r="C2334" s="10" t="inlineStr">
        <is>
          <t>Chuyên Viên Khách Hàng Cá Nhân - CN. Khánh Hòa (CNLT.895)</t>
        </is>
      </c>
      <c r="D2334" s="10" t="inlineStr">
        <is>
          <t>NGÂN HÀNG TMCP QUÂN ĐỘI – MBBANK</t>
        </is>
      </c>
      <c r="E2334" s="10" t="inlineStr">
        <is>
          <t>9tr-35tr ₫/tháng</t>
        </is>
      </c>
      <c r="F2334" s="10" t="inlineStr">
        <is>
          <t>Khánh Hòa</t>
        </is>
      </c>
      <c r="G2334" s="10" t="inlineStr">
        <is>
          <t>Nhân viên</t>
        </is>
      </c>
      <c r="H2334" s="10" t="inlineStr">
        <is>
          <t>24/02/2026</t>
        </is>
      </c>
      <c r="I2334" s="10" t="inlineStr">
        <is>
          <t>26/03/2026</t>
        </is>
      </c>
      <c r="J2334" s="10" t="inlineStr">
        <is>
          <t>17/03/2026</t>
        </is>
      </c>
      <c r="K2334" s="10" t="inlineStr">
        <is>
          <t>N/A</t>
        </is>
      </c>
      <c r="L2334" s="10" t="inlineStr">
        <is>
          <t>Business Development, Financial Analysis, Leadership, Negotiation, Risk Management</t>
        </is>
      </c>
      <c r="M2334" s="10" t="inlineStr">
        <is>
          <t>Bonus, Healthcare Plan, Training, Team Activities, Others</t>
        </is>
      </c>
      <c r="N2334" s="11">
        <f>HYPERLINK("https://www.vietnamworks.com/chuyen-vien-khach-hang-ca-nhan-cn-khanh-hoa-cnlt-895-2013160-jv","Xem chi tiết")</f>
        <v/>
      </c>
      <c r="O2334" s="10" t="n"/>
    </row>
    <row r="2335">
      <c r="B2335" s="7" t="n">
        <v>2333</v>
      </c>
      <c r="C2335" t="inlineStr">
        <is>
          <t>Chuyên Viên Khách Hàng Cá Nhân - CN. Hải Phòng (CNLT.307)</t>
        </is>
      </c>
      <c r="D2335" t="inlineStr">
        <is>
          <t>NGÂN HÀNG TMCP QUÂN ĐỘI – MBBANK</t>
        </is>
      </c>
      <c r="E2335" t="inlineStr">
        <is>
          <t>9tr-35tr ₫/tháng</t>
        </is>
      </c>
      <c r="F2335" t="inlineStr">
        <is>
          <t>Hải Phòng</t>
        </is>
      </c>
      <c r="G2335" t="inlineStr">
        <is>
          <t>Nhân viên</t>
        </is>
      </c>
      <c r="H2335" t="inlineStr">
        <is>
          <t>24/02/2026</t>
        </is>
      </c>
      <c r="I2335" t="inlineStr">
        <is>
          <t>26/03/2026</t>
        </is>
      </c>
      <c r="J2335" t="inlineStr">
        <is>
          <t>17/03/2026</t>
        </is>
      </c>
      <c r="K2335" t="inlineStr">
        <is>
          <t>N/A</t>
        </is>
      </c>
      <c r="L2335" t="inlineStr">
        <is>
          <t>Business Development, Financial Analysis, Leadership, Negotiation, Risk Management</t>
        </is>
      </c>
      <c r="M2335" t="inlineStr">
        <is>
          <t>Bonus, Healthcare Plan, Training, Team Activities, Others</t>
        </is>
      </c>
      <c r="N2335" s="8">
        <f>HYPERLINK("https://www.vietnamworks.com/chuyen-vien-khach-hang-ca-nhan-cn-hai-phong-cnlt-307-2013157-jv","Xem chi tiết")</f>
        <v/>
      </c>
    </row>
    <row r="2336">
      <c r="B2336" s="9" t="n">
        <v>2334</v>
      </c>
      <c r="C2336" s="10" t="inlineStr">
        <is>
          <t>General Accountant (GL)</t>
        </is>
      </c>
      <c r="D2336" s="10" t="inlineStr">
        <is>
          <t>BW Industrial Development JSC</t>
        </is>
      </c>
      <c r="E2336" s="10" t="inlineStr">
        <is>
          <t>Thương lượng</t>
        </is>
      </c>
      <c r="F2336" s="10" t="inlineStr">
        <is>
          <t>Hồ Chí Minh</t>
        </is>
      </c>
      <c r="G2336" s="10" t="inlineStr">
        <is>
          <t>Nhân viên</t>
        </is>
      </c>
      <c r="H2336" s="10" t="inlineStr">
        <is>
          <t>24/02/2026</t>
        </is>
      </c>
      <c r="I2336" s="10" t="inlineStr">
        <is>
          <t>26/03/2026</t>
        </is>
      </c>
      <c r="J2336" s="10" t="inlineStr">
        <is>
          <t>17/03/2026</t>
        </is>
      </c>
      <c r="K2336" s="10" t="inlineStr">
        <is>
          <t>N/A</t>
        </is>
      </c>
      <c r="L2336" s="10" t="inlineStr">
        <is>
          <t>VAS, IFRS, Accounting Management, Tax Optimization, Chief Accountant Certificate</t>
        </is>
      </c>
      <c r="M2336" s="10" t="inlineStr">
        <is>
          <t>Bonus, Healthcare Plan, Laptop</t>
        </is>
      </c>
      <c r="N2336" s="11">
        <f>HYPERLINK("https://www.vietnamworks.com/general-accountant-gl--2013156-jv","Xem chi tiết")</f>
        <v/>
      </c>
      <c r="O2336" s="10" t="n"/>
    </row>
    <row r="2337">
      <c r="B2337" s="7" t="n">
        <v>2335</v>
      </c>
      <c r="C2337" t="inlineStr">
        <is>
          <t>Chuyên Viên Khách Hàng Doanh Nghiệp - CN. Vũng Tàu (CNLT.1238)</t>
        </is>
      </c>
      <c r="D2337" t="inlineStr">
        <is>
          <t>NGÂN HÀNG TMCP QUÂN ĐỘI – MBBANK</t>
        </is>
      </c>
      <c r="E2337" t="inlineStr">
        <is>
          <t>10tr-35tr ₫/tháng</t>
        </is>
      </c>
      <c r="F2337" t="inlineStr">
        <is>
          <t>Bà Rịa - Vũng Tàu</t>
        </is>
      </c>
      <c r="G2337" t="inlineStr">
        <is>
          <t>Nhân viên</t>
        </is>
      </c>
      <c r="H2337" t="inlineStr">
        <is>
          <t>24/02/2026</t>
        </is>
      </c>
      <c r="I2337" t="inlineStr">
        <is>
          <t>26/03/2026</t>
        </is>
      </c>
      <c r="J2337" t="inlineStr">
        <is>
          <t>17/03/2026</t>
        </is>
      </c>
      <c r="K2337" t="inlineStr">
        <is>
          <t>N/A</t>
        </is>
      </c>
      <c r="L2337" t="inlineStr">
        <is>
          <t>Business Development, Financial Analysis, Leadership, Negotiation, Risk Management</t>
        </is>
      </c>
      <c r="M2337" t="inlineStr">
        <is>
          <t>Bonus, Healthcare Plan, Training, Team Activities, Others</t>
        </is>
      </c>
      <c r="N2337" s="8">
        <f>HYPERLINK("https://www.vietnamworks.com/chuyen-vien-khach-hang-doanh-nghiep-cn-vung-tau-cnlt-1238-2013155-jv","Xem chi tiết")</f>
        <v/>
      </c>
    </row>
    <row r="2338">
      <c r="B2338" s="9" t="n">
        <v>2336</v>
      </c>
      <c r="C2338" s="10" t="inlineStr">
        <is>
          <t>Chuyên Viên Khách Hàng Doanh Nghiệp - CN. Quảng Trị (CNLT.1016)</t>
        </is>
      </c>
      <c r="D2338" s="10" t="inlineStr">
        <is>
          <t>NGÂN HÀNG TMCP QUÂN ĐỘI – MBBANK</t>
        </is>
      </c>
      <c r="E2338" s="10" t="inlineStr">
        <is>
          <t>10tr-35tr ₫/tháng</t>
        </is>
      </c>
      <c r="F2338" s="10" t="inlineStr">
        <is>
          <t>Quảng Trị</t>
        </is>
      </c>
      <c r="G2338" s="10" t="inlineStr">
        <is>
          <t>Nhân viên</t>
        </is>
      </c>
      <c r="H2338" s="10" t="inlineStr">
        <is>
          <t>24/02/2026</t>
        </is>
      </c>
      <c r="I2338" s="10" t="inlineStr">
        <is>
          <t>26/03/2026</t>
        </is>
      </c>
      <c r="J2338" s="10" t="inlineStr">
        <is>
          <t>17/03/2026</t>
        </is>
      </c>
      <c r="K2338" s="10" t="inlineStr">
        <is>
          <t>N/A</t>
        </is>
      </c>
      <c r="L2338" s="10" t="inlineStr">
        <is>
          <t>Business Development, Financial Analysis, Leadership, Negotiation, Risk Management</t>
        </is>
      </c>
      <c r="M2338" s="10" t="inlineStr">
        <is>
          <t>Bonus, Healthcare Plan, Training, Team Activities</t>
        </is>
      </c>
      <c r="N2338" s="11">
        <f>HYPERLINK("https://www.vietnamworks.com/chuyen-vien-khach-hang-doanh-nghiep-cn-quang-tri-cnlt-1016-2013151-jv","Xem chi tiết")</f>
        <v/>
      </c>
      <c r="O2338" s="10" t="n"/>
    </row>
    <row r="2339">
      <c r="B2339" s="7" t="n">
        <v>2337</v>
      </c>
      <c r="C2339" t="inlineStr">
        <is>
          <t>Chuyên Viên Khách Hàng Cá Nhân - Khu Vực Tây Hồ, Bắc Từ Liêm (CNLT.1459)</t>
        </is>
      </c>
      <c r="D2339" t="inlineStr">
        <is>
          <t>NGÂN HÀNG TMCP QUÂN ĐỘI – MBBANK</t>
        </is>
      </c>
      <c r="E2339" t="inlineStr">
        <is>
          <t>9tr-35tr ₫/tháng</t>
        </is>
      </c>
      <c r="F2339" t="inlineStr">
        <is>
          <t>Hà Nội</t>
        </is>
      </c>
      <c r="G2339" t="inlineStr">
        <is>
          <t>Nhân viên</t>
        </is>
      </c>
      <c r="H2339" t="inlineStr">
        <is>
          <t>24/02/2026</t>
        </is>
      </c>
      <c r="I2339" t="inlineStr">
        <is>
          <t>26/03/2026</t>
        </is>
      </c>
      <c r="J2339" t="inlineStr">
        <is>
          <t>17/03/2026</t>
        </is>
      </c>
      <c r="K2339" t="inlineStr">
        <is>
          <t>N/A</t>
        </is>
      </c>
      <c r="L2339" t="inlineStr">
        <is>
          <t>Business Development, Financial Analysis, Leadership, Negotiation, Risk Management</t>
        </is>
      </c>
      <c r="M2339" t="inlineStr">
        <is>
          <t>Bonus, Healthcare Plan, Training, Team Activities, Others</t>
        </is>
      </c>
      <c r="N2339" s="8">
        <f>HYPERLINK("https://www.vietnamworks.com/chuyen-vien-khach-hang-ca-nhan-khu-vuc-tay-ho-bac-tu-liem-cnlt-1459-2013153-jv","Xem chi tiết")</f>
        <v/>
      </c>
    </row>
    <row r="2340">
      <c r="B2340" s="9" t="n">
        <v>2338</v>
      </c>
      <c r="C2340" s="10" t="inlineStr">
        <is>
          <t>Process Engineer</t>
        </is>
      </c>
      <c r="D2340" s="10" t="inlineStr">
        <is>
          <t>Quickpack Vietnam Co.ltd</t>
        </is>
      </c>
      <c r="E2340" s="10" t="inlineStr">
        <is>
          <t>Từ $ 800 /tháng</t>
        </is>
      </c>
      <c r="F2340" s="10" t="inlineStr">
        <is>
          <t>Tây Ninh</t>
        </is>
      </c>
      <c r="G2340" s="10" t="inlineStr">
        <is>
          <t>Nhân viên</t>
        </is>
      </c>
      <c r="H2340" s="10" t="inlineStr">
        <is>
          <t>24/02/2026</t>
        </is>
      </c>
      <c r="I2340" s="10" t="inlineStr">
        <is>
          <t>26/03/2026</t>
        </is>
      </c>
      <c r="J2340" s="10" t="inlineStr">
        <is>
          <t>17/03/2026</t>
        </is>
      </c>
      <c r="K2340" s="10" t="inlineStr">
        <is>
          <t>N/A</t>
        </is>
      </c>
      <c r="L2340" s="10" t="inlineStr">
        <is>
          <t>Data Analysis, Problem-solving, Process Engineer, Quality System, Teamwork</t>
        </is>
      </c>
      <c r="M2340" s="10" t="inlineStr">
        <is>
          <t>Bonus, Healthcare Plan, Training, Others</t>
        </is>
      </c>
      <c r="N2340" s="11">
        <f>HYPERLINK("https://www.vietnamworks.com/process-engineer-2013167-jv","Xem chi tiết")</f>
        <v/>
      </c>
      <c r="O2340" s="10" t="n"/>
    </row>
    <row r="2341">
      <c r="B2341" s="7" t="n">
        <v>2339</v>
      </c>
      <c r="C2341" t="inlineStr">
        <is>
          <t>Kỹ Sư Cấp Thoát Nước</t>
        </is>
      </c>
      <c r="D2341" t="inlineStr">
        <is>
          <t>Công Ty Cổ Phần Nước Và Xây Dựng Đường Thành (Waterco)</t>
        </is>
      </c>
      <c r="E2341" t="inlineStr">
        <is>
          <t>Thương lượng</t>
        </is>
      </c>
      <c r="F2341" t="inlineStr">
        <is>
          <t>Hà Nội</t>
        </is>
      </c>
      <c r="G2341" t="inlineStr">
        <is>
          <t>Nhân viên</t>
        </is>
      </c>
      <c r="H2341" t="inlineStr">
        <is>
          <t>24/02/2026</t>
        </is>
      </c>
      <c r="I2341" t="inlineStr">
        <is>
          <t>26/03/2026</t>
        </is>
      </c>
      <c r="J2341" t="inlineStr">
        <is>
          <t>17/03/2026</t>
        </is>
      </c>
      <c r="K2341" t="inlineStr">
        <is>
          <t>N/A</t>
        </is>
      </c>
      <c r="L2341" t="inlineStr">
        <is>
          <t>Cấp Thoát Nước, Xây Dựng, Thiết Kế Cấp Thoát Nước, Tư Vấn, Giám Sát</t>
        </is>
      </c>
      <c r="M2341" t="inlineStr">
        <is>
          <t>Healthcare Plan, Training, Canteen</t>
        </is>
      </c>
      <c r="N2341" s="8">
        <f>HYPERLINK("https://www.vietnamworks.com/ky-su-cap-thoat-nuoc--2013169-jv","Xem chi tiết")</f>
        <v/>
      </c>
    </row>
    <row r="2342">
      <c r="B2342" s="9" t="n">
        <v>2340</v>
      </c>
      <c r="C2342" s="10" t="inlineStr">
        <is>
          <t>Viettel Future Changemakers - Quản Trị Viên Tập Sự - Quản Lý Dự Án</t>
        </is>
      </c>
      <c r="D2342" s="10" t="inlineStr">
        <is>
          <t>Tập Đoàn Công Nghiệp - Viễn Thông Quân Đội (Viettel Group)</t>
        </is>
      </c>
      <c r="E2342" s="10" t="inlineStr">
        <is>
          <t>$$ 1,000-2,000 /tháng</t>
        </is>
      </c>
      <c r="F2342" s="10" t="inlineStr">
        <is>
          <t>Hà Nội</t>
        </is>
      </c>
      <c r="G2342" s="10" t="inlineStr">
        <is>
          <t>Nhân viên</t>
        </is>
      </c>
      <c r="H2342" s="10" t="inlineStr">
        <is>
          <t>24/02/2026</t>
        </is>
      </c>
      <c r="I2342" s="10" t="inlineStr">
        <is>
          <t>26/03/2026</t>
        </is>
      </c>
      <c r="J2342" s="10" t="inlineStr">
        <is>
          <t>17/03/2026</t>
        </is>
      </c>
      <c r="K2342" s="10" t="inlineStr">
        <is>
          <t>N/A</t>
        </is>
      </c>
      <c r="L2342" s="10" t="inlineStr">
        <is>
          <t>IT Phần Mềm, Project Management, IT Business Analyst</t>
        </is>
      </c>
      <c r="M2342" s="10" t="inlineStr">
        <is>
          <t>Bonus, Team Activities, Transportation</t>
        </is>
      </c>
      <c r="N2342" s="11">
        <f>HYPERLINK("https://www.vietnamworks.com/viettel-future-changemakers-quan-tri-vien-tap-su-quan-ly-du-an-2013166-jv","Xem chi tiết")</f>
        <v/>
      </c>
      <c r="O2342" s="10" t="n"/>
    </row>
    <row r="2343">
      <c r="B2343" s="7" t="n">
        <v>2341</v>
      </c>
      <c r="C2343" t="inlineStr">
        <is>
          <t>Trưởng Bộ Phận/Chuyên Viên Cao Cấp Phát Triển Sản Phẩm</t>
        </is>
      </c>
      <c r="D2343" t="inlineStr">
        <is>
          <t>Công Ty Cổ Phần Chứng Khoán Dầu Khí (Psi)</t>
        </is>
      </c>
      <c r="E2343" t="inlineStr">
        <is>
          <t>Thương lượng</t>
        </is>
      </c>
      <c r="F2343" t="inlineStr">
        <is>
          <t>Hà Nội</t>
        </is>
      </c>
      <c r="G2343" t="inlineStr">
        <is>
          <t>Trưởng phòng</t>
        </is>
      </c>
      <c r="H2343" t="inlineStr">
        <is>
          <t>24/02/2026</t>
        </is>
      </c>
      <c r="I2343" t="inlineStr">
        <is>
          <t>26/03/2026</t>
        </is>
      </c>
      <c r="J2343" t="inlineStr">
        <is>
          <t>17/03/2026</t>
        </is>
      </c>
      <c r="K2343" t="inlineStr">
        <is>
          <t>N/A</t>
        </is>
      </c>
      <c r="L2343" t="inlineStr">
        <is>
          <t>Khảo Sát Thị Trường, Môi Giới Chứng Khoán, Nghiên Cứu Sản Phẩm, Phát Triển Sản Phẩm, Triển Khai Sản Phẩm</t>
        </is>
      </c>
      <c r="M2343" t="inlineStr">
        <is>
          <t>Bonus, Healthcare Plan, Paid Leave, Training, Others</t>
        </is>
      </c>
      <c r="N2343" s="8">
        <f>HYPERLINK("https://www.vietnamworks.com/truong-bo-phanchuyen-vien-cao-cap-phat-trien-san-pham-2013163-jv","Xem chi tiết")</f>
        <v/>
      </c>
    </row>
    <row r="2344">
      <c r="B2344" s="9" t="n">
        <v>2342</v>
      </c>
      <c r="C2344" s="10" t="inlineStr">
        <is>
          <t>Merchandise Planning Manager</t>
        </is>
      </c>
      <c r="D2344" s="10" t="inlineStr">
        <is>
          <t>Maison Retail Management International</t>
        </is>
      </c>
      <c r="E2344" s="10" t="inlineStr">
        <is>
          <t>Thương lượng</t>
        </is>
      </c>
      <c r="F2344" s="10" t="inlineStr">
        <is>
          <t>Hồ Chí Minh</t>
        </is>
      </c>
      <c r="G2344" s="10" t="inlineStr">
        <is>
          <t>Trưởng phòng</t>
        </is>
      </c>
      <c r="H2344" s="10" t="inlineStr">
        <is>
          <t>24/02/2026</t>
        </is>
      </c>
      <c r="I2344" s="10" t="inlineStr">
        <is>
          <t>26/03/2026</t>
        </is>
      </c>
      <c r="J2344" s="10" t="inlineStr">
        <is>
          <t>17/03/2026</t>
        </is>
      </c>
      <c r="K2344" s="10" t="inlineStr">
        <is>
          <t>N/A</t>
        </is>
      </c>
      <c r="L2344" s="10" t="inlineStr">
        <is>
          <t>Inventory Management, Merchandise Planning, Data Analysis, Trend Analysis, Demand Forecasting</t>
        </is>
      </c>
      <c r="M2344" s="10" t="inlineStr">
        <is>
          <t>Bonus, Awards, Laptop</t>
        </is>
      </c>
      <c r="N2344" s="11">
        <f>HYPERLINK("https://www.vietnamworks.com/merchandise-planning-manager-2013173-jv","Xem chi tiết")</f>
        <v/>
      </c>
      <c r="O2344" s="10" t="n"/>
    </row>
    <row r="2345">
      <c r="B2345" s="7" t="n">
        <v>2343</v>
      </c>
      <c r="C2345" t="inlineStr">
        <is>
          <t>Accountant (AR)</t>
        </is>
      </c>
      <c r="D2345" t="inlineStr">
        <is>
          <t>BW Industrial Development JSC</t>
        </is>
      </c>
      <c r="E2345" t="inlineStr">
        <is>
          <t>Thương lượng</t>
        </is>
      </c>
      <c r="F2345" t="inlineStr">
        <is>
          <t>Hồ Chí Minh</t>
        </is>
      </c>
      <c r="G2345" t="inlineStr">
        <is>
          <t>Nhân viên</t>
        </is>
      </c>
      <c r="H2345" t="inlineStr">
        <is>
          <t>24/02/2026</t>
        </is>
      </c>
      <c r="I2345" t="inlineStr">
        <is>
          <t>26/03/2026</t>
        </is>
      </c>
      <c r="J2345" t="inlineStr">
        <is>
          <t>17/03/2026</t>
        </is>
      </c>
      <c r="K2345" t="inlineStr">
        <is>
          <t>N/A</t>
        </is>
      </c>
      <c r="L2345" t="inlineStr">
        <is>
          <t>Account Receivable, Communication Skills, ERP Systems, Oracle Netsuite, Vat Regulations</t>
        </is>
      </c>
      <c r="M2345" t="inlineStr">
        <is>
          <t>Bonus, Healthcare Plan, Laptop</t>
        </is>
      </c>
      <c r="N2345" s="8">
        <f>HYPERLINK("https://www.vietnamworks.com/accountant-ar-2013170-jv","Xem chi tiết")</f>
        <v/>
      </c>
    </row>
    <row r="2346">
      <c r="B2346" s="9" t="n">
        <v>2344</v>
      </c>
      <c r="C2346" s="10" t="inlineStr">
        <is>
          <t>Chuyên Viên Khách Hàng Doanh Nghiệp - CN. Lào Cai (CNLT.632)</t>
        </is>
      </c>
      <c r="D2346" s="10" t="inlineStr">
        <is>
          <t>NGÂN HÀNG TMCP QUÂN ĐỘI – MBBANK</t>
        </is>
      </c>
      <c r="E2346" s="10" t="inlineStr">
        <is>
          <t>10tr-35tr ₫/tháng</t>
        </is>
      </c>
      <c r="F2346" s="10" t="inlineStr">
        <is>
          <t>Lào Cai</t>
        </is>
      </c>
      <c r="G2346" s="10" t="inlineStr">
        <is>
          <t>Nhân viên</t>
        </is>
      </c>
      <c r="H2346" s="10" t="inlineStr">
        <is>
          <t>24/02/2026</t>
        </is>
      </c>
      <c r="I2346" s="10" t="inlineStr">
        <is>
          <t>26/03/2026</t>
        </is>
      </c>
      <c r="J2346" s="10" t="inlineStr">
        <is>
          <t>17/03/2026</t>
        </is>
      </c>
      <c r="K2346" s="10" t="inlineStr">
        <is>
          <t>N/A</t>
        </is>
      </c>
      <c r="L2346" s="10" t="inlineStr">
        <is>
          <t>Business Development, Financial Analysis, Leadership Skills, Negotiation Skills, Risk Management</t>
        </is>
      </c>
      <c r="M2346" s="10" t="inlineStr">
        <is>
          <t>Bonus, Healthcare Plan, Training, Team Activities, Others</t>
        </is>
      </c>
      <c r="N2346" s="11">
        <f>HYPERLINK("https://www.vietnamworks.com/chuyen-vien-khach-hang-doanh-nghiep-cn-lao-cai-cnlt-632-2013161-jv","Xem chi tiết")</f>
        <v/>
      </c>
      <c r="O2346" s="10" t="n"/>
    </row>
    <row r="2347">
      <c r="B2347" s="7" t="n">
        <v>2345</v>
      </c>
      <c r="C2347" t="inlineStr">
        <is>
          <t>Chuyên Viên Khách Hàng Doanh Nghiệp - CN. Hải Phòng (CNLT.308)</t>
        </is>
      </c>
      <c r="D2347" t="inlineStr">
        <is>
          <t>NGÂN HÀNG TMCP QUÂN ĐỘI – MBBANK</t>
        </is>
      </c>
      <c r="E2347" t="inlineStr">
        <is>
          <t>10tr-35tr ₫/tháng</t>
        </is>
      </c>
      <c r="F2347" t="inlineStr">
        <is>
          <t>Hải Phòng</t>
        </is>
      </c>
      <c r="G2347" t="inlineStr">
        <is>
          <t>Nhân viên</t>
        </is>
      </c>
      <c r="H2347" t="inlineStr">
        <is>
          <t>24/02/2026</t>
        </is>
      </c>
      <c r="I2347" t="inlineStr">
        <is>
          <t>26/03/2026</t>
        </is>
      </c>
      <c r="J2347" t="inlineStr">
        <is>
          <t>17/03/2026</t>
        </is>
      </c>
      <c r="K2347" t="inlineStr">
        <is>
          <t>N/A</t>
        </is>
      </c>
      <c r="L2347" t="inlineStr">
        <is>
          <t>Business Development, Financial Analysis, Leadership, Negotiation, Risk Management</t>
        </is>
      </c>
      <c r="M2347" t="inlineStr">
        <is>
          <t>Bonus, Healthcare Plan, Training, Awards, Others</t>
        </is>
      </c>
      <c r="N2347" s="8">
        <f>HYPERLINK("https://www.vietnamworks.com/chuyen-vien-khach-hang-doanh-nghiep-cn-hai-phong-cnlt-308-2013164-jv","Xem chi tiết")</f>
        <v/>
      </c>
    </row>
    <row r="2348">
      <c r="B2348" s="9" t="n">
        <v>2346</v>
      </c>
      <c r="C2348" s="10" t="inlineStr">
        <is>
          <t>Chuyên Viên Khách Hàng Doanh Nghiệp - CN. Bắc Giang (CNLT.536)</t>
        </is>
      </c>
      <c r="D2348" s="10" t="inlineStr">
        <is>
          <t>NGÂN HÀNG TMCP QUÂN ĐỘI – MBBANK</t>
        </is>
      </c>
      <c r="E2348" s="10" t="inlineStr">
        <is>
          <t>10tr-35tr ₫/tháng</t>
        </is>
      </c>
      <c r="F2348" s="10" t="inlineStr">
        <is>
          <t>Bắc Ninh</t>
        </is>
      </c>
      <c r="G2348" s="10" t="inlineStr">
        <is>
          <t>Nhân viên</t>
        </is>
      </c>
      <c r="H2348" s="10" t="inlineStr">
        <is>
          <t>24/02/2026</t>
        </is>
      </c>
      <c r="I2348" s="10" t="inlineStr">
        <is>
          <t>26/03/2026</t>
        </is>
      </c>
      <c r="J2348" s="10" t="inlineStr">
        <is>
          <t>17/03/2026</t>
        </is>
      </c>
      <c r="K2348" s="10" t="inlineStr">
        <is>
          <t>N/A</t>
        </is>
      </c>
      <c r="L2348" s="10" t="inlineStr">
        <is>
          <t>Business Development, Financial Analysis, Leadership, Negotiation, Risk Management</t>
        </is>
      </c>
      <c r="M2348" s="10" t="inlineStr">
        <is>
          <t>Bonus, Healthcare Plan, Paid Leave, Training, Awards, Library, Team Activities</t>
        </is>
      </c>
      <c r="N2348" s="11">
        <f>HYPERLINK("https://www.vietnamworks.com/chuyen-vien-khach-hang-doanh-nghiep-cn-bac-giang-cnlt-536-2013172-jv","Xem chi tiết")</f>
        <v/>
      </c>
      <c r="O2348" s="10" t="n"/>
    </row>
    <row r="2349">
      <c r="B2349" s="7" t="n">
        <v>2347</v>
      </c>
      <c r="C2349" t="inlineStr">
        <is>
          <t>Chuyên Viên Khách Hàng Cá Nhân - Khu Vực Bình Dương (CNLT.37)</t>
        </is>
      </c>
      <c r="D2349" t="inlineStr">
        <is>
          <t>NGÂN HÀNG TMCP QUÂN ĐỘI – MBBANK</t>
        </is>
      </c>
      <c r="E2349" t="inlineStr">
        <is>
          <t>9tr-35tr ₫/tháng</t>
        </is>
      </c>
      <c r="F2349" t="inlineStr">
        <is>
          <t>Bình Dương</t>
        </is>
      </c>
      <c r="G2349" t="inlineStr">
        <is>
          <t>Nhân viên</t>
        </is>
      </c>
      <c r="H2349" t="inlineStr">
        <is>
          <t>24/02/2026</t>
        </is>
      </c>
      <c r="I2349" t="inlineStr">
        <is>
          <t>26/03/2026</t>
        </is>
      </c>
      <c r="J2349" t="inlineStr">
        <is>
          <t>17/03/2026</t>
        </is>
      </c>
      <c r="K2349" t="inlineStr">
        <is>
          <t>N/A</t>
        </is>
      </c>
      <c r="L2349" t="inlineStr">
        <is>
          <t>Business Development, Financial Analysis, Leadership, Negotiation, Risk Management</t>
        </is>
      </c>
      <c r="M2349" t="inlineStr">
        <is>
          <t>Bonus, Healthcare Plan, Paid Leave, Training, Awards, Library, Team Activities</t>
        </is>
      </c>
      <c r="N2349" s="8">
        <f>HYPERLINK("https://www.vietnamworks.com/chuyen-vien-khach-hang-ca-nhan-khu-vuc-binh-duong-cnlt-37-2013165-jv","Xem chi tiết")</f>
        <v/>
      </c>
    </row>
    <row r="2350">
      <c r="B2350" s="9" t="n">
        <v>2348</v>
      </c>
      <c r="C2350" s="10" t="inlineStr">
        <is>
          <t>Chuyên Viên Khách Hàng Doanh Nghiệp - CN. Khánh Hòa (CNLT.896)</t>
        </is>
      </c>
      <c r="D2350" s="10" t="inlineStr">
        <is>
          <t>NGÂN HÀNG TMCP QUÂN ĐỘI – MBBANK</t>
        </is>
      </c>
      <c r="E2350" s="10" t="inlineStr">
        <is>
          <t>10tr-35tr ₫/tháng</t>
        </is>
      </c>
      <c r="F2350" s="10" t="inlineStr">
        <is>
          <t>Khánh Hòa</t>
        </is>
      </c>
      <c r="G2350" s="10" t="inlineStr">
        <is>
          <t>Nhân viên</t>
        </is>
      </c>
      <c r="H2350" s="10" t="inlineStr">
        <is>
          <t>24/02/2026</t>
        </is>
      </c>
      <c r="I2350" s="10" t="inlineStr">
        <is>
          <t>26/03/2026</t>
        </is>
      </c>
      <c r="J2350" s="10" t="inlineStr">
        <is>
          <t>17/03/2026</t>
        </is>
      </c>
      <c r="K2350" s="10" t="inlineStr">
        <is>
          <t>N/A</t>
        </is>
      </c>
      <c r="L2350" s="10" t="inlineStr">
        <is>
          <t>Business Development, Financial Analysis, Leadership, Negotiation, Risk Management</t>
        </is>
      </c>
      <c r="M2350" s="10" t="inlineStr">
        <is>
          <t>Bonus, Healthcare Plan, Paid Leave, Training, Awards, Library, Team Activities</t>
        </is>
      </c>
      <c r="N2350" s="11">
        <f>HYPERLINK("https://www.vietnamworks.com/chuyen-vien-khach-hang-doanh-nghiep-cn-khanh-hoa-cnlt-896-2013168-jv","Xem chi tiết")</f>
        <v/>
      </c>
      <c r="O2350" s="10" t="n"/>
    </row>
    <row r="2351">
      <c r="B2351" s="7" t="n">
        <v>2349</v>
      </c>
      <c r="C2351" t="inlineStr">
        <is>
          <t>Chuyên Viên Khách Hàng Doanh Nghiệp - CN. An Giang (CNLT.1262)</t>
        </is>
      </c>
      <c r="D2351" t="inlineStr">
        <is>
          <t>NGÂN HÀNG TMCP QUÂN ĐỘI – MBBANK</t>
        </is>
      </c>
      <c r="E2351" t="inlineStr">
        <is>
          <t>10tr-35tr ₫/tháng</t>
        </is>
      </c>
      <c r="F2351" t="inlineStr">
        <is>
          <t>An Giang</t>
        </is>
      </c>
      <c r="G2351" t="inlineStr">
        <is>
          <t>Nhân viên</t>
        </is>
      </c>
      <c r="H2351" t="inlineStr">
        <is>
          <t>24/02/2026</t>
        </is>
      </c>
      <c r="I2351" t="inlineStr">
        <is>
          <t>26/03/2026</t>
        </is>
      </c>
      <c r="J2351" t="inlineStr">
        <is>
          <t>17/03/2026</t>
        </is>
      </c>
      <c r="K2351" t="inlineStr">
        <is>
          <t>N/A</t>
        </is>
      </c>
      <c r="L2351" t="inlineStr">
        <is>
          <t>Business Development, Financial Analysis, Leadership, Negotiation, Risk Management</t>
        </is>
      </c>
      <c r="M2351" t="inlineStr">
        <is>
          <t>Bonus, Healthcare Plan, Paid Leave, Training, Awards, Library, Team Activities</t>
        </is>
      </c>
      <c r="N2351" s="8">
        <f>HYPERLINK("https://www.vietnamworks.com/chuyen-vien-khach-hang-doanh-nghiep-cn-an-giang-cnlt-1262-2013174-jv","Xem chi tiết")</f>
        <v/>
      </c>
    </row>
    <row r="2352">
      <c r="B2352" s="9" t="n">
        <v>2350</v>
      </c>
      <c r="C2352" s="10" t="inlineStr">
        <is>
          <t>Chuyên Viên Khách Hàng Cá Nhân - CN. Bình Dương (CNLT.1063)</t>
        </is>
      </c>
      <c r="D2352" s="10" t="inlineStr">
        <is>
          <t>NGÂN HÀNG TMCP QUÂN ĐỘI – MBBANK</t>
        </is>
      </c>
      <c r="E2352" s="10" t="inlineStr">
        <is>
          <t>9tr-35tr ₫/tháng</t>
        </is>
      </c>
      <c r="F2352" s="10" t="inlineStr">
        <is>
          <t>Hồ Chí Minh</t>
        </is>
      </c>
      <c r="G2352" s="10" t="inlineStr">
        <is>
          <t>Nhân viên</t>
        </is>
      </c>
      <c r="H2352" s="10" t="inlineStr">
        <is>
          <t>24/02/2026</t>
        </is>
      </c>
      <c r="I2352" s="10" t="inlineStr">
        <is>
          <t>26/03/2026</t>
        </is>
      </c>
      <c r="J2352" s="10" t="inlineStr">
        <is>
          <t>17/03/2026</t>
        </is>
      </c>
      <c r="K2352" s="10" t="inlineStr">
        <is>
          <t>N/A</t>
        </is>
      </c>
      <c r="L2352" s="10" t="inlineStr">
        <is>
          <t>Business Development, Financial Analysis, Leadership, Negotiation, Risk Management</t>
        </is>
      </c>
      <c r="M2352" s="10" t="inlineStr">
        <is>
          <t>Bonus, Healthcare Plan, Paid Leave, Training, Awards, Library, Team Activities</t>
        </is>
      </c>
      <c r="N2352" s="11">
        <f>HYPERLINK("https://www.vietnamworks.com/chuyen-vien-khach-hang-ca-nhan-cn-binh-duong-cnlt-1063-2013171-jv","Xem chi tiết")</f>
        <v/>
      </c>
      <c r="O2352" s="10" t="n"/>
    </row>
    <row r="2353">
      <c r="B2353" s="7" t="n">
        <v>2351</v>
      </c>
      <c r="C2353" t="inlineStr">
        <is>
          <t>Graphic Designer &amp; Illustrator - G.G.G Cosmetics</t>
        </is>
      </c>
      <c r="D2353" t="inlineStr">
        <is>
          <t>CÔNG TY CỔ PHẦN MỸ PHẨM B HAPPY</t>
        </is>
      </c>
      <c r="E2353" t="inlineStr">
        <is>
          <t>13tr-16tr ₫/tháng</t>
        </is>
      </c>
      <c r="F2353" t="inlineStr">
        <is>
          <t>Hồ Chí Minh</t>
        </is>
      </c>
      <c r="G2353" t="inlineStr">
        <is>
          <t>Nhân viên</t>
        </is>
      </c>
      <c r="H2353" t="inlineStr">
        <is>
          <t>24/02/2026</t>
        </is>
      </c>
      <c r="I2353" t="inlineStr">
        <is>
          <t>26/03/2026</t>
        </is>
      </c>
      <c r="J2353" t="inlineStr">
        <is>
          <t>17/03/2026</t>
        </is>
      </c>
      <c r="K2353" t="inlineStr">
        <is>
          <t>N/A</t>
        </is>
      </c>
      <c r="L2353" t="inlineStr">
        <is>
          <t>Adobe, Adobe Illustration, Graphic Designer</t>
        </is>
      </c>
      <c r="M2353" t="inlineStr">
        <is>
          <t>Bonus, Healthcare Plan, Training, Team Activities, Vouchers</t>
        </is>
      </c>
      <c r="N2353" s="8">
        <f>HYPERLINK("https://www.vietnamworks.com/graphic-designer-illustrator-g-g-g-cosmetics-2013175-jv","Xem chi tiết")</f>
        <v/>
      </c>
    </row>
    <row r="2354">
      <c r="B2354" s="9" t="n">
        <v>2352</v>
      </c>
      <c r="C2354" s="10" t="inlineStr">
        <is>
          <t>Chuyên Viên Khách Hàng Cá Nhân - CN. An Giang (CNLT.1261)</t>
        </is>
      </c>
      <c r="D2354" s="10" t="inlineStr">
        <is>
          <t>NGÂN HÀNG TMCP QUÂN ĐỘI – MBBANK</t>
        </is>
      </c>
      <c r="E2354" s="10" t="inlineStr">
        <is>
          <t>9tr-35tr ₫/tháng</t>
        </is>
      </c>
      <c r="F2354" s="10" t="inlineStr">
        <is>
          <t>An Giang</t>
        </is>
      </c>
      <c r="G2354" s="10" t="inlineStr">
        <is>
          <t>Nhân viên</t>
        </is>
      </c>
      <c r="H2354" s="10" t="inlineStr">
        <is>
          <t>24/02/2026</t>
        </is>
      </c>
      <c r="I2354" s="10" t="inlineStr">
        <is>
          <t>26/03/2026</t>
        </is>
      </c>
      <c r="J2354" s="10" t="inlineStr">
        <is>
          <t>17/03/2026</t>
        </is>
      </c>
      <c r="K2354" s="10" t="inlineStr">
        <is>
          <t>N/A</t>
        </is>
      </c>
      <c r="L2354" s="10" t="inlineStr">
        <is>
          <t>Business Development, Financial Analysis, Leadership, Negotiation, Risk Management</t>
        </is>
      </c>
      <c r="M2354" s="10" t="inlineStr">
        <is>
          <t>Bonus, Healthcare Plan, Training, Team Activities, Others</t>
        </is>
      </c>
      <c r="N2354" s="11">
        <f>HYPERLINK("https://www.vietnamworks.com/chuyen-vien-khach-hang-ca-nhan-cn-an-giang-cnlt-1261-2013162-jv","Xem chi tiết")</f>
        <v/>
      </c>
      <c r="O2354" s="10" t="n"/>
    </row>
    <row r="2355">
      <c r="B2355" s="7" t="n">
        <v>2353</v>
      </c>
      <c r="C2355" t="inlineStr">
        <is>
          <t>Chuyên Viên Khách Hàng Cá Nhân - CN. Móng Cái (CNLT.337)</t>
        </is>
      </c>
      <c r="D2355" t="inlineStr">
        <is>
          <t>NGÂN HÀNG TMCP QUÂN ĐỘI – MBBANK</t>
        </is>
      </c>
      <c r="E2355" t="inlineStr">
        <is>
          <t>9tr-35tr ₫/tháng</t>
        </is>
      </c>
      <c r="F2355" t="inlineStr">
        <is>
          <t>Quảng Ninh</t>
        </is>
      </c>
      <c r="G2355" t="inlineStr">
        <is>
          <t>Nhân viên</t>
        </is>
      </c>
      <c r="H2355" t="inlineStr">
        <is>
          <t>24/02/2026</t>
        </is>
      </c>
      <c r="I2355" t="inlineStr">
        <is>
          <t>26/03/2026</t>
        </is>
      </c>
      <c r="J2355" t="inlineStr">
        <is>
          <t>17/03/2026</t>
        </is>
      </c>
      <c r="K2355" t="inlineStr">
        <is>
          <t>N/A</t>
        </is>
      </c>
      <c r="L2355" t="inlineStr">
        <is>
          <t>Business Development, Financial Analysis, Leadership, Negotiation, Risk Management</t>
        </is>
      </c>
      <c r="M2355" t="inlineStr">
        <is>
          <t>Bonus, Healthcare Plan, Paid Leave, Training, Awards, Library, Team Activities</t>
        </is>
      </c>
      <c r="N2355" s="8">
        <f>HYPERLINK("https://www.vietnamworks.com/chuyen-vien-khach-hang-ca-nhan-cn-mong-cai-cnlt-337-2013176-jv","Xem chi tiết")</f>
        <v/>
      </c>
    </row>
    <row r="2356">
      <c r="B2356" s="9" t="n">
        <v>2354</v>
      </c>
      <c r="C2356" s="10" t="inlineStr">
        <is>
          <t>Automation Engineer (Team Leader)</t>
        </is>
      </c>
      <c r="D2356" s="10" t="inlineStr">
        <is>
          <t>Fushan Technology Vietnam</t>
        </is>
      </c>
      <c r="E2356" s="10" t="inlineStr">
        <is>
          <t>Thương lượng</t>
        </is>
      </c>
      <c r="F2356" s="10" t="inlineStr">
        <is>
          <t>Bắc Ninh</t>
        </is>
      </c>
      <c r="G2356" s="10" t="inlineStr">
        <is>
          <t>Nhân viên</t>
        </is>
      </c>
      <c r="H2356" s="10" t="inlineStr">
        <is>
          <t>24/02/2026</t>
        </is>
      </c>
      <c r="I2356" s="10" t="inlineStr">
        <is>
          <t>26/03/2026</t>
        </is>
      </c>
      <c r="J2356" s="10" t="inlineStr">
        <is>
          <t>17/03/2026</t>
        </is>
      </c>
      <c r="K2356" s="10" t="inlineStr">
        <is>
          <t>N/A</t>
        </is>
      </c>
      <c r="L2356" s="10" t="inlineStr">
        <is>
          <t>2D &amp; 3D software, Automation Engineering, Repair Maintenance, Programming Concepts, Robot Tự Động Hoá</t>
        </is>
      </c>
      <c r="M2356" s="10" t="inlineStr">
        <is>
          <t>Bonus, Healthcare Plan, Paid Leave</t>
        </is>
      </c>
      <c r="N2356" s="11">
        <f>HYPERLINK("https://www.vietnamworks.com/automation-engineer-team-leader-2013197-jv","Xem chi tiết")</f>
        <v/>
      </c>
      <c r="O2356" s="10" t="n"/>
    </row>
    <row r="2357">
      <c r="B2357" s="7" t="n">
        <v>2355</v>
      </c>
      <c r="C2357" t="inlineStr">
        <is>
          <t>Chuyên Viên Khách Hàng Doanh Nghiệp - Khu Vực Nam Từ Liêm, Hà Đông (CNLT.1462)</t>
        </is>
      </c>
      <c r="D2357" t="inlineStr">
        <is>
          <t>NGÂN HÀNG TMCP QUÂN ĐỘI – MBBANK</t>
        </is>
      </c>
      <c r="E2357" t="inlineStr">
        <is>
          <t>10tr-35tr ₫/tháng</t>
        </is>
      </c>
      <c r="F2357" t="inlineStr">
        <is>
          <t>Hà Nội</t>
        </is>
      </c>
      <c r="G2357" t="inlineStr">
        <is>
          <t>Nhân viên</t>
        </is>
      </c>
      <c r="H2357" t="inlineStr">
        <is>
          <t>24/02/2026</t>
        </is>
      </c>
      <c r="I2357" t="inlineStr">
        <is>
          <t>26/03/2026</t>
        </is>
      </c>
      <c r="J2357" t="inlineStr">
        <is>
          <t>17/03/2026</t>
        </is>
      </c>
      <c r="K2357" t="inlineStr">
        <is>
          <t>N/A</t>
        </is>
      </c>
      <c r="L2357" t="inlineStr">
        <is>
          <t>Business Development, Financial Analysis, Leadership, Negotiation, Risk Management</t>
        </is>
      </c>
      <c r="M2357" t="inlineStr">
        <is>
          <t>Bonus, Healthcare Plan, Paid Leave, Training, Awards, Library, Team Activities</t>
        </is>
      </c>
      <c r="N2357" s="8">
        <f>HYPERLINK("https://www.vietnamworks.com/chuyen-vien-khach-hang-doanh-nghiep-khu-vuc-nam-tu-liem-ha-djong-cnlt-1462-2013185-jv","Xem chi tiết")</f>
        <v/>
      </c>
    </row>
    <row r="2358">
      <c r="B2358" s="9" t="n">
        <v>2356</v>
      </c>
      <c r="C2358" s="10" t="inlineStr">
        <is>
          <t>Nhân Viên Thiết Kế Rập - Apparel Pattern Maker</t>
        </is>
      </c>
      <c r="D2358" s="10" t="inlineStr">
        <is>
          <t>Công Ty Cổ Phần Đầu Tư Mặt Trời Việt (Vietsun Int Corp)</t>
        </is>
      </c>
      <c r="E2358" s="10" t="inlineStr">
        <is>
          <t>12tr-20tr ₫/tháng</t>
        </is>
      </c>
      <c r="F2358" s="10" t="inlineStr">
        <is>
          <t>Hồ Chí Minh</t>
        </is>
      </c>
      <c r="G2358" s="10" t="inlineStr">
        <is>
          <t>Nhân viên</t>
        </is>
      </c>
      <c r="H2358" s="10" t="inlineStr">
        <is>
          <t>24/02/2026</t>
        </is>
      </c>
      <c r="I2358" s="10" t="inlineStr">
        <is>
          <t>26/03/2026</t>
        </is>
      </c>
      <c r="J2358" s="10" t="inlineStr">
        <is>
          <t>17/03/2026</t>
        </is>
      </c>
      <c r="K2358" s="10" t="inlineStr">
        <is>
          <t>N/A</t>
        </is>
      </c>
      <c r="L2358" s="10" t="inlineStr">
        <is>
          <t>Kỹ Thuật Thiết Kế Rập, Máy Cắt Rập, Quản Lý Công Nghiệp, Thiết Kế Rập, Thiết Kế Thời Trang</t>
        </is>
      </c>
      <c r="M2358" s="10" t="inlineStr">
        <is>
          <t>Bonus, Healthcare Plan, Paid Leave, Travel Opportunities, Team Activities, Others</t>
        </is>
      </c>
      <c r="N2358" s="11">
        <f>HYPERLINK("https://www.vietnamworks.com/nhan-vien-thiet-ke-rap-apparel-pattern-maker-2013183-jv","Xem chi tiết")</f>
        <v/>
      </c>
      <c r="O2358" s="10" t="n"/>
    </row>
    <row r="2359">
      <c r="B2359" s="7" t="n">
        <v>2357</v>
      </c>
      <c r="C2359" t="inlineStr">
        <is>
          <t>Chuyên Viên Khách Hàng Doanh Nghiệp - CN. Cà Mau (CNLT.1298)</t>
        </is>
      </c>
      <c r="D2359" t="inlineStr">
        <is>
          <t>NGÂN HÀNG TMCP QUÂN ĐỘI – MBBANK</t>
        </is>
      </c>
      <c r="E2359" t="inlineStr">
        <is>
          <t>10tr-35tr ₫/tháng</t>
        </is>
      </c>
      <c r="F2359" t="inlineStr">
        <is>
          <t>Cà Mau</t>
        </is>
      </c>
      <c r="G2359" t="inlineStr">
        <is>
          <t>Nhân viên</t>
        </is>
      </c>
      <c r="H2359" t="inlineStr">
        <is>
          <t>24/02/2026</t>
        </is>
      </c>
      <c r="I2359" t="inlineStr">
        <is>
          <t>26/03/2026</t>
        </is>
      </c>
      <c r="J2359" t="inlineStr">
        <is>
          <t>17/03/2026</t>
        </is>
      </c>
      <c r="K2359" t="inlineStr">
        <is>
          <t>N/A</t>
        </is>
      </c>
      <c r="L2359" t="inlineStr">
        <is>
          <t>Business Development, Financial Analysis, Leadership, Negotiation, Risk Management</t>
        </is>
      </c>
      <c r="M2359" t="inlineStr">
        <is>
          <t>Bonus, Healthcare Plan, Paid Leave, Training, Awards, Library, Team Activities</t>
        </is>
      </c>
      <c r="N2359" s="8">
        <f>HYPERLINK("https://www.vietnamworks.com/chuyen-vien-khach-hang-doanh-nghiep-cn-ca-mau-cnlt-1298-2013186-jv","Xem chi tiết")</f>
        <v/>
      </c>
    </row>
    <row r="2360">
      <c r="B2360" s="9" t="n">
        <v>2358</v>
      </c>
      <c r="C2360" s="10" t="inlineStr">
        <is>
          <t>Chuyên Viên Khách Hàng Cá Nhân - Khu Vực Hoàng Mai, Thanh Trì (CNLT.1463)</t>
        </is>
      </c>
      <c r="D2360" s="10" t="inlineStr">
        <is>
          <t>NGÂN HÀNG TMCP QUÂN ĐỘI – MBBANK</t>
        </is>
      </c>
      <c r="E2360" s="10" t="inlineStr">
        <is>
          <t>9tr-35tr ₫/tháng</t>
        </is>
      </c>
      <c r="F2360" s="10" t="inlineStr">
        <is>
          <t>Hà Nội</t>
        </is>
      </c>
      <c r="G2360" s="10" t="inlineStr">
        <is>
          <t>Nhân viên</t>
        </is>
      </c>
      <c r="H2360" s="10" t="inlineStr">
        <is>
          <t>24/02/2026</t>
        </is>
      </c>
      <c r="I2360" s="10" t="inlineStr">
        <is>
          <t>26/03/2026</t>
        </is>
      </c>
      <c r="J2360" s="10" t="inlineStr">
        <is>
          <t>17/03/2026</t>
        </is>
      </c>
      <c r="K2360" s="10" t="inlineStr">
        <is>
          <t>N/A</t>
        </is>
      </c>
      <c r="L2360" s="10" t="inlineStr">
        <is>
          <t>Business Development, Financial Analysis, Leadership, Negotiation, Risk Management</t>
        </is>
      </c>
      <c r="M2360" s="10" t="inlineStr">
        <is>
          <t>Bonus, Healthcare Plan, Paid Leave, Training, Awards, Library, Team Activities</t>
        </is>
      </c>
      <c r="N2360" s="11">
        <f>HYPERLINK("https://www.vietnamworks.com/chuyen-vien-khach-hang-ca-nhan-khu-vuc-hoang-mai-thanh-tri-cnlt-1463-2013193-jv","Xem chi tiết")</f>
        <v/>
      </c>
      <c r="O2360" s="10" t="n"/>
    </row>
    <row r="2361">
      <c r="B2361" s="7" t="n">
        <v>2359</v>
      </c>
      <c r="C2361" t="inlineStr">
        <is>
          <t>Kỹ Sư Môi Trường</t>
        </is>
      </c>
      <c r="D2361" t="inlineStr">
        <is>
          <t>Công Ty TNHH May Thêu Thuận Phương</t>
        </is>
      </c>
      <c r="E2361" t="inlineStr">
        <is>
          <t>Thương lượng</t>
        </is>
      </c>
      <c r="F2361" t="inlineStr">
        <is>
          <t>Hồ Chí Minh</t>
        </is>
      </c>
      <c r="G2361" t="inlineStr">
        <is>
          <t>Nhân viên</t>
        </is>
      </c>
      <c r="H2361" t="inlineStr">
        <is>
          <t>24/02/2026</t>
        </is>
      </c>
      <c r="I2361" t="inlineStr">
        <is>
          <t>26/03/2026</t>
        </is>
      </c>
      <c r="J2361" t="inlineStr">
        <is>
          <t>17/03/2026</t>
        </is>
      </c>
      <c r="K2361" t="inlineStr">
        <is>
          <t>N/A</t>
        </is>
      </c>
      <c r="L2361" t="inlineStr">
        <is>
          <t>MS Office, AutoCAD, Phân Tích Môi Trường, 3D Max, Hóa Chất</t>
        </is>
      </c>
      <c r="M2361" t="inlineStr">
        <is>
          <t>Others</t>
        </is>
      </c>
      <c r="N2361" s="8">
        <f>HYPERLINK("https://www.vietnamworks.com/ky-su-moi-truong-2013187-jv","Xem chi tiết")</f>
        <v/>
      </c>
    </row>
    <row r="2362">
      <c r="B2362" s="9" t="n">
        <v>2360</v>
      </c>
      <c r="C2362" s="10" t="inlineStr">
        <is>
          <t>Chuyên Viên Khách Hàng Cá Nhân - CN. Điện Biên (CNLT.265)</t>
        </is>
      </c>
      <c r="D2362" s="10" t="inlineStr">
        <is>
          <t>NGÂN HÀNG TMCP QUÂN ĐỘI – MBBANK</t>
        </is>
      </c>
      <c r="E2362" s="10" t="inlineStr">
        <is>
          <t>9tr-35tr ₫/tháng</t>
        </is>
      </c>
      <c r="F2362" s="10" t="inlineStr">
        <is>
          <t>Hà Nội</t>
        </is>
      </c>
      <c r="G2362" s="10" t="inlineStr">
        <is>
          <t>Nhân viên</t>
        </is>
      </c>
      <c r="H2362" s="10" t="inlineStr">
        <is>
          <t>24/02/2026</t>
        </is>
      </c>
      <c r="I2362" s="10" t="inlineStr">
        <is>
          <t>26/03/2026</t>
        </is>
      </c>
      <c r="J2362" s="10" t="inlineStr">
        <is>
          <t>17/03/2026</t>
        </is>
      </c>
      <c r="K2362" s="10" t="inlineStr">
        <is>
          <t>N/A</t>
        </is>
      </c>
      <c r="L2362" s="10" t="inlineStr">
        <is>
          <t>Business Development, Financial Analysis, Leadership, Negotiation, Risk Management</t>
        </is>
      </c>
      <c r="M2362" s="10" t="inlineStr">
        <is>
          <t>Bonus, Healthcare Plan, Paid Leave, Training, Awards, Library, Team Activities</t>
        </is>
      </c>
      <c r="N2362" s="11">
        <f>HYPERLINK("https://www.vietnamworks.com/chuyen-vien-khach-hang-ca-nhan-cn-djien-bien-cnlt-265-2013194-jv","Xem chi tiết")</f>
        <v/>
      </c>
      <c r="O2362" s="10" t="n"/>
    </row>
    <row r="2363">
      <c r="B2363" s="7" t="n">
        <v>2361</v>
      </c>
      <c r="C2363" t="inlineStr">
        <is>
          <t>Chuyên Viên Khách Hàng Cá Nhân - CN. Đồng Nai (CNLT.1117)</t>
        </is>
      </c>
      <c r="D2363" t="inlineStr">
        <is>
          <t>NGÂN HÀNG TMCP QUÂN ĐỘI – MBBANK</t>
        </is>
      </c>
      <c r="E2363" t="inlineStr">
        <is>
          <t>9tr-35tr ₫/tháng</t>
        </is>
      </c>
      <c r="F2363" t="inlineStr">
        <is>
          <t>Đồng Nai</t>
        </is>
      </c>
      <c r="G2363" t="inlineStr">
        <is>
          <t>Nhân viên</t>
        </is>
      </c>
      <c r="H2363" t="inlineStr">
        <is>
          <t>24/02/2026</t>
        </is>
      </c>
      <c r="I2363" t="inlineStr">
        <is>
          <t>26/03/2026</t>
        </is>
      </c>
      <c r="J2363" t="inlineStr">
        <is>
          <t>17/03/2026</t>
        </is>
      </c>
      <c r="K2363" t="inlineStr">
        <is>
          <t>N/A</t>
        </is>
      </c>
      <c r="L2363" t="inlineStr">
        <is>
          <t>Business Development, Financial Analysis, Leadership, Negotiation, Risk Management</t>
        </is>
      </c>
      <c r="M2363" t="inlineStr">
        <is>
          <t>Bonus, Healthcare Plan, Paid Leave, Training, Awards, Library, Team Activities</t>
        </is>
      </c>
      <c r="N2363" s="8">
        <f>HYPERLINK("https://www.vietnamworks.com/chuyen-vien-khach-hang-ca-nhan-cn-djong-nai-cnlt-1117-2013188-jv","Xem chi tiết")</f>
        <v/>
      </c>
    </row>
    <row r="2364">
      <c r="B2364" s="9" t="n">
        <v>2362</v>
      </c>
      <c r="C2364" s="10" t="inlineStr">
        <is>
          <t>Giám Sát Kinh Doanh Tài Năng 2026</t>
        </is>
      </c>
      <c r="D2364" s="10" t="inlineStr">
        <is>
          <t>Perfetti Van Melle (Viet Nam) Limited</t>
        </is>
      </c>
      <c r="E2364" s="10" t="inlineStr">
        <is>
          <t>Thương lượng</t>
        </is>
      </c>
      <c r="F2364" s="10" t="inlineStr">
        <is>
          <t>Hồ Chí Minh, Hà Nội, Bình Dương</t>
        </is>
      </c>
      <c r="G2364" s="10" t="inlineStr">
        <is>
          <t>Mới Tốt Nghiệp</t>
        </is>
      </c>
      <c r="H2364" s="10" t="inlineStr">
        <is>
          <t>24/02/2026</t>
        </is>
      </c>
      <c r="I2364" s="10" t="inlineStr">
        <is>
          <t>26/03/2026</t>
        </is>
      </c>
      <c r="J2364" s="10" t="inlineStr">
        <is>
          <t>17/03/2026</t>
        </is>
      </c>
      <c r="K2364" s="10" t="inlineStr">
        <is>
          <t>N/A</t>
        </is>
      </c>
      <c r="L2364" s="10" t="inlineStr">
        <is>
          <t>Sales, FMCG, Giám Sát Kinh Doanh, Tiếng Anh, Giao tiếp</t>
        </is>
      </c>
      <c r="M2364" s="10" t="inlineStr">
        <is>
          <t>Bonus, Training, Transportation</t>
        </is>
      </c>
      <c r="N2364" s="11">
        <f>HYPERLINK("https://www.vietnamworks.com/giam-sat-kinh-doanh-tai-nang-2026-2013181-jv","Xem chi tiết")</f>
        <v/>
      </c>
      <c r="O2364" s="10" t="n"/>
    </row>
    <row r="2365">
      <c r="B2365" s="7" t="n">
        <v>2363</v>
      </c>
      <c r="C2365" t="inlineStr">
        <is>
          <t>BIM Coordinator</t>
        </is>
      </c>
      <c r="D2365" t="inlineStr">
        <is>
          <t>GS Engineering &amp; Construction</t>
        </is>
      </c>
      <c r="E2365" t="inlineStr">
        <is>
          <t>Thương lượng</t>
        </is>
      </c>
      <c r="F2365" t="inlineStr">
        <is>
          <t>Hồ Chí Minh</t>
        </is>
      </c>
      <c r="G2365" t="inlineStr">
        <is>
          <t>Nhân viên</t>
        </is>
      </c>
      <c r="H2365" t="inlineStr">
        <is>
          <t>24/02/2026</t>
        </is>
      </c>
      <c r="I2365" t="inlineStr">
        <is>
          <t>26/03/2026</t>
        </is>
      </c>
      <c r="J2365" t="inlineStr">
        <is>
          <t>17/03/2026</t>
        </is>
      </c>
      <c r="K2365" t="inlineStr">
        <is>
          <t>N/A</t>
        </is>
      </c>
      <c r="L2365" t="inlineStr">
        <is>
          <t>BIM Revit, BIM Coordination, AutoCAD, Revit, Autodesk Navisworks</t>
        </is>
      </c>
      <c r="M2365" t="inlineStr">
        <is>
          <t>Bonus, Laptop, Others</t>
        </is>
      </c>
      <c r="N2365" s="8">
        <f>HYPERLINK("https://www.vietnamworks.com/bim-coordinator--2013179-jv","Xem chi tiết")</f>
        <v/>
      </c>
    </row>
    <row r="2366">
      <c r="B2366" s="9" t="n">
        <v>2364</v>
      </c>
      <c r="C2366" s="10" t="inlineStr">
        <is>
          <t>Chuyên Viên Khách Hàng Cá Nhân - CN. Lạng Sơn (CNLT.625)</t>
        </is>
      </c>
      <c r="D2366" s="10" t="inlineStr">
        <is>
          <t>NGÂN HÀNG TMCP QUÂN ĐỘI – MBBANK</t>
        </is>
      </c>
      <c r="E2366" s="10" t="inlineStr">
        <is>
          <t>9tr-35tr ₫/tháng</t>
        </is>
      </c>
      <c r="F2366" s="10" t="inlineStr">
        <is>
          <t>Lạng Sơn</t>
        </is>
      </c>
      <c r="G2366" s="10" t="inlineStr">
        <is>
          <t>Nhân viên</t>
        </is>
      </c>
      <c r="H2366" s="10" t="inlineStr">
        <is>
          <t>24/02/2026</t>
        </is>
      </c>
      <c r="I2366" s="10" t="inlineStr">
        <is>
          <t>26/03/2026</t>
        </is>
      </c>
      <c r="J2366" s="10" t="inlineStr">
        <is>
          <t>17/03/2026</t>
        </is>
      </c>
      <c r="K2366" s="10" t="inlineStr">
        <is>
          <t>N/A</t>
        </is>
      </c>
      <c r="L2366" s="10" t="inlineStr">
        <is>
          <t>Business Development, Financial Analysis, Leadership, Negotiation, Risk Management</t>
        </is>
      </c>
      <c r="M2366" s="10" t="inlineStr">
        <is>
          <t>Bonus, Healthcare Plan, Paid Leave, Training, Awards, Library, Team Activities</t>
        </is>
      </c>
      <c r="N2366" s="11">
        <f>HYPERLINK("https://www.vietnamworks.com/chuyen-vien-khach-hang-ca-nhan-cn-lang-son-cnlt-625-2013201-jv","Xem chi tiết")</f>
        <v/>
      </c>
      <c r="O2366" s="10" t="n"/>
    </row>
    <row r="2367">
      <c r="B2367" s="7" t="n">
        <v>2365</v>
      </c>
      <c r="C2367" t="inlineStr">
        <is>
          <t>Chuyên Viên Khách Hàng Doanh Nghiệp - CN. Đồng Nai (CNLT.1118)</t>
        </is>
      </c>
      <c r="D2367" t="inlineStr">
        <is>
          <t>NGÂN HÀNG TMCP QUÂN ĐỘI – MBBANK</t>
        </is>
      </c>
      <c r="E2367" t="inlineStr">
        <is>
          <t>10tr-35tr ₫/tháng</t>
        </is>
      </c>
      <c r="F2367" t="inlineStr">
        <is>
          <t>Đồng Nai</t>
        </is>
      </c>
      <c r="G2367" t="inlineStr">
        <is>
          <t>Nhân viên</t>
        </is>
      </c>
      <c r="H2367" t="inlineStr">
        <is>
          <t>24/02/2026</t>
        </is>
      </c>
      <c r="I2367" t="inlineStr">
        <is>
          <t>26/03/2026</t>
        </is>
      </c>
      <c r="J2367" t="inlineStr">
        <is>
          <t>17/03/2026</t>
        </is>
      </c>
      <c r="K2367" t="inlineStr">
        <is>
          <t>N/A</t>
        </is>
      </c>
      <c r="L2367" t="inlineStr">
        <is>
          <t>Business Development, Financial Analysis, Leadership, Negotiation, Risk Management</t>
        </is>
      </c>
      <c r="M2367" t="inlineStr">
        <is>
          <t>Bonus, Healthcare Plan, Paid Leave, Training, Awards, Library, Team Activities</t>
        </is>
      </c>
      <c r="N2367" s="8">
        <f>HYPERLINK("https://www.vietnamworks.com/chuyen-vien-khach-hang-doanh-nghiep-cn-djong-nai-cnlt-1118-2013198-jv","Xem chi tiết")</f>
        <v/>
      </c>
    </row>
    <row r="2368">
      <c r="B2368" s="9" t="n">
        <v>2366</v>
      </c>
      <c r="C2368" s="10" t="inlineStr">
        <is>
          <t>Chuyên Viên Khách Hàng Doanh Nghiệp - CN. Hải Dương (CNLT.572)</t>
        </is>
      </c>
      <c r="D2368" s="10" t="inlineStr">
        <is>
          <t>NGÂN HÀNG TMCP QUÂN ĐỘI – MBBANK</t>
        </is>
      </c>
      <c r="E2368" s="10" t="inlineStr">
        <is>
          <t>10tr-35tr ₫/tháng</t>
        </is>
      </c>
      <c r="F2368" s="10" t="inlineStr">
        <is>
          <t>Hải Phòng</t>
        </is>
      </c>
      <c r="G2368" s="10" t="inlineStr">
        <is>
          <t>Nhân viên</t>
        </is>
      </c>
      <c r="H2368" s="10" t="inlineStr">
        <is>
          <t>24/02/2026</t>
        </is>
      </c>
      <c r="I2368" s="10" t="inlineStr">
        <is>
          <t>26/03/2026</t>
        </is>
      </c>
      <c r="J2368" s="10" t="inlineStr">
        <is>
          <t>17/03/2026</t>
        </is>
      </c>
      <c r="K2368" s="10" t="inlineStr">
        <is>
          <t>N/A</t>
        </is>
      </c>
      <c r="L2368" s="10" t="inlineStr">
        <is>
          <t>Business Development, Financial Analysis, Leadership, Negotiation, Risk Management</t>
        </is>
      </c>
      <c r="M2368" s="10" t="inlineStr">
        <is>
          <t>Bonus, Healthcare Plan, Paid Leave, Training, Awards, Library, Team Activities</t>
        </is>
      </c>
      <c r="N2368" s="11">
        <f>HYPERLINK("https://www.vietnamworks.com/chuyen-vien-khach-hang-doanh-nghiep-cn-hai-duong-cnlt-572-2013190-jv","Xem chi tiết")</f>
        <v/>
      </c>
      <c r="O2368" s="10" t="n"/>
    </row>
    <row r="2369">
      <c r="B2369" s="7" t="n">
        <v>2367</v>
      </c>
      <c r="C2369" t="inlineStr">
        <is>
          <t>Chuyên Viên Khách Hàng Doanh Nghiệp - CN. Đồng Tháp (CNLT.1328)</t>
        </is>
      </c>
      <c r="D2369" t="inlineStr">
        <is>
          <t>NGÂN HÀNG TMCP QUÂN ĐỘI – MBBANK</t>
        </is>
      </c>
      <c r="E2369" t="inlineStr">
        <is>
          <t>Thương lượng</t>
        </is>
      </c>
      <c r="F2369" t="inlineStr">
        <is>
          <t>Đồng Tháp</t>
        </is>
      </c>
      <c r="G2369" t="inlineStr">
        <is>
          <t>Nhân viên</t>
        </is>
      </c>
      <c r="H2369" t="inlineStr">
        <is>
          <t>24/02/2026</t>
        </is>
      </c>
      <c r="I2369" t="inlineStr">
        <is>
          <t>26/03/2026</t>
        </is>
      </c>
      <c r="J2369" t="inlineStr">
        <is>
          <t>17/03/2026</t>
        </is>
      </c>
      <c r="K2369" t="inlineStr">
        <is>
          <t>N/A</t>
        </is>
      </c>
      <c r="L2369" t="inlineStr">
        <is>
          <t>Financial Analysis, Risk Management, Business Development, Negotiation, Leadership</t>
        </is>
      </c>
      <c r="M2369" t="inlineStr">
        <is>
          <t>Bonus, Healthcare Plan, Paid Leave</t>
        </is>
      </c>
      <c r="N2369" s="8">
        <f>HYPERLINK("https://www.vietnamworks.com/chuyen-vien-khach-hang-doanh-nghiep-cn-dong-thap-cnlt-1328--2013191-jv","Xem chi tiết")</f>
        <v/>
      </c>
    </row>
    <row r="2370">
      <c r="B2370" s="9" t="n">
        <v>2368</v>
      </c>
      <c r="C2370" s="10" t="inlineStr">
        <is>
          <t>Chuyên Viên Khách Hàng Cá Nhân - Khu Vực Hồ Chí Minh (CNLT.13)</t>
        </is>
      </c>
      <c r="D2370" s="10" t="inlineStr">
        <is>
          <t>NGÂN HÀNG TMCP QUÂN ĐỘI – MBBANK</t>
        </is>
      </c>
      <c r="E2370" s="10" t="inlineStr">
        <is>
          <t>Thương lượng</t>
        </is>
      </c>
      <c r="F2370" s="10" t="inlineStr">
        <is>
          <t>Hồ Chí Minh</t>
        </is>
      </c>
      <c r="G2370" s="10" t="inlineStr">
        <is>
          <t>Nhân viên</t>
        </is>
      </c>
      <c r="H2370" s="10" t="inlineStr">
        <is>
          <t>24/02/2026</t>
        </is>
      </c>
      <c r="I2370" s="10" t="inlineStr">
        <is>
          <t>26/03/2026</t>
        </is>
      </c>
      <c r="J2370" s="10" t="inlineStr">
        <is>
          <t>17/03/2026</t>
        </is>
      </c>
      <c r="K2370" s="10" t="inlineStr">
        <is>
          <t>N/A</t>
        </is>
      </c>
      <c r="L2370" s="10" t="inlineStr">
        <is>
          <t>Financial Analysis, Risk Management, Business Development, Negotiation, Leadership</t>
        </is>
      </c>
      <c r="M2370" s="10" t="inlineStr">
        <is>
          <t>Bonus, Healthcare Plan, Paid Leave</t>
        </is>
      </c>
      <c r="N2370" s="11">
        <f>HYPERLINK("https://www.vietnamworks.com/chuyen-vien-khach-hang-ca-nhan-khu-vuc-ho-chi-minh-cnlt-13--2013213-jv","Xem chi tiết")</f>
        <v/>
      </c>
      <c r="O2370" s="10" t="n"/>
    </row>
    <row r="2371">
      <c r="B2371" s="7" t="n">
        <v>2369</v>
      </c>
      <c r="C2371" t="inlineStr">
        <is>
          <t>Chuyên Viên Khách Hàng Doanh Nghiệp - CN. Nam Định (CNLT.344)</t>
        </is>
      </c>
      <c r="D2371" t="inlineStr">
        <is>
          <t>NGÂN HÀNG TMCP QUÂN ĐỘI – MBBANK</t>
        </is>
      </c>
      <c r="E2371" t="inlineStr">
        <is>
          <t>10tr-35tr ₫/tháng</t>
        </is>
      </c>
      <c r="F2371" t="inlineStr">
        <is>
          <t>Ninh Bình</t>
        </is>
      </c>
      <c r="G2371" t="inlineStr">
        <is>
          <t>Nhân viên</t>
        </is>
      </c>
      <c r="H2371" t="inlineStr">
        <is>
          <t>24/02/2026</t>
        </is>
      </c>
      <c r="I2371" t="inlineStr">
        <is>
          <t>26/03/2026</t>
        </is>
      </c>
      <c r="J2371" t="inlineStr">
        <is>
          <t>17/03/2026</t>
        </is>
      </c>
      <c r="K2371" t="inlineStr">
        <is>
          <t>N/A</t>
        </is>
      </c>
      <c r="L2371" t="inlineStr">
        <is>
          <t>Business Development, Financial Analysis, Leadership, Negotiation, Risk Management</t>
        </is>
      </c>
      <c r="M2371" t="inlineStr">
        <is>
          <t>Bonus, Healthcare Plan, Paid Leave, Training, Awards, Library, Team Activities</t>
        </is>
      </c>
      <c r="N2371" s="8">
        <f>HYPERLINK("https://www.vietnamworks.com/chuyen-vien-khach-hang-doanh-nghiep-cn-nam-djinh-cnlt-344-2013189-jv","Xem chi tiết")</f>
        <v/>
      </c>
    </row>
    <row r="2372">
      <c r="B2372" s="9" t="n">
        <v>2370</v>
      </c>
      <c r="C2372" s="10" t="inlineStr">
        <is>
          <t>Sales Executive (Hà Nội)</t>
        </is>
      </c>
      <c r="D2372" s="10" t="inlineStr">
        <is>
          <t>Kumho Tire (Vietnam) Co., Ltd</t>
        </is>
      </c>
      <c r="E2372" s="10" t="inlineStr">
        <is>
          <t>Thương lượng</t>
        </is>
      </c>
      <c r="F2372" s="10" t="inlineStr">
        <is>
          <t>Hà Nội</t>
        </is>
      </c>
      <c r="G2372" s="10" t="inlineStr">
        <is>
          <t>Nhân viên</t>
        </is>
      </c>
      <c r="H2372" s="10" t="inlineStr">
        <is>
          <t>24/02/2026</t>
        </is>
      </c>
      <c r="I2372" s="10" t="inlineStr">
        <is>
          <t>26/03/2026</t>
        </is>
      </c>
      <c r="J2372" s="10" t="inlineStr">
        <is>
          <t>17/03/2026</t>
        </is>
      </c>
      <c r="K2372" s="10" t="inlineStr">
        <is>
          <t>N/A</t>
        </is>
      </c>
      <c r="L2372" s="10" t="inlineStr">
        <is>
          <t>Sales Management, Market Research, Contract Negotiation, SAP systems, Communication Skills</t>
        </is>
      </c>
      <c r="M2372" s="10" t="inlineStr">
        <is>
          <t>Bonus, Healthcare Plan, Canteen, Others</t>
        </is>
      </c>
      <c r="N2372" s="11">
        <f>HYPERLINK("https://www.vietnamworks.com/sales-executive-ha-noi-2013199-jv","Xem chi tiết")</f>
        <v/>
      </c>
      <c r="O2372" s="10" t="n"/>
    </row>
    <row r="2373">
      <c r="B2373" s="7" t="n">
        <v>2371</v>
      </c>
      <c r="C2373" t="inlineStr">
        <is>
          <t>Chuyên Viên Quan Hệ Khách Hàng Cá Nhân – VIB Hà Nội</t>
        </is>
      </c>
      <c r="D2373" t="inlineStr">
        <is>
          <t>VIB 306 Tây Sơn</t>
        </is>
      </c>
      <c r="E2373" t="inlineStr">
        <is>
          <t>Từ 15tr ₫/tháng</t>
        </is>
      </c>
      <c r="F2373" t="inlineStr">
        <is>
          <t>Hà Nội</t>
        </is>
      </c>
      <c r="G2373" t="inlineStr">
        <is>
          <t>Nhân viên</t>
        </is>
      </c>
      <c r="H2373" t="inlineStr">
        <is>
          <t>24/02/2026</t>
        </is>
      </c>
      <c r="I2373" t="inlineStr">
        <is>
          <t>26/03/2026</t>
        </is>
      </c>
      <c r="J2373" t="inlineStr">
        <is>
          <t>17/03/2026</t>
        </is>
      </c>
      <c r="K2373" t="inlineStr">
        <is>
          <t>N/A</t>
        </is>
      </c>
      <c r="L2373" t="inlineStr">
        <is>
          <t>Tín Dụng Ngân Hàng, Thu hồi nợ, Kinh Doanh, Tài Chính Ngân Hàng, Phát Triển Khách Hàng</t>
        </is>
      </c>
      <c r="M2373" t="inlineStr">
        <is>
          <t>Bonus, Healthcare Plan, Paid Leave</t>
        </is>
      </c>
      <c r="N2373" s="8">
        <f>HYPERLINK("https://www.vietnamworks.com/chuyen-vien-quan-he-khach-hang-ca-nhan-vib-ha-noi--2013195-jv","Xem chi tiết")</f>
        <v/>
      </c>
    </row>
    <row r="2374">
      <c r="B2374" s="9" t="n">
        <v>2372</v>
      </c>
      <c r="C2374" s="10" t="inlineStr">
        <is>
          <t>Sales Engineer</t>
        </is>
      </c>
      <c r="D2374" s="10" t="inlineStr">
        <is>
          <t>Công Ty TNHH Khí Công Nghiệp Messer Việt Nam</t>
        </is>
      </c>
      <c r="E2374" s="10" t="inlineStr">
        <is>
          <t>Thương lượng</t>
        </is>
      </c>
      <c r="F2374" s="10" t="inlineStr">
        <is>
          <t>Bình Dương, Hồ Chí Minh, Hà Nội</t>
        </is>
      </c>
      <c r="G2374" s="10" t="inlineStr">
        <is>
          <t>Nhân viên</t>
        </is>
      </c>
      <c r="H2374" s="10" t="inlineStr">
        <is>
          <t>24/02/2026</t>
        </is>
      </c>
      <c r="I2374" s="10" t="inlineStr">
        <is>
          <t>26/03/2026</t>
        </is>
      </c>
      <c r="J2374" s="10" t="inlineStr">
        <is>
          <t>17/03/2026</t>
        </is>
      </c>
      <c r="K2374" s="10" t="inlineStr">
        <is>
          <t>N/A</t>
        </is>
      </c>
      <c r="L2374" s="10" t="inlineStr">
        <is>
          <t>Engineering Chemical, Food Technology, Sales</t>
        </is>
      </c>
      <c r="M2374" s="10" t="inlineStr">
        <is>
          <t>Bonus, Healthcare Plan, Team Activities</t>
        </is>
      </c>
      <c r="N2374" s="11">
        <f>HYPERLINK("https://www.vietnamworks.com/sales-engineer-2013214-jv","Xem chi tiết")</f>
        <v/>
      </c>
      <c r="O2374" s="10" t="n"/>
    </row>
    <row r="2375">
      <c r="B2375" s="7" t="n">
        <v>2373</v>
      </c>
      <c r="C2375" t="inlineStr">
        <is>
          <t>Chuyên Viên Khách Hàng Doanh Nghiệp - Khu Vực Long Biên, Hà Nội (CNLT.08)</t>
        </is>
      </c>
      <c r="D2375" t="inlineStr">
        <is>
          <t>NGÂN HÀNG TMCP QUÂN ĐỘI – MBBANK</t>
        </is>
      </c>
      <c r="E2375" t="inlineStr">
        <is>
          <t>Thương lượng</t>
        </is>
      </c>
      <c r="F2375" t="inlineStr">
        <is>
          <t>Hà Nội</t>
        </is>
      </c>
      <c r="G2375" t="inlineStr">
        <is>
          <t>Nhân viên</t>
        </is>
      </c>
      <c r="H2375" t="inlineStr">
        <is>
          <t>24/02/2026</t>
        </is>
      </c>
      <c r="I2375" t="inlineStr">
        <is>
          <t>26/03/2026</t>
        </is>
      </c>
      <c r="J2375" t="inlineStr">
        <is>
          <t>17/03/2026</t>
        </is>
      </c>
      <c r="K2375" t="inlineStr">
        <is>
          <t>N/A</t>
        </is>
      </c>
      <c r="L2375" t="inlineStr">
        <is>
          <t>Financial Analysis, Risk Management, Business Development, Negotiation, Leadership</t>
        </is>
      </c>
      <c r="M2375" t="inlineStr">
        <is>
          <t>Bonus, Healthcare Plan, Paid Leave</t>
        </is>
      </c>
      <c r="N2375" s="8">
        <f>HYPERLINK("https://www.vietnamworks.com/chuyen-vien-khach-hang-doanh-nghiep-khu-vuc-long-bien-ha-noi-cnlt-08--2013192-jv","Xem chi tiết")</f>
        <v/>
      </c>
    </row>
    <row r="2376">
      <c r="B2376" s="9" t="n">
        <v>2374</v>
      </c>
      <c r="C2376" s="10" t="inlineStr">
        <is>
          <t>Chuyên Viên Khách Hàng Doanh Nghiệp - CN. Quảng Ninh (CNLT.446)</t>
        </is>
      </c>
      <c r="D2376" s="10" t="inlineStr">
        <is>
          <t>NGÂN HÀNG TMCP QUÂN ĐỘI – MBBANK</t>
        </is>
      </c>
      <c r="E2376" s="10" t="inlineStr">
        <is>
          <t>10tr-35tr ₫/tháng</t>
        </is>
      </c>
      <c r="F2376" s="10" t="inlineStr">
        <is>
          <t>Quảng Ninh</t>
        </is>
      </c>
      <c r="G2376" s="10" t="inlineStr">
        <is>
          <t>Nhân viên</t>
        </is>
      </c>
      <c r="H2376" s="10" t="inlineStr">
        <is>
          <t>24/02/2026</t>
        </is>
      </c>
      <c r="I2376" s="10" t="inlineStr">
        <is>
          <t>26/03/2026</t>
        </is>
      </c>
      <c r="J2376" s="10" t="inlineStr">
        <is>
          <t>17/03/2026</t>
        </is>
      </c>
      <c r="K2376" s="10" t="inlineStr">
        <is>
          <t>N/A</t>
        </is>
      </c>
      <c r="L2376" s="10" t="inlineStr">
        <is>
          <t>Business Development, Financial Analysis, Leadership, Negotiation, Risk Management</t>
        </is>
      </c>
      <c r="M2376" s="10" t="inlineStr">
        <is>
          <t>Bonus, Healthcare Plan, Paid Leave, Training, Awards, Library, Team Activities</t>
        </is>
      </c>
      <c r="N2376" s="11">
        <f>HYPERLINK("https://www.vietnamworks.com/chuyen-vien-khach-hang-doanh-nghiep-cn-quang-ninh-cnlt-446-2013200-jv","Xem chi tiết")</f>
        <v/>
      </c>
      <c r="O2376" s="10" t="n"/>
    </row>
    <row r="2377">
      <c r="B2377" s="7" t="n">
        <v>2375</v>
      </c>
      <c r="C2377" t="inlineStr">
        <is>
          <t>Chuyên Viên Khách Hàng Cá Nhân - CN. Quảng Ninh (CNLT.445)</t>
        </is>
      </c>
      <c r="D2377" t="inlineStr">
        <is>
          <t>NGÂN HÀNG TMCP QUÂN ĐỘI – MBBANK</t>
        </is>
      </c>
      <c r="E2377" t="inlineStr">
        <is>
          <t>9tr-35tr ₫/tháng</t>
        </is>
      </c>
      <c r="F2377" t="inlineStr">
        <is>
          <t>Quảng Ninh</t>
        </is>
      </c>
      <c r="G2377" t="inlineStr">
        <is>
          <t>Nhân viên</t>
        </is>
      </c>
      <c r="H2377" t="inlineStr">
        <is>
          <t>24/02/2026</t>
        </is>
      </c>
      <c r="I2377" t="inlineStr">
        <is>
          <t>26/03/2026</t>
        </is>
      </c>
      <c r="J2377" t="inlineStr">
        <is>
          <t>17/03/2026</t>
        </is>
      </c>
      <c r="K2377" t="inlineStr">
        <is>
          <t>N/A</t>
        </is>
      </c>
      <c r="L2377" t="inlineStr">
        <is>
          <t>Giao Tiếp, Kinh Tế, Ngân hàng, Quản Trị Kinh Doanh, Tài Chính</t>
        </is>
      </c>
      <c r="M2377" t="inlineStr">
        <is>
          <t>Bonus, Healthcare Plan, Paid Leave, Training, Awards, Library, Team Activities</t>
        </is>
      </c>
      <c r="N2377" s="8">
        <f>HYPERLINK("https://www.vietnamworks.com/chuyen-vien-khach-hang-ca-nhan-cn-quang-ninh-cnlt-445-2013196-jv","Xem chi tiết")</f>
        <v/>
      </c>
    </row>
    <row r="2378">
      <c r="B2378" s="9" t="n">
        <v>2376</v>
      </c>
      <c r="C2378" s="10" t="inlineStr">
        <is>
          <t>Chuyên Viên Kế Toán Dự Án (Đà Nẵng)</t>
        </is>
      </c>
      <c r="D2378" s="10" t="inlineStr">
        <is>
          <t>Công Ty Cổ Phần Tập Đoàn BRG</t>
        </is>
      </c>
      <c r="E2378" s="10" t="inlineStr">
        <is>
          <t>Thương lượng</t>
        </is>
      </c>
      <c r="F2378" s="10" t="inlineStr">
        <is>
          <t>Đà Nẵng, Hà Nội</t>
        </is>
      </c>
      <c r="G2378" s="10" t="inlineStr">
        <is>
          <t>Nhân viên</t>
        </is>
      </c>
      <c r="H2378" s="10" t="inlineStr">
        <is>
          <t>24/02/2026</t>
        </is>
      </c>
      <c r="I2378" s="10" t="inlineStr">
        <is>
          <t>26/03/2026</t>
        </is>
      </c>
      <c r="J2378" s="10" t="inlineStr">
        <is>
          <t>17/03/2026</t>
        </is>
      </c>
      <c r="K2378" s="10" t="inlineStr">
        <is>
          <t>N/A</t>
        </is>
      </c>
      <c r="L2378" s="10" t="inlineStr">
        <is>
          <t>Kế toán &amp; Tài chính, Excel, Kế Toán Nội Bộ, Bất Động Sản, Kế Toán Dự Án</t>
        </is>
      </c>
      <c r="M2378" s="10" t="inlineStr">
        <is>
          <t>Bonus, Healthcare Plan, Travel Opportunities</t>
        </is>
      </c>
      <c r="N2378" s="11">
        <f>HYPERLINK("https://www.vietnamworks.com/chuyen-vien-ke-toan-du-an-da-nang--2013219-jv","Xem chi tiết")</f>
        <v/>
      </c>
      <c r="O2378" s="10" t="n"/>
    </row>
    <row r="2379">
      <c r="B2379" s="7" t="n">
        <v>2377</v>
      </c>
      <c r="C2379" t="inlineStr">
        <is>
          <t>HR &amp; Admin Officer (Bình Dương)</t>
        </is>
      </c>
      <c r="D2379" t="inlineStr">
        <is>
          <t>TPF Group</t>
        </is>
      </c>
      <c r="E2379" t="inlineStr">
        <is>
          <t>$$ 500-700 /tháng</t>
        </is>
      </c>
      <c r="F2379" t="inlineStr">
        <is>
          <t>Bình Dương</t>
        </is>
      </c>
      <c r="G2379" t="inlineStr">
        <is>
          <t>Nhân viên</t>
        </is>
      </c>
      <c r="H2379" t="inlineStr">
        <is>
          <t>24/02/2026</t>
        </is>
      </c>
      <c r="I2379" t="inlineStr">
        <is>
          <t>26/03/2026</t>
        </is>
      </c>
      <c r="J2379" t="inlineStr">
        <is>
          <t>17/03/2026</t>
        </is>
      </c>
      <c r="K2379" t="inlineStr">
        <is>
          <t>N/A</t>
        </is>
      </c>
      <c r="L2379" t="inlineStr">
        <is>
          <t>Admin Skills, HR Operations, English, Service Mindset</t>
        </is>
      </c>
      <c r="M2379" t="inlineStr">
        <is>
          <t>Healthcare Plan, Paid Leave, Canteen</t>
        </is>
      </c>
      <c r="N2379" s="8">
        <f>HYPERLINK("https://www.vietnamworks.com/hr-admin-officer-binh-duong-2013217-jv","Xem chi tiết")</f>
        <v/>
      </c>
    </row>
    <row r="2380">
      <c r="B2380" s="9" t="n">
        <v>2378</v>
      </c>
      <c r="C2380" s="10" t="inlineStr">
        <is>
          <t>Graphic Designer - Thiết Kế Đồ Họa</t>
        </is>
      </c>
      <c r="D2380" s="10" t="inlineStr">
        <is>
          <t>Lotte Shopping Plaza Vietnam</t>
        </is>
      </c>
      <c r="E2380" s="10" t="inlineStr">
        <is>
          <t>Thương lượng</t>
        </is>
      </c>
      <c r="F2380" s="10" t="inlineStr">
        <is>
          <t>Hà Nội</t>
        </is>
      </c>
      <c r="G2380" s="10" t="inlineStr">
        <is>
          <t>Nhân viên</t>
        </is>
      </c>
      <c r="H2380" s="10" t="inlineStr">
        <is>
          <t>24/02/2026</t>
        </is>
      </c>
      <c r="I2380" s="10" t="inlineStr">
        <is>
          <t>26/03/2026</t>
        </is>
      </c>
      <c r="J2380" s="10" t="inlineStr">
        <is>
          <t>17/03/2026</t>
        </is>
      </c>
      <c r="K2380" s="10" t="inlineStr">
        <is>
          <t>N/A</t>
        </is>
      </c>
      <c r="L2380" s="10" t="inlineStr">
        <is>
          <t>Adobe Photoshop, Creativity, Graphic Design, Illustrator, Indesign</t>
        </is>
      </c>
      <c r="M2380" s="10" t="inlineStr">
        <is>
          <t>Bonus, Healthcare Plan, Paid Leave, Team Activities</t>
        </is>
      </c>
      <c r="N2380" s="11">
        <f>HYPERLINK("https://www.vietnamworks.com/graphic-designer-thiet-ke-djo-hoa-2013218-jv","Xem chi tiết")</f>
        <v/>
      </c>
      <c r="O2380" s="10" t="n"/>
    </row>
    <row r="2381">
      <c r="B2381" s="7" t="n">
        <v>2379</v>
      </c>
      <c r="C2381" t="inlineStr">
        <is>
          <t>Chuyên Viên Khách Hàng Doanh Nghiệp - Khu Vực Tây Hồ, Bắc Từ Liêm (CNLT.1460)</t>
        </is>
      </c>
      <c r="D2381" t="inlineStr">
        <is>
          <t>NGÂN HÀNG TMCP QUÂN ĐỘI – MBBANK</t>
        </is>
      </c>
      <c r="E2381" t="inlineStr">
        <is>
          <t>10tr-35tr ₫/tháng</t>
        </is>
      </c>
      <c r="F2381" t="inlineStr">
        <is>
          <t>Hà Nội</t>
        </is>
      </c>
      <c r="G2381" t="inlineStr">
        <is>
          <t>Nhân viên</t>
        </is>
      </c>
      <c r="H2381" t="inlineStr">
        <is>
          <t>24/02/2026</t>
        </is>
      </c>
      <c r="I2381" t="inlineStr">
        <is>
          <t>26/03/2026</t>
        </is>
      </c>
      <c r="J2381" t="inlineStr">
        <is>
          <t>17/03/2026</t>
        </is>
      </c>
      <c r="K2381" t="inlineStr">
        <is>
          <t>N/A</t>
        </is>
      </c>
      <c r="L2381" t="inlineStr">
        <is>
          <t>Business Development, Financial Analysis, Leadership, Negotiation, Risk Management</t>
        </is>
      </c>
      <c r="M2381" t="inlineStr">
        <is>
          <t>Bonus, Healthcare Plan, Paid Leave, Training, Awards, Library, Team Activities</t>
        </is>
      </c>
      <c r="N2381" s="8">
        <f>HYPERLINK("https://www.vietnamworks.com/chuyen-vien-khach-hang-doanh-nghiep-khu-vuc-tay-ho-bac-tu-liem-cnlt-1460-2013212-jv","Xem chi tiết")</f>
        <v/>
      </c>
    </row>
    <row r="2382">
      <c r="B2382" s="9" t="n">
        <v>2380</v>
      </c>
      <c r="C2382" s="10" t="inlineStr">
        <is>
          <t>Chuyên Viên Khách Hàng Cá Nhân - CN. Lâm Đồng (CNLT.1135)</t>
        </is>
      </c>
      <c r="D2382" s="10" t="inlineStr">
        <is>
          <t>NGÂN HÀNG TMCP QUÂN ĐỘI – MBBANK</t>
        </is>
      </c>
      <c r="E2382" s="10" t="inlineStr">
        <is>
          <t>9tr-35tr ₫/tháng</t>
        </is>
      </c>
      <c r="F2382" s="10" t="inlineStr">
        <is>
          <t>Lâm Đồng</t>
        </is>
      </c>
      <c r="G2382" s="10" t="inlineStr">
        <is>
          <t>Nhân viên</t>
        </is>
      </c>
      <c r="H2382" s="10" t="inlineStr">
        <is>
          <t>24/02/2026</t>
        </is>
      </c>
      <c r="I2382" s="10" t="inlineStr">
        <is>
          <t>26/03/2026</t>
        </is>
      </c>
      <c r="J2382" s="10" t="inlineStr">
        <is>
          <t>17/03/2026</t>
        </is>
      </c>
      <c r="K2382" s="10" t="inlineStr">
        <is>
          <t>N/A</t>
        </is>
      </c>
      <c r="L2382" s="10" t="inlineStr">
        <is>
          <t>Business Development, Financial Analysis, Leadership, Negotiation, Risk Management</t>
        </is>
      </c>
      <c r="M2382" s="10" t="inlineStr">
        <is>
          <t>Bonus, Healthcare Plan, Paid Leave, Training, Awards, Library, Team Activities</t>
        </is>
      </c>
      <c r="N2382" s="11">
        <f>HYPERLINK("https://www.vietnamworks.com/chuyen-vien-khach-hang-ca-nhan-cn-lam-djong-cnlt-1135-2013215-jv","Xem chi tiết")</f>
        <v/>
      </c>
      <c r="O2382" s="10" t="n"/>
    </row>
    <row r="2383">
      <c r="B2383" s="7" t="n">
        <v>2381</v>
      </c>
      <c r="C2383" t="inlineStr">
        <is>
          <t>Chuyên Viên Khách Hàng Doanh Nghiệp - Khu Vực Hoàng Mai, Thanh Trì (CNLT.1464)</t>
        </is>
      </c>
      <c r="D2383" t="inlineStr">
        <is>
          <t>NGÂN HÀNG TMCP QUÂN ĐỘI – MBBANK</t>
        </is>
      </c>
      <c r="E2383" t="inlineStr">
        <is>
          <t>10tr-35tr ₫/tháng</t>
        </is>
      </c>
      <c r="F2383" t="inlineStr">
        <is>
          <t>Hà Nội</t>
        </is>
      </c>
      <c r="G2383" t="inlineStr">
        <is>
          <t>Nhân viên</t>
        </is>
      </c>
      <c r="H2383" t="inlineStr">
        <is>
          <t>24/02/2026</t>
        </is>
      </c>
      <c r="I2383" t="inlineStr">
        <is>
          <t>26/03/2026</t>
        </is>
      </c>
      <c r="J2383" t="inlineStr">
        <is>
          <t>17/03/2026</t>
        </is>
      </c>
      <c r="K2383" t="inlineStr">
        <is>
          <t>N/A</t>
        </is>
      </c>
      <c r="L2383" t="inlineStr">
        <is>
          <t>Business Development, Financial Analysis, Leadership, Negotiation, Risk Management</t>
        </is>
      </c>
      <c r="M2383" t="inlineStr">
        <is>
          <t>Bonus, Healthcare Plan, Paid Leave, Training, Awards, Library, Team Activities</t>
        </is>
      </c>
      <c r="N2383" s="8">
        <f>HYPERLINK("https://www.vietnamworks.com/chuyen-vien-khach-hang-doanh-nghiep-khu-vuc-hoang-mai-thanh-tri-cnlt-1464-2013211-jv","Xem chi tiết")</f>
        <v/>
      </c>
    </row>
    <row r="2384">
      <c r="B2384" s="9" t="n">
        <v>2382</v>
      </c>
      <c r="C2384" s="10" t="inlineStr">
        <is>
          <t>Chuyên Viên Khách Hàng Cá Nhân - CN. Tây Đô (CNLT.1411)</t>
        </is>
      </c>
      <c r="D2384" s="10" t="inlineStr">
        <is>
          <t>NGÂN HÀNG TMCP QUÂN ĐỘI – MBBANK</t>
        </is>
      </c>
      <c r="E2384" s="10" t="inlineStr">
        <is>
          <t>9tr-35tr ₫/tháng</t>
        </is>
      </c>
      <c r="F2384" s="10" t="inlineStr">
        <is>
          <t>Cần Thơ</t>
        </is>
      </c>
      <c r="G2384" s="10" t="inlineStr">
        <is>
          <t>Nhân viên</t>
        </is>
      </c>
      <c r="H2384" s="10" t="inlineStr">
        <is>
          <t>24/02/2026</t>
        </is>
      </c>
      <c r="I2384" s="10" t="inlineStr">
        <is>
          <t>26/03/2026</t>
        </is>
      </c>
      <c r="J2384" s="10" t="inlineStr">
        <is>
          <t>17/03/2026</t>
        </is>
      </c>
      <c r="K2384" s="10" t="inlineStr">
        <is>
          <t>N/A</t>
        </is>
      </c>
      <c r="L2384" s="10" t="inlineStr">
        <is>
          <t>Financial Analysis, Risk Management, Business Development, Negotiation, Leadership</t>
        </is>
      </c>
      <c r="M2384" s="10" t="inlineStr">
        <is>
          <t>Bonus, Healthcare Plan, Paid Leave</t>
        </is>
      </c>
      <c r="N2384" s="11">
        <f>HYPERLINK("https://www.vietnamworks.com/chuyen-vien-khach-hang-ca-nhan-cn-tay-do-cnlt-1411--2013210-jv","Xem chi tiết")</f>
        <v/>
      </c>
      <c r="O2384" s="10" t="n"/>
    </row>
    <row r="2385">
      <c r="B2385" s="7" t="n">
        <v>2383</v>
      </c>
      <c r="C2385" t="inlineStr">
        <is>
          <t>Chuyên Viên Khách Hàng Cá Nhân - CN. Quảng Nam (CNLT.973)</t>
        </is>
      </c>
      <c r="D2385" t="inlineStr">
        <is>
          <t>NGÂN HÀNG TMCP QUÂN ĐỘI – MBBANK</t>
        </is>
      </c>
      <c r="E2385" t="inlineStr">
        <is>
          <t>9tr-35tr ₫/tháng</t>
        </is>
      </c>
      <c r="F2385" t="inlineStr">
        <is>
          <t>Đà Nẵng</t>
        </is>
      </c>
      <c r="G2385" t="inlineStr">
        <is>
          <t>Nhân viên</t>
        </is>
      </c>
      <c r="H2385" t="inlineStr">
        <is>
          <t>24/02/2026</t>
        </is>
      </c>
      <c r="I2385" t="inlineStr">
        <is>
          <t>26/03/2026</t>
        </is>
      </c>
      <c r="J2385" t="inlineStr">
        <is>
          <t>17/03/2026</t>
        </is>
      </c>
      <c r="K2385" t="inlineStr">
        <is>
          <t>N/A</t>
        </is>
      </c>
      <c r="L2385" t="inlineStr">
        <is>
          <t>Business Development, Financial Analysis, Leadership, Negotiation, Risk Management</t>
        </is>
      </c>
      <c r="M2385" t="inlineStr">
        <is>
          <t>Bonus, Healthcare Plan, Paid Leave, Training, Awards, Library, Team Activities</t>
        </is>
      </c>
      <c r="N2385" s="8">
        <f>HYPERLINK("https://www.vietnamworks.com/chuyen-vien-khach-hang-ca-nhan-cn-quang-nam-cnlt-973-2013216-jv","Xem chi tiết")</f>
        <v/>
      </c>
    </row>
    <row r="2386">
      <c r="B2386" s="9" t="n">
        <v>2384</v>
      </c>
      <c r="C2386" s="10" t="inlineStr">
        <is>
          <t>Chuyên Viên Khách Hàng Doanh Nghiệp - CN. Điện Biên (CNLT.266)</t>
        </is>
      </c>
      <c r="D2386" s="10" t="inlineStr">
        <is>
          <t>NGÂN HÀNG TMCP QUÂN ĐỘI – MBBANK</t>
        </is>
      </c>
      <c r="E2386" s="10" t="inlineStr">
        <is>
          <t>10tr-35tr ₫/tháng</t>
        </is>
      </c>
      <c r="F2386" s="10" t="inlineStr">
        <is>
          <t>Hà Nội</t>
        </is>
      </c>
      <c r="G2386" s="10" t="inlineStr">
        <is>
          <t>Nhân viên</t>
        </is>
      </c>
      <c r="H2386" s="10" t="inlineStr">
        <is>
          <t>24/02/2026</t>
        </is>
      </c>
      <c r="I2386" s="10" t="inlineStr">
        <is>
          <t>26/03/2026</t>
        </is>
      </c>
      <c r="J2386" s="10" t="inlineStr">
        <is>
          <t>17/03/2026</t>
        </is>
      </c>
      <c r="K2386" s="10" t="inlineStr">
        <is>
          <t>N/A</t>
        </is>
      </c>
      <c r="L2386" s="10" t="inlineStr">
        <is>
          <t>Business Development, Financial Analysis, Leadership, Negotiation, Risk Management</t>
        </is>
      </c>
      <c r="M2386" s="10" t="inlineStr">
        <is>
          <t>Bonus, Healthcare Plan, Paid Leave, Training, Awards, Library, Team Activities</t>
        </is>
      </c>
      <c r="N2386" s="11">
        <f>HYPERLINK("https://www.vietnamworks.com/chuyen-vien-khach-hang-doanh-nghiep-cn-djien-bien-cnlt-266-2013207-jv","Xem chi tiết")</f>
        <v/>
      </c>
      <c r="O2386" s="10" t="n"/>
    </row>
    <row r="2387">
      <c r="B2387" s="7" t="n">
        <v>2385</v>
      </c>
      <c r="C2387" t="inlineStr">
        <is>
          <t>Chuyên Viên Quản Lý Chất Lượng</t>
        </is>
      </c>
      <c r="D2387" t="inlineStr">
        <is>
          <t>Công Ty Cổ Phần Apollo Silicone</t>
        </is>
      </c>
      <c r="E2387" t="inlineStr">
        <is>
          <t>$$ 500-1,000 /tháng</t>
        </is>
      </c>
      <c r="F2387" t="inlineStr">
        <is>
          <t>Hưng Yên</t>
        </is>
      </c>
      <c r="G2387" t="inlineStr">
        <is>
          <t>Nhân viên</t>
        </is>
      </c>
      <c r="H2387" t="inlineStr">
        <is>
          <t>24/02/2026</t>
        </is>
      </c>
      <c r="I2387" t="inlineStr">
        <is>
          <t>26/03/2026</t>
        </is>
      </c>
      <c r="J2387" t="inlineStr">
        <is>
          <t>17/03/2026</t>
        </is>
      </c>
      <c r="K2387" t="inlineStr">
        <is>
          <t>N/A</t>
        </is>
      </c>
      <c r="L2387" t="inlineStr">
        <is>
          <t>Quality Control, QC, QA, ISO, Quality Assurance</t>
        </is>
      </c>
      <c r="M2387" t="inlineStr">
        <is>
          <t>Bonus, Healthcare Plan, Paid Leave</t>
        </is>
      </c>
      <c r="N2387" s="8">
        <f>HYPERLINK("https://www.vietnamworks.com/chuyen-vien-quan-ly-chat-luong--2013221-jv","Xem chi tiết")</f>
        <v/>
      </c>
    </row>
    <row r="2388">
      <c r="B2388" s="9" t="n">
        <v>2386</v>
      </c>
      <c r="C2388" s="10" t="inlineStr">
        <is>
          <t>Chuyên Viên Khách Hàng Doanh Nghiệp - CN. Lạng Sơn (CNLT.626)</t>
        </is>
      </c>
      <c r="D2388" s="10" t="inlineStr">
        <is>
          <t>NGÂN HÀNG TMCP QUÂN ĐỘI – MBBANK</t>
        </is>
      </c>
      <c r="E2388" s="10" t="inlineStr">
        <is>
          <t>10tr-35tr ₫/tháng</t>
        </is>
      </c>
      <c r="F2388" s="10" t="inlineStr">
        <is>
          <t>Lạng Sơn</t>
        </is>
      </c>
      <c r="G2388" s="10" t="inlineStr">
        <is>
          <t>Nhân viên</t>
        </is>
      </c>
      <c r="H2388" s="10" t="inlineStr">
        <is>
          <t>24/02/2026</t>
        </is>
      </c>
      <c r="I2388" s="10" t="inlineStr">
        <is>
          <t>26/03/2026</t>
        </is>
      </c>
      <c r="J2388" s="10" t="inlineStr">
        <is>
          <t>17/03/2026</t>
        </is>
      </c>
      <c r="K2388" s="10" t="inlineStr">
        <is>
          <t>N/A</t>
        </is>
      </c>
      <c r="L2388" s="10" t="inlineStr">
        <is>
          <t>Business Development, Financial Analysis, Leadership, Negotiation, Risk Management</t>
        </is>
      </c>
      <c r="M2388" s="10" t="inlineStr">
        <is>
          <t>Bonus, Healthcare Plan, Paid Leave, Training, Awards, Library, Team Activities</t>
        </is>
      </c>
      <c r="N2388" s="11">
        <f>HYPERLINK("https://www.vietnamworks.com/chuyen-vien-khach-hang-doanh-nghiep-cn-lang-son-cnlt-626-2013220-jv","Xem chi tiết")</f>
        <v/>
      </c>
      <c r="O2388" s="10" t="n"/>
    </row>
    <row r="2389">
      <c r="B2389" s="7" t="n">
        <v>2387</v>
      </c>
      <c r="C2389" t="inlineStr">
        <is>
          <t>Chuyên Viên Khách Hàng Cá Nhân - CN. Bắc Ninh (CNLT.547)</t>
        </is>
      </c>
      <c r="D2389" t="inlineStr">
        <is>
          <t>NGÂN HÀNG TMCP QUÂN ĐỘI – MBBANK</t>
        </is>
      </c>
      <c r="E2389" t="inlineStr">
        <is>
          <t>9tr-35tr ₫/tháng</t>
        </is>
      </c>
      <c r="F2389" t="inlineStr">
        <is>
          <t>Bắc Ninh</t>
        </is>
      </c>
      <c r="G2389" t="inlineStr">
        <is>
          <t>Nhân viên</t>
        </is>
      </c>
      <c r="H2389" t="inlineStr">
        <is>
          <t>24/02/2026</t>
        </is>
      </c>
      <c r="I2389" t="inlineStr">
        <is>
          <t>26/03/2026</t>
        </is>
      </c>
      <c r="J2389" t="inlineStr">
        <is>
          <t>17/03/2026</t>
        </is>
      </c>
      <c r="K2389" t="inlineStr">
        <is>
          <t>N/A</t>
        </is>
      </c>
      <c r="L2389" t="inlineStr">
        <is>
          <t>Business Development, Financial Analysis, Leadership, Negotiation, Risk Management</t>
        </is>
      </c>
      <c r="M2389" t="inlineStr">
        <is>
          <t>Bonus, Healthcare Plan, Paid Leave, Training, Awards, Library, Team Activities</t>
        </is>
      </c>
      <c r="N2389" s="8">
        <f>HYPERLINK("https://www.vietnamworks.com/chuyen-vien-khach-hang-ca-nhan-cn-bac-ninh-cnlt-547-2013223-jv","Xem chi tiết")</f>
        <v/>
      </c>
    </row>
    <row r="2390">
      <c r="B2390" s="9" t="n">
        <v>2388</v>
      </c>
      <c r="C2390" s="10" t="inlineStr">
        <is>
          <t>Chuyên Viên Khách Hàng Doanh Nghiệp - CN. Tây Đô (CNLT.1412)</t>
        </is>
      </c>
      <c r="D2390" s="10" t="inlineStr">
        <is>
          <t>NGÂN HÀNG TMCP QUÂN ĐỘI – MBBANK</t>
        </is>
      </c>
      <c r="E2390" s="10" t="inlineStr">
        <is>
          <t>10tr-35tr ₫/tháng</t>
        </is>
      </c>
      <c r="F2390" s="10" t="inlineStr">
        <is>
          <t>Cần Thơ</t>
        </is>
      </c>
      <c r="G2390" s="10" t="inlineStr">
        <is>
          <t>Nhân viên</t>
        </is>
      </c>
      <c r="H2390" s="10" t="inlineStr">
        <is>
          <t>24/02/2026</t>
        </is>
      </c>
      <c r="I2390" s="10" t="inlineStr">
        <is>
          <t>26/03/2026</t>
        </is>
      </c>
      <c r="J2390" s="10" t="inlineStr">
        <is>
          <t>17/03/2026</t>
        </is>
      </c>
      <c r="K2390" s="10" t="inlineStr">
        <is>
          <t>N/A</t>
        </is>
      </c>
      <c r="L2390" s="10" t="inlineStr">
        <is>
          <t>Financial Analysis, Risk Management, Business Development, Negotiation, Leadership</t>
        </is>
      </c>
      <c r="M2390" s="10" t="inlineStr">
        <is>
          <t>Bonus, Healthcare Plan, Paid Leave</t>
        </is>
      </c>
      <c r="N2390" s="11">
        <f>HYPERLINK("https://www.vietnamworks.com/chuyen-vien-khach-hang-doanh-nghiep-cn-tay-do-cnlt-1412--2013222-jv","Xem chi tiết")</f>
        <v/>
      </c>
      <c r="O2390" s="10" t="n"/>
    </row>
    <row r="2391">
      <c r="B2391" s="7" t="n">
        <v>2389</v>
      </c>
      <c r="C2391" t="inlineStr">
        <is>
          <t>Chuyên Viên Khách Hàng Doanh Nghiệp - CN. Móng Cái (CNLT.338)</t>
        </is>
      </c>
      <c r="D2391" t="inlineStr">
        <is>
          <t>NGÂN HÀNG TMCP QUÂN ĐỘI – MBBANK</t>
        </is>
      </c>
      <c r="E2391" t="inlineStr">
        <is>
          <t>10tr-35tr ₫/tháng</t>
        </is>
      </c>
      <c r="F2391" t="inlineStr">
        <is>
          <t>Quảng Ninh</t>
        </is>
      </c>
      <c r="G2391" t="inlineStr">
        <is>
          <t>Nhân viên</t>
        </is>
      </c>
      <c r="H2391" t="inlineStr">
        <is>
          <t>24/02/2026</t>
        </is>
      </c>
      <c r="I2391" t="inlineStr">
        <is>
          <t>26/03/2026</t>
        </is>
      </c>
      <c r="J2391" t="inlineStr">
        <is>
          <t>17/03/2026</t>
        </is>
      </c>
      <c r="K2391" t="inlineStr">
        <is>
          <t>N/A</t>
        </is>
      </c>
      <c r="L2391" t="inlineStr">
        <is>
          <t>Business Development, Financial Analysis, Leadership, Negotiation, Risk Management</t>
        </is>
      </c>
      <c r="M2391" t="inlineStr">
        <is>
          <t>Bonus, Healthcare Plan, Paid Leave, Training, Awards, Library, Team Activities</t>
        </is>
      </c>
      <c r="N2391" s="8">
        <f>HYPERLINK("https://www.vietnamworks.com/chuyen-vien-khach-hang-doanh-nghiep-cn-mong-cai-cnlt-338-2013224-jv","Xem chi tiết")</f>
        <v/>
      </c>
    </row>
    <row r="2392">
      <c r="B2392" s="9" t="n">
        <v>2390</v>
      </c>
      <c r="C2392" s="10" t="inlineStr">
        <is>
          <t>Chuyên Viên Khách Hàng Cá Nhân - Khu Vực Đà Nẵng (CNLT.31)</t>
        </is>
      </c>
      <c r="D2392" s="10" t="inlineStr">
        <is>
          <t>NGÂN HÀNG TMCP QUÂN ĐỘI – MBBANK</t>
        </is>
      </c>
      <c r="E2392" s="10" t="inlineStr">
        <is>
          <t>9tr-35tr ₫/tháng</t>
        </is>
      </c>
      <c r="F2392" s="10" t="inlineStr">
        <is>
          <t>Đà Nẵng</t>
        </is>
      </c>
      <c r="G2392" s="10" t="inlineStr">
        <is>
          <t>Nhân viên</t>
        </is>
      </c>
      <c r="H2392" s="10" t="inlineStr">
        <is>
          <t>24/02/2026</t>
        </is>
      </c>
      <c r="I2392" s="10" t="inlineStr">
        <is>
          <t>26/03/2026</t>
        </is>
      </c>
      <c r="J2392" s="10" t="inlineStr">
        <is>
          <t>17/03/2026</t>
        </is>
      </c>
      <c r="K2392" s="10" t="inlineStr">
        <is>
          <t>N/A</t>
        </is>
      </c>
      <c r="L2392" s="10" t="inlineStr">
        <is>
          <t>Business Development, Financial Analysis, Leadership, Negotiation, Risk Management</t>
        </is>
      </c>
      <c r="M2392" s="10" t="inlineStr">
        <is>
          <t>Bonus, Healthcare Plan, Paid Leave, Training, Awards, Library, Team Activities</t>
        </is>
      </c>
      <c r="N2392" s="11">
        <f>HYPERLINK("https://www.vietnamworks.com/chuyen-vien-khach-hang-ca-nhan-khu-vuc-dja-nang-cnlt-31-2013231-jv","Xem chi tiết")</f>
        <v/>
      </c>
      <c r="O2392" s="10" t="n"/>
    </row>
    <row r="2393">
      <c r="B2393" s="7" t="n">
        <v>2391</v>
      </c>
      <c r="C2393" t="inlineStr">
        <is>
          <t>Head of Customer Experience (Senior Director Level)</t>
        </is>
      </c>
      <c r="D2393" t="inlineStr">
        <is>
          <t>Michael Page Vietnam</t>
        </is>
      </c>
      <c r="E2393" t="inlineStr">
        <is>
          <t>Thương lượng</t>
        </is>
      </c>
      <c r="F2393" t="inlineStr">
        <is>
          <t>Hà Nội</t>
        </is>
      </c>
      <c r="G2393" t="inlineStr">
        <is>
          <t>Giám Đốc và Cấp Cao Hơn</t>
        </is>
      </c>
      <c r="H2393" t="inlineStr">
        <is>
          <t>24/02/2026</t>
        </is>
      </c>
      <c r="I2393" t="inlineStr">
        <is>
          <t>26/03/2026</t>
        </is>
      </c>
      <c r="J2393" t="inlineStr">
        <is>
          <t>17/03/2026</t>
        </is>
      </c>
      <c r="K2393" t="inlineStr">
        <is>
          <t>N/A</t>
        </is>
      </c>
      <c r="L2393" t="inlineStr">
        <is>
          <t>Customer Experiences, Chăm Sóc Khách Hàng, Customer Support, Customer Care, CX Management</t>
        </is>
      </c>
      <c r="M2393" t="inlineStr">
        <is>
          <t>Bonus</t>
        </is>
      </c>
      <c r="N2393" s="8">
        <f>HYPERLINK("https://www.vietnamworks.com/head-of-customer-experience-senior-director-level-2013228-jv","Xem chi tiết")</f>
        <v/>
      </c>
    </row>
    <row r="2394">
      <c r="B2394" s="9" t="n">
        <v>2392</v>
      </c>
      <c r="C2394" s="10" t="inlineStr">
        <is>
          <t>Nhân Viên Phòng Kế Toán - Hội Sở Chính</t>
        </is>
      </c>
      <c r="D2394" s="10" t="inlineStr">
        <is>
          <t>Public Bank Vietnam Ltd</t>
        </is>
      </c>
      <c r="E2394" s="10" t="inlineStr">
        <is>
          <t>$$ 490-650 /tháng</t>
        </is>
      </c>
      <c r="F2394" s="10" t="inlineStr">
        <is>
          <t>Hà Nội</t>
        </is>
      </c>
      <c r="G2394" s="10" t="inlineStr">
        <is>
          <t>Nhân viên</t>
        </is>
      </c>
      <c r="H2394" s="10" t="inlineStr">
        <is>
          <t>24/02/2026</t>
        </is>
      </c>
      <c r="I2394" s="10" t="inlineStr">
        <is>
          <t>26/03/2026</t>
        </is>
      </c>
      <c r="J2394" s="10" t="inlineStr">
        <is>
          <t>17/03/2026</t>
        </is>
      </c>
      <c r="K2394" s="10" t="inlineStr">
        <is>
          <t>N/A</t>
        </is>
      </c>
      <c r="L2394" s="10" t="inlineStr">
        <is>
          <t>Accounting System, Tax Accounting</t>
        </is>
      </c>
      <c r="M2394" s="10" t="inlineStr">
        <is>
          <t>Bonus, Training</t>
        </is>
      </c>
      <c r="N2394" s="11">
        <f>HYPERLINK("https://www.vietnamworks.com/nhan-vien-phong-ke-toan-hoi-so-chinh--2013227-jv","Xem chi tiết")</f>
        <v/>
      </c>
      <c r="O2394" s="10" t="n"/>
    </row>
    <row r="2395">
      <c r="B2395" s="7" t="n">
        <v>2393</v>
      </c>
      <c r="C2395" t="inlineStr">
        <is>
          <t>Chuyên Viên Pháp Lý Dự Án</t>
        </is>
      </c>
      <c r="D2395" t="inlineStr">
        <is>
          <t>CÔNG TY CỔ PHẦN TẬP ĐOÀN ĐẦU TƯ HOÀNG GIA VIỆT NAM</t>
        </is>
      </c>
      <c r="E2395" t="inlineStr">
        <is>
          <t>Thương lượng</t>
        </is>
      </c>
      <c r="F2395" t="inlineStr">
        <is>
          <t>Hồ Chí Minh</t>
        </is>
      </c>
      <c r="G2395" t="inlineStr">
        <is>
          <t>Nhân viên</t>
        </is>
      </c>
      <c r="H2395" t="inlineStr">
        <is>
          <t>24/02/2026</t>
        </is>
      </c>
      <c r="I2395" t="inlineStr">
        <is>
          <t>26/03/2026</t>
        </is>
      </c>
      <c r="J2395" t="inlineStr">
        <is>
          <t>17/03/2026</t>
        </is>
      </c>
      <c r="K2395" t="inlineStr">
        <is>
          <t>N/A</t>
        </is>
      </c>
      <c r="L2395" t="inlineStr">
        <is>
          <t>Pháp Lý Bất Động Sản, Pháp Lý Dự Án Đầu Tư, Pháp Lý Nhà Đất, Pháp Lý Về Hợp Đồng</t>
        </is>
      </c>
      <c r="M2395" t="inlineStr">
        <is>
          <t>Bonus, Healthcare Plan, Training, Laptop, Canteen</t>
        </is>
      </c>
      <c r="N2395" s="8">
        <f>HYPERLINK("https://www.vietnamworks.com/chuyen-vien-phap-ly-du-an-2013229-jv","Xem chi tiết")</f>
        <v/>
      </c>
    </row>
    <row r="2396">
      <c r="B2396" s="9" t="n">
        <v>2394</v>
      </c>
      <c r="C2396" s="10" t="inlineStr">
        <is>
          <t>Operations Specialist (CS &amp; Docs) - Chinese/English Speaking</t>
        </is>
      </c>
      <c r="D2396" s="10" t="inlineStr">
        <is>
          <t>Công Ty TNHH Ezocean Logistics Vietnam</t>
        </is>
      </c>
      <c r="E2396" s="10" t="inlineStr">
        <is>
          <t>Thương lượng</t>
        </is>
      </c>
      <c r="F2396" s="10" t="inlineStr">
        <is>
          <t>Hồ Chí Minh</t>
        </is>
      </c>
      <c r="G2396" s="10" t="inlineStr">
        <is>
          <t>Nhân viên</t>
        </is>
      </c>
      <c r="H2396" s="10" t="inlineStr">
        <is>
          <t>24/02/2026</t>
        </is>
      </c>
      <c r="I2396" s="10" t="inlineStr">
        <is>
          <t>26/03/2026</t>
        </is>
      </c>
      <c r="J2396" s="10" t="inlineStr">
        <is>
          <t>17/03/2026</t>
        </is>
      </c>
      <c r="K2396" s="10" t="inlineStr">
        <is>
          <t>N/A</t>
        </is>
      </c>
      <c r="L2396" s="10" t="inlineStr">
        <is>
          <t>Customer Service, Documentation, Logistics Operations, Supply Chain</t>
        </is>
      </c>
      <c r="M2396" s="10" t="inlineStr">
        <is>
          <t>Bonus, Healthcare Plan, Others</t>
        </is>
      </c>
      <c r="N2396" s="11">
        <f>HYPERLINK("https://www.vietnamworks.com/operations-specialist-cs-and-docs-chineseenglish-speaking-2013238-jv","Xem chi tiết")</f>
        <v/>
      </c>
      <c r="O2396" s="10" t="n"/>
    </row>
    <row r="2397">
      <c r="B2397" s="7" t="n">
        <v>2395</v>
      </c>
      <c r="C2397" t="inlineStr">
        <is>
          <t>Viettel Future Changemakers - Quản Trị Viên Tập Sự - Quản Lý Vận Hành</t>
        </is>
      </c>
      <c r="D2397" t="inlineStr">
        <is>
          <t>Tập Đoàn Công Nghiệp - Viễn Thông Quân Đội (Viettel Group)</t>
        </is>
      </c>
      <c r="E2397" t="inlineStr">
        <is>
          <t>$$ 500-1,500 /tháng</t>
        </is>
      </c>
      <c r="F2397" t="inlineStr">
        <is>
          <t>Hà Nội</t>
        </is>
      </c>
      <c r="G2397" t="inlineStr">
        <is>
          <t>Mới Tốt Nghiệp</t>
        </is>
      </c>
      <c r="H2397" t="inlineStr">
        <is>
          <t>24/02/2026</t>
        </is>
      </c>
      <c r="I2397" t="inlineStr">
        <is>
          <t>26/03/2026</t>
        </is>
      </c>
      <c r="J2397" t="inlineStr">
        <is>
          <t>17/03/2026</t>
        </is>
      </c>
      <c r="K2397" t="inlineStr">
        <is>
          <t>N/A</t>
        </is>
      </c>
      <c r="L2397" t="inlineStr">
        <is>
          <t>Vận Tải, Logistics, Logistics Operations, Logistics Management</t>
        </is>
      </c>
      <c r="M2397" t="inlineStr">
        <is>
          <t>Bonus, Team Activities, Transportation</t>
        </is>
      </c>
      <c r="N2397" s="8">
        <f>HYPERLINK("https://www.vietnamworks.com/viettel-future-changemakers-quan-tri-vien-tap-su-quan-ly-van-hanh-2013249-jv","Xem chi tiết")</f>
        <v/>
      </c>
    </row>
    <row r="2398">
      <c r="B2398" s="9" t="n">
        <v>2396</v>
      </c>
      <c r="C2398" s="10" t="inlineStr">
        <is>
          <t>Gấp!!! 02 Kỹ Sư Kết Cấu - 3 Năm Kinh Nghiệm - Upto 30Tr</t>
        </is>
      </c>
      <c r="D2398" s="10" t="inlineStr">
        <is>
          <t>Es Architecture &amp; Construction</t>
        </is>
      </c>
      <c r="E2398" s="10" t="inlineStr">
        <is>
          <t>Tới 30tr ₫/tháng</t>
        </is>
      </c>
      <c r="F2398" s="10" t="inlineStr">
        <is>
          <t>Hà Nội</t>
        </is>
      </c>
      <c r="G2398" s="10" t="inlineStr">
        <is>
          <t>Nhân viên</t>
        </is>
      </c>
      <c r="H2398" s="10" t="inlineStr">
        <is>
          <t>24/02/2026</t>
        </is>
      </c>
      <c r="I2398" s="10" t="inlineStr">
        <is>
          <t>26/03/2026</t>
        </is>
      </c>
      <c r="J2398" s="10" t="inlineStr">
        <is>
          <t>17/03/2026</t>
        </is>
      </c>
      <c r="K2398" s="10" t="inlineStr">
        <is>
          <t>N/A</t>
        </is>
      </c>
      <c r="L2398" s="10" t="inlineStr">
        <is>
          <t>Plaxis, SAP, Etabs, Autocad, Kết cấu</t>
        </is>
      </c>
      <c r="M2398" s="10" t="inlineStr">
        <is>
          <t>Bonus, Healthcare Plan, Team Activities</t>
        </is>
      </c>
      <c r="N2398" s="11">
        <f>HYPERLINK("https://www.vietnamworks.com/gap-02-ky-su-ket-cau-3-nam-kinh-nghiem-upto-30tr-2013234-jv","Xem chi tiết")</f>
        <v/>
      </c>
      <c r="O2398" s="10" t="n"/>
    </row>
    <row r="2399">
      <c r="B2399" s="7" t="n">
        <v>2397</v>
      </c>
      <c r="C2399" t="inlineStr">
        <is>
          <t>Giám Đốc Trung Tâm Khách Hàng Cá Nhân</t>
        </is>
      </c>
      <c r="D2399" t="inlineStr">
        <is>
          <t>Ngân hàng TMCP Đông Nam Á (SeABank)</t>
        </is>
      </c>
      <c r="E2399" t="inlineStr">
        <is>
          <t>Thương lượng</t>
        </is>
      </c>
      <c r="F2399" t="inlineStr">
        <is>
          <t>Hà Nội</t>
        </is>
      </c>
      <c r="G2399" t="inlineStr">
        <is>
          <t>Trưởng phòng</t>
        </is>
      </c>
      <c r="H2399" t="inlineStr">
        <is>
          <t>24/02/2026</t>
        </is>
      </c>
      <c r="I2399" t="inlineStr">
        <is>
          <t>26/03/2026</t>
        </is>
      </c>
      <c r="J2399" t="inlineStr">
        <is>
          <t>17/03/2026</t>
        </is>
      </c>
      <c r="K2399" t="inlineStr">
        <is>
          <t>N/A</t>
        </is>
      </c>
      <c r="L2399" t="inlineStr">
        <is>
          <t>Quản Lý Kinh Doanh, Kỹ năng bán hàng, Kỹ năng đàm phán, Tài Chính Ngân Hàng</t>
        </is>
      </c>
      <c r="M2399" t="inlineStr">
        <is>
          <t>Bonus, Healthcare Plan, Training, Mobile, Travel Opportunities, Transportation, Others</t>
        </is>
      </c>
      <c r="N2399" s="8">
        <f>HYPERLINK("https://www.vietnamworks.com/giam-djoc-trung-tam-khach-hang-ca-nhan-2013239-jv","Xem chi tiết")</f>
        <v/>
      </c>
    </row>
    <row r="2400">
      <c r="B2400" s="9" t="n">
        <v>2398</v>
      </c>
      <c r="C2400" s="10" t="inlineStr">
        <is>
          <t>Chuyên Viên Khách Hàng Cá Nhân - CN. Đăk Lăk (CNLT.811)</t>
        </is>
      </c>
      <c r="D2400" s="10" t="inlineStr">
        <is>
          <t>NGÂN HÀNG TMCP QUÂN ĐỘI – MBBANK</t>
        </is>
      </c>
      <c r="E2400" s="10" t="inlineStr">
        <is>
          <t>9tr-35tr ₫/tháng</t>
        </is>
      </c>
      <c r="F2400" s="10" t="inlineStr">
        <is>
          <t>Đắk Lắk</t>
        </is>
      </c>
      <c r="G2400" s="10" t="inlineStr">
        <is>
          <t>Nhân viên</t>
        </is>
      </c>
      <c r="H2400" s="10" t="inlineStr">
        <is>
          <t>24/02/2026</t>
        </is>
      </c>
      <c r="I2400" s="10" t="inlineStr">
        <is>
          <t>26/03/2026</t>
        </is>
      </c>
      <c r="J2400" s="10" t="inlineStr">
        <is>
          <t>17/03/2026</t>
        </is>
      </c>
      <c r="K2400" s="10" t="inlineStr">
        <is>
          <t>N/A</t>
        </is>
      </c>
      <c r="L2400" s="10" t="inlineStr">
        <is>
          <t>Business Development, Financial Analysis, Leadership, Negotiation, Risk Management</t>
        </is>
      </c>
      <c r="M2400" s="10" t="inlineStr">
        <is>
          <t>Bonus, Healthcare Plan, Paid Leave, Training, Awards, Library, Team Activities</t>
        </is>
      </c>
      <c r="N2400" s="11">
        <f>HYPERLINK("https://www.vietnamworks.com/chuyen-vien-khach-hang-ca-nhan-cn-djak-lak-cnlt-811-2013241-jv","Xem chi tiết")</f>
        <v/>
      </c>
      <c r="O2400" s="10" t="n"/>
    </row>
    <row r="2401">
      <c r="B2401" s="7" t="n">
        <v>2399</v>
      </c>
      <c r="C2401" t="inlineStr">
        <is>
          <t>Chuyên Viên Khách Hàng Cá Nhân - CN. Bến Tre (CNLT.1291)</t>
        </is>
      </c>
      <c r="D2401" t="inlineStr">
        <is>
          <t>NGÂN HÀNG TMCP QUÂN ĐỘI – MBBANK</t>
        </is>
      </c>
      <c r="E2401" t="inlineStr">
        <is>
          <t>10tr-35tr ₫/tháng</t>
        </is>
      </c>
      <c r="F2401" t="inlineStr">
        <is>
          <t>Bến Tre</t>
        </is>
      </c>
      <c r="G2401" t="inlineStr">
        <is>
          <t>Nhân viên</t>
        </is>
      </c>
      <c r="H2401" t="inlineStr">
        <is>
          <t>24/02/2026</t>
        </is>
      </c>
      <c r="I2401" t="inlineStr">
        <is>
          <t>26/03/2026</t>
        </is>
      </c>
      <c r="J2401" t="inlineStr">
        <is>
          <t>17/03/2026</t>
        </is>
      </c>
      <c r="K2401" t="inlineStr">
        <is>
          <t>N/A</t>
        </is>
      </c>
      <c r="L2401" t="inlineStr">
        <is>
          <t>Business Development, Financial Analysis, Leadership, Negotiation, Risk Management</t>
        </is>
      </c>
      <c r="M2401" t="inlineStr">
        <is>
          <t>Bonus, Healthcare Plan, Paid Leave, Training, Awards, Library, Team Activities</t>
        </is>
      </c>
      <c r="N2401" s="8">
        <f>HYPERLINK("https://www.vietnamworks.com/chuyen-vien-khach-hang-ca-nhan-cn-ben-tre-cnlt-1291-2013237-jv","Xem chi tiết")</f>
        <v/>
      </c>
    </row>
    <row r="2402">
      <c r="B2402" s="9" t="n">
        <v>2400</v>
      </c>
      <c r="C2402" s="10" t="inlineStr">
        <is>
          <t>Chuyên Viên Khách Hàng Doanh Nghiệp - Khu Vực Bình Dương (CNLT.38)</t>
        </is>
      </c>
      <c r="D2402" s="10" t="inlineStr">
        <is>
          <t>NGÂN HÀNG TMCP QUÂN ĐỘI – MBBANK</t>
        </is>
      </c>
      <c r="E2402" s="10" t="inlineStr">
        <is>
          <t>10tr-35tr ₫/tháng</t>
        </is>
      </c>
      <c r="F2402" s="10" t="inlineStr">
        <is>
          <t>Bình Dương</t>
        </is>
      </c>
      <c r="G2402" s="10" t="inlineStr">
        <is>
          <t>Nhân viên</t>
        </is>
      </c>
      <c r="H2402" s="10" t="inlineStr">
        <is>
          <t>24/02/2026</t>
        </is>
      </c>
      <c r="I2402" s="10" t="inlineStr">
        <is>
          <t>26/03/2026</t>
        </is>
      </c>
      <c r="J2402" s="10" t="inlineStr">
        <is>
          <t>17/03/2026</t>
        </is>
      </c>
      <c r="K2402" s="10" t="inlineStr">
        <is>
          <t>N/A</t>
        </is>
      </c>
      <c r="L2402" s="10" t="inlineStr">
        <is>
          <t>Business Development, Financial Analysis, Leadership, Negotiation, Risk Management</t>
        </is>
      </c>
      <c r="M2402" s="10" t="inlineStr">
        <is>
          <t>Bonus, Healthcare Plan, Paid Leave, Training, Awards, Library, Team Activities</t>
        </is>
      </c>
      <c r="N2402" s="11">
        <f>HYPERLINK("https://www.vietnamworks.com/chuyen-vien-khach-hang-doanh-nghiep-khu-vuc-binh-duong-cnlt-38-2013233-jv","Xem chi tiết")</f>
        <v/>
      </c>
      <c r="O2402" s="10" t="n"/>
    </row>
    <row r="2403">
      <c r="B2403" s="7" t="n">
        <v>2401</v>
      </c>
      <c r="C2403" t="inlineStr">
        <is>
          <t>Chuyên Viên Khách Hàng Doanh Nghiệp - Khu Vực Cầu Giấy, Thanh Xuân (CNLT.1458)</t>
        </is>
      </c>
      <c r="D2403" t="inlineStr">
        <is>
          <t>NGÂN HÀNG TMCP QUÂN ĐỘI – MBBANK</t>
        </is>
      </c>
      <c r="E2403" t="inlineStr">
        <is>
          <t>10tr-35tr ₫/tháng</t>
        </is>
      </c>
      <c r="F2403" t="inlineStr">
        <is>
          <t>Hà Nội</t>
        </is>
      </c>
      <c r="G2403" t="inlineStr">
        <is>
          <t>Nhân viên</t>
        </is>
      </c>
      <c r="H2403" t="inlineStr">
        <is>
          <t>24/02/2026</t>
        </is>
      </c>
      <c r="I2403" t="inlineStr">
        <is>
          <t>26/03/2026</t>
        </is>
      </c>
      <c r="J2403" t="inlineStr">
        <is>
          <t>17/03/2026</t>
        </is>
      </c>
      <c r="K2403" t="inlineStr">
        <is>
          <t>N/A</t>
        </is>
      </c>
      <c r="L2403" t="inlineStr">
        <is>
          <t>Business Development, Financial Analysis, Leadership, Negotiation, Risk Management</t>
        </is>
      </c>
      <c r="M2403" t="inlineStr">
        <is>
          <t>Bonus, Healthcare Plan, Paid Leave, Training, Awards, Library, Team Activities</t>
        </is>
      </c>
      <c r="N2403" s="8">
        <f>HYPERLINK("https://www.vietnamworks.com/chuyen-vien-khach-hang-doanh-nghiep-khu-vuc-cau-giay-thanh-xuan-cnlt-1458-2013235-jv","Xem chi tiết")</f>
        <v/>
      </c>
    </row>
    <row r="2404">
      <c r="B2404" s="9" t="n">
        <v>2402</v>
      </c>
      <c r="C2404" s="10" t="inlineStr">
        <is>
          <t>Chuyên Viên Khách Hàng Cá Nhân - Khu Vực Cầu Giấy, Thanh Xuân (CNLT.1457)</t>
        </is>
      </c>
      <c r="D2404" s="10" t="inlineStr">
        <is>
          <t>NGÂN HÀNG TMCP QUÂN ĐỘI – MBBANK</t>
        </is>
      </c>
      <c r="E2404" s="10" t="inlineStr">
        <is>
          <t>9tr-35tr ₫/tháng</t>
        </is>
      </c>
      <c r="F2404" s="10" t="inlineStr">
        <is>
          <t>Hà Nội</t>
        </is>
      </c>
      <c r="G2404" s="10" t="inlineStr">
        <is>
          <t>Nhân viên</t>
        </is>
      </c>
      <c r="H2404" s="10" t="inlineStr">
        <is>
          <t>24/02/2026</t>
        </is>
      </c>
      <c r="I2404" s="10" t="inlineStr">
        <is>
          <t>26/03/2026</t>
        </is>
      </c>
      <c r="J2404" s="10" t="inlineStr">
        <is>
          <t>17/03/2026</t>
        </is>
      </c>
      <c r="K2404" s="10" t="inlineStr">
        <is>
          <t>N/A</t>
        </is>
      </c>
      <c r="L2404" s="10" t="inlineStr">
        <is>
          <t>Business Development, Financial Analysis, Leadership, Negotiation, Risk Management</t>
        </is>
      </c>
      <c r="M2404" s="10" t="inlineStr">
        <is>
          <t>Bonus, Healthcare Plan, Paid Leave, Training, Awards, Library, Team Activities</t>
        </is>
      </c>
      <c r="N2404" s="11">
        <f>HYPERLINK("https://www.vietnamworks.com/chuyen-vien-khach-hang-ca-nhan-khu-vuc-cau-giay-thanh-xuan-cnlt-1457-2013232-jv","Xem chi tiết")</f>
        <v/>
      </c>
      <c r="O2404" s="10" t="n"/>
    </row>
    <row r="2405">
      <c r="B2405" s="7" t="n">
        <v>2403</v>
      </c>
      <c r="C2405" t="inlineStr">
        <is>
          <t>[Hà Nội] Chuyên viên/CVCC Khách Hàng Cá Nhân</t>
        </is>
      </c>
      <c r="D2405" t="inlineStr">
        <is>
          <t>Ngân hàng TMCP Tiên Phong (TPBank)</t>
        </is>
      </c>
      <c r="E2405" t="inlineStr">
        <is>
          <t>12tr-20tr ₫/tháng</t>
        </is>
      </c>
      <c r="F2405" t="inlineStr">
        <is>
          <t>Hà Nội</t>
        </is>
      </c>
      <c r="G2405" t="inlineStr">
        <is>
          <t>Nhân viên</t>
        </is>
      </c>
      <c r="H2405" t="inlineStr">
        <is>
          <t>24/02/2026</t>
        </is>
      </c>
      <c r="I2405" t="inlineStr">
        <is>
          <t>26/03/2026</t>
        </is>
      </c>
      <c r="J2405" t="inlineStr">
        <is>
          <t>17/03/2026</t>
        </is>
      </c>
      <c r="K2405" t="inlineStr">
        <is>
          <t>N/A</t>
        </is>
      </c>
      <c r="L2405" t="inlineStr">
        <is>
          <t>Giao Tiếp, Kinh Tế, Kỹ năng bán hàng, Ngân hàng, Tài Chính</t>
        </is>
      </c>
      <c r="M2405" t="inlineStr">
        <is>
          <t>Bonus, Training, Others</t>
        </is>
      </c>
      <c r="N2405" s="8">
        <f>HYPERLINK("https://www.vietnamworks.com/ha-noi-chuyen-viencvcc-khach-hang-ca-nhan-2013236-jv","Xem chi tiết")</f>
        <v/>
      </c>
    </row>
    <row r="2406">
      <c r="B2406" s="9" t="n">
        <v>2404</v>
      </c>
      <c r="C2406" s="10" t="inlineStr">
        <is>
          <t>Chuyên Viên Khách Hàng Cá Nhân - CN. Thanh Hóa (CNLT.499)</t>
        </is>
      </c>
      <c r="D2406" s="10" t="inlineStr">
        <is>
          <t>NGÂN HÀNG TMCP QUÂN ĐỘI – MBBANK</t>
        </is>
      </c>
      <c r="E2406" s="10" t="inlineStr">
        <is>
          <t>9tr-35tr ₫/tháng</t>
        </is>
      </c>
      <c r="F2406" s="10" t="inlineStr">
        <is>
          <t>Thanh Hóa</t>
        </is>
      </c>
      <c r="G2406" s="10" t="inlineStr">
        <is>
          <t>Nhân viên</t>
        </is>
      </c>
      <c r="H2406" s="10" t="inlineStr">
        <is>
          <t>24/02/2026</t>
        </is>
      </c>
      <c r="I2406" s="10" t="inlineStr">
        <is>
          <t>26/03/2026</t>
        </is>
      </c>
      <c r="J2406" s="10" t="inlineStr">
        <is>
          <t>17/03/2026</t>
        </is>
      </c>
      <c r="K2406" s="10" t="inlineStr">
        <is>
          <t>N/A</t>
        </is>
      </c>
      <c r="L2406" s="10" t="inlineStr">
        <is>
          <t>Business Development, Financial Analysis, Leadership, Negotiation, Risk Management</t>
        </is>
      </c>
      <c r="M2406" s="10" t="inlineStr">
        <is>
          <t>Bonus, Healthcare Plan, Paid Leave, Training, Awards, Library, Team Activities</t>
        </is>
      </c>
      <c r="N2406" s="11">
        <f>HYPERLINK("https://www.vietnamworks.com/chuyen-vien-khach-hang-ca-nhan-cn-thanh-hoa-cnlt-499-2013245-jv","Xem chi tiết")</f>
        <v/>
      </c>
      <c r="O2406" s="10" t="n"/>
    </row>
    <row r="2407">
      <c r="B2407" s="7" t="n">
        <v>2405</v>
      </c>
      <c r="C2407" t="inlineStr">
        <is>
          <t>Chuyên Viên Khách Hàng Doanh Nghiệp - CN. Đăk Lăk (CNLT.812)</t>
        </is>
      </c>
      <c r="D2407" t="inlineStr">
        <is>
          <t>NGÂN HÀNG TMCP QUÂN ĐỘI – MBBANK</t>
        </is>
      </c>
      <c r="E2407" t="inlineStr">
        <is>
          <t>10tr-35tr ₫/tháng</t>
        </is>
      </c>
      <c r="F2407" t="inlineStr">
        <is>
          <t>Đắk Lắk</t>
        </is>
      </c>
      <c r="G2407" t="inlineStr">
        <is>
          <t>Nhân viên</t>
        </is>
      </c>
      <c r="H2407" t="inlineStr">
        <is>
          <t>24/02/2026</t>
        </is>
      </c>
      <c r="I2407" t="inlineStr">
        <is>
          <t>26/03/2026</t>
        </is>
      </c>
      <c r="J2407" t="inlineStr">
        <is>
          <t>17/03/2026</t>
        </is>
      </c>
      <c r="K2407" t="inlineStr">
        <is>
          <t>N/A</t>
        </is>
      </c>
      <c r="L2407" t="inlineStr">
        <is>
          <t>Business Development, Financial Analysis, Leadership, Negotiation, Risk Management</t>
        </is>
      </c>
      <c r="M2407" t="inlineStr">
        <is>
          <t>Bonus, Healthcare Plan, Paid Leave, Training, Awards, Library, Team Activities</t>
        </is>
      </c>
      <c r="N2407" s="8">
        <f>HYPERLINK("https://www.vietnamworks.com/chuyen-vien-khach-hang-doanh-nghiep-cn-djak-lak-cnlt-812-2013243-jv","Xem chi tiết")</f>
        <v/>
      </c>
    </row>
    <row r="2408">
      <c r="B2408" s="9" t="n">
        <v>2406</v>
      </c>
      <c r="C2408" s="10" t="inlineStr">
        <is>
          <t>Chuyên Viên Khách Hàng Doanh Nghiệp - CN. Tây Ninh (CNLT.1208)</t>
        </is>
      </c>
      <c r="D2408" s="10" t="inlineStr">
        <is>
          <t>NGÂN HÀNG TMCP QUÂN ĐỘI – MBBANK</t>
        </is>
      </c>
      <c r="E2408" s="10" t="inlineStr">
        <is>
          <t>10tr-35tr ₫/tháng</t>
        </is>
      </c>
      <c r="F2408" s="10" t="inlineStr">
        <is>
          <t>Tây Ninh</t>
        </is>
      </c>
      <c r="G2408" s="10" t="inlineStr">
        <is>
          <t>Nhân viên</t>
        </is>
      </c>
      <c r="H2408" s="10" t="inlineStr">
        <is>
          <t>24/02/2026</t>
        </is>
      </c>
      <c r="I2408" s="10" t="inlineStr">
        <is>
          <t>26/03/2026</t>
        </is>
      </c>
      <c r="J2408" s="10" t="inlineStr">
        <is>
          <t>17/03/2026</t>
        </is>
      </c>
      <c r="K2408" s="10" t="inlineStr">
        <is>
          <t>N/A</t>
        </is>
      </c>
      <c r="L2408" s="10" t="inlineStr">
        <is>
          <t>Business Development, Financial Analysis, Leadership, Negotiation, Risk Management</t>
        </is>
      </c>
      <c r="M2408" s="10" t="inlineStr">
        <is>
          <t>Bonus, Healthcare Plan, Paid Leave, Training, Awards, Library, Team Activities</t>
        </is>
      </c>
      <c r="N2408" s="11">
        <f>HYPERLINK("https://www.vietnamworks.com/chuyen-vien-khach-hang-doanh-nghiep-cn-tay-ninh-cnlt-1208-2013247-jv","Xem chi tiết")</f>
        <v/>
      </c>
      <c r="O2408" s="10" t="n"/>
    </row>
    <row r="2409">
      <c r="B2409" s="7" t="n">
        <v>2407</v>
      </c>
      <c r="C2409" t="inlineStr">
        <is>
          <t>Chuyên Viên Khách Hàng Doanh Nghiệp - Khu Vực Hà Nội (CNLT.02)</t>
        </is>
      </c>
      <c r="D2409" t="inlineStr">
        <is>
          <t>NGÂN HÀNG TMCP QUÂN ĐỘI – MBBANK</t>
        </is>
      </c>
      <c r="E2409" t="inlineStr">
        <is>
          <t>10tr-35tr ₫/tháng</t>
        </is>
      </c>
      <c r="F2409" t="inlineStr">
        <is>
          <t>Hà Nội</t>
        </is>
      </c>
      <c r="G2409" t="inlineStr">
        <is>
          <t>Nhân viên</t>
        </is>
      </c>
      <c r="H2409" t="inlineStr">
        <is>
          <t>24/02/2026</t>
        </is>
      </c>
      <c r="I2409" t="inlineStr">
        <is>
          <t>26/03/2026</t>
        </is>
      </c>
      <c r="J2409" t="inlineStr">
        <is>
          <t>17/03/2026</t>
        </is>
      </c>
      <c r="K2409" t="inlineStr">
        <is>
          <t>N/A</t>
        </is>
      </c>
      <c r="L2409" t="inlineStr">
        <is>
          <t>Financial Analysis, Risk Management, Business Development, Negotiation, Leadership</t>
        </is>
      </c>
      <c r="M2409" t="inlineStr">
        <is>
          <t>Bonus, Healthcare Plan, Paid Leave</t>
        </is>
      </c>
      <c r="N2409" s="8">
        <f>HYPERLINK("https://www.vietnamworks.com/chuyen-vien-khach-hang-doanh-nghiep-khu-vuc-ha-noi-cnlt-02--2013230-jv","Xem chi tiết")</f>
        <v/>
      </c>
    </row>
    <row r="2410">
      <c r="B2410" s="9" t="n">
        <v>2408</v>
      </c>
      <c r="C2410" s="10" t="inlineStr">
        <is>
          <t>Chuyên Viên Khách Hàng Cá Nhân - CN. Tây Ninh (CNLT.1207)</t>
        </is>
      </c>
      <c r="D2410" s="10" t="inlineStr">
        <is>
          <t>NGÂN HÀNG TMCP QUÂN ĐỘI – MBBANK</t>
        </is>
      </c>
      <c r="E2410" s="10" t="inlineStr">
        <is>
          <t>9tr-35tr ₫/tháng</t>
        </is>
      </c>
      <c r="F2410" s="10" t="inlineStr">
        <is>
          <t>Tây Ninh</t>
        </is>
      </c>
      <c r="G2410" s="10" t="inlineStr">
        <is>
          <t>Nhân viên</t>
        </is>
      </c>
      <c r="H2410" s="10" t="inlineStr">
        <is>
          <t>24/02/2026</t>
        </is>
      </c>
      <c r="I2410" s="10" t="inlineStr">
        <is>
          <t>26/03/2026</t>
        </is>
      </c>
      <c r="J2410" s="10" t="inlineStr">
        <is>
          <t>17/03/2026</t>
        </is>
      </c>
      <c r="K2410" s="10" t="inlineStr">
        <is>
          <t>N/A</t>
        </is>
      </c>
      <c r="L2410" s="10" t="inlineStr">
        <is>
          <t>Business Development, Financial Analysis, Leadership, Negotiation, Risk Management</t>
        </is>
      </c>
      <c r="M2410" s="10" t="inlineStr">
        <is>
          <t>Bonus, Healthcare Plan, Paid Leave, Training, Awards, Library, Team Activities</t>
        </is>
      </c>
      <c r="N2410" s="11">
        <f>HYPERLINK("https://www.vietnamworks.com/chuyen-vien-khach-hang-ca-nhan-cn-tay-ninh-cnlt-1207-2013244-jv","Xem chi tiết")</f>
        <v/>
      </c>
      <c r="O2410" s="10" t="n"/>
    </row>
    <row r="2411">
      <c r="B2411" s="7" t="n">
        <v>2409</v>
      </c>
      <c r="C2411" t="inlineStr">
        <is>
          <t>Chuyên Viên Khách Hàng Cá Nhân - CN. Quảng Ngãi (CNLT.991)</t>
        </is>
      </c>
      <c r="D2411" t="inlineStr">
        <is>
          <t>NGÂN HÀNG TMCP QUÂN ĐỘI – MBBANK</t>
        </is>
      </c>
      <c r="E2411" t="inlineStr">
        <is>
          <t>9tr-35tr ₫/tháng</t>
        </is>
      </c>
      <c r="F2411" t="inlineStr">
        <is>
          <t>Quảng Ngãi</t>
        </is>
      </c>
      <c r="G2411" t="inlineStr">
        <is>
          <t>Nhân viên</t>
        </is>
      </c>
      <c r="H2411" t="inlineStr">
        <is>
          <t>24/02/2026</t>
        </is>
      </c>
      <c r="I2411" t="inlineStr">
        <is>
          <t>26/03/2026</t>
        </is>
      </c>
      <c r="J2411" t="inlineStr">
        <is>
          <t>17/03/2026</t>
        </is>
      </c>
      <c r="K2411" t="inlineStr">
        <is>
          <t>N/A</t>
        </is>
      </c>
      <c r="L2411" t="inlineStr">
        <is>
          <t>Business Development, Financial Analysis, Leadership, Negotiation, Risk Management</t>
        </is>
      </c>
      <c r="M2411" t="inlineStr">
        <is>
          <t>Bonus, Healthcare Plan, Paid Leave, Training, Awards, Library, Team Activities</t>
        </is>
      </c>
      <c r="N2411" s="8">
        <f>HYPERLINK("https://www.vietnamworks.com/chuyen-vien-khach-hang-ca-nhan-cn-quang-ngai-cnlt-991-2013246-jv","Xem chi tiết")</f>
        <v/>
      </c>
    </row>
    <row r="2412">
      <c r="B2412" s="9" t="n">
        <v>2410</v>
      </c>
      <c r="C2412" s="10" t="inlineStr">
        <is>
          <t>Chuyên Viên Khách Hàng Doanh Nghiệp - CN. Quảng Nam (CNLT.974)</t>
        </is>
      </c>
      <c r="D2412" s="10" t="inlineStr">
        <is>
          <t>NGÂN HÀNG TMCP QUÂN ĐỘI – MBBANK</t>
        </is>
      </c>
      <c r="E2412" s="10" t="inlineStr">
        <is>
          <t>10tr-35tr ₫/tháng</t>
        </is>
      </c>
      <c r="F2412" s="10" t="inlineStr">
        <is>
          <t>Đà Nẵng</t>
        </is>
      </c>
      <c r="G2412" s="10" t="inlineStr">
        <is>
          <t>Nhân viên</t>
        </is>
      </c>
      <c r="H2412" s="10" t="inlineStr">
        <is>
          <t>24/02/2026</t>
        </is>
      </c>
      <c r="I2412" s="10" t="inlineStr">
        <is>
          <t>26/03/2026</t>
        </is>
      </c>
      <c r="J2412" s="10" t="inlineStr">
        <is>
          <t>17/03/2026</t>
        </is>
      </c>
      <c r="K2412" s="10" t="inlineStr">
        <is>
          <t>N/A</t>
        </is>
      </c>
      <c r="L2412" s="10" t="inlineStr">
        <is>
          <t>Business Development, Financial Analysis, Leadership, Negotiation, Risk Management</t>
        </is>
      </c>
      <c r="M2412" s="10" t="inlineStr">
        <is>
          <t>Bonus, Healthcare Plan, Paid Leave, Training, Awards, Library, Team Activities</t>
        </is>
      </c>
      <c r="N2412" s="11">
        <f>HYPERLINK("https://www.vietnamworks.com/chuyen-vien-khach-hang-doanh-nghiep-cn-quang-nam-cnlt-974-2013251-jv","Xem chi tiết")</f>
        <v/>
      </c>
      <c r="O2412" s="10" t="n"/>
    </row>
    <row r="2413">
      <c r="B2413" s="7" t="n">
        <v>2411</v>
      </c>
      <c r="C2413" t="inlineStr">
        <is>
          <t>Chuyên Viên Khách Hàng Doanh Nghiệp - CN. Bến Tre (CNLT.1292)</t>
        </is>
      </c>
      <c r="D2413" t="inlineStr">
        <is>
          <t>NGÂN HÀNG TMCP QUÂN ĐỘI – MBBANK</t>
        </is>
      </c>
      <c r="E2413" t="inlineStr">
        <is>
          <t>10tr-35tr ₫/tháng</t>
        </is>
      </c>
      <c r="F2413" t="inlineStr">
        <is>
          <t>Bến Tre</t>
        </is>
      </c>
      <c r="G2413" t="inlineStr">
        <is>
          <t>Nhân viên</t>
        </is>
      </c>
      <c r="H2413" t="inlineStr">
        <is>
          <t>24/02/2026</t>
        </is>
      </c>
      <c r="I2413" t="inlineStr">
        <is>
          <t>26/03/2026</t>
        </is>
      </c>
      <c r="J2413" t="inlineStr">
        <is>
          <t>17/03/2026</t>
        </is>
      </c>
      <c r="K2413" t="inlineStr">
        <is>
          <t>N/A</t>
        </is>
      </c>
      <c r="L2413" t="inlineStr">
        <is>
          <t>Business Development, Financial Analysis, Leadership, Negotiation, Risk Management</t>
        </is>
      </c>
      <c r="M2413" t="inlineStr">
        <is>
          <t>Bonus, Healthcare Plan, Paid Leave, Training, Awards, Library, Team Activities</t>
        </is>
      </c>
      <c r="N2413" s="8">
        <f>HYPERLINK("https://www.vietnamworks.com/chuyen-vien-khach-hang-doanh-nghiep-cn-ben-tre-cnlt-1292-2013261-jv","Xem chi tiết")</f>
        <v/>
      </c>
    </row>
    <row r="2414">
      <c r="B2414" s="9" t="n">
        <v>2412</v>
      </c>
      <c r="C2414" s="10" t="inlineStr">
        <is>
          <t>Chuyên Viên Khách Hàng Doanh Nghiệp - CN. Bắc Ninh (CNLT.548)</t>
        </is>
      </c>
      <c r="D2414" s="10" t="inlineStr">
        <is>
          <t>NGÂN HÀNG TMCP QUÂN ĐỘI – MBBANK</t>
        </is>
      </c>
      <c r="E2414" s="10" t="inlineStr">
        <is>
          <t>10tr-35tr ₫/tháng</t>
        </is>
      </c>
      <c r="F2414" s="10" t="inlineStr">
        <is>
          <t>Bắc Ninh</t>
        </is>
      </c>
      <c r="G2414" s="10" t="inlineStr">
        <is>
          <t>Nhân viên</t>
        </is>
      </c>
      <c r="H2414" s="10" t="inlineStr">
        <is>
          <t>24/02/2026</t>
        </is>
      </c>
      <c r="I2414" s="10" t="inlineStr">
        <is>
          <t>26/03/2026</t>
        </is>
      </c>
      <c r="J2414" s="10" t="inlineStr">
        <is>
          <t>17/03/2026</t>
        </is>
      </c>
      <c r="K2414" s="10" t="inlineStr">
        <is>
          <t>N/A</t>
        </is>
      </c>
      <c r="L2414" s="10" t="inlineStr">
        <is>
          <t>Business Development, Financial Analysis, Leadership, Negotiation, Risk Management</t>
        </is>
      </c>
      <c r="M2414" s="10" t="inlineStr">
        <is>
          <t>Bonus, Healthcare Plan, Paid Leave, Training, Awards, Library, Team Activities</t>
        </is>
      </c>
      <c r="N2414" s="11">
        <f>HYPERLINK("https://www.vietnamworks.com/chuyen-vien-khach-hang-doanh-nghiep-cn-bac-ninh-cnlt-548-2013257-jv","Xem chi tiết")</f>
        <v/>
      </c>
      <c r="O2414" s="10" t="n"/>
    </row>
    <row r="2415">
      <c r="B2415" s="7" t="n">
        <v>2413</v>
      </c>
      <c r="C2415" t="inlineStr">
        <is>
          <t>Chuyên Viên Kinh Doanh Khu Vực Phía Bắc - Khu Vực TP Hà Nội, Đà Nẵng, Quảng Ninh</t>
        </is>
      </c>
      <c r="D2415" t="inlineStr">
        <is>
          <t>Public Bank Vietnam Ltd</t>
        </is>
      </c>
      <c r="E2415" t="inlineStr">
        <is>
          <t>$$ 490-730 /tháng</t>
        </is>
      </c>
      <c r="F2415" t="inlineStr">
        <is>
          <t>Hà Nội</t>
        </is>
      </c>
      <c r="G2415" t="inlineStr">
        <is>
          <t>Nhân viên</t>
        </is>
      </c>
      <c r="H2415" t="inlineStr">
        <is>
          <t>24/02/2026</t>
        </is>
      </c>
      <c r="I2415" t="inlineStr">
        <is>
          <t>26/03/2026</t>
        </is>
      </c>
      <c r="J2415" t="inlineStr">
        <is>
          <t>17/03/2026</t>
        </is>
      </c>
      <c r="K2415" t="inlineStr">
        <is>
          <t>N/A</t>
        </is>
      </c>
      <c r="L2415" t="inlineStr">
        <is>
          <t>Kinh Doanh, Sales Supervisor, Sales Development, Sales Operation</t>
        </is>
      </c>
      <c r="M2415" t="inlineStr">
        <is>
          <t>Bonus, Training</t>
        </is>
      </c>
      <c r="N2415" s="8">
        <f>HYPERLINK("https://www.vietnamworks.com/chuyen-vien-kinh-doanh-khu-vuc-phia-bac-khu-vuc-tp-ha-noi-da-nang-quang-ninh-2013258-jv","Xem chi tiết")</f>
        <v/>
      </c>
    </row>
    <row r="2416">
      <c r="B2416" s="9" t="n">
        <v>2414</v>
      </c>
      <c r="C2416" s="10" t="inlineStr">
        <is>
          <t>Chuyên Viên Khách Hàng Cá Nhân - CN. Quảng Trị (CNLT.1015)</t>
        </is>
      </c>
      <c r="D2416" s="10" t="inlineStr">
        <is>
          <t>NGÂN HÀNG TMCP QUÂN ĐỘI – MBBANK</t>
        </is>
      </c>
      <c r="E2416" s="10" t="inlineStr">
        <is>
          <t>9tr-35tr ₫/tháng</t>
        </is>
      </c>
      <c r="F2416" s="10" t="inlineStr">
        <is>
          <t>Quảng Trị</t>
        </is>
      </c>
      <c r="G2416" s="10" t="inlineStr">
        <is>
          <t>Nhân viên</t>
        </is>
      </c>
      <c r="H2416" s="10" t="inlineStr">
        <is>
          <t>24/02/2026</t>
        </is>
      </c>
      <c r="I2416" s="10" t="inlineStr">
        <is>
          <t>26/03/2026</t>
        </is>
      </c>
      <c r="J2416" s="10" t="inlineStr">
        <is>
          <t>17/03/2026</t>
        </is>
      </c>
      <c r="K2416" s="10" t="inlineStr">
        <is>
          <t>N/A</t>
        </is>
      </c>
      <c r="L2416" s="10" t="inlineStr">
        <is>
          <t>Business Development, Financial Analysis, Leadership, Negotiation, Risk Management</t>
        </is>
      </c>
      <c r="M2416" s="10" t="inlineStr">
        <is>
          <t>Bonus, Healthcare Plan, Paid Leave, Training, Awards, Library, Team Activities</t>
        </is>
      </c>
      <c r="N2416" s="11">
        <f>HYPERLINK("https://www.vietnamworks.com/chuyen-vien-khach-hang-ca-nhan-cn-quang-tri-cnlt-1015-2013275-jv","Xem chi tiết")</f>
        <v/>
      </c>
      <c r="O2416" s="10" t="n"/>
    </row>
    <row r="2417">
      <c r="B2417" s="7" t="n">
        <v>2415</v>
      </c>
      <c r="C2417" t="inlineStr">
        <is>
          <t>Chuyên Viên Khách Hàng Cá Nhân - CN. Gia Lai (CNLT.841)</t>
        </is>
      </c>
      <c r="D2417" t="inlineStr">
        <is>
          <t>NGÂN HÀNG TMCP QUÂN ĐỘI – MBBANK</t>
        </is>
      </c>
      <c r="E2417" t="inlineStr">
        <is>
          <t>9tr-35tr ₫/tháng</t>
        </is>
      </c>
      <c r="F2417" t="inlineStr">
        <is>
          <t>Gia Lai</t>
        </is>
      </c>
      <c r="G2417" t="inlineStr">
        <is>
          <t>Nhân viên</t>
        </is>
      </c>
      <c r="H2417" t="inlineStr">
        <is>
          <t>24/02/2026</t>
        </is>
      </c>
      <c r="I2417" t="inlineStr">
        <is>
          <t>26/03/2026</t>
        </is>
      </c>
      <c r="J2417" t="inlineStr">
        <is>
          <t>17/03/2026</t>
        </is>
      </c>
      <c r="K2417" t="inlineStr">
        <is>
          <t>N/A</t>
        </is>
      </c>
      <c r="L2417" t="inlineStr">
        <is>
          <t>Business Development, Financial Analysis, Leadership, Negotiation, Risk Management</t>
        </is>
      </c>
      <c r="M2417" t="inlineStr">
        <is>
          <t>Bonus, Healthcare Plan, Paid Leave, Training, Awards, Library, Team Activities</t>
        </is>
      </c>
      <c r="N2417" s="8">
        <f>HYPERLINK("https://www.vietnamworks.com/chuyen-vien-khach-hang-ca-nhan-cn-gia-lai-cnlt-841-2013259-jv","Xem chi tiết")</f>
        <v/>
      </c>
    </row>
    <row r="2418">
      <c r="B2418" s="9" t="n">
        <v>2416</v>
      </c>
      <c r="C2418" s="10" t="inlineStr">
        <is>
          <t>Business Development Manager - Ha Noi Branch</t>
        </is>
      </c>
      <c r="D2418" s="10" t="inlineStr">
        <is>
          <t>Dachser Vietnam Co., Ltd</t>
        </is>
      </c>
      <c r="E2418" s="10" t="inlineStr">
        <is>
          <t>Thương lượng</t>
        </is>
      </c>
      <c r="F2418" s="10" t="inlineStr">
        <is>
          <t>Hà Nội</t>
        </is>
      </c>
      <c r="G2418" s="10" t="inlineStr">
        <is>
          <t>Nhân viên</t>
        </is>
      </c>
      <c r="H2418" s="10" t="inlineStr">
        <is>
          <t>24/02/2026</t>
        </is>
      </c>
      <c r="I2418" s="10" t="inlineStr">
        <is>
          <t>26/03/2026</t>
        </is>
      </c>
      <c r="J2418" s="10" t="inlineStr">
        <is>
          <t>17/03/2026</t>
        </is>
      </c>
      <c r="K2418" s="10" t="inlineStr">
        <is>
          <t>N/A</t>
        </is>
      </c>
      <c r="L2418" s="10" t="inlineStr">
        <is>
          <t>Logistics Sales, Business Development, Communication and negotiation skills, English/Vietnamese Communication, Freight Forwarding</t>
        </is>
      </c>
      <c r="M2418" s="10" t="inlineStr">
        <is>
          <t>Bonus, Healthcare Plan, Team Activities</t>
        </is>
      </c>
      <c r="N2418" s="11">
        <f>HYPERLINK("https://www.vietnamworks.com/business-development-manager-ha-noi-branch--2013269-jv","Xem chi tiết")</f>
        <v/>
      </c>
      <c r="O2418" s="10" t="n"/>
    </row>
    <row r="2419">
      <c r="B2419" s="7" t="n">
        <v>2417</v>
      </c>
      <c r="C2419" t="inlineStr">
        <is>
          <t>Cán Bộ Ngân Hàng Trực Thuộc Chi Nhánh/ PGD Tại Khu Vực Hà Nội</t>
        </is>
      </c>
      <c r="D2419" t="inlineStr">
        <is>
          <t>Public Bank Vietnam Ltd</t>
        </is>
      </c>
      <c r="E2419" t="inlineStr">
        <is>
          <t>Thương lượng</t>
        </is>
      </c>
      <c r="F2419" t="inlineStr">
        <is>
          <t>Hà Nội</t>
        </is>
      </c>
      <c r="G2419" t="inlineStr">
        <is>
          <t>Nhân viên</t>
        </is>
      </c>
      <c r="H2419" t="inlineStr">
        <is>
          <t>24/02/2026</t>
        </is>
      </c>
      <c r="I2419" t="inlineStr">
        <is>
          <t>26/03/2026</t>
        </is>
      </c>
      <c r="J2419" t="inlineStr">
        <is>
          <t>17/03/2026</t>
        </is>
      </c>
      <c r="K2419" t="inlineStr">
        <is>
          <t>N/A</t>
        </is>
      </c>
      <c r="L2419" t="inlineStr">
        <is>
          <t>Teller Operations, Credit Operation, Credit Admin</t>
        </is>
      </c>
      <c r="M2419" t="inlineStr">
        <is>
          <t>Bonus, Training</t>
        </is>
      </c>
      <c r="N2419" s="8">
        <f>HYPERLINK("https://www.vietnamworks.com/can-bo-ngan-hang-truc-thuoc-chi-nhanh-pgd-tai-khu-vuc-ha-noi-2013273-jv","Xem chi tiết")</f>
        <v/>
      </c>
    </row>
    <row r="2420">
      <c r="B2420" s="9" t="n">
        <v>2418</v>
      </c>
      <c r="C2420" s="10" t="inlineStr">
        <is>
          <t>Chuyên Viên Khách Hàng Doanh Nghiệp - CN. Lâm Đồng ( CNLT.1136 )</t>
        </is>
      </c>
      <c r="D2420" s="10" t="inlineStr">
        <is>
          <t>NGÂN HÀNG TMCP QUÂN ĐỘI – MBBANK</t>
        </is>
      </c>
      <c r="E2420" s="10" t="inlineStr">
        <is>
          <t>10tr-35tr ₫/tháng</t>
        </is>
      </c>
      <c r="F2420" s="10" t="inlineStr">
        <is>
          <t>Lâm Đồng</t>
        </is>
      </c>
      <c r="G2420" s="10" t="inlineStr">
        <is>
          <t>Nhân viên</t>
        </is>
      </c>
      <c r="H2420" s="10" t="inlineStr">
        <is>
          <t>24/02/2026</t>
        </is>
      </c>
      <c r="I2420" s="10" t="inlineStr">
        <is>
          <t>26/03/2026</t>
        </is>
      </c>
      <c r="J2420" s="10" t="inlineStr">
        <is>
          <t>17/03/2026</t>
        </is>
      </c>
      <c r="K2420" s="10" t="inlineStr">
        <is>
          <t>N/A</t>
        </is>
      </c>
      <c r="L2420" s="10" t="inlineStr">
        <is>
          <t>Business Development, Financial Analysis, Leadership, Negotiation, Risk Management</t>
        </is>
      </c>
      <c r="M2420" s="10" t="inlineStr">
        <is>
          <t>Bonus, Healthcare Plan, Paid Leave, Training, Awards, Library, Team Activities</t>
        </is>
      </c>
      <c r="N2420" s="11">
        <f>HYPERLINK("https://www.vietnamworks.com/chuyen-vien-khach-hang-doanh-nghiep-cn-lam-djong-cnlt-1136-2013256-jv","Xem chi tiết")</f>
        <v/>
      </c>
      <c r="O2420" s="10" t="n"/>
    </row>
    <row r="2421">
      <c r="B2421" s="7" t="n">
        <v>2419</v>
      </c>
      <c r="C2421" t="inlineStr">
        <is>
          <t>Trưởng Phòng Hành Chính - Nhân Sự</t>
        </is>
      </c>
      <c r="D2421" t="inlineStr">
        <is>
          <t>Mrs Hiệp - KHCN</t>
        </is>
      </c>
      <c r="E2421" t="inlineStr">
        <is>
          <t>$$ 1,000-2,000 /tháng</t>
        </is>
      </c>
      <c r="F2421" t="inlineStr">
        <is>
          <t>Hà Nội</t>
        </is>
      </c>
      <c r="G2421" t="inlineStr">
        <is>
          <t>Trưởng phòng</t>
        </is>
      </c>
      <c r="H2421" t="inlineStr">
        <is>
          <t>24/02/2026</t>
        </is>
      </c>
      <c r="I2421" t="inlineStr">
        <is>
          <t>26/03/2026</t>
        </is>
      </c>
      <c r="J2421" t="inlineStr">
        <is>
          <t>17/03/2026</t>
        </is>
      </c>
      <c r="K2421" t="inlineStr">
        <is>
          <t>N/A</t>
        </is>
      </c>
      <c r="L2421" t="inlineStr">
        <is>
          <t>Giám Sát Công Việc, Giao Tiếp Chủ Động, Quản Trị Nhân Lực, Pháp Luật Lao Động, Thuế Tncn, Bhxh</t>
        </is>
      </c>
      <c r="M2421" t="inlineStr">
        <is>
          <t>Others</t>
        </is>
      </c>
      <c r="N2421" s="8">
        <f>HYPERLINK("https://www.vietnamworks.com/truong-phong-hanh-chinh-nhan-su-2013268-jv","Xem chi tiết")</f>
        <v/>
      </c>
    </row>
    <row r="2422">
      <c r="B2422" s="9" t="n">
        <v>2420</v>
      </c>
      <c r="C2422" s="10" t="inlineStr">
        <is>
          <t>Giám Đốc Khách Hàng Ưu Tiên - Khu Vực Hà Nội</t>
        </is>
      </c>
      <c r="D2422" s="10" t="inlineStr">
        <is>
          <t>Ngân hàng TMCP Đông Nam Á (SeABank)</t>
        </is>
      </c>
      <c r="E2422" s="10" t="inlineStr">
        <is>
          <t>Thương lượng</t>
        </is>
      </c>
      <c r="F2422" s="10" t="inlineStr">
        <is>
          <t>Hà Nội</t>
        </is>
      </c>
      <c r="G2422" s="10" t="inlineStr">
        <is>
          <t>Giám Đốc và Cấp Cao Hơn</t>
        </is>
      </c>
      <c r="H2422" s="10" t="inlineStr">
        <is>
          <t>24/02/2026</t>
        </is>
      </c>
      <c r="I2422" s="10" t="inlineStr">
        <is>
          <t>26/03/2026</t>
        </is>
      </c>
      <c r="J2422" s="10" t="inlineStr">
        <is>
          <t>17/03/2026</t>
        </is>
      </c>
      <c r="K2422" s="10" t="inlineStr">
        <is>
          <t>N/A</t>
        </is>
      </c>
      <c r="L2422" s="10" t="inlineStr">
        <is>
          <t>Quản Lý Bán Hàng, Phân Tích Đánh Giá, Tư Vấn Giải Pháp Tài Chính, Ngân hàng, Quản Lý Khách Hàng Ưu Tiên</t>
        </is>
      </c>
      <c r="M2422" s="10" t="inlineStr">
        <is>
          <t>Bonus, Healthcare Plan, Paid Leave, Training, Team Activities, Others</t>
        </is>
      </c>
      <c r="N2422" s="11">
        <f>HYPERLINK("https://www.vietnamworks.com/giam-djoc-khach-hang-uu-tien-khu-vuc-ha-noi-2013262-jv","Xem chi tiết")</f>
        <v/>
      </c>
      <c r="O2422" s="10" t="n"/>
    </row>
    <row r="2423">
      <c r="B2423" s="7" t="n">
        <v>2421</v>
      </c>
      <c r="C2423" t="inlineStr">
        <is>
          <t>Chuyên Viên Khách Hàng Doanh Nghiệp - CN. Quảng Ngãi (CNLT.992)</t>
        </is>
      </c>
      <c r="D2423" t="inlineStr">
        <is>
          <t>NGÂN HÀNG TMCP QUÂN ĐỘI – MBBANK</t>
        </is>
      </c>
      <c r="E2423" t="inlineStr">
        <is>
          <t>10tr-35tr ₫/tháng</t>
        </is>
      </c>
      <c r="F2423" t="inlineStr">
        <is>
          <t>Quảng Ngãi</t>
        </is>
      </c>
      <c r="G2423" t="inlineStr">
        <is>
          <t>Nhân viên</t>
        </is>
      </c>
      <c r="H2423" t="inlineStr">
        <is>
          <t>24/02/2026</t>
        </is>
      </c>
      <c r="I2423" t="inlineStr">
        <is>
          <t>26/03/2026</t>
        </is>
      </c>
      <c r="J2423" t="inlineStr">
        <is>
          <t>17/03/2026</t>
        </is>
      </c>
      <c r="K2423" t="inlineStr">
        <is>
          <t>N/A</t>
        </is>
      </c>
      <c r="L2423" t="inlineStr">
        <is>
          <t>Business Development, Financial Analysis, Leadership, Negotiation, Risk Management</t>
        </is>
      </c>
      <c r="M2423" t="inlineStr">
        <is>
          <t>Bonus, Healthcare Plan, Paid Leave, Training, Awards, Library, Team Activities</t>
        </is>
      </c>
      <c r="N2423" s="8">
        <f>HYPERLINK("https://www.vietnamworks.com/chuyen-vien-khach-hang-doanh-nghiep-cn-quang-ngai-cnlt-992-2013260-jv","Xem chi tiết")</f>
        <v/>
      </c>
    </row>
    <row r="2424">
      <c r="B2424" s="9" t="n">
        <v>2422</v>
      </c>
      <c r="C2424" s="10" t="inlineStr">
        <is>
          <t>Chuyên Viên Khách Hàng Cá Nhân - CN. Huế (CNLT.865)</t>
        </is>
      </c>
      <c r="D2424" s="10" t="inlineStr">
        <is>
          <t>NGÂN HÀNG TMCP QUÂN ĐỘI – MBBANK</t>
        </is>
      </c>
      <c r="E2424" s="10" t="inlineStr">
        <is>
          <t>9tr-35tr ₫/tháng</t>
        </is>
      </c>
      <c r="F2424" s="10" t="inlineStr">
        <is>
          <t>Thừa Thiên Huế</t>
        </is>
      </c>
      <c r="G2424" s="10" t="inlineStr">
        <is>
          <t>Nhân viên</t>
        </is>
      </c>
      <c r="H2424" s="10" t="inlineStr">
        <is>
          <t>24/02/2026</t>
        </is>
      </c>
      <c r="I2424" s="10" t="inlineStr">
        <is>
          <t>26/03/2026</t>
        </is>
      </c>
      <c r="J2424" s="10" t="inlineStr">
        <is>
          <t>17/03/2026</t>
        </is>
      </c>
      <c r="K2424" s="10" t="inlineStr">
        <is>
          <t>N/A</t>
        </is>
      </c>
      <c r="L2424" s="10" t="inlineStr">
        <is>
          <t>Business Development, Financial Analysis, Leadership, Negotiation, Risk Management</t>
        </is>
      </c>
      <c r="M2424" s="10" t="inlineStr">
        <is>
          <t>Bonus, Healthcare Plan, Paid Leave, Training, Awards, Library, Team Activities</t>
        </is>
      </c>
      <c r="N2424" s="11">
        <f>HYPERLINK("https://www.vietnamworks.com/chuyen-vien-khach-hang-ca-nhan-cn-hue-cnlt-865-2013267-jv","Xem chi tiết")</f>
        <v/>
      </c>
      <c r="O2424" s="10" t="n"/>
    </row>
    <row r="2425">
      <c r="B2425" s="7" t="n">
        <v>2423</v>
      </c>
      <c r="C2425" t="inlineStr">
        <is>
          <t>Chuyên Viên Khách Hàng Cá Nhân - Khu Vực Cần Thơ (CNLT.43)</t>
        </is>
      </c>
      <c r="D2425" t="inlineStr">
        <is>
          <t>NGÂN HÀNG TMCP QUÂN ĐỘI – MBBANK</t>
        </is>
      </c>
      <c r="E2425" t="inlineStr">
        <is>
          <t>9tr-35tr ₫/tháng</t>
        </is>
      </c>
      <c r="F2425" t="inlineStr">
        <is>
          <t>Cần Thơ</t>
        </is>
      </c>
      <c r="G2425" t="inlineStr">
        <is>
          <t>Nhân viên</t>
        </is>
      </c>
      <c r="H2425" t="inlineStr">
        <is>
          <t>24/02/2026</t>
        </is>
      </c>
      <c r="I2425" t="inlineStr">
        <is>
          <t>26/03/2026</t>
        </is>
      </c>
      <c r="J2425" t="inlineStr">
        <is>
          <t>17/03/2026</t>
        </is>
      </c>
      <c r="K2425" t="inlineStr">
        <is>
          <t>N/A</t>
        </is>
      </c>
      <c r="L2425" t="inlineStr">
        <is>
          <t>Business Development, Financial Analysis, Leadership, Negotiation, Risk Management</t>
        </is>
      </c>
      <c r="M2425" t="inlineStr">
        <is>
          <t>Bonus, Healthcare Plan, Paid Leave, Training, Awards, Library, Team Activities</t>
        </is>
      </c>
      <c r="N2425" s="8">
        <f>HYPERLINK("https://www.vietnamworks.com/chuyen-vien-khach-hang-ca-nhan-khu-vuc-can-tho-cnlt-43-2013265-jv","Xem chi tiết")</f>
        <v/>
      </c>
    </row>
    <row r="2426">
      <c r="B2426" s="9" t="n">
        <v>2424</v>
      </c>
      <c r="C2426" s="10" t="inlineStr">
        <is>
          <t>Nữ - Nhân Viên Kế Toán Logistics</t>
        </is>
      </c>
      <c r="D2426" s="10" t="inlineStr">
        <is>
          <t>Chi Nhánh Công Ty Cổ Phần Hàng Hải MACS (MACS SHIPPING CORP - HANOI BRANCH)</t>
        </is>
      </c>
      <c r="E2426" s="10" t="inlineStr">
        <is>
          <t>Thương lượng</t>
        </is>
      </c>
      <c r="F2426" s="10" t="inlineStr">
        <is>
          <t>Hà Nội</t>
        </is>
      </c>
      <c r="G2426" s="10" t="inlineStr">
        <is>
          <t>Mới Tốt Nghiệp</t>
        </is>
      </c>
      <c r="H2426" s="10" t="inlineStr">
        <is>
          <t>24/02/2026</t>
        </is>
      </c>
      <c r="I2426" s="10" t="inlineStr">
        <is>
          <t>26/03/2026</t>
        </is>
      </c>
      <c r="J2426" s="10" t="inlineStr">
        <is>
          <t>17/03/2026</t>
        </is>
      </c>
      <c r="K2426" s="10" t="inlineStr">
        <is>
          <t>N/A</t>
        </is>
      </c>
      <c r="L2426" s="10" t="inlineStr">
        <is>
          <t>Báo Cáo Công Nợ, Hạch Toán, Hỗ Trợ Khách Hàng, Theo Dõi Công Nợ, Tin Học Văn Phòng</t>
        </is>
      </c>
      <c r="M2426" s="10" t="inlineStr">
        <is>
          <t>Healthcare Plan, Paid Leave, Training, Team Activities, Others</t>
        </is>
      </c>
      <c r="N2426" s="11">
        <f>HYPERLINK("https://www.vietnamworks.com/nu-nhan-vien-ke-toan-logistics-2013274-jv","Xem chi tiết")</f>
        <v/>
      </c>
      <c r="O2426" s="10" t="n"/>
    </row>
    <row r="2427">
      <c r="B2427" s="7" t="n">
        <v>2425</v>
      </c>
      <c r="C2427" t="inlineStr">
        <is>
          <t>Chuyên Viên Khách Hàng Cá Nhân - Khu Vực Nam Từ Liêm, Hà Đông (CNLT.1461)</t>
        </is>
      </c>
      <c r="D2427" t="inlineStr">
        <is>
          <t>NGÂN HÀNG TMCP QUÂN ĐỘI – MBBANK</t>
        </is>
      </c>
      <c r="E2427" t="inlineStr">
        <is>
          <t>9tr-35tr ₫/tháng</t>
        </is>
      </c>
      <c r="F2427" t="inlineStr">
        <is>
          <t>Hà Nội</t>
        </is>
      </c>
      <c r="G2427" t="inlineStr">
        <is>
          <t>Nhân viên</t>
        </is>
      </c>
      <c r="H2427" t="inlineStr">
        <is>
          <t>24/02/2026</t>
        </is>
      </c>
      <c r="I2427" t="inlineStr">
        <is>
          <t>26/03/2026</t>
        </is>
      </c>
      <c r="J2427" t="inlineStr">
        <is>
          <t>17/03/2026</t>
        </is>
      </c>
      <c r="K2427" t="inlineStr">
        <is>
          <t>N/A</t>
        </is>
      </c>
      <c r="L2427" t="inlineStr">
        <is>
          <t>Business Development, Financial Analysis, Leadership, Negotiation, Risk Management</t>
        </is>
      </c>
      <c r="M2427" t="inlineStr">
        <is>
          <t>Bonus, Healthcare Plan, Paid Leave, Training, Awards, Library, Team Activities</t>
        </is>
      </c>
      <c r="N2427" s="8">
        <f>HYPERLINK("https://www.vietnamworks.com/chuyen-vien-khach-hang-ca-nhan-khu-vuc-nam-tu-liem-ha-djong-cnlt-1461-2013271-jv","Xem chi tiết")</f>
        <v/>
      </c>
    </row>
    <row r="2428">
      <c r="B2428" s="9" t="n">
        <v>2426</v>
      </c>
      <c r="C2428" s="10" t="inlineStr">
        <is>
          <t>Chuyên Viên Khách Hàng Cá Nhân - CN. Lào Cai (CNLT.631)</t>
        </is>
      </c>
      <c r="D2428" s="10" t="inlineStr">
        <is>
          <t>NGÂN HÀNG TMCP QUÂN ĐỘI – MBBANK</t>
        </is>
      </c>
      <c r="E2428" s="10" t="inlineStr">
        <is>
          <t>9tr-35tr ₫/tháng</t>
        </is>
      </c>
      <c r="F2428" s="10" t="inlineStr">
        <is>
          <t>Lào Cai</t>
        </is>
      </c>
      <c r="G2428" s="10" t="inlineStr">
        <is>
          <t>Nhân viên</t>
        </is>
      </c>
      <c r="H2428" s="10" t="inlineStr">
        <is>
          <t>24/02/2026</t>
        </is>
      </c>
      <c r="I2428" s="10" t="inlineStr">
        <is>
          <t>26/03/2026</t>
        </is>
      </c>
      <c r="J2428" s="10" t="inlineStr">
        <is>
          <t>17/03/2026</t>
        </is>
      </c>
      <c r="K2428" s="10" t="inlineStr">
        <is>
          <t>N/A</t>
        </is>
      </c>
      <c r="L2428" s="10" t="inlineStr">
        <is>
          <t>Business Development, Financial Analysis, Leadership Skills, Negotiation Skills, Risk Management</t>
        </is>
      </c>
      <c r="M2428" s="10" t="inlineStr">
        <is>
          <t>Bonus, Healthcare Plan, Paid Leave, Training, Awards, Team Activities, Others</t>
        </is>
      </c>
      <c r="N2428" s="11">
        <f>HYPERLINK("https://www.vietnamworks.com/chuyen-vien-khach-hang-ca-nhan-cn-lao-cai-cnlt-631-2013272-jv","Xem chi tiết")</f>
        <v/>
      </c>
      <c r="O2428" s="10" t="n"/>
    </row>
    <row r="2429">
      <c r="B2429" s="7" t="n">
        <v>2427</v>
      </c>
      <c r="C2429" t="inlineStr">
        <is>
          <t>Chuyên Viên Khách Hàng Cá Nhân - CN. Hà Nam (CNLT.277)</t>
        </is>
      </c>
      <c r="D2429" t="inlineStr">
        <is>
          <t>NGÂN HÀNG TMCP QUÂN ĐỘI – MBBANK</t>
        </is>
      </c>
      <c r="E2429" t="inlineStr">
        <is>
          <t>9tr-35tr ₫/tháng</t>
        </is>
      </c>
      <c r="F2429" t="inlineStr">
        <is>
          <t>Ninh Bình</t>
        </is>
      </c>
      <c r="G2429" t="inlineStr">
        <is>
          <t>Nhân viên</t>
        </is>
      </c>
      <c r="H2429" t="inlineStr">
        <is>
          <t>24/02/2026</t>
        </is>
      </c>
      <c r="I2429" t="inlineStr">
        <is>
          <t>26/03/2026</t>
        </is>
      </c>
      <c r="J2429" t="inlineStr">
        <is>
          <t>17/03/2026</t>
        </is>
      </c>
      <c r="K2429" t="inlineStr">
        <is>
          <t>N/A</t>
        </is>
      </c>
      <c r="L2429" t="inlineStr">
        <is>
          <t>Business Development, Financial Analysis, Leadership, Negotiation, Risk Management</t>
        </is>
      </c>
      <c r="M2429" t="inlineStr">
        <is>
          <t>Bonus, Healthcare Plan, Paid Leave, Training, Awards, Library, Team Activities</t>
        </is>
      </c>
      <c r="N2429" s="8">
        <f>HYPERLINK("https://www.vietnamworks.com/chuyen-vien-khach-hang-ca-nhan-cn-ha-nam-cnlt-277-2013263-jv","Xem chi tiết")</f>
        <v/>
      </c>
    </row>
    <row r="2430">
      <c r="B2430" s="9" t="n">
        <v>2428</v>
      </c>
      <c r="C2430" s="10" t="inlineStr">
        <is>
          <t>Chuyên Viên Khách Hàng Doanh Nghiệp - Khu Vực Long Biên, Gia Lâm (CNLT.1466)</t>
        </is>
      </c>
      <c r="D2430" s="10" t="inlineStr">
        <is>
          <t>NGÂN HÀNG TMCP QUÂN ĐỘI – MBBANK</t>
        </is>
      </c>
      <c r="E2430" s="10" t="inlineStr">
        <is>
          <t>10tr-35tr ₫/tháng</t>
        </is>
      </c>
      <c r="F2430" s="10" t="inlineStr">
        <is>
          <t>Hà Nội</t>
        </is>
      </c>
      <c r="G2430" s="10" t="inlineStr">
        <is>
          <t>Nhân viên</t>
        </is>
      </c>
      <c r="H2430" s="10" t="inlineStr">
        <is>
          <t>24/02/2026</t>
        </is>
      </c>
      <c r="I2430" s="10" t="inlineStr">
        <is>
          <t>26/03/2026</t>
        </is>
      </c>
      <c r="J2430" s="10" t="inlineStr">
        <is>
          <t>17/03/2026</t>
        </is>
      </c>
      <c r="K2430" s="10" t="inlineStr">
        <is>
          <t>N/A</t>
        </is>
      </c>
      <c r="L2430" s="10" t="inlineStr">
        <is>
          <t>Business Development, Financial Analysis, Leadership, Negotiation, Risk Management</t>
        </is>
      </c>
      <c r="M2430" s="10" t="inlineStr">
        <is>
          <t>Bonus, Healthcare Plan, Paid Leave, Training, Awards, Library, Team Activities</t>
        </is>
      </c>
      <c r="N2430" s="11">
        <f>HYPERLINK("https://www.vietnamworks.com/chuyen-vien-khach-hang-doanh-nghiep-khu-vuc-long-bien-gia-lam-cnlt-1466-2013270-jv","Xem chi tiết")</f>
        <v/>
      </c>
      <c r="O2430" s="10" t="n"/>
    </row>
    <row r="2431">
      <c r="B2431" s="7" t="n">
        <v>2429</v>
      </c>
      <c r="C2431" t="inlineStr">
        <is>
          <t>Chuyên Viên Khách Hàng Cá Nhân - CN. Đồng Tháp (CNLT.1327)</t>
        </is>
      </c>
      <c r="D2431" t="inlineStr">
        <is>
          <t>NGÂN HÀNG TMCP QUÂN ĐỘI – MBBANK</t>
        </is>
      </c>
      <c r="E2431" t="inlineStr">
        <is>
          <t>$$ 350-1,250 /tháng</t>
        </is>
      </c>
      <c r="F2431" t="inlineStr">
        <is>
          <t>Đồng Tháp</t>
        </is>
      </c>
      <c r="G2431" t="inlineStr">
        <is>
          <t>Nhân viên</t>
        </is>
      </c>
      <c r="H2431" t="inlineStr">
        <is>
          <t>24/02/2026</t>
        </is>
      </c>
      <c r="I2431" t="inlineStr">
        <is>
          <t>26/03/2026</t>
        </is>
      </c>
      <c r="J2431" t="inlineStr">
        <is>
          <t>17/03/2026</t>
        </is>
      </c>
      <c r="K2431" t="inlineStr">
        <is>
          <t>N/A</t>
        </is>
      </c>
      <c r="L2431" t="inlineStr">
        <is>
          <t>Financial Analysis, Risk Management, Business Development, Negotiation, Leadership</t>
        </is>
      </c>
      <c r="M2431" t="inlineStr">
        <is>
          <t>Bonus, Healthcare Plan, Paid Leave</t>
        </is>
      </c>
      <c r="N2431" s="8">
        <f>HYPERLINK("https://www.vietnamworks.com/chuyen-vien-khach-hang-ca-nhan-cn-dong-thap-cnlt-1327--2013255-jv","Xem chi tiết")</f>
        <v/>
      </c>
    </row>
    <row r="2432">
      <c r="B2432" s="9" t="n">
        <v>2430</v>
      </c>
      <c r="C2432" s="10" t="inlineStr">
        <is>
          <t>Chuyên Viên Khách Hàng Doanh Nghiệp - CN. Gia Lai (CNLT.842)</t>
        </is>
      </c>
      <c r="D2432" s="10" t="inlineStr">
        <is>
          <t>NGÂN HÀNG TMCP QUÂN ĐỘI – MBBANK</t>
        </is>
      </c>
      <c r="E2432" s="10" t="inlineStr">
        <is>
          <t>10tr-35tr ₫/tháng</t>
        </is>
      </c>
      <c r="F2432" s="10" t="inlineStr">
        <is>
          <t>Gia Lai</t>
        </is>
      </c>
      <c r="G2432" s="10" t="inlineStr">
        <is>
          <t>Nhân viên</t>
        </is>
      </c>
      <c r="H2432" s="10" t="inlineStr">
        <is>
          <t>24/02/2026</t>
        </is>
      </c>
      <c r="I2432" s="10" t="inlineStr">
        <is>
          <t>26/03/2026</t>
        </is>
      </c>
      <c r="J2432" s="10" t="inlineStr">
        <is>
          <t>17/03/2026</t>
        </is>
      </c>
      <c r="K2432" s="10" t="inlineStr">
        <is>
          <t>N/A</t>
        </is>
      </c>
      <c r="L2432" s="10" t="inlineStr">
        <is>
          <t>Business Development, Financial Analysis, Leadership, Negotiation, Risk Management</t>
        </is>
      </c>
      <c r="M2432" s="10" t="inlineStr">
        <is>
          <t>Bonus, Healthcare Plan, Paid Leave, Training, Awards, Team Activities, Others</t>
        </is>
      </c>
      <c r="N2432" s="11">
        <f>HYPERLINK("https://www.vietnamworks.com/chuyen-vien-khach-hang-doanh-nghiep-cn-gia-lai-cnlt-842-2013264-jv","Xem chi tiết")</f>
        <v/>
      </c>
      <c r="O2432" s="10" t="n"/>
    </row>
    <row r="2433">
      <c r="B2433" s="7" t="n">
        <v>2431</v>
      </c>
      <c r="C2433" t="inlineStr">
        <is>
          <t>Chuyên Viên Khách Hàng Doanh Nghiệp - Khu Vực Hồ Chí Minh (CNLT.14)</t>
        </is>
      </c>
      <c r="D2433" t="inlineStr">
        <is>
          <t>NGÂN HÀNG TMCP QUÂN ĐỘI – MBBANK</t>
        </is>
      </c>
      <c r="E2433" t="inlineStr">
        <is>
          <t>Thương lượng</t>
        </is>
      </c>
      <c r="F2433" t="inlineStr">
        <is>
          <t>Hồ Chí Minh</t>
        </is>
      </c>
      <c r="G2433" t="inlineStr">
        <is>
          <t>Nhân viên</t>
        </is>
      </c>
      <c r="H2433" t="inlineStr">
        <is>
          <t>24/02/2026</t>
        </is>
      </c>
      <c r="I2433" t="inlineStr">
        <is>
          <t>26/03/2026</t>
        </is>
      </c>
      <c r="J2433" t="inlineStr">
        <is>
          <t>17/03/2026</t>
        </is>
      </c>
      <c r="K2433" t="inlineStr">
        <is>
          <t>N/A</t>
        </is>
      </c>
      <c r="L2433" t="inlineStr">
        <is>
          <t>Financial Analysis, Business Development, Negotiation Skills, Leadership, Risk Management</t>
        </is>
      </c>
      <c r="M2433" t="inlineStr">
        <is>
          <t>Bonus, Healthcare Plan, Paid Leave</t>
        </is>
      </c>
      <c r="N2433" s="8">
        <f>HYPERLINK("https://www.vietnamworks.com/chuyen-vien-khach-hang-doanh-nghiep-khu-vuc-ho-chi-minh-cnlt-14--2013276-jv","Xem chi tiết")</f>
        <v/>
      </c>
    </row>
    <row r="2434">
      <c r="B2434" s="9" t="n">
        <v>2432</v>
      </c>
      <c r="C2434" s="10" t="inlineStr">
        <is>
          <t>Phó Ban Marketing Tập Đoàn</t>
        </is>
      </c>
      <c r="D2434" s="10" t="inlineStr">
        <is>
          <t>Tập Đoàn Tân Á Đại Thành</t>
        </is>
      </c>
      <c r="E2434" s="10" t="inlineStr">
        <is>
          <t>Thương lượng</t>
        </is>
      </c>
      <c r="F2434" s="10" t="inlineStr">
        <is>
          <t>Hà Nội</t>
        </is>
      </c>
      <c r="G2434" s="10" t="inlineStr">
        <is>
          <t>Giám Đốc và Cấp Cao Hơn</t>
        </is>
      </c>
      <c r="H2434" s="10" t="inlineStr">
        <is>
          <t>24/02/2026</t>
        </is>
      </c>
      <c r="I2434" s="10" t="inlineStr">
        <is>
          <t>26/03/2026</t>
        </is>
      </c>
      <c r="J2434" s="10" t="inlineStr">
        <is>
          <t>17/03/2026</t>
        </is>
      </c>
      <c r="K2434" s="10" t="inlineStr">
        <is>
          <t>N/A</t>
        </is>
      </c>
      <c r="L2434" s="10" t="inlineStr">
        <is>
          <t>Brand Management, Creative Thinking, Marketing Strategy, Presentation Skills, Project Management</t>
        </is>
      </c>
      <c r="M2434" s="10" t="inlineStr">
        <is>
          <t>Bonus, Healthcare Plan, Laptop, Travel Opportunities, Canteen</t>
        </is>
      </c>
      <c r="N2434" s="11">
        <f>HYPERLINK("https://www.vietnamworks.com/pho-ban-marketing-tap-djoan-2013277-jv","Xem chi tiết")</f>
        <v/>
      </c>
      <c r="O2434" s="10" t="n"/>
    </row>
    <row r="2435">
      <c r="B2435" s="7" t="n">
        <v>2433</v>
      </c>
      <c r="C2435" t="inlineStr">
        <is>
          <t>Chuyên Viên Khách Hàng Doanh Nghiệp - CN. Thanh Hóa (CNLT.500)</t>
        </is>
      </c>
      <c r="D2435" t="inlineStr">
        <is>
          <t>NGÂN HÀNG TMCP QUÂN ĐỘI – MBBANK</t>
        </is>
      </c>
      <c r="E2435" t="inlineStr">
        <is>
          <t>10tr-35tr ₫/tháng</t>
        </is>
      </c>
      <c r="F2435" t="inlineStr">
        <is>
          <t>Thanh Hóa</t>
        </is>
      </c>
      <c r="G2435" t="inlineStr">
        <is>
          <t>Nhân viên</t>
        </is>
      </c>
      <c r="H2435" t="inlineStr">
        <is>
          <t>24/02/2026</t>
        </is>
      </c>
      <c r="I2435" t="inlineStr">
        <is>
          <t>26/03/2026</t>
        </is>
      </c>
      <c r="J2435" t="inlineStr">
        <is>
          <t>17/03/2026</t>
        </is>
      </c>
      <c r="K2435" t="inlineStr">
        <is>
          <t>N/A</t>
        </is>
      </c>
      <c r="L2435" t="inlineStr">
        <is>
          <t>Business Development, Financial Analysis, Leadership, Negotiation, Risk Management</t>
        </is>
      </c>
      <c r="M2435" t="inlineStr">
        <is>
          <t>Bonus, Healthcare Plan, Paid Leave, Training, Awards, Library, Team Activities</t>
        </is>
      </c>
      <c r="N2435" s="8">
        <f>HYPERLINK("https://www.vietnamworks.com/chuyen-vien-khach-hang-doanh-nghiep-cn-thanh-hoa-cnlt-500-2013279-jv","Xem chi tiết")</f>
        <v/>
      </c>
    </row>
    <row r="2436">
      <c r="B2436" s="9" t="n">
        <v>2434</v>
      </c>
      <c r="C2436" s="10" t="inlineStr">
        <is>
          <t>QC Assistant/ Trợ Lý QC</t>
        </is>
      </c>
      <c r="D2436" s="10" t="inlineStr">
        <is>
          <t>Instanta Vietnam</t>
        </is>
      </c>
      <c r="E2436" s="10" t="inlineStr">
        <is>
          <t>Thương lượng</t>
        </is>
      </c>
      <c r="F2436" s="10" t="inlineStr">
        <is>
          <t>Hải Phòng</t>
        </is>
      </c>
      <c r="G2436" s="10" t="inlineStr">
        <is>
          <t>Nhân viên</t>
        </is>
      </c>
      <c r="H2436" s="10" t="inlineStr">
        <is>
          <t>24/02/2026</t>
        </is>
      </c>
      <c r="I2436" s="10" t="inlineStr">
        <is>
          <t>26/03/2026</t>
        </is>
      </c>
      <c r="J2436" s="10" t="inlineStr">
        <is>
          <t>17/03/2026</t>
        </is>
      </c>
      <c r="K2436" s="10" t="inlineStr">
        <is>
          <t>N/A</t>
        </is>
      </c>
      <c r="L2436" s="10" t="inlineStr">
        <is>
          <t>QC, English, Quality Management, Quality Control, Raw Materials Sourcing</t>
        </is>
      </c>
      <c r="M2436" s="10" t="inlineStr">
        <is>
          <t>Bonus, Healthcare Plan, Paid Leave</t>
        </is>
      </c>
      <c r="N2436" s="11">
        <f>HYPERLINK("https://www.vietnamworks.com/qc-assistant-tro-ly-qc--2013282-jv","Xem chi tiết")</f>
        <v/>
      </c>
      <c r="O2436" s="10" t="n"/>
    </row>
    <row r="2437">
      <c r="B2437" s="7" t="n">
        <v>2435</v>
      </c>
      <c r="C2437" t="inlineStr">
        <is>
          <t>Junior Accountant</t>
        </is>
      </c>
      <c r="D2437" t="inlineStr">
        <is>
          <t>Pixelz Company Limited</t>
        </is>
      </c>
      <c r="E2437" t="inlineStr">
        <is>
          <t>5tr-10tr ₫/tháng</t>
        </is>
      </c>
      <c r="F2437" t="inlineStr">
        <is>
          <t>Hà Nội</t>
        </is>
      </c>
      <c r="G2437" t="inlineStr">
        <is>
          <t>Mới Tốt Nghiệp</t>
        </is>
      </c>
      <c r="H2437" t="inlineStr">
        <is>
          <t>24/02/2026</t>
        </is>
      </c>
      <c r="I2437" t="inlineStr">
        <is>
          <t>26/03/2026</t>
        </is>
      </c>
      <c r="J2437" t="inlineStr">
        <is>
          <t>17/03/2026</t>
        </is>
      </c>
      <c r="K2437" t="inlineStr">
        <is>
          <t>N/A</t>
        </is>
      </c>
      <c r="L2437" t="inlineStr">
        <is>
          <t xml:space="preserve"> Chứng Từ Kế Toán, Hạch Toán, Lập Báo Cáo, Lưu Trữ Hồ Sơ, MS Excel</t>
        </is>
      </c>
      <c r="M2437" t="inlineStr">
        <is>
          <t>Bonus, Healthcare Plan, Training, Others</t>
        </is>
      </c>
      <c r="N2437" s="8">
        <f>HYPERLINK("https://www.vietnamworks.com/junior-accountant-2013278-jv","Xem chi tiết")</f>
        <v/>
      </c>
    </row>
    <row r="2438">
      <c r="B2438" s="9" t="n">
        <v>2436</v>
      </c>
      <c r="C2438" s="10" t="inlineStr">
        <is>
          <t>Chuyên Viên Khách Hàng Cá Nhân - CN. Thái Nguyên (CNLT.679)</t>
        </is>
      </c>
      <c r="D2438" s="10" t="inlineStr">
        <is>
          <t>NGÂN HÀNG TMCP QUÂN ĐỘI – MBBANK</t>
        </is>
      </c>
      <c r="E2438" s="10" t="inlineStr">
        <is>
          <t>9tr-35tr ₫/tháng</t>
        </is>
      </c>
      <c r="F2438" s="10" t="inlineStr">
        <is>
          <t>Thái Nguyên</t>
        </is>
      </c>
      <c r="G2438" s="10" t="inlineStr">
        <is>
          <t>Nhân viên</t>
        </is>
      </c>
      <c r="H2438" s="10" t="inlineStr">
        <is>
          <t>24/02/2026</t>
        </is>
      </c>
      <c r="I2438" s="10" t="inlineStr">
        <is>
          <t>26/03/2026</t>
        </is>
      </c>
      <c r="J2438" s="10" t="inlineStr">
        <is>
          <t>17/03/2026</t>
        </is>
      </c>
      <c r="K2438" s="10" t="inlineStr">
        <is>
          <t>N/A</t>
        </is>
      </c>
      <c r="L2438" s="10" t="inlineStr">
        <is>
          <t>Business Development, Financial Analysis, Leadership, Negotiation, Risk Management</t>
        </is>
      </c>
      <c r="M2438" s="10" t="inlineStr">
        <is>
          <t>Bonus, Healthcare Plan, Paid Leave, Training, Awards, Team Activities, Others</t>
        </is>
      </c>
      <c r="N2438" s="11">
        <f>HYPERLINK("https://www.vietnamworks.com/chuyen-vien-khach-hang-ca-nhan-cn-thai-nguyen-cnlt-679-2013281-jv","Xem chi tiết")</f>
        <v/>
      </c>
      <c r="O2438" s="10" t="n"/>
    </row>
    <row r="2439">
      <c r="B2439" s="7" t="n">
        <v>2437</v>
      </c>
      <c r="C2439" t="inlineStr">
        <is>
          <t>Chuyên Viên Khách Hàng Cá Nhân - CN. Vũng Tàu (CNLT.1237)</t>
        </is>
      </c>
      <c r="D2439" t="inlineStr">
        <is>
          <t>NGÂN HÀNG TMCP QUÂN ĐỘI – MBBANK</t>
        </is>
      </c>
      <c r="E2439" t="inlineStr">
        <is>
          <t>9tr-35tr ₫/tháng</t>
        </is>
      </c>
      <c r="F2439" t="inlineStr">
        <is>
          <t>Bà Rịa - Vũng Tàu</t>
        </is>
      </c>
      <c r="G2439" t="inlineStr">
        <is>
          <t>Nhân viên</t>
        </is>
      </c>
      <c r="H2439" t="inlineStr">
        <is>
          <t>24/02/2026</t>
        </is>
      </c>
      <c r="I2439" t="inlineStr">
        <is>
          <t>26/03/2026</t>
        </is>
      </c>
      <c r="J2439" t="inlineStr">
        <is>
          <t>17/03/2026</t>
        </is>
      </c>
      <c r="K2439" t="inlineStr">
        <is>
          <t>N/A</t>
        </is>
      </c>
      <c r="L2439" t="inlineStr">
        <is>
          <t>Business Development, Financial Analysis, Leadership, Negotiation, Risk Management</t>
        </is>
      </c>
      <c r="M2439" t="inlineStr">
        <is>
          <t>Bonus, Healthcare Plan, Paid Leave, Training, Awards, Library, Team Activities</t>
        </is>
      </c>
      <c r="N2439" s="8">
        <f>HYPERLINK("https://www.vietnamworks.com/chuyen-vien-khach-hang-ca-nhan-cn-vung-tau-cnlt-1237-2013280-jv","Xem chi tiết")</f>
        <v/>
      </c>
    </row>
    <row r="2440">
      <c r="B2440" s="9" t="n">
        <v>2438</v>
      </c>
      <c r="C2440" s="10" t="inlineStr">
        <is>
          <t>Nhân Viên Văn Phòng</t>
        </is>
      </c>
      <c r="D2440" s="10" t="inlineStr">
        <is>
          <t>Công Ty TNHH Công Nghệ Điện Tử Yan Tin ( Việt Nam )</t>
        </is>
      </c>
      <c r="E2440" s="10" t="inlineStr">
        <is>
          <t>Thương lượng</t>
        </is>
      </c>
      <c r="F2440" s="10" t="inlineStr">
        <is>
          <t>Hà Nội</t>
        </is>
      </c>
      <c r="G2440" s="10" t="inlineStr">
        <is>
          <t>Nhân viên</t>
        </is>
      </c>
      <c r="H2440" s="10" t="inlineStr">
        <is>
          <t>24/02/2026</t>
        </is>
      </c>
      <c r="I2440" s="10" t="inlineStr">
        <is>
          <t>26/03/2026</t>
        </is>
      </c>
      <c r="J2440" s="10" t="inlineStr">
        <is>
          <t>17/03/2026</t>
        </is>
      </c>
      <c r="K2440" s="10" t="inlineStr">
        <is>
          <t>N/A</t>
        </is>
      </c>
      <c r="L2440" s="10" t="inlineStr">
        <is>
          <t>Admin Assistant, Chinese Speaking, English proficiency, ISO 14001</t>
        </is>
      </c>
      <c r="M2440" s="10" t="inlineStr">
        <is>
          <t>Bonus, Healthcare Plan, Transportation, Canteen, Others</t>
        </is>
      </c>
      <c r="N2440" s="11">
        <f>HYPERLINK("https://www.vietnamworks.com/nhan-vien-van-phong-2013291-jv","Xem chi tiết")</f>
        <v/>
      </c>
      <c r="O2440" s="10" t="n"/>
    </row>
    <row r="2441">
      <c r="B2441" s="7" t="n">
        <v>2439</v>
      </c>
      <c r="C2441" t="inlineStr">
        <is>
          <t>Chuyên Viên Khách Hàng Cá Nhân - CN. Cà Mau (CNLT.1297)</t>
        </is>
      </c>
      <c r="D2441" t="inlineStr">
        <is>
          <t>NGÂN HÀNG TMCP QUÂN ĐỘI – MBBANK</t>
        </is>
      </c>
      <c r="E2441" t="inlineStr">
        <is>
          <t>9tr-35tr ₫/tháng</t>
        </is>
      </c>
      <c r="F2441" t="inlineStr">
        <is>
          <t>Cà Mau</t>
        </is>
      </c>
      <c r="G2441" t="inlineStr">
        <is>
          <t>Nhân viên</t>
        </is>
      </c>
      <c r="H2441" t="inlineStr">
        <is>
          <t>24/02/2026</t>
        </is>
      </c>
      <c r="I2441" t="inlineStr">
        <is>
          <t>26/03/2026</t>
        </is>
      </c>
      <c r="J2441" t="inlineStr">
        <is>
          <t>17/03/2026</t>
        </is>
      </c>
      <c r="K2441" t="inlineStr">
        <is>
          <t>N/A</t>
        </is>
      </c>
      <c r="L2441" t="inlineStr">
        <is>
          <t>Business Development, Financial Analysis, Leadership, Negotiation, Risk Management</t>
        </is>
      </c>
      <c r="M2441" t="inlineStr">
        <is>
          <t>Bonus, Healthcare Plan, Paid Leave, Training, Awards, Team Activities, Others</t>
        </is>
      </c>
      <c r="N2441" s="8">
        <f>HYPERLINK("https://www.vietnamworks.com/chuyen-vien-khach-hang-ca-nhan-cn-ca-mau-cnlt-1297-2013285-jv","Xem chi tiết")</f>
        <v/>
      </c>
    </row>
    <row r="2442">
      <c r="B2442" s="9" t="n">
        <v>2440</v>
      </c>
      <c r="C2442" s="10" t="inlineStr">
        <is>
          <t>Nhân Viên Thiết Kế Cơ Khí</t>
        </is>
      </c>
      <c r="D2442" s="10" t="inlineStr">
        <is>
          <t>CÔNG TY CỔ PHẦN GIẢI PHÁP TỰ ĐỘNG HOÁ VÀ TÍCH HỢP SẢN XUẤT</t>
        </is>
      </c>
      <c r="E2442" s="10" t="inlineStr">
        <is>
          <t>10tr-16tr ₫/tháng</t>
        </is>
      </c>
      <c r="F2442" s="10" t="inlineStr">
        <is>
          <t>Hà Nội</t>
        </is>
      </c>
      <c r="G2442" s="10" t="inlineStr">
        <is>
          <t>Nhân viên</t>
        </is>
      </c>
      <c r="H2442" s="10" t="inlineStr">
        <is>
          <t>24/02/2026</t>
        </is>
      </c>
      <c r="I2442" s="10" t="inlineStr">
        <is>
          <t>26/03/2026</t>
        </is>
      </c>
      <c r="J2442" s="10" t="inlineStr">
        <is>
          <t>17/03/2026</t>
        </is>
      </c>
      <c r="K2442" s="10" t="inlineStr">
        <is>
          <t>N/A</t>
        </is>
      </c>
      <c r="L2442" s="10" t="inlineStr">
        <is>
          <t>Thiết Kế 3D, Thiết Kế Cơ Khí, Thiết Kế Jig, AutoCAD, Đọc Hiểu Bản Vẽ Kỹ Thuật</t>
        </is>
      </c>
      <c r="M2442" s="10" t="inlineStr">
        <is>
          <t>Bonus, Healthcare Plan, Training, Team Activities, Canteen</t>
        </is>
      </c>
      <c r="N2442" s="11">
        <f>HYPERLINK("https://www.vietnamworks.com/nhan-vien-thiet-ke-co-khi--2013292-jv","Xem chi tiết")</f>
        <v/>
      </c>
      <c r="O2442" s="10" t="n"/>
    </row>
    <row r="2443">
      <c r="B2443" s="7" t="n">
        <v>2441</v>
      </c>
      <c r="C2443" t="inlineStr">
        <is>
          <t>Kỹ Sư Hóa Chất</t>
        </is>
      </c>
      <c r="D2443" t="inlineStr">
        <is>
          <t>Công Ty TNHH SX TM Và DV TSV Vina</t>
        </is>
      </c>
      <c r="E2443" t="inlineStr">
        <is>
          <t>Thương lượng</t>
        </is>
      </c>
      <c r="F2443" t="inlineStr">
        <is>
          <t>Hà Nội</t>
        </is>
      </c>
      <c r="G2443" t="inlineStr">
        <is>
          <t>Nhân viên</t>
        </is>
      </c>
      <c r="H2443" t="inlineStr">
        <is>
          <t>24/02/2026</t>
        </is>
      </c>
      <c r="I2443" t="inlineStr">
        <is>
          <t>26/03/2026</t>
        </is>
      </c>
      <c r="J2443" t="inlineStr">
        <is>
          <t>17/03/2026</t>
        </is>
      </c>
      <c r="K2443" t="inlineStr">
        <is>
          <t>N/A</t>
        </is>
      </c>
      <c r="L2443" t="inlineStr">
        <is>
          <t>Kiểm Soát Chất Lượng, Kiến Thức Về Pcb, Quản Lý Nguyên Liệu, Theo Dõi Sản Xuất, Hóa Chất</t>
        </is>
      </c>
      <c r="M2443" t="inlineStr">
        <is>
          <t>Bonus, Healthcare Plan</t>
        </is>
      </c>
      <c r="N2443" s="8">
        <f>HYPERLINK("https://www.vietnamworks.com/ky-su-hoa-chat--2013289-jv","Xem chi tiết")</f>
        <v/>
      </c>
    </row>
    <row r="2444">
      <c r="B2444" s="9" t="n">
        <v>2442</v>
      </c>
      <c r="C2444" s="10" t="inlineStr">
        <is>
          <t>Kỹ Sư Thiết Kế Tự Động Hóa/ Automatic Machine Design Engineer</t>
        </is>
      </c>
      <c r="D2444" s="10" t="inlineStr">
        <is>
          <t>CÔNG TY CỔ PHẦN GIẢI PHÁP TỰ ĐỘNG HOÁ VÀ TÍCH HỢP SẢN XUẤT</t>
        </is>
      </c>
      <c r="E2444" s="10" t="inlineStr">
        <is>
          <t>12tr-20tr ₫/tháng</t>
        </is>
      </c>
      <c r="F2444" s="10" t="inlineStr">
        <is>
          <t>Hà Nội</t>
        </is>
      </c>
      <c r="G2444" s="10" t="inlineStr">
        <is>
          <t>Nhân viên</t>
        </is>
      </c>
      <c r="H2444" s="10" t="inlineStr">
        <is>
          <t>24/02/2026</t>
        </is>
      </c>
      <c r="I2444" s="10" t="inlineStr">
        <is>
          <t>26/03/2026</t>
        </is>
      </c>
      <c r="J2444" s="10" t="inlineStr">
        <is>
          <t>17/03/2026</t>
        </is>
      </c>
      <c r="K2444" s="10" t="inlineStr">
        <is>
          <t>N/A</t>
        </is>
      </c>
      <c r="L2444" s="10" t="inlineStr">
        <is>
          <t>Phần Mềm 3D, Thiết Kế Cơ Khí, Tính Toán Kết Cấu, Tự Động Hóa, Thiết Kế Tự Động Hóa</t>
        </is>
      </c>
      <c r="M2444" s="10" t="inlineStr">
        <is>
          <t>Bonus, Healthcare Plan, Training, Team Activities, Canteen</t>
        </is>
      </c>
      <c r="N2444" s="11">
        <f>HYPERLINK("https://www.vietnamworks.com/ky-su-thiet-ke-tu-dong-hoa-automatic-machine-design-engineer-2013293-jv","Xem chi tiết")</f>
        <v/>
      </c>
      <c r="O2444" s="10" t="n"/>
    </row>
    <row r="2445">
      <c r="B2445" s="7" t="n">
        <v>2443</v>
      </c>
      <c r="C2445" t="inlineStr">
        <is>
          <t>Chuyên Viên Khách Hàng Cá Nhân - CN. Sơn La (CNLT.655)</t>
        </is>
      </c>
      <c r="D2445" t="inlineStr">
        <is>
          <t>NGÂN HÀNG TMCP QUÂN ĐỘI – MBBANK</t>
        </is>
      </c>
      <c r="E2445" t="inlineStr">
        <is>
          <t>9tr-35tr ₫/tháng</t>
        </is>
      </c>
      <c r="F2445" t="inlineStr">
        <is>
          <t>Sơn La</t>
        </is>
      </c>
      <c r="G2445" t="inlineStr">
        <is>
          <t>Nhân viên</t>
        </is>
      </c>
      <c r="H2445" t="inlineStr">
        <is>
          <t>24/02/2026</t>
        </is>
      </c>
      <c r="I2445" t="inlineStr">
        <is>
          <t>26/03/2026</t>
        </is>
      </c>
      <c r="J2445" t="inlineStr">
        <is>
          <t>17/03/2026</t>
        </is>
      </c>
      <c r="K2445" t="inlineStr">
        <is>
          <t>N/A</t>
        </is>
      </c>
      <c r="L2445" t="inlineStr">
        <is>
          <t>Business Development, Financial Analysis, Leadership, Negotiation, Risk Management</t>
        </is>
      </c>
      <c r="M2445" t="inlineStr">
        <is>
          <t>Bonus, Healthcare Plan, Paid Leave, Training, Awards, Team Activities, Others</t>
        </is>
      </c>
      <c r="N2445" s="8">
        <f>HYPERLINK("https://www.vietnamworks.com/chuyen-vien-khach-hang-ca-nhan-cn-son-la-cnlt-655-2013283-jv","Xem chi tiết")</f>
        <v/>
      </c>
    </row>
    <row r="2446">
      <c r="B2446" s="9" t="n">
        <v>2444</v>
      </c>
      <c r="C2446" s="10" t="inlineStr">
        <is>
          <t>Chuyên Viên Khách Hàng Cá Nhân - Khu Vực Hóc Môn, TP. Hồ Chí Minh (CNLT.19)</t>
        </is>
      </c>
      <c r="D2446" s="10" t="inlineStr">
        <is>
          <t>NGÂN HÀNG TMCP QUÂN ĐỘI – MBBANK</t>
        </is>
      </c>
      <c r="E2446" s="10" t="inlineStr">
        <is>
          <t>Thương lượng</t>
        </is>
      </c>
      <c r="F2446" s="10" t="inlineStr">
        <is>
          <t>Hồ Chí Minh</t>
        </is>
      </c>
      <c r="G2446" s="10" t="inlineStr">
        <is>
          <t>Nhân viên</t>
        </is>
      </c>
      <c r="H2446" s="10" t="inlineStr">
        <is>
          <t>24/02/2026</t>
        </is>
      </c>
      <c r="I2446" s="10" t="inlineStr">
        <is>
          <t>26/03/2026</t>
        </is>
      </c>
      <c r="J2446" s="10" t="inlineStr">
        <is>
          <t>17/03/2026</t>
        </is>
      </c>
      <c r="K2446" s="10" t="inlineStr">
        <is>
          <t>N/A</t>
        </is>
      </c>
      <c r="L2446" s="10" t="inlineStr">
        <is>
          <t>Financial Analysis, Risk Management, Business Development, Negotiation, Leadership</t>
        </is>
      </c>
      <c r="M2446" s="10" t="inlineStr">
        <is>
          <t>Bonus, Healthcare Plan, Paid Leave</t>
        </is>
      </c>
      <c r="N2446" s="11">
        <f>HYPERLINK("https://www.vietnamworks.com/chuyen-vien-khach-hang-ca-nhan-khu-vuc-hoc-mon-tp-ho-chi-minh-cnlt-19--2013287-jv","Xem chi tiết")</f>
        <v/>
      </c>
      <c r="O2446" s="10" t="n"/>
    </row>
    <row r="2447">
      <c r="B2447" s="7" t="n">
        <v>2445</v>
      </c>
      <c r="C2447" t="inlineStr">
        <is>
          <t>Automation Engineer</t>
        </is>
      </c>
      <c r="D2447" t="inlineStr">
        <is>
          <t>Fushan Technology Vietnam</t>
        </is>
      </c>
      <c r="E2447" t="inlineStr">
        <is>
          <t>Thương lượng</t>
        </is>
      </c>
      <c r="F2447" t="inlineStr">
        <is>
          <t>Bắc Ninh, Hà Nội, Bắc Giang</t>
        </is>
      </c>
      <c r="G2447" t="inlineStr">
        <is>
          <t>Nhân viên</t>
        </is>
      </c>
      <c r="H2447" t="inlineStr">
        <is>
          <t>24/02/2026</t>
        </is>
      </c>
      <c r="I2447" t="inlineStr">
        <is>
          <t>26/03/2026</t>
        </is>
      </c>
      <c r="J2447" t="inlineStr">
        <is>
          <t>17/03/2026</t>
        </is>
      </c>
      <c r="K2447" t="inlineStr">
        <is>
          <t>N/A</t>
        </is>
      </c>
      <c r="L2447" t="inlineStr">
        <is>
          <t>HMI, Automation, Design, Maintenance Engineering, PLC setup</t>
        </is>
      </c>
      <c r="M2447" t="inlineStr">
        <is>
          <t>Bonus, Healthcare Plan, Paid Leave</t>
        </is>
      </c>
      <c r="N2447" s="8">
        <f>HYPERLINK("https://www.vietnamworks.com/automation-engineer-2013290-jv","Xem chi tiết")</f>
        <v/>
      </c>
    </row>
    <row r="2448">
      <c r="B2448" s="9" t="n">
        <v>2446</v>
      </c>
      <c r="C2448" s="10" t="inlineStr">
        <is>
          <t>Chuyên Viên Khách Hàng Cá Nhân - CN. Việt Trì (CNLT.703)</t>
        </is>
      </c>
      <c r="D2448" s="10" t="inlineStr">
        <is>
          <t>NGÂN HÀNG TMCP QUÂN ĐỘI – MBBANK</t>
        </is>
      </c>
      <c r="E2448" s="10" t="inlineStr">
        <is>
          <t>9tr-35tr ₫/tháng</t>
        </is>
      </c>
      <c r="F2448" s="10" t="inlineStr">
        <is>
          <t>Phú Thọ</t>
        </is>
      </c>
      <c r="G2448" s="10" t="inlineStr">
        <is>
          <t>Mới Tốt Nghiệp</t>
        </is>
      </c>
      <c r="H2448" s="10" t="inlineStr">
        <is>
          <t>24/02/2026</t>
        </is>
      </c>
      <c r="I2448" s="10" t="inlineStr">
        <is>
          <t>26/03/2026</t>
        </is>
      </c>
      <c r="J2448" s="10" t="inlineStr">
        <is>
          <t>17/03/2026</t>
        </is>
      </c>
      <c r="K2448" s="10" t="inlineStr">
        <is>
          <t>N/A</t>
        </is>
      </c>
      <c r="L2448" s="10" t="inlineStr">
        <is>
          <t>Business Development, Financial Analysis, Leadership, Negotiation, Risk Management</t>
        </is>
      </c>
      <c r="M2448" s="10" t="inlineStr">
        <is>
          <t>Bonus, Healthcare Plan, Paid Leave, Training, Awards, Team Activities, Others</t>
        </is>
      </c>
      <c r="N2448" s="11">
        <f>HYPERLINK("https://www.vietnamworks.com/chuyen-vien-khach-hang-ca-nhan-cn-viet-tri-cnlt-703-2013286-jv","Xem chi tiết")</f>
        <v/>
      </c>
      <c r="O2448" s="10" t="n"/>
    </row>
    <row r="2449">
      <c r="B2449" s="7" t="n">
        <v>2447</v>
      </c>
      <c r="C2449" t="inlineStr">
        <is>
          <t>Nhân Viên Nghiên Cứu &amp; Phát Triển Phần Mềm</t>
        </is>
      </c>
      <c r="D2449" t="inlineStr">
        <is>
          <t>Công Ty Cổ Phần Biển Bạc</t>
        </is>
      </c>
      <c r="E2449" t="inlineStr">
        <is>
          <t>13tr-18tr ₫/tháng</t>
        </is>
      </c>
      <c r="F2449" t="inlineStr">
        <is>
          <t>Hà Nội</t>
        </is>
      </c>
      <c r="G2449" t="inlineStr">
        <is>
          <t>Nhân viên</t>
        </is>
      </c>
      <c r="H2449" t="inlineStr">
        <is>
          <t>24/02/2026</t>
        </is>
      </c>
      <c r="I2449" t="inlineStr">
        <is>
          <t>26/03/2026</t>
        </is>
      </c>
      <c r="J2449" t="inlineStr">
        <is>
          <t>17/03/2026</t>
        </is>
      </c>
      <c r="K2449" t="inlineStr">
        <is>
          <t>N/A</t>
        </is>
      </c>
      <c r="L2449" t="inlineStr">
        <is>
          <t>CSDL, C#, Công Nghệ Thông Tin, AI, Lập Trình</t>
        </is>
      </c>
      <c r="M2449" t="inlineStr">
        <is>
          <t>Bonus, Healthcare Plan, Paid Leave, Transportation, Others</t>
        </is>
      </c>
      <c r="N2449" s="8">
        <f>HYPERLINK("https://www.vietnamworks.com/nhan-vien-nghien-cuu-phat-trien-phan-mem-2013295-jv","Xem chi tiết")</f>
        <v/>
      </c>
    </row>
    <row r="2450">
      <c r="B2450" s="9" t="n">
        <v>2448</v>
      </c>
      <c r="C2450" s="10" t="inlineStr">
        <is>
          <t>Chuyên Viên Khách Hàng Doanh Nghiệp - CN. Thái Nguyên (CNLT.680)</t>
        </is>
      </c>
      <c r="D2450" s="10" t="inlineStr">
        <is>
          <t>NGÂN HÀNG TMCP QUÂN ĐỘI – MBBANK</t>
        </is>
      </c>
      <c r="E2450" s="10" t="inlineStr">
        <is>
          <t>10tr-35tr ₫/tháng</t>
        </is>
      </c>
      <c r="F2450" s="10" t="inlineStr">
        <is>
          <t>Thái Nguyên</t>
        </is>
      </c>
      <c r="G2450" s="10" t="inlineStr">
        <is>
          <t>Nhân viên</t>
        </is>
      </c>
      <c r="H2450" s="10" t="inlineStr">
        <is>
          <t>24/02/2026</t>
        </is>
      </c>
      <c r="I2450" s="10" t="inlineStr">
        <is>
          <t>26/03/2026</t>
        </is>
      </c>
      <c r="J2450" s="10" t="inlineStr">
        <is>
          <t>17/03/2026</t>
        </is>
      </c>
      <c r="K2450" s="10" t="inlineStr">
        <is>
          <t>N/A</t>
        </is>
      </c>
      <c r="L2450" s="10" t="inlineStr">
        <is>
          <t>Business Development, Financial Analysis, Leadership, Negotiation, Risk Management</t>
        </is>
      </c>
      <c r="M2450" s="10" t="inlineStr">
        <is>
          <t>Bonus, Healthcare Plan, Paid Leave, Training, Awards, Team Activities, Others</t>
        </is>
      </c>
      <c r="N2450" s="11">
        <f>HYPERLINK("https://www.vietnamworks.com/chuyen-vien-khach-hang-doanh-nghiep-cn-thai-nguyen-cnlt-680-2013284-jv","Xem chi tiết")</f>
        <v/>
      </c>
      <c r="O2450" s="10" t="n"/>
    </row>
    <row r="2451">
      <c r="B2451" s="7" t="n">
        <v>2449</v>
      </c>
      <c r="C2451" t="inlineStr">
        <is>
          <t>Chuyên Viên Khách Hàng Cá Nhân - CN. Hải Dương ( CNLT.571 )</t>
        </is>
      </c>
      <c r="D2451" t="inlineStr">
        <is>
          <t>NGÂN HÀNG TMCP QUÂN ĐỘI – MBBANK</t>
        </is>
      </c>
      <c r="E2451" t="inlineStr">
        <is>
          <t>9tr-35tr ₫/tháng</t>
        </is>
      </c>
      <c r="F2451" t="inlineStr">
        <is>
          <t>Hải Phòng</t>
        </is>
      </c>
      <c r="G2451" t="inlineStr">
        <is>
          <t>Nhân viên</t>
        </is>
      </c>
      <c r="H2451" t="inlineStr">
        <is>
          <t>24/02/2026</t>
        </is>
      </c>
      <c r="I2451" t="inlineStr">
        <is>
          <t>26/03/2026</t>
        </is>
      </c>
      <c r="J2451" t="inlineStr">
        <is>
          <t>17/03/2026</t>
        </is>
      </c>
      <c r="K2451" t="inlineStr">
        <is>
          <t>N/A</t>
        </is>
      </c>
      <c r="L2451" t="inlineStr">
        <is>
          <t>Business Development, Financial Analysis, Leadership, Negotiation, Risk Management</t>
        </is>
      </c>
      <c r="M2451" t="inlineStr">
        <is>
          <t>Bonus, Healthcare Plan, Paid Leave, Training, Awards, Library, Team Activities</t>
        </is>
      </c>
      <c r="N2451" s="8">
        <f>HYPERLINK("https://www.vietnamworks.com/chuyen-vien-khach-hang-ca-nhan-cn-hai-duong-cnlt-571-2013296-jv","Xem chi tiết")</f>
        <v/>
      </c>
    </row>
    <row r="2452">
      <c r="B2452" s="9" t="n">
        <v>2450</v>
      </c>
      <c r="C2452" s="10" t="inlineStr">
        <is>
          <t>Chuyên Viên Kiểm Soát Xây Dựng</t>
        </is>
      </c>
      <c r="D2452" s="10" t="inlineStr">
        <is>
          <t>Tập Đoàn Tân Á Đại Thành</t>
        </is>
      </c>
      <c r="E2452" s="10" t="inlineStr">
        <is>
          <t>Thương lượng</t>
        </is>
      </c>
      <c r="F2452" s="10" t="inlineStr">
        <is>
          <t>Hà Nội</t>
        </is>
      </c>
      <c r="G2452" s="10" t="inlineStr">
        <is>
          <t>Nhân viên</t>
        </is>
      </c>
      <c r="H2452" s="10" t="inlineStr">
        <is>
          <t>24/02/2026</t>
        </is>
      </c>
      <c r="I2452" s="10" t="inlineStr">
        <is>
          <t>26/03/2026</t>
        </is>
      </c>
      <c r="J2452" s="10" t="inlineStr">
        <is>
          <t>17/03/2026</t>
        </is>
      </c>
      <c r="K2452" s="10" t="inlineStr">
        <is>
          <t>N/A</t>
        </is>
      </c>
      <c r="L2452" s="10" t="inlineStr">
        <is>
          <t>Giám Sát Xây Dựng, Kiểm Toán Chất Lượng, Kinh Tế Xây Dựng, Lập Dự Toán, Xây Dựng</t>
        </is>
      </c>
      <c r="M2452" s="10" t="inlineStr">
        <is>
          <t>Bonus, Laptop, Canteen</t>
        </is>
      </c>
      <c r="N2452" s="11">
        <f>HYPERLINK("https://www.vietnamworks.com/chuyen-vien-kiem-soat-xay-dung-2013294-jv","Xem chi tiết")</f>
        <v/>
      </c>
      <c r="O2452" s="10" t="n"/>
    </row>
    <row r="2453">
      <c r="B2453" s="7" t="n">
        <v>2451</v>
      </c>
      <c r="C2453" t="inlineStr">
        <is>
          <t>Họa Viên Khai Triển Kiến Trúc/ Kết Cấu - Draftman (Architectural/ Structural Drawings)</t>
        </is>
      </c>
      <c r="D2453" t="inlineStr">
        <is>
          <t>Công Ty TNHH Anu Design Group Vina</t>
        </is>
      </c>
      <c r="E2453" t="inlineStr">
        <is>
          <t>$$ 400-1,200 /tháng</t>
        </is>
      </c>
      <c r="F2453" t="inlineStr">
        <is>
          <t>Hồ Chí Minh</t>
        </is>
      </c>
      <c r="G2453" t="inlineStr">
        <is>
          <t>Nhân viên</t>
        </is>
      </c>
      <c r="H2453" t="inlineStr">
        <is>
          <t>24/02/2026</t>
        </is>
      </c>
      <c r="I2453" t="inlineStr">
        <is>
          <t>26/03/2026</t>
        </is>
      </c>
      <c r="J2453" t="inlineStr">
        <is>
          <t>17/03/2026</t>
        </is>
      </c>
      <c r="K2453" t="inlineStr">
        <is>
          <t>N/A</t>
        </is>
      </c>
      <c r="L2453" t="inlineStr">
        <is>
          <t>Technical Architecture, 2D CAD, Khai Triển Bản Vẽ, Triển Khai Kiến Trúc, Thiết Kế Kiến Trúc</t>
        </is>
      </c>
      <c r="M2453" t="inlineStr">
        <is>
          <t>Bonus, Healthcare Plan, Training</t>
        </is>
      </c>
      <c r="N2453" s="8">
        <f>HYPERLINK("https://www.vietnamworks.com/hoa-vien-khai-trien-kien-truc-ket-cau-draftman-architectural-structural-drawings--2013297-jv","Xem chi tiết")</f>
        <v/>
      </c>
    </row>
    <row r="2454">
      <c r="B2454" s="9" t="n">
        <v>2452</v>
      </c>
      <c r="C2454" s="10" t="inlineStr">
        <is>
          <t>Phó Tổng Giám Đốc Điều Hành</t>
        </is>
      </c>
      <c r="D2454" s="10" t="inlineStr">
        <is>
          <t>Công Ty Cổ Phần Tập Đoàn BRG</t>
        </is>
      </c>
      <c r="E2454" s="10" t="inlineStr">
        <is>
          <t>Thương lượng</t>
        </is>
      </c>
      <c r="F2454" s="10" t="inlineStr">
        <is>
          <t>Đà Nẵng</t>
        </is>
      </c>
      <c r="G2454" s="10" t="inlineStr">
        <is>
          <t>Giám Đốc và Cấp Cao Hơn</t>
        </is>
      </c>
      <c r="H2454" s="10" t="inlineStr">
        <is>
          <t>24/02/2026</t>
        </is>
      </c>
      <c r="I2454" s="10" t="inlineStr">
        <is>
          <t>26/03/2026</t>
        </is>
      </c>
      <c r="J2454" s="10" t="inlineStr">
        <is>
          <t>17/03/2026</t>
        </is>
      </c>
      <c r="K2454" s="10" t="inlineStr">
        <is>
          <t>N/A</t>
        </is>
      </c>
      <c r="L2454" s="10" t="inlineStr">
        <is>
          <t>Golf Operations, Strategic Planning</t>
        </is>
      </c>
      <c r="M2454" s="10" t="inlineStr">
        <is>
          <t>Bonus, Healthcare Plan, Travel Opportunities</t>
        </is>
      </c>
      <c r="N2454" s="11">
        <f>HYPERLINK("https://www.vietnamworks.com/pho-tong-giam-doc-dieu-hanh--2013299-jv","Xem chi tiết")</f>
        <v/>
      </c>
      <c r="O2454" s="10" t="n"/>
    </row>
    <row r="2455">
      <c r="B2455" s="7" t="n">
        <v>2453</v>
      </c>
      <c r="C2455" t="inlineStr">
        <is>
          <t>Chuyên Viên Khách Hàng Cá Nhân - CN. Vĩnh Long (CNLT.1441)</t>
        </is>
      </c>
      <c r="D2455" t="inlineStr">
        <is>
          <t>NGÂN HÀNG TMCP QUÂN ĐỘI – MBBANK</t>
        </is>
      </c>
      <c r="E2455" t="inlineStr">
        <is>
          <t>9tr-35tr ₫/tháng</t>
        </is>
      </c>
      <c r="F2455" t="inlineStr">
        <is>
          <t>Vĩnh Long</t>
        </is>
      </c>
      <c r="G2455" t="inlineStr">
        <is>
          <t>Nhân viên</t>
        </is>
      </c>
      <c r="H2455" t="inlineStr">
        <is>
          <t>24/02/2026</t>
        </is>
      </c>
      <c r="I2455" t="inlineStr">
        <is>
          <t>26/03/2026</t>
        </is>
      </c>
      <c r="J2455" t="inlineStr">
        <is>
          <t>17/03/2026</t>
        </is>
      </c>
      <c r="K2455" t="inlineStr">
        <is>
          <t>N/A</t>
        </is>
      </c>
      <c r="L2455" t="inlineStr">
        <is>
          <t>Financial Analysis, Risk Management, Business Development, Negotiation, Leadership</t>
        </is>
      </c>
      <c r="M2455" t="inlineStr">
        <is>
          <t>Bonus, Healthcare Plan, Paid Leave</t>
        </is>
      </c>
      <c r="N2455" s="8">
        <f>HYPERLINK("https://www.vietnamworks.com/chuyen-vien-khach-hang-ca-nhan-cn-vinh-long-cnlt-1441--2013298-jv","Xem chi tiết")</f>
        <v/>
      </c>
    </row>
    <row r="2456">
      <c r="B2456" s="9" t="n">
        <v>2454</v>
      </c>
      <c r="C2456" s="10" t="inlineStr">
        <is>
          <t>Quality Engineer (English: Fluently, More Than 2 Years of Experience)</t>
        </is>
      </c>
      <c r="D2456" s="10" t="inlineStr">
        <is>
          <t>Công ty TNHH Seojin Auto</t>
        </is>
      </c>
      <c r="E2456" s="10" t="inlineStr">
        <is>
          <t>Thương lượng</t>
        </is>
      </c>
      <c r="F2456" s="10" t="inlineStr">
        <is>
          <t>Bắc Ninh, Hà Nội, Bắc Giang</t>
        </is>
      </c>
      <c r="G2456" s="10" t="inlineStr">
        <is>
          <t>Nhân viên</t>
        </is>
      </c>
      <c r="H2456" s="10" t="inlineStr">
        <is>
          <t>24/02/2026</t>
        </is>
      </c>
      <c r="I2456" s="10" t="inlineStr">
        <is>
          <t>26/03/2026</t>
        </is>
      </c>
      <c r="J2456" s="10" t="inlineStr">
        <is>
          <t>17/03/2026</t>
        </is>
      </c>
      <c r="K2456" s="10" t="inlineStr">
        <is>
          <t>N/A</t>
        </is>
      </c>
      <c r="L2456" s="10" t="inlineStr">
        <is>
          <t>Automobile Quality System, Quality Document Control, Automotive Engineering, Kỹ Thuật Cơ Khí, Quality Assurance</t>
        </is>
      </c>
      <c r="M2456" s="10" t="inlineStr">
        <is>
          <t>Laptop, Transportation, Canteen</t>
        </is>
      </c>
      <c r="N2456" s="11">
        <f>HYPERLINK("https://www.vietnamworks.com/quality-engineer-english-fluently-more-than-2-years-of-experience-2013306-jv","Xem chi tiết")</f>
        <v/>
      </c>
      <c r="O2456" s="10" t="n"/>
    </row>
    <row r="2457">
      <c r="B2457" s="7" t="n">
        <v>2455</v>
      </c>
      <c r="C2457" t="inlineStr">
        <is>
          <t>Senior Trade Marketing Specialist/ Supervisor (Category)</t>
        </is>
      </c>
      <c r="D2457" t="inlineStr">
        <is>
          <t>Meishang Cosmetics Vietnam (Colorkey BRAND)</t>
        </is>
      </c>
      <c r="E2457" t="inlineStr">
        <is>
          <t>Thương lượng</t>
        </is>
      </c>
      <c r="F2457" t="inlineStr">
        <is>
          <t>Hồ Chí Minh</t>
        </is>
      </c>
      <c r="G2457" t="inlineStr">
        <is>
          <t>Nhân viên</t>
        </is>
      </c>
      <c r="H2457" t="inlineStr">
        <is>
          <t>24/02/2026</t>
        </is>
      </c>
      <c r="I2457" t="inlineStr">
        <is>
          <t>26/03/2026</t>
        </is>
      </c>
      <c r="J2457" t="inlineStr">
        <is>
          <t>17/03/2026</t>
        </is>
      </c>
      <c r="K2457" t="inlineStr">
        <is>
          <t>N/A</t>
        </is>
      </c>
      <c r="L2457" t="inlineStr">
        <is>
          <t>Social Media, English, Beauty Marketing</t>
        </is>
      </c>
      <c r="M2457" t="inlineStr">
        <is>
          <t>Others</t>
        </is>
      </c>
      <c r="N2457" s="8">
        <f>HYPERLINK("https://www.vietnamworks.com/senior-trade-marketing-specialist-supervisor-category-2013319-jv","Xem chi tiết")</f>
        <v/>
      </c>
    </row>
    <row r="2458">
      <c r="B2458" s="9" t="n">
        <v>2456</v>
      </c>
      <c r="C2458" s="10" t="inlineStr">
        <is>
          <t>Chuyên Viên Khách Hàng Cá Nhân - Khu Vực Long Biên, Hà Nội (CNLT.07)</t>
        </is>
      </c>
      <c r="D2458" s="10" t="inlineStr">
        <is>
          <t>NGÂN HÀNG TMCP QUÂN ĐỘI – MBBANK</t>
        </is>
      </c>
      <c r="E2458" s="10" t="inlineStr">
        <is>
          <t>Thương lượng</t>
        </is>
      </c>
      <c r="F2458" s="10" t="inlineStr">
        <is>
          <t>Hà Nội</t>
        </is>
      </c>
      <c r="G2458" s="10" t="inlineStr">
        <is>
          <t>Nhân viên</t>
        </is>
      </c>
      <c r="H2458" s="10" t="inlineStr">
        <is>
          <t>24/02/2026</t>
        </is>
      </c>
      <c r="I2458" s="10" t="inlineStr">
        <is>
          <t>26/03/2026</t>
        </is>
      </c>
      <c r="J2458" s="10" t="inlineStr">
        <is>
          <t>17/03/2026</t>
        </is>
      </c>
      <c r="K2458" s="10" t="inlineStr">
        <is>
          <t>N/A</t>
        </is>
      </c>
      <c r="L2458" s="10" t="inlineStr">
        <is>
          <t>Financial Analysis, Risk Management, Business Development, Negotiation, Leadership</t>
        </is>
      </c>
      <c r="M2458" s="10" t="inlineStr">
        <is>
          <t>Bonus, Healthcare Plan, Paid Leave</t>
        </is>
      </c>
      <c r="N2458" s="11">
        <f>HYPERLINK("https://www.vietnamworks.com/chuyen-vien-khach-hang-ca-nhan-khu-vuc-long-bien-ha-noi-cnlt-07--2013303-jv","Xem chi tiết")</f>
        <v/>
      </c>
      <c r="O2458" s="10" t="n"/>
    </row>
    <row r="2459">
      <c r="B2459" s="7" t="n">
        <v>2457</v>
      </c>
      <c r="C2459" t="inlineStr">
        <is>
          <t>Chuyên Viên Khách Hàng Doanh Nghiệp - Khu Vực Hóc Môn, TP. Hồ Chí Minh (CNLT.20)</t>
        </is>
      </c>
      <c r="D2459" t="inlineStr">
        <is>
          <t>NGÂN HÀNG TMCP QUÂN ĐỘI – MBBANK</t>
        </is>
      </c>
      <c r="E2459" t="inlineStr">
        <is>
          <t>Thương lượng</t>
        </is>
      </c>
      <c r="F2459" t="inlineStr">
        <is>
          <t>Hồ Chí Minh</t>
        </is>
      </c>
      <c r="G2459" t="inlineStr">
        <is>
          <t>Nhân viên</t>
        </is>
      </c>
      <c r="H2459" t="inlineStr">
        <is>
          <t>24/02/2026</t>
        </is>
      </c>
      <c r="I2459" t="inlineStr">
        <is>
          <t>26/03/2026</t>
        </is>
      </c>
      <c r="J2459" t="inlineStr">
        <is>
          <t>17/03/2026</t>
        </is>
      </c>
      <c r="K2459" t="inlineStr">
        <is>
          <t>N/A</t>
        </is>
      </c>
      <c r="L2459" t="inlineStr">
        <is>
          <t>Negotiation, Financial Analysis, Risk Management, Business Development, Leadership In Maintenance</t>
        </is>
      </c>
      <c r="M2459" t="inlineStr">
        <is>
          <t>Bonus, Healthcare Plan, Paid Leave</t>
        </is>
      </c>
      <c r="N2459" s="8">
        <f>HYPERLINK("https://www.vietnamworks.com/chuyen-vien-khach-hang-doanh-nghiep-khu-vuc-hoc-mon-tp-ho-chi-minh-cnlt-20--2013307-jv","Xem chi tiết")</f>
        <v/>
      </c>
    </row>
    <row r="2460">
      <c r="B2460" s="9" t="n">
        <v>2458</v>
      </c>
      <c r="C2460" s="10" t="inlineStr">
        <is>
          <t>Chuyên Viên Khách Hàng Doanh Nghiệp - CN. Bình Dương (CNLT.1064)</t>
        </is>
      </c>
      <c r="D2460" s="10" t="inlineStr">
        <is>
          <t>NGÂN HÀNG TMCP QUÂN ĐỘI – MBBANK</t>
        </is>
      </c>
      <c r="E2460" s="10" t="inlineStr">
        <is>
          <t>10tr-35tr ₫/tháng</t>
        </is>
      </c>
      <c r="F2460" s="10" t="inlineStr">
        <is>
          <t>Hồ Chí Minh</t>
        </is>
      </c>
      <c r="G2460" s="10" t="inlineStr">
        <is>
          <t>Nhân viên</t>
        </is>
      </c>
      <c r="H2460" s="10" t="inlineStr">
        <is>
          <t>24/02/2026</t>
        </is>
      </c>
      <c r="I2460" s="10" t="inlineStr">
        <is>
          <t>26/03/2026</t>
        </is>
      </c>
      <c r="J2460" s="10" t="inlineStr">
        <is>
          <t>17/03/2026</t>
        </is>
      </c>
      <c r="K2460" s="10" t="inlineStr">
        <is>
          <t>N/A</t>
        </is>
      </c>
      <c r="L2460" s="10" t="inlineStr">
        <is>
          <t>Business Development, Financial Analysis, Leadership, Negotiation, Risk Management</t>
        </is>
      </c>
      <c r="M2460" s="10" t="inlineStr">
        <is>
          <t>Bonus, Healthcare Plan, Paid Leave, Training, Awards, Library, Team Activities</t>
        </is>
      </c>
      <c r="N2460" s="11">
        <f>HYPERLINK("https://www.vietnamworks.com/chuyen-vien-khach-hang-doanh-nghiep-cn-binh-duong-cnlt-1064-2013308-jv","Xem chi tiết")</f>
        <v/>
      </c>
      <c r="O2460" s="10" t="n"/>
    </row>
    <row r="2461">
      <c r="B2461" s="7" t="n">
        <v>2459</v>
      </c>
      <c r="C2461" t="inlineStr">
        <is>
          <t>Chuyên Gia Phát Triển Mạng Lưới Đối Tác &amp; Ưu Đãi Cho Khách Hàng Priority - Priority Customer Partner &amp; Rewards Ecosystem Development Expert - Khối Khách Hàng Cá Nhân (HO25.559)</t>
        </is>
      </c>
      <c r="D2461" t="inlineStr">
        <is>
          <t>NGÂN HÀNG TMCP QUÂN ĐỘI – MBBANK</t>
        </is>
      </c>
      <c r="E2461" t="inlineStr">
        <is>
          <t>Thương lượng</t>
        </is>
      </c>
      <c r="F2461" t="inlineStr">
        <is>
          <t>Hà Nội</t>
        </is>
      </c>
      <c r="G2461" t="inlineStr">
        <is>
          <t>Nhân viên</t>
        </is>
      </c>
      <c r="H2461" t="inlineStr">
        <is>
          <t>24/02/2026</t>
        </is>
      </c>
      <c r="I2461" t="inlineStr">
        <is>
          <t>26/03/2026</t>
        </is>
      </c>
      <c r="J2461" t="inlineStr">
        <is>
          <t>17/03/2026</t>
        </is>
      </c>
      <c r="K2461" t="inlineStr">
        <is>
          <t>N/A</t>
        </is>
      </c>
      <c r="L2461" t="inlineStr">
        <is>
          <t>Customer Experience Management, Design, Ecosystem Development, Merchant Development, Partnership Management</t>
        </is>
      </c>
      <c r="M2461" t="inlineStr">
        <is>
          <t>Bonus, Healthcare Plan, Paid Leave, Training, Awards, Library, Team Activities</t>
        </is>
      </c>
      <c r="N2461" s="8">
        <f>HYPERLINK("https://www.vietnamworks.com/chuyen-gia-phat-trien-mang-luoi-djoi-tac-and-uu-djai-cho-khach-hang-priority-priority-customer-partner-and-rewards-ecosystem-development-expert-khoi-khach-hang-ca-nhan-ho25-559-2013318-jv","Xem chi tiết")</f>
        <v/>
      </c>
    </row>
    <row r="2462">
      <c r="B2462" s="9" t="n">
        <v>2460</v>
      </c>
      <c r="C2462" s="10" t="inlineStr">
        <is>
          <t>Nhân Viên Kỹ Thuật (Hỗ Trợ Kinh Doanh) [Điện, Điện Tử; Tự Động Hóa; Viễn Thông; Điều Khiển Học Kỹ Thuật; Cơ Điện Tử..]</t>
        </is>
      </c>
      <c r="D2462" s="10" t="inlineStr">
        <is>
          <t>Công Ty Cổ Phần Biển Bạc</t>
        </is>
      </c>
      <c r="E2462" s="10" t="inlineStr">
        <is>
          <t>10tr-18tr ₫/tháng</t>
        </is>
      </c>
      <c r="F2462" s="10" t="inlineStr">
        <is>
          <t>Hà Nội</t>
        </is>
      </c>
      <c r="G2462" s="10" t="inlineStr">
        <is>
          <t>Nhân viên</t>
        </is>
      </c>
      <c r="H2462" s="10" t="inlineStr">
        <is>
          <t>24/02/2026</t>
        </is>
      </c>
      <c r="I2462" s="10" t="inlineStr">
        <is>
          <t>26/03/2026</t>
        </is>
      </c>
      <c r="J2462" s="10" t="inlineStr">
        <is>
          <t>17/03/2026</t>
        </is>
      </c>
      <c r="K2462" s="10" t="inlineStr">
        <is>
          <t>N/A</t>
        </is>
      </c>
      <c r="L2462" s="10" t="inlineStr">
        <is>
          <t>Autocad, Hỗ Trợ Kỹ Thuật, Quản Lý Dự Án, Thiết Kế Bản Vẽ, Điện tử</t>
        </is>
      </c>
      <c r="M2462" s="10" t="inlineStr">
        <is>
          <t>Bonus, Mobile, Transportation, Others</t>
        </is>
      </c>
      <c r="N2462" s="11">
        <f>HYPERLINK("https://www.vietnamworks.com/nhan-vien-ky-thuat-ho-tro-kinh-doanh-dien-dien-tu-tu-dong-hoa-vien-thong-dieu-khien-hoc-ky-thuat-co-dien-tu-2013301-jv","Xem chi tiết")</f>
        <v/>
      </c>
      <c r="O2462" s="10" t="n"/>
    </row>
    <row r="2463">
      <c r="B2463" s="7" t="n">
        <v>2461</v>
      </c>
      <c r="C2463" t="inlineStr">
        <is>
          <t>Supply Chain Manager</t>
        </is>
      </c>
      <c r="D2463" t="inlineStr">
        <is>
          <t>Công Ty TNHH The Lab Concepts</t>
        </is>
      </c>
      <c r="E2463" t="inlineStr">
        <is>
          <t>Thương lượng</t>
        </is>
      </c>
      <c r="F2463" t="inlineStr">
        <is>
          <t>Hồ Chí Minh</t>
        </is>
      </c>
      <c r="G2463" t="inlineStr">
        <is>
          <t>Trưởng phòng</t>
        </is>
      </c>
      <c r="H2463" t="inlineStr">
        <is>
          <t>24/02/2026</t>
        </is>
      </c>
      <c r="I2463" t="inlineStr">
        <is>
          <t>26/03/2026</t>
        </is>
      </c>
      <c r="J2463" t="inlineStr">
        <is>
          <t>17/03/2026</t>
        </is>
      </c>
      <c r="K2463" t="inlineStr">
        <is>
          <t>N/A</t>
        </is>
      </c>
      <c r="L2463" t="inlineStr">
        <is>
          <t>FMCG, Inventory, Supply Chain, Supply Chain Management, Supply Chain Operations</t>
        </is>
      </c>
      <c r="M2463" t="inlineStr">
        <is>
          <t>Bonus, Healthcare Plan, Paid Leave, Others</t>
        </is>
      </c>
      <c r="N2463" s="8">
        <f>HYPERLINK("https://www.vietnamworks.com/supply-chain-manager-2013313-jv","Xem chi tiết")</f>
        <v/>
      </c>
    </row>
    <row r="2464">
      <c r="B2464" s="9" t="n">
        <v>2462</v>
      </c>
      <c r="C2464" s="10" t="inlineStr">
        <is>
          <t>Chuyên Viên Khách Hàng Doanh Nghiệp - CN. Việt Trì ( CNLT.704 )</t>
        </is>
      </c>
      <c r="D2464" s="10" t="inlineStr">
        <is>
          <t>NGÂN HÀNG TMCP QUÂN ĐỘI – MBBANK</t>
        </is>
      </c>
      <c r="E2464" s="10" t="inlineStr">
        <is>
          <t>10tr-35tr ₫/tháng</t>
        </is>
      </c>
      <c r="F2464" s="10" t="inlineStr">
        <is>
          <t>Phú Thọ</t>
        </is>
      </c>
      <c r="G2464" s="10" t="inlineStr">
        <is>
          <t>Nhân viên</t>
        </is>
      </c>
      <c r="H2464" s="10" t="inlineStr">
        <is>
          <t>24/02/2026</t>
        </is>
      </c>
      <c r="I2464" s="10" t="inlineStr">
        <is>
          <t>26/03/2026</t>
        </is>
      </c>
      <c r="J2464" s="10" t="inlineStr">
        <is>
          <t>17/03/2026</t>
        </is>
      </c>
      <c r="K2464" s="10" t="inlineStr">
        <is>
          <t>N/A</t>
        </is>
      </c>
      <c r="L2464" s="10" t="inlineStr">
        <is>
          <t>Business Development, Financial Analysis, Leadership, Negotiation, Risk Management</t>
        </is>
      </c>
      <c r="M2464" s="10" t="inlineStr">
        <is>
          <t>Bonus, Healthcare Plan, Paid Leave, Training, Awards, Team Activities, Others</t>
        </is>
      </c>
      <c r="N2464" s="11">
        <f>HYPERLINK("https://www.vietnamworks.com/chuyen-vien-khach-hang-doanh-nghiep-cn-viet-tri-cnlt-704-2013304-jv","Xem chi tiết")</f>
        <v/>
      </c>
      <c r="O2464" s="10" t="n"/>
    </row>
    <row r="2465">
      <c r="B2465" s="7" t="n">
        <v>2463</v>
      </c>
      <c r="C2465" t="inlineStr">
        <is>
          <t>Chuyên Viên Quản Trị Mạng Kết Nối (All Level) - Network Administrator - Khối Công Nghệ Thông Tin (HO25.565)</t>
        </is>
      </c>
      <c r="D2465" t="inlineStr">
        <is>
          <t>NGÂN HÀNG TMCP QUÂN ĐỘI – MBBANK</t>
        </is>
      </c>
      <c r="E2465" t="inlineStr">
        <is>
          <t>Thương lượng</t>
        </is>
      </c>
      <c r="F2465" t="inlineStr">
        <is>
          <t>Hà Nội</t>
        </is>
      </c>
      <c r="G2465" t="inlineStr">
        <is>
          <t>Nhân viên</t>
        </is>
      </c>
      <c r="H2465" t="inlineStr">
        <is>
          <t>24/02/2026</t>
        </is>
      </c>
      <c r="I2465" t="inlineStr">
        <is>
          <t>26/03/2026</t>
        </is>
      </c>
      <c r="J2465" t="inlineStr">
        <is>
          <t>17/03/2026</t>
        </is>
      </c>
      <c r="K2465" t="inlineStr">
        <is>
          <t>N/A</t>
        </is>
      </c>
      <c r="L2465" t="inlineStr">
        <is>
          <t>Quản Trị Mạng, Thiết Kế Hệ Thống, Giám Sát Hệ Thống, An Toàn Thông Tin, Giao Tiếp Tiếng Anh</t>
        </is>
      </c>
      <c r="M2465" t="inlineStr">
        <is>
          <t>Bonus, Healthcare Plan, Paid Leave, Training, Awards, Team Activities, Others</t>
        </is>
      </c>
      <c r="N2465" s="8">
        <f>HYPERLINK("https://www.vietnamworks.com/chuyen-vien-quan-tri-mang-ket-noi-all-level-network-administrator-khoi-cong-nghe-thong-tin-ho25-565-2013316-jv","Xem chi tiết")</f>
        <v/>
      </c>
    </row>
    <row r="2466">
      <c r="B2466" s="9" t="n">
        <v>2464</v>
      </c>
      <c r="C2466" s="10" t="inlineStr">
        <is>
          <t>Business Development/account/sales Manager(Digital MKT Agency)</t>
        </is>
      </c>
      <c r="D2466" s="10" t="inlineStr">
        <is>
          <t>Kiwi Interactive</t>
        </is>
      </c>
      <c r="E2466" s="10" t="inlineStr">
        <is>
          <t>$$ 1,000-1,800 /tháng</t>
        </is>
      </c>
      <c r="F2466" s="10" t="inlineStr">
        <is>
          <t>Hà Nội</t>
        </is>
      </c>
      <c r="G2466" s="10" t="inlineStr">
        <is>
          <t>Nhân viên</t>
        </is>
      </c>
      <c r="H2466" s="10" t="inlineStr">
        <is>
          <t>24/02/2026</t>
        </is>
      </c>
      <c r="I2466" s="10" t="inlineStr">
        <is>
          <t>26/03/2026</t>
        </is>
      </c>
      <c r="J2466" s="10" t="inlineStr">
        <is>
          <t>17/03/2026</t>
        </is>
      </c>
      <c r="K2466" s="10" t="inlineStr">
        <is>
          <t>N/A</t>
        </is>
      </c>
      <c r="L2466" s="10" t="inlineStr">
        <is>
          <t>Sales Capability, Customer Relationship Management, Sell Out Sales Target Achievement, Communication and negotiation skills, Work under pressure</t>
        </is>
      </c>
      <c r="M2466" s="10" t="inlineStr">
        <is>
          <t>Bonus, Paid Leave, Training</t>
        </is>
      </c>
      <c r="N2466" s="11">
        <f>HYPERLINK("https://www.vietnamworks.com/business-development-account-sales-manager-digital-mkt-agency-2013314-jv","Xem chi tiết")</f>
        <v/>
      </c>
      <c r="O2466" s="10" t="n"/>
    </row>
    <row r="2467">
      <c r="B2467" s="7" t="n">
        <v>2465</v>
      </c>
      <c r="C2467" t="inlineStr">
        <is>
          <t>Chuyên Viên Khách Hàng Doanh Nghiệp - CN. Hà Nam ( CNLT.278 )</t>
        </is>
      </c>
      <c r="D2467" t="inlineStr">
        <is>
          <t>NGÂN HÀNG TMCP QUÂN ĐỘI – MBBANK</t>
        </is>
      </c>
      <c r="E2467" t="inlineStr">
        <is>
          <t>10tr-35tr ₫/tháng</t>
        </is>
      </c>
      <c r="F2467" t="inlineStr">
        <is>
          <t>Ninh Bình</t>
        </is>
      </c>
      <c r="G2467" t="inlineStr">
        <is>
          <t>Nhân viên</t>
        </is>
      </c>
      <c r="H2467" t="inlineStr">
        <is>
          <t>24/02/2026</t>
        </is>
      </c>
      <c r="I2467" t="inlineStr">
        <is>
          <t>26/03/2026</t>
        </is>
      </c>
      <c r="J2467" t="inlineStr">
        <is>
          <t>17/03/2026</t>
        </is>
      </c>
      <c r="K2467" t="inlineStr">
        <is>
          <t>N/A</t>
        </is>
      </c>
      <c r="L2467" t="inlineStr">
        <is>
          <t>Business Development, Financial Analysis, Leadership, Negotiation, Risk Management</t>
        </is>
      </c>
      <c r="M2467" t="inlineStr">
        <is>
          <t>Bonus, Healthcare Plan, Paid Leave, Training, Awards, Library, Team Activities</t>
        </is>
      </c>
      <c r="N2467" s="8">
        <f>HYPERLINK("https://www.vietnamworks.com/chuyen-vien-khach-hang-doanh-nghiep-cn-ha-nam-cnlt-278-2013300-jv","Xem chi tiết")</f>
        <v/>
      </c>
    </row>
    <row r="2468">
      <c r="B2468" s="9" t="n">
        <v>2466</v>
      </c>
      <c r="C2468" s="10" t="inlineStr">
        <is>
          <t>Chuyên Viên Khách Hàng Doanh Nghiệp - Khu Vực Cần Thơ (CNLT.44)</t>
        </is>
      </c>
      <c r="D2468" s="10" t="inlineStr">
        <is>
          <t>NGÂN HÀNG TMCP QUÂN ĐỘI – MBBANK</t>
        </is>
      </c>
      <c r="E2468" s="10" t="inlineStr">
        <is>
          <t>10tr-35tr ₫/tháng</t>
        </is>
      </c>
      <c r="F2468" s="10" t="inlineStr">
        <is>
          <t>Cần Thơ</t>
        </is>
      </c>
      <c r="G2468" s="10" t="inlineStr">
        <is>
          <t>Nhân viên</t>
        </is>
      </c>
      <c r="H2468" s="10" t="inlineStr">
        <is>
          <t>24/02/2026</t>
        </is>
      </c>
      <c r="I2468" s="10" t="inlineStr">
        <is>
          <t>26/03/2026</t>
        </is>
      </c>
      <c r="J2468" s="10" t="inlineStr">
        <is>
          <t>17/03/2026</t>
        </is>
      </c>
      <c r="K2468" s="10" t="inlineStr">
        <is>
          <t>N/A</t>
        </is>
      </c>
      <c r="L2468" s="10" t="inlineStr">
        <is>
          <t>Business Development, Financial Analysis, Leadership, Negotiation, Risk Management</t>
        </is>
      </c>
      <c r="M2468" s="10" t="inlineStr">
        <is>
          <t>Bonus, Healthcare Plan, Paid Leave, Training, Awards, Team Activities, Others</t>
        </is>
      </c>
      <c r="N2468" s="11">
        <f>HYPERLINK("https://www.vietnamworks.com/chuyen-vien-khach-hang-doanh-nghiep-khu-vuc-can-tho-cnlt-44-2013305-jv","Xem chi tiết")</f>
        <v/>
      </c>
      <c r="O2468" s="10" t="n"/>
    </row>
    <row r="2469">
      <c r="B2469" s="7" t="n">
        <v>2467</v>
      </c>
      <c r="C2469" t="inlineStr">
        <is>
          <t>Chuyên Viên Khách Hàng Cá Nhân - CN. Đà Nẵng ( CNLT.787 )</t>
        </is>
      </c>
      <c r="D2469" t="inlineStr">
        <is>
          <t>NGÂN HÀNG TMCP QUÂN ĐỘI – MBBANK</t>
        </is>
      </c>
      <c r="E2469" t="inlineStr">
        <is>
          <t>9tr-35tr ₫/tháng</t>
        </is>
      </c>
      <c r="F2469" t="inlineStr">
        <is>
          <t>Đà Nẵng</t>
        </is>
      </c>
      <c r="G2469" t="inlineStr">
        <is>
          <t>Nhân viên</t>
        </is>
      </c>
      <c r="H2469" t="inlineStr">
        <is>
          <t>24/02/2026</t>
        </is>
      </c>
      <c r="I2469" t="inlineStr">
        <is>
          <t>26/03/2026</t>
        </is>
      </c>
      <c r="J2469" t="inlineStr">
        <is>
          <t>17/03/2026</t>
        </is>
      </c>
      <c r="K2469" t="inlineStr">
        <is>
          <t>N/A</t>
        </is>
      </c>
      <c r="L2469" t="inlineStr">
        <is>
          <t>Business Development, Financial Analysis, Leadership, Negotiation, Risk Management</t>
        </is>
      </c>
      <c r="M2469" t="inlineStr">
        <is>
          <t>Bonus, Healthcare Plan, Paid Leave, Training, Awards, Library, Team Activities</t>
        </is>
      </c>
      <c r="N2469" s="8">
        <f>HYPERLINK("https://www.vietnamworks.com/chuyen-vien-khach-hang-ca-nhan-cn-dja-nang-cnlt-787-2013312-jv","Xem chi tiết")</f>
        <v/>
      </c>
    </row>
    <row r="2470">
      <c r="B2470" s="9" t="n">
        <v>2468</v>
      </c>
      <c r="C2470" s="10" t="inlineStr">
        <is>
          <t>Kỹ Thuật Lắp Đặt</t>
        </is>
      </c>
      <c r="D2470" s="10" t="inlineStr">
        <is>
          <t>CÔNG TY CỔ PHẦN GIẢI PHÁP TỰ ĐỘNG HOÁ VÀ TÍCH HỢP SẢN XUẤT</t>
        </is>
      </c>
      <c r="E2470" s="10" t="inlineStr">
        <is>
          <t>7tr-15tr ₫/tháng</t>
        </is>
      </c>
      <c r="F2470" s="10" t="inlineStr">
        <is>
          <t>Hà Nội</t>
        </is>
      </c>
      <c r="G2470" s="10" t="inlineStr">
        <is>
          <t>Nhân viên</t>
        </is>
      </c>
      <c r="H2470" s="10" t="inlineStr">
        <is>
          <t>24/02/2026</t>
        </is>
      </c>
      <c r="I2470" s="10" t="inlineStr">
        <is>
          <t>26/03/2026</t>
        </is>
      </c>
      <c r="J2470" s="10" t="inlineStr">
        <is>
          <t>17/03/2026</t>
        </is>
      </c>
      <c r="K2470" s="10" t="inlineStr">
        <is>
          <t>N/A</t>
        </is>
      </c>
      <c r="L2470" s="10" t="inlineStr">
        <is>
          <t>Lắp Ráp Khuôn, Đọc Bản Vẽ Kỹ Thuật, Lắp Ráp Khuôn Dập, Quản Lý Báo Cáo Rủi Ro, Vận Hành Máy Tiện</t>
        </is>
      </c>
      <c r="M2470" s="10" t="inlineStr">
        <is>
          <t>Bonus, Healthcare Plan, Training, Others</t>
        </is>
      </c>
      <c r="N2470" s="11">
        <f>HYPERLINK("https://www.vietnamworks.com/ky-thuat-lap-djat-2013317-jv","Xem chi tiết")</f>
        <v/>
      </c>
      <c r="O2470" s="10" t="n"/>
    </row>
    <row r="2471">
      <c r="B2471" s="7" t="n">
        <v>2469</v>
      </c>
      <c r="C2471" t="inlineStr">
        <is>
          <t>Chuyên Viên Khách Hàng Doanh Nghiệp - CN. Sơn La (CNLT.656)</t>
        </is>
      </c>
      <c r="D2471" t="inlineStr">
        <is>
          <t>NGÂN HÀNG TMCP QUÂN ĐỘI – MBBANK</t>
        </is>
      </c>
      <c r="E2471" t="inlineStr">
        <is>
          <t>10tr-35tr ₫/tháng</t>
        </is>
      </c>
      <c r="F2471" t="inlineStr">
        <is>
          <t>Sơn La</t>
        </is>
      </c>
      <c r="G2471" t="inlineStr">
        <is>
          <t>Nhân viên</t>
        </is>
      </c>
      <c r="H2471" t="inlineStr">
        <is>
          <t>24/02/2026</t>
        </is>
      </c>
      <c r="I2471" t="inlineStr">
        <is>
          <t>26/03/2026</t>
        </is>
      </c>
      <c r="J2471" t="inlineStr">
        <is>
          <t>17/03/2026</t>
        </is>
      </c>
      <c r="K2471" t="inlineStr">
        <is>
          <t>N/A</t>
        </is>
      </c>
      <c r="L2471" t="inlineStr">
        <is>
          <t>Business Development, Financial Analysis, Leadership, Negotiation, Risk Management</t>
        </is>
      </c>
      <c r="M2471" t="inlineStr">
        <is>
          <t>Bonus, Healthcare Plan, Paid Leave, Training, Awards, Team Activities, Others</t>
        </is>
      </c>
      <c r="N2471" s="8">
        <f>HYPERLINK("https://www.vietnamworks.com/chuyen-vien-khach-hang-doanh-nghiep-cn-son-la-cnlt-656-2013309-jv","Xem chi tiết")</f>
        <v/>
      </c>
    </row>
    <row r="2472">
      <c r="B2472" s="9" t="n">
        <v>2470</v>
      </c>
      <c r="C2472" s="10" t="inlineStr">
        <is>
          <t>Chuyên Viên Tại Team App MB - Onboaring - Digital Banking Onboarding Executive MB Bank App - Khối Ngân Hàng Số (HO25.564)</t>
        </is>
      </c>
      <c r="D2472" s="10" t="inlineStr">
        <is>
          <t>NGÂN HÀNG TMCP QUÂN ĐỘI – MBBANK</t>
        </is>
      </c>
      <c r="E2472" s="10" t="inlineStr">
        <is>
          <t>Thương lượng</t>
        </is>
      </c>
      <c r="F2472" s="10" t="inlineStr">
        <is>
          <t>Hà Nội</t>
        </is>
      </c>
      <c r="G2472" s="10" t="inlineStr">
        <is>
          <t>Nhân viên</t>
        </is>
      </c>
      <c r="H2472" s="10" t="inlineStr">
        <is>
          <t>24/02/2026</t>
        </is>
      </c>
      <c r="I2472" s="10" t="inlineStr">
        <is>
          <t>26/03/2026</t>
        </is>
      </c>
      <c r="J2472" s="10" t="inlineStr">
        <is>
          <t>17/03/2026</t>
        </is>
      </c>
      <c r="K2472" s="10" t="inlineStr">
        <is>
          <t>N/A</t>
        </is>
      </c>
      <c r="L2472" s="10" t="inlineStr">
        <is>
          <t>Digital Channels, Digital Sales, Customer Journey Map, Analysis Report, Marketing Development</t>
        </is>
      </c>
      <c r="M2472" s="10" t="inlineStr">
        <is>
          <t>Bonus, Healthcare Plan, Paid Leave, Training, Awards, Team Activities, Others</t>
        </is>
      </c>
      <c r="N2472" s="11">
        <f>HYPERLINK("https://www.vietnamworks.com/chuyen-vien-tai-team-app-mb-onboaring-digital-banking-onboarding-executive-mb-bank-app-khoi-ngan-hang-so-ho25-564-2013310-jv","Xem chi tiết")</f>
        <v/>
      </c>
      <c r="O2472" s="10" t="n"/>
    </row>
    <row r="2473">
      <c r="B2473" s="7" t="n">
        <v>2471</v>
      </c>
      <c r="C2473" t="inlineStr">
        <is>
          <t>Chuyên Viên - Phòng Dịch Vụ Công - Public Services Specialist - Ban Khách Hàng Chiến Lược (HO25.560)</t>
        </is>
      </c>
      <c r="D2473" t="inlineStr">
        <is>
          <t>NGÂN HÀNG TMCP QUÂN ĐỘI – MBBANK</t>
        </is>
      </c>
      <c r="E2473" t="inlineStr">
        <is>
          <t>Thương lượng</t>
        </is>
      </c>
      <c r="F2473" t="inlineStr">
        <is>
          <t>Hà Nội</t>
        </is>
      </c>
      <c r="G2473" t="inlineStr">
        <is>
          <t>Nhân viên</t>
        </is>
      </c>
      <c r="H2473" t="inlineStr">
        <is>
          <t>24/02/2026</t>
        </is>
      </c>
      <c r="I2473" t="inlineStr">
        <is>
          <t>26/03/2026</t>
        </is>
      </c>
      <c r="J2473" t="inlineStr">
        <is>
          <t>17/03/2026</t>
        </is>
      </c>
      <c r="K2473" t="inlineStr">
        <is>
          <t>N/A</t>
        </is>
      </c>
      <c r="L2473" t="inlineStr">
        <is>
          <t>Customer Experience Management, Banking System Analysis, Capital Mobilization, Client Support</t>
        </is>
      </c>
      <c r="M2473" t="inlineStr">
        <is>
          <t>Bonus, Healthcare Plan, Paid Leave, Training, Awards, Library, Team Activities</t>
        </is>
      </c>
      <c r="N2473" s="8">
        <f>HYPERLINK("https://www.vietnamworks.com/chuyen-vien-phong-dich-vu-cong-public-services-specialist-ban-khach-hang-chien-luoc-ho25-560-2013320-jv","Xem chi tiết")</f>
        <v/>
      </c>
    </row>
    <row r="2474">
      <c r="B2474" s="9" t="n">
        <v>2472</v>
      </c>
      <c r="C2474" s="10" t="inlineStr">
        <is>
          <t>Chuyên Viên Khách Hàng Lớn - Khu Vực Hà Nội (CNLT.1453)</t>
        </is>
      </c>
      <c r="D2474" s="10" t="inlineStr">
        <is>
          <t>NGÂN HÀNG TMCP QUÂN ĐỘI – MBBANK</t>
        </is>
      </c>
      <c r="E2474" s="10" t="inlineStr">
        <is>
          <t>Thương lượng</t>
        </is>
      </c>
      <c r="F2474" s="10" t="inlineStr">
        <is>
          <t>Hà Nội</t>
        </is>
      </c>
      <c r="G2474" s="10" t="inlineStr">
        <is>
          <t>Nhân viên</t>
        </is>
      </c>
      <c r="H2474" s="10" t="inlineStr">
        <is>
          <t>24/02/2026</t>
        </is>
      </c>
      <c r="I2474" s="10" t="inlineStr">
        <is>
          <t>26/03/2026</t>
        </is>
      </c>
      <c r="J2474" s="10" t="inlineStr">
        <is>
          <t>17/03/2026</t>
        </is>
      </c>
      <c r="K2474" s="10" t="inlineStr">
        <is>
          <t>N/A</t>
        </is>
      </c>
      <c r="L2474" s="10" t="inlineStr">
        <is>
          <t>Financial Analysis, Risk Management, Business Development, Negotiation, Leadership</t>
        </is>
      </c>
      <c r="M2474" s="10" t="inlineStr">
        <is>
          <t>Bonus, Healthcare Plan, Paid Leave</t>
        </is>
      </c>
      <c r="N2474" s="11">
        <f>HYPERLINK("https://www.vietnamworks.com/chuyen-vien-khach-hang-lon-khu-vuc-ha-noi-cnlt-1453--2013331-jv","Xem chi tiết")</f>
        <v/>
      </c>
      <c r="O2474" s="10" t="n"/>
    </row>
    <row r="2475">
      <c r="B2475" s="7" t="n">
        <v>2473</v>
      </c>
      <c r="C2475" t="inlineStr">
        <is>
          <t>Careline Assistant Manager</t>
        </is>
      </c>
      <c r="D2475" t="inlineStr">
        <is>
          <t>CÔNG TY TNHH DANONE VIỆT NAM</t>
        </is>
      </c>
      <c r="E2475" t="inlineStr">
        <is>
          <t>Thương lượng</t>
        </is>
      </c>
      <c r="F2475" t="inlineStr">
        <is>
          <t>Hồ Chí Minh</t>
        </is>
      </c>
      <c r="G2475" t="inlineStr">
        <is>
          <t>Nhân viên</t>
        </is>
      </c>
      <c r="H2475" t="inlineStr">
        <is>
          <t>24/02/2026</t>
        </is>
      </c>
      <c r="I2475" t="inlineStr">
        <is>
          <t>26/03/2026</t>
        </is>
      </c>
      <c r="J2475" t="inlineStr">
        <is>
          <t>17/03/2026</t>
        </is>
      </c>
      <c r="K2475" t="inlineStr">
        <is>
          <t>N/A</t>
        </is>
      </c>
      <c r="L2475" t="inlineStr">
        <is>
          <t>Call Center Management, Consumer Relations, CRM, Customer Care, Health Services</t>
        </is>
      </c>
      <c r="M2475" t="inlineStr">
        <is>
          <t>Bonus</t>
        </is>
      </c>
      <c r="N2475" s="8">
        <f>HYPERLINK("https://www.vietnamworks.com/careline-assistant-manager-2013337-jv","Xem chi tiết")</f>
        <v/>
      </c>
    </row>
    <row r="2476">
      <c r="B2476" s="9" t="n">
        <v>2474</v>
      </c>
      <c r="C2476" s="10" t="inlineStr">
        <is>
          <t>Chuyên Viên Khách Hàng Doanh Nghiệp - CN. Vĩnh Long (CNLT.1442)</t>
        </is>
      </c>
      <c r="D2476" s="10" t="inlineStr">
        <is>
          <t>NGÂN HÀNG TMCP QUÂN ĐỘI – MBBANK</t>
        </is>
      </c>
      <c r="E2476" s="10" t="inlineStr">
        <is>
          <t>Thương lượng</t>
        </is>
      </c>
      <c r="F2476" s="10" t="inlineStr">
        <is>
          <t>Vĩnh Long</t>
        </is>
      </c>
      <c r="G2476" s="10" t="inlineStr">
        <is>
          <t>Nhân viên</t>
        </is>
      </c>
      <c r="H2476" s="10" t="inlineStr">
        <is>
          <t>24/02/2026</t>
        </is>
      </c>
      <c r="I2476" s="10" t="inlineStr">
        <is>
          <t>26/03/2026</t>
        </is>
      </c>
      <c r="J2476" s="10" t="inlineStr">
        <is>
          <t>17/03/2026</t>
        </is>
      </c>
      <c r="K2476" s="10" t="inlineStr">
        <is>
          <t>N/A</t>
        </is>
      </c>
      <c r="L2476" s="10" t="inlineStr">
        <is>
          <t>Financial Analysis, Risk Management, Business Development, Negotiation, Leadership</t>
        </is>
      </c>
      <c r="M2476" s="10" t="inlineStr">
        <is>
          <t>Bonus, Healthcare Plan, Paid Leave</t>
        </is>
      </c>
      <c r="N2476" s="11">
        <f>HYPERLINK("https://www.vietnamworks.com/chuyen-vien-khach-hang-doanh-nghiep-cn-vinh-long-cnlt-1442--2013324-jv","Xem chi tiết")</f>
        <v/>
      </c>
      <c r="O2476" s="10" t="n"/>
    </row>
    <row r="2477">
      <c r="B2477" s="7" t="n">
        <v>2475</v>
      </c>
      <c r="C2477" t="inlineStr">
        <is>
          <t>Chuyên Viên Khách Hàng Cá Nhân - Khu Vực Hải Phòng (CNLT.25)</t>
        </is>
      </c>
      <c r="D2477" t="inlineStr">
        <is>
          <t>NGÂN HÀNG TMCP QUÂN ĐỘI – MBBANK</t>
        </is>
      </c>
      <c r="E2477" t="inlineStr">
        <is>
          <t>Thương lượng</t>
        </is>
      </c>
      <c r="F2477" t="inlineStr">
        <is>
          <t>Hải Phòng</t>
        </is>
      </c>
      <c r="G2477" t="inlineStr">
        <is>
          <t>Nhân viên</t>
        </is>
      </c>
      <c r="H2477" t="inlineStr">
        <is>
          <t>24/02/2026</t>
        </is>
      </c>
      <c r="I2477" t="inlineStr">
        <is>
          <t>26/03/2026</t>
        </is>
      </c>
      <c r="J2477" t="inlineStr">
        <is>
          <t>17/03/2026</t>
        </is>
      </c>
      <c r="K2477" t="inlineStr">
        <is>
          <t>N/A</t>
        </is>
      </c>
      <c r="L2477" t="inlineStr">
        <is>
          <t>Financial Analysis, Risk Management, Business Development, Negotiation Skills, Leadership</t>
        </is>
      </c>
      <c r="M2477" t="inlineStr">
        <is>
          <t>Bonus, Healthcare Plan, Paid Leave</t>
        </is>
      </c>
      <c r="N2477" s="8">
        <f>HYPERLINK("https://www.vietnamworks.com/chuyen-vien-khach-hang-ca-nhan-khu-vuc-hai-phong-cnlt-25--2013328-jv","Xem chi tiết")</f>
        <v/>
      </c>
    </row>
    <row r="2478">
      <c r="B2478" s="9" t="n">
        <v>2476</v>
      </c>
      <c r="C2478" s="10" t="inlineStr">
        <is>
          <t>Chuyên Viên Khách Hàng Doanh Nghiệp - Khu Vực Hải Phòng (CNLT.26)</t>
        </is>
      </c>
      <c r="D2478" s="10" t="inlineStr">
        <is>
          <t>NGÂN HÀNG TMCP QUÂN ĐỘI – MBBANK</t>
        </is>
      </c>
      <c r="E2478" s="10" t="inlineStr">
        <is>
          <t>Thương lượng</t>
        </is>
      </c>
      <c r="F2478" s="10" t="inlineStr">
        <is>
          <t>Hải Phòng</t>
        </is>
      </c>
      <c r="G2478" s="10" t="inlineStr">
        <is>
          <t>Nhân viên</t>
        </is>
      </c>
      <c r="H2478" s="10" t="inlineStr">
        <is>
          <t>24/02/2026</t>
        </is>
      </c>
      <c r="I2478" s="10" t="inlineStr">
        <is>
          <t>26/03/2026</t>
        </is>
      </c>
      <c r="J2478" s="10" t="inlineStr">
        <is>
          <t>17/03/2026</t>
        </is>
      </c>
      <c r="K2478" s="10" t="inlineStr">
        <is>
          <t>N/A</t>
        </is>
      </c>
      <c r="L2478" s="10" t="inlineStr">
        <is>
          <t>Business Development, Financial Analysis, Risk Management, Negotiation, Leadership</t>
        </is>
      </c>
      <c r="M2478" s="10" t="inlineStr">
        <is>
          <t>Bonus, Healthcare Plan, Paid Leave</t>
        </is>
      </c>
      <c r="N2478" s="11">
        <f>HYPERLINK("https://www.vietnamworks.com/chuyen-vien-khach-hang-doanh-nghiep-khu-vuc-hai-phong-cnlt-26--2013330-jv","Xem chi tiết")</f>
        <v/>
      </c>
      <c r="O2478" s="10" t="n"/>
    </row>
    <row r="2479">
      <c r="B2479" s="7" t="n">
        <v>2477</v>
      </c>
      <c r="C2479" t="inlineStr">
        <is>
          <t>Chuyên Viên Khách Hàng Cá Nhân - Khu Vực Ba Đình, Đống Đa (CNLT.1454)</t>
        </is>
      </c>
      <c r="D2479" t="inlineStr">
        <is>
          <t>NGÂN HÀNG TMCP QUÂN ĐỘI – MBBANK</t>
        </is>
      </c>
      <c r="E2479" t="inlineStr">
        <is>
          <t>900-3,500 ₫/tháng</t>
        </is>
      </c>
      <c r="F2479" t="inlineStr">
        <is>
          <t>Hà Nội</t>
        </is>
      </c>
      <c r="G2479" t="inlineStr">
        <is>
          <t>Nhân viên</t>
        </is>
      </c>
      <c r="H2479" t="inlineStr">
        <is>
          <t>24/02/2026</t>
        </is>
      </c>
      <c r="I2479" t="inlineStr">
        <is>
          <t>26/03/2026</t>
        </is>
      </c>
      <c r="J2479" t="inlineStr">
        <is>
          <t>17/03/2026</t>
        </is>
      </c>
      <c r="K2479" t="inlineStr">
        <is>
          <t>N/A</t>
        </is>
      </c>
      <c r="L2479" t="inlineStr">
        <is>
          <t>Financial Analysis, Risk Management, Business Development, Negotiation, Leadership</t>
        </is>
      </c>
      <c r="M2479" t="inlineStr">
        <is>
          <t>Bonus, Healthcare Plan, Paid Leave</t>
        </is>
      </c>
      <c r="N2479" s="8">
        <f>HYPERLINK("https://www.vietnamworks.com/chuyen-vien-khach-hang-ca-nhan-khu-vuc-ba-dinh-dong-da-cnlt-1454--2013332-jv","Xem chi tiết")</f>
        <v/>
      </c>
    </row>
    <row r="2480">
      <c r="B2480" s="9" t="n">
        <v>2478</v>
      </c>
      <c r="C2480" s="10" t="inlineStr">
        <is>
          <t>Chuyên Viên Khách Hàng Cá Nhân - Khu Vực Long Biên, Gia Lâm ( CNLT.1465 )</t>
        </is>
      </c>
      <c r="D2480" s="10" t="inlineStr">
        <is>
          <t>NGÂN HÀNG TMCP QUÂN ĐỘI – MBBANK</t>
        </is>
      </c>
      <c r="E2480" s="10" t="inlineStr">
        <is>
          <t>9tr-35tr ₫/tháng</t>
        </is>
      </c>
      <c r="F2480" s="10" t="inlineStr">
        <is>
          <t>Hà Nội</t>
        </is>
      </c>
      <c r="G2480" s="10" t="inlineStr">
        <is>
          <t>Nhân viên</t>
        </is>
      </c>
      <c r="H2480" s="10" t="inlineStr">
        <is>
          <t>24/02/2026</t>
        </is>
      </c>
      <c r="I2480" s="10" t="inlineStr">
        <is>
          <t>26/03/2026</t>
        </is>
      </c>
      <c r="J2480" s="10" t="inlineStr">
        <is>
          <t>17/03/2026</t>
        </is>
      </c>
      <c r="K2480" s="10" t="inlineStr">
        <is>
          <t>N/A</t>
        </is>
      </c>
      <c r="L2480" s="10" t="inlineStr">
        <is>
          <t>Business Development, Financial Analysis, Leadership, Negotiation, Risk Management</t>
        </is>
      </c>
      <c r="M2480" s="10" t="inlineStr">
        <is>
          <t>Bonus, Healthcare Plan, Paid Leave, Training, Awards, Team Activities, Others</t>
        </is>
      </c>
      <c r="N2480" s="11">
        <f>HYPERLINK("https://www.vietnamworks.com/chuyen-vien-khach-hang-ca-nhan-khu-vuc-long-bien-gia-lam-cnlt-1465-2013329-jv","Xem chi tiết")</f>
        <v/>
      </c>
      <c r="O2480" s="10" t="n"/>
    </row>
    <row r="2481">
      <c r="B2481" s="7" t="n">
        <v>2479</v>
      </c>
      <c r="C2481" t="inlineStr">
        <is>
          <t>Nhân Viên Admin</t>
        </is>
      </c>
      <c r="D2481" t="inlineStr">
        <is>
          <t>Korchina Logistics (Viet Nam) Co., Ltd</t>
        </is>
      </c>
      <c r="E2481" t="inlineStr">
        <is>
          <t>13tr-15tr ₫/tháng</t>
        </is>
      </c>
      <c r="F2481" t="inlineStr">
        <is>
          <t>Hồ Chí Minh</t>
        </is>
      </c>
      <c r="G2481" t="inlineStr">
        <is>
          <t>Nhân viên</t>
        </is>
      </c>
      <c r="H2481" t="inlineStr">
        <is>
          <t>24/02/2026</t>
        </is>
      </c>
      <c r="I2481" t="inlineStr">
        <is>
          <t>26/03/2026</t>
        </is>
      </c>
      <c r="J2481" t="inlineStr">
        <is>
          <t>17/03/2026</t>
        </is>
      </c>
      <c r="K2481" t="inlineStr">
        <is>
          <t>N/A</t>
        </is>
      </c>
      <c r="L2481" t="inlineStr">
        <is>
          <t>Bảo Hiểm Xã Hội, Hành Chính Nhân Sự, Soạn Thảo Hợp Đồng, Tính Lương, Tuyển Dụng</t>
        </is>
      </c>
      <c r="M2481" t="inlineStr">
        <is>
          <t>Bonus, Healthcare Plan, Team Activities</t>
        </is>
      </c>
      <c r="N2481" s="8">
        <f>HYPERLINK("https://www.vietnamworks.com/nhan-vien-admin-2013341-jv","Xem chi tiết")</f>
        <v/>
      </c>
    </row>
    <row r="2482">
      <c r="B2482" s="9" t="n">
        <v>2480</v>
      </c>
      <c r="C2482" s="10" t="inlineStr">
        <is>
          <t>Nhân Viên Lễ Tân/ Admin</t>
        </is>
      </c>
      <c r="D2482" s="10" t="inlineStr">
        <is>
          <t>CÔNG TY TNHH THƯƠNG MẠI VÀ ĐẦU TƯ FFL</t>
        </is>
      </c>
      <c r="E2482" s="10" t="inlineStr">
        <is>
          <t>Thương lượng</t>
        </is>
      </c>
      <c r="F2482" s="10" t="inlineStr">
        <is>
          <t>Hồ Chí Minh</t>
        </is>
      </c>
      <c r="G2482" s="10" t="inlineStr">
        <is>
          <t>Mới Tốt Nghiệp</t>
        </is>
      </c>
      <c r="H2482" s="10" t="inlineStr">
        <is>
          <t>24/02/2026</t>
        </is>
      </c>
      <c r="I2482" s="10" t="inlineStr">
        <is>
          <t>26/03/2026</t>
        </is>
      </c>
      <c r="J2482" s="10" t="inlineStr">
        <is>
          <t>17/03/2026</t>
        </is>
      </c>
      <c r="K2482" s="10" t="inlineStr">
        <is>
          <t>N/A</t>
        </is>
      </c>
      <c r="L2482" s="10" t="inlineStr">
        <is>
          <t>Giao Tiếp, Quản Lý Booking, Tin Học Văn Phòng, Làm Việc Nhóm, Xử Lý Tình Huống</t>
        </is>
      </c>
      <c r="M2482" s="10" t="inlineStr">
        <is>
          <t>Bonus, Healthcare Plan, Paid Leave, Awards, Others</t>
        </is>
      </c>
      <c r="N2482" s="11">
        <f>HYPERLINK("https://www.vietnamworks.com/nhan-vien-le-tan-admin-2013350-jv","Xem chi tiết")</f>
        <v/>
      </c>
      <c r="O2482" s="10" t="n"/>
    </row>
    <row r="2483">
      <c r="B2483" s="7" t="n">
        <v>2481</v>
      </c>
      <c r="C2483" t="inlineStr">
        <is>
          <t>Chuyên Viên Thẩm Định Khách Hàng Lớn (Mảng Phân Tích Ngành) - Corporate Customer Appraisal Specialist (Industry Analysis) - Khối Thẩm Định (HO25.562)</t>
        </is>
      </c>
      <c r="D2483" t="inlineStr">
        <is>
          <t>NGÂN HÀNG TMCP QUÂN ĐỘI – MBBANK</t>
        </is>
      </c>
      <c r="E2483" t="inlineStr">
        <is>
          <t>Thương lượng</t>
        </is>
      </c>
      <c r="F2483" t="inlineStr">
        <is>
          <t>Hà Nội, Hồ Chí Minh</t>
        </is>
      </c>
      <c r="G2483" t="inlineStr">
        <is>
          <t>Giám Đốc và Cấp Cao Hơn</t>
        </is>
      </c>
      <c r="H2483" t="inlineStr">
        <is>
          <t>24/02/2026</t>
        </is>
      </c>
      <c r="I2483" t="inlineStr">
        <is>
          <t>26/03/2026</t>
        </is>
      </c>
      <c r="J2483" t="inlineStr">
        <is>
          <t>17/03/2026</t>
        </is>
      </c>
      <c r="K2483" t="inlineStr">
        <is>
          <t>N/A</t>
        </is>
      </c>
      <c r="L2483" t="inlineStr">
        <is>
          <t>Credit Analysis, Credit Risk, Credit Risk Assessment, Credit Underwriting, Finance Analyst</t>
        </is>
      </c>
      <c r="M2483" t="inlineStr">
        <is>
          <t>Bonus, Healthcare Plan, Paid Leave, Training, Awards, Library, Team Activities</t>
        </is>
      </c>
      <c r="N2483" s="8">
        <f>HYPERLINK("https://www.vietnamworks.com/chuyen-vien-tham-djinh-khach-hang-lon-mang-phan-tich-nganh-corporate-customer-appraisal-specialist-industry-analysis-khoi-tham-djinh-ho25-562-2013327-jv","Xem chi tiết")</f>
        <v/>
      </c>
    </row>
    <row r="2484">
      <c r="B2484" s="9" t="n">
        <v>2482</v>
      </c>
      <c r="C2484" s="10" t="inlineStr">
        <is>
          <t>Chuyên Viên Khách Hàng Doanh Nghiệp - Khu Vực Hoàn Kiếm, Hai Bà Trưng (CNLT.1456)</t>
        </is>
      </c>
      <c r="D2484" s="10" t="inlineStr">
        <is>
          <t>NGÂN HÀNG TMCP QUÂN ĐỘI – MBBANK</t>
        </is>
      </c>
      <c r="E2484" s="10" t="inlineStr">
        <is>
          <t>Thương lượng</t>
        </is>
      </c>
      <c r="F2484" s="10" t="inlineStr">
        <is>
          <t>Hà Nội</t>
        </is>
      </c>
      <c r="G2484" s="10" t="inlineStr">
        <is>
          <t>Nhân viên</t>
        </is>
      </c>
      <c r="H2484" s="10" t="inlineStr">
        <is>
          <t>24/02/2026</t>
        </is>
      </c>
      <c r="I2484" s="10" t="inlineStr">
        <is>
          <t>26/03/2026</t>
        </is>
      </c>
      <c r="J2484" s="10" t="inlineStr">
        <is>
          <t>17/03/2026</t>
        </is>
      </c>
      <c r="K2484" s="10" t="inlineStr">
        <is>
          <t>N/A</t>
        </is>
      </c>
      <c r="L2484" s="10" t="inlineStr">
        <is>
          <t>Financial Analysis, Risk Management, Business Development, Negotiation, Leadership</t>
        </is>
      </c>
      <c r="M2484" s="10" t="inlineStr">
        <is>
          <t>Bonus, Healthcare Plan, Paid Leave</t>
        </is>
      </c>
      <c r="N2484" s="11">
        <f>HYPERLINK("https://www.vietnamworks.com/chuyen-vien-khach-hang-doanh-nghiep-khu-vuc-hoan-kiem-hai-ba-trung-cnlt-1456--2013334-jv","Xem chi tiết")</f>
        <v/>
      </c>
      <c r="O2484" s="10" t="n"/>
    </row>
    <row r="2485">
      <c r="B2485" s="7" t="n">
        <v>2483</v>
      </c>
      <c r="C2485" t="inlineStr">
        <is>
          <t>Franchise Operation Team Leader</t>
        </is>
      </c>
      <c r="D2485" t="inlineStr">
        <is>
          <t>Công Ty TNHH Lock&amp;Lock HCM</t>
        </is>
      </c>
      <c r="E2485" t="inlineStr">
        <is>
          <t>Thương lượng</t>
        </is>
      </c>
      <c r="F2485" t="inlineStr">
        <is>
          <t>Hồ Chí Minh</t>
        </is>
      </c>
      <c r="G2485" t="inlineStr">
        <is>
          <t>Trưởng phòng</t>
        </is>
      </c>
      <c r="H2485" t="inlineStr">
        <is>
          <t>24/02/2026</t>
        </is>
      </c>
      <c r="I2485" t="inlineStr">
        <is>
          <t>26/03/2026</t>
        </is>
      </c>
      <c r="J2485" t="inlineStr">
        <is>
          <t>17/03/2026</t>
        </is>
      </c>
      <c r="K2485" t="inlineStr">
        <is>
          <t>N/A</t>
        </is>
      </c>
      <c r="L2485" t="inlineStr">
        <is>
          <t>Market Research, B2B Sales, English, Relationship Management, Customer Planning</t>
        </is>
      </c>
      <c r="M2485" t="inlineStr">
        <is>
          <t>Bonus, Healthcare Plan, Training, Team Activities, Vouchers, Others</t>
        </is>
      </c>
      <c r="N2485" s="8">
        <f>HYPERLINK("https://www.vietnamworks.com/franchise-operation-team-leader-2013342-jv","Xem chi tiết")</f>
        <v/>
      </c>
    </row>
    <row r="2486">
      <c r="B2486" s="9" t="n">
        <v>2484</v>
      </c>
      <c r="C2486" s="10" t="inlineStr">
        <is>
          <t>Giám Đốc Phát Triển Kinh Doanh - Business Development Director - Ban Khách Hàng Chiến Lược (HO25.561)</t>
        </is>
      </c>
      <c r="D2486" s="10" t="inlineStr">
        <is>
          <t>NGÂN HÀNG TMCP QUÂN ĐỘI – MBBANK</t>
        </is>
      </c>
      <c r="E2486" s="10" t="inlineStr">
        <is>
          <t>Thương lượng</t>
        </is>
      </c>
      <c r="F2486" s="10" t="inlineStr">
        <is>
          <t>Hà Nội</t>
        </is>
      </c>
      <c r="G2486" s="10" t="inlineStr">
        <is>
          <t>Giám Đốc và Cấp Cao Hơn</t>
        </is>
      </c>
      <c r="H2486" s="10" t="inlineStr">
        <is>
          <t>24/02/2026</t>
        </is>
      </c>
      <c r="I2486" s="10" t="inlineStr">
        <is>
          <t>26/03/2026</t>
        </is>
      </c>
      <c r="J2486" s="10" t="inlineStr">
        <is>
          <t>17/03/2026</t>
        </is>
      </c>
      <c r="K2486" s="10" t="inlineStr">
        <is>
          <t>N/A</t>
        </is>
      </c>
      <c r="L2486" s="10" t="inlineStr">
        <is>
          <t>Customer Experience Management, Banking System Analysis, Capital Mobilization, Client Support</t>
        </is>
      </c>
      <c r="M2486" s="10" t="inlineStr">
        <is>
          <t>Bonus, Healthcare Plan, Paid Leave, Training, Awards, Library, Team Activities</t>
        </is>
      </c>
      <c r="N2486" s="11">
        <f>HYPERLINK("https://www.vietnamworks.com/giam-djoc-phat-trien-kinh-doanh-business-development-director-ban-khach-hang-chien-luoc-ho25-561-2013323-jv","Xem chi tiết")</f>
        <v/>
      </c>
      <c r="O2486" s="10" t="n"/>
    </row>
    <row r="2487">
      <c r="B2487" s="7" t="n">
        <v>2485</v>
      </c>
      <c r="C2487" t="inlineStr">
        <is>
          <t>Kế Toán Trưởng (Logistics Xuất Nhập Khẩu)</t>
        </is>
      </c>
      <c r="D2487" t="inlineStr">
        <is>
          <t>CÔNG TY TNHH DV VẬN TẢI TOÀN CẦU</t>
        </is>
      </c>
      <c r="E2487" t="inlineStr">
        <is>
          <t>Thương lượng</t>
        </is>
      </c>
      <c r="F2487" t="inlineStr">
        <is>
          <t>Hải Phòng</t>
        </is>
      </c>
      <c r="G2487" t="inlineStr">
        <is>
          <t>Trưởng phòng</t>
        </is>
      </c>
      <c r="H2487" t="inlineStr">
        <is>
          <t>24/02/2026</t>
        </is>
      </c>
      <c r="I2487" t="inlineStr">
        <is>
          <t>26/03/2026</t>
        </is>
      </c>
      <c r="J2487" t="inlineStr">
        <is>
          <t>17/03/2026</t>
        </is>
      </c>
      <c r="K2487" t="inlineStr">
        <is>
          <t>N/A</t>
        </is>
      </c>
      <c r="L2487" t="inlineStr">
        <is>
          <t>Kế Toán, Phân Tích Tài Chính, Lập Báo Cáo Tài Chính, Kế Toán Trưởng, Kế toán logistics</t>
        </is>
      </c>
      <c r="M2487" t="inlineStr">
        <is>
          <t>Bonus, Healthcare Plan, Training, Travel Opportunities, Others</t>
        </is>
      </c>
      <c r="N2487" s="8">
        <f>HYPERLINK("https://www.vietnamworks.com/ke-toan-truong-logistics-xuat-nhap-khau-2013340-jv","Xem chi tiết")</f>
        <v/>
      </c>
    </row>
    <row r="2488">
      <c r="B2488" s="9" t="n">
        <v>2486</v>
      </c>
      <c r="C2488" s="10" t="inlineStr">
        <is>
          <t>Chuyên Viên Khách Hàng Cá Nhân - CN. Nam Định (CNLT.343)</t>
        </is>
      </c>
      <c r="D2488" s="10" t="inlineStr">
        <is>
          <t>NGÂN HÀNG TMCP QUÂN ĐỘI – MBBANK</t>
        </is>
      </c>
      <c r="E2488" s="10" t="inlineStr">
        <is>
          <t>9tr-35tr ₫/tháng</t>
        </is>
      </c>
      <c r="F2488" s="10" t="inlineStr">
        <is>
          <t>Ninh Bình</t>
        </is>
      </c>
      <c r="G2488" s="10" t="inlineStr">
        <is>
          <t>Nhân viên</t>
        </is>
      </c>
      <c r="H2488" s="10" t="inlineStr">
        <is>
          <t>24/02/2026</t>
        </is>
      </c>
      <c r="I2488" s="10" t="inlineStr">
        <is>
          <t>26/03/2026</t>
        </is>
      </c>
      <c r="J2488" s="10" t="inlineStr">
        <is>
          <t>17/03/2026</t>
        </is>
      </c>
      <c r="K2488" s="10" t="inlineStr">
        <is>
          <t>N/A</t>
        </is>
      </c>
      <c r="L2488" s="10" t="inlineStr">
        <is>
          <t>Business Development, Financial Analysis, Leadership, Negotiation, Risk Management</t>
        </is>
      </c>
      <c r="M2488" s="10" t="inlineStr">
        <is>
          <t>Bonus, Healthcare Plan, Paid Leave, Training, Awards, Team Activities, Others</t>
        </is>
      </c>
      <c r="N2488" s="11">
        <f>HYPERLINK("https://www.vietnamworks.com/chuyen-vien-khach-hang-ca-nhan-cn-nam-djinh-cnlt-343-2013325-jv","Xem chi tiết")</f>
        <v/>
      </c>
      <c r="O2488" s="10" t="n"/>
    </row>
    <row r="2489">
      <c r="B2489" s="7" t="n">
        <v>2487</v>
      </c>
      <c r="C2489" t="inlineStr">
        <is>
          <t>Kỹ Sư Thiết Kế Công Nghệ Môi Trường</t>
        </is>
      </c>
      <c r="D2489" t="inlineStr">
        <is>
          <t>Công Ty TNHH Ecoba Công Nghệ Môi Trường</t>
        </is>
      </c>
      <c r="E2489" t="inlineStr">
        <is>
          <t>$$ 700-1,000 /tháng</t>
        </is>
      </c>
      <c r="F2489" t="inlineStr">
        <is>
          <t>Hà Nội</t>
        </is>
      </c>
      <c r="G2489" t="inlineStr">
        <is>
          <t>Nhân viên</t>
        </is>
      </c>
      <c r="H2489" t="inlineStr">
        <is>
          <t>24/02/2026</t>
        </is>
      </c>
      <c r="I2489" t="inlineStr">
        <is>
          <t>26/03/2026</t>
        </is>
      </c>
      <c r="J2489" t="inlineStr">
        <is>
          <t>17/03/2026</t>
        </is>
      </c>
      <c r="K2489" t="inlineStr">
        <is>
          <t>N/A</t>
        </is>
      </c>
      <c r="L2489" t="inlineStr">
        <is>
          <t>AutoCAD, Revit, Xử Lý Nước, Môi Trường, Xử Lý Nước Thải</t>
        </is>
      </c>
      <c r="M2489" t="inlineStr">
        <is>
          <t>Bonus, Training, Travel Opportunities</t>
        </is>
      </c>
      <c r="N2489" s="8">
        <f>HYPERLINK("https://www.vietnamworks.com/ky-su-thiet-ke-cong-nghe-moi-truong--2013351-jv","Xem chi tiết")</f>
        <v/>
      </c>
    </row>
    <row r="2490">
      <c r="B2490" s="9" t="n">
        <v>2488</v>
      </c>
      <c r="C2490" s="10" t="inlineStr">
        <is>
          <t>Tuyển Dụng Nhân Viên Tự Động Hóa</t>
        </is>
      </c>
      <c r="D2490" s="10" t="inlineStr">
        <is>
          <t>Japfa Comfeed Vietnam Ltd</t>
        </is>
      </c>
      <c r="E2490" s="10" t="inlineStr">
        <is>
          <t>Thương lượng</t>
        </is>
      </c>
      <c r="F2490" s="10" t="inlineStr">
        <is>
          <t>Vĩnh Phúc</t>
        </is>
      </c>
      <c r="G2490" s="10" t="inlineStr">
        <is>
          <t>Mới Tốt Nghiệp</t>
        </is>
      </c>
      <c r="H2490" s="10" t="inlineStr">
        <is>
          <t>24/02/2026</t>
        </is>
      </c>
      <c r="I2490" s="10" t="inlineStr">
        <is>
          <t>26/03/2026</t>
        </is>
      </c>
      <c r="J2490" s="10" t="inlineStr">
        <is>
          <t>17/03/2026</t>
        </is>
      </c>
      <c r="K2490" s="10" t="inlineStr">
        <is>
          <t>N/A</t>
        </is>
      </c>
      <c r="L2490" s="10" t="inlineStr">
        <is>
          <t>Kỹ Thuật Trang Trại, Lập Trình, Tự Động Hóa, Điện Công Nghiệp, Điện Ô Tô</t>
        </is>
      </c>
      <c r="M2490" s="10" t="inlineStr">
        <is>
          <t>Bonus, Healthcare Plan</t>
        </is>
      </c>
      <c r="N2490" s="11">
        <f>HYPERLINK("https://www.vietnamworks.com/tuyen-dung-nhan-vien-tu-dong-hoa-2013346-jv","Xem chi tiết")</f>
        <v/>
      </c>
      <c r="O2490" s="10" t="n"/>
    </row>
    <row r="2491">
      <c r="B2491" s="7" t="n">
        <v>2489</v>
      </c>
      <c r="C2491" t="inlineStr">
        <is>
          <t>Chuyên Viên Khách Hàng Doanh Nghiệp - CN. Đà Nẵng ( CNLT.788 )</t>
        </is>
      </c>
      <c r="D2491" t="inlineStr">
        <is>
          <t>NGÂN HÀNG TMCP QUÂN ĐỘI – MBBANK</t>
        </is>
      </c>
      <c r="E2491" t="inlineStr">
        <is>
          <t>10tr-35tr ₫/tháng</t>
        </is>
      </c>
      <c r="F2491" t="inlineStr">
        <is>
          <t>Đà Nẵng</t>
        </is>
      </c>
      <c r="G2491" t="inlineStr">
        <is>
          <t>Nhân viên</t>
        </is>
      </c>
      <c r="H2491" t="inlineStr">
        <is>
          <t>24/02/2026</t>
        </is>
      </c>
      <c r="I2491" t="inlineStr">
        <is>
          <t>26/03/2026</t>
        </is>
      </c>
      <c r="J2491" t="inlineStr">
        <is>
          <t>17/03/2026</t>
        </is>
      </c>
      <c r="K2491" t="inlineStr">
        <is>
          <t>N/A</t>
        </is>
      </c>
      <c r="L2491" t="inlineStr">
        <is>
          <t>Business Development, Financial Analysis, Leadership, Negotiation, Risk Management</t>
        </is>
      </c>
      <c r="M2491" t="inlineStr">
        <is>
          <t>Bonus, Healthcare Plan, Paid Leave, Training, Awards, Team Activities, Others</t>
        </is>
      </c>
      <c r="N2491" s="8">
        <f>HYPERLINK("https://www.vietnamworks.com/chuyen-vien-khach-hang-doanh-nghiep-cn-dja-nang-cnlt-788-2013326-jv","Xem chi tiết")</f>
        <v/>
      </c>
    </row>
    <row r="2492">
      <c r="B2492" s="9" t="n">
        <v>2490</v>
      </c>
      <c r="C2492" s="10" t="inlineStr">
        <is>
          <t>Import Leader – Trưởng Phòng Hàng Nhập</t>
        </is>
      </c>
      <c r="D2492" s="10" t="inlineStr">
        <is>
          <t>Công Ty TNHH Một Thành Viên T.C.Logistics Việt Nam</t>
        </is>
      </c>
      <c r="E2492" s="10" t="inlineStr">
        <is>
          <t>Thương lượng</t>
        </is>
      </c>
      <c r="F2492" s="10" t="inlineStr">
        <is>
          <t>Hồ Chí Minh</t>
        </is>
      </c>
      <c r="G2492" s="10" t="inlineStr">
        <is>
          <t>Trưởng phòng</t>
        </is>
      </c>
      <c r="H2492" s="10" t="inlineStr">
        <is>
          <t>24/02/2026</t>
        </is>
      </c>
      <c r="I2492" s="10" t="inlineStr">
        <is>
          <t>26/03/2026</t>
        </is>
      </c>
      <c r="J2492" s="10" t="inlineStr">
        <is>
          <t>17/03/2026</t>
        </is>
      </c>
      <c r="K2492" s="10" t="inlineStr">
        <is>
          <t>N/A</t>
        </is>
      </c>
      <c r="L2492" s="10" t="inlineStr">
        <is>
          <t>Freight Forwarder, Import-Export, Foreign Trade, Sales Logistics, Import Management</t>
        </is>
      </c>
      <c r="M2492" s="10" t="inlineStr">
        <is>
          <t>Bonus, Healthcare Plan, Team Activities, Others</t>
        </is>
      </c>
      <c r="N2492" s="11">
        <f>HYPERLINK("https://www.vietnamworks.com/import-leader-truong-phong-hang-nhap-2013347-jv","Xem chi tiết")</f>
        <v/>
      </c>
      <c r="O2492" s="10" t="n"/>
    </row>
    <row r="2493">
      <c r="B2493" s="7" t="n">
        <v>2491</v>
      </c>
      <c r="C2493" t="inlineStr">
        <is>
          <t>Chuyên Viên Khách Hàng Doanh Nghiệp - Khu Vực Ba Đình, Đống Đa (CNLT.1455)</t>
        </is>
      </c>
      <c r="D2493" t="inlineStr">
        <is>
          <t>NGÂN HÀNG TMCP QUÂN ĐỘI – MBBANK</t>
        </is>
      </c>
      <c r="E2493" t="inlineStr">
        <is>
          <t>Thương lượng</t>
        </is>
      </c>
      <c r="F2493" t="inlineStr">
        <is>
          <t>Hà Nội</t>
        </is>
      </c>
      <c r="G2493" t="inlineStr">
        <is>
          <t>Nhân viên</t>
        </is>
      </c>
      <c r="H2493" t="inlineStr">
        <is>
          <t>24/02/2026</t>
        </is>
      </c>
      <c r="I2493" t="inlineStr">
        <is>
          <t>26/03/2026</t>
        </is>
      </c>
      <c r="J2493" t="inlineStr">
        <is>
          <t>17/03/2026</t>
        </is>
      </c>
      <c r="K2493" t="inlineStr">
        <is>
          <t>N/A</t>
        </is>
      </c>
      <c r="L2493" t="inlineStr">
        <is>
          <t>Financial Analysis, Risk Management, Business Development, Negotiation, Leadership</t>
        </is>
      </c>
      <c r="M2493" t="inlineStr">
        <is>
          <t>Bonus, Healthcare Plan, Paid Leave</t>
        </is>
      </c>
      <c r="N2493" s="8">
        <f>HYPERLINK("https://www.vietnamworks.com/chuyen-vien-khach-hang-doanh-nghiep-khu-vuc-ba-dinh-dong-da-cnlt-1455--2013333-jv","Xem chi tiết")</f>
        <v/>
      </c>
    </row>
    <row r="2494">
      <c r="B2494" s="9" t="n">
        <v>2492</v>
      </c>
      <c r="C2494" s="10" t="inlineStr">
        <is>
          <t>General Accountant</t>
        </is>
      </c>
      <c r="D2494" s="10" t="inlineStr">
        <is>
          <t>Prym Intimates VIetnam</t>
        </is>
      </c>
      <c r="E2494" s="10" t="inlineStr">
        <is>
          <t>Thương lượng</t>
        </is>
      </c>
      <c r="F2494" s="10" t="inlineStr">
        <is>
          <t>Hưng Yên</t>
        </is>
      </c>
      <c r="G2494" s="10" t="inlineStr">
        <is>
          <t>Nhân viên</t>
        </is>
      </c>
      <c r="H2494" s="10" t="inlineStr">
        <is>
          <t>24/02/2026</t>
        </is>
      </c>
      <c r="I2494" s="10" t="inlineStr">
        <is>
          <t>26/03/2026</t>
        </is>
      </c>
      <c r="J2494" s="10" t="inlineStr">
        <is>
          <t>17/03/2026</t>
        </is>
      </c>
      <c r="K2494" s="10" t="inlineStr">
        <is>
          <t>N/A</t>
        </is>
      </c>
      <c r="L2494" s="10" t="inlineStr">
        <is>
          <t>Excel, Finance Accounting, Tax Reporting, VAS, Vietnam Tax Law</t>
        </is>
      </c>
      <c r="M2494" s="10" t="inlineStr">
        <is>
          <t>Bonus, Healthcare Plan, Training, Transportation, Canteen</t>
        </is>
      </c>
      <c r="N2494" s="11">
        <f>HYPERLINK("https://www.vietnamworks.com/general-accountant-2013378-jv","Xem chi tiết")</f>
        <v/>
      </c>
      <c r="O2494" s="10" t="n"/>
    </row>
    <row r="2495">
      <c r="B2495" s="7" t="n">
        <v>2493</v>
      </c>
      <c r="C2495" t="inlineStr">
        <is>
          <t>Nhân Viên Kế Toán (Nghỉ Thứ 7- Chủ Nhật)</t>
        </is>
      </c>
      <c r="D2495" t="inlineStr">
        <is>
          <t>CÔNG TY TNHH LUBE VIỆT NAM SERVICES</t>
        </is>
      </c>
      <c r="E2495" t="inlineStr">
        <is>
          <t>Tới 10tr ₫/tháng</t>
        </is>
      </c>
      <c r="F2495" t="inlineStr">
        <is>
          <t>Hà Nội</t>
        </is>
      </c>
      <c r="G2495" t="inlineStr">
        <is>
          <t>Nhân viên</t>
        </is>
      </c>
      <c r="H2495" t="inlineStr">
        <is>
          <t>24/02/2026</t>
        </is>
      </c>
      <c r="I2495" t="inlineStr">
        <is>
          <t>26/03/2026</t>
        </is>
      </c>
      <c r="J2495" t="inlineStr">
        <is>
          <t>17/03/2026</t>
        </is>
      </c>
      <c r="K2495" t="inlineStr">
        <is>
          <t>N/A</t>
        </is>
      </c>
      <c r="L2495" t="inlineStr">
        <is>
          <t>Kế Toán Tổng Hợp, Kế Toán Nội Bộ, Quản Lý Công Nợ, Kế Toán Kho, Misa</t>
        </is>
      </c>
      <c r="M2495" t="inlineStr">
        <is>
          <t>Bonus, Training, Vouchers</t>
        </is>
      </c>
      <c r="N2495" s="8">
        <f>HYPERLINK("https://www.vietnamworks.com/nhan-vien-ke-toan-nghi-thu-7-chu-nhat-2013359-jv","Xem chi tiết")</f>
        <v/>
      </c>
    </row>
    <row r="2496">
      <c r="B2496" s="9" t="n">
        <v>2494</v>
      </c>
      <c r="C2496" s="10" t="inlineStr">
        <is>
          <t>Legal Specialist - Nhân Viên Pháp Chế</t>
        </is>
      </c>
      <c r="D2496" s="10" t="inlineStr">
        <is>
          <t>LG Electronics Vietnam Hai Phong - Sales &amp; Marketing Company</t>
        </is>
      </c>
      <c r="E2496" s="10" t="inlineStr">
        <is>
          <t>Thương lượng</t>
        </is>
      </c>
      <c r="F2496" s="10" t="inlineStr">
        <is>
          <t>Hà Nội</t>
        </is>
      </c>
      <c r="G2496" s="10" t="inlineStr">
        <is>
          <t>Nhân viên</t>
        </is>
      </c>
      <c r="H2496" s="10" t="inlineStr">
        <is>
          <t>24/02/2026</t>
        </is>
      </c>
      <c r="I2496" s="10" t="inlineStr">
        <is>
          <t>26/03/2026</t>
        </is>
      </c>
      <c r="J2496" s="10" t="inlineStr">
        <is>
          <t>17/03/2026</t>
        </is>
      </c>
      <c r="K2496" s="10" t="inlineStr">
        <is>
          <t>N/A</t>
        </is>
      </c>
      <c r="L2496" s="10" t="inlineStr">
        <is>
          <t>Legal Consulting, Legal Management</t>
        </is>
      </c>
      <c r="M2496" s="10" t="inlineStr">
        <is>
          <t>Bonus, Healthcare Plan, Canteen</t>
        </is>
      </c>
      <c r="N2496" s="11">
        <f>HYPERLINK("https://www.vietnamworks.com/legal-specialist-nhan-vien-phap-che-2013361-jv","Xem chi tiết")</f>
        <v/>
      </c>
      <c r="O2496" s="10" t="n"/>
    </row>
    <row r="2497">
      <c r="B2497" s="7" t="n">
        <v>2495</v>
      </c>
      <c r="C2497" t="inlineStr">
        <is>
          <t>Nghiên Cứu Viên</t>
        </is>
      </c>
      <c r="D2497" t="inlineStr">
        <is>
          <t>Trường Đại Học Kinh Tế - Tài Chính TPHCM</t>
        </is>
      </c>
      <c r="E2497" t="inlineStr">
        <is>
          <t>Thương lượng</t>
        </is>
      </c>
      <c r="F2497" t="inlineStr">
        <is>
          <t>Hồ Chí Minh</t>
        </is>
      </c>
      <c r="G2497" t="inlineStr">
        <is>
          <t>Nhân viên</t>
        </is>
      </c>
      <c r="H2497" t="inlineStr">
        <is>
          <t>24/02/2026</t>
        </is>
      </c>
      <c r="I2497" t="inlineStr">
        <is>
          <t>26/03/2026</t>
        </is>
      </c>
      <c r="J2497" t="inlineStr">
        <is>
          <t>17/03/2026</t>
        </is>
      </c>
      <c r="K2497" t="inlineStr">
        <is>
          <t>N/A</t>
        </is>
      </c>
      <c r="L2497" t="inlineStr">
        <is>
          <t>Nghiên Cứu Khoa Học, Phân Tích Dữ Liệu, Quản Lý Dự Án, Tiếng Anh, Viết Công Bố Khoa Học</t>
        </is>
      </c>
      <c r="M2497" t="inlineStr">
        <is>
          <t>Others</t>
        </is>
      </c>
      <c r="N2497" s="8">
        <f>HYPERLINK("https://www.vietnamworks.com/nghien-cuu-vien-2013373-jv","Xem chi tiết")</f>
        <v/>
      </c>
    </row>
    <row r="2498">
      <c r="B2498" s="9" t="n">
        <v>2496</v>
      </c>
      <c r="C2498" s="10" t="inlineStr">
        <is>
          <t>Quản Lý Quan Hệ Khách Hàng VIP</t>
        </is>
      </c>
      <c r="D2498" s="10" t="inlineStr">
        <is>
          <t>CÔNG TY TNHH 24HMONEY</t>
        </is>
      </c>
      <c r="E2498" s="10" t="inlineStr">
        <is>
          <t>Thương lượng</t>
        </is>
      </c>
      <c r="F2498" s="10" t="inlineStr">
        <is>
          <t>Hồ Chí Minh</t>
        </is>
      </c>
      <c r="G2498" s="10" t="inlineStr">
        <is>
          <t>Trưởng phòng</t>
        </is>
      </c>
      <c r="H2498" s="10" t="inlineStr">
        <is>
          <t>24/02/2026</t>
        </is>
      </c>
      <c r="I2498" s="10" t="inlineStr">
        <is>
          <t>26/03/2026</t>
        </is>
      </c>
      <c r="J2498" s="10" t="inlineStr">
        <is>
          <t>17/03/2026</t>
        </is>
      </c>
      <c r="K2498" s="10" t="inlineStr">
        <is>
          <t>N/A</t>
        </is>
      </c>
      <c r="L2498" s="10" t="inlineStr">
        <is>
          <t>Quản Trị Khách Hàng, Phân Tích Chiến Lược, Banking, Ngân hàng, Quan Hệ Khách Hàng</t>
        </is>
      </c>
      <c r="M2498" s="10" t="inlineStr">
        <is>
          <t>Bonus, Healthcare Plan, Training, Team Activities, Others</t>
        </is>
      </c>
      <c r="N2498" s="11">
        <f>HYPERLINK("https://www.vietnamworks.com/quan-ly-quan-he-khach-hang-vip-2013362-jv","Xem chi tiết")</f>
        <v/>
      </c>
      <c r="O2498" s="10" t="n"/>
    </row>
    <row r="2499">
      <c r="B2499" s="7" t="n">
        <v>2497</v>
      </c>
      <c r="C2499" t="inlineStr">
        <is>
          <t>ME Engineer</t>
        </is>
      </c>
      <c r="D2499" t="inlineStr">
        <is>
          <t>Công Ty TNHH Công Nghệ Điện Tử Yan Tin ( Việt Nam )</t>
        </is>
      </c>
      <c r="E2499" t="inlineStr">
        <is>
          <t>Thương lượng</t>
        </is>
      </c>
      <c r="F2499" t="inlineStr">
        <is>
          <t>Hà Nội</t>
        </is>
      </c>
      <c r="G2499" t="inlineStr">
        <is>
          <t>Nhân viên</t>
        </is>
      </c>
      <c r="H2499" t="inlineStr">
        <is>
          <t>24/02/2026</t>
        </is>
      </c>
      <c r="I2499" t="inlineStr">
        <is>
          <t>26/03/2026</t>
        </is>
      </c>
      <c r="J2499" t="inlineStr">
        <is>
          <t>17/03/2026</t>
        </is>
      </c>
      <c r="K2499" t="inlineStr">
        <is>
          <t>N/A</t>
        </is>
      </c>
      <c r="L2499" t="inlineStr">
        <is>
          <t>Mechanical Engineering, Electrical Engineering, General Communication English, Japanese Communication, Teamwork</t>
        </is>
      </c>
      <c r="M2499" t="inlineStr">
        <is>
          <t>Bonus, Healthcare Plan, Transportation, Others</t>
        </is>
      </c>
      <c r="N2499" s="8">
        <f>HYPERLINK("https://www.vietnamworks.com/me-engineer-2013352-jv","Xem chi tiết")</f>
        <v/>
      </c>
    </row>
    <row r="2500">
      <c r="B2500" s="9" t="n">
        <v>2498</v>
      </c>
      <c r="C2500" s="10" t="inlineStr">
        <is>
          <t>IT Executive</t>
        </is>
      </c>
      <c r="D2500" s="10" t="inlineStr">
        <is>
          <t>Prym Intimates VIetnam</t>
        </is>
      </c>
      <c r="E2500" s="10" t="inlineStr">
        <is>
          <t>Thương lượng</t>
        </is>
      </c>
      <c r="F2500" s="10" t="inlineStr">
        <is>
          <t>Hưng Yên</t>
        </is>
      </c>
      <c r="G2500" s="10" t="inlineStr">
        <is>
          <t>Nhân viên</t>
        </is>
      </c>
      <c r="H2500" s="10" t="inlineStr">
        <is>
          <t>24/02/2026</t>
        </is>
      </c>
      <c r="I2500" s="10" t="inlineStr">
        <is>
          <t>26/03/2026</t>
        </is>
      </c>
      <c r="J2500" s="10" t="inlineStr">
        <is>
          <t>17/03/2026</t>
        </is>
      </c>
      <c r="K2500" s="10" t="inlineStr">
        <is>
          <t>N/A</t>
        </is>
      </c>
      <c r="L2500" s="10" t="inlineStr">
        <is>
          <t>Data Privacy, Network Principles, Technical Support, IT System Administration, Routing Protocol</t>
        </is>
      </c>
      <c r="M2500" s="10" t="inlineStr">
        <is>
          <t>Bonus, Healthcare Plan, Training, Transportation, Canteen</t>
        </is>
      </c>
      <c r="N2500" s="11">
        <f>HYPERLINK("https://www.vietnamworks.com/it-executive-2013377-jv","Xem chi tiết")</f>
        <v/>
      </c>
      <c r="O2500" s="10" t="n"/>
    </row>
    <row r="2501">
      <c r="B2501" s="7" t="n">
        <v>2499</v>
      </c>
      <c r="C2501" t="inlineStr">
        <is>
          <t>Senior Interior Designer</t>
        </is>
      </c>
      <c r="D2501" t="inlineStr">
        <is>
          <t>MH Architects</t>
        </is>
      </c>
      <c r="E2501" t="inlineStr">
        <is>
          <t>Thương lượng</t>
        </is>
      </c>
      <c r="F2501" t="inlineStr">
        <is>
          <t>Hồ Chí Minh</t>
        </is>
      </c>
      <c r="G2501" t="inlineStr">
        <is>
          <t>Trưởng phòng</t>
        </is>
      </c>
      <c r="H2501" t="inlineStr">
        <is>
          <t>24/02/2026</t>
        </is>
      </c>
      <c r="I2501" t="inlineStr">
        <is>
          <t>26/03/2026</t>
        </is>
      </c>
      <c r="J2501" t="inlineStr">
        <is>
          <t>17/03/2026</t>
        </is>
      </c>
      <c r="K2501" t="inlineStr">
        <is>
          <t>N/A</t>
        </is>
      </c>
      <c r="L2501" t="inlineStr">
        <is>
          <t>Revit, English, AutoCAD, 3D</t>
        </is>
      </c>
      <c r="M2501" t="inlineStr">
        <is>
          <t>Bonus, Healthcare Plan, Travel Opportunities</t>
        </is>
      </c>
      <c r="N2501" s="8">
        <f>HYPERLINK("https://www.vietnamworks.com/senior-interior-designer--2013389-jv","Xem chi tiết")</f>
        <v/>
      </c>
    </row>
    <row r="2502">
      <c r="B2502" s="9" t="n">
        <v>2500</v>
      </c>
      <c r="C2502" s="10" t="inlineStr">
        <is>
          <t>Nhân Viên Thầu Thiết Bị, Dự Án Y Tế</t>
        </is>
      </c>
      <c r="D2502" s="10" t="inlineStr">
        <is>
          <t>Công Ty CP Nghiên Cứu Và Phát Triển Y Tế Việt Nam</t>
        </is>
      </c>
      <c r="E2502" s="10" t="inlineStr">
        <is>
          <t>Thương lượng</t>
        </is>
      </c>
      <c r="F2502" s="10" t="inlineStr">
        <is>
          <t>Hà Nội, Hồ Chí Minh</t>
        </is>
      </c>
      <c r="G2502" s="10" t="inlineStr">
        <is>
          <t>Mới Tốt Nghiệp</t>
        </is>
      </c>
      <c r="H2502" s="10" t="inlineStr">
        <is>
          <t>24/02/2026</t>
        </is>
      </c>
      <c r="I2502" s="10" t="inlineStr">
        <is>
          <t>26/03/2026</t>
        </is>
      </c>
      <c r="J2502" s="10" t="inlineStr">
        <is>
          <t>17/03/2026</t>
        </is>
      </c>
      <c r="K2502" s="10" t="inlineStr">
        <is>
          <t>N/A</t>
        </is>
      </c>
      <c r="L2502" s="10" t="inlineStr">
        <is>
          <t>Công Nghệ Sinh Học, Dược, Kỹ năng giao tiếp, Quản Trị Kinh Doanh</t>
        </is>
      </c>
      <c r="M2502" s="10" t="inlineStr">
        <is>
          <t>Bonus, Healthcare Plan, Team Activities, Others</t>
        </is>
      </c>
      <c r="N2502" s="11">
        <f>HYPERLINK("https://www.vietnamworks.com/nhan-vien-thau-thiet-bi-du-an-y-te-2013391-jv","Xem chi tiết")</f>
        <v/>
      </c>
      <c r="O2502" s="10" t="n"/>
    </row>
    <row r="2503">
      <c r="B2503" s="7" t="n">
        <v>2501</v>
      </c>
      <c r="C2503" t="inlineStr">
        <is>
          <t>Group Accountant</t>
        </is>
      </c>
      <c r="D2503" t="inlineStr">
        <is>
          <t>CÔNG TY TNHH OIA TECHNOLOGIES</t>
        </is>
      </c>
      <c r="E2503" t="inlineStr">
        <is>
          <t>18tr-22tr ₫/tháng</t>
        </is>
      </c>
      <c r="F2503" t="inlineStr">
        <is>
          <t>Hồ Chí Minh</t>
        </is>
      </c>
      <c r="G2503" t="inlineStr">
        <is>
          <t>Nhân viên</t>
        </is>
      </c>
      <c r="H2503" t="inlineStr">
        <is>
          <t>24/02/2026</t>
        </is>
      </c>
      <c r="I2503" t="inlineStr">
        <is>
          <t>26/03/2026</t>
        </is>
      </c>
      <c r="J2503" t="inlineStr">
        <is>
          <t>17/03/2026</t>
        </is>
      </c>
      <c r="K2503" t="inlineStr">
        <is>
          <t>N/A</t>
        </is>
      </c>
      <c r="L2503" t="inlineStr">
        <is>
          <t>CPA, Accounting Software, Accounting Standards, Analytical thinking, MS Excel</t>
        </is>
      </c>
      <c r="M2503" t="inlineStr">
        <is>
          <t>Bonus, Healthcare Plan, Others</t>
        </is>
      </c>
      <c r="N2503" s="8">
        <f>HYPERLINK("https://www.vietnamworks.com/group-accountant-2013397-jv","Xem chi tiết")</f>
        <v/>
      </c>
    </row>
    <row r="2504">
      <c r="B2504" s="9" t="n">
        <v>2502</v>
      </c>
      <c r="C2504" s="10" t="inlineStr">
        <is>
          <t>Nhân Viên Thiết Kế Điện, Điện Nhẹ</t>
        </is>
      </c>
      <c r="D2504" s="10" t="inlineStr">
        <is>
          <t>Công ty Cổ phần Xây dựng Hợp Lực</t>
        </is>
      </c>
      <c r="E2504" s="10" t="inlineStr">
        <is>
          <t>Thương lượng</t>
        </is>
      </c>
      <c r="F2504" s="10" t="inlineStr">
        <is>
          <t>Hà Nội</t>
        </is>
      </c>
      <c r="G2504" s="10" t="inlineStr">
        <is>
          <t>Nhân viên</t>
        </is>
      </c>
      <c r="H2504" s="10" t="inlineStr">
        <is>
          <t>24/02/2026</t>
        </is>
      </c>
      <c r="I2504" s="10" t="inlineStr">
        <is>
          <t>26/03/2026</t>
        </is>
      </c>
      <c r="J2504" s="10" t="inlineStr">
        <is>
          <t>17/03/2026</t>
        </is>
      </c>
      <c r="K2504" s="10" t="inlineStr">
        <is>
          <t>N/A</t>
        </is>
      </c>
      <c r="L2504" s="10" t="inlineStr">
        <is>
          <t>Điện, Revit, AutoCAD, Tiếng Anh, Nghiên Cứu Hồ Sơ</t>
        </is>
      </c>
      <c r="M2504" s="10" t="inlineStr">
        <is>
          <t>Bonus, Healthcare Plan, Travel Opportunities</t>
        </is>
      </c>
      <c r="N2504" s="11">
        <f>HYPERLINK("https://www.vietnamworks.com/nhan-vien-thiet-ke-dien-dien-nhe--2013353-jv","Xem chi tiết")</f>
        <v/>
      </c>
      <c r="O2504" s="10" t="n"/>
    </row>
    <row r="2505">
      <c r="B2505" s="7" t="n">
        <v>2503</v>
      </c>
      <c r="C2505" t="inlineStr">
        <is>
          <t>Nhân Viên Chỉnh Sửa Bản Vẽ CAD - Dự Án Xây Dựng Hàn Quốc</t>
        </is>
      </c>
      <c r="D2505" t="inlineStr">
        <is>
          <t>Công Ty TNHH Doalltech Vietnam</t>
        </is>
      </c>
      <c r="E2505" t="inlineStr">
        <is>
          <t>Thương lượng</t>
        </is>
      </c>
      <c r="F2505" t="inlineStr">
        <is>
          <t>Bắc Ninh</t>
        </is>
      </c>
      <c r="G2505" t="inlineStr">
        <is>
          <t>Mới Tốt Nghiệp</t>
        </is>
      </c>
      <c r="H2505" t="inlineStr">
        <is>
          <t>24/02/2026</t>
        </is>
      </c>
      <c r="I2505" t="inlineStr">
        <is>
          <t>26/03/2026</t>
        </is>
      </c>
      <c r="J2505" t="inlineStr">
        <is>
          <t>17/03/2026</t>
        </is>
      </c>
      <c r="K2505" t="inlineStr">
        <is>
          <t>N/A</t>
        </is>
      </c>
      <c r="L2505" t="inlineStr">
        <is>
          <t>MS Office, cad, Chỉnh Sửa Bản Vẽ, Chuẩn hóa dữ liệu, Tiếng Hàn</t>
        </is>
      </c>
      <c r="M2505" t="inlineStr">
        <is>
          <t>Bonus, Healthcare Plan, Paid Leave</t>
        </is>
      </c>
      <c r="N2505" s="8">
        <f>HYPERLINK("https://www.vietnamworks.com/nhan-vien-chinh-sua-ban-ve-cad-du-an-xay-dung-han-quoc-2013383-jv","Xem chi tiết")</f>
        <v/>
      </c>
    </row>
    <row r="2506">
      <c r="B2506" s="9" t="n">
        <v>2504</v>
      </c>
      <c r="C2506" s="10" t="inlineStr">
        <is>
          <t>GT/MT Sales Representative - G.G.G Cosmetics</t>
        </is>
      </c>
      <c r="D2506" s="10" t="inlineStr">
        <is>
          <t>CÔNG TY CỔ PHẦN MỸ PHẨM B HAPPY</t>
        </is>
      </c>
      <c r="E2506" s="10" t="inlineStr">
        <is>
          <t>Thương lượng</t>
        </is>
      </c>
      <c r="F2506" s="10" t="inlineStr">
        <is>
          <t>Hồ Chí Minh</t>
        </is>
      </c>
      <c r="G2506" s="10" t="inlineStr">
        <is>
          <t>Nhân viên</t>
        </is>
      </c>
      <c r="H2506" s="10" t="inlineStr">
        <is>
          <t>24/02/2026</t>
        </is>
      </c>
      <c r="I2506" s="10" t="inlineStr">
        <is>
          <t>26/03/2026</t>
        </is>
      </c>
      <c r="J2506" s="10" t="inlineStr">
        <is>
          <t>17/03/2026</t>
        </is>
      </c>
      <c r="K2506" s="10" t="inlineStr">
        <is>
          <t>N/A</t>
        </is>
      </c>
      <c r="L2506" s="10" t="inlineStr">
        <is>
          <t>Mỹ Phẩm, Quản Lý Kênh Bán Lẻ, Kênh MT, Kênh Gt, FMCG</t>
        </is>
      </c>
      <c r="M2506" s="10" t="inlineStr">
        <is>
          <t>Bonus, Healthcare Plan, Training, Team Activities, Vouchers</t>
        </is>
      </c>
      <c r="N2506" s="11">
        <f>HYPERLINK("https://www.vietnamworks.com/gt-mt-sales-representative-g-g-g-cosmetics-2013356-jv","Xem chi tiết")</f>
        <v/>
      </c>
      <c r="O2506" s="10" t="n"/>
    </row>
    <row r="2507">
      <c r="B2507" s="7" t="n">
        <v>2505</v>
      </c>
      <c r="C2507" t="inlineStr">
        <is>
          <t>Nhân Viên Kinh Doanh (Vé Máy Bay) Thu Nhập Hấp Dẫn, Môi Trường Năng Động</t>
        </is>
      </c>
      <c r="D2507" t="inlineStr">
        <is>
          <t>CÔNG TY TNHH VITAMIN GO</t>
        </is>
      </c>
      <c r="E2507" t="inlineStr">
        <is>
          <t>15tr-30tr ₫/tháng</t>
        </is>
      </c>
      <c r="F2507" t="inlineStr">
        <is>
          <t>Hồ Chí Minh</t>
        </is>
      </c>
      <c r="G2507" t="inlineStr">
        <is>
          <t>Nhân viên</t>
        </is>
      </c>
      <c r="H2507" t="inlineStr">
        <is>
          <t>24/02/2026</t>
        </is>
      </c>
      <c r="I2507" t="inlineStr">
        <is>
          <t>26/03/2026</t>
        </is>
      </c>
      <c r="J2507" t="inlineStr">
        <is>
          <t>17/03/2026</t>
        </is>
      </c>
      <c r="K2507" t="inlineStr">
        <is>
          <t>N/A</t>
        </is>
      </c>
      <c r="L2507" t="inlineStr">
        <is>
          <t>Kinh Doanh, Du Lịch Quốc Tế, Hàng Không, Marketing Development, Phân Tích Thị Trường</t>
        </is>
      </c>
      <c r="M2507" t="inlineStr">
        <is>
          <t>Bonus, Healthcare Plan, Paid Leave, Training, Mobile, Travel Opportunities, Team Activities, Canteen, Others</t>
        </is>
      </c>
      <c r="N2507" s="8">
        <f>HYPERLINK("https://www.vietnamworks.com/nhan-vien-kinh-doanh-ve-may-bay-thu-nhap-hap-dan-moi-truong-nang-djong-2013386-jv","Xem chi tiết")</f>
        <v/>
      </c>
    </row>
    <row r="2508">
      <c r="B2508" s="9" t="n">
        <v>2506</v>
      </c>
      <c r="C2508" s="10" t="inlineStr">
        <is>
          <t>Nhân Viên Bộ Phận Chất Lượng – OQC</t>
        </is>
      </c>
      <c r="D2508" s="10" t="inlineStr">
        <is>
          <t>Công Ty TNHH Taishodo Việt Nam</t>
        </is>
      </c>
      <c r="E2508" s="10" t="inlineStr">
        <is>
          <t>Thương lượng</t>
        </is>
      </c>
      <c r="F2508" s="10" t="inlineStr">
        <is>
          <t>Hải Phòng, Hải Dương</t>
        </is>
      </c>
      <c r="G2508" s="10" t="inlineStr">
        <is>
          <t>Nhân viên</t>
        </is>
      </c>
      <c r="H2508" s="10" t="inlineStr">
        <is>
          <t>24/02/2026</t>
        </is>
      </c>
      <c r="I2508" s="10" t="inlineStr">
        <is>
          <t>26/03/2026</t>
        </is>
      </c>
      <c r="J2508" s="10" t="inlineStr">
        <is>
          <t>17/03/2026</t>
        </is>
      </c>
      <c r="K2508" s="10" t="inlineStr">
        <is>
          <t>N/A</t>
        </is>
      </c>
      <c r="L2508" s="10" t="inlineStr">
        <is>
          <t>Giải Quyết Vấn Đề, OQC, Phân Tích Lỗi, Quản Lý Dây Chuyền Sản Xuất, Tiếng Nhật</t>
        </is>
      </c>
      <c r="M2508" s="10" t="inlineStr">
        <is>
          <t>Bonus, Healthcare Plan, Awards, Travel Opportunities, Team Activities, Others</t>
        </is>
      </c>
      <c r="N2508" s="11">
        <f>HYPERLINK("https://www.vietnamworks.com/nhan-vien-bo-phan-chat-luong-oqc-2013387-jv","Xem chi tiết")</f>
        <v/>
      </c>
      <c r="O2508" s="10" t="n"/>
    </row>
    <row r="2509">
      <c r="B2509" s="7" t="n">
        <v>2507</v>
      </c>
      <c r="C2509" t="inlineStr">
        <is>
          <t>Nhân Viên Viện Tây Ban Nha và Mỹ Latinh UEF</t>
        </is>
      </c>
      <c r="D2509" t="inlineStr">
        <is>
          <t>Trường Đại Học Kinh Tế - Tài Chính TPHCM</t>
        </is>
      </c>
      <c r="E2509" t="inlineStr">
        <is>
          <t>Thương lượng</t>
        </is>
      </c>
      <c r="F2509" t="inlineStr">
        <is>
          <t>Hồ Chí Minh</t>
        </is>
      </c>
      <c r="G2509" t="inlineStr">
        <is>
          <t>Mới Tốt Nghiệp</t>
        </is>
      </c>
      <c r="H2509" t="inlineStr">
        <is>
          <t>24/02/2026</t>
        </is>
      </c>
      <c r="I2509" t="inlineStr">
        <is>
          <t>26/03/2026</t>
        </is>
      </c>
      <c r="J2509" t="inlineStr">
        <is>
          <t>17/03/2026</t>
        </is>
      </c>
      <c r="K2509" t="inlineStr">
        <is>
          <t>N/A</t>
        </is>
      </c>
      <c r="L2509" t="inlineStr">
        <is>
          <t>Soạn Thảo Văn Bản, Quản Lý Fanpage, Tổ chức sự kiện, Tiếng Anh</t>
        </is>
      </c>
      <c r="M2509" t="inlineStr">
        <is>
          <t>Others</t>
        </is>
      </c>
      <c r="N2509" s="8">
        <f>HYPERLINK("https://www.vietnamworks.com/nhan-vien-vien-tay-ban-nha-va-my-latinh-uef-2013370-jv","Xem chi tiết")</f>
        <v/>
      </c>
    </row>
    <row r="2510">
      <c r="B2510" s="9" t="n">
        <v>2508</v>
      </c>
      <c r="C2510" s="10" t="inlineStr">
        <is>
          <t>Kỹ Sư Thiết Bị, Dự Án</t>
        </is>
      </c>
      <c r="D2510" s="10" t="inlineStr">
        <is>
          <t>Công Ty CP Nghiên Cứu Và Phát Triển Y Tế Việt Nam</t>
        </is>
      </c>
      <c r="E2510" s="10" t="inlineStr">
        <is>
          <t>Thương lượng</t>
        </is>
      </c>
      <c r="F2510" s="10" t="inlineStr">
        <is>
          <t>Hà Nội, Hồ Chí Minh</t>
        </is>
      </c>
      <c r="G2510" s="10" t="inlineStr">
        <is>
          <t>Nhân viên</t>
        </is>
      </c>
      <c r="H2510" s="10" t="inlineStr">
        <is>
          <t>24/02/2026</t>
        </is>
      </c>
      <c r="I2510" s="10" t="inlineStr">
        <is>
          <t>26/03/2026</t>
        </is>
      </c>
      <c r="J2510" s="10" t="inlineStr">
        <is>
          <t>17/03/2026</t>
        </is>
      </c>
      <c r="K2510" s="10" t="inlineStr">
        <is>
          <t>N/A</t>
        </is>
      </c>
      <c r="L2510" s="10" t="inlineStr">
        <is>
          <t>Trang Thiết Bị Y Tế, Nghiên Cứu Tài Liệu, Điện Tử Y Sinh, Lắp Đặt Thiết Bị, Bảo Trì Máy</t>
        </is>
      </c>
      <c r="M2510" s="10" t="inlineStr">
        <is>
          <t>Bonus, Paid Leave, Travel Opportunities</t>
        </is>
      </c>
      <c r="N2510" s="11">
        <f>HYPERLINK("https://www.vietnamworks.com/ky-su-thiet-bi-du-an--2013388-jv","Xem chi tiết")</f>
        <v/>
      </c>
      <c r="O2510" s="10" t="n"/>
    </row>
    <row r="2511">
      <c r="B2511" s="7" t="n">
        <v>2509</v>
      </c>
      <c r="C2511" t="inlineStr">
        <is>
          <t>Nhân Viên Kinh Doanh / Sale Tour Lương Cứng 15-18Tr/tháng</t>
        </is>
      </c>
      <c r="D2511" t="inlineStr">
        <is>
          <t>Công ty TNHH Một thành viên Dịch vụ Đối ngoại</t>
        </is>
      </c>
      <c r="E2511" t="inlineStr">
        <is>
          <t>Tới $ 1,000 /tháng</t>
        </is>
      </c>
      <c r="F2511" t="inlineStr">
        <is>
          <t>Hà Nội</t>
        </is>
      </c>
      <c r="G2511" t="inlineStr">
        <is>
          <t>Nhân viên</t>
        </is>
      </c>
      <c r="H2511" t="inlineStr">
        <is>
          <t>24/02/2026</t>
        </is>
      </c>
      <c r="I2511" t="inlineStr">
        <is>
          <t>26/03/2026</t>
        </is>
      </c>
      <c r="J2511" t="inlineStr">
        <is>
          <t>17/03/2026</t>
        </is>
      </c>
      <c r="K2511" t="inlineStr">
        <is>
          <t>N/A</t>
        </is>
      </c>
      <c r="L2511" t="inlineStr">
        <is>
          <t>Tư Vấn Bán Hàng, Marketing Concept, du lịch, Sale Du Lịch, Sale tour</t>
        </is>
      </c>
      <c r="M2511" t="inlineStr">
        <is>
          <t>Bonus, Healthcare Plan, Others</t>
        </is>
      </c>
      <c r="N2511" s="8">
        <f>HYPERLINK("https://www.vietnamworks.com/nhan-vien-kinh-doanh-sale-tour-luong-cung-15-18tr-thang-2013372-jv","Xem chi tiết")</f>
        <v/>
      </c>
    </row>
    <row r="2512">
      <c r="B2512" s="9" t="n">
        <v>2510</v>
      </c>
      <c r="C2512" s="10" t="inlineStr">
        <is>
          <t>Kỹ Sư Xây Dựng - Hưng Yên</t>
        </is>
      </c>
      <c r="D2512" s="10" t="inlineStr">
        <is>
          <t>La Vie Limited Liability Company</t>
        </is>
      </c>
      <c r="E2512" s="10" t="inlineStr">
        <is>
          <t>Thương lượng</t>
        </is>
      </c>
      <c r="F2512" s="10" t="inlineStr">
        <is>
          <t>Hưng Yên</t>
        </is>
      </c>
      <c r="G2512" s="10" t="inlineStr">
        <is>
          <t>Nhân viên</t>
        </is>
      </c>
      <c r="H2512" s="10" t="inlineStr">
        <is>
          <t>24/02/2026</t>
        </is>
      </c>
      <c r="I2512" s="10" t="inlineStr">
        <is>
          <t>26/03/2026</t>
        </is>
      </c>
      <c r="J2512" s="10" t="inlineStr">
        <is>
          <t>17/03/2026</t>
        </is>
      </c>
      <c r="K2512" s="10" t="inlineStr">
        <is>
          <t>N/A</t>
        </is>
      </c>
      <c r="L2512" s="10" t="inlineStr">
        <is>
          <t>AutoCAD 2D, Food Manufacturing, Mechanical Engineering, Project Management, Manufacturing project management</t>
        </is>
      </c>
      <c r="M2512" s="10" t="inlineStr">
        <is>
          <t>Bonus, Healthcare Plan, Training</t>
        </is>
      </c>
      <c r="N2512" s="11">
        <f>HYPERLINK("https://www.vietnamworks.com/ky-su-xay-dung-hung-yen-2013380-jv","Xem chi tiết")</f>
        <v/>
      </c>
      <c r="O2512" s="10" t="n"/>
    </row>
    <row r="2513">
      <c r="B2513" s="7" t="n">
        <v>2511</v>
      </c>
      <c r="C2513" t="inlineStr">
        <is>
          <t>Chuyên Viên Quản Lý Hiệu Suất</t>
        </is>
      </c>
      <c r="D2513" t="inlineStr">
        <is>
          <t>Tổng Công Ty Hàng Hải Việt Nam - CTCP</t>
        </is>
      </c>
      <c r="E2513" t="inlineStr">
        <is>
          <t>Thương lượng</t>
        </is>
      </c>
      <c r="F2513" t="inlineStr">
        <is>
          <t>Hà Nội</t>
        </is>
      </c>
      <c r="G2513" t="inlineStr">
        <is>
          <t>Nhân viên</t>
        </is>
      </c>
      <c r="H2513" t="inlineStr">
        <is>
          <t>24/02/2026</t>
        </is>
      </c>
      <c r="I2513" t="inlineStr">
        <is>
          <t>26/03/2026</t>
        </is>
      </c>
      <c r="J2513" t="inlineStr">
        <is>
          <t>17/03/2026</t>
        </is>
      </c>
      <c r="K2513" t="inlineStr">
        <is>
          <t>N/A</t>
        </is>
      </c>
      <c r="L2513" t="inlineStr">
        <is>
          <t>KPIs Management, OKRs, Quản Lý Hiệu Suất, Quản Trị Nhân Lực, Tiếng Anh</t>
        </is>
      </c>
      <c r="M2513" t="inlineStr">
        <is>
          <t>Bonus, Training, Travel Opportunities, Others</t>
        </is>
      </c>
      <c r="N2513" s="8">
        <f>HYPERLINK("https://www.vietnamworks.com/chuyen-vien-quan-ly-hieu-suat-2013396-jv","Xem chi tiết")</f>
        <v/>
      </c>
    </row>
    <row r="2514">
      <c r="B2514" s="9" t="n">
        <v>2512</v>
      </c>
      <c r="C2514" s="10" t="inlineStr">
        <is>
          <t>HR Specialist - TA</t>
        </is>
      </c>
      <c r="D2514" s="10" t="inlineStr">
        <is>
          <t>CÔNG TY TNHH THƯƠNG MẠI MEDLINE VIỆT NAM</t>
        </is>
      </c>
      <c r="E2514" s="10" t="inlineStr">
        <is>
          <t>Thương lượng</t>
        </is>
      </c>
      <c r="F2514" s="10" t="inlineStr">
        <is>
          <t>Hồ Chí Minh</t>
        </is>
      </c>
      <c r="G2514" s="10" t="inlineStr">
        <is>
          <t>Nhân viên</t>
        </is>
      </c>
      <c r="H2514" s="10" t="inlineStr">
        <is>
          <t>24/02/2026</t>
        </is>
      </c>
      <c r="I2514" s="10" t="inlineStr">
        <is>
          <t>26/03/2026</t>
        </is>
      </c>
      <c r="J2514" s="10" t="inlineStr">
        <is>
          <t>17/03/2026</t>
        </is>
      </c>
      <c r="K2514" s="10" t="inlineStr">
        <is>
          <t>N/A</t>
        </is>
      </c>
      <c r="L2514" s="10" t="inlineStr">
        <is>
          <t>Candidate Sourcing, Individual Assessment, Human Resources, Recruitment, Talent Acquisition</t>
        </is>
      </c>
      <c r="M2514" s="10" t="inlineStr">
        <is>
          <t>Bonus, Travel Opportunities, Team Activities</t>
        </is>
      </c>
      <c r="N2514" s="11">
        <f>HYPERLINK("https://www.vietnamworks.com/hr-specialist-ta-2013399-jv","Xem chi tiết")</f>
        <v/>
      </c>
      <c r="O2514" s="10" t="n"/>
    </row>
    <row r="2515">
      <c r="B2515" s="7" t="n">
        <v>2513</v>
      </c>
      <c r="C2515" t="inlineStr">
        <is>
          <t>Chuyên Viên Tài Chính</t>
        </is>
      </c>
      <c r="D2515" t="inlineStr">
        <is>
          <t>CÔNG TY CỔ PHẦN TẬP ĐOÀN BMK</t>
        </is>
      </c>
      <c r="E2515" t="inlineStr">
        <is>
          <t>25tr-30tr ₫/tháng</t>
        </is>
      </c>
      <c r="F2515" t="inlineStr">
        <is>
          <t>Hà Nội</t>
        </is>
      </c>
      <c r="G2515" t="inlineStr">
        <is>
          <t>Nhân viên</t>
        </is>
      </c>
      <c r="H2515" t="inlineStr">
        <is>
          <t>24/02/2026</t>
        </is>
      </c>
      <c r="I2515" t="inlineStr">
        <is>
          <t>26/03/2026</t>
        </is>
      </c>
      <c r="J2515" t="inlineStr">
        <is>
          <t>17/03/2026</t>
        </is>
      </c>
      <c r="K2515" t="inlineStr">
        <is>
          <t>N/A</t>
        </is>
      </c>
      <c r="L2515" t="inlineStr">
        <is>
          <t>Hoạch Định Ngân Sách, Lập Hồ Sơ Vay Vốn, MS Excel, Quản Lý Dòng Tiền, Quản Trị Nguồn Vốn</t>
        </is>
      </c>
      <c r="M2515" t="inlineStr">
        <is>
          <t>Bonus, Healthcare Plan, Travel Opportunities, Vouchers, Others</t>
        </is>
      </c>
      <c r="N2515" s="8">
        <f>HYPERLINK("https://www.vietnamworks.com/chuyen-vien-tai-chinh-2013414-jv","Xem chi tiết")</f>
        <v/>
      </c>
    </row>
    <row r="2516">
      <c r="B2516" s="9" t="n">
        <v>2514</v>
      </c>
      <c r="C2516" s="10" t="inlineStr">
        <is>
          <t>Nhân Viên Xuất Nhập Khẩu</t>
        </is>
      </c>
      <c r="D2516" s="10" t="inlineStr">
        <is>
          <t>CÔNG TY TNHH TOÀN CẦU VIỆT TÍN</t>
        </is>
      </c>
      <c r="E2516" s="10" t="inlineStr">
        <is>
          <t>15tr-17tr ₫/tháng</t>
        </is>
      </c>
      <c r="F2516" s="10" t="inlineStr">
        <is>
          <t>Hà Nội</t>
        </is>
      </c>
      <c r="G2516" s="10" t="inlineStr">
        <is>
          <t>Nhân viên</t>
        </is>
      </c>
      <c r="H2516" s="10" t="inlineStr">
        <is>
          <t>24/02/2026</t>
        </is>
      </c>
      <c r="I2516" s="10" t="inlineStr">
        <is>
          <t>26/03/2026</t>
        </is>
      </c>
      <c r="J2516" s="10" t="inlineStr">
        <is>
          <t>17/03/2026</t>
        </is>
      </c>
      <c r="K2516" s="10" t="inlineStr">
        <is>
          <t>N/A</t>
        </is>
      </c>
      <c r="L2516" s="10" t="inlineStr">
        <is>
          <t>Xuất Nhập Khẩu, Khai Báo Hải Quan, Tiếng Trung, Thủ Tục Thông Quan, Tờ Khai Hải Quan</t>
        </is>
      </c>
      <c r="M2516" s="10" t="inlineStr">
        <is>
          <t>Bonus, Training, Others</t>
        </is>
      </c>
      <c r="N2516" s="11">
        <f>HYPERLINK("https://www.vietnamworks.com/nhan-vien-xuat-nhap-khau-2013403-jv","Xem chi tiết")</f>
        <v/>
      </c>
      <c r="O2516" s="10" t="n"/>
    </row>
    <row r="2517">
      <c r="B2517" s="7" t="n">
        <v>2515</v>
      </c>
      <c r="C2517" t="inlineStr">
        <is>
          <t>Tax Senior Associate | Global Career Path</t>
        </is>
      </c>
      <c r="D2517" t="inlineStr">
        <is>
          <t>First Trust ACPA Vietnam CO., LTD</t>
        </is>
      </c>
      <c r="E2517" t="inlineStr">
        <is>
          <t>Thương lượng</t>
        </is>
      </c>
      <c r="F2517" t="inlineStr">
        <is>
          <t>Hà Nội</t>
        </is>
      </c>
      <c r="G2517" t="inlineStr">
        <is>
          <t>Nhân viên</t>
        </is>
      </c>
      <c r="H2517" t="inlineStr">
        <is>
          <t>24/02/2026</t>
        </is>
      </c>
      <c r="I2517" t="inlineStr">
        <is>
          <t>26/03/2026</t>
        </is>
      </c>
      <c r="J2517" t="inlineStr">
        <is>
          <t>17/03/2026</t>
        </is>
      </c>
      <c r="K2517" t="inlineStr">
        <is>
          <t>N/A</t>
        </is>
      </c>
      <c r="L2517" t="inlineStr">
        <is>
          <t>ACCA, Finance &amp; Accounting, Tax Services, Taxation Knowledge, Thuế</t>
        </is>
      </c>
      <c r="M2517" t="inlineStr">
        <is>
          <t>Training, Travel Opportunities, Others</t>
        </is>
      </c>
      <c r="N2517" s="8">
        <f>HYPERLINK("https://www.vietnamworks.com/tax-senior-associate-or-global-career-path-2013407-jv","Xem chi tiết")</f>
        <v/>
      </c>
    </row>
    <row r="2518">
      <c r="B2518" s="9" t="n">
        <v>2516</v>
      </c>
      <c r="C2518" s="10" t="inlineStr">
        <is>
          <t>Kỹ Sư Vận Hành (IT) Cấp Cơ Bản (Chấp Nhận Sinh Viên Mới Tốt Nghiệp)</t>
        </is>
      </c>
      <c r="D2518" s="10" t="inlineStr">
        <is>
          <t>DL PUBLIC RELATIONS CONSULTING INC</t>
        </is>
      </c>
      <c r="E2518" s="10" t="inlineStr">
        <is>
          <t>¥ 8,000-33,000 /tháng</t>
        </is>
      </c>
      <c r="F2518" s="10" t="inlineStr">
        <is>
          <t>Hồ Chí Minh</t>
        </is>
      </c>
      <c r="G2518" s="10" t="inlineStr">
        <is>
          <t>Nhân viên</t>
        </is>
      </c>
      <c r="H2518" s="10" t="inlineStr">
        <is>
          <t>24/02/2026</t>
        </is>
      </c>
      <c r="I2518" s="10" t="inlineStr">
        <is>
          <t>26/03/2026</t>
        </is>
      </c>
      <c r="J2518" s="10" t="inlineStr">
        <is>
          <t>17/03/2026</t>
        </is>
      </c>
      <c r="K2518" s="10" t="inlineStr">
        <is>
          <t>N/A</t>
        </is>
      </c>
      <c r="L2518" s="10" t="inlineStr">
        <is>
          <t>Linux, TCP/IP, Apache, MariaDB, Teamwork</t>
        </is>
      </c>
      <c r="M2518" s="10" t="inlineStr">
        <is>
          <t>Bonus, Healthcare Plan, Awards</t>
        </is>
      </c>
      <c r="N2518" s="11">
        <f>HYPERLINK("https://www.vietnamworks.com/ky-su-van-hanh-it-cap-co-ban-chap-nhan-sinh-vien-moi-tot-nghiep-2013408-jv","Xem chi tiết")</f>
        <v/>
      </c>
      <c r="O2518" s="10" t="n"/>
    </row>
    <row r="2519">
      <c r="B2519" s="7" t="n">
        <v>2517</v>
      </c>
      <c r="C2519" t="inlineStr">
        <is>
          <t>Chuyên Viên Dữ Liệu</t>
        </is>
      </c>
      <c r="D2519" t="inlineStr">
        <is>
          <t>Tổng Công Ty Hàng Hải Việt Nam - CTCP</t>
        </is>
      </c>
      <c r="E2519" t="inlineStr">
        <is>
          <t>Thương lượng</t>
        </is>
      </c>
      <c r="F2519" t="inlineStr">
        <is>
          <t>Hà Nội</t>
        </is>
      </c>
      <c r="G2519" t="inlineStr">
        <is>
          <t>Nhân viên</t>
        </is>
      </c>
      <c r="H2519" t="inlineStr">
        <is>
          <t>24/02/2026</t>
        </is>
      </c>
      <c r="I2519" t="inlineStr">
        <is>
          <t>26/03/2026</t>
        </is>
      </c>
      <c r="J2519" t="inlineStr">
        <is>
          <t>17/03/2026</t>
        </is>
      </c>
      <c r="K2519" t="inlineStr">
        <is>
          <t>N/A</t>
        </is>
      </c>
      <c r="L2519" t="inlineStr">
        <is>
          <t>ETL, NoSQL\r\r, Power BI, Python, SQL</t>
        </is>
      </c>
      <c r="M2519" t="inlineStr">
        <is>
          <t>Bonus, Training, Travel Opportunities, Others</t>
        </is>
      </c>
      <c r="N2519" s="8">
        <f>HYPERLINK("https://www.vietnamworks.com/chuyen-vien-du-lieu-2013410-jv","Xem chi tiết")</f>
        <v/>
      </c>
    </row>
    <row r="2520">
      <c r="B2520" s="9" t="n">
        <v>2518</v>
      </c>
      <c r="C2520" s="10" t="inlineStr">
        <is>
          <t>Chuyên Viên Nghiên Cứu Thị Trường &amp; Phát Triển Sản Phẩm</t>
        </is>
      </c>
      <c r="D2520" s="10" t="inlineStr">
        <is>
          <t>CÔNG TY CỔ PHẦN TẬP ĐOÀN BMK</t>
        </is>
      </c>
      <c r="E2520" s="10" t="inlineStr">
        <is>
          <t>18tr-25tr ₫/tháng</t>
        </is>
      </c>
      <c r="F2520" s="10" t="inlineStr">
        <is>
          <t>Hà Nội</t>
        </is>
      </c>
      <c r="G2520" s="10" t="inlineStr">
        <is>
          <t>Nhân viên</t>
        </is>
      </c>
      <c r="H2520" s="10" t="inlineStr">
        <is>
          <t>24/02/2026</t>
        </is>
      </c>
      <c r="I2520" s="10" t="inlineStr">
        <is>
          <t>26/03/2026</t>
        </is>
      </c>
      <c r="J2520" s="10" t="inlineStr">
        <is>
          <t>17/03/2026</t>
        </is>
      </c>
      <c r="K2520" s="10" t="inlineStr">
        <is>
          <t>N/A</t>
        </is>
      </c>
      <c r="L2520" s="10" t="inlineStr">
        <is>
          <t>Lập Báo Cáo, MS Office, Nghiên Cứu Thị Trường, Phát Triển Sản Phẩm, Thẩm Định Dự Án</t>
        </is>
      </c>
      <c r="M2520" s="10" t="inlineStr">
        <is>
          <t>Bonus, Healthcare Plan, Travel Opportunities, Vouchers, Others</t>
        </is>
      </c>
      <c r="N2520" s="11">
        <f>HYPERLINK("https://www.vietnamworks.com/chuyen-vien-nghien-cuu-thi-truong-and-phat-trien-san-pham-2013421-jv","Xem chi tiết")</f>
        <v/>
      </c>
      <c r="O2520" s="10" t="n"/>
    </row>
    <row r="2521">
      <c r="B2521" s="7" t="n">
        <v>2519</v>
      </c>
      <c r="C2521" t="inlineStr">
        <is>
          <t>Architect (Kiến Trúc Sư)</t>
        </is>
      </c>
      <c r="D2521" t="inlineStr">
        <is>
          <t>P &amp; T Consultants (Vietnam) Co. Ltd</t>
        </is>
      </c>
      <c r="E2521" t="inlineStr">
        <is>
          <t>Thương lượng</t>
        </is>
      </c>
      <c r="F2521" t="inlineStr">
        <is>
          <t>Hà Nội</t>
        </is>
      </c>
      <c r="G2521" t="inlineStr">
        <is>
          <t>Nhân viên</t>
        </is>
      </c>
      <c r="H2521" t="inlineStr">
        <is>
          <t>24/02/2026</t>
        </is>
      </c>
      <c r="I2521" t="inlineStr">
        <is>
          <t>26/03/2026</t>
        </is>
      </c>
      <c r="J2521" t="inlineStr">
        <is>
          <t>17/03/2026</t>
        </is>
      </c>
      <c r="K2521" t="inlineStr">
        <is>
          <t>N/A</t>
        </is>
      </c>
      <c r="L2521" t="inlineStr">
        <is>
          <t>AutoCAD, Revit, kiến trúc sư, Thiết Kế Kiến Trúc, Architect</t>
        </is>
      </c>
      <c r="M2521" t="inlineStr">
        <is>
          <t>Bonus, Healthcare Plan, Others</t>
        </is>
      </c>
      <c r="N2521" s="8">
        <f>HYPERLINK("https://www.vietnamworks.com/architect-kien-truc-su-2013415-jv","Xem chi tiết")</f>
        <v/>
      </c>
    </row>
    <row r="2522">
      <c r="B2522" s="9" t="n">
        <v>2520</v>
      </c>
      <c r="C2522" s="10" t="inlineStr">
        <is>
          <t>Area Sale Manager, Bancassurance (HCM, Ha Noi, Da Nang, Khanh Hoa, Binh Duong &amp; Can Tho)</t>
        </is>
      </c>
      <c r="D2522" s="10" t="inlineStr">
        <is>
          <t>CÔNG TY TNHH BẢO HIỂM SHINHAN LIFE VIỆT NAM</t>
        </is>
      </c>
      <c r="E2522" s="10" t="inlineStr">
        <is>
          <t>Thương lượng</t>
        </is>
      </c>
      <c r="F2522" s="10" t="inlineStr">
        <is>
          <t>Hồ Chí Minh</t>
        </is>
      </c>
      <c r="G2522" s="10" t="inlineStr">
        <is>
          <t>Trưởng phòng</t>
        </is>
      </c>
      <c r="H2522" s="10" t="inlineStr">
        <is>
          <t>24/02/2026</t>
        </is>
      </c>
      <c r="I2522" s="10" t="inlineStr">
        <is>
          <t>26/03/2026</t>
        </is>
      </c>
      <c r="J2522" s="10" t="inlineStr">
        <is>
          <t>17/03/2026</t>
        </is>
      </c>
      <c r="K2522" s="10" t="inlineStr">
        <is>
          <t>N/A</t>
        </is>
      </c>
      <c r="L2522" s="10" t="inlineStr">
        <is>
          <t>Sales &amp; Business Development, Customer Relations, Team management skills, Customer Relationship Management skills</t>
        </is>
      </c>
      <c r="M2522" s="10" t="inlineStr">
        <is>
          <t>Healthcare Plan</t>
        </is>
      </c>
      <c r="N2522" s="11">
        <f>HYPERLINK("https://www.vietnamworks.com/area-sale-manager-bancassurance-hcm-ha-noi-da-nang-khanh-hoa-binh-duong-can-tho-2013412-jv","Xem chi tiết")</f>
        <v/>
      </c>
      <c r="O2522" s="10" t="n"/>
    </row>
    <row r="2523">
      <c r="B2523" s="7" t="n">
        <v>2521</v>
      </c>
      <c r="C2523" t="inlineStr">
        <is>
          <t>Chuyên Viên Pháp Lý</t>
        </is>
      </c>
      <c r="D2523" t="inlineStr">
        <is>
          <t>Công Ty Cổ Phần Sữa Việt Nam (Vinamilk)</t>
        </is>
      </c>
      <c r="E2523" t="inlineStr">
        <is>
          <t>Thương lượng</t>
        </is>
      </c>
      <c r="F2523" t="inlineStr">
        <is>
          <t>Hồ Chí Minh</t>
        </is>
      </c>
      <c r="G2523" t="inlineStr">
        <is>
          <t>Nhân viên</t>
        </is>
      </c>
      <c r="H2523" t="inlineStr">
        <is>
          <t>24/02/2026</t>
        </is>
      </c>
      <c r="I2523" t="inlineStr">
        <is>
          <t>26/03/2026</t>
        </is>
      </c>
      <c r="J2523" t="inlineStr">
        <is>
          <t>17/03/2026</t>
        </is>
      </c>
      <c r="K2523" t="inlineStr">
        <is>
          <t>N/A</t>
        </is>
      </c>
      <c r="L2523" t="inlineStr">
        <is>
          <t>Legal, Pháp Lý, Pháp Lý Doanh Nghiệp</t>
        </is>
      </c>
      <c r="M2523" t="inlineStr">
        <is>
          <t>Bonus, Healthcare Plan, Training</t>
        </is>
      </c>
      <c r="N2523" s="8">
        <f>HYPERLINK("https://www.vietnamworks.com/chuyen-vien-phap-ly-147-1-1--2013401-jv","Xem chi tiết")</f>
        <v/>
      </c>
    </row>
    <row r="2524">
      <c r="B2524" s="9" t="n">
        <v>2522</v>
      </c>
      <c r="C2524" s="10" t="inlineStr">
        <is>
          <t>Chuyên Viên Cao Cấp Tái Thẩm Định Khách Hàng Doanh Nghiệp - Khối Tín Dụng</t>
        </is>
      </c>
      <c r="D2524" s="10" t="inlineStr">
        <is>
          <t>Ngân hàng TMCP Tiên Phong (TPBank)</t>
        </is>
      </c>
      <c r="E2524" s="10" t="inlineStr">
        <is>
          <t>Thương lượng</t>
        </is>
      </c>
      <c r="F2524" s="10" t="inlineStr">
        <is>
          <t>Hồ Chí Minh, Hà Nội</t>
        </is>
      </c>
      <c r="G2524" s="10" t="inlineStr">
        <is>
          <t>Nhân viên</t>
        </is>
      </c>
      <c r="H2524" s="10" t="inlineStr">
        <is>
          <t>24/02/2026</t>
        </is>
      </c>
      <c r="I2524" s="10" t="inlineStr">
        <is>
          <t>26/03/2026</t>
        </is>
      </c>
      <c r="J2524" s="10" t="inlineStr">
        <is>
          <t>17/03/2026</t>
        </is>
      </c>
      <c r="K2524" s="10" t="inlineStr">
        <is>
          <t>N/A</t>
        </is>
      </c>
      <c r="L2524" s="10" t="inlineStr">
        <is>
          <t>Thẩm Định Tín Dụng, Phân Tích Số Liệu, Ngân hàng, Tài Chính, Tái Thẩm Định</t>
        </is>
      </c>
      <c r="M2524" s="10" t="inlineStr">
        <is>
          <t>Bonus, Training, Awards</t>
        </is>
      </c>
      <c r="N2524" s="11">
        <f>HYPERLINK("https://www.vietnamworks.com/chuyen-vien-cao-cap-tai-tham-djinh-khach-hang-doanh-nghiep-khoi-tin-dung-2013398-jv","Xem chi tiết")</f>
        <v/>
      </c>
      <c r="O2524" s="10" t="n"/>
    </row>
    <row r="2525">
      <c r="B2525" s="7" t="n">
        <v>2523</v>
      </c>
      <c r="C2525" t="inlineStr">
        <is>
          <t>Kế Toán Tổng Hợp</t>
        </is>
      </c>
      <c r="D2525" t="inlineStr">
        <is>
          <t>CÔNG TY CỔ PHẦN TẬP ĐOÀN BMK</t>
        </is>
      </c>
      <c r="E2525" t="inlineStr">
        <is>
          <t>25tr-30tr ₫/tháng</t>
        </is>
      </c>
      <c r="F2525" t="inlineStr">
        <is>
          <t>Hà Nội</t>
        </is>
      </c>
      <c r="G2525" t="inlineStr">
        <is>
          <t>Nhân viên</t>
        </is>
      </c>
      <c r="H2525" t="inlineStr">
        <is>
          <t>24/02/2026</t>
        </is>
      </c>
      <c r="I2525" t="inlineStr">
        <is>
          <t>26/03/2026</t>
        </is>
      </c>
      <c r="J2525" t="inlineStr">
        <is>
          <t>17/03/2026</t>
        </is>
      </c>
      <c r="K2525" t="inlineStr">
        <is>
          <t>N/A</t>
        </is>
      </c>
      <c r="L2525" t="inlineStr">
        <is>
          <t>Báo Cáo Tài Chính, Kế Toán Dự Án, Kiểm Soát Nội Bộ, Luật Thuế, MS Excel</t>
        </is>
      </c>
      <c r="M2525" t="inlineStr">
        <is>
          <t>Bonus, Healthcare Plan, Travel Opportunities, Team Activities, Others</t>
        </is>
      </c>
      <c r="N2525" s="8">
        <f>HYPERLINK("https://www.vietnamworks.com/ke-toan-tong-hop-2013406-jv","Xem chi tiết")</f>
        <v/>
      </c>
    </row>
    <row r="2526">
      <c r="B2526" s="9" t="n">
        <v>2524</v>
      </c>
      <c r="C2526" s="10" t="inlineStr">
        <is>
          <t>Chuyên Viên Pháp Lý Dự Án</t>
        </is>
      </c>
      <c r="D2526" s="10" t="inlineStr">
        <is>
          <t>CÔNG TY CỔ PHẦN TẬP ĐOÀN BMK</t>
        </is>
      </c>
      <c r="E2526" s="10" t="inlineStr">
        <is>
          <t>24tr-28tr ₫/tháng</t>
        </is>
      </c>
      <c r="F2526" s="10" t="inlineStr">
        <is>
          <t>Hà Nội</t>
        </is>
      </c>
      <c r="G2526" s="10" t="inlineStr">
        <is>
          <t>Nhân viên</t>
        </is>
      </c>
      <c r="H2526" s="10" t="inlineStr">
        <is>
          <t>24/02/2026</t>
        </is>
      </c>
      <c r="I2526" s="10" t="inlineStr">
        <is>
          <t>26/03/2026</t>
        </is>
      </c>
      <c r="J2526" s="10" t="inlineStr">
        <is>
          <t>17/03/2026</t>
        </is>
      </c>
      <c r="K2526" s="10" t="inlineStr">
        <is>
          <t>N/A</t>
        </is>
      </c>
      <c r="L2526" s="10" t="inlineStr">
        <is>
          <t>Giao Tiếp, Lập Báo Cáo, Quản Lý Cuộc Họp, Theo Dõi Tiến Độ, Xử Lý Tình Huống</t>
        </is>
      </c>
      <c r="M2526" s="10" t="inlineStr">
        <is>
          <t>Bonus, Healthcare Plan, Awards, Team Activities, Others</t>
        </is>
      </c>
      <c r="N2526" s="11">
        <f>HYPERLINK("https://www.vietnamworks.com/chuyen-vien-phap-ly-du-an--2013402-jv","Xem chi tiết")</f>
        <v/>
      </c>
      <c r="O2526" s="10" t="n"/>
    </row>
    <row r="2527">
      <c r="B2527" s="7" t="n">
        <v>2525</v>
      </c>
      <c r="C2527" t="inlineStr">
        <is>
          <t>Customer Experience Associate Manager</t>
        </is>
      </c>
      <c r="D2527" t="inlineStr">
        <is>
          <t>Công Ty TNHH Bảo Hiểm Nhân Thọ Generali Việt Nam</t>
        </is>
      </c>
      <c r="E2527" t="inlineStr">
        <is>
          <t>Thương lượng</t>
        </is>
      </c>
      <c r="F2527" t="inlineStr">
        <is>
          <t>Hồ Chí Minh</t>
        </is>
      </c>
      <c r="G2527" t="inlineStr">
        <is>
          <t>Trưởng phòng</t>
        </is>
      </c>
      <c r="H2527" t="inlineStr">
        <is>
          <t>24/02/2026</t>
        </is>
      </c>
      <c r="I2527" t="inlineStr">
        <is>
          <t>26/03/2026</t>
        </is>
      </c>
      <c r="J2527" t="inlineStr">
        <is>
          <t>17/03/2026</t>
        </is>
      </c>
      <c r="K2527" t="inlineStr">
        <is>
          <t>N/A</t>
        </is>
      </c>
      <c r="L2527" t="inlineStr">
        <is>
          <t>Quản Lý Trải Nghiệm Khách Hàng, Customer Experience Management, Customer Insight &amp; Market Research</t>
        </is>
      </c>
      <c r="M2527" t="inlineStr">
        <is>
          <t>Bonus, Healthcare Plan, Team Activities</t>
        </is>
      </c>
      <c r="N2527" s="8">
        <f>HYPERLINK("https://www.vietnamworks.com/customer-experience-associate-manager-2013404-jv","Xem chi tiết")</f>
        <v/>
      </c>
    </row>
    <row r="2528">
      <c r="B2528" s="9" t="n">
        <v>2526</v>
      </c>
      <c r="C2528" s="10" t="inlineStr">
        <is>
          <t>Kế Toán Khách Sạn (Làm Việc Tại Hà Nội)</t>
        </is>
      </c>
      <c r="D2528" s="10" t="inlineStr">
        <is>
          <t>Cong ty TNHH MTV Du Lich Phuong Nguyen</t>
        </is>
      </c>
      <c r="E2528" s="10" t="inlineStr">
        <is>
          <t>Tới 30tr ₫/tháng</t>
        </is>
      </c>
      <c r="F2528" s="10" t="inlineStr">
        <is>
          <t>Hà Nội</t>
        </is>
      </c>
      <c r="G2528" s="10" t="inlineStr">
        <is>
          <t>Nhân viên</t>
        </is>
      </c>
      <c r="H2528" s="10" t="inlineStr">
        <is>
          <t>24/02/2026</t>
        </is>
      </c>
      <c r="I2528" s="10" t="inlineStr">
        <is>
          <t>26/03/2026</t>
        </is>
      </c>
      <c r="J2528" s="10" t="inlineStr">
        <is>
          <t>17/03/2026</t>
        </is>
      </c>
      <c r="K2528" s="10" t="inlineStr">
        <is>
          <t>N/A</t>
        </is>
      </c>
      <c r="L2528" s="10" t="inlineStr">
        <is>
          <t>Báo Cáo Tài Chính, Hạch Toán, Kế Toán Tài Chính, Theo Dõi Công Nợ, Phần Mềm Kế Toán</t>
        </is>
      </c>
      <c r="M2528" s="10" t="inlineStr">
        <is>
          <t>Paid Leave, Travel Opportunities, Canteen</t>
        </is>
      </c>
      <c r="N2528" s="11">
        <f>HYPERLINK("https://www.vietnamworks.com/ke-toan-khach-san-lam-viec-tai-ha-noi-2013416-jv","Xem chi tiết")</f>
        <v/>
      </c>
      <c r="O2528" s="10" t="n"/>
    </row>
    <row r="2529">
      <c r="B2529" s="7" t="n">
        <v>2527</v>
      </c>
      <c r="C2529" t="inlineStr">
        <is>
          <t>Structural Design Engineer (Kỹ Sư Thiết Kế Kết Cấu)</t>
        </is>
      </c>
      <c r="D2529" t="inlineStr">
        <is>
          <t>P &amp; T Consultants (Vietnam) Co. Ltd</t>
        </is>
      </c>
      <c r="E2529" t="inlineStr">
        <is>
          <t>Thương lượng</t>
        </is>
      </c>
      <c r="F2529" t="inlineStr">
        <is>
          <t>Hà Nội, Hồ Chí Minh</t>
        </is>
      </c>
      <c r="G2529" t="inlineStr">
        <is>
          <t>Nhân viên</t>
        </is>
      </c>
      <c r="H2529" t="inlineStr">
        <is>
          <t>24/02/2026</t>
        </is>
      </c>
      <c r="I2529" t="inlineStr">
        <is>
          <t>26/03/2026</t>
        </is>
      </c>
      <c r="J2529" t="inlineStr">
        <is>
          <t>17/03/2026</t>
        </is>
      </c>
      <c r="K2529" t="inlineStr">
        <is>
          <t>N/A</t>
        </is>
      </c>
      <c r="L2529" t="inlineStr">
        <is>
          <t>Kỹ Sư Kết Cấu, Structural Design &amp; analysis, Etab, SAP2000, Thiết kế kết cấu &amp; dự toán công trình</t>
        </is>
      </c>
      <c r="M2529" t="inlineStr">
        <is>
          <t>Bonus, Healthcare Plan, Others</t>
        </is>
      </c>
      <c r="N2529" s="8">
        <f>HYPERLINK("https://www.vietnamworks.com/structural-design-engineer-ky-su-thiet-ke-ket-cau-2013422-jv","Xem chi tiết")</f>
        <v/>
      </c>
    </row>
    <row r="2530">
      <c r="B2530" s="9" t="n">
        <v>2528</v>
      </c>
      <c r="C2530" s="10" t="inlineStr">
        <is>
          <t>Accounting &amp; Finance Manager</t>
        </is>
      </c>
      <c r="D2530" s="10" t="inlineStr">
        <is>
          <t>Exion Vietnam</t>
        </is>
      </c>
      <c r="E2530" s="10" t="inlineStr">
        <is>
          <t>Thương lượng</t>
        </is>
      </c>
      <c r="F2530" s="10" t="inlineStr">
        <is>
          <t>Hồ Chí Minh</t>
        </is>
      </c>
      <c r="G2530" s="10" t="inlineStr">
        <is>
          <t>Nhân viên</t>
        </is>
      </c>
      <c r="H2530" s="10" t="inlineStr">
        <is>
          <t>24/02/2026</t>
        </is>
      </c>
      <c r="I2530" s="10" t="inlineStr">
        <is>
          <t>26/03/2026</t>
        </is>
      </c>
      <c r="J2530" s="10" t="inlineStr">
        <is>
          <t>17/03/2026</t>
        </is>
      </c>
      <c r="K2530" s="10" t="inlineStr">
        <is>
          <t>N/A</t>
        </is>
      </c>
      <c r="L2530" s="10" t="inlineStr">
        <is>
          <t>Vietnamese Accounting Standards, Tax Regulation, Analytical Skills, Accounting Software Proficiency, English Communication</t>
        </is>
      </c>
      <c r="M2530" s="10" t="inlineStr">
        <is>
          <t>Healthcare Plan, Paid Leave, Team Activities</t>
        </is>
      </c>
      <c r="N2530" s="11">
        <f>HYPERLINK("https://www.vietnamworks.com/accounting-and-finance-manager-2013420-jv","Xem chi tiết")</f>
        <v/>
      </c>
      <c r="O2530" s="10" t="n"/>
    </row>
    <row r="2531">
      <c r="B2531" s="7" t="n">
        <v>2529</v>
      </c>
      <c r="C2531" t="inlineStr">
        <is>
          <t>Trưởng Ban Pháp Chế</t>
        </is>
      </c>
      <c r="D2531" t="inlineStr">
        <is>
          <t>CÔNG TY CỔ PHẦN TẬP ĐOÀN BMK</t>
        </is>
      </c>
      <c r="E2531" t="inlineStr">
        <is>
          <t>35tr-45tr ₫/tháng</t>
        </is>
      </c>
      <c r="F2531" t="inlineStr">
        <is>
          <t>Hà Nội</t>
        </is>
      </c>
      <c r="G2531" t="inlineStr">
        <is>
          <t>Trưởng phòng</t>
        </is>
      </c>
      <c r="H2531" t="inlineStr">
        <is>
          <t>24/02/2026</t>
        </is>
      </c>
      <c r="I2531" t="inlineStr">
        <is>
          <t>26/03/2026</t>
        </is>
      </c>
      <c r="J2531" t="inlineStr">
        <is>
          <t>17/03/2026</t>
        </is>
      </c>
      <c r="K2531" t="inlineStr">
        <is>
          <t>N/A</t>
        </is>
      </c>
      <c r="L2531" t="inlineStr">
        <is>
          <t>Hỗ Trợ Pháp Lý, Luật Đầu Tư, Quản Trị Rủi Ro, Thẩm Định Hợp Đồng, Đàm Phán</t>
        </is>
      </c>
      <c r="M2531" t="inlineStr">
        <is>
          <t>Bonus, Healthcare Plan, Travel Opportunities, Vouchers, Others</t>
        </is>
      </c>
      <c r="N2531" s="8">
        <f>HYPERLINK("https://www.vietnamworks.com/truong-ban-phap-che-2013418-jv","Xem chi tiết")</f>
        <v/>
      </c>
    </row>
    <row r="2532">
      <c r="B2532" s="9" t="n">
        <v>2530</v>
      </c>
      <c r="C2532" s="10" t="inlineStr">
        <is>
          <t>Kế Toán Tổng Hợp (Xây Dựng)</t>
        </is>
      </c>
      <c r="D2532" s="10" t="inlineStr">
        <is>
          <t>Cong ty TNHH MTV Du Lich Phuong Nguyen</t>
        </is>
      </c>
      <c r="E2532" s="10" t="inlineStr">
        <is>
          <t>Tới 30tr ₫/tháng</t>
        </is>
      </c>
      <c r="F2532" s="10" t="inlineStr">
        <is>
          <t>Hà Nội</t>
        </is>
      </c>
      <c r="G2532" s="10" t="inlineStr">
        <is>
          <t>Nhân viên</t>
        </is>
      </c>
      <c r="H2532" s="10" t="inlineStr">
        <is>
          <t>24/02/2026</t>
        </is>
      </c>
      <c r="I2532" s="10" t="inlineStr">
        <is>
          <t>26/03/2026</t>
        </is>
      </c>
      <c r="J2532" s="10" t="inlineStr">
        <is>
          <t>17/03/2026</t>
        </is>
      </c>
      <c r="K2532" s="10" t="inlineStr">
        <is>
          <t>N/A</t>
        </is>
      </c>
      <c r="L2532" s="10" t="inlineStr">
        <is>
          <t>Báo Cáo Tài Chính, Kế Toán Xây Dựng, Hạch Toán, Phần Mềm Kế Toán, Theo Dõi Công Nợ</t>
        </is>
      </c>
      <c r="M2532" s="10" t="inlineStr">
        <is>
          <t>Bonus, Healthcare Plan, Canteen</t>
        </is>
      </c>
      <c r="N2532" s="11">
        <f>HYPERLINK("https://www.vietnamworks.com/ke-toan-tong-hop-xay-dung--2013423-jv","Xem chi tiết")</f>
        <v/>
      </c>
      <c r="O2532" s="10" t="n"/>
    </row>
    <row r="2533">
      <c r="B2533" s="7" t="n">
        <v>2531</v>
      </c>
      <c r="C2533" t="inlineStr">
        <is>
          <t>Trưởng Phòng Quản lý Hạ tầng &amp; An ninh mạng</t>
        </is>
      </c>
      <c r="D2533" t="inlineStr">
        <is>
          <t>Tập Đoàn Tân Á Đại Thành</t>
        </is>
      </c>
      <c r="E2533" t="inlineStr">
        <is>
          <t>Thương lượng</t>
        </is>
      </c>
      <c r="F2533" t="inlineStr">
        <is>
          <t>Hà Nội</t>
        </is>
      </c>
      <c r="G2533" t="inlineStr">
        <is>
          <t>Trưởng phòng</t>
        </is>
      </c>
      <c r="H2533" t="inlineStr">
        <is>
          <t>24/02/2026</t>
        </is>
      </c>
      <c r="I2533" t="inlineStr">
        <is>
          <t>26/03/2026</t>
        </is>
      </c>
      <c r="J2533" t="inlineStr">
        <is>
          <t>17/03/2026</t>
        </is>
      </c>
      <c r="K2533" t="inlineStr">
        <is>
          <t>N/A</t>
        </is>
      </c>
      <c r="L2533" t="inlineStr">
        <is>
          <t>Hệ Thống Ảo Hóa, Quản Trị Hệ Thống Mạng, Quản Trị Server, Quản Trị Đội Ngũ, Tôn Trọng Bảo Mật</t>
        </is>
      </c>
      <c r="M2533" t="inlineStr">
        <is>
          <t>Bonus, Healthcare Plan, Paid Leave, Training, Laptop, Travel Opportunities, Others</t>
        </is>
      </c>
      <c r="N2533" s="8">
        <f>HYPERLINK("https://www.vietnamworks.com/truong-phong-quan-ly-ha-tang-and-an-ninh-mang-2013413-jv","Xem chi tiết")</f>
        <v/>
      </c>
    </row>
    <row r="2534">
      <c r="B2534" s="9" t="n">
        <v>2532</v>
      </c>
      <c r="C2534" s="10" t="inlineStr">
        <is>
          <t>Chuyên Viên Fintech</t>
        </is>
      </c>
      <c r="D2534" s="10" t="inlineStr">
        <is>
          <t>TCT CP Đầu tư Quốc tế Viettel</t>
        </is>
      </c>
      <c r="E2534" s="10" t="inlineStr">
        <is>
          <t>25tr-30tr ₫/tháng</t>
        </is>
      </c>
      <c r="F2534" s="10" t="inlineStr">
        <is>
          <t>Hà Nội</t>
        </is>
      </c>
      <c r="G2534" s="10" t="inlineStr">
        <is>
          <t>Nhân viên</t>
        </is>
      </c>
      <c r="H2534" s="10" t="inlineStr">
        <is>
          <t>24/02/2026</t>
        </is>
      </c>
      <c r="I2534" s="10" t="inlineStr">
        <is>
          <t>26/03/2026</t>
        </is>
      </c>
      <c r="J2534" s="10" t="inlineStr">
        <is>
          <t>17/03/2026</t>
        </is>
      </c>
      <c r="K2534" s="10" t="inlineStr">
        <is>
          <t>N/A</t>
        </is>
      </c>
      <c r="L2534" s="10" t="inlineStr">
        <is>
          <t>Fintech, Fintech Collaboration, Hiểu Biết Về Fintech, Tài Chính Ngân Hàng, Tư Vấn Tài Chính</t>
        </is>
      </c>
      <c r="M2534" s="10" t="inlineStr">
        <is>
          <t>Bonus, Healthcare Plan, Training, Travel Opportunities, Team Activities</t>
        </is>
      </c>
      <c r="N2534" s="11">
        <f>HYPERLINK("https://www.vietnamworks.com/chuyen-vien-fintech-2013430-jv","Xem chi tiết")</f>
        <v/>
      </c>
      <c r="O2534" s="10" t="n"/>
    </row>
    <row r="2535">
      <c r="B2535" s="7" t="n">
        <v>2533</v>
      </c>
      <c r="C2535" t="inlineStr">
        <is>
          <t>Customer Service Executive</t>
        </is>
      </c>
      <c r="D2535" t="inlineStr">
        <is>
          <t>Electrolux Vietnam Ltd.,</t>
        </is>
      </c>
      <c r="E2535" t="inlineStr">
        <is>
          <t>Thương lượng</t>
        </is>
      </c>
      <c r="F2535" t="inlineStr">
        <is>
          <t>Hồ Chí Minh</t>
        </is>
      </c>
      <c r="G2535" t="inlineStr">
        <is>
          <t>Nhân viên</t>
        </is>
      </c>
      <c r="H2535" t="inlineStr">
        <is>
          <t>24/02/2026</t>
        </is>
      </c>
      <c r="I2535" t="inlineStr">
        <is>
          <t>26/03/2026</t>
        </is>
      </c>
      <c r="J2535" t="inlineStr">
        <is>
          <t>17/03/2026</t>
        </is>
      </c>
      <c r="K2535" t="inlineStr">
        <is>
          <t>N/A</t>
        </is>
      </c>
      <c r="L2535" t="inlineStr">
        <is>
          <t>Dịch Vụ Khách Hàng, Customer Service, Customer Care, Communication, Chăm Sóc Khách Hàng</t>
        </is>
      </c>
      <c r="M2535" t="inlineStr">
        <is>
          <t>Bonus, Healthcare Plan, Paid Leave</t>
        </is>
      </c>
      <c r="N2535" s="8">
        <f>HYPERLINK("https://www.vietnamworks.com/customer-service-executive--2013434-jv","Xem chi tiết")</f>
        <v/>
      </c>
    </row>
    <row r="2536">
      <c r="B2536" s="9" t="n">
        <v>2534</v>
      </c>
      <c r="C2536" s="10" t="inlineStr">
        <is>
          <t>Nhân Viên Kinh Doanh</t>
        </is>
      </c>
      <c r="D2536" s="10" t="inlineStr">
        <is>
          <t>CÔNG TY TNHH SX TM DV NGUYÊN KHANG</t>
        </is>
      </c>
      <c r="E2536" s="10" t="inlineStr">
        <is>
          <t>Thương lượng</t>
        </is>
      </c>
      <c r="F2536" s="10" t="inlineStr">
        <is>
          <t>Hồ Chí Minh</t>
        </is>
      </c>
      <c r="G2536" s="10" t="inlineStr">
        <is>
          <t>Nhân viên</t>
        </is>
      </c>
      <c r="H2536" s="10" t="inlineStr">
        <is>
          <t>24/02/2026</t>
        </is>
      </c>
      <c r="I2536" s="10" t="inlineStr">
        <is>
          <t>26/03/2026</t>
        </is>
      </c>
      <c r="J2536" s="10" t="inlineStr">
        <is>
          <t>17/03/2026</t>
        </is>
      </c>
      <c r="K2536" s="10" t="inlineStr">
        <is>
          <t>N/A</t>
        </is>
      </c>
      <c r="L2536" s="10" t="inlineStr">
        <is>
          <t>Bán Hàng, Chăm Sóc Khách Hàng, Kinh Doanh, Tìm Kiếm Khách Hàng, Tư Vấn</t>
        </is>
      </c>
      <c r="M2536" s="10" t="inlineStr">
        <is>
          <t>Bonus, Team Activities, Canteen, Others</t>
        </is>
      </c>
      <c r="N2536" s="11">
        <f>HYPERLINK("https://www.vietnamworks.com/nhan-vien-kinh-doanh-2013433-jv","Xem chi tiết")</f>
        <v/>
      </c>
      <c r="O2536" s="10" t="n"/>
    </row>
    <row r="2537">
      <c r="B2537" s="7" t="n">
        <v>2535</v>
      </c>
      <c r="C2537" t="inlineStr">
        <is>
          <t>Sales Engineer Kỹ Sư Bán Hàng</t>
        </is>
      </c>
      <c r="D2537" t="inlineStr">
        <is>
          <t>CÔNG TY TNHH NFK VIỆT NAM</t>
        </is>
      </c>
      <c r="E2537" t="inlineStr">
        <is>
          <t>Thương lượng</t>
        </is>
      </c>
      <c r="F2537" t="inlineStr">
        <is>
          <t>Hà Nội</t>
        </is>
      </c>
      <c r="G2537" t="inlineStr">
        <is>
          <t>Nhân viên</t>
        </is>
      </c>
      <c r="H2537" t="inlineStr">
        <is>
          <t>24/02/2026</t>
        </is>
      </c>
      <c r="I2537" t="inlineStr">
        <is>
          <t>26/03/2026</t>
        </is>
      </c>
      <c r="J2537" t="inlineStr">
        <is>
          <t>17/03/2026</t>
        </is>
      </c>
      <c r="K2537" t="inlineStr">
        <is>
          <t>N/A</t>
        </is>
      </c>
      <c r="L2537" t="inlineStr">
        <is>
          <t>Giao Tiếp, Sale Engineering, Kinh Doanh, Giải Pháp Kỹ Thuật, Tư Vấn Sản Phẩm</t>
        </is>
      </c>
      <c r="M2537" t="inlineStr">
        <is>
          <t>Bonus, Healthcare Plan, Paid Leave, Training, Travel Opportunities, Transportation, Others</t>
        </is>
      </c>
      <c r="N2537" s="8">
        <f>HYPERLINK("https://www.vietnamworks.com/sales-engineer-ky-su-ban-hang-2013424-jv","Xem chi tiết")</f>
        <v/>
      </c>
    </row>
    <row r="2538">
      <c r="B2538" s="9" t="n">
        <v>2536</v>
      </c>
      <c r="C2538" s="10" t="inlineStr">
        <is>
          <t>Trưởng Bộ Phận Mua Hàng</t>
        </is>
      </c>
      <c r="D2538" s="10" t="inlineStr">
        <is>
          <t>Công Ty Cổ Phần Công Nghiệp Phụ Trợ Ô Tô Xe Máy AMAC</t>
        </is>
      </c>
      <c r="E2538" s="10" t="inlineStr">
        <is>
          <t>15tr-25tr ₫/tháng</t>
        </is>
      </c>
      <c r="F2538" s="10" t="inlineStr">
        <is>
          <t>Hà Nội</t>
        </is>
      </c>
      <c r="G2538" s="10" t="inlineStr">
        <is>
          <t>Trưởng phòng</t>
        </is>
      </c>
      <c r="H2538" s="10" t="inlineStr">
        <is>
          <t>24/02/2026</t>
        </is>
      </c>
      <c r="I2538" s="10" t="inlineStr">
        <is>
          <t>26/03/2026</t>
        </is>
      </c>
      <c r="J2538" s="10" t="inlineStr">
        <is>
          <t>17/03/2026</t>
        </is>
      </c>
      <c r="K2538" s="10" t="inlineStr">
        <is>
          <t>N/A</t>
        </is>
      </c>
      <c r="L2538" s="10" t="inlineStr">
        <is>
          <t>Mua Hàng, Phân Tích Dữ Liệu, Procurement &amp; Supplier Management, Quản Lý Ngân Sách</t>
        </is>
      </c>
      <c r="M2538" s="10" t="inlineStr">
        <is>
          <t>Bonus, Training, Awards, Kindergarten</t>
        </is>
      </c>
      <c r="N2538" s="11">
        <f>HYPERLINK("https://www.vietnamworks.com/truong-bo-phan-mua-hang-2013432-jv","Xem chi tiết")</f>
        <v/>
      </c>
      <c r="O2538" s="10" t="n"/>
    </row>
    <row r="2539">
      <c r="B2539" s="7" t="n">
        <v>2537</v>
      </c>
      <c r="C2539" t="inlineStr">
        <is>
          <t>Senior Sales Engineer</t>
        </is>
      </c>
      <c r="D2539" t="inlineStr">
        <is>
          <t>Vietnamworks' Client</t>
        </is>
      </c>
      <c r="E2539" t="inlineStr">
        <is>
          <t>Thương lượng</t>
        </is>
      </c>
      <c r="F2539" t="inlineStr">
        <is>
          <t>Hà Nội</t>
        </is>
      </c>
      <c r="G2539" t="inlineStr">
        <is>
          <t>Trưởng phòng</t>
        </is>
      </c>
      <c r="H2539" t="inlineStr">
        <is>
          <t>24/02/2026</t>
        </is>
      </c>
      <c r="I2539" t="inlineStr">
        <is>
          <t>26/03/2026</t>
        </is>
      </c>
      <c r="J2539" t="inlineStr">
        <is>
          <t>17/03/2026</t>
        </is>
      </c>
      <c r="K2539" t="inlineStr">
        <is>
          <t>N/A</t>
        </is>
      </c>
      <c r="L2539" t="inlineStr">
        <is>
          <t>Business Development, Sales Engineering, Technical skills</t>
        </is>
      </c>
      <c r="M2539" t="inlineStr">
        <is>
          <t>Bonus, Healthcare Plan, Training</t>
        </is>
      </c>
      <c r="N2539" s="8">
        <f>HYPERLINK("https://www.vietnamworks.com/senior-sales-engineer--2013445-jv","Xem chi tiết")</f>
        <v/>
      </c>
    </row>
    <row r="2540">
      <c r="B2540" s="9" t="n">
        <v>2538</v>
      </c>
      <c r="C2540" s="10" t="inlineStr">
        <is>
          <t>Kỹ Sư Quản Lý Dự Án ( AI Kaizen Project Engineer)</t>
        </is>
      </c>
      <c r="D2540" s="10" t="inlineStr">
        <is>
          <t>Công Ty Cổ Phần Công Nghiệp Phụ Trợ Ô Tô Xe Máy AMAC</t>
        </is>
      </c>
      <c r="E2540" s="10" t="inlineStr">
        <is>
          <t>15tr-25tr ₫/tháng</t>
        </is>
      </c>
      <c r="F2540" s="10" t="inlineStr">
        <is>
          <t>Hà Nội</t>
        </is>
      </c>
      <c r="G2540" s="10" t="inlineStr">
        <is>
          <t>Nhân viên</t>
        </is>
      </c>
      <c r="H2540" s="10" t="inlineStr">
        <is>
          <t>24/02/2026</t>
        </is>
      </c>
      <c r="I2540" s="10" t="inlineStr">
        <is>
          <t>26/03/2026</t>
        </is>
      </c>
      <c r="J2540" s="10" t="inlineStr">
        <is>
          <t>17/03/2026</t>
        </is>
      </c>
      <c r="K2540" s="10" t="inlineStr">
        <is>
          <t>N/A</t>
        </is>
      </c>
      <c r="L2540" s="10" t="inlineStr">
        <is>
          <t>Kaizen, Quản Lý Dự Án, Quản Lý Dự Án Kỹ Thuật, Quản Lý Rủi Ro, Tự Động Hóa</t>
        </is>
      </c>
      <c r="M2540" s="10" t="inlineStr">
        <is>
          <t>Bonus, Training, Others</t>
        </is>
      </c>
      <c r="N2540" s="11">
        <f>HYPERLINK("https://www.vietnamworks.com/ky-su-quan-ly-du-an-ai-kaizen-project-engineer-2013439-jv","Xem chi tiết")</f>
        <v/>
      </c>
      <c r="O2540" s="10" t="n"/>
    </row>
    <row r="2541">
      <c r="B2541" s="7" t="n">
        <v>2539</v>
      </c>
      <c r="C2541" t="inlineStr">
        <is>
          <t>Production Analyst</t>
        </is>
      </c>
      <c r="D2541" t="inlineStr">
        <is>
          <t>VIETNAM HOUSEWARES CORP</t>
        </is>
      </c>
      <c r="E2541" t="inlineStr">
        <is>
          <t>Thương lượng</t>
        </is>
      </c>
      <c r="F2541" t="inlineStr">
        <is>
          <t>Bình Dương</t>
        </is>
      </c>
      <c r="G2541" t="inlineStr">
        <is>
          <t>Nhân viên</t>
        </is>
      </c>
      <c r="H2541" t="inlineStr">
        <is>
          <t>24/02/2026</t>
        </is>
      </c>
      <c r="I2541" t="inlineStr">
        <is>
          <t>26/03/2026</t>
        </is>
      </c>
      <c r="J2541" t="inlineStr">
        <is>
          <t>17/03/2026</t>
        </is>
      </c>
      <c r="K2541" t="inlineStr">
        <is>
          <t>N/A</t>
        </is>
      </c>
      <c r="L2541" t="inlineStr">
        <is>
          <t>ERP Systems, English, Excel, Data Analysis, Power BI</t>
        </is>
      </c>
      <c r="M2541" t="inlineStr">
        <is>
          <t>Awards</t>
        </is>
      </c>
      <c r="N2541" s="8">
        <f>HYPERLINK("https://www.vietnamworks.com/production-analyst-2013429-jv","Xem chi tiết")</f>
        <v/>
      </c>
    </row>
    <row r="2542">
      <c r="B2542" s="9" t="n">
        <v>2540</v>
      </c>
      <c r="C2542" s="10" t="inlineStr">
        <is>
          <t>HR Intern</t>
        </is>
      </c>
      <c r="D2542" s="10" t="inlineStr">
        <is>
          <t>Navigos Group</t>
        </is>
      </c>
      <c r="E2542" s="10" t="inlineStr">
        <is>
          <t>Thương lượng</t>
        </is>
      </c>
      <c r="F2542" s="10" t="inlineStr">
        <is>
          <t>Hồ Chí Minh</t>
        </is>
      </c>
      <c r="G2542" s="10" t="inlineStr">
        <is>
          <t>Thực tập sinh/Sinh viên</t>
        </is>
      </c>
      <c r="H2542" s="10" t="inlineStr">
        <is>
          <t>24/02/2026</t>
        </is>
      </c>
      <c r="I2542" s="10" t="inlineStr">
        <is>
          <t>26/03/2026</t>
        </is>
      </c>
      <c r="J2542" s="10" t="inlineStr">
        <is>
          <t>17/03/2026</t>
        </is>
      </c>
      <c r="K2542" s="10" t="inlineStr">
        <is>
          <t>N/A</t>
        </is>
      </c>
      <c r="L2542" s="10" t="inlineStr">
        <is>
          <t>Basic English, Detail-Oriented, Filing System, Well Organized</t>
        </is>
      </c>
      <c r="M2542" s="10" t="inlineStr">
        <is>
          <t>Training</t>
        </is>
      </c>
      <c r="N2542" s="11">
        <f>HYPERLINK("https://www.vietnamworks.com/hr-intern-2013428-jv","Xem chi tiết")</f>
        <v/>
      </c>
      <c r="O2542" s="10" t="n"/>
    </row>
    <row r="2543">
      <c r="B2543" s="7" t="n">
        <v>2541</v>
      </c>
      <c r="C2543" t="inlineStr">
        <is>
          <t>Chuyên Viên Kinh Doanh Bất Động Sản</t>
        </is>
      </c>
      <c r="D2543" t="inlineStr">
        <is>
          <t>CÔNG TY CỔ PHẦN TẬP ĐOÀN BMK</t>
        </is>
      </c>
      <c r="E2543" t="inlineStr">
        <is>
          <t>18tr-25tr ₫/tháng</t>
        </is>
      </c>
      <c r="F2543" t="inlineStr">
        <is>
          <t>Hà Nội</t>
        </is>
      </c>
      <c r="G2543" t="inlineStr">
        <is>
          <t>Mới Tốt Nghiệp</t>
        </is>
      </c>
      <c r="H2543" t="inlineStr">
        <is>
          <t>24/02/2026</t>
        </is>
      </c>
      <c r="I2543" t="inlineStr">
        <is>
          <t>26/03/2026</t>
        </is>
      </c>
      <c r="J2543" t="inlineStr">
        <is>
          <t>17/03/2026</t>
        </is>
      </c>
      <c r="K2543" t="inlineStr">
        <is>
          <t>N/A</t>
        </is>
      </c>
      <c r="L2543" t="inlineStr">
        <is>
          <t>Chăm Sóc Khách Hàng, Kinh Doanh Bất Động Sản, Quản Lý Hồ Sơ, Tìm Kiếm Khách Hàng, Tư Vấn Sản Phẩm</t>
        </is>
      </c>
      <c r="M2543" t="inlineStr">
        <is>
          <t>Bonus, Healthcare Plan, Travel Opportunities, Team Activities, Others</t>
        </is>
      </c>
      <c r="N2543" s="8">
        <f>HYPERLINK("https://www.vietnamworks.com/chuyen-vien-kinh-doanh-bat-djong-san-2013427-jv","Xem chi tiết")</f>
        <v/>
      </c>
    </row>
    <row r="2544">
      <c r="B2544" s="9" t="n">
        <v>2542</v>
      </c>
      <c r="C2544" s="10" t="inlineStr">
        <is>
          <t>Tuyển Lái Máy Khoan Neo Tại Các Dự Án Nhà Cao Tầng</t>
        </is>
      </c>
      <c r="D2544" s="10" t="inlineStr">
        <is>
          <t>VSL Vietnam Ltd.</t>
        </is>
      </c>
      <c r="E2544" s="10" t="inlineStr">
        <is>
          <t>Thương lượng</t>
        </is>
      </c>
      <c r="F2544" s="10" t="inlineStr">
        <is>
          <t>Hà Nội</t>
        </is>
      </c>
      <c r="G2544" s="10" t="inlineStr">
        <is>
          <t>Nhân viên</t>
        </is>
      </c>
      <c r="H2544" s="10" t="inlineStr">
        <is>
          <t>24/02/2026</t>
        </is>
      </c>
      <c r="I2544" s="10" t="inlineStr">
        <is>
          <t>26/03/2026</t>
        </is>
      </c>
      <c r="J2544" s="10" t="inlineStr">
        <is>
          <t>17/03/2026</t>
        </is>
      </c>
      <c r="K2544" s="10" t="inlineStr">
        <is>
          <t>N/A</t>
        </is>
      </c>
      <c r="L2544" s="10" t="inlineStr">
        <is>
          <t>Lái Máy Xây Dựng, Cơ Khí Công Trình, Bảo Dưỡng Máy Móc, Vận Hành Thiết Bị, Sửa Chữa Thiết Bị Máy Móc</t>
        </is>
      </c>
      <c r="M2544" s="10" t="inlineStr">
        <is>
          <t>Healthcare Plan, Training, Team Activities</t>
        </is>
      </c>
      <c r="N2544" s="11">
        <f>HYPERLINK("https://www.vietnamworks.com/tuyen-lai-may-khoan-neo-tai-cac-du-an-nha-cao-tang--2013438-jv","Xem chi tiết")</f>
        <v/>
      </c>
      <c r="O2544" s="10" t="n"/>
    </row>
    <row r="2545">
      <c r="B2545" s="7" t="n">
        <v>2543</v>
      </c>
      <c r="C2545" t="inlineStr">
        <is>
          <t>Chuyên Viên Thanh Tra</t>
        </is>
      </c>
      <c r="D2545" t="inlineStr">
        <is>
          <t>CÔNG TY CỔ PHẦN TẬP ĐOÀN BMK</t>
        </is>
      </c>
      <c r="E2545" t="inlineStr">
        <is>
          <t>24tr-28tr ₫/tháng</t>
        </is>
      </c>
      <c r="F2545" t="inlineStr">
        <is>
          <t>Hà Nội</t>
        </is>
      </c>
      <c r="G2545" t="inlineStr">
        <is>
          <t>Nhân viên</t>
        </is>
      </c>
      <c r="H2545" t="inlineStr">
        <is>
          <t>24/02/2026</t>
        </is>
      </c>
      <c r="I2545" t="inlineStr">
        <is>
          <t>26/03/2026</t>
        </is>
      </c>
      <c r="J2545" t="inlineStr">
        <is>
          <t>17/03/2026</t>
        </is>
      </c>
      <c r="K2545" t="inlineStr">
        <is>
          <t>N/A</t>
        </is>
      </c>
      <c r="L2545" t="inlineStr">
        <is>
          <t>Kinh Tế Xây Dựng, Phân Tích Rủi Ro, Quản Lý Dự Án, Quản Lý Xây Dựng, Xây Dựng Dân Dụng</t>
        </is>
      </c>
      <c r="M2545" t="inlineStr">
        <is>
          <t>Bonus, Healthcare Plan, Awards, Team Activities, Others</t>
        </is>
      </c>
      <c r="N2545" s="8">
        <f>HYPERLINK("https://www.vietnamworks.com/chuyen-vien-thanh-tra-2013450-jv","Xem chi tiết")</f>
        <v/>
      </c>
    </row>
    <row r="2546">
      <c r="B2546" s="9" t="n">
        <v>2544</v>
      </c>
      <c r="C2546" s="10" t="inlineStr">
        <is>
          <t>Cost Accountant</t>
        </is>
      </c>
      <c r="D2546" s="10" t="inlineStr">
        <is>
          <t>VINFAST TRADING AND PRODUCTION JSC</t>
        </is>
      </c>
      <c r="E2546" s="10" t="inlineStr">
        <is>
          <t>Tới $ 2,000 /tháng</t>
        </is>
      </c>
      <c r="F2546" s="10" t="inlineStr">
        <is>
          <t>Hải Phòng</t>
        </is>
      </c>
      <c r="G2546" s="10" t="inlineStr">
        <is>
          <t>Nhân viên</t>
        </is>
      </c>
      <c r="H2546" s="10" t="inlineStr">
        <is>
          <t>24/02/2026</t>
        </is>
      </c>
      <c r="I2546" s="10" t="inlineStr">
        <is>
          <t>26/03/2026</t>
        </is>
      </c>
      <c r="J2546" s="10" t="inlineStr">
        <is>
          <t>17/03/2026</t>
        </is>
      </c>
      <c r="K2546" s="10" t="inlineStr">
        <is>
          <t>N/A</t>
        </is>
      </c>
      <c r="L2546" s="10" t="inlineStr">
        <is>
          <t>Fixed Assets, Accountant, Cost Accountant, Cost Calculation &amp; Analysis, Auditing &amp; accounting</t>
        </is>
      </c>
      <c r="M2546" s="10" t="inlineStr">
        <is>
          <t>Bonus, Healthcare Plan, Others</t>
        </is>
      </c>
      <c r="N2546" s="11">
        <f>HYPERLINK("https://www.vietnamworks.com/cost-accountant--2013442-jv","Xem chi tiết")</f>
        <v/>
      </c>
      <c r="O2546" s="10" t="n"/>
    </row>
    <row r="2547">
      <c r="B2547" s="7" t="n">
        <v>2545</v>
      </c>
      <c r="C2547" t="inlineStr">
        <is>
          <t>Nhân Viên Kinh Doanh Quốc Tế</t>
        </is>
      </c>
      <c r="D2547" t="inlineStr">
        <is>
          <t>CÔNG TY CỔ PHẦN ASIA SPECIALTY INGREDIENTS</t>
        </is>
      </c>
      <c r="E2547" t="inlineStr">
        <is>
          <t>$$ 800-1,500 /tháng</t>
        </is>
      </c>
      <c r="F2547" t="inlineStr">
        <is>
          <t>Hưng Yên, Hải Dương, Hà Nội</t>
        </is>
      </c>
      <c r="G2547" t="inlineStr">
        <is>
          <t>Nhân viên</t>
        </is>
      </c>
      <c r="H2547" t="inlineStr">
        <is>
          <t>24/02/2026</t>
        </is>
      </c>
      <c r="I2547" t="inlineStr">
        <is>
          <t>26/03/2026</t>
        </is>
      </c>
      <c r="J2547" t="inlineStr">
        <is>
          <t>17/03/2026</t>
        </is>
      </c>
      <c r="K2547" t="inlineStr">
        <is>
          <t>N/A</t>
        </is>
      </c>
      <c r="L2547" t="inlineStr">
        <is>
          <t>Xuất Nhập Khẩu, Tìm Kiếm Khách Hàng, International Sales Skill, Hóa Chất, Kinh doanh xuất khẩu hàng hóa</t>
        </is>
      </c>
      <c r="M2547" t="inlineStr">
        <is>
          <t>Bonus, Healthcare Plan, Travel Opportunities</t>
        </is>
      </c>
      <c r="N2547" s="8">
        <f>HYPERLINK("https://www.vietnamworks.com/nhan-vien-kinh-doanh-quoc-te--2013447-jv","Xem chi tiết")</f>
        <v/>
      </c>
    </row>
    <row r="2548">
      <c r="B2548" s="9" t="n">
        <v>2546</v>
      </c>
      <c r="C2548" s="10" t="inlineStr">
        <is>
          <t>Kỹ Sư Xây Dựng Và Kiểm Soát Kỹ Thuật</t>
        </is>
      </c>
      <c r="D2548" s="10" t="inlineStr">
        <is>
          <t>CÔNG TY CỔ PHẦN TẬP ĐOÀN BMK</t>
        </is>
      </c>
      <c r="E2548" s="10" t="inlineStr">
        <is>
          <t>25tr-30tr ₫/tháng</t>
        </is>
      </c>
      <c r="F2548" s="10" t="inlineStr">
        <is>
          <t>Hà Nội</t>
        </is>
      </c>
      <c r="G2548" s="10" t="inlineStr">
        <is>
          <t>Nhân viên</t>
        </is>
      </c>
      <c r="H2548" s="10" t="inlineStr">
        <is>
          <t>24/02/2026</t>
        </is>
      </c>
      <c r="I2548" s="10" t="inlineStr">
        <is>
          <t>26/03/2026</t>
        </is>
      </c>
      <c r="J2548" s="10" t="inlineStr">
        <is>
          <t>17/03/2026</t>
        </is>
      </c>
      <c r="K2548" s="10" t="inlineStr">
        <is>
          <t>N/A</t>
        </is>
      </c>
      <c r="L2548" s="10" t="inlineStr">
        <is>
          <t>Kiểm Duyệt Bản Vẽ, Kiếm Soát Kỹ Thuật, Kỹ Sư Xây Dựng, Quản Lý Kỹ Thuật, Thiết Kế Xây Dựng</t>
        </is>
      </c>
      <c r="M2548" s="10" t="inlineStr">
        <is>
          <t>Bonus, Healthcare Plan, Awards, Team Activities, Others</t>
        </is>
      </c>
      <c r="N2548" s="11">
        <f>HYPERLINK("https://www.vietnamworks.com/ky-su-xay-dung-va-kiem-soat-ky-thuat-2013448-jv","Xem chi tiết")</f>
        <v/>
      </c>
      <c r="O2548" s="10" t="n"/>
    </row>
    <row r="2549">
      <c r="B2549" s="7" t="n">
        <v>2547</v>
      </c>
      <c r="C2549" t="inlineStr">
        <is>
          <t>Field Service Technician (F&amp;B) - 3rd Party Contract</t>
        </is>
      </c>
      <c r="D2549" t="inlineStr">
        <is>
          <t>Công Ty TNHH Ecolab Việt Nam</t>
        </is>
      </c>
      <c r="E2549" t="inlineStr">
        <is>
          <t>Thương lượng</t>
        </is>
      </c>
      <c r="F2549" t="inlineStr">
        <is>
          <t>Hồ Chí Minh</t>
        </is>
      </c>
      <c r="G2549" t="inlineStr">
        <is>
          <t>Nhân viên</t>
        </is>
      </c>
      <c r="H2549" t="inlineStr">
        <is>
          <t>24/02/2026</t>
        </is>
      </c>
      <c r="I2549" t="inlineStr">
        <is>
          <t>26/03/2026</t>
        </is>
      </c>
      <c r="J2549" t="inlineStr">
        <is>
          <t>17/03/2026</t>
        </is>
      </c>
      <c r="K2549" t="inlineStr">
        <is>
          <t>N/A</t>
        </is>
      </c>
      <c r="L2549" t="inlineStr">
        <is>
          <t>Technical Support, Technical Engineering, Customer Support, Chemical Technology, Chemical</t>
        </is>
      </c>
      <c r="M2549" t="inlineStr">
        <is>
          <t>Bonus, Healthcare Plan, Paid Leave</t>
        </is>
      </c>
      <c r="N2549" s="8">
        <f>HYPERLINK("https://www.vietnamworks.com/field-service-technician-f-b-3rd-party-contract-2013426-jv","Xem chi tiết")</f>
        <v/>
      </c>
    </row>
    <row r="2550">
      <c r="B2550" s="9" t="n">
        <v>2548</v>
      </c>
      <c r="C2550" s="10" t="inlineStr">
        <is>
          <t>Phó Phòng Tài Chính</t>
        </is>
      </c>
      <c r="D2550" s="10" t="inlineStr">
        <is>
          <t>Stavian Group</t>
        </is>
      </c>
      <c r="E2550" s="10" t="inlineStr">
        <is>
          <t>Thương lượng</t>
        </is>
      </c>
      <c r="F2550" s="10" t="inlineStr">
        <is>
          <t>Hà Nội</t>
        </is>
      </c>
      <c r="G2550" s="10" t="inlineStr">
        <is>
          <t>Trưởng phòng</t>
        </is>
      </c>
      <c r="H2550" s="10" t="inlineStr">
        <is>
          <t>24/02/2026</t>
        </is>
      </c>
      <c r="I2550" s="10" t="inlineStr">
        <is>
          <t>26/03/2026</t>
        </is>
      </c>
      <c r="J2550" s="10" t="inlineStr">
        <is>
          <t>17/03/2026</t>
        </is>
      </c>
      <c r="K2550" s="10" t="inlineStr">
        <is>
          <t>N/A</t>
        </is>
      </c>
      <c r="L2550" s="10" t="inlineStr">
        <is>
          <t>Tài Chính, Trade Finance, Tiếng Anh, Tài chính &amp; báo cáo, Phân Tích Tài Chính</t>
        </is>
      </c>
      <c r="M2550" s="10" t="inlineStr">
        <is>
          <t>Bonus, Healthcare Plan, Travel Opportunities</t>
        </is>
      </c>
      <c r="N2550" s="11">
        <f>HYPERLINK("https://www.vietnamworks.com/pho-phong-tai-chinh--2013425-jv","Xem chi tiết")</f>
        <v/>
      </c>
      <c r="O2550" s="10" t="n"/>
    </row>
    <row r="2551">
      <c r="B2551" s="7" t="n">
        <v>2549</v>
      </c>
      <c r="C2551" t="inlineStr">
        <is>
          <t>Chuyên Viên Phát Triển Kinh Doanh Cho Khách Hàng Tiểu Thương, Hộ Kinh Doanh - Business Development Specialist - Merchant &amp; Micro Business - Khối Ngân Hàng Số (HO26.45)</t>
        </is>
      </c>
      <c r="D2551" t="inlineStr">
        <is>
          <t>NGÂN HÀNG TMCP QUÂN ĐỘI – MBBANK</t>
        </is>
      </c>
      <c r="E2551" t="inlineStr">
        <is>
          <t>Thương lượng</t>
        </is>
      </c>
      <c r="F2551" t="inlineStr">
        <is>
          <t>Hà Nội</t>
        </is>
      </c>
      <c r="G2551" t="inlineStr">
        <is>
          <t>Nhân viên</t>
        </is>
      </c>
      <c r="H2551" t="inlineStr">
        <is>
          <t>24/02/2026</t>
        </is>
      </c>
      <c r="I2551" t="inlineStr">
        <is>
          <t>26/03/2026</t>
        </is>
      </c>
      <c r="J2551" t="inlineStr">
        <is>
          <t>17/03/2026</t>
        </is>
      </c>
      <c r="K2551" t="inlineStr">
        <is>
          <t>N/A</t>
        </is>
      </c>
      <c r="L2551" t="inlineStr">
        <is>
          <t>B2B Marketing, Customer Journey Map, Data reporting, Digital Channels, Digital Sales</t>
        </is>
      </c>
      <c r="M2551" t="inlineStr">
        <is>
          <t>Bonus, Healthcare Plan, Paid Leave, Training, Awards, Library, Team Activities</t>
        </is>
      </c>
      <c r="N2551" s="8">
        <f>HYPERLINK("https://www.vietnamworks.com/chuyen-vien-phat-trien-kinh-doanh-cho-khach-hang-tieu-thuong-ho-kinh-doanh-business-development-specialist-merchant-and-micro-business-khoi-ngan-hang-so-ho26-45-2013440-jv","Xem chi tiết")</f>
        <v/>
      </c>
    </row>
    <row r="2552">
      <c r="B2552" s="9" t="n">
        <v>2550</v>
      </c>
      <c r="C2552" s="10" t="inlineStr">
        <is>
          <t>Kỹ Sư Cấp Thoát Nước</t>
        </is>
      </c>
      <c r="D2552" s="10" t="inlineStr">
        <is>
          <t>CÔNG TY CỔ PHẦN TẬP ĐOÀN BMK</t>
        </is>
      </c>
      <c r="E2552" s="10" t="inlineStr">
        <is>
          <t>25tr-30tr ₫/tháng</t>
        </is>
      </c>
      <c r="F2552" s="10" t="inlineStr">
        <is>
          <t>Hà Nội</t>
        </is>
      </c>
      <c r="G2552" s="10" t="inlineStr">
        <is>
          <t>Nhân viên</t>
        </is>
      </c>
      <c r="H2552" s="10" t="inlineStr">
        <is>
          <t>24/02/2026</t>
        </is>
      </c>
      <c r="I2552" s="10" t="inlineStr">
        <is>
          <t>26/03/2026</t>
        </is>
      </c>
      <c r="J2552" s="10" t="inlineStr">
        <is>
          <t>17/03/2026</t>
        </is>
      </c>
      <c r="K2552" s="10" t="inlineStr">
        <is>
          <t>N/A</t>
        </is>
      </c>
      <c r="L2552" s="10" t="inlineStr">
        <is>
          <t>Duyệt Bản Vẽ, Kiểm Soát Chất Lượng, Quản Lý Kỹ Thuật, Thiết Kế Cấp Thoát Nước, Đo Bóc Tiên Lượng</t>
        </is>
      </c>
      <c r="M2552" s="10" t="inlineStr">
        <is>
          <t>Bonus, Healthcare Plan, Awards, Team Activities, Others</t>
        </is>
      </c>
      <c r="N2552" s="11">
        <f>HYPERLINK("https://www.vietnamworks.com/ky-su-cap-thoat-nuoc-2013451-jv","Xem chi tiết")</f>
        <v/>
      </c>
      <c r="O2552" s="10" t="n"/>
    </row>
    <row r="2553">
      <c r="B2553" s="7" t="n">
        <v>2551</v>
      </c>
      <c r="C2553" t="inlineStr">
        <is>
          <t>Chuyên Viên Hỗ Trợ Đầu Tư (Mảng Quy Hoạch)</t>
        </is>
      </c>
      <c r="D2553" t="inlineStr">
        <is>
          <t>CÔNG TY CỔ PHẦN TẬP ĐOÀN BMK</t>
        </is>
      </c>
      <c r="E2553" t="inlineStr">
        <is>
          <t>24tr-28tr ₫/tháng</t>
        </is>
      </c>
      <c r="F2553" t="inlineStr">
        <is>
          <t>Hà Nội</t>
        </is>
      </c>
      <c r="G2553" t="inlineStr">
        <is>
          <t>Nhân viên</t>
        </is>
      </c>
      <c r="H2553" t="inlineStr">
        <is>
          <t>24/02/2026</t>
        </is>
      </c>
      <c r="I2553" t="inlineStr">
        <is>
          <t>26/03/2026</t>
        </is>
      </c>
      <c r="J2553" t="inlineStr">
        <is>
          <t>17/03/2026</t>
        </is>
      </c>
      <c r="K2553" t="inlineStr">
        <is>
          <t>N/A</t>
        </is>
      </c>
      <c r="L2553" t="inlineStr">
        <is>
          <t>Autocad, Google Earth, Kiến Trúc Công Trình, Quản Lý, Quy Hoạch Đô Thị</t>
        </is>
      </c>
      <c r="M2553" t="inlineStr">
        <is>
          <t>Bonus, Healthcare Plan, Awards, Team Activities, Others</t>
        </is>
      </c>
      <c r="N2553" s="8">
        <f>HYPERLINK("https://www.vietnamworks.com/chuyen-vien-ho-tro-djau-tu-mang-quy-hoach-2013455-jv","Xem chi tiết")</f>
        <v/>
      </c>
    </row>
    <row r="2554">
      <c r="B2554" s="9" t="n">
        <v>2552</v>
      </c>
      <c r="C2554" s="10" t="inlineStr">
        <is>
          <t>Kỹ Sư Điện</t>
        </is>
      </c>
      <c r="D2554" s="10" t="inlineStr">
        <is>
          <t>CÔNG TY CỔ PHẦN TẬP ĐOÀN BMK</t>
        </is>
      </c>
      <c r="E2554" s="10" t="inlineStr">
        <is>
          <t>25tr-30tr ₫/tháng</t>
        </is>
      </c>
      <c r="F2554" s="10" t="inlineStr">
        <is>
          <t>Hà Nội</t>
        </is>
      </c>
      <c r="G2554" s="10" t="inlineStr">
        <is>
          <t>Nhân viên</t>
        </is>
      </c>
      <c r="H2554" s="10" t="inlineStr">
        <is>
          <t>24/02/2026</t>
        </is>
      </c>
      <c r="I2554" s="10" t="inlineStr">
        <is>
          <t>26/03/2026</t>
        </is>
      </c>
      <c r="J2554" s="10" t="inlineStr">
        <is>
          <t>17/03/2026</t>
        </is>
      </c>
      <c r="K2554" s="10" t="inlineStr">
        <is>
          <t>N/A</t>
        </is>
      </c>
      <c r="L2554" s="10" t="inlineStr">
        <is>
          <t>Kiếm Soát Thiết Kế, Kỹ Thuật Điện, Lập Hồ Sơ Chất Lượng, Quản Lý Kỹ Thuật, Thiết Kế Điện</t>
        </is>
      </c>
      <c r="M2554" s="10" t="inlineStr">
        <is>
          <t>Bonus, Healthcare Plan, Travel Opportunities, Team Activities, Others</t>
        </is>
      </c>
      <c r="N2554" s="11">
        <f>HYPERLINK("https://www.vietnamworks.com/ky-su-djien-2013452-jv","Xem chi tiết")</f>
        <v/>
      </c>
      <c r="O2554" s="10" t="n"/>
    </row>
    <row r="2555">
      <c r="B2555" s="7" t="n">
        <v>2553</v>
      </c>
      <c r="C2555" t="inlineStr">
        <is>
          <t>Trade Marketing Assistant Manager - Temporary</t>
        </is>
      </c>
      <c r="D2555" t="inlineStr">
        <is>
          <t>Công ty TNHH công nghiệp Vĩnh Tường miền bắc Việt Nam</t>
        </is>
      </c>
      <c r="E2555" t="inlineStr">
        <is>
          <t>Thương lượng</t>
        </is>
      </c>
      <c r="F2555" t="inlineStr">
        <is>
          <t>Hà Nội</t>
        </is>
      </c>
      <c r="G2555" t="inlineStr">
        <is>
          <t>Nhân viên</t>
        </is>
      </c>
      <c r="H2555" t="inlineStr">
        <is>
          <t>24/02/2026</t>
        </is>
      </c>
      <c r="I2555" t="inlineStr">
        <is>
          <t>26/03/2026</t>
        </is>
      </c>
      <c r="J2555" t="inlineStr">
        <is>
          <t>17/03/2026</t>
        </is>
      </c>
      <c r="K2555" t="inlineStr">
        <is>
          <t>N/A</t>
        </is>
      </c>
      <c r="L2555" t="inlineStr">
        <is>
          <t>Trade Marketing, Brand Marketing, Product Management</t>
        </is>
      </c>
      <c r="M2555" t="inlineStr">
        <is>
          <t>Healthcare Plan, Training, Laptop</t>
        </is>
      </c>
      <c r="N2555" s="8">
        <f>HYPERLINK("https://www.vietnamworks.com/trade-marketing-assistant-manager-temporary-2013443-jv","Xem chi tiết")</f>
        <v/>
      </c>
    </row>
    <row r="2556">
      <c r="B2556" s="9" t="n">
        <v>2554</v>
      </c>
      <c r="C2556" s="10" t="inlineStr">
        <is>
          <t>Nhân Viên Chứng Từ XNK (Logistics) tại Hoàng Mai, Hà Nội - Lương 10TR + Hoa Hồng Bộ Chứng Từ</t>
        </is>
      </c>
      <c r="D2556" s="10" t="inlineStr">
        <is>
          <t>Hệ thống Công ty Nguyễn Vinh – VMPC – Nguyễn Vinh EP</t>
        </is>
      </c>
      <c r="E2556" s="10" t="inlineStr">
        <is>
          <t>10tr-10tr ₫/tháng</t>
        </is>
      </c>
      <c r="F2556" s="10" t="inlineStr">
        <is>
          <t>Hà Nội</t>
        </is>
      </c>
      <c r="G2556" s="10" t="inlineStr">
        <is>
          <t>Nhân viên</t>
        </is>
      </c>
      <c r="H2556" s="10" t="inlineStr">
        <is>
          <t>24/02/2026</t>
        </is>
      </c>
      <c r="I2556" s="10" t="inlineStr">
        <is>
          <t>26/03/2026</t>
        </is>
      </c>
      <c r="J2556" s="10" t="inlineStr">
        <is>
          <t>17/03/2026</t>
        </is>
      </c>
      <c r="K2556" s="10" t="inlineStr">
        <is>
          <t>N/A</t>
        </is>
      </c>
      <c r="L2556" s="10" t="inlineStr">
        <is>
          <t>Attention To Detail, Customs Declare, English Fluency, Logistics Management, MS Office</t>
        </is>
      </c>
      <c r="M2556" s="10" t="inlineStr">
        <is>
          <t>Healthcare Plan, Training, Travel Opportunities, Team Activities, Canteen</t>
        </is>
      </c>
      <c r="N2556" s="11">
        <f>HYPERLINK("https://www.vietnamworks.com/nhan-vien-chung-tu-xnk-logistics-tai-hoang-mai-ha-noi-luong-10tr-hoa-hong-bo-chung-tu-2013437-jv","Xem chi tiết")</f>
        <v/>
      </c>
      <c r="O2556" s="10" t="n"/>
    </row>
    <row r="2557">
      <c r="B2557" s="7" t="n">
        <v>2555</v>
      </c>
      <c r="C2557" t="inlineStr">
        <is>
          <t>Nhân Viên Sản Xuất - Làm Việc Tại Hưng Yên</t>
        </is>
      </c>
      <c r="D2557" t="inlineStr">
        <is>
          <t>CÔNG TY CỔ PHẦN ASIA SPECIALTY INGREDIENTS</t>
        </is>
      </c>
      <c r="E2557" t="inlineStr">
        <is>
          <t>10tr-15tr ₫/tháng</t>
        </is>
      </c>
      <c r="F2557" t="inlineStr">
        <is>
          <t>Hưng Yên, Hà Nội</t>
        </is>
      </c>
      <c r="G2557" t="inlineStr">
        <is>
          <t>Nhân viên</t>
        </is>
      </c>
      <c r="H2557" t="inlineStr">
        <is>
          <t>24/02/2026</t>
        </is>
      </c>
      <c r="I2557" t="inlineStr">
        <is>
          <t>26/03/2026</t>
        </is>
      </c>
      <c r="J2557" t="inlineStr">
        <is>
          <t>17/03/2026</t>
        </is>
      </c>
      <c r="K2557" t="inlineStr">
        <is>
          <t>N/A</t>
        </is>
      </c>
      <c r="L2557" t="inlineStr">
        <is>
          <t>Vận Hành Thiết Bị, Bảo Trì Máy, Hoá Học Kỹ Thuật, Hóa Học, Hóa Chất</t>
        </is>
      </c>
      <c r="M2557" t="inlineStr">
        <is>
          <t>Bonus, Healthcare Plan, Training, Awards, Travel Opportunities, Others</t>
        </is>
      </c>
      <c r="N2557" s="8">
        <f>HYPERLINK("https://www.vietnamworks.com/nhan-vien-san-xuat-lam-viec-tai-hung-yen-2013444-jv","Xem chi tiết")</f>
        <v/>
      </c>
    </row>
    <row r="2558">
      <c r="B2558" s="9" t="n">
        <v>2556</v>
      </c>
      <c r="C2558" s="10" t="inlineStr">
        <is>
          <t>Trưởng Phòng Hành Chính Nhân Sự ( HCNS )</t>
        </is>
      </c>
      <c r="D2558" s="10" t="inlineStr">
        <is>
          <t>Công Ty Cổ Phần Công Nghiệp Phụ Trợ Ô Tô Xe Máy AMAC</t>
        </is>
      </c>
      <c r="E2558" s="10" t="inlineStr">
        <is>
          <t>15tr-25tr ₫/tháng</t>
        </is>
      </c>
      <c r="F2558" s="10" t="inlineStr">
        <is>
          <t>Hà Nội</t>
        </is>
      </c>
      <c r="G2558" s="10" t="inlineStr">
        <is>
          <t>Trưởng phòng</t>
        </is>
      </c>
      <c r="H2558" s="10" t="inlineStr">
        <is>
          <t>24/02/2026</t>
        </is>
      </c>
      <c r="I2558" s="10" t="inlineStr">
        <is>
          <t>26/03/2026</t>
        </is>
      </c>
      <c r="J2558" s="10" t="inlineStr">
        <is>
          <t>17/03/2026</t>
        </is>
      </c>
      <c r="K2558" s="10" t="inlineStr">
        <is>
          <t>N/A</t>
        </is>
      </c>
      <c r="L2558" s="10" t="inlineStr">
        <is>
          <t>HCNS, HR, HR Management, Nhân Sự</t>
        </is>
      </c>
      <c r="M2558" s="10" t="inlineStr">
        <is>
          <t>Bonus, Healthcare Plan, Team Activities, Others</t>
        </is>
      </c>
      <c r="N2558" s="11">
        <f>HYPERLINK("https://www.vietnamworks.com/truong-phong-hanh-chinh-nhan-su-hcns-2013441-jv","Xem chi tiết")</f>
        <v/>
      </c>
      <c r="O2558" s="10" t="n"/>
    </row>
    <row r="2559">
      <c r="B2559" s="7" t="n">
        <v>2557</v>
      </c>
      <c r="C2559" t="inlineStr">
        <is>
          <t>Kỹ Sư Trắc Đạc</t>
        </is>
      </c>
      <c r="D2559" t="inlineStr">
        <is>
          <t>CÔNG TY CỔ PHẦN TẬP ĐOÀN BMK</t>
        </is>
      </c>
      <c r="E2559" t="inlineStr">
        <is>
          <t>24tr-30tr ₫/tháng</t>
        </is>
      </c>
      <c r="F2559" t="inlineStr">
        <is>
          <t>Hà Nội</t>
        </is>
      </c>
      <c r="G2559" t="inlineStr">
        <is>
          <t>Nhân viên</t>
        </is>
      </c>
      <c r="H2559" t="inlineStr">
        <is>
          <t>24/02/2026</t>
        </is>
      </c>
      <c r="I2559" t="inlineStr">
        <is>
          <t>26/03/2026</t>
        </is>
      </c>
      <c r="J2559" t="inlineStr">
        <is>
          <t>17/03/2026</t>
        </is>
      </c>
      <c r="K2559" t="inlineStr">
        <is>
          <t>N/A</t>
        </is>
      </c>
      <c r="L2559" t="inlineStr">
        <is>
          <t>Anh Văn Chuyên Ngành, Giao Tiếp, Luật Xây Dựng, Quản Lý Kỹ Thuật, Trắc Địa</t>
        </is>
      </c>
      <c r="M2559" t="inlineStr">
        <is>
          <t>Bonus, Healthcare Plan, Awards, Team Activities, Others</t>
        </is>
      </c>
      <c r="N2559" s="8">
        <f>HYPERLINK("https://www.vietnamworks.com/ky-su-trac-djac-2013449-jv","Xem chi tiết")</f>
        <v/>
      </c>
    </row>
    <row r="2560">
      <c r="B2560" s="9" t="n">
        <v>2558</v>
      </c>
      <c r="C2560" s="10" t="inlineStr">
        <is>
          <t>Chuyên Viên Kỹ Thuật Công Nghệ</t>
        </is>
      </c>
      <c r="D2560" s="10" t="inlineStr">
        <is>
          <t>Công Ty Cổ phẩn MASAN MEATLife</t>
        </is>
      </c>
      <c r="E2560" s="10" t="inlineStr">
        <is>
          <t>Thương lượng</t>
        </is>
      </c>
      <c r="F2560" s="10" t="inlineStr">
        <is>
          <t>Hà Nội, Hà Nam</t>
        </is>
      </c>
      <c r="G2560" s="10" t="inlineStr">
        <is>
          <t>Nhân viên</t>
        </is>
      </c>
      <c r="H2560" s="10" t="inlineStr">
        <is>
          <t>24/02/2026</t>
        </is>
      </c>
      <c r="I2560" s="10" t="inlineStr">
        <is>
          <t>26/03/2026</t>
        </is>
      </c>
      <c r="J2560" s="10" t="inlineStr">
        <is>
          <t>17/03/2026</t>
        </is>
      </c>
      <c r="K2560" s="10" t="inlineStr">
        <is>
          <t>N/A</t>
        </is>
      </c>
      <c r="L2560" s="10" t="inlineStr">
        <is>
          <t>Công Nghệ Sản Xuất, Cơ Khí Chế Tạo, Cải Tiến Quy Trình Sản Xuất</t>
        </is>
      </c>
      <c r="M2560" s="10" t="inlineStr">
        <is>
          <t>Bonus, Healthcare Plan, Training</t>
        </is>
      </c>
      <c r="N2560" s="11">
        <f>HYPERLINK("https://www.vietnamworks.com/chuyen-vien-ky-thuat-cong-nghe--2013436-jv","Xem chi tiết")</f>
        <v/>
      </c>
      <c r="O2560" s="10" t="n"/>
    </row>
    <row r="2561">
      <c r="B2561" s="7" t="n">
        <v>2559</v>
      </c>
      <c r="C2561" t="inlineStr">
        <is>
          <t>English Teacher for Children – Giáo Viên Tiếng Anh Trẻ Em</t>
        </is>
      </c>
      <c r="D2561" t="inlineStr">
        <is>
          <t>Giáo Làng Education</t>
        </is>
      </c>
      <c r="E2561" t="inlineStr">
        <is>
          <t>10tr-15tr ₫/tháng</t>
        </is>
      </c>
      <c r="F2561" t="inlineStr">
        <is>
          <t>Hồ Chí Minh</t>
        </is>
      </c>
      <c r="G2561" t="inlineStr">
        <is>
          <t>Nhân viên</t>
        </is>
      </c>
      <c r="H2561" t="inlineStr">
        <is>
          <t>18/08/2025</t>
        </is>
      </c>
      <c r="I2561" t="inlineStr">
        <is>
          <t>27/03/2026</t>
        </is>
      </c>
      <c r="J2561" t="inlineStr">
        <is>
          <t>17/03/2026</t>
        </is>
      </c>
      <c r="K2561" t="inlineStr">
        <is>
          <t>N/A</t>
        </is>
      </c>
      <c r="L2561" t="inlineStr">
        <is>
          <t>English Teaching, Quản Lý Lớp Học, Teaching Children, Tiếng Anh</t>
        </is>
      </c>
      <c r="M2561" t="inlineStr">
        <is>
          <t>Healthcare Plan, Training, Others</t>
        </is>
      </c>
      <c r="N2561" s="8">
        <f>HYPERLINK("https://www.vietnamworks.com/english-teacher-for-children-giao-vien-tieng-anh-tre-em-1947680-jv","Xem chi tiết")</f>
        <v/>
      </c>
    </row>
    <row r="2562">
      <c r="B2562" s="9" t="n">
        <v>2560</v>
      </c>
      <c r="C2562" s="10" t="inlineStr">
        <is>
          <t>Graduate Engineering Trainee 2026 (Que Vo 1, Bac Ninh)</t>
        </is>
      </c>
      <c r="D2562" s="10" t="inlineStr">
        <is>
          <t>AkzoNobel Vietnam</t>
        </is>
      </c>
      <c r="E2562" s="10" t="inlineStr">
        <is>
          <t>Thương lượng</t>
        </is>
      </c>
      <c r="F2562" s="10" t="inlineStr">
        <is>
          <t>Bắc Ninh</t>
        </is>
      </c>
      <c r="G2562" s="10" t="inlineStr">
        <is>
          <t>Mới Tốt Nghiệp</t>
        </is>
      </c>
      <c r="H2562" s="10" t="inlineStr">
        <is>
          <t>24/02/2026</t>
        </is>
      </c>
      <c r="I2562" s="10" t="inlineStr">
        <is>
          <t>26/03/2026</t>
        </is>
      </c>
      <c r="J2562" s="10" t="inlineStr">
        <is>
          <t>17/03/2026</t>
        </is>
      </c>
      <c r="K2562" s="10" t="inlineStr">
        <is>
          <t>N/A</t>
        </is>
      </c>
      <c r="L2562" s="10" t="inlineStr">
        <is>
          <t>Automation Engineering, Chemical Engineering, Electrical Engineering, Mechanical Engineering, Process Engineer</t>
        </is>
      </c>
      <c r="M2562" s="10" t="inlineStr">
        <is>
          <t>Bonus, Healthcare Plan, Paid Leave, Training</t>
        </is>
      </c>
      <c r="N2562" s="11">
        <f>HYPERLINK("https://www.vietnamworks.com/graduate-engineering-trainee-2026-que-vo-1-bac-ninh-2013468-jv","Xem chi tiết")</f>
        <v/>
      </c>
      <c r="O2562" s="10" t="n"/>
    </row>
    <row r="2563">
      <c r="B2563" s="7" t="n">
        <v>2561</v>
      </c>
      <c r="C2563" t="inlineStr">
        <is>
          <t>Assistant Product Manager</t>
        </is>
      </c>
      <c r="D2563" t="inlineStr">
        <is>
          <t>Orion Food Vina Co,. Ltd - Head Office</t>
        </is>
      </c>
      <c r="E2563" t="inlineStr">
        <is>
          <t>Thương lượng</t>
        </is>
      </c>
      <c r="F2563" t="inlineStr">
        <is>
          <t>Hồ Chí Minh</t>
        </is>
      </c>
      <c r="G2563" t="inlineStr">
        <is>
          <t>Nhân viên</t>
        </is>
      </c>
      <c r="H2563" t="inlineStr">
        <is>
          <t>24/02/2026</t>
        </is>
      </c>
      <c r="I2563" t="inlineStr">
        <is>
          <t>26/03/2026</t>
        </is>
      </c>
      <c r="J2563" t="inlineStr">
        <is>
          <t>17/03/2026</t>
        </is>
      </c>
      <c r="K2563" t="inlineStr">
        <is>
          <t>N/A</t>
        </is>
      </c>
      <c r="L2563" t="inlineStr">
        <is>
          <t>Product Marketing, Market Research, Trade Marketing, Strategic Brand Management, Product Development</t>
        </is>
      </c>
      <c r="M2563" t="inlineStr">
        <is>
          <t>Bonus, Healthcare Plan, Team Activities</t>
        </is>
      </c>
      <c r="N2563" s="8">
        <f>HYPERLINK("https://www.vietnamworks.com/assistant-product-manager--2013466-jv","Xem chi tiết")</f>
        <v/>
      </c>
    </row>
    <row r="2564">
      <c r="B2564" s="9" t="n">
        <v>2562</v>
      </c>
      <c r="C2564" s="10" t="inlineStr">
        <is>
          <t>Producer (English &amp; Korean Skills Required)</t>
        </is>
      </c>
      <c r="D2564" s="10" t="inlineStr">
        <is>
          <t>Virtuos Studios in Vietnam</t>
        </is>
      </c>
      <c r="E2564" s="10" t="inlineStr">
        <is>
          <t>Thương lượng</t>
        </is>
      </c>
      <c r="F2564" s="10" t="inlineStr">
        <is>
          <t>Hồ Chí Minh</t>
        </is>
      </c>
      <c r="G2564" s="10" t="inlineStr">
        <is>
          <t>Nhân viên</t>
        </is>
      </c>
      <c r="H2564" s="10" t="inlineStr">
        <is>
          <t>24/02/2026</t>
        </is>
      </c>
      <c r="I2564" s="10" t="inlineStr">
        <is>
          <t>26/03/2026</t>
        </is>
      </c>
      <c r="J2564" s="10" t="inlineStr">
        <is>
          <t>17/03/2026</t>
        </is>
      </c>
      <c r="K2564" s="10" t="inlineStr">
        <is>
          <t>N/A</t>
        </is>
      </c>
      <c r="L2564" s="10" t="inlineStr">
        <is>
          <t>Korean Language, English Language Proficiency, Project magement, Game Industry, Team Management Skills</t>
        </is>
      </c>
      <c r="M2564" s="10" t="inlineStr">
        <is>
          <t>Bonus, Healthcare Plan, Travel Opportunities</t>
        </is>
      </c>
      <c r="N2564" s="11">
        <f>HYPERLINK("https://www.vietnamworks.com/producer-english-korean-skills-required-2013462-jv","Xem chi tiết")</f>
        <v/>
      </c>
      <c r="O2564" s="10" t="n"/>
    </row>
    <row r="2565">
      <c r="B2565" s="7" t="n">
        <v>2563</v>
      </c>
      <c r="C2565" t="inlineStr">
        <is>
          <t>Senior Fixed Asset Accountant</t>
        </is>
      </c>
      <c r="D2565" t="inlineStr">
        <is>
          <t>VINFAST TRADING AND PRODUCTION JSC</t>
        </is>
      </c>
      <c r="E2565" t="inlineStr">
        <is>
          <t>Thương lượng</t>
        </is>
      </c>
      <c r="F2565" t="inlineStr">
        <is>
          <t>Hải Phòng, Hà Nội</t>
        </is>
      </c>
      <c r="G2565" t="inlineStr">
        <is>
          <t>Nhân viên</t>
        </is>
      </c>
      <c r="H2565" t="inlineStr">
        <is>
          <t>24/02/2026</t>
        </is>
      </c>
      <c r="I2565" t="inlineStr">
        <is>
          <t>26/03/2026</t>
        </is>
      </c>
      <c r="J2565" t="inlineStr">
        <is>
          <t>17/03/2026</t>
        </is>
      </c>
      <c r="K2565" t="inlineStr">
        <is>
          <t>N/A</t>
        </is>
      </c>
      <c r="L2565" t="inlineStr">
        <is>
          <t>Fixed Assets, Accountant, Auditing &amp; Accounting Knowledge, Asset Management, Fixed Asset Accounting</t>
        </is>
      </c>
      <c r="M2565" t="inlineStr">
        <is>
          <t>Bonus, Healthcare Plan, Others</t>
        </is>
      </c>
      <c r="N2565" s="8">
        <f>HYPERLINK("https://www.vietnamworks.com/senior-fixed-asset-accountant--2013457-jv","Xem chi tiết")</f>
        <v/>
      </c>
    </row>
    <row r="2566">
      <c r="B2566" s="9" t="n">
        <v>2564</v>
      </c>
      <c r="C2566" s="10" t="inlineStr">
        <is>
          <t>Sales Supervisor MT (Ho Chi Minh)</t>
        </is>
      </c>
      <c r="D2566" s="10" t="inlineStr">
        <is>
          <t>Orion Food Vina Co,. Ltd - Head Office</t>
        </is>
      </c>
      <c r="E2566" s="10" t="inlineStr">
        <is>
          <t>Thương lượng</t>
        </is>
      </c>
      <c r="F2566" s="10" t="inlineStr">
        <is>
          <t>Hồ Chí Minh</t>
        </is>
      </c>
      <c r="G2566" s="10" t="inlineStr">
        <is>
          <t>Nhân viên</t>
        </is>
      </c>
      <c r="H2566" s="10" t="inlineStr">
        <is>
          <t>24/02/2026</t>
        </is>
      </c>
      <c r="I2566" s="10" t="inlineStr">
        <is>
          <t>26/03/2026</t>
        </is>
      </c>
      <c r="J2566" s="10" t="inlineStr">
        <is>
          <t>17/03/2026</t>
        </is>
      </c>
      <c r="K2566" s="10" t="inlineStr">
        <is>
          <t>N/A</t>
        </is>
      </c>
      <c r="L2566" s="10" t="inlineStr">
        <is>
          <t>Giám Sát Bán Hàng Siêu Thị, ASM, FMCG, Kinh Nghiệm Key Account, MT Channel</t>
        </is>
      </c>
      <c r="M2566" s="10" t="inlineStr">
        <is>
          <t>Bonus, Healthcare Plan, Team Activities</t>
        </is>
      </c>
      <c r="N2566" s="11">
        <f>HYPERLINK("https://www.vietnamworks.com/sales-supervisor-mt-ho-chi-minh--2013460-jv","Xem chi tiết")</f>
        <v/>
      </c>
      <c r="O2566" s="10" t="n"/>
    </row>
    <row r="2567">
      <c r="B2567" s="7" t="n">
        <v>2565</v>
      </c>
      <c r="C2567" t="inlineStr">
        <is>
          <t>Sales Manager</t>
        </is>
      </c>
      <c r="D2567" t="inlineStr">
        <is>
          <t>Rrepresentative Office of DEIF ASIA PACIFIC PTE LTD in Ho Chi Minh City</t>
        </is>
      </c>
      <c r="E2567" t="inlineStr">
        <is>
          <t>$$ 2,500-4,000 /tháng</t>
        </is>
      </c>
      <c r="F2567" t="inlineStr">
        <is>
          <t>Hồ Chí Minh</t>
        </is>
      </c>
      <c r="G2567" t="inlineStr">
        <is>
          <t>Trưởng phòng</t>
        </is>
      </c>
      <c r="H2567" t="inlineStr">
        <is>
          <t>24/02/2026</t>
        </is>
      </c>
      <c r="I2567" t="inlineStr">
        <is>
          <t>26/03/2026</t>
        </is>
      </c>
      <c r="J2567" t="inlineStr">
        <is>
          <t>17/03/2026</t>
        </is>
      </c>
      <c r="K2567" t="inlineStr">
        <is>
          <t>N/A</t>
        </is>
      </c>
      <c r="L2567" t="inlineStr">
        <is>
          <t>Business Development</t>
        </is>
      </c>
      <c r="M2567" t="inlineStr">
        <is>
          <t>Bonus</t>
        </is>
      </c>
      <c r="N2567" s="8">
        <f>HYPERLINK("https://www.vietnamworks.com/sales-manager--2013472-jv","Xem chi tiết")</f>
        <v/>
      </c>
    </row>
    <row r="2568">
      <c r="B2568" s="9" t="n">
        <v>2566</v>
      </c>
      <c r="C2568" s="10" t="inlineStr">
        <is>
          <t>Kỹ Sư QS (20-30 Triệu)</t>
        </is>
      </c>
      <c r="D2568" s="10" t="inlineStr">
        <is>
          <t>Công Ty Cổ Phần Xây Dựng Alphaco Hà Nội</t>
        </is>
      </c>
      <c r="E2568" s="10" t="inlineStr">
        <is>
          <t>$$ 20tr-30tr /tháng</t>
        </is>
      </c>
      <c r="F2568" s="10" t="inlineStr">
        <is>
          <t>Hà Nội, Tây Ninh, Hưng Yên</t>
        </is>
      </c>
      <c r="G2568" s="10" t="inlineStr">
        <is>
          <t>Mới Tốt Nghiệp</t>
        </is>
      </c>
      <c r="H2568" s="10" t="inlineStr">
        <is>
          <t>29/12/2025</t>
        </is>
      </c>
      <c r="I2568" s="10" t="inlineStr">
        <is>
          <t>27/03/2026</t>
        </is>
      </c>
      <c r="J2568" s="10" t="inlineStr">
        <is>
          <t>17/03/2026</t>
        </is>
      </c>
      <c r="K2568" s="10" t="inlineStr">
        <is>
          <t>N/A</t>
        </is>
      </c>
      <c r="L2568" s="10" t="inlineStr">
        <is>
          <t>Quản Lý Hồ Sơ, Kiểm Soát Chất Lượng, Soạn Thảo Văn Bản, AutoCAD, Thanh Quyết Toán</t>
        </is>
      </c>
      <c r="M2568" s="10" t="inlineStr">
        <is>
          <t>Bonus, Healthcare Plan, Training, Others</t>
        </is>
      </c>
      <c r="N2568" s="11">
        <f>HYPERLINK("https://www.vietnamworks.com/ky-su-qs-20-30-trieu-1997547-jv","Xem chi tiết")</f>
        <v/>
      </c>
      <c r="O2568" s="10" t="n"/>
    </row>
    <row r="2569">
      <c r="B2569" s="7" t="n">
        <v>2567</v>
      </c>
      <c r="C2569" t="inlineStr">
        <is>
          <t>Trưởng Phòng Học Thuật - Academic Manager</t>
        </is>
      </c>
      <c r="D2569" t="inlineStr">
        <is>
          <t>Công ty Cổ Phần Giáo dục Jaxtina</t>
        </is>
      </c>
      <c r="E2569" t="inlineStr">
        <is>
          <t>Thương lượng</t>
        </is>
      </c>
      <c r="F2569" t="inlineStr">
        <is>
          <t>Hà Nội</t>
        </is>
      </c>
      <c r="G2569" t="inlineStr">
        <is>
          <t>Trưởng phòng</t>
        </is>
      </c>
      <c r="H2569" t="inlineStr">
        <is>
          <t>09/07/2025</t>
        </is>
      </c>
      <c r="I2569" t="inlineStr">
        <is>
          <t>27/03/2026</t>
        </is>
      </c>
      <c r="J2569" t="inlineStr">
        <is>
          <t>17/03/2026</t>
        </is>
      </c>
      <c r="K2569" t="inlineStr">
        <is>
          <t>N/A</t>
        </is>
      </c>
      <c r="L2569" t="inlineStr">
        <is>
          <t>Nghiên Cứu Học Thuật, Đào Tạo, Giáo dục, Tiếng Anh, Academic Leadership</t>
        </is>
      </c>
      <c r="M2569" t="inlineStr">
        <is>
          <t>Bonus, Training, Travel Opportunities</t>
        </is>
      </c>
      <c r="N2569" s="8">
        <f>HYPERLINK("https://www.vietnamworks.com/truong-phong-hoc-thuat-academic-manager--1932207-jv","Xem chi tiết")</f>
        <v/>
      </c>
    </row>
    <row r="2570">
      <c r="B2570" s="9" t="n">
        <v>2568</v>
      </c>
      <c r="C2570" s="10" t="inlineStr">
        <is>
          <t>Kế Toán Trưởng</t>
        </is>
      </c>
      <c r="D2570" s="10" t="inlineStr">
        <is>
          <t>CAMET TECH MATERIALS PTE. LTD</t>
        </is>
      </c>
      <c r="E2570" s="10" t="inlineStr">
        <is>
          <t>$$ 500-1,500 /tháng</t>
        </is>
      </c>
      <c r="F2570" s="10" t="inlineStr">
        <is>
          <t>Hà Nội</t>
        </is>
      </c>
      <c r="G2570" s="10" t="inlineStr">
        <is>
          <t>Trưởng phòng</t>
        </is>
      </c>
      <c r="H2570" s="10" t="inlineStr">
        <is>
          <t>26/12/2025</t>
        </is>
      </c>
      <c r="I2570" s="10" t="inlineStr">
        <is>
          <t>27/03/2026</t>
        </is>
      </c>
      <c r="J2570" s="10" t="inlineStr">
        <is>
          <t>17/03/2026</t>
        </is>
      </c>
      <c r="K2570" s="10" t="inlineStr">
        <is>
          <t>N/A</t>
        </is>
      </c>
      <c r="L2570" s="10" t="inlineStr">
        <is>
          <t>Tiếng Anh, Tiếng Trung, Báo Cáo Tài Chính, ERP, L/C Handling</t>
        </is>
      </c>
      <c r="M2570" s="10" t="inlineStr">
        <is>
          <t>Bonus, Healthcare Plan, Paid Leave, Training</t>
        </is>
      </c>
      <c r="N2570" s="11">
        <f>HYPERLINK("https://www.vietnamworks.com/ke-toan-truong-1996885-jv","Xem chi tiết")</f>
        <v/>
      </c>
      <c r="O2570" s="10" t="n"/>
    </row>
    <row r="2571">
      <c r="B2571" s="7" t="n">
        <v>2569</v>
      </c>
      <c r="C2571" t="inlineStr">
        <is>
          <t>Phụ Trách Marketing Dự Án</t>
        </is>
      </c>
      <c r="D2571" t="inlineStr">
        <is>
          <t>Tập đoàn Đạt Phương</t>
        </is>
      </c>
      <c r="E2571" t="inlineStr">
        <is>
          <t>Thương lượng</t>
        </is>
      </c>
      <c r="F2571" t="inlineStr">
        <is>
          <t>Hà Nội</t>
        </is>
      </c>
      <c r="G2571" t="inlineStr">
        <is>
          <t>Nhân viên</t>
        </is>
      </c>
      <c r="H2571" t="inlineStr">
        <is>
          <t>29/12/2025</t>
        </is>
      </c>
      <c r="I2571" t="inlineStr">
        <is>
          <t>27/03/2026</t>
        </is>
      </c>
      <c r="J2571" t="inlineStr">
        <is>
          <t>17/03/2026</t>
        </is>
      </c>
      <c r="K2571" t="inlineStr">
        <is>
          <t>N/A</t>
        </is>
      </c>
      <c r="L2571" t="inlineStr">
        <is>
          <t>Thương Mại Dự Án, Nghiên Cứu Thị Trường, Quản Lý Sản Phẩm, Brand Guidelines, Marketing</t>
        </is>
      </c>
      <c r="M2571" t="inlineStr">
        <is>
          <t>Bonus, Healthcare Plan, Travel Opportunities, Transportation, Canteen, Others</t>
        </is>
      </c>
      <c r="N2571" s="8">
        <f>HYPERLINK("https://www.vietnamworks.com/phu-trach-marketing-du-an-1997412-jv","Xem chi tiết")</f>
        <v/>
      </c>
    </row>
    <row r="2572">
      <c r="B2572" s="9" t="n">
        <v>2570</v>
      </c>
      <c r="C2572" s="10" t="inlineStr">
        <is>
          <t>Senior Data Analyst (Banking, Card &amp; Loyalty)</t>
        </is>
      </c>
      <c r="D2572" s="10" t="inlineStr">
        <is>
          <t>Galaxy Digital Holdings Co., Ltd (GH)</t>
        </is>
      </c>
      <c r="E2572" s="10" t="inlineStr">
        <is>
          <t>Thương lượng</t>
        </is>
      </c>
      <c r="F2572" s="10" t="inlineStr">
        <is>
          <t>Hồ Chí Minh</t>
        </is>
      </c>
      <c r="G2572" s="10" t="inlineStr">
        <is>
          <t>Nhân viên</t>
        </is>
      </c>
      <c r="H2572" s="10" t="inlineStr">
        <is>
          <t>24/02/2026</t>
        </is>
      </c>
      <c r="I2572" s="10" t="inlineStr">
        <is>
          <t>26/03/2026</t>
        </is>
      </c>
      <c r="J2572" s="10" t="inlineStr">
        <is>
          <t>17/03/2026</t>
        </is>
      </c>
      <c r="K2572" s="10" t="inlineStr">
        <is>
          <t>N/A</t>
        </is>
      </c>
      <c r="L2572" s="10" t="inlineStr">
        <is>
          <t>BI Tools, Communication, Data Analytics, Data Visualization, SQL</t>
        </is>
      </c>
      <c r="M2572" s="10" t="inlineStr">
        <is>
          <t>Bonus, Healthcare Plan, Paid Leave, Laptop, Others</t>
        </is>
      </c>
      <c r="N2572" s="11">
        <f>HYPERLINK("https://www.vietnamworks.com/senior-data-analyst-banking-card-and-loyalty-2013465-jv","Xem chi tiết")</f>
        <v/>
      </c>
      <c r="O2572" s="10" t="n"/>
    </row>
    <row r="2573">
      <c r="B2573" s="7" t="n">
        <v>2571</v>
      </c>
      <c r="C2573" t="inlineStr">
        <is>
          <t>Kế Toán Kho Và Thanh Toán Ngân Hàng</t>
        </is>
      </c>
      <c r="D2573" t="inlineStr">
        <is>
          <t>Công Ty Cổ Phần Kinh Doanh Len Sài Gòn</t>
        </is>
      </c>
      <c r="E2573" t="inlineStr">
        <is>
          <t>9tr-13tr ₫/tháng</t>
        </is>
      </c>
      <c r="F2573" t="inlineStr">
        <is>
          <t>Hồ Chí Minh</t>
        </is>
      </c>
      <c r="G2573" t="inlineStr">
        <is>
          <t>Nhân viên</t>
        </is>
      </c>
      <c r="H2573" t="inlineStr">
        <is>
          <t>31/12/2025</t>
        </is>
      </c>
      <c r="I2573" t="inlineStr">
        <is>
          <t>27/03/2026</t>
        </is>
      </c>
      <c r="J2573" t="inlineStr">
        <is>
          <t>17/03/2026</t>
        </is>
      </c>
      <c r="K2573" t="inlineStr">
        <is>
          <t>N/A</t>
        </is>
      </c>
      <c r="L2573" t="inlineStr">
        <is>
          <t>Kế Toán, Kế Toán Kho, Kế Toán Thanh Toán, Đối Chiếu Công Nợ, Nhập Xuất Kho</t>
        </is>
      </c>
      <c r="M2573" t="inlineStr">
        <is>
          <t>Bonus, Healthcare Plan, Paid Leave, Travel Opportunities, Canteen, Others</t>
        </is>
      </c>
      <c r="N2573" s="8">
        <f>HYPERLINK("https://www.vietnamworks.com/ke-toan-kho-va-thanh-toan-ngan-hang-1998595-jv","Xem chi tiết")</f>
        <v/>
      </c>
    </row>
    <row r="2574">
      <c r="B2574" s="9" t="n">
        <v>2572</v>
      </c>
      <c r="C2574" s="10" t="inlineStr">
        <is>
          <t>Nhân Viên Kinh Doanh [ Chỉ Tuyển Nam ] - Lương Cứng Từ 14 Triệu</t>
        </is>
      </c>
      <c r="D2574" s="10" t="inlineStr">
        <is>
          <t>Công Ty TNHH Montek Việt Nam</t>
        </is>
      </c>
      <c r="E2574" s="10" t="inlineStr">
        <is>
          <t>Từ $ 14tr /tháng</t>
        </is>
      </c>
      <c r="F2574" s="10" t="inlineStr">
        <is>
          <t>Hà Nội</t>
        </is>
      </c>
      <c r="G2574" s="10" t="inlineStr">
        <is>
          <t>Nhân viên</t>
        </is>
      </c>
      <c r="H2574" s="10" t="inlineStr">
        <is>
          <t>31/12/2025</t>
        </is>
      </c>
      <c r="I2574" s="10" t="inlineStr">
        <is>
          <t>27/03/2026</t>
        </is>
      </c>
      <c r="J2574" s="10" t="inlineStr">
        <is>
          <t>17/03/2026</t>
        </is>
      </c>
      <c r="K2574" s="10" t="inlineStr">
        <is>
          <t>N/A</t>
        </is>
      </c>
      <c r="L2574" s="10" t="inlineStr">
        <is>
          <t>Bán Hàng, Kinh Doanh, Tiếng Anh, Chăm Sóc Khách Hàng, Tìm Kiếm Khách Hàng</t>
        </is>
      </c>
      <c r="M2574" s="10" t="inlineStr">
        <is>
          <t>Bonus, Awards, Laptop</t>
        </is>
      </c>
      <c r="N2574" s="11">
        <f>HYPERLINK("https://www.vietnamworks.com/nhan-vien-kinh-doanh-chi-tuyen-nam-luong-cung-tu-14-trieu-1998260-jv","Xem chi tiết")</f>
        <v/>
      </c>
      <c r="O2574" s="10" t="n"/>
    </row>
    <row r="2575">
      <c r="B2575" s="7" t="n">
        <v>2573</v>
      </c>
      <c r="C2575" t="inlineStr">
        <is>
          <t>Furniture Case Goods Manager</t>
        </is>
      </c>
      <c r="D2575" t="inlineStr">
        <is>
          <t>Vietnamworks' Client</t>
        </is>
      </c>
      <c r="E2575" t="inlineStr">
        <is>
          <t>$$ 3,000-5,000 /tháng</t>
        </is>
      </c>
      <c r="F2575" t="inlineStr">
        <is>
          <t>Hồ Chí Minh</t>
        </is>
      </c>
      <c r="G2575" t="inlineStr">
        <is>
          <t>Trưởng phòng</t>
        </is>
      </c>
      <c r="H2575" t="inlineStr">
        <is>
          <t>24/02/2026</t>
        </is>
      </c>
      <c r="I2575" t="inlineStr">
        <is>
          <t>26/03/2026</t>
        </is>
      </c>
      <c r="J2575" t="inlineStr">
        <is>
          <t>17/03/2026</t>
        </is>
      </c>
      <c r="K2575" t="inlineStr">
        <is>
          <t>N/A</t>
        </is>
      </c>
      <c r="L2575" t="inlineStr">
        <is>
          <t>Furniture Manufactoring, operations, Wood Furniture</t>
        </is>
      </c>
      <c r="M2575" t="inlineStr">
        <is>
          <t>Bonus, Healthcare Plan, Training</t>
        </is>
      </c>
      <c r="N2575" s="8">
        <f>HYPERLINK("https://www.vietnamworks.com/furniture-case-goods-manager-2013469-jv","Xem chi tiết")</f>
        <v/>
      </c>
    </row>
    <row r="2576">
      <c r="B2576" s="9" t="n">
        <v>2574</v>
      </c>
      <c r="C2576" s="10" t="inlineStr">
        <is>
          <t>Chuyên Viên Quản Lý Kỹ Thuật MEP - Phụ Trách Điện</t>
        </is>
      </c>
      <c r="D2576" s="10" t="inlineStr">
        <is>
          <t>Công Ty Cổ Phần Đầu Tư Infinity Group</t>
        </is>
      </c>
      <c r="E2576" s="10" t="inlineStr">
        <is>
          <t>Thương lượng</t>
        </is>
      </c>
      <c r="F2576" s="10" t="inlineStr">
        <is>
          <t>Hà Nội</t>
        </is>
      </c>
      <c r="G2576" s="10" t="inlineStr">
        <is>
          <t>Nhân viên</t>
        </is>
      </c>
      <c r="H2576" s="10" t="inlineStr">
        <is>
          <t>31/12/2025</t>
        </is>
      </c>
      <c r="I2576" s="10" t="inlineStr">
        <is>
          <t>27/03/2026</t>
        </is>
      </c>
      <c r="J2576" s="10" t="inlineStr">
        <is>
          <t>17/03/2026</t>
        </is>
      </c>
      <c r="K2576" s="10" t="inlineStr">
        <is>
          <t>N/A</t>
        </is>
      </c>
      <c r="L2576" s="10" t="inlineStr">
        <is>
          <t>cad, Hệ Thống Điện, Kỹ Thuật Điện, MEP, Thiết Kế Điện</t>
        </is>
      </c>
      <c r="M2576" s="10" t="inlineStr">
        <is>
          <t>Bonus, Healthcare Plan, Training, Others</t>
        </is>
      </c>
      <c r="N2576" s="11">
        <f>HYPERLINK("https://www.vietnamworks.com/chuyen-vien-quan-ly-ky-thuat-mep-phu-trach-djien-1998458-jv","Xem chi tiết")</f>
        <v/>
      </c>
      <c r="O2576" s="10" t="n"/>
    </row>
    <row r="2577">
      <c r="B2577" s="7" t="n">
        <v>2575</v>
      </c>
      <c r="C2577" t="inlineStr">
        <is>
          <t>Trưởng Phòng Mua Hàng Lương 30Tr-35Tr/ Tháng</t>
        </is>
      </c>
      <c r="D2577" t="inlineStr">
        <is>
          <t>CÔNG TY CỔ PHẦN TP SOLAR</t>
        </is>
      </c>
      <c r="E2577" t="inlineStr">
        <is>
          <t>30tr-35tr ₫/tháng</t>
        </is>
      </c>
      <c r="F2577" t="inlineStr">
        <is>
          <t>Hưng Yên</t>
        </is>
      </c>
      <c r="G2577" t="inlineStr">
        <is>
          <t>Trưởng phòng</t>
        </is>
      </c>
      <c r="H2577" t="inlineStr">
        <is>
          <t>31/12/2025</t>
        </is>
      </c>
      <c r="I2577" t="inlineStr">
        <is>
          <t>27/03/2026</t>
        </is>
      </c>
      <c r="J2577" t="inlineStr">
        <is>
          <t>17/03/2026</t>
        </is>
      </c>
      <c r="K2577" t="inlineStr">
        <is>
          <t>N/A</t>
        </is>
      </c>
      <c r="L2577" t="inlineStr">
        <is>
          <t>Quản Lý Mua Hàng, Đàm Phán Hợp Đồng, Kinh Nghiệm Chuỗi Cung Ứng, Tiếng Trung, Chăm sóc</t>
        </is>
      </c>
      <c r="M2577" t="inlineStr">
        <is>
          <t>Bonus, Healthcare Plan, Others</t>
        </is>
      </c>
      <c r="N2577" s="8">
        <f>HYPERLINK("https://www.vietnamworks.com/truong-phong-mua-hang-luong-30tr-35tr-thang-1998752-jv","Xem chi tiết")</f>
        <v/>
      </c>
    </row>
    <row r="2578">
      <c r="B2578" s="9" t="n">
        <v>2576</v>
      </c>
      <c r="C2578" s="10" t="inlineStr">
        <is>
          <t>Sales Leader B2B</t>
        </is>
      </c>
      <c r="D2578" s="10" t="inlineStr">
        <is>
          <t>Công Ty Cổ Phần Achison</t>
        </is>
      </c>
      <c r="E2578" s="10" t="inlineStr">
        <is>
          <t>20tr-25tr ₫/tháng</t>
        </is>
      </c>
      <c r="F2578" s="10" t="inlineStr">
        <is>
          <t>Hồ Chí Minh</t>
        </is>
      </c>
      <c r="G2578" s="10" t="inlineStr">
        <is>
          <t>Nhân viên</t>
        </is>
      </c>
      <c r="H2578" s="10" t="inlineStr">
        <is>
          <t>31/12/2025</t>
        </is>
      </c>
      <c r="I2578" s="10" t="inlineStr">
        <is>
          <t>27/03/2026</t>
        </is>
      </c>
      <c r="J2578" s="10" t="inlineStr">
        <is>
          <t>17/03/2026</t>
        </is>
      </c>
      <c r="K2578" s="10" t="inlineStr">
        <is>
          <t>N/A</t>
        </is>
      </c>
      <c r="L2578" s="10" t="inlineStr">
        <is>
          <t>Key Account Management, Lập Kế Hoạch, Nghiên Cứu Thị Trường, Sales B2B, Đàm Phán Thương Lượng</t>
        </is>
      </c>
      <c r="M2578" s="10" t="inlineStr">
        <is>
          <t>Bonus, Healthcare Plan, Others</t>
        </is>
      </c>
      <c r="N2578" s="11">
        <f>HYPERLINK("https://www.vietnamworks.com/sales-leader-b2b-1998709-jv","Xem chi tiết")</f>
        <v/>
      </c>
      <c r="O2578" s="10" t="n"/>
    </row>
    <row r="2579">
      <c r="B2579" s="7" t="n">
        <v>2577</v>
      </c>
      <c r="C2579" t="inlineStr">
        <is>
          <t>Senior Developer, Digital Platform Delivery (Java, SQL, Web Service, DevOps)</t>
        </is>
      </c>
      <c r="D2579" t="inlineStr">
        <is>
          <t>Sun Life Vietnam (Sun Life)</t>
        </is>
      </c>
      <c r="E2579" t="inlineStr">
        <is>
          <t>Thương lượng</t>
        </is>
      </c>
      <c r="F2579" t="inlineStr">
        <is>
          <t>Hồ Chí Minh</t>
        </is>
      </c>
      <c r="G2579" t="inlineStr">
        <is>
          <t>Nhân viên</t>
        </is>
      </c>
      <c r="H2579" t="inlineStr">
        <is>
          <t>30/12/2025</t>
        </is>
      </c>
      <c r="I2579" t="inlineStr">
        <is>
          <t>27/03/2026</t>
        </is>
      </c>
      <c r="J2579" t="inlineStr">
        <is>
          <t>17/03/2026</t>
        </is>
      </c>
      <c r="K2579" t="inlineStr">
        <is>
          <t>N/A</t>
        </is>
      </c>
      <c r="L2579" t="inlineStr">
        <is>
          <t>Software Development, Application Development Framework, ORM, SQL, DevOps</t>
        </is>
      </c>
      <c r="M2579" t="inlineStr">
        <is>
          <t>Healthcare Plan, Team Activities, Others</t>
        </is>
      </c>
      <c r="N2579" s="8">
        <f>HYPERLINK("https://www.vietnamworks.com/senior-developer-digital-platform-delivery-java-sql-web-service-devops--1998153-jv","Xem chi tiết")</f>
        <v/>
      </c>
    </row>
    <row r="2580">
      <c r="B2580" s="9" t="n">
        <v>2578</v>
      </c>
      <c r="C2580" s="10" t="inlineStr">
        <is>
          <t>Chuyên Viên Vận Hành Phần Mềm Lark Lương Từ 15 - 20 Triệu/tháng</t>
        </is>
      </c>
      <c r="D2580" s="10" t="inlineStr">
        <is>
          <t>CÔNG TY CỔ PHẦN TP SOLAR</t>
        </is>
      </c>
      <c r="E2580" s="10" t="inlineStr">
        <is>
          <t>15tr-20tr ₫/tháng</t>
        </is>
      </c>
      <c r="F2580" s="10" t="inlineStr">
        <is>
          <t>Hà Nội</t>
        </is>
      </c>
      <c r="G2580" s="10" t="inlineStr">
        <is>
          <t>Nhân viên</t>
        </is>
      </c>
      <c r="H2580" s="10" t="inlineStr">
        <is>
          <t>31/12/2025</t>
        </is>
      </c>
      <c r="I2580" s="10" t="inlineStr">
        <is>
          <t>27/03/2026</t>
        </is>
      </c>
      <c r="J2580" s="10" t="inlineStr">
        <is>
          <t>17/03/2026</t>
        </is>
      </c>
      <c r="K2580" s="10" t="inlineStr">
        <is>
          <t>N/A</t>
        </is>
      </c>
      <c r="L2580" s="10" t="inlineStr">
        <is>
          <t>Quản Trị Kinh Doanh, Hệ Thống Thông Tin, Phân Tích Chất Lượng, Quy Trình Vận Hành, Giải quyết vấn đề</t>
        </is>
      </c>
      <c r="M2580" s="10" t="inlineStr">
        <is>
          <t>Bonus, Healthcare Plan, Others</t>
        </is>
      </c>
      <c r="N2580" s="11">
        <f>HYPERLINK("https://www.vietnamworks.com/chuyen-vien-van-hanh-phan-mem-lark-luong-tu-15-20-trieu-thang-1998779-jv","Xem chi tiết")</f>
        <v/>
      </c>
      <c r="O2580" s="10" t="n"/>
    </row>
    <row r="2581">
      <c r="B2581" s="7" t="n">
        <v>2579</v>
      </c>
      <c r="C2581" t="inlineStr">
        <is>
          <t>Chủ Trì/ Chủ Nhiệm Dự Án Quy Hoạch</t>
        </is>
      </c>
      <c r="D2581" t="inlineStr">
        <is>
          <t>Công Ty Cổ Phần Đầu Tư Infinity Group</t>
        </is>
      </c>
      <c r="E2581" t="inlineStr">
        <is>
          <t>Thương lượng</t>
        </is>
      </c>
      <c r="F2581" t="inlineStr">
        <is>
          <t>Hà Nội</t>
        </is>
      </c>
      <c r="G2581" t="inlineStr">
        <is>
          <t>Nhân viên</t>
        </is>
      </c>
      <c r="H2581" t="inlineStr">
        <is>
          <t>31/12/2025</t>
        </is>
      </c>
      <c r="I2581" t="inlineStr">
        <is>
          <t>27/03/2026</t>
        </is>
      </c>
      <c r="J2581" t="inlineStr">
        <is>
          <t>17/03/2026</t>
        </is>
      </c>
      <c r="K2581" t="inlineStr">
        <is>
          <t>N/A</t>
        </is>
      </c>
      <c r="L2581" t="inlineStr">
        <is>
          <t>Đầu Tư Xây Dựng, Đấu Thầu, Bóc Tách Khối Lượng, Quản Lý Dự Án, Quy Hoạch Xây Dựng</t>
        </is>
      </c>
      <c r="M2581" t="inlineStr">
        <is>
          <t>Bonus, Healthcare Plan, Training, Others</t>
        </is>
      </c>
      <c r="N2581" s="8">
        <f>HYPERLINK("https://www.vietnamworks.com/chu-tri-chu-nhiem-du-an-quy-hoach-1998453-jv","Xem chi tiết")</f>
        <v/>
      </c>
    </row>
    <row r="2582">
      <c r="B2582" s="9" t="n">
        <v>2580</v>
      </c>
      <c r="C2582" s="10" t="inlineStr">
        <is>
          <t>[Tuyển Gấp] Nam Nhân Viên Kỹ Thuật Phòng Kỹ Thuật Gia Công (Chuyên Ngành Cơ Khí Chế Tạo) - Nhà Máy Thăng Long</t>
        </is>
      </c>
      <c r="D2582" s="10" t="inlineStr">
        <is>
          <t>Công Ty TNHH Ogino Việt Nam</t>
        </is>
      </c>
      <c r="E2582" s="10" t="inlineStr">
        <is>
          <t>$$ 400-500 /tháng</t>
        </is>
      </c>
      <c r="F2582" s="10" t="inlineStr">
        <is>
          <t>Hà Nội</t>
        </is>
      </c>
      <c r="G2582" s="10" t="inlineStr">
        <is>
          <t>Nhân viên</t>
        </is>
      </c>
      <c r="H2582" s="10" t="inlineStr">
        <is>
          <t>31/12/2025</t>
        </is>
      </c>
      <c r="I2582" s="10" t="inlineStr">
        <is>
          <t>27/03/2026</t>
        </is>
      </c>
      <c r="J2582" s="10" t="inlineStr">
        <is>
          <t>17/03/2026</t>
        </is>
      </c>
      <c r="K2582" s="10" t="inlineStr">
        <is>
          <t>N/A</t>
        </is>
      </c>
      <c r="L2582" s="10" t="inlineStr">
        <is>
          <t>Cơ Khí Chế Tạo Máy, Mechanical Engineering, CNC, Kỹ Thuật Cơ Khí, Xử Lý Sự Cố</t>
        </is>
      </c>
      <c r="M2582" s="10" t="inlineStr">
        <is>
          <t>Bonus, Healthcare Plan, Team Activities</t>
        </is>
      </c>
      <c r="N2582" s="11">
        <f>HYPERLINK("https://www.vietnamworks.com/tuyen-gap-nam-nhan-vien-ky-thuat-phong-ky-thuat-gia-cong-chuyen-nganh-co-khi-che-tao-nha-may-thang-long--1998799-jv","Xem chi tiết")</f>
        <v/>
      </c>
      <c r="O2582" s="10" t="n"/>
    </row>
    <row r="2583">
      <c r="B2583" s="7" t="n">
        <v>2581</v>
      </c>
      <c r="C2583" t="inlineStr">
        <is>
          <t>Kế Toán Trưởng (Chief Accountant)</t>
        </is>
      </c>
      <c r="D2583" t="inlineStr">
        <is>
          <t>Công ty TNHH MTV SX TM DV Cao Su Mai Vĩnh</t>
        </is>
      </c>
      <c r="E2583" t="inlineStr">
        <is>
          <t>22tr-30tr ₫/tháng</t>
        </is>
      </c>
      <c r="F2583" t="inlineStr">
        <is>
          <t>Bình Dương</t>
        </is>
      </c>
      <c r="G2583" t="inlineStr">
        <is>
          <t>Trưởng phòng</t>
        </is>
      </c>
      <c r="H2583" t="inlineStr">
        <is>
          <t>31/12/2025</t>
        </is>
      </c>
      <c r="I2583" t="inlineStr">
        <is>
          <t>27/03/2026</t>
        </is>
      </c>
      <c r="J2583" t="inlineStr">
        <is>
          <t>17/03/2026</t>
        </is>
      </c>
      <c r="K2583" t="inlineStr">
        <is>
          <t>N/A</t>
        </is>
      </c>
      <c r="L2583" t="inlineStr">
        <is>
          <t>Báo Cáo Thuế, Kiểm Soát Chứng Từ, Lập Báo Cáo Tài Chính, Quản Lý Kế Hoạch Tài Chính, Quản lý và phát triển đội ngũ</t>
        </is>
      </c>
      <c r="M2583" t="inlineStr">
        <is>
          <t>Bonus, Healthcare Plan, Others</t>
        </is>
      </c>
      <c r="N2583" s="8">
        <f>HYPERLINK("https://www.vietnamworks.com/ke-toan-truong-chief-accountant-1998198-jv","Xem chi tiết")</f>
        <v/>
      </c>
    </row>
    <row r="2584">
      <c r="B2584" s="9" t="n">
        <v>2582</v>
      </c>
      <c r="C2584" s="10" t="inlineStr">
        <is>
          <t>Operations Staff - Nhân Viên P Chứng Từ và DVKH (Lương 9-12Triệu/ Tháng)</t>
        </is>
      </c>
      <c r="D2584" s="10" t="inlineStr">
        <is>
          <t>Công Ty TNHH SBS Vietnam</t>
        </is>
      </c>
      <c r="E2584" s="10" t="inlineStr">
        <is>
          <t>$$ 350-500 /tháng</t>
        </is>
      </c>
      <c r="F2584" s="10" t="inlineStr">
        <is>
          <t>Hồ Chí Minh</t>
        </is>
      </c>
      <c r="G2584" s="10" t="inlineStr">
        <is>
          <t>Nhân viên</t>
        </is>
      </c>
      <c r="H2584" s="10" t="inlineStr">
        <is>
          <t>30/12/2025</t>
        </is>
      </c>
      <c r="I2584" s="10" t="inlineStr">
        <is>
          <t>27/03/2026</t>
        </is>
      </c>
      <c r="J2584" s="10" t="inlineStr">
        <is>
          <t>17/03/2026</t>
        </is>
      </c>
      <c r="K2584" s="10" t="inlineStr">
        <is>
          <t>N/A</t>
        </is>
      </c>
      <c r="L2584" s="10" t="inlineStr">
        <is>
          <t>Freight Forwarding, Operation, Chứng Từ Xuất Nhập Khẩu, Import-Export, Logistics</t>
        </is>
      </c>
      <c r="M2584" s="10" t="inlineStr">
        <is>
          <t>Bonus, Healthcare Plan, Others</t>
        </is>
      </c>
      <c r="N2584" s="11">
        <f>HYPERLINK("https://www.vietnamworks.com/operations-staff-nhan-vien-p-chung-tu-va-dvkh-luong-9-12trieu-thang--1997841-jv","Xem chi tiết")</f>
        <v/>
      </c>
      <c r="O2584" s="10" t="n"/>
    </row>
    <row r="2585">
      <c r="B2585" s="7" t="n">
        <v>2583</v>
      </c>
      <c r="C2585" t="inlineStr">
        <is>
          <t>Kỹ Sư Kết Cấu (Ứng Viên 23-35 Tuổi)</t>
        </is>
      </c>
      <c r="D2585" t="inlineStr">
        <is>
          <t>Công Ty Cổ Phần Inno</t>
        </is>
      </c>
      <c r="E2585" t="inlineStr">
        <is>
          <t>13tr-31tr ₫/tháng</t>
        </is>
      </c>
      <c r="F2585" t="inlineStr">
        <is>
          <t>Hà Nội, Hồ Chí Minh</t>
        </is>
      </c>
      <c r="G2585" t="inlineStr">
        <is>
          <t>Nhân viên</t>
        </is>
      </c>
      <c r="H2585" t="inlineStr">
        <is>
          <t>31/12/2025</t>
        </is>
      </c>
      <c r="I2585" t="inlineStr">
        <is>
          <t>27/03/2026</t>
        </is>
      </c>
      <c r="J2585" t="inlineStr">
        <is>
          <t>17/03/2026</t>
        </is>
      </c>
      <c r="K2585" t="inlineStr">
        <is>
          <t>N/A</t>
        </is>
      </c>
      <c r="L2585" t="inlineStr">
        <is>
          <t>AutoCAD, Revit, Etabs, Security, Creative Thinking</t>
        </is>
      </c>
      <c r="M2585" t="inlineStr">
        <is>
          <t>Bonus, Healthcare Plan, Training, Laptop, Others</t>
        </is>
      </c>
      <c r="N2585" s="8">
        <f>HYPERLINK("https://www.vietnamworks.com/ky-su-ket-cau-ung-vien-23-35-tuoi-1998794-jv","Xem chi tiết")</f>
        <v/>
      </c>
    </row>
    <row r="2586">
      <c r="B2586" s="9" t="n">
        <v>2584</v>
      </c>
      <c r="C2586" s="10" t="inlineStr">
        <is>
          <t>Trưởng Phòng Tài Chính-Kế Toán</t>
        </is>
      </c>
      <c r="D2586" s="10" t="inlineStr">
        <is>
          <t>CÔNG TY CỔ PHẦN TP SOLAR</t>
        </is>
      </c>
      <c r="E2586" s="10" t="inlineStr">
        <is>
          <t>35tr-40tr ₫/tháng</t>
        </is>
      </c>
      <c r="F2586" s="10" t="inlineStr">
        <is>
          <t>Hà Nội</t>
        </is>
      </c>
      <c r="G2586" s="10" t="inlineStr">
        <is>
          <t>Trưởng phòng</t>
        </is>
      </c>
      <c r="H2586" s="10" t="inlineStr">
        <is>
          <t>31/12/2025</t>
        </is>
      </c>
      <c r="I2586" s="10" t="inlineStr">
        <is>
          <t>27/03/2026</t>
        </is>
      </c>
      <c r="J2586" s="10" t="inlineStr">
        <is>
          <t>17/03/2026</t>
        </is>
      </c>
      <c r="K2586" s="10" t="inlineStr">
        <is>
          <t>N/A</t>
        </is>
      </c>
      <c r="L2586" s="10" t="inlineStr">
        <is>
          <t>Kế Toán Tổng Hợp, Quản Lý Tài Chính, Quản Trị Hệ Thống ERP, Phân Tích Tài Chính, Giao Tiếp</t>
        </is>
      </c>
      <c r="M2586" s="10" t="inlineStr">
        <is>
          <t>Paid Leave, Others</t>
        </is>
      </c>
      <c r="N2586" s="11">
        <f>HYPERLINK("https://www.vietnamworks.com/truong-phong-tai-chinh-ke-toan--1998761-jv","Xem chi tiết")</f>
        <v/>
      </c>
      <c r="O2586" s="10" t="n"/>
    </row>
    <row r="2587">
      <c r="B2587" s="7" t="n">
        <v>2585</v>
      </c>
      <c r="C2587" t="inlineStr">
        <is>
          <t>Sales Logistics - Nhân Viên Kinh Doanh</t>
        </is>
      </c>
      <c r="D2587" t="inlineStr">
        <is>
          <t>Công Ty TNHH SBS Vietnam</t>
        </is>
      </c>
      <c r="E2587" t="inlineStr">
        <is>
          <t>$$ 400-600 /tháng</t>
        </is>
      </c>
      <c r="F2587" t="inlineStr">
        <is>
          <t>Hồ Chí Minh, Hà Nội</t>
        </is>
      </c>
      <c r="G2587" t="inlineStr">
        <is>
          <t>Nhân viên</t>
        </is>
      </c>
      <c r="H2587" t="inlineStr">
        <is>
          <t>31/12/2025</t>
        </is>
      </c>
      <c r="I2587" t="inlineStr">
        <is>
          <t>27/03/2026</t>
        </is>
      </c>
      <c r="J2587" t="inlineStr">
        <is>
          <t>17/03/2026</t>
        </is>
      </c>
      <c r="K2587" t="inlineStr">
        <is>
          <t>N/A</t>
        </is>
      </c>
      <c r="L2587" t="inlineStr">
        <is>
          <t>Phát Triển Kinh Doanh, Logistics, Xuất Nhập Khẩu, Logistics Sales, English Communication</t>
        </is>
      </c>
      <c r="M2587" t="inlineStr">
        <is>
          <t>Bonus, Healthcare Plan, Others</t>
        </is>
      </c>
      <c r="N2587" s="8">
        <f>HYPERLINK("https://www.vietnamworks.com/sales-logistics-nhan-vien-kinh-doanh--1998201-jv","Xem chi tiết")</f>
        <v/>
      </c>
    </row>
    <row r="2588">
      <c r="B2588" s="9" t="n">
        <v>2586</v>
      </c>
      <c r="C2588" s="10" t="inlineStr">
        <is>
          <t>Chuyên Viên Phân Tích Đầu Tư</t>
        </is>
      </c>
      <c r="D2588" s="10" t="inlineStr">
        <is>
          <t>CÔNG TY CỔ PHẦN TẬP ĐOÀN BMK</t>
        </is>
      </c>
      <c r="E2588" s="10" t="inlineStr">
        <is>
          <t>24tr-28tr ₫/tháng</t>
        </is>
      </c>
      <c r="F2588" s="10" t="inlineStr">
        <is>
          <t>Hà Nội</t>
        </is>
      </c>
      <c r="G2588" s="10" t="inlineStr">
        <is>
          <t>Nhân viên</t>
        </is>
      </c>
      <c r="H2588" s="10" t="inlineStr">
        <is>
          <t>24/02/2026</t>
        </is>
      </c>
      <c r="I2588" s="10" t="inlineStr">
        <is>
          <t>26/03/2026</t>
        </is>
      </c>
      <c r="J2588" s="10" t="inlineStr">
        <is>
          <t>17/03/2026</t>
        </is>
      </c>
      <c r="K2588" s="10" t="inlineStr">
        <is>
          <t>N/A</t>
        </is>
      </c>
      <c r="L2588" s="10" t="inlineStr">
        <is>
          <t>Autocad, Kinh Tế Xây Dựng, MS Office, Phân Tích Đầu Tư, Quản Lý Chi Phí</t>
        </is>
      </c>
      <c r="M2588" s="10" t="inlineStr">
        <is>
          <t>Bonus, Healthcare Plan, Awards, Team Activities, Others</t>
        </is>
      </c>
      <c r="N2588" s="11">
        <f>HYPERLINK("https://www.vietnamworks.com/chuyen-vien-phan-tich-djau-tu-2013456-jv","Xem chi tiết")</f>
        <v/>
      </c>
      <c r="O2588" s="10" t="n"/>
    </row>
    <row r="2589">
      <c r="B2589" s="7" t="n">
        <v>2587</v>
      </c>
      <c r="C2589" t="inlineStr">
        <is>
          <t>Senior IT Support Specialist</t>
        </is>
      </c>
      <c r="D2589" t="inlineStr">
        <is>
          <t>CÔNG TY CỔ PHẦN DƯỢC PHẨM ĐẠT VI PHÚ (DAVIPHARM)</t>
        </is>
      </c>
      <c r="E2589" t="inlineStr">
        <is>
          <t>Thương lượng</t>
        </is>
      </c>
      <c r="F2589" t="inlineStr">
        <is>
          <t>Hồ Chí Minh</t>
        </is>
      </c>
      <c r="G2589" t="inlineStr">
        <is>
          <t>Nhân viên</t>
        </is>
      </c>
      <c r="H2589" t="inlineStr">
        <is>
          <t>31/12/2025</t>
        </is>
      </c>
      <c r="I2589" t="inlineStr">
        <is>
          <t>27/03/2026</t>
        </is>
      </c>
      <c r="J2589" t="inlineStr">
        <is>
          <t>17/03/2026</t>
        </is>
      </c>
      <c r="K2589" t="inlineStr">
        <is>
          <t>N/A</t>
        </is>
      </c>
      <c r="L2589" t="inlineStr">
        <is>
          <t>Information Technology, Network Administration, Troubleshooting, Cloud Computing, Communication Skills</t>
        </is>
      </c>
      <c r="M2589" t="inlineStr">
        <is>
          <t>Bonus, Training, Transportation</t>
        </is>
      </c>
      <c r="N2589" s="8">
        <f>HYPERLINK("https://www.vietnamworks.com/senior-it-support-specialist-1998630-jv","Xem chi tiết")</f>
        <v/>
      </c>
    </row>
    <row r="2590">
      <c r="B2590" s="9" t="n">
        <v>2588</v>
      </c>
      <c r="C2590" s="10" t="inlineStr">
        <is>
          <t>Cost Accounting Leader/成本會計組長</t>
        </is>
      </c>
      <c r="D2590" s="10" t="inlineStr">
        <is>
          <t>HUGE-BAMBOO ENTERPRISE CO.,LTD</t>
        </is>
      </c>
      <c r="E2590" s="10" t="inlineStr">
        <is>
          <t>$$ 1,000-2,000 /tháng</t>
        </is>
      </c>
      <c r="F2590" s="10" t="inlineStr">
        <is>
          <t>Hồ Chí Minh</t>
        </is>
      </c>
      <c r="G2590" s="10" t="inlineStr">
        <is>
          <t>Trưởng phòng</t>
        </is>
      </c>
      <c r="H2590" s="10" t="inlineStr">
        <is>
          <t>05/01/2026</t>
        </is>
      </c>
      <c r="I2590" s="10" t="inlineStr">
        <is>
          <t>27/03/2026</t>
        </is>
      </c>
      <c r="J2590" s="10" t="inlineStr">
        <is>
          <t>17/03/2026</t>
        </is>
      </c>
      <c r="K2590" s="10" t="inlineStr">
        <is>
          <t>N/A</t>
        </is>
      </c>
      <c r="L2590" s="10" t="inlineStr">
        <is>
          <t>Chú Ý Đến Chi Tiết, Giải Quyết Vấn Đề, Kế Toán Tổng Hợp, Phần mềm kế toán</t>
        </is>
      </c>
      <c r="M2590" s="10" t="inlineStr">
        <is>
          <t>Bonus, Training, Others</t>
        </is>
      </c>
      <c r="N2590" s="11">
        <f>HYPERLINK("https://www.vietnamworks.com/cost-accounting-leader-1999326-jv","Xem chi tiết")</f>
        <v/>
      </c>
      <c r="O2590" s="10" t="n"/>
    </row>
    <row r="2591">
      <c r="B2591" s="7" t="n">
        <v>2589</v>
      </c>
      <c r="C2591" t="inlineStr">
        <is>
          <t>Giám Đốc Marketing &amp; Truyền Thông</t>
        </is>
      </c>
      <c r="D2591" t="inlineStr">
        <is>
          <t>CÔNG TY CỔ PHẦN TẬP ĐOÀN VINASTONE</t>
        </is>
      </c>
      <c r="E2591" t="inlineStr">
        <is>
          <t>Thương lượng</t>
        </is>
      </c>
      <c r="F2591" t="inlineStr">
        <is>
          <t>Hà Nội</t>
        </is>
      </c>
      <c r="G2591" t="inlineStr">
        <is>
          <t>Giám Đốc và Cấp Cao Hơn</t>
        </is>
      </c>
      <c r="H2591" t="inlineStr">
        <is>
          <t>05/01/2026</t>
        </is>
      </c>
      <c r="I2591" t="inlineStr">
        <is>
          <t>27/03/2026</t>
        </is>
      </c>
      <c r="J2591" t="inlineStr">
        <is>
          <t>17/03/2026</t>
        </is>
      </c>
      <c r="K2591" t="inlineStr">
        <is>
          <t>N/A</t>
        </is>
      </c>
      <c r="L2591" t="inlineStr">
        <is>
          <t>Marketing Strategy, Digital Marketing, Branding, PR Communication, B2B Marketing</t>
        </is>
      </c>
      <c r="M2591" t="inlineStr">
        <is>
          <t>Bonus, Healthcare Plan, Paid Leave, Others</t>
        </is>
      </c>
      <c r="N2591" s="8">
        <f>HYPERLINK("https://www.vietnamworks.com/giam-djoc-marketing-and-truyen-thong-1999339-jv","Xem chi tiết")</f>
        <v/>
      </c>
    </row>
    <row r="2592">
      <c r="B2592" s="9" t="n">
        <v>2590</v>
      </c>
      <c r="C2592" s="10" t="inlineStr">
        <is>
          <t>Tuyển Gấp - Chuyên Viên Môi Giới Chứng Khoán/ Broker</t>
        </is>
      </c>
      <c r="D2592" s="10" t="inlineStr">
        <is>
          <t>Public Bank Securities Vietnam Company Limited (PBSV)</t>
        </is>
      </c>
      <c r="E2592" s="10" t="inlineStr">
        <is>
          <t>Thương lượng</t>
        </is>
      </c>
      <c r="F2592" s="10" t="inlineStr">
        <is>
          <t>Hà Nội, Hồ Chí Minh</t>
        </is>
      </c>
      <c r="G2592" s="10" t="inlineStr">
        <is>
          <t>Mới Tốt Nghiệp</t>
        </is>
      </c>
      <c r="H2592" s="10" t="inlineStr">
        <is>
          <t>05/01/2026</t>
        </is>
      </c>
      <c r="I2592" s="10" t="inlineStr">
        <is>
          <t>27/03/2026</t>
        </is>
      </c>
      <c r="J2592" s="10" t="inlineStr">
        <is>
          <t>17/03/2026</t>
        </is>
      </c>
      <c r="K2592" s="10" t="inlineStr">
        <is>
          <t>N/A</t>
        </is>
      </c>
      <c r="L2592" s="10" t="inlineStr">
        <is>
          <t>Phân Tích Thị Trường, Môi Giới Chứng Khoán, Tìm Kiếm Khách Hàng, Xây Dựng Mối Quan Hệ, Đánh Giá Rủi Ro</t>
        </is>
      </c>
      <c r="M2592" s="10" t="inlineStr">
        <is>
          <t>Healthcare Plan, Paid Leave, Training, Others</t>
        </is>
      </c>
      <c r="N2592" s="11">
        <f>HYPERLINK("https://www.vietnamworks.com/tuyen-gap-chuyen-vien-moi-gioi-chung-khoan-broker-1999407-jv","Xem chi tiết")</f>
        <v/>
      </c>
      <c r="O2592" s="10" t="n"/>
    </row>
    <row r="2593">
      <c r="B2593" s="7" t="n">
        <v>2591</v>
      </c>
      <c r="C2593" t="inlineStr">
        <is>
          <t>Relationship Manager (RM)</t>
        </is>
      </c>
      <c r="D2593" t="inlineStr">
        <is>
          <t>CTBC BANK – HCMC Branch</t>
        </is>
      </c>
      <c r="E2593" t="inlineStr">
        <is>
          <t>Thương lượng</t>
        </is>
      </c>
      <c r="F2593" t="inlineStr">
        <is>
          <t>Hồ Chí Minh, Hà Nội</t>
        </is>
      </c>
      <c r="G2593" t="inlineStr">
        <is>
          <t>Nhân viên</t>
        </is>
      </c>
      <c r="H2593" t="inlineStr">
        <is>
          <t>06/01/2026</t>
        </is>
      </c>
      <c r="I2593" t="inlineStr">
        <is>
          <t>27/03/2026</t>
        </is>
      </c>
      <c r="J2593" t="inlineStr">
        <is>
          <t>17/03/2026</t>
        </is>
      </c>
      <c r="K2593" t="inlineStr">
        <is>
          <t>N/A</t>
        </is>
      </c>
      <c r="L2593" t="inlineStr">
        <is>
          <t>Relationship Management, Credit Risk Assessment, Financial Products, MS Office, Teamwork</t>
        </is>
      </c>
      <c r="M2593" t="inlineStr">
        <is>
          <t>Bonus, Healthcare Plan, Canteen</t>
        </is>
      </c>
      <c r="N2593" s="8">
        <f>HYPERLINK("https://www.vietnamworks.com/relationship-manager-rm-1999815-jv","Xem chi tiết")</f>
        <v/>
      </c>
    </row>
    <row r="2594">
      <c r="B2594" s="9" t="n">
        <v>2592</v>
      </c>
      <c r="C2594" s="10" t="inlineStr">
        <is>
          <t>Chuyên Viên Đóng Gói Sản Phẩm</t>
        </is>
      </c>
      <c r="D2594" s="10" t="inlineStr">
        <is>
          <t>Công Ty Cổ Phần Thaiholdings</t>
        </is>
      </c>
      <c r="E2594" s="10" t="inlineStr">
        <is>
          <t>Thương lượng</t>
        </is>
      </c>
      <c r="F2594" s="10" t="inlineStr">
        <is>
          <t>Hà Nội</t>
        </is>
      </c>
      <c r="G2594" s="10" t="inlineStr">
        <is>
          <t>Nhân viên</t>
        </is>
      </c>
      <c r="H2594" s="10" t="inlineStr">
        <is>
          <t>05/01/2026</t>
        </is>
      </c>
      <c r="I2594" s="10" t="inlineStr">
        <is>
          <t>27/03/2026</t>
        </is>
      </c>
      <c r="J2594" s="10" t="inlineStr">
        <is>
          <t>17/03/2026</t>
        </is>
      </c>
      <c r="K2594" s="10" t="inlineStr">
        <is>
          <t>N/A</t>
        </is>
      </c>
      <c r="L2594" s="10" t="inlineStr">
        <is>
          <t>Nghiên Cứu Độc Lập, Phân Tích Số Liệu</t>
        </is>
      </c>
      <c r="M2594" s="10" t="inlineStr">
        <is>
          <t>Bonus, Team Activities</t>
        </is>
      </c>
      <c r="N2594" s="11">
        <f>HYPERLINK("https://www.vietnamworks.com/chuyen-vien-dong-goi-san-pham--1999480-jv","Xem chi tiết")</f>
        <v/>
      </c>
      <c r="O2594" s="10" t="n"/>
    </row>
    <row r="2595">
      <c r="B2595" s="7" t="n">
        <v>2593</v>
      </c>
      <c r="C2595" t="inlineStr">
        <is>
          <t>Accountant (Nhân Viên Kế Toán)</t>
        </is>
      </c>
      <c r="D2595" t="inlineStr">
        <is>
          <t>CÔNG TY TNHH DỊCH VỤ KẾ TOÁN QUẢNG NINH</t>
        </is>
      </c>
      <c r="E2595" t="inlineStr">
        <is>
          <t>$$ 100-1,000 /tháng</t>
        </is>
      </c>
      <c r="F2595" t="inlineStr">
        <is>
          <t>Quảng Ninh</t>
        </is>
      </c>
      <c r="G2595" t="inlineStr">
        <is>
          <t>Nhân viên</t>
        </is>
      </c>
      <c r="H2595" t="inlineStr">
        <is>
          <t>06/01/2026</t>
        </is>
      </c>
      <c r="I2595" t="inlineStr">
        <is>
          <t>27/03/2026</t>
        </is>
      </c>
      <c r="J2595" t="inlineStr">
        <is>
          <t>17/03/2026</t>
        </is>
      </c>
      <c r="K2595" t="inlineStr">
        <is>
          <t>N/A</t>
        </is>
      </c>
      <c r="L2595" t="inlineStr">
        <is>
          <t>Accounting Software, General Accounting Principals, Tax Regulation, Báo Cáo Tài Chính, Khai Thuế</t>
        </is>
      </c>
      <c r="M2595" t="inlineStr">
        <is>
          <t>Bonus, Healthcare Plan, Training, Team Activities</t>
        </is>
      </c>
      <c r="N2595" s="8">
        <f>HYPERLINK("https://www.vietnamworks.com/accountant-nhan-vien-ke-toan-1999739-jv","Xem chi tiết")</f>
        <v/>
      </c>
    </row>
    <row r="2596">
      <c r="B2596" s="9" t="n">
        <v>2594</v>
      </c>
      <c r="C2596" s="10" t="inlineStr">
        <is>
          <t>Assistant</t>
        </is>
      </c>
      <c r="D2596" s="10" t="inlineStr">
        <is>
          <t>CTBC BANK – HCMC Branch</t>
        </is>
      </c>
      <c r="E2596" s="10" t="inlineStr">
        <is>
          <t>Thương lượng</t>
        </is>
      </c>
      <c r="F2596" s="10" t="inlineStr">
        <is>
          <t>Hải Phòng</t>
        </is>
      </c>
      <c r="G2596" s="10" t="inlineStr">
        <is>
          <t>Nhân viên</t>
        </is>
      </c>
      <c r="H2596" s="10" t="inlineStr">
        <is>
          <t>05/01/2026</t>
        </is>
      </c>
      <c r="I2596" s="10" t="inlineStr">
        <is>
          <t>27/03/2026</t>
        </is>
      </c>
      <c r="J2596" s="10" t="inlineStr">
        <is>
          <t>17/03/2026</t>
        </is>
      </c>
      <c r="K2596" s="10" t="inlineStr">
        <is>
          <t>N/A</t>
        </is>
      </c>
      <c r="L2596" s="10" t="inlineStr">
        <is>
          <t>Business Management, Vietnamese fluency, English Fluency, Mandarin, Organizational skills</t>
        </is>
      </c>
      <c r="M2596" s="10" t="inlineStr">
        <is>
          <t>Bonus, Healthcare Plan, Canteen</t>
        </is>
      </c>
      <c r="N2596" s="11">
        <f>HYPERLINK("https://www.vietnamworks.com/assistant-1999367-jv","Xem chi tiết")</f>
        <v/>
      </c>
      <c r="O2596" s="10" t="n"/>
    </row>
    <row r="2597">
      <c r="B2597" s="7" t="n">
        <v>2595</v>
      </c>
      <c r="C2597" t="inlineStr">
        <is>
          <t>Chuyên Viên Kinh Doanh Tiếng Trung</t>
        </is>
      </c>
      <c r="D2597" t="inlineStr">
        <is>
          <t>Tập Đoàn CEO</t>
        </is>
      </c>
      <c r="E2597" t="inlineStr">
        <is>
          <t>Thương lượng</t>
        </is>
      </c>
      <c r="F2597" t="inlineStr">
        <is>
          <t>Hải Phòng, Thái Bình, Hà Nội</t>
        </is>
      </c>
      <c r="G2597" t="inlineStr">
        <is>
          <t>Mới Tốt Nghiệp</t>
        </is>
      </c>
      <c r="H2597" t="inlineStr">
        <is>
          <t>06/01/2026</t>
        </is>
      </c>
      <c r="I2597" t="inlineStr">
        <is>
          <t>27/03/2026</t>
        </is>
      </c>
      <c r="J2597" t="inlineStr">
        <is>
          <t>17/03/2026</t>
        </is>
      </c>
      <c r="K2597" t="inlineStr">
        <is>
          <t>N/A</t>
        </is>
      </c>
      <c r="L2597" t="inlineStr">
        <is>
          <t>Tiếng Trung thành thạo, Kinh Doanh B2B, Kinh Tế, Quản Trị Kinh Doanh, Network</t>
        </is>
      </c>
      <c r="M2597" t="inlineStr">
        <is>
          <t>Healthcare Plan, Paid Leave, Training, Travel Opportunities, Canteen, Others</t>
        </is>
      </c>
      <c r="N2597" s="8">
        <f>HYPERLINK("https://www.vietnamworks.com/chuyen-vien-kinh-doanh-tieng-trung-1999791-jv","Xem chi tiết")</f>
        <v/>
      </c>
    </row>
    <row r="2598">
      <c r="B2598" s="9" t="n">
        <v>2596</v>
      </c>
      <c r="C2598" s="10" t="inlineStr">
        <is>
          <t>Kiến Trúc Sư Triển Khai (Ứng Viên 23-35 Tuổi)</t>
        </is>
      </c>
      <c r="D2598" s="10" t="inlineStr">
        <is>
          <t>Công Ty Cổ Phần Inno</t>
        </is>
      </c>
      <c r="E2598" s="10" t="inlineStr">
        <is>
          <t>11tr-20tr ₫/tháng</t>
        </is>
      </c>
      <c r="F2598" s="10" t="inlineStr">
        <is>
          <t>Hà Nội, Hồ Chí Minh</t>
        </is>
      </c>
      <c r="G2598" s="10" t="inlineStr">
        <is>
          <t>Nhân viên</t>
        </is>
      </c>
      <c r="H2598" s="10" t="inlineStr">
        <is>
          <t>31/12/2025</t>
        </is>
      </c>
      <c r="I2598" s="10" t="inlineStr">
        <is>
          <t>27/03/2026</t>
        </is>
      </c>
      <c r="J2598" s="10" t="inlineStr">
        <is>
          <t>17/03/2026</t>
        </is>
      </c>
      <c r="K2598" s="10" t="inlineStr">
        <is>
          <t>N/A</t>
        </is>
      </c>
      <c r="L2598" s="10" t="inlineStr">
        <is>
          <t>Revit, CAD, Photoshop, 3D Max, Creativity</t>
        </is>
      </c>
      <c r="M2598" s="10" t="inlineStr">
        <is>
          <t>Bonus, Healthcare Plan, Paid Leave, Training, Laptop, Others</t>
        </is>
      </c>
      <c r="N2598" s="11">
        <f>HYPERLINK("https://www.vietnamworks.com/kien-truc-su-trien-khai-ung-vien-23-35-tuoi-1998784-jv","Xem chi tiết")</f>
        <v/>
      </c>
      <c r="O2598" s="10" t="n"/>
    </row>
    <row r="2599">
      <c r="B2599" s="7" t="n">
        <v>2597</v>
      </c>
      <c r="C2599" t="inlineStr">
        <is>
          <t>Tuyển Gấp Nam Nhân Viên Kỹ Thuật Phòng Kỹ Thuật Gia Công (Chuyên Ngành Cơ Khí)</t>
        </is>
      </c>
      <c r="D2599" t="inlineStr">
        <is>
          <t>Công Ty TNHH Ogino Việt Nam</t>
        </is>
      </c>
      <c r="E2599" t="inlineStr">
        <is>
          <t>$$ 400-500 /tháng</t>
        </is>
      </c>
      <c r="F2599" t="inlineStr">
        <is>
          <t>Bắc Ninh</t>
        </is>
      </c>
      <c r="G2599" t="inlineStr">
        <is>
          <t>Nhân viên</t>
        </is>
      </c>
      <c r="H2599" t="inlineStr">
        <is>
          <t>31/12/2025</t>
        </is>
      </c>
      <c r="I2599" t="inlineStr">
        <is>
          <t>27/03/2026</t>
        </is>
      </c>
      <c r="J2599" t="inlineStr">
        <is>
          <t>17/03/2026</t>
        </is>
      </c>
      <c r="K2599" t="inlineStr">
        <is>
          <t>N/A</t>
        </is>
      </c>
      <c r="L2599" t="inlineStr">
        <is>
          <t>Cơ Khí Chế Tạo Máy, Cơ Khí Chế Tạo, Kỹ Thuật Cơ Khí, CNC Machine</t>
        </is>
      </c>
      <c r="M2599" t="inlineStr">
        <is>
          <t>Bonus, Healthcare Plan, Others</t>
        </is>
      </c>
      <c r="N2599" s="8">
        <f>HYPERLINK("https://www.vietnamworks.com/tuyen-gap-nam-nhan-vien-ky-thuat-phong-ky-thuat-gia-cong-chuyen-nganh-co-khi--1998800-jv","Xem chi tiết")</f>
        <v/>
      </c>
    </row>
    <row r="2600">
      <c r="B2600" s="9" t="n">
        <v>2598</v>
      </c>
      <c r="C2600" s="10" t="inlineStr">
        <is>
          <t>Nhân Viên Kinh Doanh Thang Máy - Chấp Nhận Ứng Viên Mới Ra Trường. Lương Cứng 7 - 15 Triệu/tháng + Thưởng</t>
        </is>
      </c>
      <c r="D2600" s="10" t="inlineStr">
        <is>
          <t>Công Ty Cổ Phần Thang Máy 3T Hà Nội</t>
        </is>
      </c>
      <c r="E2600" s="10" t="inlineStr">
        <is>
          <t>7tr-15tr ₫/tháng</t>
        </is>
      </c>
      <c r="F2600" s="10" t="inlineStr">
        <is>
          <t>Hà Nội</t>
        </is>
      </c>
      <c r="G2600" s="10" t="inlineStr">
        <is>
          <t>Mới Tốt Nghiệp</t>
        </is>
      </c>
      <c r="H2600" s="10" t="inlineStr">
        <is>
          <t>08/01/2026</t>
        </is>
      </c>
      <c r="I2600" s="10" t="inlineStr">
        <is>
          <t>27/03/2026</t>
        </is>
      </c>
      <c r="J2600" s="10" t="inlineStr">
        <is>
          <t>17/03/2026</t>
        </is>
      </c>
      <c r="K2600" s="10" t="inlineStr">
        <is>
          <t>N/A</t>
        </is>
      </c>
      <c r="L2600" s="10" t="inlineStr">
        <is>
          <t>Kỹ năng giao tiêp, Phân Tích Kinh Doanh, Chăm Sóc Khách Hàng, Chuẩn Bị Báo Giá, Tìm Kiếm Khách Hàng</t>
        </is>
      </c>
      <c r="M2600" s="10" t="inlineStr">
        <is>
          <t>Bonus, Healthcare Plan, Training, Others</t>
        </is>
      </c>
      <c r="N2600" s="11">
        <f>HYPERLINK("https://www.vietnamworks.com/nhan-vien-kinh-doanh-thang-may-chap-nhan-ung-vien-moi-ra-truong-luong-cung-7-15-trieu-thang-thuong-2000530-jv","Xem chi tiết")</f>
        <v/>
      </c>
      <c r="O2600" s="10" t="n"/>
    </row>
    <row r="2601">
      <c r="B2601" s="7" t="n">
        <v>2599</v>
      </c>
      <c r="C2601" t="inlineStr">
        <is>
          <t>Tổng Giám Đốc Điều Hành Mảng Luxury (Công Ty Thành Viên)</t>
        </is>
      </c>
      <c r="D2601" t="inlineStr">
        <is>
          <t>Tập đoàn Công nghệ G-Group</t>
        </is>
      </c>
      <c r="E2601" t="inlineStr">
        <is>
          <t>Thương lượng</t>
        </is>
      </c>
      <c r="F2601" t="inlineStr">
        <is>
          <t>Hà Nội</t>
        </is>
      </c>
      <c r="G2601" t="inlineStr">
        <is>
          <t>Giám Đốc và Cấp Cao Hơn</t>
        </is>
      </c>
      <c r="H2601" t="inlineStr">
        <is>
          <t>08/01/2026</t>
        </is>
      </c>
      <c r="I2601" t="inlineStr">
        <is>
          <t>27/03/2026</t>
        </is>
      </c>
      <c r="J2601" t="inlineStr">
        <is>
          <t>17/03/2026</t>
        </is>
      </c>
      <c r="K2601" t="inlineStr">
        <is>
          <t>N/A</t>
        </is>
      </c>
      <c r="L2601" t="inlineStr">
        <is>
          <t>Kinh Doanh, Quản Lý Kinh Doanh, Luxury Goods, Phát Triển Thương Hiệu, Marketing</t>
        </is>
      </c>
      <c r="M2601" t="inlineStr">
        <is>
          <t>Bonus, Healthcare Plan, Team Activities</t>
        </is>
      </c>
      <c r="N2601" s="8">
        <f>HYPERLINK("https://www.vietnamworks.com/tong-giam-doc-dieu-hanh-mang-luxury-cong-ty-thanh-vien-2000591-jv","Xem chi tiết")</f>
        <v/>
      </c>
    </row>
    <row r="2602">
      <c r="B2602" s="9" t="n">
        <v>2600</v>
      </c>
      <c r="C2602" s="10" t="inlineStr">
        <is>
          <t>Product Development Manager, Apparel And EQ</t>
        </is>
      </c>
      <c r="D2602" s="10" t="inlineStr">
        <is>
          <t>CÔNG TY TNHH JACK WOLFSKIN VIỆT NAM</t>
        </is>
      </c>
      <c r="E2602" s="10" t="inlineStr">
        <is>
          <t>Thương lượng</t>
        </is>
      </c>
      <c r="F2602" s="10" t="inlineStr">
        <is>
          <t>Hồ Chí Minh</t>
        </is>
      </c>
      <c r="G2602" s="10" t="inlineStr">
        <is>
          <t>Trưởng phòng</t>
        </is>
      </c>
      <c r="H2602" s="10" t="inlineStr">
        <is>
          <t>07/01/2026</t>
        </is>
      </c>
      <c r="I2602" s="10" t="inlineStr">
        <is>
          <t>27/03/2026</t>
        </is>
      </c>
      <c r="J2602" s="10" t="inlineStr">
        <is>
          <t>17/03/2026</t>
        </is>
      </c>
      <c r="K2602" s="10" t="inlineStr">
        <is>
          <t>N/A</t>
        </is>
      </c>
      <c r="L2602" s="10" t="inlineStr">
        <is>
          <t>Product Development, Garment Construction, Supplier Management, Project Management, Communication</t>
        </is>
      </c>
      <c r="M2602" s="10" t="inlineStr">
        <is>
          <t>Healthcare Plan, Paid Leave</t>
        </is>
      </c>
      <c r="N2602" s="11">
        <f>HYPERLINK("https://www.vietnamworks.com/product-development-manager-apparel-and-eq-2000379-jv","Xem chi tiết")</f>
        <v/>
      </c>
      <c r="O2602" s="10" t="n"/>
    </row>
    <row r="2603">
      <c r="B2603" s="7" t="n">
        <v>2601</v>
      </c>
      <c r="C2603" t="inlineStr">
        <is>
          <t>Senior UX Writer</t>
        </is>
      </c>
      <c r="D2603" t="inlineStr">
        <is>
          <t>Công Ty Cổ Phần Chứng Khoán SSI</t>
        </is>
      </c>
      <c r="E2603" t="inlineStr">
        <is>
          <t>Thương lượng</t>
        </is>
      </c>
      <c r="F2603" t="inlineStr">
        <is>
          <t>Hà Nội</t>
        </is>
      </c>
      <c r="G2603" t="inlineStr">
        <is>
          <t>Nhân viên</t>
        </is>
      </c>
      <c r="H2603" t="inlineStr">
        <is>
          <t>07/01/2026</t>
        </is>
      </c>
      <c r="I2603" t="inlineStr">
        <is>
          <t>27/03/2026</t>
        </is>
      </c>
      <c r="J2603" t="inlineStr">
        <is>
          <t>17/03/2026</t>
        </is>
      </c>
      <c r="K2603" t="inlineStr">
        <is>
          <t>N/A</t>
        </is>
      </c>
      <c r="L2603" t="inlineStr">
        <is>
          <t>Content &amp; Copywriting, Content Design, Figma, Product Design, UX Writing</t>
        </is>
      </c>
      <c r="M2603" t="inlineStr">
        <is>
          <t>Bonus, Healthcare Plan, Training</t>
        </is>
      </c>
      <c r="N2603" s="8">
        <f>HYPERLINK("https://www.vietnamworks.com/senior-ux-writer-2000407-jv","Xem chi tiết")</f>
        <v/>
      </c>
    </row>
    <row r="2604">
      <c r="B2604" s="9" t="n">
        <v>2602</v>
      </c>
      <c r="C2604" s="10" t="inlineStr">
        <is>
          <t>Kỹ Sư Cơ Khí (Sửa Chữa Máy Cnc, Thao Tác Máy CNC)</t>
        </is>
      </c>
      <c r="D2604" s="10" t="inlineStr">
        <is>
          <t>CÔNG TY TNHH OPTORUN VINA</t>
        </is>
      </c>
      <c r="E2604" s="10" t="inlineStr">
        <is>
          <t>Thương lượng</t>
        </is>
      </c>
      <c r="F2604" s="10" t="inlineStr">
        <is>
          <t>Bắc Ninh</t>
        </is>
      </c>
      <c r="G2604" s="10" t="inlineStr">
        <is>
          <t>Mới Tốt Nghiệp</t>
        </is>
      </c>
      <c r="H2604" s="10" t="inlineStr">
        <is>
          <t>07/01/2026</t>
        </is>
      </c>
      <c r="I2604" s="10" t="inlineStr">
        <is>
          <t>27/03/2026</t>
        </is>
      </c>
      <c r="J2604" s="10" t="inlineStr">
        <is>
          <t>17/03/2026</t>
        </is>
      </c>
      <c r="K2604" s="10" t="inlineStr">
        <is>
          <t>N/A</t>
        </is>
      </c>
      <c r="L2604" s="10" t="inlineStr">
        <is>
          <t>Tiếng Anh, Bảo Trì Bảo Dưỡng Cơ Khí, Lắp Ráp Thiết Bị, Cơ Khí, Điện tử</t>
        </is>
      </c>
      <c r="M2604" s="10" t="inlineStr">
        <is>
          <t>Canteen, Vouchers, Others</t>
        </is>
      </c>
      <c r="N2604" s="11">
        <f>HYPERLINK("https://www.vietnamworks.com/ky-su-co-khi-sua-chua-may-cnc-thao-tac-may-cnc-2000350-jv","Xem chi tiết")</f>
        <v/>
      </c>
      <c r="O2604" s="10" t="n"/>
    </row>
    <row r="2605">
      <c r="B2605" s="7" t="n">
        <v>2603</v>
      </c>
      <c r="C2605" t="inlineStr">
        <is>
          <t>Trợ Lý Chủ Tịch Hội Đồng Thành Viên (Tối Thiểu 5 Năm Kinh Nghiệm - Ngành BDS Nghỉ Dưỡng)</t>
        </is>
      </c>
      <c r="D2605" t="inlineStr">
        <is>
          <t>Công Ty TNHH Tư Vấn Và Kinh Doanh Nhà Đạt Gia</t>
        </is>
      </c>
      <c r="E2605" t="inlineStr">
        <is>
          <t>Thương lượng</t>
        </is>
      </c>
      <c r="F2605" t="inlineStr">
        <is>
          <t>Hồ Chí Minh</t>
        </is>
      </c>
      <c r="G2605" t="inlineStr">
        <is>
          <t>Nhân viên</t>
        </is>
      </c>
      <c r="H2605" t="inlineStr">
        <is>
          <t>07/01/2026</t>
        </is>
      </c>
      <c r="I2605" t="inlineStr">
        <is>
          <t>27/03/2026</t>
        </is>
      </c>
      <c r="J2605" t="inlineStr">
        <is>
          <t>17/03/2026</t>
        </is>
      </c>
      <c r="K2605" t="inlineStr">
        <is>
          <t>N/A</t>
        </is>
      </c>
      <c r="L2605" t="inlineStr">
        <is>
          <t>Quản Trị Kinh Doanh, Luật, Đầu Tư, Hành Chính, Trợ Lý</t>
        </is>
      </c>
      <c r="M2605" t="inlineStr">
        <is>
          <t>Bonus, Healthcare Plan, Team Activities</t>
        </is>
      </c>
      <c r="N2605" s="8">
        <f>HYPERLINK("https://www.vietnamworks.com/tro-ly-chu-tich-hoi-dong-thanh-vien-toi-thieu-5-nam-kinh-nghiem-nganh-bds-nghi-duong-2000104-jv","Xem chi tiết")</f>
        <v/>
      </c>
    </row>
    <row r="2606">
      <c r="B2606" s="9" t="n">
        <v>2604</v>
      </c>
      <c r="C2606" s="10" t="inlineStr">
        <is>
          <t>Senior Software Engineer</t>
        </is>
      </c>
      <c r="D2606" s="10" t="inlineStr">
        <is>
          <t>MEDICONCEN LIMITED</t>
        </is>
      </c>
      <c r="E2606" s="10" t="inlineStr">
        <is>
          <t>Thương lượng</t>
        </is>
      </c>
      <c r="F2606" s="10" t="inlineStr">
        <is>
          <t>Hồ Chí Minh</t>
        </is>
      </c>
      <c r="G2606" s="10" t="inlineStr">
        <is>
          <t>Nhân viên</t>
        </is>
      </c>
      <c r="H2606" s="10" t="inlineStr">
        <is>
          <t>07/01/2026</t>
        </is>
      </c>
      <c r="I2606" s="10" t="inlineStr">
        <is>
          <t>27/03/2026</t>
        </is>
      </c>
      <c r="J2606" s="10" t="inlineStr">
        <is>
          <t>17/03/2026</t>
        </is>
      </c>
      <c r="K2606" s="10" t="inlineStr">
        <is>
          <t>N/A</t>
        </is>
      </c>
      <c r="L2606" s="10" t="inlineStr">
        <is>
          <t>NestJS, NodeJS, RESTful API, TypeScript</t>
        </is>
      </c>
      <c r="M2606" s="10" t="inlineStr">
        <is>
          <t>Bonus</t>
        </is>
      </c>
      <c r="N2606" s="11">
        <f>HYPERLINK("https://www.vietnamworks.com/senior-software-engineer-2000037-jv","Xem chi tiết")</f>
        <v/>
      </c>
      <c r="O2606" s="10" t="n"/>
    </row>
    <row r="2607">
      <c r="B2607" s="7" t="n">
        <v>2605</v>
      </c>
      <c r="C2607" t="inlineStr">
        <is>
          <t>Kế Toán Tổng Hợp</t>
        </is>
      </c>
      <c r="D2607" t="inlineStr">
        <is>
          <t>CÔNG TY CỔ PHẦN BOLT HOLDINGS</t>
        </is>
      </c>
      <c r="E2607" t="inlineStr">
        <is>
          <t>Thương lượng</t>
        </is>
      </c>
      <c r="F2607" t="inlineStr">
        <is>
          <t>Hà Nội</t>
        </is>
      </c>
      <c r="G2607" t="inlineStr">
        <is>
          <t>Nhân viên</t>
        </is>
      </c>
      <c r="H2607" t="inlineStr">
        <is>
          <t>06/01/2026</t>
        </is>
      </c>
      <c r="I2607" t="inlineStr">
        <is>
          <t>27/03/2026</t>
        </is>
      </c>
      <c r="J2607" t="inlineStr">
        <is>
          <t>17/03/2026</t>
        </is>
      </c>
      <c r="K2607" t="inlineStr">
        <is>
          <t>N/A</t>
        </is>
      </c>
      <c r="L2607" t="inlineStr">
        <is>
          <t>Kế Toán, Tài Chính, Phân Tích Số Liệu, Phần mềm kế toán, Trách nhiệm</t>
        </is>
      </c>
      <c r="M2607" t="inlineStr">
        <is>
          <t>Bonus, Healthcare Plan, Team Activities, Others</t>
        </is>
      </c>
      <c r="N2607" s="8">
        <f>HYPERLINK("https://www.vietnamworks.com/ke-toan-tong-hop-1999882-jv","Xem chi tiết")</f>
        <v/>
      </c>
    </row>
    <row r="2608">
      <c r="B2608" s="9" t="n">
        <v>2606</v>
      </c>
      <c r="C2608" s="10" t="inlineStr">
        <is>
          <t>Giám Đốc Kinh Doanh Và Tiếp Thị</t>
        </is>
      </c>
      <c r="D2608" s="10" t="inlineStr">
        <is>
          <t>Công ty Cổ phần Tập đoàn Bất động sản NK Properties</t>
        </is>
      </c>
      <c r="E2608" s="10" t="inlineStr">
        <is>
          <t>Thương lượng</t>
        </is>
      </c>
      <c r="F2608" s="10" t="inlineStr">
        <is>
          <t>Hồ Chí Minh</t>
        </is>
      </c>
      <c r="G2608" s="10" t="inlineStr">
        <is>
          <t>Giám Đốc và Cấp Cao Hơn</t>
        </is>
      </c>
      <c r="H2608" s="10" t="inlineStr">
        <is>
          <t>06/01/2026</t>
        </is>
      </c>
      <c r="I2608" s="10" t="inlineStr">
        <is>
          <t>27/03/2026</t>
        </is>
      </c>
      <c r="J2608" s="10" t="inlineStr">
        <is>
          <t>17/03/2026</t>
        </is>
      </c>
      <c r="K2608" s="10" t="inlineStr">
        <is>
          <t>N/A</t>
        </is>
      </c>
      <c r="L2608" s="10" t="inlineStr">
        <is>
          <t>Giao Tiếp, Lãnh Đạo, Phân Tích Thị Trường, Quản Lý Kinh Doanh, Tư Vấn Chiến Lược Marketing</t>
        </is>
      </c>
      <c r="M2608" s="10" t="inlineStr">
        <is>
          <t>Bonus, Healthcare Plan, Paid Leave, Training, Laptop</t>
        </is>
      </c>
      <c r="N2608" s="11">
        <f>HYPERLINK("https://www.vietnamworks.com/giam-djoc-kinh-doanh-va-tiep-thi-1999845-jv","Xem chi tiết")</f>
        <v/>
      </c>
      <c r="O2608" s="10" t="n"/>
    </row>
    <row r="2609">
      <c r="B2609" s="7" t="n">
        <v>2607</v>
      </c>
      <c r="C2609" t="inlineStr">
        <is>
          <t>Kế Toán Tổng Hợp (Thu Nhập Hấp Dẫn - Upto 20M)</t>
        </is>
      </c>
      <c r="D2609" t="inlineStr">
        <is>
          <t>Công ty Cổ phần Gỗ Gia HOLDINGS</t>
        </is>
      </c>
      <c r="E2609" t="inlineStr">
        <is>
          <t>Tới 20tr ₫/tháng</t>
        </is>
      </c>
      <c r="F2609" t="inlineStr">
        <is>
          <t>Hà Nội</t>
        </is>
      </c>
      <c r="G2609" t="inlineStr">
        <is>
          <t>Nhân viên</t>
        </is>
      </c>
      <c r="H2609" t="inlineStr">
        <is>
          <t>07/01/2026</t>
        </is>
      </c>
      <c r="I2609" t="inlineStr">
        <is>
          <t>27/03/2026</t>
        </is>
      </c>
      <c r="J2609" t="inlineStr">
        <is>
          <t>17/03/2026</t>
        </is>
      </c>
      <c r="K2609" t="inlineStr">
        <is>
          <t>N/A</t>
        </is>
      </c>
      <c r="L2609" t="inlineStr">
        <is>
          <t>Excel, Hạch Toán, Kế Toán Tổng Hợp, MISA Accounting</t>
        </is>
      </c>
      <c r="M2609" t="inlineStr">
        <is>
          <t>Bonus, Healthcare Plan, Paid Leave, Others</t>
        </is>
      </c>
      <c r="N2609" s="8">
        <f>HYPERLINK("https://www.vietnamworks.com/ke-toan-tong-hop-thu-nhap-hap-dan-upto-20m-2000403-jv","Xem chi tiết")</f>
        <v/>
      </c>
    </row>
    <row r="2610">
      <c r="B2610" s="9" t="n">
        <v>2608</v>
      </c>
      <c r="C2610" s="10" t="inlineStr">
        <is>
          <t>Foodservice Key Account Sales Executive</t>
        </is>
      </c>
      <c r="D2610" s="10" t="inlineStr">
        <is>
          <t>CÔNG TY TNHH DMK DAIRY VIETNAM</t>
        </is>
      </c>
      <c r="E2610" s="10" t="inlineStr">
        <is>
          <t>Thương lượng</t>
        </is>
      </c>
      <c r="F2610" s="10" t="inlineStr">
        <is>
          <t>Hồ Chí Minh, Hà Nội</t>
        </is>
      </c>
      <c r="G2610" s="10" t="inlineStr">
        <is>
          <t>Nhân viên</t>
        </is>
      </c>
      <c r="H2610" s="10" t="inlineStr">
        <is>
          <t>05/01/2026</t>
        </is>
      </c>
      <c r="I2610" s="10" t="inlineStr">
        <is>
          <t>27/03/2026</t>
        </is>
      </c>
      <c r="J2610" s="10" t="inlineStr">
        <is>
          <t>17/03/2026</t>
        </is>
      </c>
      <c r="K2610" s="10" t="inlineStr">
        <is>
          <t>N/A</t>
        </is>
      </c>
      <c r="L2610" s="10" t="inlineStr">
        <is>
          <t>Bán Hàng, Chăm Sóc Khách Hàng, Giao Tiếp Tiếng Anh, Food Service, Horeca</t>
        </is>
      </c>
      <c r="M2610" s="10" t="inlineStr">
        <is>
          <t>Bonus, Healthcare Plan, Team Activities, Others</t>
        </is>
      </c>
      <c r="N2610" s="11">
        <f>HYPERLINK("https://www.vietnamworks.com/foodservice-key-account-sales-executive-1999575-jv","Xem chi tiết")</f>
        <v/>
      </c>
      <c r="O2610" s="10" t="n"/>
    </row>
    <row r="2611">
      <c r="B2611" s="7" t="n">
        <v>2609</v>
      </c>
      <c r="C2611" t="inlineStr">
        <is>
          <t>Phó Tổng Giám Đốc</t>
        </is>
      </c>
      <c r="D2611" t="inlineStr">
        <is>
          <t>Oristar Corporation - Công Ty Cổ Phần Oristar</t>
        </is>
      </c>
      <c r="E2611" t="inlineStr">
        <is>
          <t>Thương lượng</t>
        </is>
      </c>
      <c r="F2611" t="inlineStr">
        <is>
          <t>Hà Nội, Hồ Chí Minh</t>
        </is>
      </c>
      <c r="G2611" t="inlineStr">
        <is>
          <t>Nhân viên</t>
        </is>
      </c>
      <c r="H2611" t="inlineStr">
        <is>
          <t>05/01/2026</t>
        </is>
      </c>
      <c r="I2611" t="inlineStr">
        <is>
          <t>27/03/2026</t>
        </is>
      </c>
      <c r="J2611" t="inlineStr">
        <is>
          <t>17/03/2026</t>
        </is>
      </c>
      <c r="K2611" t="inlineStr">
        <is>
          <t>N/A</t>
        </is>
      </c>
      <c r="L2611" t="inlineStr">
        <is>
          <t>Chemical Distribution, Corporate Restructuring, General Management, Industrial Components, Organizational Management</t>
        </is>
      </c>
      <c r="M2611" t="inlineStr">
        <is>
          <t>Bonus, Healthcare Plan, Team Activities</t>
        </is>
      </c>
      <c r="N2611" s="8">
        <f>HYPERLINK("https://www.vietnamworks.com/pho-tong-giam-djoc-1999484-jv","Xem chi tiết")</f>
        <v/>
      </c>
    </row>
    <row r="2612">
      <c r="B2612" s="9" t="n">
        <v>2610</v>
      </c>
      <c r="C2612" s="10" t="inlineStr">
        <is>
          <t>Chief Accountant</t>
        </is>
      </c>
      <c r="D2612" s="10" t="inlineStr">
        <is>
          <t>Vietnamworks' Client</t>
        </is>
      </c>
      <c r="E2612" s="10" t="inlineStr">
        <is>
          <t>Thương lượng</t>
        </is>
      </c>
      <c r="F2612" s="10" t="inlineStr">
        <is>
          <t>Hồ Chí Minh</t>
        </is>
      </c>
      <c r="G2612" s="10" t="inlineStr">
        <is>
          <t>Trưởng phòng</t>
        </is>
      </c>
      <c r="H2612" s="10" t="inlineStr">
        <is>
          <t>08/01/2026</t>
        </is>
      </c>
      <c r="I2612" s="10" t="inlineStr">
        <is>
          <t>27/03/2026</t>
        </is>
      </c>
      <c r="J2612" s="10" t="inlineStr">
        <is>
          <t>17/03/2026</t>
        </is>
      </c>
      <c r="K2612" s="10" t="inlineStr">
        <is>
          <t>N/A</t>
        </is>
      </c>
      <c r="L2612" s="10" t="inlineStr">
        <is>
          <t>Accounting, Auditing, Finance</t>
        </is>
      </c>
      <c r="M2612" s="10" t="inlineStr">
        <is>
          <t>Bonus, Healthcare Plan, Transportation</t>
        </is>
      </c>
      <c r="N2612" s="11">
        <f>HYPERLINK("https://www.vietnamworks.com/chief-accountant-2000783-jv","Xem chi tiết")</f>
        <v/>
      </c>
      <c r="O2612" s="10" t="n"/>
    </row>
    <row r="2613">
      <c r="B2613" s="7" t="n">
        <v>2611</v>
      </c>
      <c r="C2613" t="inlineStr">
        <is>
          <t>Executive Assistant</t>
        </is>
      </c>
      <c r="D2613" t="inlineStr">
        <is>
          <t>Chi Nhánh Công Ty TNHH CEO Suite Tại Thành Phố Hồ Chí Minh</t>
        </is>
      </c>
      <c r="E2613" t="inlineStr">
        <is>
          <t>Từ $ 500 /tháng</t>
        </is>
      </c>
      <c r="F2613" t="inlineStr">
        <is>
          <t>Hồ Chí Minh</t>
        </is>
      </c>
      <c r="G2613" t="inlineStr">
        <is>
          <t>Nhân viên</t>
        </is>
      </c>
      <c r="H2613" t="inlineStr">
        <is>
          <t>08/01/2026</t>
        </is>
      </c>
      <c r="I2613" t="inlineStr">
        <is>
          <t>27/03/2026</t>
        </is>
      </c>
      <c r="J2613" t="inlineStr">
        <is>
          <t>17/03/2026</t>
        </is>
      </c>
      <c r="K2613" t="inlineStr">
        <is>
          <t>N/A</t>
        </is>
      </c>
      <c r="L2613" t="inlineStr">
        <is>
          <t>English Speaking, Assistant, Admin, Front Offfice Operation, Front Office</t>
        </is>
      </c>
      <c r="M2613" t="inlineStr">
        <is>
          <t>Bonus, Healthcare Plan, Paid Leave</t>
        </is>
      </c>
      <c r="N2613" s="8">
        <f>HYPERLINK("https://www.vietnamworks.com/executive-assistant-2000665-jv","Xem chi tiết")</f>
        <v/>
      </c>
    </row>
    <row r="2614">
      <c r="B2614" s="9" t="n">
        <v>2612</v>
      </c>
      <c r="C2614" s="10" t="inlineStr">
        <is>
          <t>Production Manager</t>
        </is>
      </c>
      <c r="D2614" s="10" t="inlineStr">
        <is>
          <t>GENTHERM VIETNAM CO., LTD</t>
        </is>
      </c>
      <c r="E2614" s="10" t="inlineStr">
        <is>
          <t>Thương lượng</t>
        </is>
      </c>
      <c r="F2614" s="10" t="inlineStr">
        <is>
          <t>Hà Nam, Hà Nội, Hưng Yên</t>
        </is>
      </c>
      <c r="G2614" s="10" t="inlineStr">
        <is>
          <t>Trưởng phòng</t>
        </is>
      </c>
      <c r="H2614" s="10" t="inlineStr">
        <is>
          <t>08/01/2026</t>
        </is>
      </c>
      <c r="I2614" s="10" t="inlineStr">
        <is>
          <t>27/03/2026</t>
        </is>
      </c>
      <c r="J2614" s="10" t="inlineStr">
        <is>
          <t>17/03/2026</t>
        </is>
      </c>
      <c r="K2614" s="10" t="inlineStr">
        <is>
          <t>N/A</t>
        </is>
      </c>
      <c r="L2614" s="10" t="inlineStr">
        <is>
          <t>Production Manager, Production Leadership, Production Operations Management, Production Quality Control, Production plan</t>
        </is>
      </c>
      <c r="M2614" s="10" t="inlineStr">
        <is>
          <t>Bonus, Healthcare Plan, Transportation</t>
        </is>
      </c>
      <c r="N2614" s="11">
        <f>HYPERLINK("https://www.vietnamworks.com/production-manager--2000669-jv","Xem chi tiết")</f>
        <v/>
      </c>
      <c r="O2614" s="10" t="n"/>
    </row>
    <row r="2615">
      <c r="B2615" s="7" t="n">
        <v>2613</v>
      </c>
      <c r="C2615" t="inlineStr">
        <is>
          <t>Kỹ Sư Bảo Trì Xưởng Sơn</t>
        </is>
      </c>
      <c r="D2615" t="inlineStr">
        <is>
          <t>Công Ty Cổ Phần Khu Công Nghiệp Tổ Hợp Công Nghệ Thành Công Việt Hưng (Thành Công Việt Hưng)</t>
        </is>
      </c>
      <c r="E2615" t="inlineStr">
        <is>
          <t>Thương lượng</t>
        </is>
      </c>
      <c r="F2615" t="inlineStr">
        <is>
          <t>Quảng Ninh</t>
        </is>
      </c>
      <c r="G2615" t="inlineStr">
        <is>
          <t>Nhân viên</t>
        </is>
      </c>
      <c r="H2615" t="inlineStr">
        <is>
          <t>09/01/2026</t>
        </is>
      </c>
      <c r="I2615" t="inlineStr">
        <is>
          <t>27/03/2026</t>
        </is>
      </c>
      <c r="J2615" t="inlineStr">
        <is>
          <t>17/03/2026</t>
        </is>
      </c>
      <c r="K2615" t="inlineStr">
        <is>
          <t>N/A</t>
        </is>
      </c>
      <c r="L2615" t="inlineStr">
        <is>
          <t>Cơ Điện Tử, Giải Quyết Vấn Đề, PLC, Robot, Tự Động Hóa</t>
        </is>
      </c>
      <c r="M2615" t="inlineStr">
        <is>
          <t>Bonus, Healthcare Plan, Training, Laptop, Transportation, Canteen, Others</t>
        </is>
      </c>
      <c r="N2615" s="8">
        <f>HYPERLINK("https://www.vietnamworks.com/ky-su-bao-tri-xuong-son-2001053-jv","Xem chi tiết")</f>
        <v/>
      </c>
    </row>
    <row r="2616">
      <c r="B2616" s="9" t="n">
        <v>2614</v>
      </c>
      <c r="C2616" s="10" t="inlineStr">
        <is>
          <t>Kế Toán Trưởng</t>
        </is>
      </c>
      <c r="D2616" s="10" t="inlineStr">
        <is>
          <t>CÔNG TY TNHH THỜI TRANG TRACY</t>
        </is>
      </c>
      <c r="E2616" s="10" t="inlineStr">
        <is>
          <t>Thương lượng</t>
        </is>
      </c>
      <c r="F2616" s="10" t="inlineStr">
        <is>
          <t>Hà Nội</t>
        </is>
      </c>
      <c r="G2616" s="10" t="inlineStr">
        <is>
          <t>Trưởng phòng</t>
        </is>
      </c>
      <c r="H2616" s="10" t="inlineStr">
        <is>
          <t>08/01/2026</t>
        </is>
      </c>
      <c r="I2616" s="10" t="inlineStr">
        <is>
          <t>27/03/2026</t>
        </is>
      </c>
      <c r="J2616" s="10" t="inlineStr">
        <is>
          <t>17/03/2026</t>
        </is>
      </c>
      <c r="K2616" s="10" t="inlineStr">
        <is>
          <t>N/A</t>
        </is>
      </c>
      <c r="L2616" s="10" t="inlineStr">
        <is>
          <t>Báo Cáo Tài Chính, Kế Toán Sản Xuất, Kiểm Soát Công Nợ, Kiểm Soát Tài Chính, Quản Trị Dòng Tiền</t>
        </is>
      </c>
      <c r="M2616" s="10" t="inlineStr">
        <is>
          <t>Healthcare Plan, Paid Leave, Others</t>
        </is>
      </c>
      <c r="N2616" s="11">
        <f>HYPERLINK("https://www.vietnamworks.com/ke-toan-truong-2000821-jv","Xem chi tiết")</f>
        <v/>
      </c>
      <c r="O2616" s="10" t="n"/>
    </row>
    <row r="2617">
      <c r="B2617" s="7" t="n">
        <v>2615</v>
      </c>
      <c r="C2617" t="inlineStr">
        <is>
          <t>Kỹ Sư MEP</t>
        </is>
      </c>
      <c r="D2617" t="inlineStr">
        <is>
          <t>Công Ty Cổ Phần Khu Công Nghiệp Tổ Hợp Công Nghệ Thành Công Việt Hưng (Thành Công Việt Hưng)</t>
        </is>
      </c>
      <c r="E2617" t="inlineStr">
        <is>
          <t>Thương lượng</t>
        </is>
      </c>
      <c r="F2617" t="inlineStr">
        <is>
          <t>Quảng Ninh</t>
        </is>
      </c>
      <c r="G2617" t="inlineStr">
        <is>
          <t>Nhân viên</t>
        </is>
      </c>
      <c r="H2617" t="inlineStr">
        <is>
          <t>09/01/2026</t>
        </is>
      </c>
      <c r="I2617" t="inlineStr">
        <is>
          <t>27/03/2026</t>
        </is>
      </c>
      <c r="J2617" t="inlineStr">
        <is>
          <t>17/03/2026</t>
        </is>
      </c>
      <c r="K2617" t="inlineStr">
        <is>
          <t>N/A</t>
        </is>
      </c>
      <c r="L2617" t="inlineStr">
        <is>
          <t>Giải Quyết Vấn Đề, Giao Tiếp Tiếng Anh, Làm Việc Nhóm, Vận Hành Hệ Thống, Điện Tự Động Hóa</t>
        </is>
      </c>
      <c r="M2617" t="inlineStr">
        <is>
          <t>Bonus, Healthcare Plan, Training, Laptop, Transportation, Canteen, Others</t>
        </is>
      </c>
      <c r="N2617" s="8">
        <f>HYPERLINK("https://www.vietnamworks.com/ky-su-mep-2001054-jv","Xem chi tiết")</f>
        <v/>
      </c>
    </row>
    <row r="2618">
      <c r="B2618" s="9" t="n">
        <v>2616</v>
      </c>
      <c r="C2618" s="10" t="inlineStr">
        <is>
          <t>Kỹ Sư Quy Trình Kỹ Thuật Xưởng Sơn</t>
        </is>
      </c>
      <c r="D2618" s="10" t="inlineStr">
        <is>
          <t>Công Ty Cổ Phần Khu Công Nghiệp Tổ Hợp Công Nghệ Thành Công Việt Hưng (Thành Công Việt Hưng)</t>
        </is>
      </c>
      <c r="E2618" s="10" t="inlineStr">
        <is>
          <t>Thương lượng</t>
        </is>
      </c>
      <c r="F2618" s="10" t="inlineStr">
        <is>
          <t>Quảng Ninh</t>
        </is>
      </c>
      <c r="G2618" s="10" t="inlineStr">
        <is>
          <t>Nhân viên</t>
        </is>
      </c>
      <c r="H2618" s="10" t="inlineStr">
        <is>
          <t>09/01/2026</t>
        </is>
      </c>
      <c r="I2618" s="10" t="inlineStr">
        <is>
          <t>27/03/2026</t>
        </is>
      </c>
      <c r="J2618" s="10" t="inlineStr">
        <is>
          <t>17/03/2026</t>
        </is>
      </c>
      <c r="K2618" s="10" t="inlineStr">
        <is>
          <t>N/A</t>
        </is>
      </c>
      <c r="L2618" s="10" t="inlineStr">
        <is>
          <t>Cơ Khí, Cơ Điện Tử, Công Nghệ Ô Tô, Giải Quyết Vấn Đề, Tự Động Hóa</t>
        </is>
      </c>
      <c r="M2618" s="10" t="inlineStr">
        <is>
          <t>Bonus, Healthcare Plan, Training, Laptop, Transportation, Canteen, Others</t>
        </is>
      </c>
      <c r="N2618" s="11">
        <f>HYPERLINK("https://www.vietnamworks.com/ky-su-quy-trinh-ky-thuat-xuong-son-2001030-jv","Xem chi tiết")</f>
        <v/>
      </c>
      <c r="O2618" s="10" t="n"/>
    </row>
    <row r="2619">
      <c r="B2619" s="7" t="n">
        <v>2617</v>
      </c>
      <c r="C2619" t="inlineStr">
        <is>
          <t>Technical Designer</t>
        </is>
      </c>
      <c r="D2619" t="inlineStr">
        <is>
          <t>Carter’s Vietnam</t>
        </is>
      </c>
      <c r="E2619" t="inlineStr">
        <is>
          <t>Thương lượng</t>
        </is>
      </c>
      <c r="F2619" t="inlineStr">
        <is>
          <t>Hà Nội</t>
        </is>
      </c>
      <c r="G2619" t="inlineStr">
        <is>
          <t>Nhân viên</t>
        </is>
      </c>
      <c r="H2619" t="inlineStr">
        <is>
          <t>09/01/2026</t>
        </is>
      </c>
      <c r="I2619" t="inlineStr">
        <is>
          <t>27/03/2026</t>
        </is>
      </c>
      <c r="J2619" t="inlineStr">
        <is>
          <t>17/03/2026</t>
        </is>
      </c>
      <c r="K2619" t="inlineStr">
        <is>
          <t>N/A</t>
        </is>
      </c>
      <c r="L2619" t="inlineStr">
        <is>
          <t>Fashion Design, Garment Technical Design, Gerber, Textile Engineering, Thiết Kế Kỹ Thuật</t>
        </is>
      </c>
      <c r="M2619" t="inlineStr">
        <is>
          <t>Healthcare Plan, Paid Leave, Training</t>
        </is>
      </c>
      <c r="N2619" s="8">
        <f>HYPERLINK("https://www.vietnamworks.com/technical-designer-2001081-jv","Xem chi tiết")</f>
        <v/>
      </c>
    </row>
    <row r="2620">
      <c r="B2620" s="9" t="n">
        <v>2618</v>
      </c>
      <c r="C2620" s="10" t="inlineStr">
        <is>
          <t>Marketing Executive</t>
        </is>
      </c>
      <c r="D2620" s="10" t="inlineStr">
        <is>
          <t>Lotte Shopping Plaza Vietnam</t>
        </is>
      </c>
      <c r="E2620" s="10" t="inlineStr">
        <is>
          <t>Thương lượng</t>
        </is>
      </c>
      <c r="F2620" s="10" t="inlineStr">
        <is>
          <t>Hà Nội</t>
        </is>
      </c>
      <c r="G2620" s="10" t="inlineStr">
        <is>
          <t>Nhân viên</t>
        </is>
      </c>
      <c r="H2620" s="10" t="inlineStr">
        <is>
          <t>08/01/2026</t>
        </is>
      </c>
      <c r="I2620" s="10" t="inlineStr">
        <is>
          <t>27/03/2026</t>
        </is>
      </c>
      <c r="J2620" s="10" t="inlineStr">
        <is>
          <t>17/03/2026</t>
        </is>
      </c>
      <c r="K2620" s="10" t="inlineStr">
        <is>
          <t>N/A</t>
        </is>
      </c>
      <c r="L2620" s="10" t="inlineStr">
        <is>
          <t>Event Marketing, Journalism, Social Media Content Production, Tiktok</t>
        </is>
      </c>
      <c r="M2620" s="10" t="inlineStr">
        <is>
          <t>Bonus, Healthcare Plan, Paid Leave, Training, Team Activities</t>
        </is>
      </c>
      <c r="N2620" s="11">
        <f>HYPERLINK("https://www.vietnamworks.com/marketing-executive-2000921-jv","Xem chi tiết")</f>
        <v/>
      </c>
      <c r="O2620" s="10" t="n"/>
    </row>
    <row r="2621">
      <c r="B2621" s="7" t="n">
        <v>2619</v>
      </c>
      <c r="C2621" t="inlineStr">
        <is>
          <t>Chuyên Viên Pháp Chế</t>
        </is>
      </c>
      <c r="D2621" t="inlineStr">
        <is>
          <t>Công Ty Cổ Phần Thaiholdings</t>
        </is>
      </c>
      <c r="E2621" t="inlineStr">
        <is>
          <t>Thương lượng</t>
        </is>
      </c>
      <c r="F2621" t="inlineStr">
        <is>
          <t>Hà Nội</t>
        </is>
      </c>
      <c r="G2621" t="inlineStr">
        <is>
          <t>Nhân viên</t>
        </is>
      </c>
      <c r="H2621" t="inlineStr">
        <is>
          <t>10/01/2026</t>
        </is>
      </c>
      <c r="I2621" t="inlineStr">
        <is>
          <t>27/03/2026</t>
        </is>
      </c>
      <c r="J2621" t="inlineStr">
        <is>
          <t>17/03/2026</t>
        </is>
      </c>
      <c r="K2621" t="inlineStr">
        <is>
          <t>N/A</t>
        </is>
      </c>
      <c r="L2621" t="inlineStr">
        <is>
          <t>Pháp Chế Doanh Nghiệp, Pháp Lý, Pháp Chế</t>
        </is>
      </c>
      <c r="M2621" t="inlineStr">
        <is>
          <t>Bonus, Healthcare Plan, Team Activities</t>
        </is>
      </c>
      <c r="N2621" s="8">
        <f>HYPERLINK("https://www.vietnamworks.com/chuyen-vien-phap-che--2001223-jv","Xem chi tiết")</f>
        <v/>
      </c>
    </row>
    <row r="2622">
      <c r="B2622" s="9" t="n">
        <v>2620</v>
      </c>
      <c r="C2622" s="10" t="inlineStr">
        <is>
          <t>Quản Lý Chi Nhánh (Phim Cách Nhiệt Ô Tô Nexco)</t>
        </is>
      </c>
      <c r="D2622" s="10" t="inlineStr">
        <is>
          <t>Công ty CP Thương Mại, Dịch Vụ và Xây Dựng Đức Hiệp</t>
        </is>
      </c>
      <c r="E2622" s="10" t="inlineStr">
        <is>
          <t>$$ 760-1,330 /tháng</t>
        </is>
      </c>
      <c r="F2622" s="10" t="inlineStr">
        <is>
          <t>Hà Nội</t>
        </is>
      </c>
      <c r="G2622" s="10" t="inlineStr">
        <is>
          <t>Giám Đốc và Cấp Cao Hơn</t>
        </is>
      </c>
      <c r="H2622" s="10" t="inlineStr">
        <is>
          <t>17/01/2026</t>
        </is>
      </c>
      <c r="I2622" s="10" t="inlineStr">
        <is>
          <t>27/03/2026</t>
        </is>
      </c>
      <c r="J2622" s="10" t="inlineStr">
        <is>
          <t>17/03/2026</t>
        </is>
      </c>
      <c r="K2622" s="10" t="inlineStr">
        <is>
          <t>N/A</t>
        </is>
      </c>
      <c r="L2622" s="10" t="inlineStr">
        <is>
          <t>Phát Triển Kinh Doanh, Điều Hành, Quản Lý, Ô Tô, Tư Vấn Sản Phẩm</t>
        </is>
      </c>
      <c r="M2622" s="10" t="inlineStr">
        <is>
          <t>Paid Leave</t>
        </is>
      </c>
      <c r="N2622" s="11">
        <f>HYPERLINK("https://www.vietnamworks.com/quan-ly-chi-nhanh-phim-cach-nhiet-o-to-nexco-2003659-jv","Xem chi tiết")</f>
        <v/>
      </c>
      <c r="O2622" s="10" t="n"/>
    </row>
    <row r="2623">
      <c r="B2623" s="7" t="n">
        <v>2621</v>
      </c>
      <c r="C2623" t="inlineStr">
        <is>
          <t>Material Control Specialist - Chuyên viên Kế Hoạch Nguyên Vật Liệu - Tiếng Trung hoặc Anh</t>
        </is>
      </c>
      <c r="D2623" t="inlineStr">
        <is>
          <t>Fushan Technology Vietnam</t>
        </is>
      </c>
      <c r="E2623" t="inlineStr">
        <is>
          <t>Thương lượng</t>
        </is>
      </c>
      <c r="F2623" t="inlineStr">
        <is>
          <t>Bắc Giang, Bắc Ninh, Hà Nội</t>
        </is>
      </c>
      <c r="G2623" t="inlineStr">
        <is>
          <t>Nhân viên</t>
        </is>
      </c>
      <c r="H2623" t="inlineStr">
        <is>
          <t>09/01/2026</t>
        </is>
      </c>
      <c r="I2623" t="inlineStr">
        <is>
          <t>27/03/2026</t>
        </is>
      </c>
      <c r="J2623" t="inlineStr">
        <is>
          <t>17/03/2026</t>
        </is>
      </c>
      <c r="K2623" t="inlineStr">
        <is>
          <t>N/A</t>
        </is>
      </c>
      <c r="L2623" t="inlineStr">
        <is>
          <t>Conversational Chinese, Data Analytics, ERP Systems, Material Planning, Supply Chain Management</t>
        </is>
      </c>
      <c r="M2623" t="inlineStr">
        <is>
          <t>Others</t>
        </is>
      </c>
      <c r="N2623" s="8">
        <f>HYPERLINK("https://www.vietnamworks.com/material-control-specialist-chuyen-vien-ke-hoach-nguyen-vat-lieu-tieng-trung-hoac-anh-2001040-jv","Xem chi tiết")</f>
        <v/>
      </c>
    </row>
    <row r="2624">
      <c r="B2624" s="9" t="n">
        <v>2622</v>
      </c>
      <c r="C2624" s="10" t="inlineStr">
        <is>
          <t>Senior Legal Associate</t>
        </is>
      </c>
      <c r="D2624" s="10" t="inlineStr">
        <is>
          <t>Frasers Property Vietnam</t>
        </is>
      </c>
      <c r="E2624" s="10" t="inlineStr">
        <is>
          <t>Thương lượng</t>
        </is>
      </c>
      <c r="F2624" s="10" t="inlineStr">
        <is>
          <t>Hải Phòng, Hà Nội, Hồ Chí Minh</t>
        </is>
      </c>
      <c r="G2624" s="10" t="inlineStr">
        <is>
          <t>Nhân viên</t>
        </is>
      </c>
      <c r="H2624" s="10" t="inlineStr">
        <is>
          <t>29/01/2026</t>
        </is>
      </c>
      <c r="I2624" s="10" t="inlineStr">
        <is>
          <t>27/03/2026</t>
        </is>
      </c>
      <c r="J2624" s="10" t="inlineStr">
        <is>
          <t>17/03/2026</t>
        </is>
      </c>
      <c r="K2624" s="10" t="inlineStr">
        <is>
          <t>N/A</t>
        </is>
      </c>
      <c r="L2624" s="10" t="inlineStr">
        <is>
          <t>Legal Advisor, Collaboration Skills, Construction Law, English, Law</t>
        </is>
      </c>
      <c r="M2624" s="10" t="inlineStr">
        <is>
          <t>Bonus, Training, Team Activities</t>
        </is>
      </c>
      <c r="N2624" s="11">
        <f>HYPERLINK("https://www.vietnamworks.com/senior-legal-associate-2007864-jv","Xem chi tiết")</f>
        <v/>
      </c>
      <c r="O2624" s="10" t="n"/>
    </row>
    <row r="2625">
      <c r="B2625" s="7" t="n">
        <v>2623</v>
      </c>
      <c r="C2625" t="inlineStr">
        <is>
          <t>Chief Financial Officer</t>
        </is>
      </c>
      <c r="D2625" t="inlineStr">
        <is>
          <t>Vietnamworks' Client</t>
        </is>
      </c>
      <c r="E2625" t="inlineStr">
        <is>
          <t>Thương lượng</t>
        </is>
      </c>
      <c r="F2625" t="inlineStr">
        <is>
          <t>Hồ Chí Minh</t>
        </is>
      </c>
      <c r="G2625" t="inlineStr">
        <is>
          <t>Giám Đốc và Cấp Cao Hơn</t>
        </is>
      </c>
      <c r="H2625" t="inlineStr">
        <is>
          <t>08/01/2026</t>
        </is>
      </c>
      <c r="I2625" t="inlineStr">
        <is>
          <t>27/03/2026</t>
        </is>
      </c>
      <c r="J2625" t="inlineStr">
        <is>
          <t>17/03/2026</t>
        </is>
      </c>
      <c r="K2625" t="inlineStr">
        <is>
          <t>N/A</t>
        </is>
      </c>
      <c r="L2625" t="inlineStr">
        <is>
          <t>Capital Management, Financial Strategy, Governance, Leadership, Risk Management</t>
        </is>
      </c>
      <c r="M2625" t="inlineStr">
        <is>
          <t>Bonus, Healthcare Plan, Paid Leave, Travel Opportunities</t>
        </is>
      </c>
      <c r="N2625" s="8">
        <f>HYPERLINK("https://www.vietnamworks.com/chief-financial-officer-2000953-jv","Xem chi tiết")</f>
        <v/>
      </c>
    </row>
    <row r="2626">
      <c r="B2626" s="9" t="n">
        <v>2624</v>
      </c>
      <c r="C2626" s="10" t="inlineStr">
        <is>
          <t>Trưởng Phòng Thiết Kế 設計主管</t>
        </is>
      </c>
      <c r="D2626" s="10" t="inlineStr">
        <is>
          <t>Công Ty TNHH Atai Fuji Electric Việt Nam</t>
        </is>
      </c>
      <c r="E2626" s="10" t="inlineStr">
        <is>
          <t>Thương lượng</t>
        </is>
      </c>
      <c r="F2626" s="10" t="inlineStr">
        <is>
          <t>Đồng Nai</t>
        </is>
      </c>
      <c r="G2626" s="10" t="inlineStr">
        <is>
          <t>Trưởng phòng</t>
        </is>
      </c>
      <c r="H2626" s="10" t="inlineStr">
        <is>
          <t>09/01/2026</t>
        </is>
      </c>
      <c r="I2626" s="10" t="inlineStr">
        <is>
          <t>27/03/2026</t>
        </is>
      </c>
      <c r="J2626" s="10" t="inlineStr">
        <is>
          <t>17/03/2026</t>
        </is>
      </c>
      <c r="K2626" s="10" t="inlineStr">
        <is>
          <t>N/A</t>
        </is>
      </c>
      <c r="L2626" s="10" t="inlineStr">
        <is>
          <t>Thiết Kế Chế Tạo Máy, Thiết Kế, Design Engineer</t>
        </is>
      </c>
      <c r="M2626" s="10" t="inlineStr">
        <is>
          <t>Healthcare Plan, Training, Canteen</t>
        </is>
      </c>
      <c r="N2626" s="11">
        <f>HYPERLINK("https://www.vietnamworks.com/truong-phong-thiet-ke-zhao-hu-fa-2001044-jv","Xem chi tiết")</f>
        <v/>
      </c>
      <c r="O2626" s="10" t="n"/>
    </row>
    <row r="2627">
      <c r="B2627" s="7" t="n">
        <v>2625</v>
      </c>
      <c r="C2627" t="inlineStr">
        <is>
          <t>Video Editor</t>
        </is>
      </c>
      <c r="D2627" t="inlineStr">
        <is>
          <t>Embassy Education Group</t>
        </is>
      </c>
      <c r="E2627" t="inlineStr">
        <is>
          <t>Thương lượng</t>
        </is>
      </c>
      <c r="F2627" t="inlineStr">
        <is>
          <t>Hồ Chí Minh</t>
        </is>
      </c>
      <c r="G2627" t="inlineStr">
        <is>
          <t>Nhân viên</t>
        </is>
      </c>
      <c r="H2627" t="inlineStr">
        <is>
          <t>22/01/2026</t>
        </is>
      </c>
      <c r="I2627" t="inlineStr">
        <is>
          <t>27/03/2026</t>
        </is>
      </c>
      <c r="J2627" t="inlineStr">
        <is>
          <t>17/03/2026</t>
        </is>
      </c>
      <c r="K2627" t="inlineStr">
        <is>
          <t>N/A</t>
        </is>
      </c>
      <c r="L2627" t="inlineStr">
        <is>
          <t>Media, Adobe Premiere Pro, After Effects, Video Editing, Video Editor</t>
        </is>
      </c>
      <c r="M2627" t="inlineStr">
        <is>
          <t>Bonus, Training, Others</t>
        </is>
      </c>
      <c r="N2627" s="8">
        <f>HYPERLINK("https://www.vietnamworks.com/video-editor-2005294-jv","Xem chi tiết")</f>
        <v/>
      </c>
    </row>
    <row r="2628">
      <c r="B2628" s="9" t="n">
        <v>2626</v>
      </c>
      <c r="C2628" s="10" t="inlineStr">
        <is>
          <t>[Hà Nội] Phó Phòng Truyền Thông &amp; Marketing (mảng Marketing Sản Phẩm/Thương Hiệu)</t>
        </is>
      </c>
      <c r="D2628" s="10" t="inlineStr">
        <is>
          <t>Ngân hàng Lộc Phát Việt Nam LPBank</t>
        </is>
      </c>
      <c r="E2628" s="10" t="inlineStr">
        <is>
          <t>Thương lượng</t>
        </is>
      </c>
      <c r="F2628" s="10" t="inlineStr">
        <is>
          <t>Hà Nội</t>
        </is>
      </c>
      <c r="G2628" s="10" t="inlineStr">
        <is>
          <t>Trưởng phòng</t>
        </is>
      </c>
      <c r="H2628" s="10" t="inlineStr">
        <is>
          <t>09/01/2026</t>
        </is>
      </c>
      <c r="I2628" s="10" t="inlineStr">
        <is>
          <t>27/03/2026</t>
        </is>
      </c>
      <c r="J2628" s="10" t="inlineStr">
        <is>
          <t>17/03/2026</t>
        </is>
      </c>
      <c r="K2628" s="10" t="inlineStr">
        <is>
          <t>N/A</t>
        </is>
      </c>
      <c r="L2628" s="10" t="inlineStr">
        <is>
          <t>Giao Tiếp, Marketing Development, Phân Tích Dữ Liệu, Quản Lý Thương Hiệu, Truyền Thông</t>
        </is>
      </c>
      <c r="M2628" s="10" t="inlineStr">
        <is>
          <t>Bonus, Healthcare Plan, Paid Leave, Training, Laptop, Team Activities, Others</t>
        </is>
      </c>
      <c r="N2628" s="11">
        <f>HYPERLINK("https://www.vietnamworks.com/ha-noi-pho-phong-truyen-thong-and-marketing-mang-marketing-san-phamthuong-hieu-2001100-jv","Xem chi tiết")</f>
        <v/>
      </c>
      <c r="O2628" s="10" t="n"/>
    </row>
    <row r="2629">
      <c r="B2629" s="7" t="n">
        <v>2627</v>
      </c>
      <c r="C2629" t="inlineStr">
        <is>
          <t>Chuyên Viên Kinh Doanh B2B Nội Địa</t>
        </is>
      </c>
      <c r="D2629" t="inlineStr">
        <is>
          <t>Stavian Group</t>
        </is>
      </c>
      <c r="E2629" t="inlineStr">
        <is>
          <t>15tr-30tr ₫/tháng</t>
        </is>
      </c>
      <c r="F2629" t="inlineStr">
        <is>
          <t>Hà Nội, Hồ Chí Minh</t>
        </is>
      </c>
      <c r="G2629" t="inlineStr">
        <is>
          <t>Nhân viên</t>
        </is>
      </c>
      <c r="H2629" t="inlineStr">
        <is>
          <t>09/01/2026</t>
        </is>
      </c>
      <c r="I2629" t="inlineStr">
        <is>
          <t>27/03/2026</t>
        </is>
      </c>
      <c r="J2629" t="inlineStr">
        <is>
          <t>17/03/2026</t>
        </is>
      </c>
      <c r="K2629" t="inlineStr">
        <is>
          <t>N/A</t>
        </is>
      </c>
      <c r="L2629" t="inlineStr">
        <is>
          <t>B2B Sales, Complaint Handling, Customer Experience Management, Market Data</t>
        </is>
      </c>
      <c r="M2629" t="inlineStr">
        <is>
          <t>Healthcare Plan, Training, Laptop, Transportation</t>
        </is>
      </c>
      <c r="N2629" s="8">
        <f>HYPERLINK("https://www.vietnamworks.com/chuyen-vien-kinh-doanh-b2b-noi-djia-2001042-jv","Xem chi tiết")</f>
        <v/>
      </c>
    </row>
    <row r="2630">
      <c r="B2630" s="9" t="n">
        <v>2628</v>
      </c>
      <c r="C2630" s="10" t="inlineStr">
        <is>
          <t>Sales Executives - B2B</t>
        </is>
      </c>
      <c r="D2630" s="10" t="inlineStr">
        <is>
          <t>CÔNG TY TNHH LOTTE WORLD VIỆT NAM</t>
        </is>
      </c>
      <c r="E2630" s="10" t="inlineStr">
        <is>
          <t>Thương lượng</t>
        </is>
      </c>
      <c r="F2630" s="10" t="inlineStr">
        <is>
          <t>Hà Nội</t>
        </is>
      </c>
      <c r="G2630" s="10" t="inlineStr">
        <is>
          <t>Nhân viên</t>
        </is>
      </c>
      <c r="H2630" s="10" t="inlineStr">
        <is>
          <t>08/01/2026</t>
        </is>
      </c>
      <c r="I2630" s="10" t="inlineStr">
        <is>
          <t>27/03/2026</t>
        </is>
      </c>
      <c r="J2630" s="10" t="inlineStr">
        <is>
          <t>17/03/2026</t>
        </is>
      </c>
      <c r="K2630" s="10" t="inlineStr">
        <is>
          <t>N/A</t>
        </is>
      </c>
      <c r="L2630" s="10" t="inlineStr">
        <is>
          <t>Tìm Kiếm Khách Hàng, Quản Trị Kinh Doanh, Kinh Doanh B2B, Chăm Sóc Khách Hàng, English</t>
        </is>
      </c>
      <c r="M2630" s="10" t="inlineStr">
        <is>
          <t>Bonus, Healthcare Plan, Paid Leave</t>
        </is>
      </c>
      <c r="N2630" s="11">
        <f>HYPERLINK("https://www.vietnamworks.com/sales-executives-b2b--2000862-jv","Xem chi tiết")</f>
        <v/>
      </c>
      <c r="O2630" s="10" t="n"/>
    </row>
    <row r="2631">
      <c r="B2631" s="7" t="n">
        <v>2629</v>
      </c>
      <c r="C2631" t="inlineStr">
        <is>
          <t>Trưởng Nhóm Kế Toán (Accounting Team Leader)</t>
        </is>
      </c>
      <c r="D2631" t="inlineStr">
        <is>
          <t>Công Ty TNHH Dịch Vụ Tư Vấn Thuế Hinh Lam</t>
        </is>
      </c>
      <c r="E2631" t="inlineStr">
        <is>
          <t>30tr-50tr ₫/tháng</t>
        </is>
      </c>
      <c r="F2631" t="inlineStr">
        <is>
          <t>Bình Dương, Hồ Chí Minh</t>
        </is>
      </c>
      <c r="G2631" t="inlineStr">
        <is>
          <t>Trưởng phòng</t>
        </is>
      </c>
      <c r="H2631" t="inlineStr">
        <is>
          <t>10/01/2026</t>
        </is>
      </c>
      <c r="I2631" t="inlineStr">
        <is>
          <t>27/03/2026</t>
        </is>
      </c>
      <c r="J2631" t="inlineStr">
        <is>
          <t>17/03/2026</t>
        </is>
      </c>
      <c r="K2631" t="inlineStr">
        <is>
          <t>N/A</t>
        </is>
      </c>
      <c r="L2631" t="inlineStr">
        <is>
          <t>Giao Tiếp Khách Hàng, Lãnh Đạo, Quản Lý Công Việc, Thẩm Định Vấn Đề, Thích Ứng</t>
        </is>
      </c>
      <c r="M2631" t="inlineStr">
        <is>
          <t>Bonus, Healthcare Plan, Training, Awards, Travel Opportunities, Team Activities, Others</t>
        </is>
      </c>
      <c r="N2631" s="8">
        <f>HYPERLINK("https://www.vietnamworks.com/truong-nhom-ke-toan-accounting-team-leader-2001210-jv","Xem chi tiết")</f>
        <v/>
      </c>
    </row>
    <row r="2632">
      <c r="B2632" s="9" t="n">
        <v>2630</v>
      </c>
      <c r="C2632" s="10" t="inlineStr">
        <is>
          <t>Medical Representative (Dermatology)</t>
        </is>
      </c>
      <c r="D2632" s="10" t="inlineStr">
        <is>
          <t>DKSH Vietnam Co., Ltd.</t>
        </is>
      </c>
      <c r="E2632" s="10" t="inlineStr">
        <is>
          <t>Thương lượng</t>
        </is>
      </c>
      <c r="F2632" s="10" t="inlineStr">
        <is>
          <t>Hồ Chí Minh</t>
        </is>
      </c>
      <c r="G2632" s="10" t="inlineStr">
        <is>
          <t>Nhân viên</t>
        </is>
      </c>
      <c r="H2632" s="10" t="inlineStr">
        <is>
          <t>09/01/2026</t>
        </is>
      </c>
      <c r="I2632" s="10" t="inlineStr">
        <is>
          <t>27/03/2026</t>
        </is>
      </c>
      <c r="J2632" s="10" t="inlineStr">
        <is>
          <t>17/03/2026</t>
        </is>
      </c>
      <c r="K2632" s="10" t="inlineStr">
        <is>
          <t>N/A</t>
        </is>
      </c>
      <c r="L2632" s="10" t="inlineStr">
        <is>
          <t>Medical, ETC, Dermatology, Kinh Nghiệm Trình Dược, Dược</t>
        </is>
      </c>
      <c r="M2632" s="10" t="inlineStr">
        <is>
          <t>Bonus, Healthcare Plan, Training</t>
        </is>
      </c>
      <c r="N2632" s="11">
        <f>HYPERLINK("https://www.vietnamworks.com/medical-representative-dermatology--2001113-jv","Xem chi tiết")</f>
        <v/>
      </c>
      <c r="O2632" s="10" t="n"/>
    </row>
    <row r="2633">
      <c r="B2633" s="7" t="n">
        <v>2631</v>
      </c>
      <c r="C2633" t="inlineStr">
        <is>
          <t>Trợ Lý Kiểm Toán Viên Xây Dựng</t>
        </is>
      </c>
      <c r="D2633" t="inlineStr">
        <is>
          <t>Công Ty TNHH Kiểm Toán Đông Á</t>
        </is>
      </c>
      <c r="E2633" t="inlineStr">
        <is>
          <t>Thương lượng</t>
        </is>
      </c>
      <c r="F2633" t="inlineStr">
        <is>
          <t>Hà Nội</t>
        </is>
      </c>
      <c r="G2633" t="inlineStr">
        <is>
          <t>Nhân viên</t>
        </is>
      </c>
      <c r="H2633" t="inlineStr">
        <is>
          <t>09/02/2026</t>
        </is>
      </c>
      <c r="I2633" t="inlineStr">
        <is>
          <t>27/03/2026</t>
        </is>
      </c>
      <c r="J2633" t="inlineStr">
        <is>
          <t>17/03/2026</t>
        </is>
      </c>
      <c r="K2633" t="inlineStr">
        <is>
          <t>N/A</t>
        </is>
      </c>
      <c r="L2633" t="inlineStr">
        <is>
          <t>Xây Dựng Dân Dụng, Bóc Tách Khối Lượng, Lập Báo Cáo Kiểm Toán, Hồ Sơ Pháp Lý, Kinh Tế Xây Dựng</t>
        </is>
      </c>
      <c r="M2633" t="inlineStr">
        <is>
          <t>Bonus, Healthcare Plan, Training</t>
        </is>
      </c>
      <c r="N2633" s="8">
        <f>HYPERLINK("https://www.vietnamworks.com/tro-ly-kiem-toan-vien-xay-dung-6--2010803-jv","Xem chi tiết")</f>
        <v/>
      </c>
    </row>
    <row r="2634">
      <c r="B2634" s="9" t="n">
        <v>2632</v>
      </c>
      <c r="C2634" s="10" t="inlineStr">
        <is>
          <t>Account Manager</t>
        </is>
      </c>
      <c r="D2634" s="10" t="inlineStr">
        <is>
          <t>Công Ty Cổ Phần Truyền Thông Elyx</t>
        </is>
      </c>
      <c r="E2634" s="10" t="inlineStr">
        <is>
          <t>20tr-30tr ₫/tháng</t>
        </is>
      </c>
      <c r="F2634" s="10" t="inlineStr">
        <is>
          <t>Hồ Chí Minh</t>
        </is>
      </c>
      <c r="G2634" s="10" t="inlineStr">
        <is>
          <t>Trưởng phòng</t>
        </is>
      </c>
      <c r="H2634" s="10" t="inlineStr">
        <is>
          <t>09/02/2026</t>
        </is>
      </c>
      <c r="I2634" s="10" t="inlineStr">
        <is>
          <t>27/03/2026</t>
        </is>
      </c>
      <c r="J2634" s="10" t="inlineStr">
        <is>
          <t>17/03/2026</t>
        </is>
      </c>
      <c r="K2634" s="10" t="inlineStr">
        <is>
          <t>N/A</t>
        </is>
      </c>
      <c r="L2634" s="10" t="inlineStr">
        <is>
          <t>Channel Relationship Management, Project Management, Account Management, Event Marketing Strategy, Marketing</t>
        </is>
      </c>
      <c r="M2634" s="10" t="inlineStr">
        <is>
          <t>Bonus, Healthcare Plan, Travel Opportunities, Team Activities</t>
        </is>
      </c>
      <c r="N2634" s="11">
        <f>HYPERLINK("https://www.vietnamworks.com/account-manager-2010960-jv","Xem chi tiết")</f>
        <v/>
      </c>
      <c r="O2634" s="10" t="n"/>
    </row>
    <row r="2635">
      <c r="B2635" s="7" t="n">
        <v>2633</v>
      </c>
      <c r="C2635" t="inlineStr">
        <is>
          <t>Software Tester (QC)</t>
        </is>
      </c>
      <c r="D2635" t="inlineStr">
        <is>
          <t>Công Ty TNHH Mi-Jack Manufacturing Global Viet Nam</t>
        </is>
      </c>
      <c r="E2635" t="inlineStr">
        <is>
          <t>Thương lượng</t>
        </is>
      </c>
      <c r="F2635" t="inlineStr">
        <is>
          <t>Hồ Chí Minh</t>
        </is>
      </c>
      <c r="G2635" t="inlineStr">
        <is>
          <t>Nhân viên</t>
        </is>
      </c>
      <c r="H2635" t="inlineStr">
        <is>
          <t>09/02/2026</t>
        </is>
      </c>
      <c r="I2635" t="inlineStr">
        <is>
          <t>27/03/2026</t>
        </is>
      </c>
      <c r="J2635" t="inlineStr">
        <is>
          <t>17/03/2026</t>
        </is>
      </c>
      <c r="K2635" t="inlineStr">
        <is>
          <t>N/A</t>
        </is>
      </c>
      <c r="L2635" t="inlineStr">
        <is>
          <t>Software Testing, Bug Tracking, Database Query, Test Automation Tools, Analytical Skills</t>
        </is>
      </c>
      <c r="M2635" t="inlineStr">
        <is>
          <t>Bonus, Healthcare Plan, Awards, Laptop, Travel Opportunities, Team Activities, Others</t>
        </is>
      </c>
      <c r="N2635" s="8">
        <f>HYPERLINK("https://www.vietnamworks.com/software-tester-qc-2010718-jv","Xem chi tiết")</f>
        <v/>
      </c>
    </row>
    <row r="2636">
      <c r="B2636" s="9" t="n">
        <v>2634</v>
      </c>
      <c r="C2636" s="10" t="inlineStr">
        <is>
          <t>Full-Stack Software Developer (.NET, Power Apps)</t>
        </is>
      </c>
      <c r="D2636" s="10" t="inlineStr">
        <is>
          <t>Công Ty TNHH Mi-Jack Manufacturing Global Viet Nam</t>
        </is>
      </c>
      <c r="E2636" s="10" t="inlineStr">
        <is>
          <t>Thương lượng</t>
        </is>
      </c>
      <c r="F2636" s="10" t="inlineStr">
        <is>
          <t>Hồ Chí Minh</t>
        </is>
      </c>
      <c r="G2636" s="10" t="inlineStr">
        <is>
          <t>Nhân viên</t>
        </is>
      </c>
      <c r="H2636" s="10" t="inlineStr">
        <is>
          <t>09/02/2026</t>
        </is>
      </c>
      <c r="I2636" s="10" t="inlineStr">
        <is>
          <t>27/03/2026</t>
        </is>
      </c>
      <c r="J2636" s="10" t="inlineStr">
        <is>
          <t>17/03/2026</t>
        </is>
      </c>
      <c r="K2636" s="10" t="inlineStr">
        <is>
          <t>N/A</t>
        </is>
      </c>
      <c r="L2636" s="10" t="inlineStr">
        <is>
          <t>.NET, ASP.NET MVC, Power Apps, HTML/CSS, Full Stack Development</t>
        </is>
      </c>
      <c r="M2636" s="10" t="inlineStr">
        <is>
          <t>Bonus, Healthcare Plan, Paid Leave, Laptop, Travel Opportunities, Team Activities, Others</t>
        </is>
      </c>
      <c r="N2636" s="11">
        <f>HYPERLINK("https://www.vietnamworks.com/full-stack-software-developer-net-power-apps-2010721-jv","Xem chi tiết")</f>
        <v/>
      </c>
      <c r="O2636" s="10" t="n"/>
    </row>
    <row r="2637">
      <c r="B2637" s="7" t="n">
        <v>2635</v>
      </c>
      <c r="C2637" t="inlineStr">
        <is>
          <t>Software Solution Architect (Azure)</t>
        </is>
      </c>
      <c r="D2637" t="inlineStr">
        <is>
          <t>Công Ty TNHH Mi-Jack Manufacturing Global Viet Nam</t>
        </is>
      </c>
      <c r="E2637" t="inlineStr">
        <is>
          <t>Thương lượng</t>
        </is>
      </c>
      <c r="F2637" t="inlineStr">
        <is>
          <t>Hồ Chí Minh</t>
        </is>
      </c>
      <c r="G2637" t="inlineStr">
        <is>
          <t>Nhân viên</t>
        </is>
      </c>
      <c r="H2637" t="inlineStr">
        <is>
          <t>09/02/2026</t>
        </is>
      </c>
      <c r="I2637" t="inlineStr">
        <is>
          <t>27/03/2026</t>
        </is>
      </c>
      <c r="J2637" t="inlineStr">
        <is>
          <t>17/03/2026</t>
        </is>
      </c>
      <c r="K2637" t="inlineStr">
        <is>
          <t>N/A</t>
        </is>
      </c>
      <c r="L2637" t="inlineStr">
        <is>
          <t>Microsoft Azure, .Net Core, RESTful API, Cloud-Native Systems, Communication Skills</t>
        </is>
      </c>
      <c r="M2637" t="inlineStr">
        <is>
          <t>Bonus, Healthcare Plan, Paid Leave, Laptop, Travel Opportunities, Team Activities, Others</t>
        </is>
      </c>
      <c r="N2637" s="8">
        <f>HYPERLINK("https://www.vietnamworks.com/software-solution-architect-azure-2010720-jv","Xem chi tiết")</f>
        <v/>
      </c>
    </row>
    <row r="2638">
      <c r="B2638" s="9" t="n">
        <v>2636</v>
      </c>
      <c r="C2638" s="10" t="inlineStr">
        <is>
          <t>Business Analyst</t>
        </is>
      </c>
      <c r="D2638" s="10" t="inlineStr">
        <is>
          <t>Công Ty TNHH Mi-Jack Manufacturing Global Viet Nam</t>
        </is>
      </c>
      <c r="E2638" s="10" t="inlineStr">
        <is>
          <t>Thương lượng</t>
        </is>
      </c>
      <c r="F2638" s="10" t="inlineStr">
        <is>
          <t>Hồ Chí Minh</t>
        </is>
      </c>
      <c r="G2638" s="10" t="inlineStr">
        <is>
          <t>Nhân viên</t>
        </is>
      </c>
      <c r="H2638" s="10" t="inlineStr">
        <is>
          <t>09/02/2026</t>
        </is>
      </c>
      <c r="I2638" s="10" t="inlineStr">
        <is>
          <t>27/03/2026</t>
        </is>
      </c>
      <c r="J2638" s="10" t="inlineStr">
        <is>
          <t>17/03/2026</t>
        </is>
      </c>
      <c r="K2638" s="10" t="inlineStr">
        <is>
          <t>N/A</t>
        </is>
      </c>
      <c r="L2638" s="10" t="inlineStr">
        <is>
          <t>Analytical Thinking, Problem-solving, Data Integration, Communication Skills, Business Analysis</t>
        </is>
      </c>
      <c r="M2638" s="10" t="inlineStr">
        <is>
          <t>Bonus, Healthcare Plan, Paid Leave, Laptop, Travel Opportunities, Team Activities, Others</t>
        </is>
      </c>
      <c r="N2638" s="11">
        <f>HYPERLINK("https://www.vietnamworks.com/business-analyst-2010715-jv","Xem chi tiết")</f>
        <v/>
      </c>
      <c r="O2638" s="10" t="n"/>
    </row>
    <row r="2639">
      <c r="B2639" s="7" t="n">
        <v>2637</v>
      </c>
      <c r="C2639" t="inlineStr">
        <is>
          <t>Finance Manager</t>
        </is>
      </c>
      <c r="D2639" t="inlineStr">
        <is>
          <t>Habitat For Humanity International In Vietnam</t>
        </is>
      </c>
      <c r="E2639" t="inlineStr">
        <is>
          <t>Thương lượng</t>
        </is>
      </c>
      <c r="F2639" t="inlineStr">
        <is>
          <t>Hồ Chí Minh</t>
        </is>
      </c>
      <c r="G2639" t="inlineStr">
        <is>
          <t>Trưởng phòng</t>
        </is>
      </c>
      <c r="H2639" t="inlineStr">
        <is>
          <t>05/02/2026</t>
        </is>
      </c>
      <c r="I2639" t="inlineStr">
        <is>
          <t>27/03/2026</t>
        </is>
      </c>
      <c r="J2639" t="inlineStr">
        <is>
          <t>17/03/2026</t>
        </is>
      </c>
      <c r="K2639" t="inlineStr">
        <is>
          <t>N/A</t>
        </is>
      </c>
      <c r="L2639" t="inlineStr">
        <is>
          <t>Financial Management, Budgeting, Accounting Standards, ERP Systems</t>
        </is>
      </c>
      <c r="M2639" t="inlineStr">
        <is>
          <t>Bonus, Healthcare Plan, Others</t>
        </is>
      </c>
      <c r="N2639" s="8">
        <f>HYPERLINK("https://www.vietnamworks.com/finance-manager-2010140-jv","Xem chi tiết")</f>
        <v/>
      </c>
    </row>
    <row r="2640">
      <c r="B2640" s="9" t="n">
        <v>2638</v>
      </c>
      <c r="C2640" s="10" t="inlineStr">
        <is>
          <t>Trợ Lý Giám Đốc Marketing (Nữ)</t>
        </is>
      </c>
      <c r="D2640" s="10" t="inlineStr">
        <is>
          <t>CÔNG TY TNHH AU SUNSHINE</t>
        </is>
      </c>
      <c r="E2640" s="10" t="inlineStr">
        <is>
          <t>Thương lượng</t>
        </is>
      </c>
      <c r="F2640" s="10" t="inlineStr">
        <is>
          <t>Hồ Chí Minh</t>
        </is>
      </c>
      <c r="G2640" s="10" t="inlineStr">
        <is>
          <t>Nhân viên</t>
        </is>
      </c>
      <c r="H2640" s="10" t="inlineStr">
        <is>
          <t>09/02/2026</t>
        </is>
      </c>
      <c r="I2640" s="10" t="inlineStr">
        <is>
          <t>27/03/2026</t>
        </is>
      </c>
      <c r="J2640" s="10" t="inlineStr">
        <is>
          <t>17/03/2026</t>
        </is>
      </c>
      <c r="K2640" s="10" t="inlineStr">
        <is>
          <t>N/A</t>
        </is>
      </c>
      <c r="L2640" s="10" t="inlineStr">
        <is>
          <t>Facebook Ads, Conten Social Media, Assistant CEO, Online Research, Social Media</t>
        </is>
      </c>
      <c r="M2640" s="10" t="inlineStr">
        <is>
          <t>Bonus, Training, Others</t>
        </is>
      </c>
      <c r="N2640" s="11">
        <f>HYPERLINK("https://www.vietnamworks.com/tro-ly-giam-djoc-marketing-nu-2010989-jv","Xem chi tiết")</f>
        <v/>
      </c>
      <c r="O2640" s="10" t="n"/>
    </row>
    <row r="2641">
      <c r="B2641" s="7" t="n">
        <v>2639</v>
      </c>
      <c r="C2641" t="inlineStr">
        <is>
          <t>Chuyên Viên Kinh Doanh Dự Án</t>
        </is>
      </c>
      <c r="D2641" t="inlineStr">
        <is>
          <t>Công ty Cổ phần Sản xuất Tôn Đoàn Minh</t>
        </is>
      </c>
      <c r="E2641" t="inlineStr">
        <is>
          <t>25tr-35tr ₫/tháng</t>
        </is>
      </c>
      <c r="F2641" t="inlineStr">
        <is>
          <t>Hà Nội</t>
        </is>
      </c>
      <c r="G2641" t="inlineStr">
        <is>
          <t>Nhân viên</t>
        </is>
      </c>
      <c r="H2641" t="inlineStr">
        <is>
          <t>06/02/2026</t>
        </is>
      </c>
      <c r="I2641" t="inlineStr">
        <is>
          <t>27/03/2026</t>
        </is>
      </c>
      <c r="J2641" t="inlineStr">
        <is>
          <t>17/03/2026</t>
        </is>
      </c>
      <c r="K2641" t="inlineStr">
        <is>
          <t>N/A</t>
        </is>
      </c>
      <c r="L2641" t="inlineStr">
        <is>
          <t>Cầu Đường, Kiến Trúc, MEP, Thiết Kế Biện Pháp Thi Công, Xây Dựng</t>
        </is>
      </c>
      <c r="M2641" t="inlineStr">
        <is>
          <t>Bonus, Healthcare Plan, Paid Leave, Others</t>
        </is>
      </c>
      <c r="N2641" s="8">
        <f>HYPERLINK("https://www.vietnamworks.com/chuyen-vien-kinh-doanh-du-an-2010563-jv","Xem chi tiết")</f>
        <v/>
      </c>
    </row>
    <row r="2642">
      <c r="B2642" s="9" t="n">
        <v>2640</v>
      </c>
      <c r="C2642" s="10" t="inlineStr">
        <is>
          <t>Kế Toán Nội Bộ</t>
        </is>
      </c>
      <c r="D2642" s="10" t="inlineStr">
        <is>
          <t>CÔNG TY TNHH CƠ KHÍ LASER</t>
        </is>
      </c>
      <c r="E2642" s="10" t="inlineStr">
        <is>
          <t>10tr-12tr ₫/tháng</t>
        </is>
      </c>
      <c r="F2642" s="10" t="inlineStr">
        <is>
          <t>Hồ Chí Minh</t>
        </is>
      </c>
      <c r="G2642" s="10" t="inlineStr">
        <is>
          <t>Nhân viên</t>
        </is>
      </c>
      <c r="H2642" s="10" t="inlineStr">
        <is>
          <t>09/02/2026</t>
        </is>
      </c>
      <c r="I2642" s="10" t="inlineStr">
        <is>
          <t>27/03/2026</t>
        </is>
      </c>
      <c r="J2642" s="10" t="inlineStr">
        <is>
          <t>17/03/2026</t>
        </is>
      </c>
      <c r="K2642" s="10" t="inlineStr">
        <is>
          <t>N/A</t>
        </is>
      </c>
      <c r="L2642" s="10" t="inlineStr">
        <is>
          <t>Tài Chính, Kế Toán, Kế Toán Nội Bộ, Accounting, Kế toán công nợ</t>
        </is>
      </c>
      <c r="M2642" s="10" t="inlineStr">
        <is>
          <t>Bonus, Healthcare Plan, Paid Leave, Training, Others</t>
        </is>
      </c>
      <c r="N2642" s="11">
        <f>HYPERLINK("https://www.vietnamworks.com/ke-toan-noi-bo-2010805-jv","Xem chi tiết")</f>
        <v/>
      </c>
      <c r="O2642" s="10" t="n"/>
    </row>
    <row r="2643">
      <c r="B2643" s="7" t="n">
        <v>2641</v>
      </c>
      <c r="C2643" t="inlineStr">
        <is>
          <t>Senior Creative Planner</t>
        </is>
      </c>
      <c r="D2643" t="inlineStr">
        <is>
          <t>Công Ty Cổ Phần Truyền Thông Elyx</t>
        </is>
      </c>
      <c r="E2643" t="inlineStr">
        <is>
          <t>Thương lượng</t>
        </is>
      </c>
      <c r="F2643" t="inlineStr">
        <is>
          <t>Hồ Chí Minh</t>
        </is>
      </c>
      <c r="G2643" t="inlineStr">
        <is>
          <t>Nhân viên</t>
        </is>
      </c>
      <c r="H2643" t="inlineStr">
        <is>
          <t>09/02/2026</t>
        </is>
      </c>
      <c r="I2643" t="inlineStr">
        <is>
          <t>27/03/2026</t>
        </is>
      </c>
      <c r="J2643" t="inlineStr">
        <is>
          <t>17/03/2026</t>
        </is>
      </c>
      <c r="K2643" t="inlineStr">
        <is>
          <t>N/A</t>
        </is>
      </c>
      <c r="L2643" t="inlineStr">
        <is>
          <t>Agency Relationship Management, Microsoft PowerPoint, Brainstorming, English, Event Handling</t>
        </is>
      </c>
      <c r="M2643" t="inlineStr">
        <is>
          <t>Bonus, Healthcare Plan, Travel Opportunities, Team Activities</t>
        </is>
      </c>
      <c r="N2643" s="8">
        <f>HYPERLINK("https://www.vietnamworks.com/senior-creative-planner-2010962-jv","Xem chi tiết")</f>
        <v/>
      </c>
    </row>
    <row r="2644">
      <c r="B2644" s="9" t="n">
        <v>2642</v>
      </c>
      <c r="C2644" s="10" t="inlineStr">
        <is>
          <t>Trưởng Phòng Quản Lý Giao Dịch Tài Chính</t>
        </is>
      </c>
      <c r="D2644" s="10" t="inlineStr">
        <is>
          <t>CÔNG TY CỔ PHẦN TẬP ĐOÀN ĐẦU TƯ EMIR</t>
        </is>
      </c>
      <c r="E2644" s="10" t="inlineStr">
        <is>
          <t>$$ 1,000-1,500 /tháng</t>
        </is>
      </c>
      <c r="F2644" s="10" t="inlineStr">
        <is>
          <t>Hà Nội</t>
        </is>
      </c>
      <c r="G2644" s="10" t="inlineStr">
        <is>
          <t>Trưởng phòng</t>
        </is>
      </c>
      <c r="H2644" s="10" t="inlineStr">
        <is>
          <t>10/02/2026</t>
        </is>
      </c>
      <c r="I2644" s="10" t="inlineStr">
        <is>
          <t>27/03/2026</t>
        </is>
      </c>
      <c r="J2644" s="10" t="inlineStr">
        <is>
          <t>17/03/2026</t>
        </is>
      </c>
      <c r="K2644" s="10" t="inlineStr">
        <is>
          <t>N/A</t>
        </is>
      </c>
      <c r="L2644" s="10" t="inlineStr">
        <is>
          <t>Hỗ Trợ Tín Dụng, Thẩm Định Tài Chính, Quản Lý Dòng Tiền, Quản Lý Tín Dụng, Tài Chính Ngân Hàng</t>
        </is>
      </c>
      <c r="M2644" s="10" t="inlineStr">
        <is>
          <t>Bonus, Training, Travel Opportunities</t>
        </is>
      </c>
      <c r="N2644" s="11">
        <f>HYPERLINK("https://www.vietnamworks.com/truong-phong-quan-ly-giao-dich-tai-chinh-2011023-jv","Xem chi tiết")</f>
        <v/>
      </c>
      <c r="O2644" s="10" t="n"/>
    </row>
    <row r="2645">
      <c r="B2645" s="7" t="n">
        <v>2643</v>
      </c>
      <c r="C2645" t="inlineStr">
        <is>
          <t>Finance Officer</t>
        </is>
      </c>
      <c r="D2645" t="inlineStr">
        <is>
          <t>Habitat For Humanity International In Vietnam</t>
        </is>
      </c>
      <c r="E2645" t="inlineStr">
        <is>
          <t>Thương lượng</t>
        </is>
      </c>
      <c r="F2645" t="inlineStr">
        <is>
          <t>Hồ Chí Minh</t>
        </is>
      </c>
      <c r="G2645" t="inlineStr">
        <is>
          <t>Nhân viên</t>
        </is>
      </c>
      <c r="H2645" t="inlineStr">
        <is>
          <t>05/02/2026</t>
        </is>
      </c>
      <c r="I2645" t="inlineStr">
        <is>
          <t>27/03/2026</t>
        </is>
      </c>
      <c r="J2645" t="inlineStr">
        <is>
          <t>17/03/2026</t>
        </is>
      </c>
      <c r="K2645" t="inlineStr">
        <is>
          <t>N/A</t>
        </is>
      </c>
      <c r="L2645" t="inlineStr">
        <is>
          <t>Accounting Standards, Manage ERP Software, MS Excel, Financial Report</t>
        </is>
      </c>
      <c r="M2645" t="inlineStr">
        <is>
          <t>Bonus, Healthcare Plan, Others</t>
        </is>
      </c>
      <c r="N2645" s="8">
        <f>HYPERLINK("https://www.vietnamworks.com/finance-officer-2010133-jv","Xem chi tiết")</f>
        <v/>
      </c>
    </row>
    <row r="2646">
      <c r="B2646" s="9" t="n">
        <v>2644</v>
      </c>
      <c r="C2646" s="10" t="inlineStr">
        <is>
          <t>Chuyên Viên Tuyển Dụng - Nhà Máy Hòa Bình</t>
        </is>
      </c>
      <c r="D2646" s="10" t="inlineStr">
        <is>
          <t>Công ty Cổ phần Tập đoàn Golden Gate</t>
        </is>
      </c>
      <c r="E2646" s="10" t="inlineStr">
        <is>
          <t>Thương lượng</t>
        </is>
      </c>
      <c r="F2646" s="10" t="inlineStr">
        <is>
          <t>Hòa Bình, Hà Nội</t>
        </is>
      </c>
      <c r="G2646" s="10" t="inlineStr">
        <is>
          <t>Nhân viên</t>
        </is>
      </c>
      <c r="H2646" s="10" t="inlineStr">
        <is>
          <t>10/02/2026</t>
        </is>
      </c>
      <c r="I2646" s="10" t="inlineStr">
        <is>
          <t>27/03/2026</t>
        </is>
      </c>
      <c r="J2646" s="10" t="inlineStr">
        <is>
          <t>17/03/2026</t>
        </is>
      </c>
      <c r="K2646" s="10" t="inlineStr">
        <is>
          <t>N/A</t>
        </is>
      </c>
      <c r="L2646" s="10" t="inlineStr">
        <is>
          <t>Giao Tiếp, Headhunt, Quản Lý, Tuyển Dụng, Xử Lý Tình Huống</t>
        </is>
      </c>
      <c r="M2646" s="10" t="inlineStr">
        <is>
          <t>Bonus, Training, Canteen, Others</t>
        </is>
      </c>
      <c r="N2646" s="11">
        <f>HYPERLINK("https://www.vietnamworks.com/chuyen-vien-tuyen-dung-nha-may-hoa-binh-2011027-jv","Xem chi tiết")</f>
        <v/>
      </c>
      <c r="O2646" s="10" t="n"/>
    </row>
    <row r="2647">
      <c r="B2647" s="7" t="n">
        <v>2645</v>
      </c>
      <c r="C2647" t="inlineStr">
        <is>
          <t>International B2B Sales Commodities</t>
        </is>
      </c>
      <c r="D2647" t="inlineStr">
        <is>
          <t>Công Ty TNHH MTV Nông Sản DK</t>
        </is>
      </c>
      <c r="E2647" t="inlineStr">
        <is>
          <t>$$ 500-800 /tháng</t>
        </is>
      </c>
      <c r="F2647" t="inlineStr">
        <is>
          <t>Hồ Chí Minh</t>
        </is>
      </c>
      <c r="G2647" t="inlineStr">
        <is>
          <t>Nhân viên</t>
        </is>
      </c>
      <c r="H2647" t="inlineStr">
        <is>
          <t>10/02/2026</t>
        </is>
      </c>
      <c r="I2647" t="inlineStr">
        <is>
          <t>27/03/2026</t>
        </is>
      </c>
      <c r="J2647" t="inlineStr">
        <is>
          <t>17/03/2026</t>
        </is>
      </c>
      <c r="K2647" t="inlineStr">
        <is>
          <t>N/A</t>
        </is>
      </c>
      <c r="L2647" t="inlineStr">
        <is>
          <t>B2B Sales, Import-Export, Business Development, Sales, Sales Executive</t>
        </is>
      </c>
      <c r="M2647" t="inlineStr">
        <is>
          <t>Bonus, Healthcare Plan, Paid Leave, Training, Travel Opportunities, Others</t>
        </is>
      </c>
      <c r="N2647" s="8">
        <f>HYPERLINK("https://www.vietnamworks.com/international-b2b-sales-commodities-2011021-jv","Xem chi tiết")</f>
        <v/>
      </c>
    </row>
    <row r="2648">
      <c r="B2648" s="9" t="n">
        <v>2646</v>
      </c>
      <c r="C2648" s="10" t="inlineStr">
        <is>
          <t>Finance Coordinator (Grant Compliance And Reporting)</t>
        </is>
      </c>
      <c r="D2648" s="10" t="inlineStr">
        <is>
          <t>Habitat For Humanity International In Vietnam</t>
        </is>
      </c>
      <c r="E2648" s="10" t="inlineStr">
        <is>
          <t>Thương lượng</t>
        </is>
      </c>
      <c r="F2648" s="10" t="inlineStr">
        <is>
          <t>Hồ Chí Minh</t>
        </is>
      </c>
      <c r="G2648" s="10" t="inlineStr">
        <is>
          <t>Nhân viên</t>
        </is>
      </c>
      <c r="H2648" s="10" t="inlineStr">
        <is>
          <t>05/02/2026</t>
        </is>
      </c>
      <c r="I2648" s="10" t="inlineStr">
        <is>
          <t>27/03/2026</t>
        </is>
      </c>
      <c r="J2648" s="10" t="inlineStr">
        <is>
          <t>17/03/2026</t>
        </is>
      </c>
      <c r="K2648" s="10" t="inlineStr">
        <is>
          <t>N/A</t>
        </is>
      </c>
      <c r="L2648" s="10" t="inlineStr">
        <is>
          <t>Legal Compliance, Financial Reporting, Budget Monitoring</t>
        </is>
      </c>
      <c r="M2648" s="10" t="inlineStr">
        <is>
          <t>Bonus, Healthcare Plan, Others</t>
        </is>
      </c>
      <c r="N2648" s="11">
        <f>HYPERLINK("https://www.vietnamworks.com/finance-coordinator-grant-compliance-and-reporting-2010147-jv","Xem chi tiết")</f>
        <v/>
      </c>
      <c r="O2648" s="10" t="n"/>
    </row>
    <row r="2649">
      <c r="B2649" s="7" t="n">
        <v>2647</v>
      </c>
      <c r="C2649" t="inlineStr">
        <is>
          <t>Manufacturing Manager - CNC Operations</t>
        </is>
      </c>
      <c r="D2649" t="inlineStr">
        <is>
          <t>CÔNG TY TNHH TJ AEROSPACE VN</t>
        </is>
      </c>
      <c r="E2649" t="inlineStr">
        <is>
          <t>Thương lượng</t>
        </is>
      </c>
      <c r="F2649" t="inlineStr">
        <is>
          <t>Hồ Chí Minh</t>
        </is>
      </c>
      <c r="G2649" t="inlineStr">
        <is>
          <t>Trưởng phòng</t>
        </is>
      </c>
      <c r="H2649" t="inlineStr">
        <is>
          <t>06/02/2026</t>
        </is>
      </c>
      <c r="I2649" t="inlineStr">
        <is>
          <t>27/03/2026</t>
        </is>
      </c>
      <c r="J2649" t="inlineStr">
        <is>
          <t>17/03/2026</t>
        </is>
      </c>
      <c r="K2649" t="inlineStr">
        <is>
          <t>N/A</t>
        </is>
      </c>
      <c r="L2649" t="inlineStr">
        <is>
          <t>Leadership, Production Management, Quality Control, Quản Lý Nhà Máy, Cơ khí &amp; Chế tạo máy</t>
        </is>
      </c>
      <c r="M2649" t="inlineStr">
        <is>
          <t>Bonus, Healthcare Plan, Others</t>
        </is>
      </c>
      <c r="N2649" s="8">
        <f>HYPERLINK("https://www.vietnamworks.com/manufacturing-manager-cnc-operations-2010603-jv","Xem chi tiết")</f>
        <v/>
      </c>
    </row>
    <row r="2650">
      <c r="B2650" s="9" t="n">
        <v>2648</v>
      </c>
      <c r="C2650" s="10" t="inlineStr">
        <is>
          <t>[Phú Quốc] - Khối Xây Dựng - Giám Sát Chính/ Giám Sát Hoàn Thiện (Nội Thất)</t>
        </is>
      </c>
      <c r="D2650" s="10" t="inlineStr">
        <is>
          <t>Tập Đoàn Sun Group</t>
        </is>
      </c>
      <c r="E2650" s="10" t="inlineStr">
        <is>
          <t>Thương lượng</t>
        </is>
      </c>
      <c r="F2650" s="10" t="inlineStr">
        <is>
          <t>Kiên Giang, An Giang</t>
        </is>
      </c>
      <c r="G2650" s="10" t="inlineStr">
        <is>
          <t>Nhân viên</t>
        </is>
      </c>
      <c r="H2650" s="10" t="inlineStr">
        <is>
          <t>10/02/2026</t>
        </is>
      </c>
      <c r="I2650" s="10" t="inlineStr">
        <is>
          <t>27/03/2026</t>
        </is>
      </c>
      <c r="J2650" s="10" t="inlineStr">
        <is>
          <t>17/03/2026</t>
        </is>
      </c>
      <c r="K2650" s="10" t="inlineStr">
        <is>
          <t>N/A</t>
        </is>
      </c>
      <c r="L2650" s="10" t="inlineStr">
        <is>
          <t>Giám Sát Chất Lượng, Xây Dựng Dân Dụng, Autocad, Giám Sát Hoàn Thiện Nội Thất, QA/ QC</t>
        </is>
      </c>
      <c r="M2650" s="10" t="inlineStr">
        <is>
          <t>Bonus, Paid Leave, Training, Kindergarten</t>
        </is>
      </c>
      <c r="N2650" s="11">
        <f>HYPERLINK("https://www.vietnamworks.com/phu-quoc-khoi-xay-dung-giam-sat-chinh-giam-sat-hoan-thien-noi-that-2011015-jv","Xem chi tiết")</f>
        <v/>
      </c>
      <c r="O2650" s="10" t="n"/>
    </row>
    <row r="2651">
      <c r="B2651" s="7" t="n">
        <v>2649</v>
      </c>
      <c r="C2651" t="inlineStr">
        <is>
          <t>Remote Senior Blockchain Engineer Solana / Rust</t>
        </is>
      </c>
      <c r="D2651" t="inlineStr">
        <is>
          <t>CXSports</t>
        </is>
      </c>
      <c r="E2651" t="inlineStr">
        <is>
          <t>$$ 1,500-2,500 /tháng</t>
        </is>
      </c>
      <c r="F2651" t="inlineStr">
        <is>
          <t>Đà Nẵng</t>
        </is>
      </c>
      <c r="G2651" t="inlineStr">
        <is>
          <t>Nhân viên</t>
        </is>
      </c>
      <c r="H2651" t="inlineStr">
        <is>
          <t>10/02/2026</t>
        </is>
      </c>
      <c r="I2651" t="inlineStr">
        <is>
          <t>27/03/2026</t>
        </is>
      </c>
      <c r="J2651" t="inlineStr">
        <is>
          <t>17/03/2026</t>
        </is>
      </c>
      <c r="K2651" t="inlineStr">
        <is>
          <t>N/A</t>
        </is>
      </c>
      <c r="L2651" t="inlineStr">
        <is>
          <t>Blockchain Technologies, Rust Programming, Web3 Technologies, Tokenomics, Solana</t>
        </is>
      </c>
      <c r="M2651" t="inlineStr">
        <is>
          <t>Training</t>
        </is>
      </c>
      <c r="N2651" s="8">
        <f>HYPERLINK("https://www.vietnamworks.com/remote-senior-blockchain-engineer-solana-rust--2011012-jv","Xem chi tiết")</f>
        <v/>
      </c>
    </row>
    <row r="2652">
      <c r="B2652" s="9" t="n">
        <v>2650</v>
      </c>
      <c r="C2652" s="10" t="inlineStr">
        <is>
          <t>Quality Assurance Specialist - Working at Rothy's (via Riverview)</t>
        </is>
      </c>
      <c r="D2652" s="10" t="inlineStr">
        <is>
          <t>RIVER VIEW VNCY CONSULTANTS LAW FIRM</t>
        </is>
      </c>
      <c r="E2652" s="10" t="inlineStr">
        <is>
          <t>$$ 1,000-1,500 /tháng</t>
        </is>
      </c>
      <c r="F2652" s="10" t="inlineStr">
        <is>
          <t>Hồ Chí Minh</t>
        </is>
      </c>
      <c r="G2652" s="10" t="inlineStr">
        <is>
          <t>Nhân viên</t>
        </is>
      </c>
      <c r="H2652" s="10" t="inlineStr">
        <is>
          <t>10/02/2026</t>
        </is>
      </c>
      <c r="I2652" s="10" t="inlineStr">
        <is>
          <t>27/03/2026</t>
        </is>
      </c>
      <c r="J2652" s="10" t="inlineStr">
        <is>
          <t>17/03/2026</t>
        </is>
      </c>
      <c r="K2652" s="10" t="inlineStr">
        <is>
          <t>N/A</t>
        </is>
      </c>
      <c r="L2652" s="10" t="inlineStr">
        <is>
          <t>Data Analysis, Quality Inspection, Data Summary and Analysis, Footwear, Oral English</t>
        </is>
      </c>
      <c r="M2652" s="10" t="inlineStr">
        <is>
          <t>Bonus, Healthcare Plan, Paid Leave, Laptop, Others</t>
        </is>
      </c>
      <c r="N2652" s="11">
        <f>HYPERLINK("https://www.vietnamworks.com/quality-assurance-specialist-working-at-rothys-via-riverview-2011019-jv","Xem chi tiết")</f>
        <v/>
      </c>
      <c r="O2652" s="10" t="n"/>
    </row>
    <row r="2653">
      <c r="B2653" s="7" t="n">
        <v>2651</v>
      </c>
      <c r="C2653" t="inlineStr">
        <is>
          <t>Kỹ Sư Quản Lý Sản Xuất (Cơ Khí/ Điện/ Kỹ Thuật)</t>
        </is>
      </c>
      <c r="D2653" t="inlineStr">
        <is>
          <t>Công Ty TNHH Vật Liệu Nam Châm Shin-Etsu Việt Nam</t>
        </is>
      </c>
      <c r="E2653" t="inlineStr">
        <is>
          <t>10tr-19tr ₫/tháng</t>
        </is>
      </c>
      <c r="F2653" t="inlineStr">
        <is>
          <t>Quảng Ninh, Hải Phòng</t>
        </is>
      </c>
      <c r="G2653" t="inlineStr">
        <is>
          <t>Nhân viên</t>
        </is>
      </c>
      <c r="H2653" t="inlineStr">
        <is>
          <t>10/02/2026</t>
        </is>
      </c>
      <c r="I2653" t="inlineStr">
        <is>
          <t>27/03/2026</t>
        </is>
      </c>
      <c r="J2653" t="inlineStr">
        <is>
          <t>17/03/2026</t>
        </is>
      </c>
      <c r="K2653" t="inlineStr">
        <is>
          <t>N/A</t>
        </is>
      </c>
      <c r="L2653" t="inlineStr">
        <is>
          <t>Quản Lý Sản Xuất, Cải Tiến Công Đoạn, Auto Cad, Kỹ Thuật Điện, Tiếng Anh</t>
        </is>
      </c>
      <c r="M2653" t="inlineStr">
        <is>
          <t>Bonus, Healthcare Plan, Paid Leave, Awards</t>
        </is>
      </c>
      <c r="N2653" s="8">
        <f>HYPERLINK("https://www.vietnamworks.com/ky-su-quan-ly-san-xuat-co-khi-djien-ky-thuat-2011014-jv","Xem chi tiết")</f>
        <v/>
      </c>
    </row>
    <row r="2654">
      <c r="B2654" s="9" t="n">
        <v>2652</v>
      </c>
      <c r="C2654" s="10" t="inlineStr">
        <is>
          <t>Expert, Talent Acquisition</t>
        </is>
      </c>
      <c r="D2654" s="10" t="inlineStr">
        <is>
          <t>Techcombank</t>
        </is>
      </c>
      <c r="E2654" s="10" t="inlineStr">
        <is>
          <t>Thương lượng</t>
        </is>
      </c>
      <c r="F2654" s="10" t="inlineStr">
        <is>
          <t>Hà Nội</t>
        </is>
      </c>
      <c r="G2654" s="10" t="inlineStr">
        <is>
          <t>Nhân viên</t>
        </is>
      </c>
      <c r="H2654" s="10" t="inlineStr">
        <is>
          <t>09/02/2026</t>
        </is>
      </c>
      <c r="I2654" s="10" t="inlineStr">
        <is>
          <t>27/03/2026</t>
        </is>
      </c>
      <c r="J2654" s="10" t="inlineStr">
        <is>
          <t>17/03/2026</t>
        </is>
      </c>
      <c r="K2654" s="10" t="inlineStr">
        <is>
          <t>N/A</t>
        </is>
      </c>
      <c r="L2654" s="10" t="inlineStr">
        <is>
          <t>Talent Acquisition &amp; Candidate Sourcing, Communication Skills, Recruitment Tools, Talent Development</t>
        </is>
      </c>
      <c r="M2654" s="10" t="inlineStr">
        <is>
          <t>Bonus, Training, Others</t>
        </is>
      </c>
      <c r="N2654" s="11">
        <f>HYPERLINK("https://www.vietnamworks.com/expert-talent-acquisition-2010996-jv","Xem chi tiết")</f>
        <v/>
      </c>
      <c r="O2654" s="10" t="n"/>
    </row>
    <row r="2655">
      <c r="B2655" s="7" t="n">
        <v>2653</v>
      </c>
      <c r="C2655" t="inlineStr">
        <is>
          <t>Kế Toán Quản Lý Nội Bộ</t>
        </is>
      </c>
      <c r="D2655" t="inlineStr">
        <is>
          <t>CÔNG TY TNHH XNK KỲ MỸ</t>
        </is>
      </c>
      <c r="E2655" t="inlineStr">
        <is>
          <t>Thương lượng</t>
        </is>
      </c>
      <c r="F2655" t="inlineStr">
        <is>
          <t>Hồ Chí Minh</t>
        </is>
      </c>
      <c r="G2655" t="inlineStr">
        <is>
          <t>Nhân viên</t>
        </is>
      </c>
      <c r="H2655" t="inlineStr">
        <is>
          <t>10/02/2026</t>
        </is>
      </c>
      <c r="I2655" t="inlineStr">
        <is>
          <t>27/03/2026</t>
        </is>
      </c>
      <c r="J2655" t="inlineStr">
        <is>
          <t>17/03/2026</t>
        </is>
      </c>
      <c r="K2655" t="inlineStr">
        <is>
          <t>N/A</t>
        </is>
      </c>
      <c r="L2655" t="inlineStr">
        <is>
          <t>Kiểm Tra Chứng Từ, Lập Báo Cáo, Phần Mềm Kế Toán, Tiếng Trung, Đối Chiếu Số Liệu</t>
        </is>
      </c>
      <c r="M2655" t="inlineStr">
        <is>
          <t>Healthcare Plan, Paid Leave, Others</t>
        </is>
      </c>
      <c r="N2655" s="8">
        <f>HYPERLINK("https://www.vietnamworks.com/ke-toan-quan-ly-noi-bo-2011029-jv","Xem chi tiết")</f>
        <v/>
      </c>
    </row>
    <row r="2656">
      <c r="B2656" s="9" t="n">
        <v>2654</v>
      </c>
      <c r="C2656" s="10" t="inlineStr">
        <is>
          <t>Robotics Business Manager – Build &amp; Lead B2B Market</t>
        </is>
      </c>
      <c r="D2656" s="10" t="inlineStr">
        <is>
          <t>Công Ty Cổ Phần Nhà An Toàn</t>
        </is>
      </c>
      <c r="E2656" s="10" t="inlineStr">
        <is>
          <t>Thương lượng</t>
        </is>
      </c>
      <c r="F2656" s="10" t="inlineStr">
        <is>
          <t>Hà Nội</t>
        </is>
      </c>
      <c r="G2656" s="10" t="inlineStr">
        <is>
          <t>Trưởng phòng</t>
        </is>
      </c>
      <c r="H2656" s="10" t="inlineStr">
        <is>
          <t>10/02/2026</t>
        </is>
      </c>
      <c r="I2656" s="10" t="inlineStr">
        <is>
          <t>27/03/2026</t>
        </is>
      </c>
      <c r="J2656" s="10" t="inlineStr">
        <is>
          <t>17/03/2026</t>
        </is>
      </c>
      <c r="K2656" s="10" t="inlineStr">
        <is>
          <t>N/A</t>
        </is>
      </c>
      <c r="L2656" s="10" t="inlineStr">
        <is>
          <t>Giao Tiếp, Kinh Doanh B2B, Phân Tích Chiến Lược, Quản Lý Đội Nhóm, Đàm Phán</t>
        </is>
      </c>
      <c r="M2656" s="10" t="inlineStr">
        <is>
          <t>Bonus, Paid Leave, Training, Awards, Laptop, Travel Opportunities, Team Activities, Others</t>
        </is>
      </c>
      <c r="N2656" s="11">
        <f>HYPERLINK("https://www.vietnamworks.com/robotics-business-manager-build-lead-b2b-market-2011020-jv","Xem chi tiết")</f>
        <v/>
      </c>
      <c r="O2656" s="10" t="n"/>
    </row>
    <row r="2657">
      <c r="B2657" s="7" t="n">
        <v>2655</v>
      </c>
      <c r="C2657" t="inlineStr">
        <is>
          <t>[Phú Quốc] - Khối Xây Dựng - Giám Sát Chính/ Giám Sát Cơ Điện</t>
        </is>
      </c>
      <c r="D2657" t="inlineStr">
        <is>
          <t>Tập Đoàn Sun Group</t>
        </is>
      </c>
      <c r="E2657" t="inlineStr">
        <is>
          <t>Thương lượng</t>
        </is>
      </c>
      <c r="F2657" t="inlineStr">
        <is>
          <t>Kiên Giang, An Giang</t>
        </is>
      </c>
      <c r="G2657" t="inlineStr">
        <is>
          <t>Nhân viên</t>
        </is>
      </c>
      <c r="H2657" t="inlineStr">
        <is>
          <t>10/02/2026</t>
        </is>
      </c>
      <c r="I2657" t="inlineStr">
        <is>
          <t>27/03/2026</t>
        </is>
      </c>
      <c r="J2657" t="inlineStr">
        <is>
          <t>17/03/2026</t>
        </is>
      </c>
      <c r="K2657" t="inlineStr">
        <is>
          <t>N/A</t>
        </is>
      </c>
      <c r="L2657" t="inlineStr">
        <is>
          <t>Cơ Điện, Giám Sát Thi Công, Thi công MEP, AutoCAD Tool, Nghiệm Thu</t>
        </is>
      </c>
      <c r="M2657" t="inlineStr">
        <is>
          <t>Bonus, Healthcare Plan, Vouchers, Others</t>
        </is>
      </c>
      <c r="N2657" s="8">
        <f>HYPERLINK("https://www.vietnamworks.com/phu-quoc-khoi-xay-dung-giam-sat-chinh-giam-sat-co-djien-2011017-jv","Xem chi tiết")</f>
        <v/>
      </c>
    </row>
    <row r="2658">
      <c r="B2658" s="9" t="n">
        <v>2656</v>
      </c>
      <c r="C2658" s="10" t="inlineStr">
        <is>
          <t>Garment Specialist (Chuyên Viên Lĩnh Vực May Mặc)</t>
        </is>
      </c>
      <c r="D2658" s="10" t="inlineStr">
        <is>
          <t>Hyosung Vietnam Corp</t>
        </is>
      </c>
      <c r="E2658" s="10" t="inlineStr">
        <is>
          <t>Thương lượng</t>
        </is>
      </c>
      <c r="F2658" s="10" t="inlineStr">
        <is>
          <t>Hồ Chí Minh</t>
        </is>
      </c>
      <c r="G2658" s="10" t="inlineStr">
        <is>
          <t>Nhân viên</t>
        </is>
      </c>
      <c r="H2658" s="10" t="inlineStr">
        <is>
          <t>10/02/2026</t>
        </is>
      </c>
      <c r="I2658" s="10" t="inlineStr">
        <is>
          <t>27/03/2026</t>
        </is>
      </c>
      <c r="J2658" s="10" t="inlineStr">
        <is>
          <t>17/03/2026</t>
        </is>
      </c>
      <c r="K2658" s="10" t="inlineStr">
        <is>
          <t>N/A</t>
        </is>
      </c>
      <c r="L2658" s="10" t="inlineStr">
        <is>
          <t>Production, Quality Engineer</t>
        </is>
      </c>
      <c r="M2658" s="10" t="inlineStr">
        <is>
          <t>Bonus</t>
        </is>
      </c>
      <c r="N2658" s="11">
        <f>HYPERLINK("https://www.vietnamworks.com/garment-specialist-chuyen-vien-linh-vuc-may-mac--2011024-jv","Xem chi tiết")</f>
        <v/>
      </c>
      <c r="O2658" s="10" t="n"/>
    </row>
    <row r="2659">
      <c r="B2659" s="7" t="n">
        <v>2657</v>
      </c>
      <c r="C2659" t="inlineStr">
        <is>
          <t>Trưởng Phòng Khách Hàng Doanh Nghiệp (SMEs) - Khu Vực TP. Hồ Chí Minh</t>
        </is>
      </c>
      <c r="D2659" t="inlineStr">
        <is>
          <t>Ngân Hàng TMCP Quốc Dân ( NCB )</t>
        </is>
      </c>
      <c r="E2659" t="inlineStr">
        <is>
          <t>Thương lượng</t>
        </is>
      </c>
      <c r="F2659" t="inlineStr">
        <is>
          <t>Hồ Chí Minh</t>
        </is>
      </c>
      <c r="G2659" t="inlineStr">
        <is>
          <t>Trưởng phòng</t>
        </is>
      </c>
      <c r="H2659" t="inlineStr">
        <is>
          <t>10/02/2026</t>
        </is>
      </c>
      <c r="I2659" t="inlineStr">
        <is>
          <t>27/03/2026</t>
        </is>
      </c>
      <c r="J2659" t="inlineStr">
        <is>
          <t>17/03/2026</t>
        </is>
      </c>
      <c r="K2659" t="inlineStr">
        <is>
          <t>N/A</t>
        </is>
      </c>
      <c r="L2659" t="inlineStr">
        <is>
          <t>Khách Hàng Doanh Nghiệp, Lập Kế Hoạch Kinh Doanh, Phân Tích Tài Chính, Quản Lý Rủi Ro Tín Dụng, SME</t>
        </is>
      </c>
      <c r="M2659" t="inlineStr">
        <is>
          <t>Bonus, Training, Awards</t>
        </is>
      </c>
      <c r="N2659" s="8">
        <f>HYPERLINK("https://www.vietnamworks.com/truong-phong-khach-hang-doanh-nghiep-smes-khu-vuc-tp-ho-chi-minh-2011025-jv","Xem chi tiết")</f>
        <v/>
      </c>
    </row>
    <row r="2660">
      <c r="B2660" s="9" t="n">
        <v>2658</v>
      </c>
      <c r="C2660" s="10" t="inlineStr">
        <is>
          <t>(Senior) Engineer - Supplier Quality Management (Work Base Hai Phong)</t>
        </is>
      </c>
      <c r="D2660" s="10" t="inlineStr">
        <is>
          <t>Công Ty TNHH Khoa Học Kỹ Thuật Wacom Việt Nam</t>
        </is>
      </c>
      <c r="E2660" s="10" t="inlineStr">
        <is>
          <t>Thương lượng</t>
        </is>
      </c>
      <c r="F2660" s="10" t="inlineStr">
        <is>
          <t>Hải Phòng</t>
        </is>
      </c>
      <c r="G2660" s="10" t="inlineStr">
        <is>
          <t>Nhân viên</t>
        </is>
      </c>
      <c r="H2660" s="10" t="inlineStr">
        <is>
          <t>10/02/2026</t>
        </is>
      </c>
      <c r="I2660" s="10" t="inlineStr">
        <is>
          <t>27/03/2026</t>
        </is>
      </c>
      <c r="J2660" s="10" t="inlineStr">
        <is>
          <t>17/03/2026</t>
        </is>
      </c>
      <c r="K2660" s="10" t="inlineStr">
        <is>
          <t>N/A</t>
        </is>
      </c>
      <c r="L2660" s="10" t="inlineStr">
        <is>
          <t>Quality Management, English, Supplier Quality Management, Problem Solving, Root Cause Analysis</t>
        </is>
      </c>
      <c r="M2660" s="10" t="inlineStr">
        <is>
          <t>Bonus, Healthcare Plan, Paid Leave</t>
        </is>
      </c>
      <c r="N2660" s="11">
        <f>HYPERLINK("https://www.vietnamworks.com/senior-engineer-supplier-quality-management-work-base-hai-phong--2011038-jv","Xem chi tiết")</f>
        <v/>
      </c>
      <c r="O2660" s="10" t="n"/>
    </row>
    <row r="2661">
      <c r="B2661" s="7" t="n">
        <v>2659</v>
      </c>
      <c r="C2661" t="inlineStr">
        <is>
          <t>Recruitment Specialist</t>
        </is>
      </c>
      <c r="D2661" t="inlineStr">
        <is>
          <t>Công Ty TNHH Giáo Dục Và Đào Tạo Vinacademy</t>
        </is>
      </c>
      <c r="E2661" t="inlineStr">
        <is>
          <t>Thương lượng</t>
        </is>
      </c>
      <c r="F2661" t="inlineStr">
        <is>
          <t>Hà Nội</t>
        </is>
      </c>
      <c r="G2661" t="inlineStr">
        <is>
          <t>Nhân viên</t>
        </is>
      </c>
      <c r="H2661" t="inlineStr">
        <is>
          <t>10/02/2026</t>
        </is>
      </c>
      <c r="I2661" t="inlineStr">
        <is>
          <t>27/03/2026</t>
        </is>
      </c>
      <c r="J2661" t="inlineStr">
        <is>
          <t>17/03/2026</t>
        </is>
      </c>
      <c r="K2661" t="inlineStr">
        <is>
          <t>N/A</t>
        </is>
      </c>
      <c r="L2661" t="inlineStr">
        <is>
          <t>Recruitment, Talent Acquisition, Teamwork, Time Management, Communications</t>
        </is>
      </c>
      <c r="M2661" t="inlineStr">
        <is>
          <t>Healthcare Plan, Training, Laptop</t>
        </is>
      </c>
      <c r="N2661" s="8">
        <f>HYPERLINK("https://www.vietnamworks.com/recruitment-specialist--2011037-jv","Xem chi tiết")</f>
        <v/>
      </c>
    </row>
    <row r="2662">
      <c r="B2662" s="9" t="n">
        <v>2660</v>
      </c>
      <c r="C2662" s="10" t="inlineStr">
        <is>
          <t>Nhân Viên Thiết Kế Máy - Chuyên Ngành Chế Tạo Máy (Làm Việc Tại Bắc Ninh, Có Xe Đưa Đón)</t>
        </is>
      </c>
      <c r="D2662" s="10" t="inlineStr">
        <is>
          <t>Công Ty TNHH Cova TEC Việt Nam</t>
        </is>
      </c>
      <c r="E2662" s="10" t="inlineStr">
        <is>
          <t>Thương lượng</t>
        </is>
      </c>
      <c r="F2662" s="10" t="inlineStr">
        <is>
          <t>Vĩnh Phúc, Bắc Giang, Hà Nội</t>
        </is>
      </c>
      <c r="G2662" s="10" t="inlineStr">
        <is>
          <t>Nhân viên</t>
        </is>
      </c>
      <c r="H2662" s="10" t="inlineStr">
        <is>
          <t>10/02/2026</t>
        </is>
      </c>
      <c r="I2662" s="10" t="inlineStr">
        <is>
          <t>27/03/2026</t>
        </is>
      </c>
      <c r="J2662" s="10" t="inlineStr">
        <is>
          <t>17/03/2026</t>
        </is>
      </c>
      <c r="K2662" s="10" t="inlineStr">
        <is>
          <t>N/A</t>
        </is>
      </c>
      <c r="L2662" s="10" t="inlineStr">
        <is>
          <t>Thiết Kế 2D, Thiết Kế 3D, AutoCAD, SolidWorks, Thiết Kế Máy Tự Động Hoá</t>
        </is>
      </c>
      <c r="M2662" s="10" t="inlineStr">
        <is>
          <t>Bonus, Healthcare Plan, Paid Leave, Travel Opportunities, Others</t>
        </is>
      </c>
      <c r="N2662" s="11">
        <f>HYPERLINK("https://www.vietnamworks.com/nhan-vien-thiet-ke-may-chuyen-nganh-che-tao-may-lam-viec-tai-bac-ninh-co-xe-dua-don-2011043-jv","Xem chi tiết")</f>
        <v/>
      </c>
      <c r="O2662" s="10" t="n"/>
    </row>
    <row r="2663">
      <c r="B2663" s="7" t="n">
        <v>2661</v>
      </c>
      <c r="C2663" t="inlineStr">
        <is>
          <t>Sales Manager</t>
        </is>
      </c>
      <c r="D2663" t="inlineStr">
        <is>
          <t>Công Ty TNHH Van Der Leun Việt Nam</t>
        </is>
      </c>
      <c r="E2663" t="inlineStr">
        <is>
          <t>$$ 1,500-2,000 /tháng</t>
        </is>
      </c>
      <c r="F2663" t="inlineStr">
        <is>
          <t>Hải Phòng</t>
        </is>
      </c>
      <c r="G2663" t="inlineStr">
        <is>
          <t>Trưởng phòng</t>
        </is>
      </c>
      <c r="H2663" t="inlineStr">
        <is>
          <t>10/02/2026</t>
        </is>
      </c>
      <c r="I2663" t="inlineStr">
        <is>
          <t>27/03/2026</t>
        </is>
      </c>
      <c r="J2663" t="inlineStr">
        <is>
          <t>17/03/2026</t>
        </is>
      </c>
      <c r="K2663" t="inlineStr">
        <is>
          <t>N/A</t>
        </is>
      </c>
      <c r="L2663" t="inlineStr">
        <is>
          <t>Business Development, Kinh Doanh, Quản Lý Bán Hàng, Bán Hàng, Quản Lý Kinh Doanh</t>
        </is>
      </c>
      <c r="M2663" t="inlineStr">
        <is>
          <t>Bonus, Healthcare Plan, Training</t>
        </is>
      </c>
      <c r="N2663" s="8">
        <f>HYPERLINK("https://www.vietnamworks.com/sales-manager--2011035-jv","Xem chi tiết")</f>
        <v/>
      </c>
    </row>
    <row r="2664">
      <c r="B2664" s="9" t="n">
        <v>2662</v>
      </c>
      <c r="C2664" s="10" t="inlineStr">
        <is>
          <t>Pricing Specialist</t>
        </is>
      </c>
      <c r="D2664" s="10" t="inlineStr">
        <is>
          <t>CJ Logistics Viet Nam Co.,Ltd</t>
        </is>
      </c>
      <c r="E2664" s="10" t="inlineStr">
        <is>
          <t>Thương lượng</t>
        </is>
      </c>
      <c r="F2664" s="10" t="inlineStr">
        <is>
          <t>Hồ Chí Minh</t>
        </is>
      </c>
      <c r="G2664" s="10" t="inlineStr">
        <is>
          <t>Nhân viên</t>
        </is>
      </c>
      <c r="H2664" s="10" t="inlineStr">
        <is>
          <t>10/02/2026</t>
        </is>
      </c>
      <c r="I2664" s="10" t="inlineStr">
        <is>
          <t>27/03/2026</t>
        </is>
      </c>
      <c r="J2664" s="10" t="inlineStr">
        <is>
          <t>17/03/2026</t>
        </is>
      </c>
      <c r="K2664" s="10" t="inlineStr">
        <is>
          <t>N/A</t>
        </is>
      </c>
      <c r="L2664" s="10" t="inlineStr">
        <is>
          <t>Analytical Data</t>
        </is>
      </c>
      <c r="M2664" s="10" t="inlineStr">
        <is>
          <t>Bonus, Healthcare Plan, Paid Leave</t>
        </is>
      </c>
      <c r="N2664" s="11">
        <f>HYPERLINK("https://www.vietnamworks.com/pricing-specialist--2011039-jv","Xem chi tiết")</f>
        <v/>
      </c>
      <c r="O2664" s="10" t="n"/>
    </row>
    <row r="2665">
      <c r="B2665" s="7" t="n">
        <v>2663</v>
      </c>
      <c r="C2665" t="inlineStr">
        <is>
          <t>Associate Project Manager</t>
        </is>
      </c>
      <c r="D2665" t="inlineStr">
        <is>
          <t>Hitachi Energy Vietnam</t>
        </is>
      </c>
      <c r="E2665" t="inlineStr">
        <is>
          <t>Thương lượng</t>
        </is>
      </c>
      <c r="F2665" t="inlineStr">
        <is>
          <t>Bắc Ninh</t>
        </is>
      </c>
      <c r="G2665" t="inlineStr">
        <is>
          <t>Nhân viên</t>
        </is>
      </c>
      <c r="H2665" t="inlineStr">
        <is>
          <t>10/02/2026</t>
        </is>
      </c>
      <c r="I2665" t="inlineStr">
        <is>
          <t>27/03/2026</t>
        </is>
      </c>
      <c r="J2665" t="inlineStr">
        <is>
          <t>17/03/2026</t>
        </is>
      </c>
      <c r="K2665" t="inlineStr">
        <is>
          <t>N/A</t>
        </is>
      </c>
      <c r="L2665" t="inlineStr">
        <is>
          <t>Quản Lý Dự Án, Project Management</t>
        </is>
      </c>
      <c r="M2665" t="inlineStr">
        <is>
          <t>Bonus, Training, Team Activities</t>
        </is>
      </c>
      <c r="N2665" s="8">
        <f>HYPERLINK("https://www.vietnamworks.com/associate-project-manager--2011030-jv","Xem chi tiết")</f>
        <v/>
      </c>
    </row>
    <row r="2666">
      <c r="B2666" s="9" t="n">
        <v>2664</v>
      </c>
      <c r="C2666" s="10" t="inlineStr">
        <is>
          <t>Nhân Viên Bảo Trì Điện Tự Động Hóa</t>
        </is>
      </c>
      <c r="D2666" s="10" t="inlineStr">
        <is>
          <t>Công Ty TNHH May Tinh Lợi</t>
        </is>
      </c>
      <c r="E2666" s="10" t="inlineStr">
        <is>
          <t>11tr-13tr ₫/tháng</t>
        </is>
      </c>
      <c r="F2666" s="10" t="inlineStr">
        <is>
          <t>Nghệ An</t>
        </is>
      </c>
      <c r="G2666" s="10" t="inlineStr">
        <is>
          <t>Nhân viên</t>
        </is>
      </c>
      <c r="H2666" s="10" t="inlineStr">
        <is>
          <t>10/02/2026</t>
        </is>
      </c>
      <c r="I2666" s="10" t="inlineStr">
        <is>
          <t>27/03/2026</t>
        </is>
      </c>
      <c r="J2666" s="10" t="inlineStr">
        <is>
          <t>17/03/2026</t>
        </is>
      </c>
      <c r="K2666" s="10" t="inlineStr">
        <is>
          <t>N/A</t>
        </is>
      </c>
      <c r="L2666" s="10" t="inlineStr">
        <is>
          <t>Bảo Trì Điện, Công nghệ may, Máy Móc Sản Xuất, Tự Động Hóa, Xử Lý Sự Cố</t>
        </is>
      </c>
      <c r="M2666" s="10" t="inlineStr">
        <is>
          <t>Bonus, Healthcare Plan, Paid Leave, Training, Transportation, Others</t>
        </is>
      </c>
      <c r="N2666" s="11">
        <f>HYPERLINK("https://www.vietnamworks.com/nhan-vien-bao-tri-djien-tu-djong-hoa-2011049-jv","Xem chi tiết")</f>
        <v/>
      </c>
      <c r="O2666" s="10" t="n"/>
    </row>
    <row r="2667">
      <c r="B2667" s="7" t="n">
        <v>2665</v>
      </c>
      <c r="C2667" t="inlineStr">
        <is>
          <t>Trưởng Nhóm Đại Sứ Thương Hiệu (PG Team Leader)</t>
        </is>
      </c>
      <c r="D2667" t="inlineStr">
        <is>
          <t>Công Ty TNHH Một Thành Viên Thương Mại Habeco</t>
        </is>
      </c>
      <c r="E2667" t="inlineStr">
        <is>
          <t>18tr-22tr ₫/tháng</t>
        </is>
      </c>
      <c r="F2667" t="inlineStr">
        <is>
          <t>Thái Nguyên, Hồ Chí Minh, Ninh Bình</t>
        </is>
      </c>
      <c r="G2667" t="inlineStr">
        <is>
          <t>Nhân viên</t>
        </is>
      </c>
      <c r="H2667" t="inlineStr">
        <is>
          <t>10/02/2026</t>
        </is>
      </c>
      <c r="I2667" t="inlineStr">
        <is>
          <t>27/03/2026</t>
        </is>
      </c>
      <c r="J2667" t="inlineStr">
        <is>
          <t>17/03/2026</t>
        </is>
      </c>
      <c r="K2667" t="inlineStr">
        <is>
          <t>N/A</t>
        </is>
      </c>
      <c r="L2667" t="inlineStr">
        <is>
          <t>PG Training, Coaching, Phát Triển Thương Hiệu, Marketing, FMCG</t>
        </is>
      </c>
      <c r="M2667" t="inlineStr">
        <is>
          <t>Bonus, Healthcare Plan, Laptop</t>
        </is>
      </c>
      <c r="N2667" s="8">
        <f>HYPERLINK("https://www.vietnamworks.com/truong-nhom-dai-su-thuong-hieu-pg-team-leader--2011036-jv","Xem chi tiết")</f>
        <v/>
      </c>
    </row>
    <row r="2668">
      <c r="B2668" s="9" t="n">
        <v>2666</v>
      </c>
      <c r="C2668" s="10" t="inlineStr">
        <is>
          <t>Sales Planning Staff</t>
        </is>
      </c>
      <c r="D2668" s="10" t="inlineStr">
        <is>
          <t>Công Ty TNHH Ô Tô Isuzu Việt Nam</t>
        </is>
      </c>
      <c r="E2668" s="10" t="inlineStr">
        <is>
          <t>Thương lượng</t>
        </is>
      </c>
      <c r="F2668" s="10" t="inlineStr">
        <is>
          <t>Hồ Chí Minh</t>
        </is>
      </c>
      <c r="G2668" s="10" t="inlineStr">
        <is>
          <t>Nhân viên</t>
        </is>
      </c>
      <c r="H2668" s="10" t="inlineStr">
        <is>
          <t>10/02/2026</t>
        </is>
      </c>
      <c r="I2668" s="10" t="inlineStr">
        <is>
          <t>27/03/2026</t>
        </is>
      </c>
      <c r="J2668" s="10" t="inlineStr">
        <is>
          <t>17/03/2026</t>
        </is>
      </c>
      <c r="K2668" s="10" t="inlineStr">
        <is>
          <t>N/A</t>
        </is>
      </c>
      <c r="L2668" s="10" t="inlineStr">
        <is>
          <t>Collaborative Sales Planning, Planning Capability, Sales Planning, Sales Report Analysis, Sales Admin</t>
        </is>
      </c>
      <c r="M2668" s="10" t="inlineStr">
        <is>
          <t>Bonus, Healthcare Plan, Paid Leave</t>
        </is>
      </c>
      <c r="N2668" s="11">
        <f>HYPERLINK("https://www.vietnamworks.com/sales-planning-staff-2011040-jv","Xem chi tiết")</f>
        <v/>
      </c>
      <c r="O2668" s="10" t="n"/>
    </row>
    <row r="2669">
      <c r="B2669" s="7" t="n">
        <v>2667</v>
      </c>
      <c r="C2669" t="inlineStr">
        <is>
          <t>Nhân Viên Quản Lý Chất Lượng QA FQC- FCA</t>
        </is>
      </c>
      <c r="D2669" t="inlineStr">
        <is>
          <t>Công Ty TNHH May Tinh Lợi</t>
        </is>
      </c>
      <c r="E2669" t="inlineStr">
        <is>
          <t>Thương lượng</t>
        </is>
      </c>
      <c r="F2669" t="inlineStr">
        <is>
          <t>Hải Dương, Hải Phòng</t>
        </is>
      </c>
      <c r="G2669" t="inlineStr">
        <is>
          <t>Nhân viên</t>
        </is>
      </c>
      <c r="H2669" t="inlineStr">
        <is>
          <t>10/02/2026</t>
        </is>
      </c>
      <c r="I2669" t="inlineStr">
        <is>
          <t>27/03/2026</t>
        </is>
      </c>
      <c r="J2669" t="inlineStr">
        <is>
          <t>17/03/2026</t>
        </is>
      </c>
      <c r="K2669" t="inlineStr">
        <is>
          <t>N/A</t>
        </is>
      </c>
      <c r="L2669" t="inlineStr">
        <is>
          <t>Cutting Tool, FQC standards, QA Ngành May Mặc, Quản Lý Chất Lượng, Sản Xuất</t>
        </is>
      </c>
      <c r="M2669" t="inlineStr">
        <is>
          <t>Bonus, Healthcare Plan, Paid Leave, Training, Transportation, Others</t>
        </is>
      </c>
      <c r="N2669" s="8">
        <f>HYPERLINK("https://www.vietnamworks.com/nhan-vien-quan-ly-chat-luong-qa-fqc-fca-2011047-jv","Xem chi tiết")</f>
        <v/>
      </c>
    </row>
    <row r="2670">
      <c r="B2670" s="9" t="n">
        <v>2668</v>
      </c>
      <c r="C2670" s="10" t="inlineStr">
        <is>
          <t>Chuyên Viên QA &amp; Đánh Giá Nội Bộ (ISO 9001/14001/45001 - Internal Audit Specialist)</t>
        </is>
      </c>
      <c r="D2670" s="10" t="inlineStr">
        <is>
          <t>Công Ty TNHH Kỹ Thuật Taikisha Việt Nam</t>
        </is>
      </c>
      <c r="E2670" s="10" t="inlineStr">
        <is>
          <t>Thương lượng</t>
        </is>
      </c>
      <c r="F2670" s="10" t="inlineStr">
        <is>
          <t>Hà Nội</t>
        </is>
      </c>
      <c r="G2670" s="10" t="inlineStr">
        <is>
          <t>Nhân viên</t>
        </is>
      </c>
      <c r="H2670" s="10" t="inlineStr">
        <is>
          <t>10/02/2026</t>
        </is>
      </c>
      <c r="I2670" s="10" t="inlineStr">
        <is>
          <t>27/03/2026</t>
        </is>
      </c>
      <c r="J2670" s="10" t="inlineStr">
        <is>
          <t>17/03/2026</t>
        </is>
      </c>
      <c r="K2670" s="10" t="inlineStr">
        <is>
          <t>N/A</t>
        </is>
      </c>
      <c r="L2670" s="10" t="inlineStr">
        <is>
          <t>ISO Audit Control, ISO 9001 &amp; 14001, ISO 45001, English, MS Office</t>
        </is>
      </c>
      <c r="M2670" s="10" t="inlineStr">
        <is>
          <t>Bonus, Healthcare Plan, Awards</t>
        </is>
      </c>
      <c r="N2670" s="11">
        <f>HYPERLINK("https://www.vietnamworks.com/chuyen-vien-qa-danh-gia-noi-bo-iso-9001-14001-45001-internal-audit-specialist-2011050-jv","Xem chi tiết")</f>
        <v/>
      </c>
      <c r="O2670" s="10" t="n"/>
    </row>
    <row r="2671">
      <c r="B2671" s="7" t="n">
        <v>2669</v>
      </c>
      <c r="C2671" t="inlineStr">
        <is>
          <t>Marketing Officer</t>
        </is>
      </c>
      <c r="D2671" t="inlineStr">
        <is>
          <t>EMASI Plus Waterpoint</t>
        </is>
      </c>
      <c r="E2671" t="inlineStr">
        <is>
          <t>Thương lượng</t>
        </is>
      </c>
      <c r="F2671" t="inlineStr">
        <is>
          <t>Long An</t>
        </is>
      </c>
      <c r="G2671" t="inlineStr">
        <is>
          <t>Nhân viên</t>
        </is>
      </c>
      <c r="H2671" t="inlineStr">
        <is>
          <t>10/02/2026</t>
        </is>
      </c>
      <c r="I2671" t="inlineStr">
        <is>
          <t>27/03/2026</t>
        </is>
      </c>
      <c r="J2671" t="inlineStr">
        <is>
          <t>17/03/2026</t>
        </is>
      </c>
      <c r="K2671" t="inlineStr">
        <is>
          <t>N/A</t>
        </is>
      </c>
      <c r="L2671" t="inlineStr">
        <is>
          <t>Event Organizing, Content Writing, Social Media Management, Digital Marketing, Communication</t>
        </is>
      </c>
      <c r="M2671" t="inlineStr">
        <is>
          <t>Healthcare Plan, Paid Leave, Transportation, Others</t>
        </is>
      </c>
      <c r="N2671" s="8">
        <f>HYPERLINK("https://www.vietnamworks.com/marketing-officer-2011041-jv","Xem chi tiết")</f>
        <v/>
      </c>
    </row>
    <row r="2672">
      <c r="B2672" s="9" t="n">
        <v>2670</v>
      </c>
      <c r="C2672" s="10" t="inlineStr">
        <is>
          <t>Nhân Viên Kỹ Thuật CNC Phòng Kỹ Thuật Gia Công (Lương 400$-500$)</t>
        </is>
      </c>
      <c r="D2672" s="10" t="inlineStr">
        <is>
          <t>Công Ty TNHH OGINO Việt Nam Từ Sơn</t>
        </is>
      </c>
      <c r="E2672" s="10" t="inlineStr">
        <is>
          <t>$$ 400-500 /tháng</t>
        </is>
      </c>
      <c r="F2672" s="10" t="inlineStr">
        <is>
          <t>Bắc Ninh</t>
        </is>
      </c>
      <c r="G2672" s="10" t="inlineStr">
        <is>
          <t>Nhân viên</t>
        </is>
      </c>
      <c r="H2672" s="10" t="inlineStr">
        <is>
          <t>10/02/2026</t>
        </is>
      </c>
      <c r="I2672" s="10" t="inlineStr">
        <is>
          <t>27/03/2026</t>
        </is>
      </c>
      <c r="J2672" s="10" t="inlineStr">
        <is>
          <t>17/03/2026</t>
        </is>
      </c>
      <c r="K2672" s="10" t="inlineStr">
        <is>
          <t>N/A</t>
        </is>
      </c>
      <c r="L2672" s="10" t="inlineStr">
        <is>
          <t>Cơ Khí Chế Tạo Máy, Cơ Khí Lập Trình CNC, Gia Công Cơ Khí, Gia Công CNC, Cơ Khí Tự Động Hóa</t>
        </is>
      </c>
      <c r="M2672" s="10" t="inlineStr">
        <is>
          <t>Bonus, Training, Others</t>
        </is>
      </c>
      <c r="N2672" s="11">
        <f>HYPERLINK("https://www.vietnamworks.com/nhan-vien-ky-thuat-cnc-phong-ky-thuat-gia-cong-luong-400-500--2011045-jv","Xem chi tiết")</f>
        <v/>
      </c>
      <c r="O2672" s="10" t="n"/>
    </row>
    <row r="2673">
      <c r="B2673" s="7" t="n">
        <v>2671</v>
      </c>
      <c r="C2673" t="inlineStr">
        <is>
          <t>Kỹ Sư Giải Pháp, Tích Hợp Hệ Thống Công Nghệ Thông Tin (Công Ty Trực Thuộc Bộ Công An)</t>
        </is>
      </c>
      <c r="D2673" t="inlineStr">
        <is>
          <t>Chi Nhánh Giải Pháp Và Tích Hợp Hệ Thống Công Ty TNHH Một Thành Viên Thanh Bình - BCA</t>
        </is>
      </c>
      <c r="E2673" t="inlineStr">
        <is>
          <t>Thương lượng</t>
        </is>
      </c>
      <c r="F2673" t="inlineStr">
        <is>
          <t>Hà Nội</t>
        </is>
      </c>
      <c r="G2673" t="inlineStr">
        <is>
          <t>Nhân viên</t>
        </is>
      </c>
      <c r="H2673" t="inlineStr">
        <is>
          <t>10/02/2026</t>
        </is>
      </c>
      <c r="I2673" t="inlineStr">
        <is>
          <t>27/03/2026</t>
        </is>
      </c>
      <c r="J2673" t="inlineStr">
        <is>
          <t>17/03/2026</t>
        </is>
      </c>
      <c r="K2673" t="inlineStr">
        <is>
          <t>N/A</t>
        </is>
      </c>
      <c r="L2673" t="inlineStr">
        <is>
          <t>Quản Lý Chất Lượng Dịch Vụ, Quản Lý Mạng Máy Tính, Triển Khai Dự Án, Tư Vấn Kỹ Thuật, Xây Dựng Cấu Hình</t>
        </is>
      </c>
      <c r="M2673" t="inlineStr">
        <is>
          <t>Bonus, Paid Leave, Training, Others</t>
        </is>
      </c>
      <c r="N2673" s="8">
        <f>HYPERLINK("https://www.vietnamworks.com/ky-su-giai-phap-tich-hop-he-thong-cong-nghe-thong-tin-cong-ty-truc-thuoc-bo-cong-an-2011053-jv","Xem chi tiết")</f>
        <v/>
      </c>
    </row>
    <row r="2674">
      <c r="B2674" s="9" t="n">
        <v>2672</v>
      </c>
      <c r="C2674" s="10" t="inlineStr">
        <is>
          <t>Nhân Viên Lái Xe</t>
        </is>
      </c>
      <c r="D2674" s="10" t="inlineStr">
        <is>
          <t>Tổ Chức Tài Chính VI Mô CEP</t>
        </is>
      </c>
      <c r="E2674" s="10" t="inlineStr">
        <is>
          <t>Thương lượng</t>
        </is>
      </c>
      <c r="F2674" s="10" t="inlineStr">
        <is>
          <t>Hồ Chí Minh</t>
        </is>
      </c>
      <c r="G2674" s="10" t="inlineStr">
        <is>
          <t>Nhân viên</t>
        </is>
      </c>
      <c r="H2674" s="10" t="inlineStr">
        <is>
          <t>10/02/2026</t>
        </is>
      </c>
      <c r="I2674" s="10" t="inlineStr">
        <is>
          <t>27/03/2026</t>
        </is>
      </c>
      <c r="J2674" s="10" t="inlineStr">
        <is>
          <t>17/03/2026</t>
        </is>
      </c>
      <c r="K2674" s="10" t="inlineStr">
        <is>
          <t>N/A</t>
        </is>
      </c>
      <c r="L2674" s="10" t="inlineStr">
        <is>
          <t>Bảo Dưỡng Xe, Giao Thông Vận Tải, Lái Xe, Vận Tải, Vận Tải Đường Bộ</t>
        </is>
      </c>
      <c r="M2674" s="10" t="inlineStr">
        <is>
          <t>Bonus, Paid Leave, Others</t>
        </is>
      </c>
      <c r="N2674" s="11">
        <f>HYPERLINK("https://www.vietnamworks.com/nhan-vien-lai-xe-2011032-jv","Xem chi tiết")</f>
        <v/>
      </c>
      <c r="O2674" s="10" t="n"/>
    </row>
    <row r="2675">
      <c r="B2675" s="7" t="n">
        <v>2673</v>
      </c>
      <c r="C2675" t="inlineStr">
        <is>
          <t>Nam Nhân Viên Kỹ Thuật Phòng Bảo Dưỡng - Thu Nhập Upto 13Tr/tháng</t>
        </is>
      </c>
      <c r="D2675" t="inlineStr">
        <is>
          <t>Công Ty TNHH OGINO Việt Nam Từ Sơn</t>
        </is>
      </c>
      <c r="E2675" t="inlineStr">
        <is>
          <t>500-800 ₫/tháng</t>
        </is>
      </c>
      <c r="F2675" t="inlineStr">
        <is>
          <t>Bắc Ninh</t>
        </is>
      </c>
      <c r="G2675" t="inlineStr">
        <is>
          <t>Nhân viên</t>
        </is>
      </c>
      <c r="H2675" t="inlineStr">
        <is>
          <t>10/02/2026</t>
        </is>
      </c>
      <c r="I2675" t="inlineStr">
        <is>
          <t>27/03/2026</t>
        </is>
      </c>
      <c r="J2675" t="inlineStr">
        <is>
          <t>17/03/2026</t>
        </is>
      </c>
      <c r="K2675" t="inlineStr">
        <is>
          <t>N/A</t>
        </is>
      </c>
      <c r="L2675" t="inlineStr">
        <is>
          <t>Bảo Trì Điện Công Nghiệp, CNC Maintenance, Đọc Hiểu Bản Vẽ, Sửa Chữa Máy Móc, Điện Tự Động Hóa</t>
        </is>
      </c>
      <c r="M2675" t="inlineStr">
        <is>
          <t>Bonus, Training, Others</t>
        </is>
      </c>
      <c r="N2675" s="8">
        <f>HYPERLINK("https://www.vietnamworks.com/nam-nhan-vien-ky-thuat-phong-bao-duong-thu-nhap-upto-13tr-thang--2011044-jv","Xem chi tiết")</f>
        <v/>
      </c>
    </row>
    <row r="2676">
      <c r="B2676" s="9" t="n">
        <v>2674</v>
      </c>
      <c r="C2676" s="10" t="inlineStr">
        <is>
          <t>Branch Service Officer (Outsourcing)</t>
        </is>
      </c>
      <c r="D2676" s="10" t="inlineStr">
        <is>
          <t>United Overseas Bank (Vietnam) Limited (UOB)</t>
        </is>
      </c>
      <c r="E2676" s="10" t="inlineStr">
        <is>
          <t>Thương lượng</t>
        </is>
      </c>
      <c r="F2676" s="10" t="inlineStr">
        <is>
          <t>Hồ Chí Minh</t>
        </is>
      </c>
      <c r="G2676" s="10" t="inlineStr">
        <is>
          <t>Nhân viên</t>
        </is>
      </c>
      <c r="H2676" s="10" t="inlineStr">
        <is>
          <t>10/02/2026</t>
        </is>
      </c>
      <c r="I2676" s="10" t="inlineStr">
        <is>
          <t>27/03/2026</t>
        </is>
      </c>
      <c r="J2676" s="10" t="inlineStr">
        <is>
          <t>17/03/2026</t>
        </is>
      </c>
      <c r="K2676" s="10" t="inlineStr">
        <is>
          <t>N/A</t>
        </is>
      </c>
      <c r="L2676" s="10" t="inlineStr">
        <is>
          <t>Banking Regulation, Communication Skills, Customer Service Mindset, PC Literacy, Problem-solving</t>
        </is>
      </c>
      <c r="M2676" s="10" t="inlineStr">
        <is>
          <t>Bonus, Healthcare Plan, Paid Leave, Others</t>
        </is>
      </c>
      <c r="N2676" s="11">
        <f>HYPERLINK("https://www.vietnamworks.com/branch-service-officer-outsourcing-2011055-jv","Xem chi tiết")</f>
        <v/>
      </c>
      <c r="O2676" s="10" t="n"/>
    </row>
    <row r="2677">
      <c r="B2677" s="7" t="n">
        <v>2675</v>
      </c>
      <c r="C2677" t="inlineStr">
        <is>
          <t>Thư Ký Nam (Biết Lái Xe)</t>
        </is>
      </c>
      <c r="D2677" t="inlineStr">
        <is>
          <t>Công Ty Cổ Phần Tập Đoàn Sunshine</t>
        </is>
      </c>
      <c r="E2677" t="inlineStr">
        <is>
          <t>Thương lượng</t>
        </is>
      </c>
      <c r="F2677" t="inlineStr">
        <is>
          <t>Hà Nội</t>
        </is>
      </c>
      <c r="G2677" t="inlineStr">
        <is>
          <t>Nhân viên</t>
        </is>
      </c>
      <c r="H2677" t="inlineStr">
        <is>
          <t>10/02/2026</t>
        </is>
      </c>
      <c r="I2677" t="inlineStr">
        <is>
          <t>27/03/2026</t>
        </is>
      </c>
      <c r="J2677" t="inlineStr">
        <is>
          <t>17/03/2026</t>
        </is>
      </c>
      <c r="K2677" t="inlineStr">
        <is>
          <t>N/A</t>
        </is>
      </c>
      <c r="L2677" t="inlineStr">
        <is>
          <t>Kỹ Năng Lái Xe, Lái Xe Ô Tô, Bảo Dưỡng Xe, Luật Giao Thông, Thư ký</t>
        </is>
      </c>
      <c r="M2677" t="inlineStr">
        <is>
          <t>Bonus, Healthcare Plan, Paid Leave, Training, Others</t>
        </is>
      </c>
      <c r="N2677" s="8">
        <f>HYPERLINK("https://www.vietnamworks.com/thu-ky-nam-biet-lai-xe-2011064-jv","Xem chi tiết")</f>
        <v/>
      </c>
    </row>
    <row r="2678">
      <c r="B2678" s="9" t="n">
        <v>2676</v>
      </c>
      <c r="C2678" s="10" t="inlineStr">
        <is>
          <t>Analyst - Valuation Services</t>
        </is>
      </c>
      <c r="D2678" s="10" t="inlineStr">
        <is>
          <t>CBRE Vietnam</t>
        </is>
      </c>
      <c r="E2678" s="10" t="inlineStr">
        <is>
          <t>Thương lượng</t>
        </is>
      </c>
      <c r="F2678" s="10" t="inlineStr">
        <is>
          <t>Hà Nội</t>
        </is>
      </c>
      <c r="G2678" s="10" t="inlineStr">
        <is>
          <t>Nhân viên</t>
        </is>
      </c>
      <c r="H2678" s="10" t="inlineStr">
        <is>
          <t>10/02/2026</t>
        </is>
      </c>
      <c r="I2678" s="10" t="inlineStr">
        <is>
          <t>27/03/2026</t>
        </is>
      </c>
      <c r="J2678" s="10" t="inlineStr">
        <is>
          <t>17/03/2026</t>
        </is>
      </c>
      <c r="K2678" s="10" t="inlineStr">
        <is>
          <t>N/A</t>
        </is>
      </c>
      <c r="L2678" s="10" t="inlineStr">
        <is>
          <t>Real Estate Valuation, Valuation, Appraised Value, Quantitative Analysis</t>
        </is>
      </c>
      <c r="M2678" s="10" t="inlineStr">
        <is>
          <t>Healthcare Plan, Training, Laptop</t>
        </is>
      </c>
      <c r="N2678" s="11">
        <f>HYPERLINK("https://www.vietnamworks.com/analyst-valuation-services--2011062-jv","Xem chi tiết")</f>
        <v/>
      </c>
      <c r="O2678" s="10" t="n"/>
    </row>
    <row r="2679">
      <c r="B2679" s="7" t="n">
        <v>2677</v>
      </c>
      <c r="C2679" t="inlineStr">
        <is>
          <t>Kỹ Sư Thiết Kế Cơ Khí</t>
        </is>
      </c>
      <c r="D2679" t="inlineStr">
        <is>
          <t>CÔNG TY CỔ PHẦN ỨNG DỤNG CÔNG NGHỆ MINH HÀ</t>
        </is>
      </c>
      <c r="E2679" t="inlineStr">
        <is>
          <t>Thương lượng</t>
        </is>
      </c>
      <c r="F2679" t="inlineStr">
        <is>
          <t>Hồ Chí Minh</t>
        </is>
      </c>
      <c r="G2679" t="inlineStr">
        <is>
          <t>Nhân viên</t>
        </is>
      </c>
      <c r="H2679" t="inlineStr">
        <is>
          <t>10/02/2026</t>
        </is>
      </c>
      <c r="I2679" t="inlineStr">
        <is>
          <t>27/03/2026</t>
        </is>
      </c>
      <c r="J2679" t="inlineStr">
        <is>
          <t>17/03/2026</t>
        </is>
      </c>
      <c r="K2679" t="inlineStr">
        <is>
          <t>N/A</t>
        </is>
      </c>
      <c r="L2679" t="inlineStr">
        <is>
          <t>Thiết Kế Cơ Khí, Sử dụng Solidworks, Lập Trình AutoCAD, Thiết Kế 3D Inventor, Giải quyết vấn đề</t>
        </is>
      </c>
      <c r="M2679" t="inlineStr">
        <is>
          <t>Bonus, Healthcare Plan, Paid Leave, Training, Others</t>
        </is>
      </c>
      <c r="N2679" s="8">
        <f>HYPERLINK("https://www.vietnamworks.com/ky-su-thiet-ke-co-khi-2011058-jv","Xem chi tiết")</f>
        <v/>
      </c>
    </row>
    <row r="2680">
      <c r="B2680" s="9" t="n">
        <v>2678</v>
      </c>
      <c r="C2680" s="10" t="inlineStr">
        <is>
          <t>Kỹ Sư Công Trình (Nhà Xưởng) Phổ Yên, Thái Nguyên</t>
        </is>
      </c>
      <c r="D2680" s="10" t="inlineStr">
        <is>
          <t>Công Ty TNHH Mega D&amp;C</t>
        </is>
      </c>
      <c r="E2680" s="10" t="inlineStr">
        <is>
          <t>20tr-30tr ₫/tháng</t>
        </is>
      </c>
      <c r="F2680" s="10" t="inlineStr">
        <is>
          <t>Thái Nguyên</t>
        </is>
      </c>
      <c r="G2680" s="10" t="inlineStr">
        <is>
          <t>Nhân viên</t>
        </is>
      </c>
      <c r="H2680" s="10" t="inlineStr">
        <is>
          <t>10/02/2026</t>
        </is>
      </c>
      <c r="I2680" s="10" t="inlineStr">
        <is>
          <t>27/03/2026</t>
        </is>
      </c>
      <c r="J2680" s="10" t="inlineStr">
        <is>
          <t>17/03/2026</t>
        </is>
      </c>
      <c r="K2680" s="10" t="inlineStr">
        <is>
          <t>N/A</t>
        </is>
      </c>
      <c r="L2680" s="10" t="inlineStr">
        <is>
          <t>AutoCAD, Giám Sát Thi Công, Thi Công Công Trình, Thiết Kế Công Trình, Xây Dựng</t>
        </is>
      </c>
      <c r="M2680" s="10" t="inlineStr">
        <is>
          <t>Bonus, Healthcare Plan, Paid Leave, Others</t>
        </is>
      </c>
      <c r="N2680" s="11">
        <f>HYPERLINK("https://www.vietnamworks.com/ky-su-cong-trinh-nha-xuong-pho-yen-thai-nguyen-2011057-jv","Xem chi tiết")</f>
        <v/>
      </c>
      <c r="O2680" s="10" t="n"/>
    </row>
    <row r="2681">
      <c r="B2681" s="7" t="n">
        <v>2679</v>
      </c>
      <c r="C2681" t="inlineStr">
        <is>
          <t>Sales Management Staff (On Board After Tet) - Shuttle Bus from Center Hanoi</t>
        </is>
      </c>
      <c r="D2681" t="inlineStr">
        <is>
          <t>Hanwha Aero Engines Company Limited</t>
        </is>
      </c>
      <c r="E2681" t="inlineStr">
        <is>
          <t>Tới $ 18tr /tháng</t>
        </is>
      </c>
      <c r="F2681" t="inlineStr">
        <is>
          <t>Hà Nội</t>
        </is>
      </c>
      <c r="G2681" t="inlineStr">
        <is>
          <t>Nhân viên</t>
        </is>
      </c>
      <c r="H2681" t="inlineStr">
        <is>
          <t>10/02/2026</t>
        </is>
      </c>
      <c r="I2681" t="inlineStr">
        <is>
          <t>27/03/2026</t>
        </is>
      </c>
      <c r="J2681" t="inlineStr">
        <is>
          <t>17/03/2026</t>
        </is>
      </c>
      <c r="K2681" t="inlineStr">
        <is>
          <t>N/A</t>
        </is>
      </c>
      <c r="L2681" t="inlineStr">
        <is>
          <t>Production Planning, Project Planning, Economics, Finance, project</t>
        </is>
      </c>
      <c r="M2681" t="inlineStr">
        <is>
          <t>Healthcare Plan, Others</t>
        </is>
      </c>
      <c r="N2681" s="8">
        <f>HYPERLINK("https://www.vietnamworks.com/sales-management-staff-on-board-after-tet-shuttle-bus-from-center-hanoi-2011056-jv","Xem chi tiết")</f>
        <v/>
      </c>
    </row>
    <row r="2682">
      <c r="B2682" s="9" t="n">
        <v>2680</v>
      </c>
      <c r="C2682" s="10" t="inlineStr">
        <is>
          <t>Process Safety Engineer</t>
        </is>
      </c>
      <c r="D2682" s="10" t="inlineStr">
        <is>
          <t>SEN Consulting Joint Stock Company</t>
        </is>
      </c>
      <c r="E2682" s="10" t="inlineStr">
        <is>
          <t>Thương lượng</t>
        </is>
      </c>
      <c r="F2682" s="10" t="inlineStr">
        <is>
          <t>Hồ Chí Minh</t>
        </is>
      </c>
      <c r="G2682" s="10" t="inlineStr">
        <is>
          <t>Nhân viên</t>
        </is>
      </c>
      <c r="H2682" s="10" t="inlineStr">
        <is>
          <t>10/02/2026</t>
        </is>
      </c>
      <c r="I2682" s="10" t="inlineStr">
        <is>
          <t>27/03/2026</t>
        </is>
      </c>
      <c r="J2682" s="10" t="inlineStr">
        <is>
          <t>17/03/2026</t>
        </is>
      </c>
      <c r="K2682" s="10" t="inlineStr">
        <is>
          <t>N/A</t>
        </is>
      </c>
      <c r="L2682" s="10" t="inlineStr">
        <is>
          <t>Safety Management, Risk Assessment, Safety Control, Chemical, Risk Assessments</t>
        </is>
      </c>
      <c r="M2682" s="10" t="inlineStr">
        <is>
          <t>Bonus, Training, Team Activities</t>
        </is>
      </c>
      <c r="N2682" s="11">
        <f>HYPERLINK("https://www.vietnamworks.com/process-safety-engineer--2011067-jv","Xem chi tiết")</f>
        <v/>
      </c>
      <c r="O2682" s="10" t="n"/>
    </row>
    <row r="2683">
      <c r="B2683" s="7" t="n">
        <v>2681</v>
      </c>
      <c r="C2683" t="inlineStr">
        <is>
          <t>Senior Executive - Sales (ETC)</t>
        </is>
      </c>
      <c r="D2683" t="inlineStr">
        <is>
          <t>Omron Healthcare Vietnam Company Limited</t>
        </is>
      </c>
      <c r="E2683" t="inlineStr">
        <is>
          <t>Thương lượng</t>
        </is>
      </c>
      <c r="F2683" t="inlineStr">
        <is>
          <t>Hồ Chí Minh</t>
        </is>
      </c>
      <c r="G2683" t="inlineStr">
        <is>
          <t>Nhân viên</t>
        </is>
      </c>
      <c r="H2683" t="inlineStr">
        <is>
          <t>10/02/2026</t>
        </is>
      </c>
      <c r="I2683" t="inlineStr">
        <is>
          <t>27/03/2026</t>
        </is>
      </c>
      <c r="J2683" t="inlineStr">
        <is>
          <t>17/03/2026</t>
        </is>
      </c>
      <c r="K2683" t="inlineStr">
        <is>
          <t>N/A</t>
        </is>
      </c>
      <c r="L2683" t="inlineStr">
        <is>
          <t>English Language Proficiency, Microsoft Office, Negotiation Skills, Sales Experience, Hospital Sales Knowledge</t>
        </is>
      </c>
      <c r="M2683" t="inlineStr">
        <is>
          <t>Healthcare Plan, Paid Leave, Team Activities</t>
        </is>
      </c>
      <c r="N2683" s="8">
        <f>HYPERLINK("https://www.vietnamworks.com/senior-executive-sales-etc-2011071-jv","Xem chi tiết")</f>
        <v/>
      </c>
    </row>
    <row r="2684">
      <c r="B2684" s="9" t="n">
        <v>2682</v>
      </c>
      <c r="C2684" s="10" t="inlineStr">
        <is>
          <t>Senior Supplier Quality Engineer</t>
        </is>
      </c>
      <c r="D2684" s="10" t="inlineStr">
        <is>
          <t>Công Ty TNHH Given Imaging Việt Nam (Medtronic)</t>
        </is>
      </c>
      <c r="E2684" s="10" t="inlineStr">
        <is>
          <t>Thương lượng</t>
        </is>
      </c>
      <c r="F2684" s="10" t="inlineStr">
        <is>
          <t>Hồ Chí Minh</t>
        </is>
      </c>
      <c r="G2684" s="10" t="inlineStr">
        <is>
          <t>Nhân viên</t>
        </is>
      </c>
      <c r="H2684" s="10" t="inlineStr">
        <is>
          <t>10/02/2026</t>
        </is>
      </c>
      <c r="I2684" s="10" t="inlineStr">
        <is>
          <t>27/03/2026</t>
        </is>
      </c>
      <c r="J2684" s="10" t="inlineStr">
        <is>
          <t>17/03/2026</t>
        </is>
      </c>
      <c r="K2684" s="10" t="inlineStr">
        <is>
          <t>N/A</t>
        </is>
      </c>
      <c r="L2684" s="10" t="inlineStr">
        <is>
          <t>Supplier Quality Management, QA, Supplier Audit, Automotive, Quality Management</t>
        </is>
      </c>
      <c r="M2684" s="10" t="inlineStr">
        <is>
          <t>Bonus, Healthcare Plan, Travel Opportunities</t>
        </is>
      </c>
      <c r="N2684" s="11">
        <f>HYPERLINK("https://www.vietnamworks.com/senior-supplier-quality-engineer--2011059-jv","Xem chi tiết")</f>
        <v/>
      </c>
      <c r="O2684" s="10" t="n"/>
    </row>
    <row r="2685">
      <c r="B2685" s="7" t="n">
        <v>2683</v>
      </c>
      <c r="C2685" t="inlineStr">
        <is>
          <t>Employer Branding Specialist (in Higher Education)</t>
        </is>
      </c>
      <c r="D2685" t="inlineStr">
        <is>
          <t>Công Ty TNHH Giáo Dục Và Đào Tạo Vinacademy</t>
        </is>
      </c>
      <c r="E2685" t="inlineStr">
        <is>
          <t>Thương lượng</t>
        </is>
      </c>
      <c r="F2685" t="inlineStr">
        <is>
          <t>Hà Nội</t>
        </is>
      </c>
      <c r="G2685" t="inlineStr">
        <is>
          <t>Nhân viên</t>
        </is>
      </c>
      <c r="H2685" t="inlineStr">
        <is>
          <t>10/02/2026</t>
        </is>
      </c>
      <c r="I2685" t="inlineStr">
        <is>
          <t>27/03/2026</t>
        </is>
      </c>
      <c r="J2685" t="inlineStr">
        <is>
          <t>17/03/2026</t>
        </is>
      </c>
      <c r="K2685" t="inlineStr">
        <is>
          <t>N/A</t>
        </is>
      </c>
      <c r="L2685" t="inlineStr">
        <is>
          <t>Employer Branding, Human Resources, Communications, Teamwork, Time Management</t>
        </is>
      </c>
      <c r="M2685" t="inlineStr">
        <is>
          <t>Healthcare Plan, Training, Laptop</t>
        </is>
      </c>
      <c r="N2685" s="8">
        <f>HYPERLINK("https://www.vietnamworks.com/employer-branding-specialist-in-higher-education-2011042-jv","Xem chi tiết")</f>
        <v/>
      </c>
    </row>
    <row r="2686">
      <c r="B2686" s="9" t="n">
        <v>2684</v>
      </c>
      <c r="C2686" s="10" t="inlineStr">
        <is>
          <t>Sales Tour Inbound (English - Speaking Sales Executive)</t>
        </is>
      </c>
      <c r="D2686" s="10" t="inlineStr">
        <is>
          <t>Asia Pioneer Travel</t>
        </is>
      </c>
      <c r="E2686" s="10" t="inlineStr">
        <is>
          <t>$$ 500-2,500 /tháng</t>
        </is>
      </c>
      <c r="F2686" s="10" t="inlineStr">
        <is>
          <t>Hà Nội</t>
        </is>
      </c>
      <c r="G2686" s="10" t="inlineStr">
        <is>
          <t>Nhân viên</t>
        </is>
      </c>
      <c r="H2686" s="10" t="inlineStr">
        <is>
          <t>10/02/2026</t>
        </is>
      </c>
      <c r="I2686" s="10" t="inlineStr">
        <is>
          <t>27/03/2026</t>
        </is>
      </c>
      <c r="J2686" s="10" t="inlineStr">
        <is>
          <t>17/03/2026</t>
        </is>
      </c>
      <c r="K2686" s="10" t="inlineStr">
        <is>
          <t>N/A</t>
        </is>
      </c>
      <c r="L2686" s="10" t="inlineStr">
        <is>
          <t>Inbound Sales, Client Relationships, Travel Consulting, Inbound Tour, Tourism Business</t>
        </is>
      </c>
      <c r="M2686" s="10" t="inlineStr">
        <is>
          <t>Bonus, Healthcare Plan, Paid Leave</t>
        </is>
      </c>
      <c r="N2686" s="11">
        <f>HYPERLINK("https://www.vietnamworks.com/sales-tour-inbound-english-speaking-sales-executive-2011034-jv","Xem chi tiết")</f>
        <v/>
      </c>
      <c r="O2686" s="10" t="n"/>
    </row>
    <row r="2687">
      <c r="B2687" s="7" t="n">
        <v>2685</v>
      </c>
      <c r="C2687" t="inlineStr">
        <is>
          <t>Product Application Engineer Transmission And Distribution (Mv&amp;Hv)</t>
        </is>
      </c>
      <c r="D2687" t="inlineStr">
        <is>
          <t>Chint Viet Nam Holding Co.,ltd</t>
        </is>
      </c>
      <c r="E2687" t="inlineStr">
        <is>
          <t>Thương lượng</t>
        </is>
      </c>
      <c r="F2687" t="inlineStr">
        <is>
          <t>Hồ Chí Minh</t>
        </is>
      </c>
      <c r="G2687" t="inlineStr">
        <is>
          <t>Nhân viên</t>
        </is>
      </c>
      <c r="H2687" t="inlineStr">
        <is>
          <t>10/02/2026</t>
        </is>
      </c>
      <c r="I2687" t="inlineStr">
        <is>
          <t>27/03/2026</t>
        </is>
      </c>
      <c r="J2687" t="inlineStr">
        <is>
          <t>17/03/2026</t>
        </is>
      </c>
      <c r="K2687" t="inlineStr">
        <is>
          <t>N/A</t>
        </is>
      </c>
      <c r="L2687" t="inlineStr">
        <is>
          <t>Technical Support, Product Marketing, Market Analysis, Value Based Marketing, Communication Skills</t>
        </is>
      </c>
      <c r="M2687" t="inlineStr">
        <is>
          <t>Bonus, Others</t>
        </is>
      </c>
      <c r="N2687" s="8">
        <f>HYPERLINK("https://www.vietnamworks.com/product-application-engineer-transmission-and-distribution-mvandamphv-2011072-jv","Xem chi tiết")</f>
        <v/>
      </c>
    </row>
    <row r="2688">
      <c r="B2688" s="9" t="n">
        <v>2686</v>
      </c>
      <c r="C2688" s="10" t="inlineStr">
        <is>
          <t>Senior Legal &amp; Compliance Specialist</t>
        </is>
      </c>
      <c r="D2688" s="10" t="inlineStr">
        <is>
          <t>CÔNG TY CỔ PHẦN MORINAGA NUTRITIONAL FOODS VIỆT NAM</t>
        </is>
      </c>
      <c r="E2688" s="10" t="inlineStr">
        <is>
          <t>30tr-35tr ₫/tháng</t>
        </is>
      </c>
      <c r="F2688" s="10" t="inlineStr">
        <is>
          <t>Hà Nội, Thái Nguyên</t>
        </is>
      </c>
      <c r="G2688" s="10" t="inlineStr">
        <is>
          <t>Nhân viên</t>
        </is>
      </c>
      <c r="H2688" s="10" t="inlineStr">
        <is>
          <t>10/02/2026</t>
        </is>
      </c>
      <c r="I2688" s="10" t="inlineStr">
        <is>
          <t>27/03/2026</t>
        </is>
      </c>
      <c r="J2688" s="10" t="inlineStr">
        <is>
          <t>17/03/2026</t>
        </is>
      </c>
      <c r="K2688" s="10" t="inlineStr">
        <is>
          <t>N/A</t>
        </is>
      </c>
      <c r="L2688" s="10" t="inlineStr">
        <is>
          <t>Compliance, Legal, Risk Management, English Skill, Law &amp; Contracts</t>
        </is>
      </c>
      <c r="M2688" s="10" t="inlineStr">
        <is>
          <t>Bonus, Laptop, Others</t>
        </is>
      </c>
      <c r="N2688" s="11">
        <f>HYPERLINK("https://www.vietnamworks.com/senior-legal-compliance-specialist--2011093-jv","Xem chi tiết")</f>
        <v/>
      </c>
      <c r="O2688" s="10" t="n"/>
    </row>
    <row r="2689">
      <c r="B2689" s="7" t="n">
        <v>2687</v>
      </c>
      <c r="C2689" t="inlineStr">
        <is>
          <t>Service Solutions Lead (Cloud &amp; Security)</t>
        </is>
      </c>
      <c r="D2689" t="inlineStr">
        <is>
          <t>Netnam Corp.</t>
        </is>
      </c>
      <c r="E2689" t="inlineStr">
        <is>
          <t>Thương lượng</t>
        </is>
      </c>
      <c r="F2689" t="inlineStr">
        <is>
          <t>Hồ Chí Minh</t>
        </is>
      </c>
      <c r="G2689" t="inlineStr">
        <is>
          <t>Nhân viên</t>
        </is>
      </c>
      <c r="H2689" t="inlineStr">
        <is>
          <t>10/02/2026</t>
        </is>
      </c>
      <c r="I2689" t="inlineStr">
        <is>
          <t>27/03/2026</t>
        </is>
      </c>
      <c r="J2689" t="inlineStr">
        <is>
          <t>17/03/2026</t>
        </is>
      </c>
      <c r="K2689" t="inlineStr">
        <is>
          <t>N/A</t>
        </is>
      </c>
      <c r="L2689" t="inlineStr">
        <is>
          <t>Cloud, Network, Security, ITIL4, CEH</t>
        </is>
      </c>
      <c r="M2689" t="inlineStr">
        <is>
          <t>Bonus, Training, Travel Opportunities</t>
        </is>
      </c>
      <c r="N2689" s="8">
        <f>HYPERLINK("https://www.vietnamworks.com/service-solutions-lead-cloud-security-2011094-jv","Xem chi tiết")</f>
        <v/>
      </c>
    </row>
    <row r="2690">
      <c r="B2690" s="9" t="n">
        <v>2688</v>
      </c>
      <c r="C2690" s="10" t="inlineStr">
        <is>
          <t>Nhân Viên Dự Toán (Nội Thất)</t>
        </is>
      </c>
      <c r="D2690" s="10" t="inlineStr">
        <is>
          <t>CÔNG TY CỔ PHẦN XÂY DỰNG QUỐC TẾ SEN LEGEND</t>
        </is>
      </c>
      <c r="E2690" s="10" t="inlineStr">
        <is>
          <t>Thương lượng</t>
        </is>
      </c>
      <c r="F2690" s="10" t="inlineStr">
        <is>
          <t>Hồ Chí Minh</t>
        </is>
      </c>
      <c r="G2690" s="10" t="inlineStr">
        <is>
          <t>Nhân viên</t>
        </is>
      </c>
      <c r="H2690" s="10" t="inlineStr">
        <is>
          <t>10/02/2026</t>
        </is>
      </c>
      <c r="I2690" s="10" t="inlineStr">
        <is>
          <t>27/03/2026</t>
        </is>
      </c>
      <c r="J2690" s="10" t="inlineStr">
        <is>
          <t>17/03/2026</t>
        </is>
      </c>
      <c r="K2690" s="10" t="inlineStr">
        <is>
          <t>N/A</t>
        </is>
      </c>
      <c r="L2690" s="10" t="inlineStr">
        <is>
          <t>Dự Toán, Giao Tiếp Chủ Động, Giao Tiếp Tiếng Anh, Khảo Sát Dự Án, Xây Dựng</t>
        </is>
      </c>
      <c r="M2690" s="10" t="inlineStr">
        <is>
          <t>Bonus, Healthcare Plan, Others</t>
        </is>
      </c>
      <c r="N2690" s="11">
        <f>HYPERLINK("https://www.vietnamworks.com/nhan-vien-du-toan-noi-that-2011089-jv","Xem chi tiết")</f>
        <v/>
      </c>
      <c r="O2690" s="10" t="n"/>
    </row>
    <row r="2691">
      <c r="B2691" s="7" t="n">
        <v>2689</v>
      </c>
      <c r="C2691" t="inlineStr">
        <is>
          <t>[HCM] Sales Engineer</t>
        </is>
      </c>
      <c r="D2691" t="inlineStr">
        <is>
          <t>CÔNG TY TNHH GLOBAL TECHNICS INTERNATIONAL</t>
        </is>
      </c>
      <c r="E2691" t="inlineStr">
        <is>
          <t>11tr-15tr ₫/tháng</t>
        </is>
      </c>
      <c r="F2691" t="inlineStr">
        <is>
          <t>Hồ Chí Minh</t>
        </is>
      </c>
      <c r="G2691" t="inlineStr">
        <is>
          <t>Nhân viên</t>
        </is>
      </c>
      <c r="H2691" t="inlineStr">
        <is>
          <t>10/02/2026</t>
        </is>
      </c>
      <c r="I2691" t="inlineStr">
        <is>
          <t>27/03/2026</t>
        </is>
      </c>
      <c r="J2691" t="inlineStr">
        <is>
          <t>17/03/2026</t>
        </is>
      </c>
      <c r="K2691" t="inlineStr">
        <is>
          <t>N/A</t>
        </is>
      </c>
      <c r="L2691" t="inlineStr">
        <is>
          <t>Sales Engineering, Client Relationships, Customer Development, Sales Technical, Technical Documentation</t>
        </is>
      </c>
      <c r="M2691" t="inlineStr">
        <is>
          <t>Bonus, Training, Team Activities</t>
        </is>
      </c>
      <c r="N2691" s="8">
        <f>HYPERLINK("https://www.vietnamworks.com/hcm-sales-engineer-2011085-jv","Xem chi tiết")</f>
        <v/>
      </c>
    </row>
    <row r="2692">
      <c r="B2692" s="9" t="n">
        <v>2690</v>
      </c>
      <c r="C2692" s="10" t="inlineStr">
        <is>
          <t>Sales Executive (Ha Noi Office)</t>
        </is>
      </c>
      <c r="D2692" s="10" t="inlineStr">
        <is>
          <t>Evergreen Logistics Vietnam Company., Ltd</t>
        </is>
      </c>
      <c r="E2692" s="10" t="inlineStr">
        <is>
          <t>Thương lượng</t>
        </is>
      </c>
      <c r="F2692" s="10" t="inlineStr">
        <is>
          <t>Hà Nội</t>
        </is>
      </c>
      <c r="G2692" s="10" t="inlineStr">
        <is>
          <t>Nhân viên</t>
        </is>
      </c>
      <c r="H2692" s="10" t="inlineStr">
        <is>
          <t>10/02/2026</t>
        </is>
      </c>
      <c r="I2692" s="10" t="inlineStr">
        <is>
          <t>27/03/2026</t>
        </is>
      </c>
      <c r="J2692" s="10" t="inlineStr">
        <is>
          <t>17/03/2026</t>
        </is>
      </c>
      <c r="K2692" s="10" t="inlineStr">
        <is>
          <t>N/A</t>
        </is>
      </c>
      <c r="L2692" s="10" t="inlineStr">
        <is>
          <t>Customer Service, English, Freight Forwarding, Communication, Kinh Doanh</t>
        </is>
      </c>
      <c r="M2692" s="10" t="inlineStr">
        <is>
          <t>Bonus, Healthcare Plan, Travel Opportunities</t>
        </is>
      </c>
      <c r="N2692" s="11">
        <f>HYPERLINK("https://www.vietnamworks.com/sales-executive-ha-noi-office-3-1-1-2-1-1-1-1-1--2011092-jv","Xem chi tiết")</f>
        <v/>
      </c>
      <c r="O2692" s="10" t="n"/>
    </row>
    <row r="2693">
      <c r="B2693" s="7" t="n">
        <v>2691</v>
      </c>
      <c r="C2693" t="inlineStr">
        <is>
          <t>Quản Lý Dự Án Thi Công (Nội Thất)</t>
        </is>
      </c>
      <c r="D2693" t="inlineStr">
        <is>
          <t>CÔNG TY CỔ PHẦN XÂY DỰNG QUỐC TẾ SEN LEGEND</t>
        </is>
      </c>
      <c r="E2693" t="inlineStr">
        <is>
          <t>Thương lượng</t>
        </is>
      </c>
      <c r="F2693" t="inlineStr">
        <is>
          <t>Hồ Chí Minh</t>
        </is>
      </c>
      <c r="G2693" t="inlineStr">
        <is>
          <t>Trưởng phòng</t>
        </is>
      </c>
      <c r="H2693" t="inlineStr">
        <is>
          <t>10/02/2026</t>
        </is>
      </c>
      <c r="I2693" t="inlineStr">
        <is>
          <t>27/03/2026</t>
        </is>
      </c>
      <c r="J2693" t="inlineStr">
        <is>
          <t>17/03/2026</t>
        </is>
      </c>
      <c r="K2693" t="inlineStr">
        <is>
          <t>N/A</t>
        </is>
      </c>
      <c r="L2693" t="inlineStr">
        <is>
          <t>Giám Sát Công Việc, Giao Tiếp Tiếng Anh, Kiểm Soát Chất Lượng, Lập Kế Hoạch, Quản Lý Dự Án</t>
        </is>
      </c>
      <c r="M2693" t="inlineStr">
        <is>
          <t>Bonus, Healthcare Plan, Team Activities, Others</t>
        </is>
      </c>
      <c r="N2693" s="8">
        <f>HYPERLINK("https://www.vietnamworks.com/quan-ly-du-an-thi-cong-noi-that-2011097-jv","Xem chi tiết")</f>
        <v/>
      </c>
    </row>
    <row r="2694">
      <c r="B2694" s="9" t="n">
        <v>2692</v>
      </c>
      <c r="C2694" s="10" t="inlineStr">
        <is>
          <t>Kế Toán Tổng Hợp / General Accountant</t>
        </is>
      </c>
      <c r="D2694" s="10" t="inlineStr">
        <is>
          <t>Công Ty TNHH Dona Quế Bằng</t>
        </is>
      </c>
      <c r="E2694" s="10" t="inlineStr">
        <is>
          <t>Thương lượng</t>
        </is>
      </c>
      <c r="F2694" s="10" t="inlineStr">
        <is>
          <t>Đồng Nai</t>
        </is>
      </c>
      <c r="G2694" s="10" t="inlineStr">
        <is>
          <t>Nhân viên</t>
        </is>
      </c>
      <c r="H2694" s="10" t="inlineStr">
        <is>
          <t>10/02/2026</t>
        </is>
      </c>
      <c r="I2694" s="10" t="inlineStr">
        <is>
          <t>27/03/2026</t>
        </is>
      </c>
      <c r="J2694" s="10" t="inlineStr">
        <is>
          <t>17/03/2026</t>
        </is>
      </c>
      <c r="K2694" s="10" t="inlineStr">
        <is>
          <t>N/A</t>
        </is>
      </c>
      <c r="L2694" s="10" t="inlineStr">
        <is>
          <t>Kiểm Soát Tài Chính, Báo Cáo Tài Chính, Kế Toán, Hệ Thống SAP, Làm Việc Nhóm</t>
        </is>
      </c>
      <c r="M2694" s="10" t="inlineStr">
        <is>
          <t>Bonus, Healthcare Plan, Paid Leave, Training, Transportation, Others</t>
        </is>
      </c>
      <c r="N2694" s="11">
        <f>HYPERLINK("https://www.vietnamworks.com/ke-toan-tong-hop-general-accountant--2011077-jv","Xem chi tiết")</f>
        <v/>
      </c>
      <c r="O2694" s="10" t="n"/>
    </row>
    <row r="2695">
      <c r="B2695" s="7" t="n">
        <v>2693</v>
      </c>
      <c r="C2695" t="inlineStr">
        <is>
          <t>Phó Tổng Giám Đốc</t>
        </is>
      </c>
      <c r="D2695" t="inlineStr">
        <is>
          <t>CÔNG TY CP DỊCH VỤ VÀ ĐẦU TƯ TÂN LONG</t>
        </is>
      </c>
      <c r="E2695" t="inlineStr">
        <is>
          <t>Từ $ 500 /tháng</t>
        </is>
      </c>
      <c r="F2695" t="inlineStr">
        <is>
          <t>Hà Nội</t>
        </is>
      </c>
      <c r="G2695" t="inlineStr">
        <is>
          <t>Giám Đốc và Cấp Cao Hơn</t>
        </is>
      </c>
      <c r="H2695" t="inlineStr">
        <is>
          <t>10/02/2026</t>
        </is>
      </c>
      <c r="I2695" t="inlineStr">
        <is>
          <t>27/03/2026</t>
        </is>
      </c>
      <c r="J2695" t="inlineStr">
        <is>
          <t>17/03/2026</t>
        </is>
      </c>
      <c r="K2695" t="inlineStr">
        <is>
          <t>N/A</t>
        </is>
      </c>
      <c r="L2695" t="inlineStr">
        <is>
          <t>Kinh Doanh Phát Triển Dự Án, Quản Lý Kinh Doanh, Phân Tích Thị Trường, Lãnh Đạo, Giao Tiếp</t>
        </is>
      </c>
      <c r="M2695" t="inlineStr">
        <is>
          <t>Bonus, Healthcare Plan, Others</t>
        </is>
      </c>
      <c r="N2695" s="8">
        <f>HYPERLINK("https://www.vietnamworks.com/pho-tong-giam-djoc-2011096-jv","Xem chi tiết")</f>
        <v/>
      </c>
    </row>
    <row r="2696">
      <c r="B2696" s="9" t="n">
        <v>2694</v>
      </c>
      <c r="C2696" s="10" t="inlineStr">
        <is>
          <t>General Accountant</t>
        </is>
      </c>
      <c r="D2696" s="10" t="inlineStr">
        <is>
          <t>CÔNG TY TNHH OLA INVESTMENTS</t>
        </is>
      </c>
      <c r="E2696" s="10" t="inlineStr">
        <is>
          <t>Thương lượng</t>
        </is>
      </c>
      <c r="F2696" s="10" t="inlineStr">
        <is>
          <t>Hồ Chí Minh</t>
        </is>
      </c>
      <c r="G2696" s="10" t="inlineStr">
        <is>
          <t>Nhân viên</t>
        </is>
      </c>
      <c r="H2696" s="10" t="inlineStr">
        <is>
          <t>10/02/2026</t>
        </is>
      </c>
      <c r="I2696" s="10" t="inlineStr">
        <is>
          <t>27/03/2026</t>
        </is>
      </c>
      <c r="J2696" s="10" t="inlineStr">
        <is>
          <t>17/03/2026</t>
        </is>
      </c>
      <c r="K2696" s="10" t="inlineStr">
        <is>
          <t>N/A</t>
        </is>
      </c>
      <c r="L2696" s="10" t="inlineStr">
        <is>
          <t>Communication, Accounting System, Accounting Standards, Accounting Management, Organization</t>
        </is>
      </c>
      <c r="M2696" s="10" t="inlineStr">
        <is>
          <t>Healthcare Plan, Paid Leave</t>
        </is>
      </c>
      <c r="N2696" s="11">
        <f>HYPERLINK("https://www.vietnamworks.com/general-accountant--2011083-jv","Xem chi tiết")</f>
        <v/>
      </c>
      <c r="O2696" s="10" t="n"/>
    </row>
    <row r="2697">
      <c r="B2697" s="7" t="n">
        <v>2695</v>
      </c>
      <c r="C2697" t="inlineStr">
        <is>
          <t>Kỹ Sư QS Công Trường Miền Bắc - (Thái Nguyên, Hải Phòng, Hà Nội Chi Nhánh VP) Lương 25 - 35 Triệu</t>
        </is>
      </c>
      <c r="D2697" t="inlineStr">
        <is>
          <t>MDA E&amp;C Co.,ltd</t>
        </is>
      </c>
      <c r="E2697" t="inlineStr">
        <is>
          <t>25tr-35tr ₫/tháng</t>
        </is>
      </c>
      <c r="F2697" t="inlineStr">
        <is>
          <t>Thái Nguyên, Hà Nội, Hải Phòng</t>
        </is>
      </c>
      <c r="G2697" t="inlineStr">
        <is>
          <t>Nhân viên</t>
        </is>
      </c>
      <c r="H2697" t="inlineStr">
        <is>
          <t>10/02/2026</t>
        </is>
      </c>
      <c r="I2697" t="inlineStr">
        <is>
          <t>27/03/2026</t>
        </is>
      </c>
      <c r="J2697" t="inlineStr">
        <is>
          <t>17/03/2026</t>
        </is>
      </c>
      <c r="K2697" t="inlineStr">
        <is>
          <t>N/A</t>
        </is>
      </c>
      <c r="L2697" t="inlineStr">
        <is>
          <t>Dự Toán, Kinh Tế Xây Dựng, Hồ Sơ Dự Thầu, Bóc Tách Khối Lượng, QS</t>
        </is>
      </c>
      <c r="M2697" t="inlineStr">
        <is>
          <t>Bonus, Paid Leave, Others</t>
        </is>
      </c>
      <c r="N2697" s="8">
        <f>HYPERLINK("https://www.vietnamworks.com/ky-su-qs-cong-truong-mien-bac-thai-nguyen-hai-phong-ha-noi-chi-nhanh-vp-luong-25-35-trieu-2011087-jv","Xem chi tiết")</f>
        <v/>
      </c>
    </row>
    <row r="2698">
      <c r="B2698" s="9" t="n">
        <v>2696</v>
      </c>
      <c r="C2698" s="10" t="inlineStr">
        <is>
          <t>AI Engineer (Internship Applicants Welcome)</t>
        </is>
      </c>
      <c r="D2698" s="10" t="inlineStr">
        <is>
          <t>Puwell Cloud Tech Limited</t>
        </is>
      </c>
      <c r="E2698" s="10" t="inlineStr">
        <is>
          <t>Thương lượng</t>
        </is>
      </c>
      <c r="F2698" s="10" t="inlineStr">
        <is>
          <t>Hồ Chí Minh</t>
        </is>
      </c>
      <c r="G2698" s="10" t="inlineStr">
        <is>
          <t>Thực tập sinh/Sinh viên</t>
        </is>
      </c>
      <c r="H2698" s="10" t="inlineStr">
        <is>
          <t>10/02/2026</t>
        </is>
      </c>
      <c r="I2698" s="10" t="inlineStr">
        <is>
          <t>27/03/2026</t>
        </is>
      </c>
      <c r="J2698" s="10" t="inlineStr">
        <is>
          <t>17/03/2026</t>
        </is>
      </c>
      <c r="K2698" s="10" t="inlineStr">
        <is>
          <t>N/A</t>
        </is>
      </c>
      <c r="L2698" s="10" t="inlineStr">
        <is>
          <t>AI/ML, Python Programming, C/C++ Programming, Deep Learning, Artificial Intelligence</t>
        </is>
      </c>
      <c r="M2698" s="10" t="inlineStr">
        <is>
          <t>Training</t>
        </is>
      </c>
      <c r="N2698" s="11">
        <f>HYPERLINK("https://www.vietnamworks.com/ai-engineer-internship-applicants-welcome-2011088-jv","Xem chi tiết")</f>
        <v/>
      </c>
      <c r="O2698" s="10" t="n"/>
    </row>
    <row r="2699">
      <c r="B2699" s="7" t="n">
        <v>2697</v>
      </c>
      <c r="C2699" t="inlineStr">
        <is>
          <t>HR Specialist (Temp 6-9 Months)</t>
        </is>
      </c>
      <c r="D2699" t="inlineStr">
        <is>
          <t>Pernod Ricard Vietnam</t>
        </is>
      </c>
      <c r="E2699" t="inlineStr">
        <is>
          <t>Thương lượng</t>
        </is>
      </c>
      <c r="F2699" t="inlineStr">
        <is>
          <t>Hồ Chí Minh</t>
        </is>
      </c>
      <c r="G2699" t="inlineStr">
        <is>
          <t>Nhân viên</t>
        </is>
      </c>
      <c r="H2699" t="inlineStr">
        <is>
          <t>10/02/2026</t>
        </is>
      </c>
      <c r="I2699" t="inlineStr">
        <is>
          <t>27/03/2026</t>
        </is>
      </c>
      <c r="J2699" t="inlineStr">
        <is>
          <t>17/03/2026</t>
        </is>
      </c>
      <c r="K2699" t="inlineStr">
        <is>
          <t>N/A</t>
        </is>
      </c>
      <c r="L2699" t="inlineStr">
        <is>
          <t>English, HR Operations</t>
        </is>
      </c>
      <c r="M2699" t="inlineStr">
        <is>
          <t>Bonus, Healthcare Plan, Paid Leave</t>
        </is>
      </c>
      <c r="N2699" s="8">
        <f>HYPERLINK("https://www.vietnamworks.com/hr-specialist-temp-6-9-months-2011080-jv","Xem chi tiết")</f>
        <v/>
      </c>
    </row>
    <row r="2700">
      <c r="B2700" s="9" t="n">
        <v>2698</v>
      </c>
      <c r="C2700" s="10" t="inlineStr">
        <is>
          <t>Kỹ Sư Thiết Kế Trạm Xử Lý Nước Thải (Lương 25 - 30 Triệu)</t>
        </is>
      </c>
      <c r="D2700" s="10" t="inlineStr">
        <is>
          <t>MDA E&amp;C Co.,ltd</t>
        </is>
      </c>
      <c r="E2700" s="10" t="inlineStr">
        <is>
          <t>25tr-30tr ₫/tháng</t>
        </is>
      </c>
      <c r="F2700" s="10" t="inlineStr">
        <is>
          <t>Hà Nội</t>
        </is>
      </c>
      <c r="G2700" s="10" t="inlineStr">
        <is>
          <t>Nhân viên</t>
        </is>
      </c>
      <c r="H2700" s="10" t="inlineStr">
        <is>
          <t>10/02/2026</t>
        </is>
      </c>
      <c r="I2700" s="10" t="inlineStr">
        <is>
          <t>27/03/2026</t>
        </is>
      </c>
      <c r="J2700" s="10" t="inlineStr">
        <is>
          <t>17/03/2026</t>
        </is>
      </c>
      <c r="K2700" s="10" t="inlineStr">
        <is>
          <t>N/A</t>
        </is>
      </c>
      <c r="L2700" s="10" t="inlineStr">
        <is>
          <t>AutoCAD, English, M&amp;E, Dự Toán, Lập Bản Vẽ Thiết Kế</t>
        </is>
      </c>
      <c r="M2700" s="10" t="inlineStr">
        <is>
          <t>Bonus, Paid Leave, Training</t>
        </is>
      </c>
      <c r="N2700" s="11">
        <f>HYPERLINK("https://www.vietnamworks.com/ky-su-thiet-ke-tram-xu-ly-nuoc-thai-luong-25-30-trieu-2011100-jv","Xem chi tiết")</f>
        <v/>
      </c>
      <c r="O2700" s="10" t="n"/>
    </row>
    <row r="2701">
      <c r="B2701" s="7" t="n">
        <v>2699</v>
      </c>
      <c r="C2701" t="inlineStr">
        <is>
          <t>Garment Merchandiser/ Nhân Viên Quản Lý Đơn Hàng May Mặc</t>
        </is>
      </c>
      <c r="D2701" t="inlineStr">
        <is>
          <t>Hansae HCM Co., Ltd</t>
        </is>
      </c>
      <c r="E2701" t="inlineStr">
        <is>
          <t>Thương lượng</t>
        </is>
      </c>
      <c r="F2701" t="inlineStr">
        <is>
          <t>Hồ Chí Minh</t>
        </is>
      </c>
      <c r="G2701" t="inlineStr">
        <is>
          <t>Mới Tốt Nghiệp</t>
        </is>
      </c>
      <c r="H2701" t="inlineStr">
        <is>
          <t>10/02/2026</t>
        </is>
      </c>
      <c r="I2701" t="inlineStr">
        <is>
          <t>27/03/2026</t>
        </is>
      </c>
      <c r="J2701" t="inlineStr">
        <is>
          <t>17/03/2026</t>
        </is>
      </c>
      <c r="K2701" t="inlineStr">
        <is>
          <t>N/A</t>
        </is>
      </c>
      <c r="L2701" t="inlineStr">
        <is>
          <t>Garment, Merchandise Garment, Merchandising, Quản Lý Đơn Hàng, Quản Lý Đơn Hàng May Mặc</t>
        </is>
      </c>
      <c r="M2701" t="inlineStr">
        <is>
          <t>Bonus, Paid Leave, Laptop</t>
        </is>
      </c>
      <c r="N2701" s="8">
        <f>HYPERLINK("https://www.vietnamworks.com/garment-merchandiser-nhan-vien-quan-ly-don-hang-may-mac--2011078-jv","Xem chi tiết")</f>
        <v/>
      </c>
    </row>
    <row r="2702">
      <c r="B2702" s="9" t="n">
        <v>2700</v>
      </c>
      <c r="C2702" s="10" t="inlineStr">
        <is>
          <t>Chuyên Viên Tài Chính</t>
        </is>
      </c>
      <c r="D2702" s="10" t="inlineStr">
        <is>
          <t>Công Ty Cổ Phần Tập Đoàn Sunshine</t>
        </is>
      </c>
      <c r="E2702" s="10" t="inlineStr">
        <is>
          <t>Thương lượng</t>
        </is>
      </c>
      <c r="F2702" s="10" t="inlineStr">
        <is>
          <t>Hà Nội</t>
        </is>
      </c>
      <c r="G2702" s="10" t="inlineStr">
        <is>
          <t>Nhân viên</t>
        </is>
      </c>
      <c r="H2702" s="10" t="inlineStr">
        <is>
          <t>10/02/2026</t>
        </is>
      </c>
      <c r="I2702" s="10" t="inlineStr">
        <is>
          <t>27/03/2026</t>
        </is>
      </c>
      <c r="J2702" s="10" t="inlineStr">
        <is>
          <t>17/03/2026</t>
        </is>
      </c>
      <c r="K2702" s="10" t="inlineStr">
        <is>
          <t>N/A</t>
        </is>
      </c>
      <c r="L2702" s="10" t="inlineStr">
        <is>
          <t>finacial management, Phân Tích Tài Chính, Tài Chính, Đầu Tư Tài Chính, Lập Hồ Sơ Vay Vốn</t>
        </is>
      </c>
      <c r="M2702" s="10" t="inlineStr">
        <is>
          <t>Bonus, Healthcare Plan, Others</t>
        </is>
      </c>
      <c r="N2702" s="11">
        <f>HYPERLINK("https://www.vietnamworks.com/chuyen-vien-tai-chinh--2011098-jv","Xem chi tiết")</f>
        <v/>
      </c>
      <c r="O2702" s="10" t="n"/>
    </row>
    <row r="2703">
      <c r="B2703" s="7" t="n">
        <v>2701</v>
      </c>
      <c r="C2703" t="inlineStr">
        <is>
          <t>Trưởng Bộ Phận Tuyển Dụng</t>
        </is>
      </c>
      <c r="D2703" t="inlineStr">
        <is>
          <t>Công Ty Cổ Phần Dược Phẩm Vĩnh Phúc</t>
        </is>
      </c>
      <c r="E2703" t="inlineStr">
        <is>
          <t>Thương lượng</t>
        </is>
      </c>
      <c r="F2703" t="inlineStr">
        <is>
          <t>Hà Nội</t>
        </is>
      </c>
      <c r="G2703" t="inlineStr">
        <is>
          <t>Trưởng phòng</t>
        </is>
      </c>
      <c r="H2703" t="inlineStr">
        <is>
          <t>10/02/2026</t>
        </is>
      </c>
      <c r="I2703" t="inlineStr">
        <is>
          <t>27/03/2026</t>
        </is>
      </c>
      <c r="J2703" t="inlineStr">
        <is>
          <t>17/03/2026</t>
        </is>
      </c>
      <c r="K2703" t="inlineStr">
        <is>
          <t>N/A</t>
        </is>
      </c>
      <c r="L2703" t="inlineStr">
        <is>
          <t>Recruitment Management, Giám Sát Tuyển Dụng, Dược Phẩm, HR Management, Nhân Sự</t>
        </is>
      </c>
      <c r="M2703" t="inlineStr">
        <is>
          <t>Bonus, Healthcare Plan, Travel Opportunities</t>
        </is>
      </c>
      <c r="N2703" s="8">
        <f>HYPERLINK("https://www.vietnamworks.com/truong-bo-phan-tuyen-dung--2011095-jv","Xem chi tiết")</f>
        <v/>
      </c>
    </row>
    <row r="2704">
      <c r="B2704" s="9" t="n">
        <v>2702</v>
      </c>
      <c r="C2704" s="10" t="inlineStr">
        <is>
          <t>Kỹ Sư Cơ Điện Lạnh</t>
        </is>
      </c>
      <c r="D2704" s="10" t="inlineStr">
        <is>
          <t>Công ty TNHH Thiên Hương</t>
        </is>
      </c>
      <c r="E2704" s="10" t="inlineStr">
        <is>
          <t>25tr-35tr ₫/tháng</t>
        </is>
      </c>
      <c r="F2704" s="10" t="inlineStr">
        <is>
          <t>Hồ Chí Minh</t>
        </is>
      </c>
      <c r="G2704" s="10" t="inlineStr">
        <is>
          <t>Nhân viên</t>
        </is>
      </c>
      <c r="H2704" s="10" t="inlineStr">
        <is>
          <t>10/02/2026</t>
        </is>
      </c>
      <c r="I2704" s="10" t="inlineStr">
        <is>
          <t>27/03/2026</t>
        </is>
      </c>
      <c r="J2704" s="10" t="inlineStr">
        <is>
          <t>17/03/2026</t>
        </is>
      </c>
      <c r="K2704" s="10" t="inlineStr">
        <is>
          <t>N/A</t>
        </is>
      </c>
      <c r="L2704" s="10" t="inlineStr">
        <is>
          <t>Autocad, Bóc Tách Khối Lượng, Cơ Điện Lạnh, HVAC System, Tiếng Anh</t>
        </is>
      </c>
      <c r="M2704" s="10" t="inlineStr">
        <is>
          <t>Bonus, Healthcare Plan, Team Activities, Others</t>
        </is>
      </c>
      <c r="N2704" s="11">
        <f>HYPERLINK("https://www.vietnamworks.com/ky-su-co-djien-lanh-2011084-jv","Xem chi tiết")</f>
        <v/>
      </c>
      <c r="O2704" s="10" t="n"/>
    </row>
    <row r="2705">
      <c r="B2705" s="7" t="n">
        <v>2703</v>
      </c>
      <c r="C2705" t="inlineStr">
        <is>
          <t>Trợ Lý Kinh Doanh - Có Kinh Nghiệm Trong Lĩnh Vực Bất Động Sản</t>
        </is>
      </c>
      <c r="D2705" t="inlineStr">
        <is>
          <t>CÔNG TY CP DỊCH VỤ VÀ ĐẦU TƯ TÂN LONG</t>
        </is>
      </c>
      <c r="E2705" t="inlineStr">
        <is>
          <t>15tr-20tr ₫/tháng</t>
        </is>
      </c>
      <c r="F2705" t="inlineStr">
        <is>
          <t>Hà Nội</t>
        </is>
      </c>
      <c r="G2705" t="inlineStr">
        <is>
          <t>Nhân viên</t>
        </is>
      </c>
      <c r="H2705" t="inlineStr">
        <is>
          <t>10/02/2026</t>
        </is>
      </c>
      <c r="I2705" t="inlineStr">
        <is>
          <t>27/03/2026</t>
        </is>
      </c>
      <c r="J2705" t="inlineStr">
        <is>
          <t>17/03/2026</t>
        </is>
      </c>
      <c r="K2705" t="inlineStr">
        <is>
          <t>N/A</t>
        </is>
      </c>
      <c r="L2705" t="inlineStr">
        <is>
          <t>KỸ NĂNG THUYẾT PHỤC, Kỹ năng đàm phán, Tư Vấn Luật, Soạn Thảo Hợp Đồng, Bất Động Sản</t>
        </is>
      </c>
      <c r="M2705" t="inlineStr">
        <is>
          <t>Bonus, Healthcare Plan, Awards, Team Activities, Canteen, Others</t>
        </is>
      </c>
      <c r="N2705" s="8">
        <f>HYPERLINK("https://www.vietnamworks.com/tro-ly-kinh-doanh-co-kinh-nghiem-trong-linh-vuc-bat-djong-san-2011099-jv","Xem chi tiết")</f>
        <v/>
      </c>
    </row>
    <row r="2706">
      <c r="B2706" s="9" t="n">
        <v>2704</v>
      </c>
      <c r="C2706" s="10" t="inlineStr">
        <is>
          <t>Phát Triển Dự Án</t>
        </is>
      </c>
      <c r="D2706" s="10" t="inlineStr">
        <is>
          <t>Công ty TNHH Phát triển Đô thị Eudora</t>
        </is>
      </c>
      <c r="E2706" s="10" t="inlineStr">
        <is>
          <t>20tr-30tr ₫/tháng</t>
        </is>
      </c>
      <c r="F2706" s="10" t="inlineStr">
        <is>
          <t>Hà Nội, Phú Thọ, Quảng Trị</t>
        </is>
      </c>
      <c r="G2706" s="10" t="inlineStr">
        <is>
          <t>Nhân viên</t>
        </is>
      </c>
      <c r="H2706" s="10" t="inlineStr">
        <is>
          <t>10/02/2026</t>
        </is>
      </c>
      <c r="I2706" s="10" t="inlineStr">
        <is>
          <t>27/03/2026</t>
        </is>
      </c>
      <c r="J2706" s="10" t="inlineStr">
        <is>
          <t>17/03/2026</t>
        </is>
      </c>
      <c r="K2706" s="10" t="inlineStr">
        <is>
          <t>N/A</t>
        </is>
      </c>
      <c r="L2706" s="10" t="inlineStr">
        <is>
          <t>AutoCAD, Luật Xây Dựng, Phân Tích Dự Án, Pháp Lý Xây Dựng, Soạn Thảo Văn Bản</t>
        </is>
      </c>
      <c r="M2706" s="10" t="inlineStr">
        <is>
          <t>Bonus, Healthcare Plan, Awards, Team Activities</t>
        </is>
      </c>
      <c r="N2706" s="11">
        <f>HYPERLINK("https://www.vietnamworks.com/phat-trien-du-an-2011076-jv","Xem chi tiết")</f>
        <v/>
      </c>
      <c r="O2706" s="10" t="n"/>
    </row>
    <row r="2707">
      <c r="B2707" s="7" t="n">
        <v>2705</v>
      </c>
      <c r="C2707" t="inlineStr">
        <is>
          <t>Quality Control and Quality Assurance Staff</t>
        </is>
      </c>
      <c r="D2707" t="inlineStr">
        <is>
          <t>Panasonic Industrial Devices Vietnam CO., LTD (PIDVN)</t>
        </is>
      </c>
      <c r="E2707" t="inlineStr">
        <is>
          <t>Thương lượng</t>
        </is>
      </c>
      <c r="F2707" t="inlineStr">
        <is>
          <t>Hà Nội</t>
        </is>
      </c>
      <c r="G2707" t="inlineStr">
        <is>
          <t>Nhân viên</t>
        </is>
      </c>
      <c r="H2707" t="inlineStr">
        <is>
          <t>10/02/2026</t>
        </is>
      </c>
      <c r="I2707" t="inlineStr">
        <is>
          <t>27/03/2026</t>
        </is>
      </c>
      <c r="J2707" t="inlineStr">
        <is>
          <t>17/03/2026</t>
        </is>
      </c>
      <c r="K2707" t="inlineStr">
        <is>
          <t>N/A</t>
        </is>
      </c>
      <c r="L2707" t="inlineStr">
        <is>
          <t>Quality Control, Quality Assurance, Relay Protection, Qa/Qc Management, English</t>
        </is>
      </c>
      <c r="M2707" t="inlineStr">
        <is>
          <t>Bonus, Training, Transportation</t>
        </is>
      </c>
      <c r="N2707" s="8">
        <f>HYPERLINK("https://www.vietnamworks.com/quality-control-and-quality-assurance-staff-2011111-jv","Xem chi tiết")</f>
        <v/>
      </c>
    </row>
    <row r="2708">
      <c r="B2708" s="9" t="n">
        <v>2706</v>
      </c>
      <c r="C2708" s="10" t="inlineStr">
        <is>
          <t>Marketing Team Lead (Branding/ecommerce)</t>
        </is>
      </c>
      <c r="D2708" s="10" t="inlineStr">
        <is>
          <t>Công ty Cổ phần Sản xuất Tóc APOGROUP</t>
        </is>
      </c>
      <c r="E2708" s="10" t="inlineStr">
        <is>
          <t>Thương lượng</t>
        </is>
      </c>
      <c r="F2708" s="10" t="inlineStr">
        <is>
          <t>Hà Nội</t>
        </is>
      </c>
      <c r="G2708" s="10" t="inlineStr">
        <is>
          <t>Nhân viên</t>
        </is>
      </c>
      <c r="H2708" s="10" t="inlineStr">
        <is>
          <t>10/02/2026</t>
        </is>
      </c>
      <c r="I2708" s="10" t="inlineStr">
        <is>
          <t>27/03/2026</t>
        </is>
      </c>
      <c r="J2708" s="10" t="inlineStr">
        <is>
          <t>17/03/2026</t>
        </is>
      </c>
      <c r="K2708" s="10" t="inlineStr">
        <is>
          <t>N/A</t>
        </is>
      </c>
      <c r="L2708" s="10" t="inlineStr">
        <is>
          <t>Branding Marketing, Digital Marketing, International Marketing</t>
        </is>
      </c>
      <c r="M2708" s="10" t="inlineStr">
        <is>
          <t>Bonus, Healthcare Plan, Team Activities, Others</t>
        </is>
      </c>
      <c r="N2708" s="11">
        <f>HYPERLINK("https://www.vietnamworks.com/marketing-team-lead-branding-ecommerce-2011117-jv","Xem chi tiết")</f>
        <v/>
      </c>
      <c r="O2708" s="10" t="n"/>
    </row>
    <row r="2709">
      <c r="B2709" s="7" t="n">
        <v>2707</v>
      </c>
      <c r="C2709" t="inlineStr">
        <is>
          <t>Nhân Viên Kinh Doanh Xuất Khẩu B2C (Anh/Pháp/Tây Ban Nha)</t>
        </is>
      </c>
      <c r="D2709" t="inlineStr">
        <is>
          <t>Công ty Cổ phần Sản xuất Tóc APOGROUP</t>
        </is>
      </c>
      <c r="E2709" t="inlineStr">
        <is>
          <t>Thương lượng</t>
        </is>
      </c>
      <c r="F2709" t="inlineStr">
        <is>
          <t>Hà Nội</t>
        </is>
      </c>
      <c r="G2709" t="inlineStr">
        <is>
          <t>Mới Tốt Nghiệp</t>
        </is>
      </c>
      <c r="H2709" t="inlineStr">
        <is>
          <t>10/02/2026</t>
        </is>
      </c>
      <c r="I2709" t="inlineStr">
        <is>
          <t>27/03/2026</t>
        </is>
      </c>
      <c r="J2709" t="inlineStr">
        <is>
          <t>17/03/2026</t>
        </is>
      </c>
      <c r="K2709" t="inlineStr">
        <is>
          <t>N/A</t>
        </is>
      </c>
      <c r="L2709" t="inlineStr">
        <is>
          <t>B2C, B2C Sales, Giao Tiếp Tiếng Anh, Kinh Doanh, Kinh Doanh Xuất Nhập Khẩu</t>
        </is>
      </c>
      <c r="M2709" t="inlineStr">
        <is>
          <t>Bonus, Healthcare Plan, Others</t>
        </is>
      </c>
      <c r="N2709" s="8">
        <f>HYPERLINK("https://www.vietnamworks.com/nhan-vien-kinh-doanh-xuat-khau-b2c-anhphaptay-ban-nha-2011118-jv","Xem chi tiết")</f>
        <v/>
      </c>
    </row>
    <row r="2710">
      <c r="B2710" s="9" t="n">
        <v>2708</v>
      </c>
      <c r="C2710" s="10" t="inlineStr">
        <is>
          <t>Admin - Xuất Nhập Khẩu/ Admin Office - Import/Export Specialist</t>
        </is>
      </c>
      <c r="D2710" s="10" t="inlineStr">
        <is>
          <t>CÔNG TY TNHH SUN LEE FOOD VIỆT NAM</t>
        </is>
      </c>
      <c r="E2710" s="10" t="inlineStr">
        <is>
          <t>Từ 12tr ₫/tháng</t>
        </is>
      </c>
      <c r="F2710" s="10" t="inlineStr">
        <is>
          <t>Hồ Chí Minh</t>
        </is>
      </c>
      <c r="G2710" s="10" t="inlineStr">
        <is>
          <t>Nhân viên</t>
        </is>
      </c>
      <c r="H2710" s="10" t="inlineStr">
        <is>
          <t>10/02/2026</t>
        </is>
      </c>
      <c r="I2710" s="10" t="inlineStr">
        <is>
          <t>27/03/2026</t>
        </is>
      </c>
      <c r="J2710" s="10" t="inlineStr">
        <is>
          <t>17/03/2026</t>
        </is>
      </c>
      <c r="K2710" s="10" t="inlineStr">
        <is>
          <t>N/A</t>
        </is>
      </c>
      <c r="L2710" s="10" t="inlineStr">
        <is>
          <t>Admin Support, Giao Tiếp Tiếng Anh, Hồ Sơ Xuất Khẩu, Theo Dõi Đơn Hàng</t>
        </is>
      </c>
      <c r="M2710" s="10" t="inlineStr">
        <is>
          <t>Healthcare Plan, Paid Leave, Training, Others</t>
        </is>
      </c>
      <c r="N2710" s="11">
        <f>HYPERLINK("https://www.vietnamworks.com/admin-xuat-nhap-khau-admin-office-importexport-specialist-2011113-jv","Xem chi tiết")</f>
        <v/>
      </c>
      <c r="O2710" s="10" t="n"/>
    </row>
    <row r="2711">
      <c r="B2711" s="7" t="n">
        <v>2709</v>
      </c>
      <c r="C2711" t="inlineStr">
        <is>
          <t>Legal Senior Assistant - Chuyên Viên Pháp Chế</t>
        </is>
      </c>
      <c r="D2711" t="inlineStr">
        <is>
          <t>Lotte Shopping Plaza Vietnam</t>
        </is>
      </c>
      <c r="E2711" t="inlineStr">
        <is>
          <t>Thương lượng</t>
        </is>
      </c>
      <c r="F2711" t="inlineStr">
        <is>
          <t>Hà Nội</t>
        </is>
      </c>
      <c r="G2711" t="inlineStr">
        <is>
          <t>Nhân viên</t>
        </is>
      </c>
      <c r="H2711" t="inlineStr">
        <is>
          <t>10/02/2026</t>
        </is>
      </c>
      <c r="I2711" t="inlineStr">
        <is>
          <t>27/03/2026</t>
        </is>
      </c>
      <c r="J2711" t="inlineStr">
        <is>
          <t>17/03/2026</t>
        </is>
      </c>
      <c r="K2711" t="inlineStr">
        <is>
          <t>N/A</t>
        </is>
      </c>
      <c r="L2711" t="inlineStr">
        <is>
          <t>Communication Skills, Compliance Checking, Contract Negotiation, Document Management, Legal Advise</t>
        </is>
      </c>
      <c r="M2711" t="inlineStr">
        <is>
          <t>Bonus, Healthcare Plan, Paid Leave, Training, Team Activities</t>
        </is>
      </c>
      <c r="N2711" s="8">
        <f>HYPERLINK("https://www.vietnamworks.com/legal-senior-assistant-chuyen-vien-phap-che-2011102-jv","Xem chi tiết")</f>
        <v/>
      </c>
    </row>
    <row r="2712">
      <c r="B2712" s="9" t="n">
        <v>2710</v>
      </c>
      <c r="C2712" s="10" t="inlineStr">
        <is>
          <t>C&amp;B (Payroll) Specialist Chinese Speaking</t>
        </is>
      </c>
      <c r="D2712" s="10" t="inlineStr">
        <is>
          <t>Fushan Technology Vietnam</t>
        </is>
      </c>
      <c r="E2712" s="10" t="inlineStr">
        <is>
          <t>Thương lượng</t>
        </is>
      </c>
      <c r="F2712" s="10" t="inlineStr">
        <is>
          <t>Bắc Ninh, Hà Nội, Bắc Giang</t>
        </is>
      </c>
      <c r="G2712" s="10" t="inlineStr">
        <is>
          <t>Nhân viên</t>
        </is>
      </c>
      <c r="H2712" s="10" t="inlineStr">
        <is>
          <t>10/02/2026</t>
        </is>
      </c>
      <c r="I2712" s="10" t="inlineStr">
        <is>
          <t>27/03/2026</t>
        </is>
      </c>
      <c r="J2712" s="10" t="inlineStr">
        <is>
          <t>17/03/2026</t>
        </is>
      </c>
      <c r="K2712" s="10" t="inlineStr">
        <is>
          <t>N/A</t>
        </is>
      </c>
      <c r="L2712" s="10" t="inlineStr">
        <is>
          <t>Payroll, Phân Tích Chi Phí, Quyết Toán Thuế, Tiếng Trung, Tính Lương</t>
        </is>
      </c>
      <c r="M2712" s="10" t="inlineStr">
        <is>
          <t>Healthcare Plan, Awards, Laptop</t>
        </is>
      </c>
      <c r="N2712" s="11">
        <f>HYPERLINK("https://www.vietnamworks.com/candb-payroll-specialist-chinese-speaking-2011125-jv","Xem chi tiết")</f>
        <v/>
      </c>
      <c r="O2712" s="10" t="n"/>
    </row>
    <row r="2713">
      <c r="B2713" s="7" t="n">
        <v>2711</v>
      </c>
      <c r="C2713" t="inlineStr">
        <is>
          <t>[Victoria's Secret] - Store Supervisor</t>
        </is>
      </c>
      <c r="D2713" t="inlineStr">
        <is>
          <t>CÔNG TY TNHH UNIVERSAL SELARAS VIỆT NAM</t>
        </is>
      </c>
      <c r="E2713" t="inlineStr">
        <is>
          <t>Thương lượng</t>
        </is>
      </c>
      <c r="F2713" t="inlineStr">
        <is>
          <t>Hồ Chí Minh, Đà Nẵng</t>
        </is>
      </c>
      <c r="G2713" t="inlineStr">
        <is>
          <t>Trưởng phòng</t>
        </is>
      </c>
      <c r="H2713" t="inlineStr">
        <is>
          <t>10/02/2026</t>
        </is>
      </c>
      <c r="I2713" t="inlineStr">
        <is>
          <t>27/03/2026</t>
        </is>
      </c>
      <c r="J2713" t="inlineStr">
        <is>
          <t>17/03/2026</t>
        </is>
      </c>
      <c r="K2713" t="inlineStr">
        <is>
          <t>N/A</t>
        </is>
      </c>
      <c r="L2713" t="inlineStr">
        <is>
          <t>Inventory Management, Sales Target, Visual Merchandising, Customer Service, Teamwork</t>
        </is>
      </c>
      <c r="M2713" t="inlineStr">
        <is>
          <t>Bonus, Healthcare Plan, Vouchers</t>
        </is>
      </c>
      <c r="N2713" s="8">
        <f>HYPERLINK("https://www.vietnamworks.com/victorias-secret-store-supervisor-2011107-jv","Xem chi tiết")</f>
        <v/>
      </c>
    </row>
    <row r="2714">
      <c r="B2714" s="9" t="n">
        <v>2712</v>
      </c>
      <c r="C2714" s="10" t="inlineStr">
        <is>
          <t>Purchasing Supervisor (Sourcing)</t>
        </is>
      </c>
      <c r="D2714" s="10" t="inlineStr">
        <is>
          <t>Panasonic Industrial Devices Vietnam CO., LTD (PIDVN)</t>
        </is>
      </c>
      <c r="E2714" s="10" t="inlineStr">
        <is>
          <t>Thương lượng</t>
        </is>
      </c>
      <c r="F2714" s="10" t="inlineStr">
        <is>
          <t>Hà Nội</t>
        </is>
      </c>
      <c r="G2714" s="10" t="inlineStr">
        <is>
          <t>Nhân viên</t>
        </is>
      </c>
      <c r="H2714" s="10" t="inlineStr">
        <is>
          <t>10/02/2026</t>
        </is>
      </c>
      <c r="I2714" s="10" t="inlineStr">
        <is>
          <t>27/03/2026</t>
        </is>
      </c>
      <c r="J2714" s="10" t="inlineStr">
        <is>
          <t>17/03/2026</t>
        </is>
      </c>
      <c r="K2714" s="10" t="inlineStr">
        <is>
          <t>N/A</t>
        </is>
      </c>
      <c r="L2714" s="10" t="inlineStr">
        <is>
          <t>Supplier Management, Purchase Management, Mua Hàng, Cost Control, Japanese</t>
        </is>
      </c>
      <c r="M2714" s="10" t="inlineStr">
        <is>
          <t>Bonus, Training, Transportation</t>
        </is>
      </c>
      <c r="N2714" s="11">
        <f>HYPERLINK("https://www.vietnamworks.com/purchasing-supervisor-sourcing-2011112-jv","Xem chi tiết")</f>
        <v/>
      </c>
      <c r="O2714" s="10" t="n"/>
    </row>
    <row r="2715">
      <c r="B2715" s="7" t="n">
        <v>2713</v>
      </c>
      <c r="C2715" t="inlineStr">
        <is>
          <t>Nhân Viên Đảm Bảo Chất Lượng - QA Staff</t>
        </is>
      </c>
      <c r="D2715" t="inlineStr">
        <is>
          <t>Bando Manufacturing (Viet Nam) Co.,Ltd</t>
        </is>
      </c>
      <c r="E2715" t="inlineStr">
        <is>
          <t>$$ 300-500 /tháng</t>
        </is>
      </c>
      <c r="F2715" t="inlineStr">
        <is>
          <t>Hưng Yên</t>
        </is>
      </c>
      <c r="G2715" t="inlineStr">
        <is>
          <t>Nhân viên</t>
        </is>
      </c>
      <c r="H2715" t="inlineStr">
        <is>
          <t>10/02/2026</t>
        </is>
      </c>
      <c r="I2715" t="inlineStr">
        <is>
          <t>27/03/2026</t>
        </is>
      </c>
      <c r="J2715" t="inlineStr">
        <is>
          <t>17/03/2026</t>
        </is>
      </c>
      <c r="K2715" t="inlineStr">
        <is>
          <t>N/A</t>
        </is>
      </c>
      <c r="L2715" t="inlineStr">
        <is>
          <t>Đảm Bảo Chất Lượng, Quality Assurance, QC, QA, ISO Procedure</t>
        </is>
      </c>
      <c r="M2715" t="inlineStr">
        <is>
          <t>Bonus, Travel Opportunities</t>
        </is>
      </c>
      <c r="N2715" s="8">
        <f>HYPERLINK("https://www.vietnamworks.com/nhan-vien-dam-bao-chat-luong-qa-staff--2011124-jv","Xem chi tiết")</f>
        <v/>
      </c>
    </row>
    <row r="2716">
      <c r="B2716" s="9" t="n">
        <v>2714</v>
      </c>
      <c r="C2716" s="10" t="inlineStr">
        <is>
          <t>Trưởng Nhóm Hành Chính</t>
        </is>
      </c>
      <c r="D2716" s="10" t="inlineStr">
        <is>
          <t>Công ty CP Công nghệ giáo dục Trường học trực tuyến</t>
        </is>
      </c>
      <c r="E2716" s="10" t="inlineStr">
        <is>
          <t>15tr-17tr ₫/tháng</t>
        </is>
      </c>
      <c r="F2716" s="10" t="inlineStr">
        <is>
          <t>Hà Nội</t>
        </is>
      </c>
      <c r="G2716" s="10" t="inlineStr">
        <is>
          <t>Nhân viên</t>
        </is>
      </c>
      <c r="H2716" s="10" t="inlineStr">
        <is>
          <t>10/02/2026</t>
        </is>
      </c>
      <c r="I2716" s="10" t="inlineStr">
        <is>
          <t>27/03/2026</t>
        </is>
      </c>
      <c r="J2716" s="10" t="inlineStr">
        <is>
          <t>17/03/2026</t>
        </is>
      </c>
      <c r="K2716" s="10" t="inlineStr">
        <is>
          <t>N/A</t>
        </is>
      </c>
      <c r="L2716" s="10" t="inlineStr">
        <is>
          <t>Giao Tiếp, Quản Lý Nhân Sự, Thành thạo tin học văn phòng, Tổ Chức Sự Kiện, Xử Lý Tình Huống</t>
        </is>
      </c>
      <c r="M2716" s="10" t="inlineStr">
        <is>
          <t>Bonus, Healthcare Plan, Paid Leave, Travel Opportunities, Team Activities, Canteen, Others</t>
        </is>
      </c>
      <c r="N2716" s="11">
        <f>HYPERLINK("https://www.vietnamworks.com/truong-nhom-hanh-chinh-2011103-jv","Xem chi tiết")</f>
        <v/>
      </c>
      <c r="O2716" s="10" t="n"/>
    </row>
    <row r="2717">
      <c r="B2717" s="7" t="n">
        <v>2715</v>
      </c>
      <c r="C2717" t="inlineStr">
        <is>
          <t>[Victoria's Secret] - Assistant Store Supervisor</t>
        </is>
      </c>
      <c r="D2717" t="inlineStr">
        <is>
          <t>CÔNG TY TNHH UNIVERSAL SELARAS VIỆT NAM</t>
        </is>
      </c>
      <c r="E2717" t="inlineStr">
        <is>
          <t>Thương lượng</t>
        </is>
      </c>
      <c r="F2717" t="inlineStr">
        <is>
          <t>Hồ Chí Minh, Đà Nẵng</t>
        </is>
      </c>
      <c r="G2717" t="inlineStr">
        <is>
          <t>Trưởng phòng</t>
        </is>
      </c>
      <c r="H2717" t="inlineStr">
        <is>
          <t>10/02/2026</t>
        </is>
      </c>
      <c r="I2717" t="inlineStr">
        <is>
          <t>27/03/2026</t>
        </is>
      </c>
      <c r="J2717" t="inlineStr">
        <is>
          <t>17/03/2026</t>
        </is>
      </c>
      <c r="K2717" t="inlineStr">
        <is>
          <t>N/A</t>
        </is>
      </c>
      <c r="L2717" t="inlineStr">
        <is>
          <t>Customer Service, Sales Development, Organizational skills, Time Management, Teamwork</t>
        </is>
      </c>
      <c r="M2717" t="inlineStr">
        <is>
          <t>Bonus, Healthcare Plan, Vouchers</t>
        </is>
      </c>
      <c r="N2717" s="8">
        <f>HYPERLINK("https://www.vietnamworks.com/victorias-secret-assistant-store-supervisor-2011104-jv","Xem chi tiết")</f>
        <v/>
      </c>
    </row>
    <row r="2718">
      <c r="B2718" s="9" t="n">
        <v>2716</v>
      </c>
      <c r="C2718" s="10" t="inlineStr">
        <is>
          <t>Electrical Distribution System (Design Engineer)</t>
        </is>
      </c>
      <c r="D2718" s="10" t="inlineStr">
        <is>
          <t>Yoosung KN Viet Nam Co., Ltd</t>
        </is>
      </c>
      <c r="E2718" s="10" t="inlineStr">
        <is>
          <t>Thương lượng</t>
        </is>
      </c>
      <c r="F2718" s="10" t="inlineStr">
        <is>
          <t>Hà Nội</t>
        </is>
      </c>
      <c r="G2718" s="10" t="inlineStr">
        <is>
          <t>Mới Tốt Nghiệp</t>
        </is>
      </c>
      <c r="H2718" s="10" t="inlineStr">
        <is>
          <t>10/02/2026</t>
        </is>
      </c>
      <c r="I2718" s="10" t="inlineStr">
        <is>
          <t>27/03/2026</t>
        </is>
      </c>
      <c r="J2718" s="10" t="inlineStr">
        <is>
          <t>17/03/2026</t>
        </is>
      </c>
      <c r="K2718" s="10" t="inlineStr">
        <is>
          <t>N/A</t>
        </is>
      </c>
      <c r="L2718" s="10" t="inlineStr">
        <is>
          <t>AutoCAD, ETAP, Kỹ Thuật Điện, Thiết Kế Hệ Thống, Tiếng Anh</t>
        </is>
      </c>
      <c r="M2718" s="10" t="inlineStr">
        <is>
          <t>Bonus, Paid Leave, Training, Mobile, Travel Opportunities, Transportation, Others</t>
        </is>
      </c>
      <c r="N2718" s="11">
        <f>HYPERLINK("https://www.vietnamworks.com/electrical-distribution-system-design-engineer-2011106-jv","Xem chi tiết")</f>
        <v/>
      </c>
      <c r="O2718" s="10" t="n"/>
    </row>
    <row r="2719">
      <c r="B2719" s="7" t="n">
        <v>2717</v>
      </c>
      <c r="C2719" t="inlineStr">
        <is>
          <t>Nhân Viên Thu Mua Xuất Nhập Khẩu</t>
        </is>
      </c>
      <c r="D2719" t="inlineStr">
        <is>
          <t>CÔNG TY CỔ PHẦN XUẤT NHẬP KHẨU CÔNG NGHỆ MIỀN NAM</t>
        </is>
      </c>
      <c r="E2719" t="inlineStr">
        <is>
          <t>Thương lượng</t>
        </is>
      </c>
      <c r="F2719" t="inlineStr">
        <is>
          <t>Hồ Chí Minh</t>
        </is>
      </c>
      <c r="G2719" t="inlineStr">
        <is>
          <t>Nhân viên</t>
        </is>
      </c>
      <c r="H2719" t="inlineStr">
        <is>
          <t>10/02/2026</t>
        </is>
      </c>
      <c r="I2719" t="inlineStr">
        <is>
          <t>27/03/2026</t>
        </is>
      </c>
      <c r="J2719" t="inlineStr">
        <is>
          <t>17/03/2026</t>
        </is>
      </c>
      <c r="K2719" t="inlineStr">
        <is>
          <t>N/A</t>
        </is>
      </c>
      <c r="L2719" t="inlineStr">
        <is>
          <t>Mua Hàng Nhập Khẩu, Xuất Nhập Khẩu, Buying and Merchandising, Vendor, Purchasing Coordination</t>
        </is>
      </c>
      <c r="M2719" t="inlineStr">
        <is>
          <t>Bonus, Healthcare Plan, Paid Leave</t>
        </is>
      </c>
      <c r="N2719" s="8">
        <f>HYPERLINK("https://www.vietnamworks.com/nhan-vien-thu-mua-xuat-nhap-khau--2011122-jv","Xem chi tiết")</f>
        <v/>
      </c>
    </row>
    <row r="2720">
      <c r="B2720" s="9" t="n">
        <v>2718</v>
      </c>
      <c r="C2720" s="10" t="inlineStr">
        <is>
          <t>Business Development Specialist (Live-Streaming &amp; MCN)</t>
        </is>
      </c>
      <c r="D2720" s="10" t="inlineStr">
        <is>
          <t>Mico World Limited</t>
        </is>
      </c>
      <c r="E2720" s="10" t="inlineStr">
        <is>
          <t>15tr-30tr ₫/tháng</t>
        </is>
      </c>
      <c r="F2720" s="10" t="inlineStr">
        <is>
          <t>Hồ Chí Minh</t>
        </is>
      </c>
      <c r="G2720" s="10" t="inlineStr">
        <is>
          <t>Mới Tốt Nghiệp</t>
        </is>
      </c>
      <c r="H2720" s="10" t="inlineStr">
        <is>
          <t>10/02/2026</t>
        </is>
      </c>
      <c r="I2720" s="10" t="inlineStr">
        <is>
          <t>27/03/2026</t>
        </is>
      </c>
      <c r="J2720" s="10" t="inlineStr">
        <is>
          <t>17/03/2026</t>
        </is>
      </c>
      <c r="K2720" s="10" t="inlineStr">
        <is>
          <t>N/A</t>
        </is>
      </c>
      <c r="L2720" s="10" t="inlineStr">
        <is>
          <t>Kol Relationship Management, Live Streaming, Business Development, Social Media Trends, Talent Management</t>
        </is>
      </c>
      <c r="M2720" s="10" t="inlineStr">
        <is>
          <t>Bonus, Travel Opportunities, Team Activities</t>
        </is>
      </c>
      <c r="N2720" s="11">
        <f>HYPERLINK("https://www.vietnamworks.com/business-development-specialist-live-streaming-and-mcn-2011101-jv","Xem chi tiết")</f>
        <v/>
      </c>
      <c r="O2720" s="10" t="n"/>
    </row>
    <row r="2721">
      <c r="B2721" s="7" t="n">
        <v>2719</v>
      </c>
      <c r="C2721" t="inlineStr">
        <is>
          <t>Nhân Viên Ads (Đa Nền Tảng)</t>
        </is>
      </c>
      <c r="D2721" t="inlineStr">
        <is>
          <t>Công ty Cổ phần Sản xuất Tóc APOGROUP</t>
        </is>
      </c>
      <c r="E2721" t="inlineStr">
        <is>
          <t>Thương lượng</t>
        </is>
      </c>
      <c r="F2721" t="inlineStr">
        <is>
          <t>Hà Nội</t>
        </is>
      </c>
      <c r="G2721" t="inlineStr">
        <is>
          <t>Nhân viên</t>
        </is>
      </c>
      <c r="H2721" t="inlineStr">
        <is>
          <t>10/02/2026</t>
        </is>
      </c>
      <c r="I2721" t="inlineStr">
        <is>
          <t>27/03/2026</t>
        </is>
      </c>
      <c r="J2721" t="inlineStr">
        <is>
          <t>17/03/2026</t>
        </is>
      </c>
      <c r="K2721" t="inlineStr">
        <is>
          <t>N/A</t>
        </is>
      </c>
      <c r="L2721" t="inlineStr">
        <is>
          <t>Ads Campaigns, Phân Tích Chiến Lược, Phân Tích Dữ Liệu, Quảng Cáo, Viết Nội Dung Quảng Cáo</t>
        </is>
      </c>
      <c r="M2721" t="inlineStr">
        <is>
          <t>Bonus, Healthcare Plan, Others</t>
        </is>
      </c>
      <c r="N2721" s="8">
        <f>HYPERLINK("https://www.vietnamworks.com/nhan-vien-ads-dja-nen-tang-2011121-jv","Xem chi tiết")</f>
        <v/>
      </c>
    </row>
    <row r="2722">
      <c r="B2722" s="9" t="n">
        <v>2720</v>
      </c>
      <c r="C2722" s="10" t="inlineStr">
        <is>
          <t>Planning Engineer/Kỹ sư lập kế hoạch</t>
        </is>
      </c>
      <c r="D2722" s="10" t="inlineStr">
        <is>
          <t>KIRBY SOUTHEAST ASIA CO., LTD</t>
        </is>
      </c>
      <c r="E2722" s="10" t="inlineStr">
        <is>
          <t>Thương lượng</t>
        </is>
      </c>
      <c r="F2722" s="10" t="inlineStr">
        <is>
          <t>Đồng Nai</t>
        </is>
      </c>
      <c r="G2722" s="10" t="inlineStr">
        <is>
          <t>Nhân viên</t>
        </is>
      </c>
      <c r="H2722" s="10" t="inlineStr">
        <is>
          <t>10/02/2026</t>
        </is>
      </c>
      <c r="I2722" s="10" t="inlineStr">
        <is>
          <t>27/03/2026</t>
        </is>
      </c>
      <c r="J2722" s="10" t="inlineStr">
        <is>
          <t>17/03/2026</t>
        </is>
      </c>
      <c r="K2722" s="10" t="inlineStr">
        <is>
          <t>N/A</t>
        </is>
      </c>
      <c r="L2722" s="10" t="inlineStr">
        <is>
          <t>Cad Proficiency, Material Management, Production Schedule, Project Planning, Time Management</t>
        </is>
      </c>
      <c r="M2722" s="10" t="inlineStr">
        <is>
          <t>Healthcare Plan, Paid Leave, Transportation, Canteen</t>
        </is>
      </c>
      <c r="N2722" s="11">
        <f>HYPERLINK("https://www.vietnamworks.com/planning-engineerky-su-lap-ke-hoach-2011130-jv","Xem chi tiết")</f>
        <v/>
      </c>
      <c r="O2722" s="10" t="n"/>
    </row>
    <row r="2723">
      <c r="B2723" s="7" t="n">
        <v>2721</v>
      </c>
      <c r="C2723" t="inlineStr">
        <is>
          <t>Nhân Viên Kinh Doanh Quốc Tế B2B (tiếng Nhật)</t>
        </is>
      </c>
      <c r="D2723" t="inlineStr">
        <is>
          <t>Công ty Cổ phần Sản xuất Tóc APOGROUP</t>
        </is>
      </c>
      <c r="E2723" t="inlineStr">
        <is>
          <t>Thương lượng</t>
        </is>
      </c>
      <c r="F2723" t="inlineStr">
        <is>
          <t>Hà Nội</t>
        </is>
      </c>
      <c r="G2723" t="inlineStr">
        <is>
          <t>Nhân viên</t>
        </is>
      </c>
      <c r="H2723" t="inlineStr">
        <is>
          <t>10/02/2026</t>
        </is>
      </c>
      <c r="I2723" t="inlineStr">
        <is>
          <t>27/03/2026</t>
        </is>
      </c>
      <c r="J2723" t="inlineStr">
        <is>
          <t>17/03/2026</t>
        </is>
      </c>
      <c r="K2723" t="inlineStr">
        <is>
          <t>N/A</t>
        </is>
      </c>
      <c r="L2723" t="inlineStr">
        <is>
          <t>B2B, Kinh Doanh, Kinh Doanh Quốc Tế, Phát Triển Khách Hàng, Tiếng Nhật</t>
        </is>
      </c>
      <c r="M2723" t="inlineStr">
        <is>
          <t>Bonus, Healthcare Plan, Others</t>
        </is>
      </c>
      <c r="N2723" s="8">
        <f>HYPERLINK("https://www.vietnamworks.com/nhan-vien-kinh-doanh-quoc-te-b2b-tieng-nhat-2011120-jv","Xem chi tiết")</f>
        <v/>
      </c>
    </row>
    <row r="2724">
      <c r="B2724" s="9" t="n">
        <v>2722</v>
      </c>
      <c r="C2724" s="10" t="inlineStr">
        <is>
          <t>Head Of Corporate Operations</t>
        </is>
      </c>
      <c r="D2724" s="10" t="inlineStr">
        <is>
          <t>Công Ty TNHH Money Forward Việt Nam</t>
        </is>
      </c>
      <c r="E2724" s="10" t="inlineStr">
        <is>
          <t>Thương lượng</t>
        </is>
      </c>
      <c r="F2724" s="10" t="inlineStr">
        <is>
          <t>Hồ Chí Minh</t>
        </is>
      </c>
      <c r="G2724" s="10" t="inlineStr">
        <is>
          <t>Trưởng phòng</t>
        </is>
      </c>
      <c r="H2724" s="10" t="inlineStr">
        <is>
          <t>10/02/2026</t>
        </is>
      </c>
      <c r="I2724" s="10" t="inlineStr">
        <is>
          <t>27/03/2026</t>
        </is>
      </c>
      <c r="J2724" s="10" t="inlineStr">
        <is>
          <t>17/03/2026</t>
        </is>
      </c>
      <c r="K2724" s="10" t="inlineStr">
        <is>
          <t>N/A</t>
        </is>
      </c>
      <c r="L2724" s="10" t="inlineStr">
        <is>
          <t>Back Office Organization, Corporate Governance, Corporate Operation, Leadership, Risk Compliance</t>
        </is>
      </c>
      <c r="M2724" s="10" t="inlineStr">
        <is>
          <t>Bonus, Healthcare Plan, Paid Leave, Training, Awards, Laptop, Team Activities</t>
        </is>
      </c>
      <c r="N2724" s="11">
        <f>HYPERLINK("https://www.vietnamworks.com/head-of-corporate-operations-2011123-jv","Xem chi tiết")</f>
        <v/>
      </c>
      <c r="O2724" s="10" t="n"/>
    </row>
    <row r="2725">
      <c r="B2725" s="7" t="n">
        <v>2723</v>
      </c>
      <c r="C2725" t="inlineStr">
        <is>
          <t>Giám Sát Hệ Thống Xử Lý Chất Thải</t>
        </is>
      </c>
      <c r="D2725" t="inlineStr">
        <is>
          <t>Công Ty Cổ phẩn MASAN MEATLife</t>
        </is>
      </c>
      <c r="E2725" t="inlineStr">
        <is>
          <t>$$ 1,000-2,000 /tháng</t>
        </is>
      </c>
      <c r="F2725" t="inlineStr">
        <is>
          <t>Nghệ An</t>
        </is>
      </c>
      <c r="G2725" t="inlineStr">
        <is>
          <t>Trưởng phòng</t>
        </is>
      </c>
      <c r="H2725" t="inlineStr">
        <is>
          <t>10/02/2026</t>
        </is>
      </c>
      <c r="I2725" t="inlineStr">
        <is>
          <t>27/03/2026</t>
        </is>
      </c>
      <c r="J2725" t="inlineStr">
        <is>
          <t>17/03/2026</t>
        </is>
      </c>
      <c r="K2725" t="inlineStr">
        <is>
          <t>N/A</t>
        </is>
      </c>
      <c r="L2725" t="inlineStr">
        <is>
          <t>Lãnh đạo và xây dựng đội ngũ, Tư Duy Chiến Lược, Trách Nhiệm Cao</t>
        </is>
      </c>
      <c r="M2725" t="inlineStr">
        <is>
          <t>Bonus, Healthcare Plan, Training</t>
        </is>
      </c>
      <c r="N2725" s="8">
        <f>HYPERLINK("https://www.vietnamworks.com/giam-sat-he-thong-xu-ly-chat-thai-2011126-jv","Xem chi tiết")</f>
        <v/>
      </c>
    </row>
    <row r="2726">
      <c r="B2726" s="9" t="n">
        <v>2724</v>
      </c>
      <c r="C2726" s="10" t="inlineStr">
        <is>
          <t>Giám Đốc Vận Hành</t>
        </is>
      </c>
      <c r="D2726" s="10" t="inlineStr">
        <is>
          <t>Công Ty Cổ Phần Dewoo</t>
        </is>
      </c>
      <c r="E2726" s="10" t="inlineStr">
        <is>
          <t>Thương lượng</t>
        </is>
      </c>
      <c r="F2726" s="10" t="inlineStr">
        <is>
          <t>Đà Nẵng, Quảng Nam</t>
        </is>
      </c>
      <c r="G2726" s="10" t="inlineStr">
        <is>
          <t>Giám Đốc và Cấp Cao Hơn</t>
        </is>
      </c>
      <c r="H2726" s="10" t="inlineStr">
        <is>
          <t>10/02/2026</t>
        </is>
      </c>
      <c r="I2726" s="10" t="inlineStr">
        <is>
          <t>27/03/2026</t>
        </is>
      </c>
      <c r="J2726" s="10" t="inlineStr">
        <is>
          <t>17/03/2026</t>
        </is>
      </c>
      <c r="K2726" s="10" t="inlineStr">
        <is>
          <t>N/A</t>
        </is>
      </c>
      <c r="L2726" s="10" t="inlineStr">
        <is>
          <t>Quản Lý Sản Xuất, Hoạch Định Ngân Sách, Vận Hành Sản Xuất, ERP System, Quản Lý Vận Hành</t>
        </is>
      </c>
      <c r="M2726" s="10" t="inlineStr">
        <is>
          <t>Bonus, Healthcare Plan, Training, Team Activities, Others</t>
        </is>
      </c>
      <c r="N2726" s="11">
        <f>HYPERLINK("https://www.vietnamworks.com/giam-djoc-van-hanh-2011129-jv","Xem chi tiết")</f>
        <v/>
      </c>
      <c r="O2726" s="10" t="n"/>
    </row>
    <row r="2727">
      <c r="B2727" s="7" t="n">
        <v>2725</v>
      </c>
      <c r="C2727" t="inlineStr">
        <is>
          <t>Nhân Viên Kinh Doanh Logistics</t>
        </is>
      </c>
      <c r="D2727" t="inlineStr">
        <is>
          <t>Công Ty TNHH Thương Mại &amp; Dịch Vụ Ael</t>
        </is>
      </c>
      <c r="E2727" t="inlineStr">
        <is>
          <t>Thương lượng</t>
        </is>
      </c>
      <c r="F2727" t="inlineStr">
        <is>
          <t>Hồ Chí Minh</t>
        </is>
      </c>
      <c r="G2727" t="inlineStr">
        <is>
          <t>Nhân viên</t>
        </is>
      </c>
      <c r="H2727" t="inlineStr">
        <is>
          <t>10/02/2026</t>
        </is>
      </c>
      <c r="I2727" t="inlineStr">
        <is>
          <t>27/03/2026</t>
        </is>
      </c>
      <c r="J2727" t="inlineStr">
        <is>
          <t>17/03/2026</t>
        </is>
      </c>
      <c r="K2727" t="inlineStr">
        <is>
          <t>N/A</t>
        </is>
      </c>
      <c r="L2727" t="inlineStr">
        <is>
          <t>Tiếng Anh thành thạo, Tin Học Văn Phòng, Giao Tiếp Tốt</t>
        </is>
      </c>
      <c r="M2727" t="inlineStr">
        <is>
          <t>Bonus, Healthcare Plan, Training</t>
        </is>
      </c>
      <c r="N2727" s="8">
        <f>HYPERLINK("https://www.vietnamworks.com/nhan-vien-kinh-doanh-logistics--2011137-jv","Xem chi tiết")</f>
        <v/>
      </c>
    </row>
    <row r="2728">
      <c r="B2728" s="9" t="n">
        <v>2726</v>
      </c>
      <c r="C2728" s="10" t="inlineStr">
        <is>
          <t>Giám Sát Sản Xuất (Production Supervisor)</t>
        </is>
      </c>
      <c r="D2728" s="10" t="inlineStr">
        <is>
          <t>Công Ty TNHH Drilube Việt Nam</t>
        </is>
      </c>
      <c r="E2728" s="10" t="inlineStr">
        <is>
          <t>12tr-13tr ₫/tháng</t>
        </is>
      </c>
      <c r="F2728" s="10" t="inlineStr">
        <is>
          <t>Ninh Bình, Hà Nam</t>
        </is>
      </c>
      <c r="G2728" s="10" t="inlineStr">
        <is>
          <t>Nhân viên</t>
        </is>
      </c>
      <c r="H2728" s="10" t="inlineStr">
        <is>
          <t>10/02/2026</t>
        </is>
      </c>
      <c r="I2728" s="10" t="inlineStr">
        <is>
          <t>27/03/2026</t>
        </is>
      </c>
      <c r="J2728" s="10" t="inlineStr">
        <is>
          <t>17/03/2026</t>
        </is>
      </c>
      <c r="K2728" s="10" t="inlineStr">
        <is>
          <t>N/A</t>
        </is>
      </c>
      <c r="L2728" s="10" t="inlineStr">
        <is>
          <t>Production Management, Quản Lý Sản Xuất, Production Planning, MS Office, Phân Tích Lỗi</t>
        </is>
      </c>
      <c r="M2728" s="10" t="inlineStr">
        <is>
          <t>Bonus, Healthcare Plan, Training</t>
        </is>
      </c>
      <c r="N2728" s="11">
        <f>HYPERLINK("https://www.vietnamworks.com/giam-sat-san-xuat-production-supervisor--2011141-jv","Xem chi tiết")</f>
        <v/>
      </c>
      <c r="O2728" s="10" t="n"/>
    </row>
    <row r="2729">
      <c r="B2729" s="7" t="n">
        <v>2727</v>
      </c>
      <c r="C2729" t="inlineStr">
        <is>
          <t>Trưởng Phòng Tài Chính - Kế Toán Trưởng</t>
        </is>
      </c>
      <c r="D2729" t="inlineStr">
        <is>
          <t>Vietnamworks' Client</t>
        </is>
      </c>
      <c r="E2729" t="inlineStr">
        <is>
          <t>Thương lượng</t>
        </is>
      </c>
      <c r="F2729" t="inlineStr">
        <is>
          <t>Hà Nội</t>
        </is>
      </c>
      <c r="G2729" t="inlineStr">
        <is>
          <t>Trưởng phòng</t>
        </is>
      </c>
      <c r="H2729" t="inlineStr">
        <is>
          <t>10/02/2026</t>
        </is>
      </c>
      <c r="I2729" t="inlineStr">
        <is>
          <t>27/03/2026</t>
        </is>
      </c>
      <c r="J2729" t="inlineStr">
        <is>
          <t>17/03/2026</t>
        </is>
      </c>
      <c r="K2729" t="inlineStr">
        <is>
          <t>N/A</t>
        </is>
      </c>
      <c r="L2729" t="inlineStr">
        <is>
          <t>Kế Toán, Kiểm Toán, Đầu Tư, Excel, Quản Lý Tài Chính</t>
        </is>
      </c>
      <c r="M2729" t="inlineStr">
        <is>
          <t>Bonus, Healthcare Plan, Awards, Others</t>
        </is>
      </c>
      <c r="N2729" s="8">
        <f>HYPERLINK("https://www.vietnamworks.com/truong-phong-tai-chinh-ke-toan-truong-2011147-jv","Xem chi tiết")</f>
        <v/>
      </c>
    </row>
    <row r="2730">
      <c r="B2730" s="9" t="n">
        <v>2728</v>
      </c>
      <c r="C2730" s="10" t="inlineStr">
        <is>
          <t>Sr. PPC Supervisor/Giám Sát Kế Hoạch Sản Xuất</t>
        </is>
      </c>
      <c r="D2730" s="10" t="inlineStr">
        <is>
          <t>KIRBY SOUTHEAST ASIA CO., LTD</t>
        </is>
      </c>
      <c r="E2730" s="10" t="inlineStr">
        <is>
          <t>Thương lượng</t>
        </is>
      </c>
      <c r="F2730" s="10" t="inlineStr">
        <is>
          <t>Đồng Nai</t>
        </is>
      </c>
      <c r="G2730" s="10" t="inlineStr">
        <is>
          <t>Trưởng phòng</t>
        </is>
      </c>
      <c r="H2730" s="10" t="inlineStr">
        <is>
          <t>10/02/2026</t>
        </is>
      </c>
      <c r="I2730" s="10" t="inlineStr">
        <is>
          <t>27/03/2026</t>
        </is>
      </c>
      <c r="J2730" s="10" t="inlineStr">
        <is>
          <t>17/03/2026</t>
        </is>
      </c>
      <c r="K2730" s="10" t="inlineStr">
        <is>
          <t>N/A</t>
        </is>
      </c>
      <c r="L2730" s="10" t="inlineStr">
        <is>
          <t>Cad Proficiency, Delegate Management, Excel Proficiency, Production Planning, Resource Management</t>
        </is>
      </c>
      <c r="M2730" s="10" t="inlineStr">
        <is>
          <t>Healthcare Plan, Paid Leave, Transportation, Canteen</t>
        </is>
      </c>
      <c r="N2730" s="11">
        <f>HYPERLINK("https://www.vietnamworks.com/sr-ppc-supervisorgiam-sat-ke-hoach-san-xuat-2011149-jv","Xem chi tiết")</f>
        <v/>
      </c>
      <c r="O2730" s="10" t="n"/>
    </row>
    <row r="2731">
      <c r="B2731" s="7" t="n">
        <v>2729</v>
      </c>
      <c r="C2731" t="inlineStr">
        <is>
          <t>Senior Demand &amp; Supply Planner</t>
        </is>
      </c>
      <c r="D2731" t="inlineStr">
        <is>
          <t>CÔNG TY TNHH THỜI TRANG DANH GIÁ</t>
        </is>
      </c>
      <c r="E2731" t="inlineStr">
        <is>
          <t>$$ 800-1,100 /tháng</t>
        </is>
      </c>
      <c r="F2731" t="inlineStr">
        <is>
          <t>Hồ Chí Minh</t>
        </is>
      </c>
      <c r="G2731" t="inlineStr">
        <is>
          <t>Nhân viên</t>
        </is>
      </c>
      <c r="H2731" t="inlineStr">
        <is>
          <t>10/02/2026</t>
        </is>
      </c>
      <c r="I2731" t="inlineStr">
        <is>
          <t>27/03/2026</t>
        </is>
      </c>
      <c r="J2731" t="inlineStr">
        <is>
          <t>17/03/2026</t>
        </is>
      </c>
      <c r="K2731" t="inlineStr">
        <is>
          <t>N/A</t>
        </is>
      </c>
      <c r="L2731" t="inlineStr">
        <is>
          <t>Analytical, Demand Planning, Excel, Khai thác nhu cầu, Kế hoạch &amp; Báo cáo</t>
        </is>
      </c>
      <c r="M2731" t="inlineStr">
        <is>
          <t>Bonus, Training, Others</t>
        </is>
      </c>
      <c r="N2731" s="8">
        <f>HYPERLINK("https://www.vietnamworks.com/senior-demand-and-supply-planner-2011146-jv","Xem chi tiết")</f>
        <v/>
      </c>
    </row>
    <row r="2732">
      <c r="B2732" s="9" t="n">
        <v>2730</v>
      </c>
      <c r="C2732" s="10" t="inlineStr">
        <is>
          <t>Nhân Viên Xuất Nhập Khẩu &amp; Lập Kế Hoạch Sản Xuất (Import Export &amp; Production Planning Staff)</t>
        </is>
      </c>
      <c r="D2732" s="10" t="inlineStr">
        <is>
          <t>Công Ty TNHH Drilube Việt Nam</t>
        </is>
      </c>
      <c r="E2732" s="10" t="inlineStr">
        <is>
          <t>12tr-13tr ₫/tháng</t>
        </is>
      </c>
      <c r="F2732" s="10" t="inlineStr">
        <is>
          <t>Ninh Bình, Hà Nam</t>
        </is>
      </c>
      <c r="G2732" s="10" t="inlineStr">
        <is>
          <t>Nhân viên</t>
        </is>
      </c>
      <c r="H2732" s="10" t="inlineStr">
        <is>
          <t>10/02/2026</t>
        </is>
      </c>
      <c r="I2732" s="10" t="inlineStr">
        <is>
          <t>27/03/2026</t>
        </is>
      </c>
      <c r="J2732" s="10" t="inlineStr">
        <is>
          <t>17/03/2026</t>
        </is>
      </c>
      <c r="K2732" s="10" t="inlineStr">
        <is>
          <t>N/A</t>
        </is>
      </c>
      <c r="L2732" s="10" t="inlineStr">
        <is>
          <t>Production Management, Lập Kế Hoạch Sản Xuất, Thủ Tục Hải Quan, Luật Hải Quan, Tin Học Văn Phòng</t>
        </is>
      </c>
      <c r="M2732" s="10" t="inlineStr">
        <is>
          <t>Bonus, Healthcare Plan, Training</t>
        </is>
      </c>
      <c r="N2732" s="11">
        <f>HYPERLINK("https://www.vietnamworks.com/nhan-vien-xuat-nhap-khau-lap-ke-hoach-san-xuat-import-export-production-planning-staff-2011144-jv","Xem chi tiết")</f>
        <v/>
      </c>
      <c r="O2732" s="10" t="n"/>
    </row>
    <row r="2733">
      <c r="B2733" s="7" t="n">
        <v>2731</v>
      </c>
      <c r="C2733" t="inlineStr">
        <is>
          <t>Kiến Trúc Sư</t>
        </is>
      </c>
      <c r="D2733" t="inlineStr">
        <is>
          <t>Công Ty Cổ Phần Phúc Long Heritage</t>
        </is>
      </c>
      <c r="E2733" t="inlineStr">
        <is>
          <t>Thương lượng</t>
        </is>
      </c>
      <c r="F2733" t="inlineStr">
        <is>
          <t>Hồ Chí Minh</t>
        </is>
      </c>
      <c r="G2733" t="inlineStr">
        <is>
          <t>Nhân viên</t>
        </is>
      </c>
      <c r="H2733" t="inlineStr">
        <is>
          <t>10/02/2026</t>
        </is>
      </c>
      <c r="I2733" t="inlineStr">
        <is>
          <t>27/03/2026</t>
        </is>
      </c>
      <c r="J2733" t="inlineStr">
        <is>
          <t>17/03/2026</t>
        </is>
      </c>
      <c r="K2733" t="inlineStr">
        <is>
          <t>N/A</t>
        </is>
      </c>
      <c r="L2733" t="inlineStr">
        <is>
          <t>architech, Auto CAD, Interior Design, Sketchup</t>
        </is>
      </c>
      <c r="M2733" t="inlineStr">
        <is>
          <t>Others</t>
        </is>
      </c>
      <c r="N2733" s="8">
        <f>HYPERLINK("https://www.vietnamworks.com/kien-truc-su-2011145-jv","Xem chi tiết")</f>
        <v/>
      </c>
    </row>
    <row r="2734">
      <c r="B2734" s="9" t="n">
        <v>2732</v>
      </c>
      <c r="C2734" s="10" t="inlineStr">
        <is>
          <t>Senior Graphic Design Specialist</t>
        </is>
      </c>
      <c r="D2734" s="10" t="inlineStr">
        <is>
          <t>Công Ty Cổ Phần Phúc Long Heritage</t>
        </is>
      </c>
      <c r="E2734" s="10" t="inlineStr">
        <is>
          <t>Thương lượng</t>
        </is>
      </c>
      <c r="F2734" s="10" t="inlineStr">
        <is>
          <t>Hồ Chí Minh</t>
        </is>
      </c>
      <c r="G2734" s="10" t="inlineStr">
        <is>
          <t>Nhân viên</t>
        </is>
      </c>
      <c r="H2734" s="10" t="inlineStr">
        <is>
          <t>10/02/2026</t>
        </is>
      </c>
      <c r="I2734" s="10" t="inlineStr">
        <is>
          <t>27/03/2026</t>
        </is>
      </c>
      <c r="J2734" s="10" t="inlineStr">
        <is>
          <t>17/03/2026</t>
        </is>
      </c>
      <c r="K2734" s="10" t="inlineStr">
        <is>
          <t>N/A</t>
        </is>
      </c>
      <c r="L2734" s="10" t="inlineStr">
        <is>
          <t>Adobe, FnB, Motion Graphic Design, Packaging Design, Photoshop</t>
        </is>
      </c>
      <c r="M2734" s="10" t="inlineStr">
        <is>
          <t>Others</t>
        </is>
      </c>
      <c r="N2734" s="11">
        <f>HYPERLINK("https://www.vietnamworks.com/senior-graphic-design-specialist-2011140-jv","Xem chi tiết")</f>
        <v/>
      </c>
      <c r="O2734" s="10" t="n"/>
    </row>
    <row r="2735">
      <c r="B2735" s="7" t="n">
        <v>2733</v>
      </c>
      <c r="C2735" t="inlineStr">
        <is>
          <t>Enterprise B2B Sales (Account Manager)</t>
        </is>
      </c>
      <c r="D2735" t="inlineStr">
        <is>
          <t>Netnam Corp.</t>
        </is>
      </c>
      <c r="E2735" t="inlineStr">
        <is>
          <t>$$ 500-2,000 /tháng</t>
        </is>
      </c>
      <c r="F2735" t="inlineStr">
        <is>
          <t>Hồ Chí Minh</t>
        </is>
      </c>
      <c r="G2735" t="inlineStr">
        <is>
          <t>Nhân viên</t>
        </is>
      </c>
      <c r="H2735" t="inlineStr">
        <is>
          <t>10/02/2026</t>
        </is>
      </c>
      <c r="I2735" t="inlineStr">
        <is>
          <t>27/03/2026</t>
        </is>
      </c>
      <c r="J2735" t="inlineStr">
        <is>
          <t>17/03/2026</t>
        </is>
      </c>
      <c r="K2735" t="inlineStr">
        <is>
          <t>N/A</t>
        </is>
      </c>
      <c r="L2735" t="inlineStr">
        <is>
          <t>Sales B2B, ICT Solutions, Communication Skills, Business Development, Telecommunications</t>
        </is>
      </c>
      <c r="M2735" t="inlineStr">
        <is>
          <t>Bonus, Training, Travel Opportunities</t>
        </is>
      </c>
      <c r="N2735" s="8">
        <f>HYPERLINK("https://www.vietnamworks.com/enterprise-b2b-sales-account-manager--2011136-jv","Xem chi tiết")</f>
        <v/>
      </c>
    </row>
    <row r="2736">
      <c r="B2736" s="9" t="n">
        <v>2734</v>
      </c>
      <c r="C2736" s="10" t="inlineStr">
        <is>
          <t>Chuyên Gia Phát Triển Sản Phẩm</t>
        </is>
      </c>
      <c r="D2736" s="10" t="inlineStr">
        <is>
          <t>Công Ty Cổ Phần Kinh Doanh F88</t>
        </is>
      </c>
      <c r="E2736" s="10" t="inlineStr">
        <is>
          <t>Thương lượng</t>
        </is>
      </c>
      <c r="F2736" s="10" t="inlineStr">
        <is>
          <t>Hà Nội, Hồ Chí Minh</t>
        </is>
      </c>
      <c r="G2736" s="10" t="inlineStr">
        <is>
          <t>Nhân viên</t>
        </is>
      </c>
      <c r="H2736" s="10" t="inlineStr">
        <is>
          <t>10/02/2026</t>
        </is>
      </c>
      <c r="I2736" s="10" t="inlineStr">
        <is>
          <t>27/03/2026</t>
        </is>
      </c>
      <c r="J2736" s="10" t="inlineStr">
        <is>
          <t>17/03/2026</t>
        </is>
      </c>
      <c r="K2736" s="10" t="inlineStr">
        <is>
          <t>N/A</t>
        </is>
      </c>
      <c r="L2736" s="10" t="inlineStr">
        <is>
          <t>Hệ Thống Tài Chính, MS Office, Phát Triển Sản Phẩm, Quản Lý Rủi Ro Tín Dụng, Tài Chính Ngân Hàng</t>
        </is>
      </c>
      <c r="M2736" s="10" t="inlineStr">
        <is>
          <t>Bonus, Healthcare Plan, Others</t>
        </is>
      </c>
      <c r="N2736" s="11">
        <f>HYPERLINK("https://www.vietnamworks.com/chuyen-gia-phat-trien-san-pham-2011132-jv","Xem chi tiết")</f>
        <v/>
      </c>
      <c r="O2736" s="10" t="n"/>
    </row>
    <row r="2737">
      <c r="B2737" s="7" t="n">
        <v>2735</v>
      </c>
      <c r="C2737" t="inlineStr">
        <is>
          <t>Digital Innovation Team Head</t>
        </is>
      </c>
      <c r="D2737" t="inlineStr">
        <is>
          <t>Shinhan Vietnam Finance Company Limited</t>
        </is>
      </c>
      <c r="E2737" t="inlineStr">
        <is>
          <t>Thương lượng</t>
        </is>
      </c>
      <c r="F2737" t="inlineStr">
        <is>
          <t>Hồ Chí Minh</t>
        </is>
      </c>
      <c r="G2737" t="inlineStr">
        <is>
          <t>Trưởng phòng</t>
        </is>
      </c>
      <c r="H2737" t="inlineStr">
        <is>
          <t>10/02/2026</t>
        </is>
      </c>
      <c r="I2737" t="inlineStr">
        <is>
          <t>27/03/2026</t>
        </is>
      </c>
      <c r="J2737" t="inlineStr">
        <is>
          <t>17/03/2026</t>
        </is>
      </c>
      <c r="K2737" t="inlineStr">
        <is>
          <t>N/A</t>
        </is>
      </c>
      <c r="L2737" t="inlineStr">
        <is>
          <t>Communication Skills, Customer Focused Design, Project Management, Technological Innovation, UI/UX</t>
        </is>
      </c>
      <c r="M2737" t="inlineStr">
        <is>
          <t>Bonus, Paid Leave, Library, Travel Opportunities</t>
        </is>
      </c>
      <c r="N2737" s="8">
        <f>HYPERLINK("https://www.vietnamworks.com/digital-innovation-team-head-2011143-jv","Xem chi tiết")</f>
        <v/>
      </c>
    </row>
    <row r="2738">
      <c r="B2738" s="9" t="n">
        <v>2736</v>
      </c>
      <c r="C2738" s="10" t="inlineStr">
        <is>
          <t>Senior UX Designer (Customer Experience Design)</t>
        </is>
      </c>
      <c r="D2738" s="10" t="inlineStr">
        <is>
          <t>Công Ty Cổ Phần Chứng Khoán SSI</t>
        </is>
      </c>
      <c r="E2738" s="10" t="inlineStr">
        <is>
          <t>Thương lượng</t>
        </is>
      </c>
      <c r="F2738" s="10" t="inlineStr">
        <is>
          <t>Hà Nội</t>
        </is>
      </c>
      <c r="G2738" s="10" t="inlineStr">
        <is>
          <t>Nhân viên</t>
        </is>
      </c>
      <c r="H2738" s="10" t="inlineStr">
        <is>
          <t>10/02/2026</t>
        </is>
      </c>
      <c r="I2738" s="10" t="inlineStr">
        <is>
          <t>27/03/2026</t>
        </is>
      </c>
      <c r="J2738" s="10" t="inlineStr">
        <is>
          <t>17/03/2026</t>
        </is>
      </c>
      <c r="K2738" s="10" t="inlineStr">
        <is>
          <t>N/A</t>
        </is>
      </c>
      <c r="L2738" s="10" t="inlineStr">
        <is>
          <t>Customer Experience Analysis, Customer Journey Map, Human-Centered Design, UX &amp; CX management, Product Design</t>
        </is>
      </c>
      <c r="M2738" s="10" t="inlineStr">
        <is>
          <t>Bonus, Healthcare Plan, Training</t>
        </is>
      </c>
      <c r="N2738" s="11">
        <f>HYPERLINK("https://www.vietnamworks.com/senior-ux-designer-customer-experience-design-2011151-jv","Xem chi tiết")</f>
        <v/>
      </c>
      <c r="O2738" s="10" t="n"/>
    </row>
    <row r="2739">
      <c r="B2739" s="7" t="n">
        <v>2737</v>
      </c>
      <c r="C2739" t="inlineStr">
        <is>
          <t>Quản Lý Thiết Kế Quy Hoạch – Kiến Trúc – Nội Thất</t>
        </is>
      </c>
      <c r="D2739" t="inlineStr">
        <is>
          <t>Tổng Công Ty Cổ Phần Đầu Tư Xây Dựng Và Thương Mại Việt Nam (Ctx Holdings)</t>
        </is>
      </c>
      <c r="E2739" t="inlineStr">
        <is>
          <t>Thương lượng</t>
        </is>
      </c>
      <c r="F2739" t="inlineStr">
        <is>
          <t>Hà Nội</t>
        </is>
      </c>
      <c r="G2739" t="inlineStr">
        <is>
          <t>Trưởng phòng</t>
        </is>
      </c>
      <c r="H2739" t="inlineStr">
        <is>
          <t>10/02/2026</t>
        </is>
      </c>
      <c r="I2739" t="inlineStr">
        <is>
          <t>27/03/2026</t>
        </is>
      </c>
      <c r="J2739" t="inlineStr">
        <is>
          <t>17/03/2026</t>
        </is>
      </c>
      <c r="K2739" t="inlineStr">
        <is>
          <t>N/A</t>
        </is>
      </c>
      <c r="L2739" t="inlineStr">
        <is>
          <t>Kiến Trúc Công Trình, Quản Lý Hồ Sơ Thiết Kế, Quản Lý Thiết Kế, Thiết Kế Kiến Trúc Nội Thất, Thiết Kế Quy Hoạch</t>
        </is>
      </c>
      <c r="M2739" t="inlineStr">
        <is>
          <t>Bonus, Healthcare Plan, Paid Leave, Training, Awards, Team Activities, Others</t>
        </is>
      </c>
      <c r="N2739" s="8">
        <f>HYPERLINK("https://www.vietnamworks.com/quan-ly-thiet-ke-quy-hoach-kien-truc-noi-that-2011152-jv","Xem chi tiết")</f>
        <v/>
      </c>
    </row>
    <row r="2740">
      <c r="B2740" s="9" t="n">
        <v>2738</v>
      </c>
      <c r="C2740" s="10" t="inlineStr">
        <is>
          <t>Service Assistant (German Speaking)</t>
        </is>
      </c>
      <c r="D2740" s="10" t="inlineStr">
        <is>
          <t>SPS Vietnam Company Ltd.</t>
        </is>
      </c>
      <c r="E2740" s="10" t="inlineStr">
        <is>
          <t>$$ 500-700 /tháng</t>
        </is>
      </c>
      <c r="F2740" s="10" t="inlineStr">
        <is>
          <t>Hồ Chí Minh</t>
        </is>
      </c>
      <c r="G2740" s="10" t="inlineStr">
        <is>
          <t>Nhân viên</t>
        </is>
      </c>
      <c r="H2740" s="10" t="inlineStr">
        <is>
          <t>10/02/2026</t>
        </is>
      </c>
      <c r="I2740" s="10" t="inlineStr">
        <is>
          <t>27/03/2026</t>
        </is>
      </c>
      <c r="J2740" s="10" t="inlineStr">
        <is>
          <t>17/03/2026</t>
        </is>
      </c>
      <c r="K2740" s="10" t="inlineStr">
        <is>
          <t>N/A</t>
        </is>
      </c>
      <c r="L2740" s="10" t="inlineStr">
        <is>
          <t>German Language, Project Management, Customer Service, German Translation, Hospitality</t>
        </is>
      </c>
      <c r="M2740" s="10" t="inlineStr">
        <is>
          <t>Bonus, Healthcare Plan, Team Activities</t>
        </is>
      </c>
      <c r="N2740" s="11">
        <f>HYPERLINK("https://www.vietnamworks.com/service-assistant-german-speaking--2011157-jv","Xem chi tiết")</f>
        <v/>
      </c>
      <c r="O2740" s="10" t="n"/>
    </row>
    <row r="2741">
      <c r="B2741" s="7" t="n">
        <v>2739</v>
      </c>
      <c r="C2741" t="inlineStr">
        <is>
          <t>Operator/ Document Staff (Nhân Viên Chứng Từ Logistics)</t>
        </is>
      </c>
      <c r="D2741" t="inlineStr">
        <is>
          <t>Công Ty TNHH E-Cargoway Logistics Việt Nam</t>
        </is>
      </c>
      <c r="E2741" t="inlineStr">
        <is>
          <t>12tr-18tr ₫/tháng</t>
        </is>
      </c>
      <c r="F2741" t="inlineStr">
        <is>
          <t>Hồ Chí Minh</t>
        </is>
      </c>
      <c r="G2741" t="inlineStr">
        <is>
          <t>Mới Tốt Nghiệp</t>
        </is>
      </c>
      <c r="H2741" t="inlineStr">
        <is>
          <t>10/02/2026</t>
        </is>
      </c>
      <c r="I2741" t="inlineStr">
        <is>
          <t>27/03/2026</t>
        </is>
      </c>
      <c r="J2741" t="inlineStr">
        <is>
          <t>17/03/2026</t>
        </is>
      </c>
      <c r="K2741" t="inlineStr">
        <is>
          <t>N/A</t>
        </is>
      </c>
      <c r="L2741" t="inlineStr">
        <is>
          <t>Chăm Sóc Khách Hàng, Chứng Từ Xuất Nhập Khẩu, Thiết Lập Mối Quan Hệ, Tiếng Anh, Điều Phối Vận Chuyển</t>
        </is>
      </c>
      <c r="M2741" t="inlineStr">
        <is>
          <t>Healthcare Plan, Awards, Team Activities, Others</t>
        </is>
      </c>
      <c r="N2741" s="8">
        <f>HYPERLINK("https://www.vietnamworks.com/operator-document-staff-nhan-vien-chung-tu-logistics-2011153-jv","Xem chi tiết")</f>
        <v/>
      </c>
    </row>
    <row r="2742">
      <c r="B2742" s="9" t="n">
        <v>2740</v>
      </c>
      <c r="C2742" s="10" t="inlineStr">
        <is>
          <t>Chuyên Viên Kỹ Thuật</t>
        </is>
      </c>
      <c r="D2742" s="10" t="inlineStr">
        <is>
          <t>Công Ty Cổ Phần Thiết Bị Và Giải Pháp Cơ Khí AUTOMECH</t>
        </is>
      </c>
      <c r="E2742" s="10" t="inlineStr">
        <is>
          <t>15tr-30tr ₫/tháng</t>
        </is>
      </c>
      <c r="F2742" s="10" t="inlineStr">
        <is>
          <t>Hà Nội, Hải Phòng</t>
        </is>
      </c>
      <c r="G2742" s="10" t="inlineStr">
        <is>
          <t>Nhân viên</t>
        </is>
      </c>
      <c r="H2742" s="10" t="inlineStr">
        <is>
          <t>10/02/2026</t>
        </is>
      </c>
      <c r="I2742" s="10" t="inlineStr">
        <is>
          <t>27/03/2026</t>
        </is>
      </c>
      <c r="J2742" s="10" t="inlineStr">
        <is>
          <t>17/03/2026</t>
        </is>
      </c>
      <c r="K2742" s="10" t="inlineStr">
        <is>
          <t>N/A</t>
        </is>
      </c>
      <c r="L2742" s="10" t="inlineStr">
        <is>
          <t>Cơ Khí, Cơ Điện Tử, Tự Động Hóa, SolidWorks, Kỹ năng làm việc nhóm</t>
        </is>
      </c>
      <c r="M2742" s="10" t="inlineStr">
        <is>
          <t>Bonus, Healthcare Plan, Paid Leave, Laptop, Travel Opportunities, Team Activities, Others</t>
        </is>
      </c>
      <c r="N2742" s="11">
        <f>HYPERLINK("https://www.vietnamworks.com/chuyen-vien-ky-thuat-2011150-jv","Xem chi tiết")</f>
        <v/>
      </c>
      <c r="O2742" s="10" t="n"/>
    </row>
    <row r="2743">
      <c r="B2743" s="7" t="n">
        <v>2741</v>
      </c>
      <c r="C2743" t="inlineStr">
        <is>
          <t>ESG Manager</t>
        </is>
      </c>
      <c r="D2743" t="inlineStr">
        <is>
          <t>CÔNG TY TNHH YIC ONE</t>
        </is>
      </c>
      <c r="E2743" t="inlineStr">
        <is>
          <t>Thương lượng</t>
        </is>
      </c>
      <c r="F2743" t="inlineStr">
        <is>
          <t>Hà Nội</t>
        </is>
      </c>
      <c r="G2743" t="inlineStr">
        <is>
          <t>Nhân viên</t>
        </is>
      </c>
      <c r="H2743" t="inlineStr">
        <is>
          <t>10/02/2026</t>
        </is>
      </c>
      <c r="I2743" t="inlineStr">
        <is>
          <t>27/03/2026</t>
        </is>
      </c>
      <c r="J2743" t="inlineStr">
        <is>
          <t>17/03/2026</t>
        </is>
      </c>
      <c r="K2743" t="inlineStr">
        <is>
          <t>N/A</t>
        </is>
      </c>
      <c r="L2743" t="inlineStr">
        <is>
          <t>Esg Strategy, Analytical Skills, Compliance Management, English, Risk Management</t>
        </is>
      </c>
      <c r="M2743" t="inlineStr">
        <is>
          <t>Bonus, Healthcare Plan, Paid Leave, Training, Laptop, Team Activities, Others</t>
        </is>
      </c>
      <c r="N2743" s="8">
        <f>HYPERLINK("https://www.vietnamworks.com/esg-manager-2011156-jv","Xem chi tiết")</f>
        <v/>
      </c>
    </row>
    <row r="2744">
      <c r="B2744" s="9" t="n">
        <v>2742</v>
      </c>
      <c r="C2744" s="10" t="inlineStr">
        <is>
          <t>Trưởng Nhóm Vận Hành</t>
        </is>
      </c>
      <c r="D2744" s="10" t="inlineStr">
        <is>
          <t>Công Ty Cổ Phần Kinh Doanh F88</t>
        </is>
      </c>
      <c r="E2744" s="10" t="inlineStr">
        <is>
          <t>Thương lượng</t>
        </is>
      </c>
      <c r="F2744" s="10" t="inlineStr">
        <is>
          <t>Hà Nội, Hồ Chí Minh</t>
        </is>
      </c>
      <c r="G2744" s="10" t="inlineStr">
        <is>
          <t>Nhân viên</t>
        </is>
      </c>
      <c r="H2744" s="10" t="inlineStr">
        <is>
          <t>10/02/2026</t>
        </is>
      </c>
      <c r="I2744" s="10" t="inlineStr">
        <is>
          <t>27/03/2026</t>
        </is>
      </c>
      <c r="J2744" s="10" t="inlineStr">
        <is>
          <t>17/03/2026</t>
        </is>
      </c>
      <c r="K2744" s="10" t="inlineStr">
        <is>
          <t>N/A</t>
        </is>
      </c>
      <c r="L2744" s="10" t="inlineStr">
        <is>
          <t>General Management, Kiểm Soát Rủi Ro, MS Office, Operation Management, Quản Lý Hồ Sơ</t>
        </is>
      </c>
      <c r="M2744" s="10" t="inlineStr">
        <is>
          <t>Bonus, Healthcare Plan, Others</t>
        </is>
      </c>
      <c r="N2744" s="11">
        <f>HYPERLINK("https://www.vietnamworks.com/truong-nhom-van-hanh-2011131-jv","Xem chi tiết")</f>
        <v/>
      </c>
      <c r="O2744" s="10" t="n"/>
    </row>
    <row r="2745">
      <c r="B2745" s="7" t="n">
        <v>2743</v>
      </c>
      <c r="C2745" t="inlineStr">
        <is>
          <t>Giáo Viên Mầm Non</t>
        </is>
      </c>
      <c r="D2745" t="inlineStr">
        <is>
          <t>Công Ty Cổ Phần Evergreen Đầu Tư</t>
        </is>
      </c>
      <c r="E2745" t="inlineStr">
        <is>
          <t>Thương lượng</t>
        </is>
      </c>
      <c r="F2745" t="inlineStr">
        <is>
          <t>Hưng Yên, Hà Nội</t>
        </is>
      </c>
      <c r="G2745" t="inlineStr">
        <is>
          <t>Nhân viên</t>
        </is>
      </c>
      <c r="H2745" t="inlineStr">
        <is>
          <t>10/02/2026</t>
        </is>
      </c>
      <c r="I2745" t="inlineStr">
        <is>
          <t>27/03/2026</t>
        </is>
      </c>
      <c r="J2745" t="inlineStr">
        <is>
          <t>17/03/2026</t>
        </is>
      </c>
      <c r="K2745" t="inlineStr">
        <is>
          <t>N/A</t>
        </is>
      </c>
      <c r="L2745" t="inlineStr">
        <is>
          <t>Tiếng Anh, Giáo Dục Mầm Non, Giảng Dạy, Sư Phạm Mầm Non, Teaching</t>
        </is>
      </c>
      <c r="M2745" t="inlineStr">
        <is>
          <t>Bonus, Paid Leave, Training</t>
        </is>
      </c>
      <c r="N2745" s="8">
        <f>HYPERLINK("https://www.vietnamworks.com/giao-vien-mam-non--2011148-jv","Xem chi tiết")</f>
        <v/>
      </c>
    </row>
    <row r="2746">
      <c r="B2746" s="9" t="n">
        <v>2744</v>
      </c>
      <c r="C2746" s="10" t="inlineStr">
        <is>
          <t>Lab Colorist</t>
        </is>
      </c>
      <c r="D2746" s="10" t="inlineStr">
        <is>
          <t>Hanesbrands Inc. (HY Plant)</t>
        </is>
      </c>
      <c r="E2746" s="10" t="inlineStr">
        <is>
          <t>Thương lượng</t>
        </is>
      </c>
      <c r="F2746" s="10" t="inlineStr">
        <is>
          <t>Hưng Yên, Hà Nội</t>
        </is>
      </c>
      <c r="G2746" s="10" t="inlineStr">
        <is>
          <t>Mới Tốt Nghiệp</t>
        </is>
      </c>
      <c r="H2746" s="10" t="inlineStr">
        <is>
          <t>10/02/2026</t>
        </is>
      </c>
      <c r="I2746" s="10" t="inlineStr">
        <is>
          <t>27/03/2026</t>
        </is>
      </c>
      <c r="J2746" s="10" t="inlineStr">
        <is>
          <t>17/03/2026</t>
        </is>
      </c>
      <c r="K2746" s="10" t="inlineStr">
        <is>
          <t>N/A</t>
        </is>
      </c>
      <c r="L2746" s="10" t="inlineStr">
        <is>
          <t>Color Evaluation Skills, Microsoft Office, English, Equipment Maintenance, Garment Dyeing</t>
        </is>
      </c>
      <c r="M2746" s="10" t="inlineStr">
        <is>
          <t>Healthcare Plan, Paid Leave, Transportation, Others</t>
        </is>
      </c>
      <c r="N2746" s="11">
        <f>HYPERLINK("https://www.vietnamworks.com/lab-colorist-2011155-jv","Xem chi tiết")</f>
        <v/>
      </c>
      <c r="O2746" s="10" t="n"/>
    </row>
    <row r="2747">
      <c r="B2747" s="7" t="n">
        <v>2745</v>
      </c>
      <c r="C2747" t="inlineStr">
        <is>
          <t>Giám Đốc Tài Chính</t>
        </is>
      </c>
      <c r="D2747" t="inlineStr">
        <is>
          <t>Công Ty Cổ Phần Dewoo</t>
        </is>
      </c>
      <c r="E2747" t="inlineStr">
        <is>
          <t>Thương lượng</t>
        </is>
      </c>
      <c r="F2747" t="inlineStr">
        <is>
          <t>Đà Nẵng, Quảng Nam</t>
        </is>
      </c>
      <c r="G2747" t="inlineStr">
        <is>
          <t>Giám Đốc và Cấp Cao Hơn</t>
        </is>
      </c>
      <c r="H2747" t="inlineStr">
        <is>
          <t>10/02/2026</t>
        </is>
      </c>
      <c r="I2747" t="inlineStr">
        <is>
          <t>27/03/2026</t>
        </is>
      </c>
      <c r="J2747" t="inlineStr">
        <is>
          <t>17/03/2026</t>
        </is>
      </c>
      <c r="K2747" t="inlineStr">
        <is>
          <t>N/A</t>
        </is>
      </c>
      <c r="L2747" t="inlineStr">
        <is>
          <t>Lãnh Đạo, Lập Kế Hoạch Tài Chính, Luật Thuế, Phân Tích Đầu Tư, Quản Trị Tài Chính</t>
        </is>
      </c>
      <c r="M2747" t="inlineStr">
        <is>
          <t>Bonus, Healthcare Plan, Training, Team Activities, Others</t>
        </is>
      </c>
      <c r="N2747" s="8">
        <f>HYPERLINK("https://www.vietnamworks.com/giam-djoc-tai-chinh-2011133-jv","Xem chi tiết")</f>
        <v/>
      </c>
    </row>
    <row r="2748">
      <c r="B2748" s="9" t="n">
        <v>2746</v>
      </c>
      <c r="C2748" s="10" t="inlineStr">
        <is>
          <t>Kỹ Sư Presales (Tiền Bán Hàng)</t>
        </is>
      </c>
      <c r="D2748" s="10" t="inlineStr">
        <is>
          <t>VIỆN PHÁT TRIỂN CHUYỂN ĐỔI XANH, CHUYỂN ĐỔI SỐ VIỆT NAM</t>
        </is>
      </c>
      <c r="E2748" s="10" t="inlineStr">
        <is>
          <t>Thương lượng</t>
        </is>
      </c>
      <c r="F2748" s="10" t="inlineStr">
        <is>
          <t>Hà Nội</t>
        </is>
      </c>
      <c r="G2748" s="10" t="inlineStr">
        <is>
          <t>Nhân viên</t>
        </is>
      </c>
      <c r="H2748" s="10" t="inlineStr">
        <is>
          <t>10/02/2026</t>
        </is>
      </c>
      <c r="I2748" s="10" t="inlineStr">
        <is>
          <t>27/03/2026</t>
        </is>
      </c>
      <c r="J2748" s="10" t="inlineStr">
        <is>
          <t>17/03/2026</t>
        </is>
      </c>
      <c r="K2748" s="10" t="inlineStr">
        <is>
          <t>N/A</t>
        </is>
      </c>
      <c r="L2748" s="10" t="inlineStr">
        <is>
          <t>Chuyển Đổi Số, Công Nghệ Thông Tin, Presales Technical</t>
        </is>
      </c>
      <c r="M2748" s="10" t="inlineStr">
        <is>
          <t>Bonus, Healthcare Plan</t>
        </is>
      </c>
      <c r="N2748" s="11">
        <f>HYPERLINK("https://www.vietnamworks.com/ky-su-presales-tien-ban-hang-2011159-jv","Xem chi tiết")</f>
        <v/>
      </c>
      <c r="O2748" s="10" t="n"/>
    </row>
    <row r="2749">
      <c r="B2749" s="7" t="n">
        <v>2747</v>
      </c>
      <c r="C2749" t="inlineStr">
        <is>
          <t>Quản Lý Vận Hành &amp; Giám Sát Service</t>
        </is>
      </c>
      <c r="D2749" t="inlineStr">
        <is>
          <t>Roll Temaki</t>
        </is>
      </c>
      <c r="E2749" t="inlineStr">
        <is>
          <t>Từ 24tr ₫/tháng</t>
        </is>
      </c>
      <c r="F2749" t="inlineStr">
        <is>
          <t>Hồ Chí Minh</t>
        </is>
      </c>
      <c r="G2749" t="inlineStr">
        <is>
          <t>Trưởng phòng</t>
        </is>
      </c>
      <c r="H2749" t="inlineStr">
        <is>
          <t>10/02/2026</t>
        </is>
      </c>
      <c r="I2749" t="inlineStr">
        <is>
          <t>27/03/2026</t>
        </is>
      </c>
      <c r="J2749" t="inlineStr">
        <is>
          <t>17/03/2026</t>
        </is>
      </c>
      <c r="K2749" t="inlineStr">
        <is>
          <t>N/A</t>
        </is>
      </c>
      <c r="L2749" t="inlineStr">
        <is>
          <t>Giao Tiếp Tiếng Anh, Giải quyết vấn đề, Tư duy logic, Quản Lý Vận Hành, Service Operation</t>
        </is>
      </c>
      <c r="M2749" t="inlineStr">
        <is>
          <t>Bonus, Team Activities, Others</t>
        </is>
      </c>
      <c r="N2749" s="8">
        <f>HYPERLINK("https://www.vietnamworks.com/quan-ly-van-hanh-and-giam-sat-service-2011166-jv","Xem chi tiết")</f>
        <v/>
      </c>
    </row>
    <row r="2750">
      <c r="B2750" s="9" t="n">
        <v>2748</v>
      </c>
      <c r="C2750" s="10" t="inlineStr">
        <is>
          <t>Customer Service Lead / Shift Manager</t>
        </is>
      </c>
      <c r="D2750" s="10" t="inlineStr">
        <is>
          <t>Roll Temaki</t>
        </is>
      </c>
      <c r="E2750" s="10" t="inlineStr">
        <is>
          <t>Thương lượng</t>
        </is>
      </c>
      <c r="F2750" s="10" t="inlineStr">
        <is>
          <t>Hồ Chí Minh</t>
        </is>
      </c>
      <c r="G2750" s="10" t="inlineStr">
        <is>
          <t>Trưởng phòng</t>
        </is>
      </c>
      <c r="H2750" s="10" t="inlineStr">
        <is>
          <t>10/02/2026</t>
        </is>
      </c>
      <c r="I2750" s="10" t="inlineStr">
        <is>
          <t>27/03/2026</t>
        </is>
      </c>
      <c r="J2750" s="10" t="inlineStr">
        <is>
          <t>17/03/2026</t>
        </is>
      </c>
      <c r="K2750" s="10" t="inlineStr">
        <is>
          <t>N/A</t>
        </is>
      </c>
      <c r="L2750" s="10" t="inlineStr">
        <is>
          <t>Quản Lý Trực Ca, Team Management, Shift &amp; Team Management, CSKH, Chăm Sóc Khách Hàng</t>
        </is>
      </c>
      <c r="M2750" s="10" t="inlineStr">
        <is>
          <t>Bonus, Team Activities, Others</t>
        </is>
      </c>
      <c r="N2750" s="11">
        <f>HYPERLINK("https://www.vietnamworks.com/customer-service-lead-shift-manager-2011167-jv","Xem chi tiết")</f>
        <v/>
      </c>
      <c r="O2750" s="10" t="n"/>
    </row>
    <row r="2751">
      <c r="B2751" s="7" t="n">
        <v>2749</v>
      </c>
      <c r="C2751" t="inlineStr">
        <is>
          <t>Quản Lý Ngành Hàng (Category Manager)</t>
        </is>
      </c>
      <c r="D2751" t="inlineStr">
        <is>
          <t>Công Ty TNHH Việt Quang</t>
        </is>
      </c>
      <c r="E2751" t="inlineStr">
        <is>
          <t>Từ 25tr ₫/tháng</t>
        </is>
      </c>
      <c r="F2751" t="inlineStr">
        <is>
          <t>Hà Nội</t>
        </is>
      </c>
      <c r="G2751" t="inlineStr">
        <is>
          <t>Trưởng phòng</t>
        </is>
      </c>
      <c r="H2751" t="inlineStr">
        <is>
          <t>10/02/2026</t>
        </is>
      </c>
      <c r="I2751" t="inlineStr">
        <is>
          <t>27/03/2026</t>
        </is>
      </c>
      <c r="J2751" t="inlineStr">
        <is>
          <t>17/03/2026</t>
        </is>
      </c>
      <c r="K2751" t="inlineStr">
        <is>
          <t>N/A</t>
        </is>
      </c>
      <c r="L2751" t="inlineStr">
        <is>
          <t>Distributor System Management, Phân Tích Thị Trường, Product Manager, sale B2B, Sales B2C</t>
        </is>
      </c>
      <c r="M2751" t="inlineStr">
        <is>
          <t>Bonus, Paid Leave, Training, Others</t>
        </is>
      </c>
      <c r="N2751" s="8">
        <f>HYPERLINK("https://www.vietnamworks.com/quan-ly-nganh-hang-category-manager-2011169-jv","Xem chi tiết")</f>
        <v/>
      </c>
    </row>
    <row r="2752">
      <c r="B2752" s="9" t="n">
        <v>2750</v>
      </c>
      <c r="C2752" s="10" t="inlineStr">
        <is>
          <t>Giám Sát Kinh Doanh (Distributor Account Supervisor/Manager) GT - Thanh Hóa</t>
        </is>
      </c>
      <c r="D2752" s="10" t="inlineStr">
        <is>
          <t>Marico South East Asia Corporation</t>
        </is>
      </c>
      <c r="E2752" s="10" t="inlineStr">
        <is>
          <t>Thương lượng</t>
        </is>
      </c>
      <c r="F2752" s="10" t="inlineStr">
        <is>
          <t>Thanh Hóa</t>
        </is>
      </c>
      <c r="G2752" s="10" t="inlineStr">
        <is>
          <t>Nhân viên</t>
        </is>
      </c>
      <c r="H2752" s="10" t="inlineStr">
        <is>
          <t>10/02/2026</t>
        </is>
      </c>
      <c r="I2752" s="10" t="inlineStr">
        <is>
          <t>27/03/2026</t>
        </is>
      </c>
      <c r="J2752" s="10" t="inlineStr">
        <is>
          <t>17/03/2026</t>
        </is>
      </c>
      <c r="K2752" s="10" t="inlineStr">
        <is>
          <t>N/A</t>
        </is>
      </c>
      <c r="L2752" s="10" t="inlineStr">
        <is>
          <t>Analytical Data, communication, FMCG, Leadership, Sales</t>
        </is>
      </c>
      <c r="M2752" s="10" t="inlineStr">
        <is>
          <t>Others</t>
        </is>
      </c>
      <c r="N2752" s="11">
        <f>HYPERLINK("https://www.vietnamworks.com/giam-sat-kinh-doanh-distributor-account-supervisormanager-gt-thanh-hoa-2011170-jv","Xem chi tiết")</f>
        <v/>
      </c>
      <c r="O2752" s="10" t="n"/>
    </row>
    <row r="2753">
      <c r="B2753" s="7" t="n">
        <v>2751</v>
      </c>
      <c r="C2753" t="inlineStr">
        <is>
          <t>Receivable Accountant Executive (Contractor)</t>
        </is>
      </c>
      <c r="D2753" t="inlineStr">
        <is>
          <t>Marico South East Asia Corporation</t>
        </is>
      </c>
      <c r="E2753" t="inlineStr">
        <is>
          <t>Thương lượng</t>
        </is>
      </c>
      <c r="F2753" t="inlineStr">
        <is>
          <t>Hồ Chí Minh</t>
        </is>
      </c>
      <c r="G2753" t="inlineStr">
        <is>
          <t>Nhân viên</t>
        </is>
      </c>
      <c r="H2753" t="inlineStr">
        <is>
          <t>10/02/2026</t>
        </is>
      </c>
      <c r="I2753" t="inlineStr">
        <is>
          <t>27/03/2026</t>
        </is>
      </c>
      <c r="J2753" t="inlineStr">
        <is>
          <t>17/03/2026</t>
        </is>
      </c>
      <c r="K2753" t="inlineStr">
        <is>
          <t>N/A</t>
        </is>
      </c>
      <c r="L2753" t="inlineStr">
        <is>
          <t>Account Receivable, Communications, MOS Office, Receivable Accounting, SAP Accounting Software</t>
        </is>
      </c>
      <c r="M2753" t="inlineStr">
        <is>
          <t>Others</t>
        </is>
      </c>
      <c r="N2753" s="8">
        <f>HYPERLINK("https://www.vietnamworks.com/receivable-accountant-executive-contractor-2011163-jv","Xem chi tiết")</f>
        <v/>
      </c>
    </row>
    <row r="2754">
      <c r="B2754" s="9" t="n">
        <v>2752</v>
      </c>
      <c r="C2754" s="10" t="inlineStr">
        <is>
          <t>Nhân Viên Tiếng Hàn (Hành Chính)</t>
        </is>
      </c>
      <c r="D2754" s="10" t="inlineStr">
        <is>
          <t>Công Ty TNHH LG Display Việt Nam Hải Phòng</t>
        </is>
      </c>
      <c r="E2754" s="10" t="inlineStr">
        <is>
          <t>Thương lượng</t>
        </is>
      </c>
      <c r="F2754" s="10" t="inlineStr">
        <is>
          <t>Hải Phòng</t>
        </is>
      </c>
      <c r="G2754" s="10" t="inlineStr">
        <is>
          <t>Nhân viên</t>
        </is>
      </c>
      <c r="H2754" s="10" t="inlineStr">
        <is>
          <t>10/02/2026</t>
        </is>
      </c>
      <c r="I2754" s="10" t="inlineStr">
        <is>
          <t>27/03/2026</t>
        </is>
      </c>
      <c r="J2754" s="10" t="inlineStr">
        <is>
          <t>17/03/2026</t>
        </is>
      </c>
      <c r="K2754" s="10" t="inlineStr">
        <is>
          <t>N/A</t>
        </is>
      </c>
      <c r="L2754" s="10" t="inlineStr">
        <is>
          <t>Phiên Dịch Kỹ Thuật, Biên Phiên Dịch Tiếng Hàn, Korean Topik 4, Korean Interpretation, Biên Dịch Tiếng Hàn</t>
        </is>
      </c>
      <c r="M2754" s="10" t="inlineStr">
        <is>
          <t>Bonus, Transportation, Others</t>
        </is>
      </c>
      <c r="N2754" s="11">
        <f>HYPERLINK("https://www.vietnamworks.com/nhan-vien-tieng-han-hanh-chinh-2011174-jv","Xem chi tiết")</f>
        <v/>
      </c>
      <c r="O2754" s="10" t="n"/>
    </row>
    <row r="2755">
      <c r="B2755" s="7" t="n">
        <v>2753</v>
      </c>
      <c r="C2755" t="inlineStr">
        <is>
          <t>Sample Quality Engineer (Furniture/ Binh Duong)</t>
        </is>
      </c>
      <c r="D2755" t="inlineStr">
        <is>
          <t>VPDD Citigroup Ltd. In Vietnam</t>
        </is>
      </c>
      <c r="E2755" t="inlineStr">
        <is>
          <t>Thương lượng</t>
        </is>
      </c>
      <c r="F2755" t="inlineStr">
        <is>
          <t>Bình Dương</t>
        </is>
      </c>
      <c r="G2755" t="inlineStr">
        <is>
          <t>Nhân viên</t>
        </is>
      </c>
      <c r="H2755" t="inlineStr">
        <is>
          <t>10/02/2026</t>
        </is>
      </c>
      <c r="I2755" t="inlineStr">
        <is>
          <t>27/03/2026</t>
        </is>
      </c>
      <c r="J2755" t="inlineStr">
        <is>
          <t>17/03/2026</t>
        </is>
      </c>
      <c r="K2755" t="inlineStr">
        <is>
          <t>N/A</t>
        </is>
      </c>
      <c r="L2755" t="inlineStr">
        <is>
          <t>English, Furniture Design, Furniture CAD Designer, Furniture &amp; Interior Design, Furniture Quality Standards</t>
        </is>
      </c>
      <c r="M2755" t="inlineStr">
        <is>
          <t>Paid Leave, Laptop, Transportation</t>
        </is>
      </c>
      <c r="N2755" s="8">
        <f>HYPERLINK("https://www.vietnamworks.com/sample-quality-engineer-furniture-binh-duong-2011160-jv","Xem chi tiết")</f>
        <v/>
      </c>
    </row>
    <row r="2756">
      <c r="B2756" s="9" t="n">
        <v>2754</v>
      </c>
      <c r="C2756" s="10" t="inlineStr">
        <is>
          <t>HRIS Specialist</t>
        </is>
      </c>
      <c r="D2756" s="10" t="inlineStr">
        <is>
          <t>Simpson Strong-Tie Vietnam Company Limited</t>
        </is>
      </c>
      <c r="E2756" s="10" t="inlineStr">
        <is>
          <t>Thương lượng</t>
        </is>
      </c>
      <c r="F2756" s="10" t="inlineStr">
        <is>
          <t>Hồ Chí Minh</t>
        </is>
      </c>
      <c r="G2756" s="10" t="inlineStr">
        <is>
          <t>Nhân viên</t>
        </is>
      </c>
      <c r="H2756" s="10" t="inlineStr">
        <is>
          <t>10/02/2026</t>
        </is>
      </c>
      <c r="I2756" s="10" t="inlineStr">
        <is>
          <t>27/03/2026</t>
        </is>
      </c>
      <c r="J2756" s="10" t="inlineStr">
        <is>
          <t>17/03/2026</t>
        </is>
      </c>
      <c r="K2756" s="10" t="inlineStr">
        <is>
          <t>N/A</t>
        </is>
      </c>
      <c r="L2756" s="10" t="inlineStr">
        <is>
          <t>HRIS, WorkDay, English proficiency, HR Systems, ServiceNow</t>
        </is>
      </c>
      <c r="M2756" s="10" t="inlineStr">
        <is>
          <t>Bonus, Healthcare Plan, Paid Leave, Training, Team Activities, Others</t>
        </is>
      </c>
      <c r="N2756" s="11">
        <f>HYPERLINK("https://www.vietnamworks.com/hris-specialist-2011161-jv","Xem chi tiết")</f>
        <v/>
      </c>
      <c r="O2756" s="10" t="n"/>
    </row>
    <row r="2757">
      <c r="B2757" s="7" t="n">
        <v>2755</v>
      </c>
      <c r="C2757" t="inlineStr">
        <is>
          <t>Mechanical Engineer</t>
        </is>
      </c>
      <c r="D2757" t="inlineStr">
        <is>
          <t>CÔNG TY TNHH DÙ CHÂU Á</t>
        </is>
      </c>
      <c r="E2757" t="inlineStr">
        <is>
          <t>Thương lượng</t>
        </is>
      </c>
      <c r="F2757" t="inlineStr">
        <is>
          <t>Bình Dương</t>
        </is>
      </c>
      <c r="G2757" t="inlineStr">
        <is>
          <t>Nhân viên</t>
        </is>
      </c>
      <c r="H2757" t="inlineStr">
        <is>
          <t>10/02/2026</t>
        </is>
      </c>
      <c r="I2757" t="inlineStr">
        <is>
          <t>27/03/2026</t>
        </is>
      </c>
      <c r="J2757" t="inlineStr">
        <is>
          <t>17/03/2026</t>
        </is>
      </c>
      <c r="K2757" t="inlineStr">
        <is>
          <t>N/A</t>
        </is>
      </c>
      <c r="L2757" t="inlineStr">
        <is>
          <t>3D Modeling, SolidWorks, Analytical Skills, Product Development, Mechatronics</t>
        </is>
      </c>
      <c r="M2757" t="inlineStr">
        <is>
          <t>Bonus</t>
        </is>
      </c>
      <c r="N2757" s="8">
        <f>HYPERLINK("https://www.vietnamworks.com/mechanical-engineer--2011171-jv","Xem chi tiết")</f>
        <v/>
      </c>
    </row>
    <row r="2758">
      <c r="B2758" s="9" t="n">
        <v>2756</v>
      </c>
      <c r="C2758" s="10" t="inlineStr">
        <is>
          <t>Trưởng Phòng Mua Hàng - Thu Nhập Upto 60M/tháng Yêu Cầu Kinh Nghiệm Ngành Sản Xuất hoặc FMCG</t>
        </is>
      </c>
      <c r="D2758" s="10" t="inlineStr">
        <is>
          <t>Công ty Cổ phần thực phẩm và đồ uống Barett (Barett Smart Factory)</t>
        </is>
      </c>
      <c r="E2758" s="10" t="inlineStr">
        <is>
          <t>Tới $ 2,000 /tháng</t>
        </is>
      </c>
      <c r="F2758" s="10" t="inlineStr">
        <is>
          <t>Hà Nội</t>
        </is>
      </c>
      <c r="G2758" s="10" t="inlineStr">
        <is>
          <t>Trưởng phòng</t>
        </is>
      </c>
      <c r="H2758" s="10" t="inlineStr">
        <is>
          <t>10/02/2026</t>
        </is>
      </c>
      <c r="I2758" s="10" t="inlineStr">
        <is>
          <t>27/03/2026</t>
        </is>
      </c>
      <c r="J2758" s="10" t="inlineStr">
        <is>
          <t>17/03/2026</t>
        </is>
      </c>
      <c r="K2758" s="10" t="inlineStr">
        <is>
          <t>N/A</t>
        </is>
      </c>
      <c r="L2758" s="10" t="inlineStr">
        <is>
          <t>Purchasing</t>
        </is>
      </c>
      <c r="M2758" s="10" t="inlineStr">
        <is>
          <t>Bonus, Training, Travel Opportunities</t>
        </is>
      </c>
      <c r="N2758" s="11">
        <f>HYPERLINK("https://www.vietnamworks.com/truong-phong-mua-hang-thu-nhap-upto-60m-thang-yeu-cau-kinh-nghiem-nganh-san-xuat-hoac-fmcg-2011168-jv","Xem chi tiết")</f>
        <v/>
      </c>
      <c r="O2758" s="10" t="n"/>
    </row>
    <row r="2759">
      <c r="B2759" s="7" t="n">
        <v>2757</v>
      </c>
      <c r="C2759" t="inlineStr">
        <is>
          <t>Nhân Viên Kinh Doanh Xuất Khẩu - Hà Nội, Nghệ An</t>
        </is>
      </c>
      <c r="D2759" t="inlineStr">
        <is>
          <t>Thna GROUP</t>
        </is>
      </c>
      <c r="E2759" t="inlineStr">
        <is>
          <t>$$ 500-3,000 /tháng</t>
        </is>
      </c>
      <c r="F2759" t="inlineStr">
        <is>
          <t>Hà Nội, Nghệ An</t>
        </is>
      </c>
      <c r="G2759" t="inlineStr">
        <is>
          <t>Nhân viên</t>
        </is>
      </c>
      <c r="H2759" t="inlineStr">
        <is>
          <t>10/02/2026</t>
        </is>
      </c>
      <c r="I2759" t="inlineStr">
        <is>
          <t>27/03/2026</t>
        </is>
      </c>
      <c r="J2759" t="inlineStr">
        <is>
          <t>17/03/2026</t>
        </is>
      </c>
      <c r="K2759" t="inlineStr">
        <is>
          <t>N/A</t>
        </is>
      </c>
      <c r="L2759" t="inlineStr">
        <is>
          <t>Channel Relationship Management, Market Research, Sales Strategy, Sales, Sales Target</t>
        </is>
      </c>
      <c r="M2759" t="inlineStr">
        <is>
          <t>Bonus, Healthcare Plan, Training, Travel Opportunities, Others</t>
        </is>
      </c>
      <c r="N2759" s="8">
        <f>HYPERLINK("https://www.vietnamworks.com/nhan-vien-kinh-doanh-xuat-khau-ha-noi-nghe-an-2011164-jv","Xem chi tiết")</f>
        <v/>
      </c>
    </row>
    <row r="2760">
      <c r="B2760" s="9" t="n">
        <v>2758</v>
      </c>
      <c r="C2760" s="10" t="inlineStr">
        <is>
          <t>Nhân Viên Sourcing - Mua Hàng</t>
        </is>
      </c>
      <c r="D2760" s="10" t="inlineStr">
        <is>
          <t>CÔNG TY CỔ PHẦN KIM LOẠI CÔNG NGHIỆP STAVIAN</t>
        </is>
      </c>
      <c r="E2760" s="10" t="inlineStr">
        <is>
          <t>Thương lượng</t>
        </is>
      </c>
      <c r="F2760" s="10" t="inlineStr">
        <is>
          <t>Hà Nội, Hồ Chí Minh</t>
        </is>
      </c>
      <c r="G2760" s="10" t="inlineStr">
        <is>
          <t>Nhân viên</t>
        </is>
      </c>
      <c r="H2760" s="10" t="inlineStr">
        <is>
          <t>10/02/2026</t>
        </is>
      </c>
      <c r="I2760" s="10" t="inlineStr">
        <is>
          <t>27/03/2026</t>
        </is>
      </c>
      <c r="J2760" s="10" t="inlineStr">
        <is>
          <t>17/03/2026</t>
        </is>
      </c>
      <c r="K2760" s="10" t="inlineStr">
        <is>
          <t>N/A</t>
        </is>
      </c>
      <c r="L2760" s="10" t="inlineStr">
        <is>
          <t>Mua hàng &amp; quản lý chuỗi cung ứng</t>
        </is>
      </c>
      <c r="M2760" s="10" t="inlineStr">
        <is>
          <t>Bonus, Healthcare Plan, Training, Team Activities, Others</t>
        </is>
      </c>
      <c r="N2760" s="11">
        <f>HYPERLINK("https://www.vietnamworks.com/nhan-vien-sourcing-mua-hang-2011172-jv","Xem chi tiết")</f>
        <v/>
      </c>
      <c r="O2760" s="10" t="n"/>
    </row>
    <row r="2761">
      <c r="B2761" s="7" t="n">
        <v>2759</v>
      </c>
      <c r="C2761" t="inlineStr">
        <is>
          <t>Business Analyst - ERP SAP S4 Hana - Fico,mm,sd,ps</t>
        </is>
      </c>
      <c r="D2761" t="inlineStr">
        <is>
          <t>Công Ty Cổ Phần Đầu Tư Nam Long</t>
        </is>
      </c>
      <c r="E2761" t="inlineStr">
        <is>
          <t>Thương lượng</t>
        </is>
      </c>
      <c r="F2761" t="inlineStr">
        <is>
          <t>Hồ Chí Minh</t>
        </is>
      </c>
      <c r="G2761" t="inlineStr">
        <is>
          <t>Nhân viên</t>
        </is>
      </c>
      <c r="H2761" t="inlineStr">
        <is>
          <t>10/02/2026</t>
        </is>
      </c>
      <c r="I2761" t="inlineStr">
        <is>
          <t>27/03/2026</t>
        </is>
      </c>
      <c r="J2761" t="inlineStr">
        <is>
          <t>17/03/2026</t>
        </is>
      </c>
      <c r="K2761" t="inlineStr">
        <is>
          <t>N/A</t>
        </is>
      </c>
      <c r="L2761" t="inlineStr">
        <is>
          <t>SAP-ERP, End-User Support, ERP Business Analysis, IT Business Analyst, SAP FICO</t>
        </is>
      </c>
      <c r="M2761" t="inlineStr">
        <is>
          <t>Bonus, Healthcare Plan, Paid Leave</t>
        </is>
      </c>
      <c r="N2761" s="8">
        <f>HYPERLINK("https://www.vietnamworks.com/business-analyst-erp-sap-s4-hana-fico-mm-sd-ps-2011165-jv","Xem chi tiết")</f>
        <v/>
      </c>
    </row>
    <row r="2762">
      <c r="B2762" s="9" t="n">
        <v>2760</v>
      </c>
      <c r="C2762" s="10" t="inlineStr">
        <is>
          <t>Admission Officer</t>
        </is>
      </c>
      <c r="D2762" s="10" t="inlineStr">
        <is>
          <t>Scotch Australian Grammar School (AGS)</t>
        </is>
      </c>
      <c r="E2762" s="10" t="inlineStr">
        <is>
          <t>Thương lượng</t>
        </is>
      </c>
      <c r="F2762" s="10" t="inlineStr">
        <is>
          <t>Hồ Chí Minh</t>
        </is>
      </c>
      <c r="G2762" s="10" t="inlineStr">
        <is>
          <t>Nhân viên</t>
        </is>
      </c>
      <c r="H2762" s="10" t="inlineStr">
        <is>
          <t>10/02/2026</t>
        </is>
      </c>
      <c r="I2762" s="10" t="inlineStr">
        <is>
          <t>27/03/2026</t>
        </is>
      </c>
      <c r="J2762" s="10" t="inlineStr">
        <is>
          <t>17/03/2026</t>
        </is>
      </c>
      <c r="K2762" s="10" t="inlineStr">
        <is>
          <t>N/A</t>
        </is>
      </c>
      <c r="L2762" s="10" t="inlineStr">
        <is>
          <t>English, Admission Control, Student Recruiting, Admissions Process, Financial Management</t>
        </is>
      </c>
      <c r="M2762" s="10" t="inlineStr">
        <is>
          <t>Bonus, Training, Others</t>
        </is>
      </c>
      <c r="N2762" s="11">
        <f>HYPERLINK("https://www.vietnamworks.com/admission-officer--2011177-jv","Xem chi tiết")</f>
        <v/>
      </c>
      <c r="O2762" s="10" t="n"/>
    </row>
    <row r="2763">
      <c r="B2763" s="7" t="n">
        <v>2761</v>
      </c>
      <c r="C2763" t="inlineStr">
        <is>
          <t>Project Officer (CASE and APV)</t>
        </is>
      </c>
      <c r="D2763" t="inlineStr">
        <is>
          <t>The Deutsche Gesellschaft Für Internationale Zusammenarbeit (Giz)</t>
        </is>
      </c>
      <c r="E2763" t="inlineStr">
        <is>
          <t>Thương lượng</t>
        </is>
      </c>
      <c r="F2763" t="inlineStr">
        <is>
          <t>Hà Nội</t>
        </is>
      </c>
      <c r="G2763" t="inlineStr">
        <is>
          <t>Nhân viên</t>
        </is>
      </c>
      <c r="H2763" t="inlineStr">
        <is>
          <t>10/02/2026</t>
        </is>
      </c>
      <c r="I2763" t="inlineStr">
        <is>
          <t>27/03/2026</t>
        </is>
      </c>
      <c r="J2763" t="inlineStr">
        <is>
          <t>17/03/2026</t>
        </is>
      </c>
      <c r="K2763" t="inlineStr">
        <is>
          <t>N/A</t>
        </is>
      </c>
      <c r="L2763" t="inlineStr">
        <is>
          <t>Project Management, Green Economy, creating prototypes, Energy Transition, Sustainable Development</t>
        </is>
      </c>
      <c r="M2763" t="inlineStr">
        <is>
          <t>Healthcare Plan, Paid Leave, Training, Others</t>
        </is>
      </c>
      <c r="N2763" s="8">
        <f>HYPERLINK("https://www.vietnamworks.com/project-officer-case-and-apv-2011181-jv","Xem chi tiết")</f>
        <v/>
      </c>
    </row>
    <row r="2764">
      <c r="B2764" s="9" t="n">
        <v>2762</v>
      </c>
      <c r="C2764" s="10" t="inlineStr">
        <is>
          <t>PMG Engineer</t>
        </is>
      </c>
      <c r="D2764" s="10" t="inlineStr">
        <is>
          <t>KIRBY SOUTHEAST ASIA CO., LTD</t>
        </is>
      </c>
      <c r="E2764" s="10" t="inlineStr">
        <is>
          <t>Thương lượng</t>
        </is>
      </c>
      <c r="F2764" s="10" t="inlineStr">
        <is>
          <t>Hồ Chí Minh</t>
        </is>
      </c>
      <c r="G2764" s="10" t="inlineStr">
        <is>
          <t>Nhân viên</t>
        </is>
      </c>
      <c r="H2764" s="10" t="inlineStr">
        <is>
          <t>10/02/2026</t>
        </is>
      </c>
      <c r="I2764" s="10" t="inlineStr">
        <is>
          <t>27/03/2026</t>
        </is>
      </c>
      <c r="J2764" s="10" t="inlineStr">
        <is>
          <t>17/03/2026</t>
        </is>
      </c>
      <c r="K2764" s="10" t="inlineStr">
        <is>
          <t>N/A</t>
        </is>
      </c>
      <c r="L2764" s="10" t="inlineStr">
        <is>
          <t>Adaptability, Communication Skills, Customer Service, Interpersonal Skills, Problem Analysis\r\r</t>
        </is>
      </c>
      <c r="M2764" s="10" t="inlineStr">
        <is>
          <t>Healthcare Plan, Paid Leave, Laptop</t>
        </is>
      </c>
      <c r="N2764" s="11">
        <f>HYPERLINK("https://www.vietnamworks.com/pmg-engineer-2011179-jv","Xem chi tiết")</f>
        <v/>
      </c>
      <c r="O2764" s="10" t="n"/>
    </row>
    <row r="2765">
      <c r="B2765" s="7" t="n">
        <v>2763</v>
      </c>
      <c r="C2765" t="inlineStr">
        <is>
          <t>Project Officer for Green Digital Transformation of Textile SMEs</t>
        </is>
      </c>
      <c r="D2765" t="inlineStr">
        <is>
          <t>The Deutsche Gesellschaft Für Internationale Zusammenarbeit (Giz)</t>
        </is>
      </c>
      <c r="E2765" t="inlineStr">
        <is>
          <t>Thương lượng</t>
        </is>
      </c>
      <c r="F2765" t="inlineStr">
        <is>
          <t>Hà Nội</t>
        </is>
      </c>
      <c r="G2765" t="inlineStr">
        <is>
          <t>Nhân viên</t>
        </is>
      </c>
      <c r="H2765" t="inlineStr">
        <is>
          <t>10/02/2026</t>
        </is>
      </c>
      <c r="I2765" t="inlineStr">
        <is>
          <t>27/03/2026</t>
        </is>
      </c>
      <c r="J2765" t="inlineStr">
        <is>
          <t>17/03/2026</t>
        </is>
      </c>
      <c r="K2765" t="inlineStr">
        <is>
          <t>N/A</t>
        </is>
      </c>
      <c r="L2765" t="inlineStr">
        <is>
          <t>Project Management, Digital Transformation, English, Employee Engagement, Textile Engineering</t>
        </is>
      </c>
      <c r="M2765" t="inlineStr">
        <is>
          <t>Healthcare Plan, Paid Leave, Training, Others</t>
        </is>
      </c>
      <c r="N2765" s="8">
        <f>HYPERLINK("https://www.vietnamworks.com/project-officer-for-green-digital-transformation-of-textile-smes-2011178-jv","Xem chi tiết")</f>
        <v/>
      </c>
    </row>
    <row r="2766">
      <c r="B2766" s="9" t="n">
        <v>2764</v>
      </c>
      <c r="C2766" s="10" t="inlineStr">
        <is>
          <t>Giám Đốc Vận Hành TTTM Đà Nẵng</t>
        </is>
      </c>
      <c r="D2766" s="10" t="inlineStr">
        <is>
          <t>Công ty Cổ phần thực phẩm và đồ uống Barett (Barett Smart Factory)</t>
        </is>
      </c>
      <c r="E2766" s="10" t="inlineStr">
        <is>
          <t>Tới $ 1,500 /tháng</t>
        </is>
      </c>
      <c r="F2766" s="10" t="inlineStr">
        <is>
          <t>Đà Nẵng</t>
        </is>
      </c>
      <c r="G2766" s="10" t="inlineStr">
        <is>
          <t>Giám Đốc và Cấp Cao Hơn</t>
        </is>
      </c>
      <c r="H2766" s="10" t="inlineStr">
        <is>
          <t>10/02/2026</t>
        </is>
      </c>
      <c r="I2766" s="10" t="inlineStr">
        <is>
          <t>27/03/2026</t>
        </is>
      </c>
      <c r="J2766" s="10" t="inlineStr">
        <is>
          <t>17/03/2026</t>
        </is>
      </c>
      <c r="K2766" s="10" t="inlineStr">
        <is>
          <t>N/A</t>
        </is>
      </c>
      <c r="L2766" s="10" t="inlineStr">
        <is>
          <t>Giao Tiếp Chủ Động</t>
        </is>
      </c>
      <c r="M2766" s="10" t="inlineStr">
        <is>
          <t>Bonus, Training, Travel Opportunities</t>
        </is>
      </c>
      <c r="N2766" s="11">
        <f>HYPERLINK("https://www.vietnamworks.com/giam-doc-van-hanh-tttm-da-nang-2011175-jv","Xem chi tiết")</f>
        <v/>
      </c>
      <c r="O2766" s="10" t="n"/>
    </row>
    <row r="2767">
      <c r="B2767" s="7" t="n">
        <v>2765</v>
      </c>
      <c r="C2767" t="inlineStr">
        <is>
          <t>Giám Đốc Vật Liệu/ Director (Control PMC Division, Purchase Division and Warehouse Division)</t>
        </is>
      </c>
      <c r="D2767" t="inlineStr">
        <is>
          <t>Skylink Manufacturing VN LTD</t>
        </is>
      </c>
      <c r="E2767" t="inlineStr">
        <is>
          <t>Thương lượng</t>
        </is>
      </c>
      <c r="F2767" t="inlineStr">
        <is>
          <t>Bắc Giang</t>
        </is>
      </c>
      <c r="G2767" t="inlineStr">
        <is>
          <t>Giám Đốc và Cấp Cao Hơn</t>
        </is>
      </c>
      <c r="H2767" t="inlineStr">
        <is>
          <t>10/02/2026</t>
        </is>
      </c>
      <c r="I2767" t="inlineStr">
        <is>
          <t>27/03/2026</t>
        </is>
      </c>
      <c r="J2767" t="inlineStr">
        <is>
          <t>17/03/2026</t>
        </is>
      </c>
      <c r="K2767" t="inlineStr">
        <is>
          <t>N/A</t>
        </is>
      </c>
      <c r="L2767" t="inlineStr">
        <is>
          <t>Material Supply, Warehouse Management, ERP System, Material Management</t>
        </is>
      </c>
      <c r="M2767" t="inlineStr">
        <is>
          <t>Bonus, Healthcare Plan, Others</t>
        </is>
      </c>
      <c r="N2767" s="8">
        <f>HYPERLINK("https://www.vietnamworks.com/giam-djoc-vat-lieu-director-control-pmc-division-purchase-division-and-warehouse-division-2011184-jv","Xem chi tiết")</f>
        <v/>
      </c>
    </row>
    <row r="2768">
      <c r="B2768" s="9" t="n">
        <v>2766</v>
      </c>
      <c r="C2768" s="10" t="inlineStr">
        <is>
          <t>[Tuyển Gấp] Kỹ Sư Điều Hoà Thông Gió (HVAC) (Chủ Đầu Tư BĐS)</t>
        </is>
      </c>
      <c r="D2768" s="10" t="inlineStr">
        <is>
          <t>Công Ty Cổ Phần Đầu Tư Bất Động Sản Toàn Cầu (GP. INVEST)</t>
        </is>
      </c>
      <c r="E2768" s="10" t="inlineStr">
        <is>
          <t>Thương lượng</t>
        </is>
      </c>
      <c r="F2768" s="10" t="inlineStr">
        <is>
          <t>Hà Nội</t>
        </is>
      </c>
      <c r="G2768" s="10" t="inlineStr">
        <is>
          <t>Nhân viên</t>
        </is>
      </c>
      <c r="H2768" s="10" t="inlineStr">
        <is>
          <t>10/02/2026</t>
        </is>
      </c>
      <c r="I2768" s="10" t="inlineStr">
        <is>
          <t>27/03/2026</t>
        </is>
      </c>
      <c r="J2768" s="10" t="inlineStr">
        <is>
          <t>17/03/2026</t>
        </is>
      </c>
      <c r="K2768" s="10" t="inlineStr">
        <is>
          <t>N/A</t>
        </is>
      </c>
      <c r="L2768" s="10" t="inlineStr">
        <is>
          <t>Thiết Kế Hệ Thống, Quản Lý Chi Phí, Lập Bản Vẽ Thiết Kế, HVAC, Điều Hòa Thông Gió</t>
        </is>
      </c>
      <c r="M2768" s="10" t="inlineStr">
        <is>
          <t>Bonus, Healthcare Plan, Training, Team Activities, Vouchers, Others</t>
        </is>
      </c>
      <c r="N2768" s="11">
        <f>HYPERLINK("https://www.vietnamworks.com/tuyen-gap-ky-su-dieu-hoa-thong-gio-hvac-chu-dau-tu-bds-2011189-jv","Xem chi tiết")</f>
        <v/>
      </c>
      <c r="O2768" s="10" t="n"/>
    </row>
    <row r="2769">
      <c r="B2769" s="7" t="n">
        <v>2767</v>
      </c>
      <c r="C2769" t="inlineStr">
        <is>
          <t>Trưởng Bộ Phận Hành Chính</t>
        </is>
      </c>
      <c r="D2769" t="inlineStr">
        <is>
          <t>Công Ty Cổ phẩn MASAN MEATLife</t>
        </is>
      </c>
      <c r="E2769" t="inlineStr">
        <is>
          <t>Thương lượng</t>
        </is>
      </c>
      <c r="F2769" t="inlineStr">
        <is>
          <t>Long An, Hồ Chí Minh</t>
        </is>
      </c>
      <c r="G2769" t="inlineStr">
        <is>
          <t>Trưởng phòng</t>
        </is>
      </c>
      <c r="H2769" t="inlineStr">
        <is>
          <t>10/02/2026</t>
        </is>
      </c>
      <c r="I2769" t="inlineStr">
        <is>
          <t>27/03/2026</t>
        </is>
      </c>
      <c r="J2769" t="inlineStr">
        <is>
          <t>17/03/2026</t>
        </is>
      </c>
      <c r="K2769" t="inlineStr">
        <is>
          <t>N/A</t>
        </is>
      </c>
      <c r="L2769" t="inlineStr">
        <is>
          <t>Quản Trị Hành Chính, Quản Lý Hành Chính, Hành Chính Nhân Sự, Hành Chính, Xử Lý Nước Thải</t>
        </is>
      </c>
      <c r="M2769" t="inlineStr">
        <is>
          <t>Bonus, Healthcare Plan, Training</t>
        </is>
      </c>
      <c r="N2769" s="8">
        <f>HYPERLINK("https://www.vietnamworks.com/truong-bo-phan-hanh-chinh--2011193-jv","Xem chi tiết")</f>
        <v/>
      </c>
    </row>
    <row r="2770">
      <c r="B2770" s="9" t="n">
        <v>2768</v>
      </c>
      <c r="C2770" s="10" t="inlineStr">
        <is>
          <t>Chief Accountant</t>
        </is>
      </c>
      <c r="D2770" s="10" t="inlineStr">
        <is>
          <t>Bee Logistics Corporation</t>
        </is>
      </c>
      <c r="E2770" s="10" t="inlineStr">
        <is>
          <t>$$ 2,000-3,000 /tháng</t>
        </is>
      </c>
      <c r="F2770" s="10" t="inlineStr">
        <is>
          <t>Hà Nội</t>
        </is>
      </c>
      <c r="G2770" s="10" t="inlineStr">
        <is>
          <t>Giám Đốc và Cấp Cao Hơn</t>
        </is>
      </c>
      <c r="H2770" s="10" t="inlineStr">
        <is>
          <t>10/02/2026</t>
        </is>
      </c>
      <c r="I2770" s="10" t="inlineStr">
        <is>
          <t>27/03/2026</t>
        </is>
      </c>
      <c r="J2770" s="10" t="inlineStr">
        <is>
          <t>17/03/2026</t>
        </is>
      </c>
      <c r="K2770" s="10" t="inlineStr">
        <is>
          <t>N/A</t>
        </is>
      </c>
      <c r="L2770" s="10" t="inlineStr">
        <is>
          <t>Accounting, Analytical Skills, Financial Reporting, Leadership, Tax Compliance</t>
        </is>
      </c>
      <c r="M2770" s="10" t="inlineStr">
        <is>
          <t>Bonus, Healthcare Plan, Training, Others</t>
        </is>
      </c>
      <c r="N2770" s="11">
        <f>HYPERLINK("https://www.vietnamworks.com/chief-accountant-2011187-jv","Xem chi tiết")</f>
        <v/>
      </c>
      <c r="O2770" s="10" t="n"/>
    </row>
    <row r="2771">
      <c r="B2771" s="7" t="n">
        <v>2769</v>
      </c>
      <c r="C2771" t="inlineStr">
        <is>
          <t>Senior Financial Analyst</t>
        </is>
      </c>
      <c r="D2771" t="inlineStr">
        <is>
          <t>Home Credit Vietnam - Explore Your Dream Team</t>
        </is>
      </c>
      <c r="E2771" t="inlineStr">
        <is>
          <t>Thương lượng</t>
        </is>
      </c>
      <c r="F2771" t="inlineStr">
        <is>
          <t>Hồ Chí Minh</t>
        </is>
      </c>
      <c r="G2771" t="inlineStr">
        <is>
          <t>Nhân viên</t>
        </is>
      </c>
      <c r="H2771" t="inlineStr">
        <is>
          <t>10/02/2026</t>
        </is>
      </c>
      <c r="I2771" t="inlineStr">
        <is>
          <t>27/03/2026</t>
        </is>
      </c>
      <c r="J2771" t="inlineStr">
        <is>
          <t>17/03/2026</t>
        </is>
      </c>
      <c r="K2771" t="inlineStr">
        <is>
          <t>N/A</t>
        </is>
      </c>
      <c r="L2771" t="inlineStr">
        <is>
          <t>Audit, Financial Planning, Financial Analysis, Cost Controlling, Business Partnering</t>
        </is>
      </c>
      <c r="M2771" t="inlineStr">
        <is>
          <t>Bonus, Healthcare Plan, Paid Leave</t>
        </is>
      </c>
      <c r="N2771" s="8">
        <f>HYPERLINK("https://www.vietnamworks.com/senior-financial-analyst--2011183-jv","Xem chi tiết")</f>
        <v/>
      </c>
    </row>
    <row r="2772">
      <c r="B2772" s="9" t="n">
        <v>2770</v>
      </c>
      <c r="C2772" s="10" t="inlineStr">
        <is>
          <t>Nhân Viên Kho</t>
        </is>
      </c>
      <c r="D2772" s="10" t="inlineStr">
        <is>
          <t>CÔNG TY TNHH VDP LOGISTICS VINA</t>
        </is>
      </c>
      <c r="E2772" s="10" t="inlineStr">
        <is>
          <t>Thương lượng</t>
        </is>
      </c>
      <c r="F2772" s="10" t="inlineStr">
        <is>
          <t>Bắc Giang, Bắc Ninh</t>
        </is>
      </c>
      <c r="G2772" s="10" t="inlineStr">
        <is>
          <t>Mới Tốt Nghiệp</t>
        </is>
      </c>
      <c r="H2772" s="10" t="inlineStr">
        <is>
          <t>10/02/2026</t>
        </is>
      </c>
      <c r="I2772" s="10" t="inlineStr">
        <is>
          <t>27/03/2026</t>
        </is>
      </c>
      <c r="J2772" s="10" t="inlineStr">
        <is>
          <t>17/03/2026</t>
        </is>
      </c>
      <c r="K2772" s="10" t="inlineStr">
        <is>
          <t>N/A</t>
        </is>
      </c>
      <c r="L2772" s="10" t="inlineStr">
        <is>
          <t>Giao Nhận Hàng Hóa, Nhập Liệu, Tin Học Văn Phòng, Thống Kê Số Liệu, Xử Lý Sự Cố</t>
        </is>
      </c>
      <c r="M2772" s="10" t="inlineStr">
        <is>
          <t>Bonus, Healthcare Plan, Paid Leave</t>
        </is>
      </c>
      <c r="N2772" s="11">
        <f>HYPERLINK("https://www.vietnamworks.com/nhan-vien-kho-2011195-jv","Xem chi tiết")</f>
        <v/>
      </c>
      <c r="O2772" s="10" t="n"/>
    </row>
    <row r="2773">
      <c r="B2773" s="7" t="n">
        <v>2771</v>
      </c>
      <c r="C2773" t="inlineStr">
        <is>
          <t>Associate - General Affairs Department (VCB Project)</t>
        </is>
      </c>
      <c r="D2773" t="inlineStr">
        <is>
          <t>Mizuho Bank, Ltd.</t>
        </is>
      </c>
      <c r="E2773" t="inlineStr">
        <is>
          <t>Thương lượng</t>
        </is>
      </c>
      <c r="F2773" t="inlineStr">
        <is>
          <t>Hà Nội</t>
        </is>
      </c>
      <c r="G2773" t="inlineStr">
        <is>
          <t>Nhân viên</t>
        </is>
      </c>
      <c r="H2773" t="inlineStr">
        <is>
          <t>10/02/2026</t>
        </is>
      </c>
      <c r="I2773" t="inlineStr">
        <is>
          <t>27/03/2026</t>
        </is>
      </c>
      <c r="J2773" t="inlineStr">
        <is>
          <t>17/03/2026</t>
        </is>
      </c>
      <c r="K2773" t="inlineStr">
        <is>
          <t>N/A</t>
        </is>
      </c>
      <c r="L2773" t="inlineStr">
        <is>
          <t>Banking Finance, Communication Skills, Interpersonal Skills, Interpretation, Translation Skills</t>
        </is>
      </c>
      <c r="M2773" t="inlineStr">
        <is>
          <t>Bonus, Healthcare Plan, Paid Leave, Others</t>
        </is>
      </c>
      <c r="N2773" s="8">
        <f>HYPERLINK("https://www.vietnamworks.com/associate-general-affairs-department-vcb-project-2011185-jv","Xem chi tiết")</f>
        <v/>
      </c>
    </row>
    <row r="2774">
      <c r="B2774" s="9" t="n">
        <v>2772</v>
      </c>
      <c r="C2774" s="10" t="inlineStr">
        <is>
          <t>Chuyên Viên Pháp Chế Cao Cấp (Chủ Đầu Tư BĐS)</t>
        </is>
      </c>
      <c r="D2774" s="10" t="inlineStr">
        <is>
          <t>CÔNG TY CỔ PHẦN QUẢN LÝ ĐẦU TƯ ACD</t>
        </is>
      </c>
      <c r="E2774" s="10" t="inlineStr">
        <is>
          <t>$$ 1,000-1,500 /tháng</t>
        </is>
      </c>
      <c r="F2774" s="10" t="inlineStr">
        <is>
          <t>Hà Nội</t>
        </is>
      </c>
      <c r="G2774" s="10" t="inlineStr">
        <is>
          <t>Nhân viên</t>
        </is>
      </c>
      <c r="H2774" s="10" t="inlineStr">
        <is>
          <t>10/02/2026</t>
        </is>
      </c>
      <c r="I2774" s="10" t="inlineStr">
        <is>
          <t>27/03/2026</t>
        </is>
      </c>
      <c r="J2774" s="10" t="inlineStr">
        <is>
          <t>17/03/2026</t>
        </is>
      </c>
      <c r="K2774" s="10" t="inlineStr">
        <is>
          <t>N/A</t>
        </is>
      </c>
      <c r="L2774" s="10" t="inlineStr">
        <is>
          <t>Bất Động Sản, Pháp Chế, Pháp Lý Bất Động Sản, Kinh Nghiệm Với Chủ Đầu Tư, Phân tích pháp luật</t>
        </is>
      </c>
      <c r="M2774" s="10" t="inlineStr">
        <is>
          <t>Bonus, Training, Others</t>
        </is>
      </c>
      <c r="N2774" s="11">
        <f>HYPERLINK("https://www.vietnamworks.com/chuyen-vien-phap-che-cao-cap-chu-dau-tu-bds-2011199-jv","Xem chi tiết")</f>
        <v/>
      </c>
      <c r="O2774" s="10" t="n"/>
    </row>
    <row r="2775">
      <c r="B2775" s="7" t="n">
        <v>2773</v>
      </c>
      <c r="C2775" t="inlineStr">
        <is>
          <t>Account Manager (Headhunting Service)</t>
        </is>
      </c>
      <c r="D2775" t="inlineStr">
        <is>
          <t>Navigos Group</t>
        </is>
      </c>
      <c r="E2775" t="inlineStr">
        <is>
          <t>Từ $ 700 /tháng</t>
        </is>
      </c>
      <c r="F2775" t="inlineStr">
        <is>
          <t>Hồ Chí Minh</t>
        </is>
      </c>
      <c r="G2775" t="inlineStr">
        <is>
          <t>Nhân viên</t>
        </is>
      </c>
      <c r="H2775" t="inlineStr">
        <is>
          <t>10/02/2026</t>
        </is>
      </c>
      <c r="I2775" t="inlineStr">
        <is>
          <t>27/03/2026</t>
        </is>
      </c>
      <c r="J2775" t="inlineStr">
        <is>
          <t>17/03/2026</t>
        </is>
      </c>
      <c r="K2775" t="inlineStr">
        <is>
          <t>N/A</t>
        </is>
      </c>
      <c r="L2775" t="inlineStr">
        <is>
          <t>Recruitment, Talent Acquisition, Business Development, Sales, Manufacturing</t>
        </is>
      </c>
      <c r="M2775" t="inlineStr">
        <is>
          <t>Bonus, Paid Leave, Training</t>
        </is>
      </c>
      <c r="N2775" s="8">
        <f>HYPERLINK("https://www.vietnamworks.com/account-manager-headhunting-service-2011206-jv","Xem chi tiết")</f>
        <v/>
      </c>
    </row>
    <row r="2776">
      <c r="B2776" s="9" t="n">
        <v>2774</v>
      </c>
      <c r="C2776" s="10" t="inlineStr">
        <is>
          <t>Marketing Executive</t>
        </is>
      </c>
      <c r="D2776" s="10" t="inlineStr">
        <is>
          <t>COSMAX (THAILAND)</t>
        </is>
      </c>
      <c r="E2776" s="10" t="inlineStr">
        <is>
          <t>1,500-2,000 ₫/tháng</t>
        </is>
      </c>
      <c r="F2776" s="10" t="inlineStr">
        <is>
          <t>Hồ Chí Minh</t>
        </is>
      </c>
      <c r="G2776" s="10" t="inlineStr">
        <is>
          <t>Nhân viên</t>
        </is>
      </c>
      <c r="H2776" s="10" t="inlineStr">
        <is>
          <t>10/02/2026</t>
        </is>
      </c>
      <c r="I2776" s="10" t="inlineStr">
        <is>
          <t>27/03/2026</t>
        </is>
      </c>
      <c r="J2776" s="10" t="inlineStr">
        <is>
          <t>17/03/2026</t>
        </is>
      </c>
      <c r="K2776" s="10" t="inlineStr">
        <is>
          <t>N/A</t>
        </is>
      </c>
      <c r="L2776" s="10" t="inlineStr">
        <is>
          <t>Adaptability, Communication Skills, Market Analysis, Research skills, Sales Support</t>
        </is>
      </c>
      <c r="M2776" s="10" t="inlineStr">
        <is>
          <t>Bonus, Healthcare Plan, Paid Leave, Training, Travel Opportunities</t>
        </is>
      </c>
      <c r="N2776" s="11">
        <f>HYPERLINK("https://www.vietnamworks.com/marketing-executive-2011197-jv","Xem chi tiết")</f>
        <v/>
      </c>
      <c r="O2776" s="10" t="n"/>
    </row>
    <row r="2777">
      <c r="B2777" s="7" t="n">
        <v>2775</v>
      </c>
      <c r="C2777" t="inlineStr">
        <is>
          <t>Trưởng Phòng Dịch Vụ - Thủ Tục Khách Hàng BĐS - Làm Việc Tại TP Thanh Hóa</t>
        </is>
      </c>
      <c r="D2777" t="inlineStr">
        <is>
          <t>CÔNG TY CỔ PHẦN QUẢN LÝ ĐẦU TƯ ACD</t>
        </is>
      </c>
      <c r="E2777" t="inlineStr">
        <is>
          <t>$$ 1,500-2,500 /tháng</t>
        </is>
      </c>
      <c r="F2777" t="inlineStr">
        <is>
          <t>Hà Nội, Thanh Hóa, Hồ Chí Minh</t>
        </is>
      </c>
      <c r="G2777" t="inlineStr">
        <is>
          <t>Trưởng phòng</t>
        </is>
      </c>
      <c r="H2777" t="inlineStr">
        <is>
          <t>10/02/2026</t>
        </is>
      </c>
      <c r="I2777" t="inlineStr">
        <is>
          <t>27/03/2026</t>
        </is>
      </c>
      <c r="J2777" t="inlineStr">
        <is>
          <t>17/03/2026</t>
        </is>
      </c>
      <c r="K2777" t="inlineStr">
        <is>
          <t>N/A</t>
        </is>
      </c>
      <c r="L2777" t="inlineStr">
        <is>
          <t>Bất Động Sản, Dịch Vụ Khách Hàng, Thủ Tục Bất Động Sản, Bán hàng &amp; Chăm sóc khách hàng, Luật Đất Đai</t>
        </is>
      </c>
      <c r="M2777" t="inlineStr">
        <is>
          <t>Bonus, Training, Others</t>
        </is>
      </c>
      <c r="N2777" s="8">
        <f>HYPERLINK("https://www.vietnamworks.com/truong-phong-dich-vu-thu-tuc-khach-hang-bds-lam-viec-tai-tp-thanh-hoa-2011191-jv","Xem chi tiết")</f>
        <v/>
      </c>
    </row>
    <row r="2778">
      <c r="B2778" s="9" t="n">
        <v>2776</v>
      </c>
      <c r="C2778" s="10" t="inlineStr">
        <is>
          <t>Senior, Valuation (Deals Advisory)</t>
        </is>
      </c>
      <c r="D2778" s="10" t="inlineStr">
        <is>
          <t>KPMG Việt Nam</t>
        </is>
      </c>
      <c r="E2778" s="10" t="inlineStr">
        <is>
          <t>Thương lượng</t>
        </is>
      </c>
      <c r="F2778" s="10" t="inlineStr">
        <is>
          <t>Hồ Chí Minh</t>
        </is>
      </c>
      <c r="G2778" s="10" t="inlineStr">
        <is>
          <t>Nhân viên</t>
        </is>
      </c>
      <c r="H2778" s="10" t="inlineStr">
        <is>
          <t>10/02/2026</t>
        </is>
      </c>
      <c r="I2778" s="10" t="inlineStr">
        <is>
          <t>27/03/2026</t>
        </is>
      </c>
      <c r="J2778" s="10" t="inlineStr">
        <is>
          <t>17/03/2026</t>
        </is>
      </c>
      <c r="K2778" s="10" t="inlineStr">
        <is>
          <t>N/A</t>
        </is>
      </c>
      <c r="L2778" s="10" t="inlineStr">
        <is>
          <t>Valuation, Equity Research, Feasibility Study, Investment Analysis</t>
        </is>
      </c>
      <c r="M2778" s="10" t="inlineStr">
        <is>
          <t>Bonus, Healthcare Plan, Training</t>
        </is>
      </c>
      <c r="N2778" s="11">
        <f>HYPERLINK("https://www.vietnamworks.com/senior-valuation-deals-advisory--2011203-jv","Xem chi tiết")</f>
        <v/>
      </c>
      <c r="O2778" s="10" t="n"/>
    </row>
    <row r="2779">
      <c r="B2779" s="7" t="n">
        <v>2777</v>
      </c>
      <c r="C2779" t="inlineStr">
        <is>
          <t>Outdoor Senior Sales Executive</t>
        </is>
      </c>
      <c r="D2779" t="inlineStr">
        <is>
          <t>Công Ty TNHH Hankyu Hanshin Express Việt Nam</t>
        </is>
      </c>
      <c r="E2779" t="inlineStr">
        <is>
          <t>$$ 500-700 /tháng</t>
        </is>
      </c>
      <c r="F2779" t="inlineStr">
        <is>
          <t>Hải Phòng</t>
        </is>
      </c>
      <c r="G2779" t="inlineStr">
        <is>
          <t>Nhân viên</t>
        </is>
      </c>
      <c r="H2779" t="inlineStr">
        <is>
          <t>10/02/2026</t>
        </is>
      </c>
      <c r="I2779" t="inlineStr">
        <is>
          <t>27/03/2026</t>
        </is>
      </c>
      <c r="J2779" t="inlineStr">
        <is>
          <t>17/03/2026</t>
        </is>
      </c>
      <c r="K2779" t="inlineStr">
        <is>
          <t>N/A</t>
        </is>
      </c>
      <c r="L2779" t="inlineStr">
        <is>
          <t>Logistics Training, Freight Forwarding, Customs Clearance, Negotiation, Sales Logistics</t>
        </is>
      </c>
      <c r="M2779" t="inlineStr">
        <is>
          <t>Bonus, Healthcare Plan, Paid Leave, Others</t>
        </is>
      </c>
      <c r="N2779" s="8">
        <f>HYPERLINK("https://www.vietnamworks.com/outdoor-senior-sales-executive-2011196-jv","Xem chi tiết")</f>
        <v/>
      </c>
    </row>
    <row r="2780">
      <c r="B2780" s="9" t="n">
        <v>2778</v>
      </c>
      <c r="C2780" s="10" t="inlineStr">
        <is>
          <t>Chuyên Viên Ngân Sách Dự Toán (Có Thể Đi Làm Sau Tết)</t>
        </is>
      </c>
      <c r="D2780" s="10" t="inlineStr">
        <is>
          <t>Công Ty Cổ Phần Đầu Tư Infinity Group</t>
        </is>
      </c>
      <c r="E2780" s="10" t="inlineStr">
        <is>
          <t>Thương lượng</t>
        </is>
      </c>
      <c r="F2780" s="10" t="inlineStr">
        <is>
          <t>Hà Nội</t>
        </is>
      </c>
      <c r="G2780" s="10" t="inlineStr">
        <is>
          <t>Nhân viên</t>
        </is>
      </c>
      <c r="H2780" s="10" t="inlineStr">
        <is>
          <t>10/02/2026</t>
        </is>
      </c>
      <c r="I2780" s="10" t="inlineStr">
        <is>
          <t>27/03/2026</t>
        </is>
      </c>
      <c r="J2780" s="10" t="inlineStr">
        <is>
          <t>17/03/2026</t>
        </is>
      </c>
      <c r="K2780" s="10" t="inlineStr">
        <is>
          <t>N/A</t>
        </is>
      </c>
      <c r="L2780" s="10" t="inlineStr">
        <is>
          <t>Đầu Tư Xây Dựng, Đấu Thầu, Bóc Tách Khối Lượng, Civil</t>
        </is>
      </c>
      <c r="M2780" s="10" t="inlineStr">
        <is>
          <t>Bonus, Healthcare Plan, Training, Others</t>
        </is>
      </c>
      <c r="N2780" s="11">
        <f>HYPERLINK("https://www.vietnamworks.com/chuyen-vien-ngan-sach-du-toan-co-the-dji-lam-sau-tet-2011202-jv","Xem chi tiết")</f>
        <v/>
      </c>
      <c r="O2780" s="10" t="n"/>
    </row>
    <row r="2781">
      <c r="B2781" s="7" t="n">
        <v>2779</v>
      </c>
      <c r="C2781" t="inlineStr">
        <is>
          <t>Head Of Marketing (Online Growth &amp; Brand Strategy)</t>
        </is>
      </c>
      <c r="D2781" t="inlineStr">
        <is>
          <t>CÔNG TY TNHH AU SUNSHINE</t>
        </is>
      </c>
      <c r="E2781" t="inlineStr">
        <is>
          <t>Thương lượng</t>
        </is>
      </c>
      <c r="F2781" t="inlineStr">
        <is>
          <t>Hồ Chí Minh</t>
        </is>
      </c>
      <c r="G2781" t="inlineStr">
        <is>
          <t>Giám Đốc và Cấp Cao Hơn</t>
        </is>
      </c>
      <c r="H2781" t="inlineStr">
        <is>
          <t>10/02/2026</t>
        </is>
      </c>
      <c r="I2781" t="inlineStr">
        <is>
          <t>27/03/2026</t>
        </is>
      </c>
      <c r="J2781" t="inlineStr">
        <is>
          <t>17/03/2026</t>
        </is>
      </c>
      <c r="K2781" t="inlineStr">
        <is>
          <t>N/A</t>
        </is>
      </c>
      <c r="L2781" t="inlineStr">
        <is>
          <t>Marketing Strategy, E-commerce, Data Analysis, Brand Communication, Leadership</t>
        </is>
      </c>
      <c r="M2781" t="inlineStr">
        <is>
          <t>Bonus, Healthcare Plan, Paid Leave, Training, Others</t>
        </is>
      </c>
      <c r="N2781" s="8">
        <f>HYPERLINK("https://www.vietnamworks.com/head-of-marketing-online-growth-and-brand-strategy-2011192-jv","Xem chi tiết")</f>
        <v/>
      </c>
    </row>
    <row r="2782">
      <c r="B2782" s="9" t="n">
        <v>2780</v>
      </c>
      <c r="C2782" s="10" t="inlineStr">
        <is>
          <t>Business Assistant Intern</t>
        </is>
      </c>
      <c r="D2782" s="10" t="inlineStr">
        <is>
          <t>Navigos Group</t>
        </is>
      </c>
      <c r="E2782" s="10" t="inlineStr">
        <is>
          <t>Thương lượng</t>
        </is>
      </c>
      <c r="F2782" s="10" t="inlineStr">
        <is>
          <t>Hồ Chí Minh</t>
        </is>
      </c>
      <c r="G2782" s="10" t="inlineStr">
        <is>
          <t>Thực tập sinh/Sinh viên</t>
        </is>
      </c>
      <c r="H2782" s="10" t="inlineStr">
        <is>
          <t>10/02/2026</t>
        </is>
      </c>
      <c r="I2782" s="10" t="inlineStr">
        <is>
          <t>27/03/2026</t>
        </is>
      </c>
      <c r="J2782" s="10" t="inlineStr">
        <is>
          <t>17/03/2026</t>
        </is>
      </c>
      <c r="K2782" s="10" t="inlineStr">
        <is>
          <t>N/A</t>
        </is>
      </c>
      <c r="L2782" s="10" t="inlineStr">
        <is>
          <t>General Communication English, MS Office, Positive Attitude, Proactive Review, Passion In Learning Business</t>
        </is>
      </c>
      <c r="M2782" s="10" t="inlineStr">
        <is>
          <t>Training</t>
        </is>
      </c>
      <c r="N2782" s="11">
        <f>HYPERLINK("https://www.vietnamworks.com/business-assistant-intern-2011201-jv","Xem chi tiết")</f>
        <v/>
      </c>
      <c r="O2782" s="10" t="n"/>
    </row>
    <row r="2783">
      <c r="B2783" s="7" t="n">
        <v>2781</v>
      </c>
      <c r="C2783" t="inlineStr">
        <is>
          <t>Kỹ Sư Cơ Điện</t>
        </is>
      </c>
      <c r="D2783" t="inlineStr">
        <is>
          <t>Công ty Cổ phần Dược phẩm Phenikaa (Phenikaa Pharma)</t>
        </is>
      </c>
      <c r="E2783" t="inlineStr">
        <is>
          <t>Tới 20tr ₫/tháng</t>
        </is>
      </c>
      <c r="F2783" t="inlineStr">
        <is>
          <t>Hà Nội</t>
        </is>
      </c>
      <c r="G2783" t="inlineStr">
        <is>
          <t>Nhân viên</t>
        </is>
      </c>
      <c r="H2783" t="inlineStr">
        <is>
          <t>10/02/2026</t>
        </is>
      </c>
      <c r="I2783" t="inlineStr">
        <is>
          <t>27/03/2026</t>
        </is>
      </c>
      <c r="J2783" t="inlineStr">
        <is>
          <t>17/03/2026</t>
        </is>
      </c>
      <c r="K2783" t="inlineStr">
        <is>
          <t>N/A</t>
        </is>
      </c>
      <c r="L2783" t="inlineStr">
        <is>
          <t>Cơ Điện Tử, Bảo Dưỡng Máy Móc, Cơ khí chế tạo máy, Lắp Đặt Thiết Bị Cơ Điện, Sửa Chữa Cơ Điện</t>
        </is>
      </c>
      <c r="M2783" t="inlineStr">
        <is>
          <t>Bonus, Healthcare Plan, Paid Leave, Travel Opportunities, Others</t>
        </is>
      </c>
      <c r="N2783" s="8">
        <f>HYPERLINK("https://www.vietnamworks.com/ky-su-co-djien-2011194-jv","Xem chi tiết")</f>
        <v/>
      </c>
    </row>
    <row r="2784">
      <c r="B2784" s="9" t="n">
        <v>2782</v>
      </c>
      <c r="C2784" s="10" t="inlineStr">
        <is>
          <t>Trưởng Phòng Phát Triển Dự Án</t>
        </is>
      </c>
      <c r="D2784" s="10" t="inlineStr">
        <is>
          <t>Công Ty Cổ Phần Đầu Tư Infinity Group</t>
        </is>
      </c>
      <c r="E2784" s="10" t="inlineStr">
        <is>
          <t>Thương lượng</t>
        </is>
      </c>
      <c r="F2784" s="10" t="inlineStr">
        <is>
          <t>Hà Nội</t>
        </is>
      </c>
      <c r="G2784" s="10" t="inlineStr">
        <is>
          <t>Nhân viên</t>
        </is>
      </c>
      <c r="H2784" s="10" t="inlineStr">
        <is>
          <t>10/02/2026</t>
        </is>
      </c>
      <c r="I2784" s="10" t="inlineStr">
        <is>
          <t>27/03/2026</t>
        </is>
      </c>
      <c r="J2784" s="10" t="inlineStr">
        <is>
          <t>17/03/2026</t>
        </is>
      </c>
      <c r="K2784" s="10" t="inlineStr">
        <is>
          <t>N/A</t>
        </is>
      </c>
      <c r="L2784" s="10" t="inlineStr">
        <is>
          <t>Xây Dựng, Quản Lý Dự Án, Phát Triển Dự Án, Pháp Lý Dự Án, Bất Động Sản</t>
        </is>
      </c>
      <c r="M2784" s="10" t="inlineStr">
        <is>
          <t>Bonus, Healthcare Plan, Travel Opportunities</t>
        </is>
      </c>
      <c r="N2784" s="11">
        <f>HYPERLINK("https://www.vietnamworks.com/truong-phong-phat-trien-du-an--2011204-jv","Xem chi tiết")</f>
        <v/>
      </c>
      <c r="O2784" s="10" t="n"/>
    </row>
    <row r="2785">
      <c r="B2785" s="7" t="n">
        <v>2783</v>
      </c>
      <c r="C2785" t="inlineStr">
        <is>
          <t>Trưởng Phòng Công Nghệ Thông Tin</t>
        </is>
      </c>
      <c r="D2785" t="inlineStr">
        <is>
          <t>Công Ty Cổ Phần Đầu Tư Infinity Group</t>
        </is>
      </c>
      <c r="E2785" t="inlineStr">
        <is>
          <t>Thương lượng</t>
        </is>
      </c>
      <c r="F2785" t="inlineStr">
        <is>
          <t>Hà Nội</t>
        </is>
      </c>
      <c r="G2785" t="inlineStr">
        <is>
          <t>Trưởng phòng</t>
        </is>
      </c>
      <c r="H2785" t="inlineStr">
        <is>
          <t>10/02/2026</t>
        </is>
      </c>
      <c r="I2785" t="inlineStr">
        <is>
          <t>27/03/2026</t>
        </is>
      </c>
      <c r="J2785" t="inlineStr">
        <is>
          <t>17/03/2026</t>
        </is>
      </c>
      <c r="K2785" t="inlineStr">
        <is>
          <t>N/A</t>
        </is>
      </c>
      <c r="L2785" t="inlineStr">
        <is>
          <t>Project Management, IT System Administration, IT Management, Big Data, Cloud</t>
        </is>
      </c>
      <c r="M2785" t="inlineStr">
        <is>
          <t>Bonus, Healthcare Plan, Travel Opportunities</t>
        </is>
      </c>
      <c r="N2785" s="8">
        <f>HYPERLINK("https://www.vietnamworks.com/truong-phong-cong-nghe-thong-tin--2011205-jv","Xem chi tiết")</f>
        <v/>
      </c>
    </row>
    <row r="2786">
      <c r="B2786" s="9" t="n">
        <v>2784</v>
      </c>
      <c r="C2786" s="10" t="inlineStr">
        <is>
          <t>Kế Toán Trưởng</t>
        </is>
      </c>
      <c r="D2786" s="10" t="inlineStr">
        <is>
          <t>Công ty CP Công nghệ giáo dục Trường học trực tuyến</t>
        </is>
      </c>
      <c r="E2786" s="10" t="inlineStr">
        <is>
          <t>25tr-32tr ₫/tháng</t>
        </is>
      </c>
      <c r="F2786" s="10" t="inlineStr">
        <is>
          <t>Hà Nội</t>
        </is>
      </c>
      <c r="G2786" s="10" t="inlineStr">
        <is>
          <t>Trưởng phòng</t>
        </is>
      </c>
      <c r="H2786" s="10" t="inlineStr">
        <is>
          <t>10/02/2026</t>
        </is>
      </c>
      <c r="I2786" s="10" t="inlineStr">
        <is>
          <t>27/03/2026</t>
        </is>
      </c>
      <c r="J2786" s="10" t="inlineStr">
        <is>
          <t>17/03/2026</t>
        </is>
      </c>
      <c r="K2786" s="10" t="inlineStr">
        <is>
          <t>N/A</t>
        </is>
      </c>
      <c r="L2786" s="10" t="inlineStr">
        <is>
          <t>Giao Tiếp, Kế Toán, Kiểm Toán, Quản Lý, Tài Chính</t>
        </is>
      </c>
      <c r="M2786" s="10" t="inlineStr">
        <is>
          <t>Bonus, Healthcare Plan, Paid Leave, Travel Opportunities, Team Activities, Canteen, Others</t>
        </is>
      </c>
      <c r="N2786" s="11">
        <f>HYPERLINK("https://www.vietnamworks.com/ke-toan-truong-2011182-jv","Xem chi tiết")</f>
        <v/>
      </c>
      <c r="O2786" s="10" t="n"/>
    </row>
    <row r="2787">
      <c r="B2787" s="7" t="n">
        <v>2785</v>
      </c>
      <c r="C2787" t="inlineStr">
        <is>
          <t>Kỹ Sư Hiện Trường - Hạ Tầng Kỹ Thuật</t>
        </is>
      </c>
      <c r="D2787" t="inlineStr">
        <is>
          <t>Công ty TNHH Thương mại đầu tư và xây dựng Toàn Thắng</t>
        </is>
      </c>
      <c r="E2787" t="inlineStr">
        <is>
          <t>$$ 700-1,000 /tháng</t>
        </is>
      </c>
      <c r="F2787" t="inlineStr">
        <is>
          <t>Hà Nội</t>
        </is>
      </c>
      <c r="G2787" t="inlineStr">
        <is>
          <t>Nhân viên</t>
        </is>
      </c>
      <c r="H2787" t="inlineStr">
        <is>
          <t>10/02/2026</t>
        </is>
      </c>
      <c r="I2787" t="inlineStr">
        <is>
          <t>27/03/2026</t>
        </is>
      </c>
      <c r="J2787" t="inlineStr">
        <is>
          <t>17/03/2026</t>
        </is>
      </c>
      <c r="K2787" t="inlineStr">
        <is>
          <t>N/A</t>
        </is>
      </c>
      <c r="L2787" t="inlineStr">
        <is>
          <t>Kỹ Thuật Hiện Trường, Hạ Tầng Xây Dựng, Giám Sát Chất Lượng, Nghiệm Thu, Quản Lý Hồ Sơ</t>
        </is>
      </c>
      <c r="M2787" t="inlineStr">
        <is>
          <t>Bonus, Healthcare Plan, Paid Leave</t>
        </is>
      </c>
      <c r="N2787" s="8">
        <f>HYPERLINK("https://www.vietnamworks.com/ky-su-hien-truong-ha-tang-ky-thuat--2011221-jv","Xem chi tiết")</f>
        <v/>
      </c>
    </row>
    <row r="2788">
      <c r="B2788" s="9" t="n">
        <v>2786</v>
      </c>
      <c r="C2788" s="10" t="inlineStr">
        <is>
          <t>Customer Service</t>
        </is>
      </c>
      <c r="D2788" s="10" t="inlineStr">
        <is>
          <t>CÔNG TY TNHH VẬN TẢI KTO</t>
        </is>
      </c>
      <c r="E2788" s="10" t="inlineStr">
        <is>
          <t>10tr-20tr ₫/tháng</t>
        </is>
      </c>
      <c r="F2788" s="10" t="inlineStr">
        <is>
          <t>Hà Nội</t>
        </is>
      </c>
      <c r="G2788" s="10" t="inlineStr">
        <is>
          <t>Nhân viên</t>
        </is>
      </c>
      <c r="H2788" s="10" t="inlineStr">
        <is>
          <t>10/02/2026</t>
        </is>
      </c>
      <c r="I2788" s="10" t="inlineStr">
        <is>
          <t>27/03/2026</t>
        </is>
      </c>
      <c r="J2788" s="10" t="inlineStr">
        <is>
          <t>17/03/2026</t>
        </is>
      </c>
      <c r="K2788" s="10" t="inlineStr">
        <is>
          <t>N/A</t>
        </is>
      </c>
      <c r="L2788" s="10" t="inlineStr">
        <is>
          <t>Incoterms, Kiểm Tra Công Nợ</t>
        </is>
      </c>
      <c r="M2788" s="10" t="inlineStr">
        <is>
          <t>Bonus, Healthcare Plan, Training, Team Activities, Others</t>
        </is>
      </c>
      <c r="N2788" s="11">
        <f>HYPERLINK("https://www.vietnamworks.com/customer-service-2011209-jv","Xem chi tiết")</f>
        <v/>
      </c>
      <c r="O2788" s="10" t="n"/>
    </row>
    <row r="2789">
      <c r="B2789" s="7" t="n">
        <v>2787</v>
      </c>
      <c r="C2789" t="inlineStr">
        <is>
          <t>Import Export Officer</t>
        </is>
      </c>
      <c r="D2789" t="inlineStr">
        <is>
          <t>AkzoNobel Vietnam</t>
        </is>
      </c>
      <c r="E2789" t="inlineStr">
        <is>
          <t>Thương lượng</t>
        </is>
      </c>
      <c r="F2789" t="inlineStr">
        <is>
          <t>Đồng Nai</t>
        </is>
      </c>
      <c r="G2789" t="inlineStr">
        <is>
          <t>Nhân viên</t>
        </is>
      </c>
      <c r="H2789" t="inlineStr">
        <is>
          <t>10/02/2026</t>
        </is>
      </c>
      <c r="I2789" t="inlineStr">
        <is>
          <t>27/03/2026</t>
        </is>
      </c>
      <c r="J2789" t="inlineStr">
        <is>
          <t>17/03/2026</t>
        </is>
      </c>
      <c r="K2789" t="inlineStr">
        <is>
          <t>N/A</t>
        </is>
      </c>
      <c r="L2789" t="inlineStr">
        <is>
          <t>Communication Skills, Customs Regulation, English Fluency, Logistics, Team Work</t>
        </is>
      </c>
      <c r="M2789" t="inlineStr">
        <is>
          <t>Bonus, Healthcare Plan, Paid Leave</t>
        </is>
      </c>
      <c r="N2789" s="8">
        <f>HYPERLINK("https://www.vietnamworks.com/import-export-officer-2011210-jv","Xem chi tiết")</f>
        <v/>
      </c>
    </row>
    <row r="2790">
      <c r="B2790" s="9" t="n">
        <v>2788</v>
      </c>
      <c r="C2790" s="10" t="inlineStr">
        <is>
          <t>Kỹ Sư Hiện Trường Làm Việc Tại Dự Án Hải Dương hoặc Bình Định</t>
        </is>
      </c>
      <c r="D2790" s="10" t="inlineStr">
        <is>
          <t>KAS E&amp;C (Vietnam) Ltd Company</t>
        </is>
      </c>
      <c r="E2790" s="10" t="inlineStr">
        <is>
          <t>$$ 500-1,000 /tháng</t>
        </is>
      </c>
      <c r="F2790" s="10" t="inlineStr">
        <is>
          <t>Hải Phòng, Bình Định</t>
        </is>
      </c>
      <c r="G2790" s="10" t="inlineStr">
        <is>
          <t>Nhân viên</t>
        </is>
      </c>
      <c r="H2790" s="10" t="inlineStr">
        <is>
          <t>10/02/2026</t>
        </is>
      </c>
      <c r="I2790" s="10" t="inlineStr">
        <is>
          <t>27/03/2026</t>
        </is>
      </c>
      <c r="J2790" s="10" t="inlineStr">
        <is>
          <t>17/03/2026</t>
        </is>
      </c>
      <c r="K2790" s="10" t="inlineStr">
        <is>
          <t>N/A</t>
        </is>
      </c>
      <c r="L2790" s="10" t="inlineStr">
        <is>
          <t>Quản Lý Dự Án, Giám Sát Công Trình, AutoCAD, Excel, Kỹ Sư hiện trường</t>
        </is>
      </c>
      <c r="M2790" s="10" t="inlineStr">
        <is>
          <t>Bonus, Healthcare Plan, Paid Leave, Team Activities</t>
        </is>
      </c>
      <c r="N2790" s="11">
        <f>HYPERLINK("https://www.vietnamworks.com/ky-su-hien-truong-lam-viec-tai-du-an-hai-duong-hoac-binh-djinh-2011216-jv","Xem chi tiết")</f>
        <v/>
      </c>
      <c r="O2790" s="10" t="n"/>
    </row>
    <row r="2791">
      <c r="B2791" s="7" t="n">
        <v>2789</v>
      </c>
      <c r="C2791" t="inlineStr">
        <is>
          <t>Test Engineer (Accept Fresher)</t>
        </is>
      </c>
      <c r="D2791" t="inlineStr">
        <is>
          <t>HYUNDAI Kefico</t>
        </is>
      </c>
      <c r="E2791" t="inlineStr">
        <is>
          <t>Thương lượng</t>
        </is>
      </c>
      <c r="F2791" t="inlineStr">
        <is>
          <t>Hà Nội</t>
        </is>
      </c>
      <c r="G2791" t="inlineStr">
        <is>
          <t>Nhân viên</t>
        </is>
      </c>
      <c r="H2791" t="inlineStr">
        <is>
          <t>10/02/2026</t>
        </is>
      </c>
      <c r="I2791" t="inlineStr">
        <is>
          <t>27/03/2026</t>
        </is>
      </c>
      <c r="J2791" t="inlineStr">
        <is>
          <t>17/03/2026</t>
        </is>
      </c>
      <c r="K2791" t="inlineStr">
        <is>
          <t>N/A</t>
        </is>
      </c>
      <c r="L2791" t="inlineStr">
        <is>
          <t>Test, Automation Testing, software, Automotive</t>
        </is>
      </c>
      <c r="M2791" t="inlineStr">
        <is>
          <t>Paid Leave, Training, Transportation</t>
        </is>
      </c>
      <c r="N2791" s="8">
        <f>HYPERLINK("https://www.vietnamworks.com/test-engineer-accept-fresher-2011211-jv","Xem chi tiết")</f>
        <v/>
      </c>
    </row>
    <row r="2792">
      <c r="B2792" s="9" t="n">
        <v>2790</v>
      </c>
      <c r="C2792" s="10" t="inlineStr">
        <is>
          <t>Nhân Viên R&amp;D (Chuyên Hoá Hữu Cơ, Hoá Dược)</t>
        </is>
      </c>
      <c r="D2792" s="10" t="inlineStr">
        <is>
          <t>Công Ty Cổ Phần TechVina Holding</t>
        </is>
      </c>
      <c r="E2792" s="10" t="inlineStr">
        <is>
          <t>15tr-20tr ₫/tháng</t>
        </is>
      </c>
      <c r="F2792" s="10" t="inlineStr">
        <is>
          <t>Hưng Yên</t>
        </is>
      </c>
      <c r="G2792" s="10" t="inlineStr">
        <is>
          <t>Nhân viên</t>
        </is>
      </c>
      <c r="H2792" s="10" t="inlineStr">
        <is>
          <t>10/02/2026</t>
        </is>
      </c>
      <c r="I2792" s="10" t="inlineStr">
        <is>
          <t>27/03/2026</t>
        </is>
      </c>
      <c r="J2792" s="10" t="inlineStr">
        <is>
          <t>17/03/2026</t>
        </is>
      </c>
      <c r="K2792" s="10" t="inlineStr">
        <is>
          <t>N/A</t>
        </is>
      </c>
      <c r="L2792" s="10" t="inlineStr">
        <is>
          <t>Hóa Hữu Cơ, R&amp;D, Hoá Dược, Phát Triển Sản Phẩm, Nghiên Cứu Sản Phẩm</t>
        </is>
      </c>
      <c r="M2792" s="10" t="inlineStr">
        <is>
          <t>Healthcare Plan, Awards, Others</t>
        </is>
      </c>
      <c r="N2792" s="11">
        <f>HYPERLINK("https://www.vietnamworks.com/nhan-vien-r-d-chuyen-hoa-huu-co-hoa-duoc-2011214-jv","Xem chi tiết")</f>
        <v/>
      </c>
      <c r="O2792" s="10" t="n"/>
    </row>
    <row r="2793">
      <c r="B2793" s="7" t="n">
        <v>2791</v>
      </c>
      <c r="C2793" t="inlineStr">
        <is>
          <t>[Kotra HCM] Factory General Manager (GM)</t>
        </is>
      </c>
      <c r="D2793" t="inlineStr">
        <is>
          <t>KOTRA HCM</t>
        </is>
      </c>
      <c r="E2793" t="inlineStr">
        <is>
          <t>Từ $ 20,000 /tháng</t>
        </is>
      </c>
      <c r="F2793" t="inlineStr">
        <is>
          <t>Bắc Ninh, Bình Dương</t>
        </is>
      </c>
      <c r="G2793" t="inlineStr">
        <is>
          <t>Trưởng phòng</t>
        </is>
      </c>
      <c r="H2793" t="inlineStr">
        <is>
          <t>10/02/2026</t>
        </is>
      </c>
      <c r="I2793" t="inlineStr">
        <is>
          <t>27/03/2026</t>
        </is>
      </c>
      <c r="J2793" t="inlineStr">
        <is>
          <t>17/03/2026</t>
        </is>
      </c>
      <c r="K2793" t="inlineStr">
        <is>
          <t>N/A</t>
        </is>
      </c>
      <c r="L2793" t="inlineStr">
        <is>
          <t>Manufacturing, Korean Language, Factory Management, General Administration, Document Management</t>
        </is>
      </c>
      <c r="M2793" t="inlineStr">
        <is>
          <t>Paid Leave, Team Activities</t>
        </is>
      </c>
      <c r="N2793" s="8">
        <f>HYPERLINK("https://www.vietnamworks.com/kotra-hcm-factory-general-manager-gm--2011212-jv","Xem chi tiết")</f>
        <v/>
      </c>
    </row>
    <row r="2794">
      <c r="B2794" s="9" t="n">
        <v>2792</v>
      </c>
      <c r="C2794" s="10" t="inlineStr">
        <is>
          <t>Maintenance Engineer - Australian Company in Binh Duong</t>
        </is>
      </c>
      <c r="D2794" s="10" t="inlineStr">
        <is>
          <t>Rheem Viet Nam LTD.</t>
        </is>
      </c>
      <c r="E2794" s="10" t="inlineStr">
        <is>
          <t>Thương lượng</t>
        </is>
      </c>
      <c r="F2794" s="10" t="inlineStr">
        <is>
          <t>Bình Dương</t>
        </is>
      </c>
      <c r="G2794" s="10" t="inlineStr">
        <is>
          <t>Nhân viên</t>
        </is>
      </c>
      <c r="H2794" s="10" t="inlineStr">
        <is>
          <t>10/02/2026</t>
        </is>
      </c>
      <c r="I2794" s="10" t="inlineStr">
        <is>
          <t>27/03/2026</t>
        </is>
      </c>
      <c r="J2794" s="10" t="inlineStr">
        <is>
          <t>17/03/2026</t>
        </is>
      </c>
      <c r="K2794" s="10" t="inlineStr">
        <is>
          <t>N/A</t>
        </is>
      </c>
      <c r="L2794" s="10" t="inlineStr">
        <is>
          <t>Project Management, Mechanical, Maintenance, Facility Maintenance, Reliability</t>
        </is>
      </c>
      <c r="M2794" s="10" t="inlineStr">
        <is>
          <t>Bonus, Training, Others</t>
        </is>
      </c>
      <c r="N2794" s="11">
        <f>HYPERLINK("https://www.vietnamworks.com/maintenance-engineer-australian-company-in-binh-duong-2011208-jv","Xem chi tiết")</f>
        <v/>
      </c>
      <c r="O2794" s="10" t="n"/>
    </row>
    <row r="2795">
      <c r="B2795" s="7" t="n">
        <v>2793</v>
      </c>
      <c r="C2795" t="inlineStr">
        <is>
          <t>Facility &amp; Maintenance Engineer</t>
        </is>
      </c>
      <c r="D2795" t="inlineStr">
        <is>
          <t>Avery Dennison Vietnam</t>
        </is>
      </c>
      <c r="E2795" t="inlineStr">
        <is>
          <t>Thương lượng</t>
        </is>
      </c>
      <c r="F2795" t="inlineStr">
        <is>
          <t>Long An</t>
        </is>
      </c>
      <c r="G2795" t="inlineStr">
        <is>
          <t>Nhân viên</t>
        </is>
      </c>
      <c r="H2795" t="inlineStr">
        <is>
          <t>10/02/2026</t>
        </is>
      </c>
      <c r="I2795" t="inlineStr">
        <is>
          <t>27/03/2026</t>
        </is>
      </c>
      <c r="J2795" t="inlineStr">
        <is>
          <t>17/03/2026</t>
        </is>
      </c>
      <c r="K2795" t="inlineStr">
        <is>
          <t>N/A</t>
        </is>
      </c>
      <c r="L2795" t="inlineStr">
        <is>
          <t>MEP Engineering, Maintenance Engineering, Maintenance Utility, Industrial Factory Supervision, Industrial Printing</t>
        </is>
      </c>
      <c r="M2795" t="inlineStr">
        <is>
          <t>Bonus, Healthcare Plan, Paid Leave</t>
        </is>
      </c>
      <c r="N2795" s="8">
        <f>HYPERLINK("https://www.vietnamworks.com/facility-maintenance-engineer--2011215-jv","Xem chi tiết")</f>
        <v/>
      </c>
    </row>
    <row r="2796">
      <c r="B2796" s="9" t="n">
        <v>2794</v>
      </c>
      <c r="C2796" s="10" t="inlineStr">
        <is>
          <t>Phó Tổng Giám Đốc Khai Thác Cảng Đình Vũ</t>
        </is>
      </c>
      <c r="D2796" s="10" t="inlineStr">
        <is>
          <t>Công Ty Cổ Phần Đầu Tư và Phát Triển Cảng Đình Vũ</t>
        </is>
      </c>
      <c r="E2796" s="10" t="inlineStr">
        <is>
          <t>Thương lượng</t>
        </is>
      </c>
      <c r="F2796" s="10" t="inlineStr">
        <is>
          <t>Hải Phòng</t>
        </is>
      </c>
      <c r="G2796" s="10" t="inlineStr">
        <is>
          <t>Giám Đốc và Cấp Cao Hơn</t>
        </is>
      </c>
      <c r="H2796" s="10" t="inlineStr">
        <is>
          <t>10/02/2026</t>
        </is>
      </c>
      <c r="I2796" s="10" t="inlineStr">
        <is>
          <t>27/03/2026</t>
        </is>
      </c>
      <c r="J2796" s="10" t="inlineStr">
        <is>
          <t>17/03/2026</t>
        </is>
      </c>
      <c r="K2796" s="10" t="inlineStr">
        <is>
          <t>N/A</t>
        </is>
      </c>
      <c r="L2796" s="10" t="inlineStr">
        <is>
          <t>Quản Lý Khai Thác Cảng, Vận Tải Biển, Logistics, Quản Trị Kinh Doanh, Giao Tiếp Tiếng Anh</t>
        </is>
      </c>
      <c r="M2796" s="10" t="inlineStr">
        <is>
          <t>Bonus, Healthcare Plan, Paid Leave, Training, Others</t>
        </is>
      </c>
      <c r="N2796" s="11">
        <f>HYPERLINK("https://www.vietnamworks.com/pho-tong-giam-djoc-khai-thac-cang-djinh-vu-2011219-jv","Xem chi tiết")</f>
        <v/>
      </c>
      <c r="O2796" s="10" t="n"/>
    </row>
    <row r="2797">
      <c r="B2797" s="7" t="n">
        <v>2795</v>
      </c>
      <c r="C2797" t="inlineStr">
        <is>
          <t>Sales Supervisor - MT</t>
        </is>
      </c>
      <c r="D2797" t="inlineStr">
        <is>
          <t>Bel</t>
        </is>
      </c>
      <c r="E2797" t="inlineStr">
        <is>
          <t>Thương lượng</t>
        </is>
      </c>
      <c r="F2797" t="inlineStr">
        <is>
          <t>Đà Nẵng</t>
        </is>
      </c>
      <c r="G2797" t="inlineStr">
        <is>
          <t>Nhân viên</t>
        </is>
      </c>
      <c r="H2797" t="inlineStr">
        <is>
          <t>10/02/2026</t>
        </is>
      </c>
      <c r="I2797" t="inlineStr">
        <is>
          <t>27/03/2026</t>
        </is>
      </c>
      <c r="J2797" t="inlineStr">
        <is>
          <t>17/03/2026</t>
        </is>
      </c>
      <c r="K2797" t="inlineStr">
        <is>
          <t>N/A</t>
        </is>
      </c>
      <c r="L2797" t="inlineStr">
        <is>
          <t>GT Channel, Giám Sát Bán Hàng, FMCG, Giám Sát Kinh Doanh, Quản Lý Nhà Phân Phối</t>
        </is>
      </c>
      <c r="M2797" t="inlineStr">
        <is>
          <t>Bonus, Healthcare Plan, Paid Leave</t>
        </is>
      </c>
      <c r="N2797" s="8">
        <f>HYPERLINK("https://www.vietnamworks.com/sales-supervisor-mt--2011233-jv","Xem chi tiết")</f>
        <v/>
      </c>
    </row>
    <row r="2798">
      <c r="B2798" s="9" t="n">
        <v>2796</v>
      </c>
      <c r="C2798" s="10" t="inlineStr">
        <is>
          <t>International Procurement Officer - Chuyên Viên Mua Hàng Quốc Tế</t>
        </is>
      </c>
      <c r="D2798" s="10" t="inlineStr">
        <is>
          <t>LG Electronics Vietnam Hai Phong - Sales &amp; Marketing Company</t>
        </is>
      </c>
      <c r="E2798" s="10" t="inlineStr">
        <is>
          <t>Thương lượng</t>
        </is>
      </c>
      <c r="F2798" s="10" t="inlineStr">
        <is>
          <t>Hồ Chí Minh</t>
        </is>
      </c>
      <c r="G2798" s="10" t="inlineStr">
        <is>
          <t>Nhân viên</t>
        </is>
      </c>
      <c r="H2798" s="10" t="inlineStr">
        <is>
          <t>10/02/2026</t>
        </is>
      </c>
      <c r="I2798" s="10" t="inlineStr">
        <is>
          <t>27/03/2026</t>
        </is>
      </c>
      <c r="J2798" s="10" t="inlineStr">
        <is>
          <t>17/03/2026</t>
        </is>
      </c>
      <c r="K2798" s="10" t="inlineStr">
        <is>
          <t>N/A</t>
        </is>
      </c>
      <c r="L2798" s="10" t="inlineStr">
        <is>
          <t>Sourcing Management, buyer, Procurement, Supplier Negotiation, Procurement &amp; Supplier Management</t>
        </is>
      </c>
      <c r="M2798" s="10" t="inlineStr">
        <is>
          <t>Healthcare Plan, Paid Leave, Canteen</t>
        </is>
      </c>
      <c r="N2798" s="11">
        <f>HYPERLINK("https://www.vietnamworks.com/international-procurement-officer-chuyen-vien-mua-hang-quoc-te-2011217-jv","Xem chi tiết")</f>
        <v/>
      </c>
      <c r="O2798" s="10" t="n"/>
    </row>
    <row r="2799">
      <c r="B2799" s="7" t="n">
        <v>2797</v>
      </c>
      <c r="C2799" t="inlineStr">
        <is>
          <t>Nhân Viên Kế Toán Nội Bộ</t>
        </is>
      </c>
      <c r="D2799" t="inlineStr">
        <is>
          <t>CÔNG TY TNHH THƯƠNG MẠI VÀ DỊCH VỤ NB VINA</t>
        </is>
      </c>
      <c r="E2799" t="inlineStr">
        <is>
          <t>7tr-10tr ₫/tháng</t>
        </is>
      </c>
      <c r="F2799" t="inlineStr">
        <is>
          <t>Hồ Chí Minh</t>
        </is>
      </c>
      <c r="G2799" t="inlineStr">
        <is>
          <t>Nhân viên</t>
        </is>
      </c>
      <c r="H2799" t="inlineStr">
        <is>
          <t>10/02/2026</t>
        </is>
      </c>
      <c r="I2799" t="inlineStr">
        <is>
          <t>27/03/2026</t>
        </is>
      </c>
      <c r="J2799" t="inlineStr">
        <is>
          <t>17/03/2026</t>
        </is>
      </c>
      <c r="K2799" t="inlineStr">
        <is>
          <t>N/A</t>
        </is>
      </c>
      <c r="L2799" t="inlineStr">
        <is>
          <t>Kế Toán, Excel, Phần mềm kế toán, Kế Toán Nội Bộ, Theo Dõi Công Nợ</t>
        </is>
      </c>
      <c r="M2799" t="inlineStr">
        <is>
          <t>Bonus, Healthcare Plan, Others</t>
        </is>
      </c>
      <c r="N2799" s="8">
        <f>HYPERLINK("https://www.vietnamworks.com/nhan-vien-ke-toan-noi-bo-2011232-jv","Xem chi tiết")</f>
        <v/>
      </c>
    </row>
    <row r="2800">
      <c r="B2800" s="9" t="n">
        <v>2798</v>
      </c>
      <c r="C2800" s="10" t="inlineStr">
        <is>
          <t>Senior Director Finance, Vietnam</t>
        </is>
      </c>
      <c r="D2800" s="10" t="inlineStr">
        <is>
          <t>Công Ty TNHH GEA Việt Nam</t>
        </is>
      </c>
      <c r="E2800" s="10" t="inlineStr">
        <is>
          <t>Thương lượng</t>
        </is>
      </c>
      <c r="F2800" s="10" t="inlineStr">
        <is>
          <t>Hồ Chí Minh</t>
        </is>
      </c>
      <c r="G2800" s="10" t="inlineStr">
        <is>
          <t>Nhân viên</t>
        </is>
      </c>
      <c r="H2800" s="10" t="inlineStr">
        <is>
          <t>10/02/2026</t>
        </is>
      </c>
      <c r="I2800" s="10" t="inlineStr">
        <is>
          <t>27/03/2026</t>
        </is>
      </c>
      <c r="J2800" s="10" t="inlineStr">
        <is>
          <t>17/03/2026</t>
        </is>
      </c>
      <c r="K2800" s="10" t="inlineStr">
        <is>
          <t>N/A</t>
        </is>
      </c>
      <c r="L2800" s="10" t="inlineStr">
        <is>
          <t>Logistics Management, International Shipping, Customs Regulation, Customs Broker, Incoterms</t>
        </is>
      </c>
      <c r="M2800" s="10" t="inlineStr">
        <is>
          <t>Bonus, Healthcare Plan</t>
        </is>
      </c>
      <c r="N2800" s="11">
        <f>HYPERLINK("https://www.vietnamworks.com/senior-director-finance-vietnam-2011222-jv","Xem chi tiết")</f>
        <v/>
      </c>
      <c r="O2800" s="10" t="n"/>
    </row>
    <row r="2801">
      <c r="B2801" s="7" t="n">
        <v>2799</v>
      </c>
      <c r="C2801" t="inlineStr">
        <is>
          <t>Chuyên Gia Đánh Giá và Gán Nhãn Mô Hình Ngôn Ngữ Lớn Tiếng Việt</t>
        </is>
      </c>
      <c r="D2801" t="inlineStr">
        <is>
          <t>VIỆN PHÁT TRIỂN CHUYỂN ĐỔI XANH, CHUYỂN ĐỔI SỐ VIỆT NAM</t>
        </is>
      </c>
      <c r="E2801" t="inlineStr">
        <is>
          <t>Thương lượng</t>
        </is>
      </c>
      <c r="F2801" t="inlineStr">
        <is>
          <t>Hà Nội</t>
        </is>
      </c>
      <c r="G2801" t="inlineStr">
        <is>
          <t>Nhân viên</t>
        </is>
      </c>
      <c r="H2801" t="inlineStr">
        <is>
          <t>10/02/2026</t>
        </is>
      </c>
      <c r="I2801" t="inlineStr">
        <is>
          <t>27/03/2026</t>
        </is>
      </c>
      <c r="J2801" t="inlineStr">
        <is>
          <t>17/03/2026</t>
        </is>
      </c>
      <c r="K2801" t="inlineStr">
        <is>
          <t>N/A</t>
        </is>
      </c>
      <c r="L2801" t="inlineStr">
        <is>
          <t>Biên Phiên Dịch</t>
        </is>
      </c>
      <c r="M2801" t="inlineStr">
        <is>
          <t>Bonus, Healthcare Plan</t>
        </is>
      </c>
      <c r="N2801" s="8">
        <f>HYPERLINK("https://www.vietnamworks.com/chuyen-gia-danh-gia-va-gan-nhan-mo-hinh-ngon-ngu-lon-tieng-viet-2011213-jv","Xem chi tiết")</f>
        <v/>
      </c>
    </row>
    <row r="2802">
      <c r="B2802" s="9" t="n">
        <v>2800</v>
      </c>
      <c r="C2802" s="10" t="inlineStr">
        <is>
          <t>Sales Operations Assistant Manager</t>
        </is>
      </c>
      <c r="D2802" s="10" t="inlineStr">
        <is>
          <t>Công Ty CP Xuất Nhập Khẩu Bến Tre</t>
        </is>
      </c>
      <c r="E2802" s="10" t="inlineStr">
        <is>
          <t>Thương lượng</t>
        </is>
      </c>
      <c r="F2802" s="10" t="inlineStr">
        <is>
          <t>Hồ Chí Minh</t>
        </is>
      </c>
      <c r="G2802" s="10" t="inlineStr">
        <is>
          <t>Nhân viên</t>
        </is>
      </c>
      <c r="H2802" s="10" t="inlineStr">
        <is>
          <t>10/02/2026</t>
        </is>
      </c>
      <c r="I2802" s="10" t="inlineStr">
        <is>
          <t>27/03/2026</t>
        </is>
      </c>
      <c r="J2802" s="10" t="inlineStr">
        <is>
          <t>17/03/2026</t>
        </is>
      </c>
      <c r="K2802" s="10" t="inlineStr">
        <is>
          <t>N/A</t>
        </is>
      </c>
      <c r="L2802" s="10" t="inlineStr">
        <is>
          <t>Sales Operation, Sales Administration, Sales Export, Sales Forecasting</t>
        </is>
      </c>
      <c r="M2802" s="10" t="inlineStr">
        <is>
          <t>Bonus, Laptop, Others</t>
        </is>
      </c>
      <c r="N2802" s="11">
        <f>HYPERLINK("https://www.vietnamworks.com/sales-operations-assistant-manager--2011220-jv","Xem chi tiết")</f>
        <v/>
      </c>
      <c r="O2802" s="10" t="n"/>
    </row>
    <row r="2803">
      <c r="B2803" s="7" t="n">
        <v>2801</v>
      </c>
      <c r="C2803" t="inlineStr">
        <is>
          <t>Legal Manager</t>
        </is>
      </c>
      <c r="D2803" t="inlineStr">
        <is>
          <t>Frasers Property Vietnam</t>
        </is>
      </c>
      <c r="E2803" t="inlineStr">
        <is>
          <t>Thương lượng</t>
        </is>
      </c>
      <c r="F2803" t="inlineStr">
        <is>
          <t>Hải Phòng, Hà Nội, Hồ Chí Minh</t>
        </is>
      </c>
      <c r="G2803" t="inlineStr">
        <is>
          <t>Trưởng phòng</t>
        </is>
      </c>
      <c r="H2803" t="inlineStr">
        <is>
          <t>10/02/2026</t>
        </is>
      </c>
      <c r="I2803" t="inlineStr">
        <is>
          <t>27/03/2026</t>
        </is>
      </c>
      <c r="J2803" t="inlineStr">
        <is>
          <t>17/03/2026</t>
        </is>
      </c>
      <c r="K2803" t="inlineStr">
        <is>
          <t>N/A</t>
        </is>
      </c>
      <c r="L2803" t="inlineStr">
        <is>
          <t>Law Firms, English, Legal Advise, Legal Risk Management, Real Estate Laws</t>
        </is>
      </c>
      <c r="M2803" t="inlineStr">
        <is>
          <t>Bonus, Training, Team Activities</t>
        </is>
      </c>
      <c r="N2803" s="8">
        <f>HYPERLINK("https://www.vietnamworks.com/legal-manager-2011235-jv","Xem chi tiết")</f>
        <v/>
      </c>
    </row>
    <row r="2804">
      <c r="B2804" s="9" t="n">
        <v>2802</v>
      </c>
      <c r="C2804" s="10" t="inlineStr">
        <is>
          <t>Quality Manager</t>
        </is>
      </c>
      <c r="D2804" s="10" t="inlineStr">
        <is>
          <t>AkzoNobel Vietnam</t>
        </is>
      </c>
      <c r="E2804" s="10" t="inlineStr">
        <is>
          <t>Thương lượng</t>
        </is>
      </c>
      <c r="F2804" s="10" t="inlineStr">
        <is>
          <t>Đồng Nai</t>
        </is>
      </c>
      <c r="G2804" s="10" t="inlineStr">
        <is>
          <t>Trưởng phòng</t>
        </is>
      </c>
      <c r="H2804" s="10" t="inlineStr">
        <is>
          <t>10/02/2026</t>
        </is>
      </c>
      <c r="I2804" s="10" t="inlineStr">
        <is>
          <t>27/03/2026</t>
        </is>
      </c>
      <c r="J2804" s="10" t="inlineStr">
        <is>
          <t>17/03/2026</t>
        </is>
      </c>
      <c r="K2804" s="10" t="inlineStr">
        <is>
          <t>N/A</t>
        </is>
      </c>
      <c r="L2804" s="10" t="inlineStr">
        <is>
          <t>ISO, Quality Assurance, Quality Management, Chemical, QA/QC experience</t>
        </is>
      </c>
      <c r="M2804" s="10" t="inlineStr">
        <is>
          <t>Bonus, Healthcare Plan, Paid Leave</t>
        </is>
      </c>
      <c r="N2804" s="11">
        <f>HYPERLINK("https://www.vietnamworks.com/quality-manager-2011229-jv","Xem chi tiết")</f>
        <v/>
      </c>
      <c r="O2804" s="10" t="n"/>
    </row>
    <row r="2805">
      <c r="B2805" s="7" t="n">
        <v>2803</v>
      </c>
      <c r="C2805" t="inlineStr">
        <is>
          <t>Logistics Material Flow Specialist/group Leader (Working Shift)</t>
        </is>
      </c>
      <c r="D2805" t="inlineStr">
        <is>
          <t>VINFAST TRADING AND PRODUCTION JSC</t>
        </is>
      </c>
      <c r="E2805" t="inlineStr">
        <is>
          <t>Thương lượng</t>
        </is>
      </c>
      <c r="F2805" t="inlineStr">
        <is>
          <t>Hải Phòng</t>
        </is>
      </c>
      <c r="G2805" t="inlineStr">
        <is>
          <t>Nhân viên</t>
        </is>
      </c>
      <c r="H2805" t="inlineStr">
        <is>
          <t>10/02/2026</t>
        </is>
      </c>
      <c r="I2805" t="inlineStr">
        <is>
          <t>27/03/2026</t>
        </is>
      </c>
      <c r="J2805" t="inlineStr">
        <is>
          <t>17/03/2026</t>
        </is>
      </c>
      <c r="K2805" t="inlineStr">
        <is>
          <t>N/A</t>
        </is>
      </c>
      <c r="L2805" t="inlineStr">
        <is>
          <t>Lean Manufacturing, SAP, Supply Chain Management, Warehouse Management</t>
        </is>
      </c>
      <c r="M2805" t="inlineStr">
        <is>
          <t>Bonus, Healthcare Plan, Canteen</t>
        </is>
      </c>
      <c r="N2805" s="8">
        <f>HYPERLINK("https://www.vietnamworks.com/logistics-material-flow-specialistgroup-leader-working-shift-2011234-jv","Xem chi tiết")</f>
        <v/>
      </c>
    </row>
    <row r="2806">
      <c r="B2806" s="9" t="n">
        <v>2804</v>
      </c>
      <c r="C2806" s="10" t="inlineStr">
        <is>
          <t>Project Manager/ R&amp;D Furniture</t>
        </is>
      </c>
      <c r="D2806" s="10" t="inlineStr">
        <is>
          <t>Công Ty TNHH Twin Star HOME Việt Nam</t>
        </is>
      </c>
      <c r="E2806" s="10" t="inlineStr">
        <is>
          <t>$$ 1,500-2,500 /tháng</t>
        </is>
      </c>
      <c r="F2806" s="10" t="inlineStr">
        <is>
          <t>Bình Dương, Hồ Chí Minh</t>
        </is>
      </c>
      <c r="G2806" s="10" t="inlineStr">
        <is>
          <t>Trưởng phòng</t>
        </is>
      </c>
      <c r="H2806" s="10" t="inlineStr">
        <is>
          <t>10/02/2026</t>
        </is>
      </c>
      <c r="I2806" s="10" t="inlineStr">
        <is>
          <t>27/03/2026</t>
        </is>
      </c>
      <c r="J2806" s="10" t="inlineStr">
        <is>
          <t>17/03/2026</t>
        </is>
      </c>
      <c r="K2806" s="10" t="inlineStr">
        <is>
          <t>N/A</t>
        </is>
      </c>
      <c r="L2806" s="10" t="inlineStr">
        <is>
          <t>Analytical Skills, Product Development, Project Management, Quality Control, Researching New Technologies</t>
        </is>
      </c>
      <c r="M2806" s="10" t="inlineStr">
        <is>
          <t>Bonus, Healthcare Plan, Laptop, Team Activities, Transportation</t>
        </is>
      </c>
      <c r="N2806" s="11">
        <f>HYPERLINK("https://www.vietnamworks.com/project-manager-randd-furniture-2011226-jv","Xem chi tiết")</f>
        <v/>
      </c>
      <c r="O2806" s="10" t="n"/>
    </row>
    <row r="2807">
      <c r="B2807" s="7" t="n">
        <v>2805</v>
      </c>
      <c r="C2807" t="inlineStr">
        <is>
          <t>Kế Toán Tổng Hợp</t>
        </is>
      </c>
      <c r="D2807" t="inlineStr">
        <is>
          <t>Công ty CP Liên Doanh Cảng Quốc tế Mỹ Thủy</t>
        </is>
      </c>
      <c r="E2807" t="inlineStr">
        <is>
          <t>Thương lượng</t>
        </is>
      </c>
      <c r="F2807" t="inlineStr">
        <is>
          <t>Quảng Trị</t>
        </is>
      </c>
      <c r="G2807" t="inlineStr">
        <is>
          <t>Nhân viên</t>
        </is>
      </c>
      <c r="H2807" t="inlineStr">
        <is>
          <t>10/02/2026</t>
        </is>
      </c>
      <c r="I2807" t="inlineStr">
        <is>
          <t>27/03/2026</t>
        </is>
      </c>
      <c r="J2807" t="inlineStr">
        <is>
          <t>17/03/2026</t>
        </is>
      </c>
      <c r="K2807" t="inlineStr">
        <is>
          <t>N/A</t>
        </is>
      </c>
      <c r="L2807" t="inlineStr">
        <is>
          <t>Luật Kế Toán, Kế Toán Tổng Hợp, Thuế, Báo Cáo, Tài Chính</t>
        </is>
      </c>
      <c r="M2807" t="inlineStr">
        <is>
          <t>Bonus, Healthcare Plan, Transportation</t>
        </is>
      </c>
      <c r="N2807" s="8">
        <f>HYPERLINK("https://www.vietnamworks.com/ke-toan-tong-hop-2011247-jv","Xem chi tiết")</f>
        <v/>
      </c>
    </row>
    <row r="2808">
      <c r="B2808" s="9" t="n">
        <v>2806</v>
      </c>
      <c r="C2808" s="10" t="inlineStr">
        <is>
          <t>Bond Issuance Advisory Manager</t>
        </is>
      </c>
      <c r="D2808" s="10" t="inlineStr">
        <is>
          <t>Công Ty Cổ Phần Chứng Khoán KAFI</t>
        </is>
      </c>
      <c r="E2808" s="10" t="inlineStr">
        <is>
          <t>Thương lượng</t>
        </is>
      </c>
      <c r="F2808" s="10" t="inlineStr">
        <is>
          <t>Hồ Chí Minh</t>
        </is>
      </c>
      <c r="G2808" s="10" t="inlineStr">
        <is>
          <t>Trưởng phòng</t>
        </is>
      </c>
      <c r="H2808" s="10" t="inlineStr">
        <is>
          <t>10/02/2026</t>
        </is>
      </c>
      <c r="I2808" s="10" t="inlineStr">
        <is>
          <t>27/03/2026</t>
        </is>
      </c>
      <c r="J2808" s="10" t="inlineStr">
        <is>
          <t>17/03/2026</t>
        </is>
      </c>
      <c r="K2808" s="10" t="inlineStr">
        <is>
          <t>N/A</t>
        </is>
      </c>
      <c r="L2808" s="10" t="inlineStr">
        <is>
          <t>Financial Analysis, Investor Relations, Regulatory Compliance, Bond Structuring, Debt Capital Markets</t>
        </is>
      </c>
      <c r="M2808" s="10" t="inlineStr">
        <is>
          <t>Healthcare Plan, Training, Team Activities, Others</t>
        </is>
      </c>
      <c r="N2808" s="11">
        <f>HYPERLINK("https://www.vietnamworks.com/bond-issuance-advisory-manager-2011252-jv","Xem chi tiết")</f>
        <v/>
      </c>
      <c r="O2808" s="10" t="n"/>
    </row>
    <row r="2809">
      <c r="B2809" s="7" t="n">
        <v>2807</v>
      </c>
      <c r="C2809" t="inlineStr">
        <is>
          <t>Chuyên Viên Kinh Doanh Bất Động Sản / Senior Sales Executive</t>
        </is>
      </c>
      <c r="D2809" t="inlineStr">
        <is>
          <t>REE Corporation - Công Ty Cổ Phần Cơ Điện Lạnh</t>
        </is>
      </c>
      <c r="E2809" t="inlineStr">
        <is>
          <t>Thương lượng</t>
        </is>
      </c>
      <c r="F2809" t="inlineStr">
        <is>
          <t>Thái Bình, Hồ Chí Minh</t>
        </is>
      </c>
      <c r="G2809" t="inlineStr">
        <is>
          <t>Nhân viên</t>
        </is>
      </c>
      <c r="H2809" t="inlineStr">
        <is>
          <t>10/02/2026</t>
        </is>
      </c>
      <c r="I2809" t="inlineStr">
        <is>
          <t>27/03/2026</t>
        </is>
      </c>
      <c r="J2809" t="inlineStr">
        <is>
          <t>17/03/2026</t>
        </is>
      </c>
      <c r="K2809" t="inlineStr">
        <is>
          <t>N/A</t>
        </is>
      </c>
      <c r="L2809" t="inlineStr">
        <is>
          <t>Kinh Doanh Bất Động Sản, MS Office, Real Estate Business, Business Development, Sales</t>
        </is>
      </c>
      <c r="M2809" t="inlineStr">
        <is>
          <t>Bonus, Healthcare Plan, Training, Others</t>
        </is>
      </c>
      <c r="N2809" s="8">
        <f>HYPERLINK("https://www.vietnamworks.com/chuyen-vien-kinh-doanh-bat-djong-san-senior-sales-executive-2011241-jv","Xem chi tiết")</f>
        <v/>
      </c>
    </row>
    <row r="2810">
      <c r="B2810" s="9" t="n">
        <v>2808</v>
      </c>
      <c r="C2810" s="10" t="inlineStr">
        <is>
          <t>Production Specialist/ Chuyên Viên Sản Xuất</t>
        </is>
      </c>
      <c r="D2810" s="10" t="inlineStr">
        <is>
          <t>Perfetti Van Melle (Viet Nam) Limited</t>
        </is>
      </c>
      <c r="E2810" s="10" t="inlineStr">
        <is>
          <t>Thương lượng</t>
        </is>
      </c>
      <c r="F2810" s="10" t="inlineStr">
        <is>
          <t>Bình Dương</t>
        </is>
      </c>
      <c r="G2810" s="10" t="inlineStr">
        <is>
          <t>Nhân viên</t>
        </is>
      </c>
      <c r="H2810" s="10" t="inlineStr">
        <is>
          <t>10/02/2026</t>
        </is>
      </c>
      <c r="I2810" s="10" t="inlineStr">
        <is>
          <t>27/03/2026</t>
        </is>
      </c>
      <c r="J2810" s="10" t="inlineStr">
        <is>
          <t>17/03/2026</t>
        </is>
      </c>
      <c r="K2810" s="10" t="inlineStr">
        <is>
          <t>N/A</t>
        </is>
      </c>
      <c r="L2810" s="10" t="inlineStr">
        <is>
          <t>Kiểm Soát Quy Trình, Nhập Liệu, Quản Lý Sản Xuất, Vận Hành Nhà Máy, WIP Management</t>
        </is>
      </c>
      <c r="M2810" s="10" t="inlineStr">
        <is>
          <t>Training</t>
        </is>
      </c>
      <c r="N2810" s="11">
        <f>HYPERLINK("https://www.vietnamworks.com/production-specialist-chuyen-vien-san-xuat-2011237-jv","Xem chi tiết")</f>
        <v/>
      </c>
      <c r="O2810" s="10" t="n"/>
    </row>
    <row r="2811">
      <c r="B2811" s="7" t="n">
        <v>2809</v>
      </c>
      <c r="C2811" t="inlineStr">
        <is>
          <t>Chuyên Gia Đấu Thầu Xây Dựng (Construction Tendering Expert)</t>
        </is>
      </c>
      <c r="D2811" t="inlineStr">
        <is>
          <t>Công Ty Cổ Phần Tập Đoàn Masterise</t>
        </is>
      </c>
      <c r="E2811" t="inlineStr">
        <is>
          <t>Thương lượng</t>
        </is>
      </c>
      <c r="F2811" t="inlineStr">
        <is>
          <t>Hà Nội</t>
        </is>
      </c>
      <c r="G2811" t="inlineStr">
        <is>
          <t>Trưởng phòng</t>
        </is>
      </c>
      <c r="H2811" t="inlineStr">
        <is>
          <t>10/02/2026</t>
        </is>
      </c>
      <c r="I2811" t="inlineStr">
        <is>
          <t>27/03/2026</t>
        </is>
      </c>
      <c r="J2811" t="inlineStr">
        <is>
          <t>17/03/2026</t>
        </is>
      </c>
      <c r="K2811" t="inlineStr">
        <is>
          <t>N/A</t>
        </is>
      </c>
      <c r="L2811" t="inlineStr">
        <is>
          <t>FIDIC Contracts, Lập Kế Hoạch, Pháp Lý Xây Dựng, Tổ Chức Đấu Thầu, Đấu Thầu</t>
        </is>
      </c>
      <c r="M2811" t="inlineStr">
        <is>
          <t>Others</t>
        </is>
      </c>
      <c r="N2811" s="8">
        <f>HYPERLINK("https://www.vietnamworks.com/chuyen-gia-djau-thau-xay-dung-construction-tendering-expert-2011250-jv","Xem chi tiết")</f>
        <v/>
      </c>
    </row>
    <row r="2812">
      <c r="B2812" s="9" t="n">
        <v>2810</v>
      </c>
      <c r="C2812" s="10" t="inlineStr">
        <is>
          <t>Beauty &amp; Cosmetics Marketing Manager</t>
        </is>
      </c>
      <c r="D2812" s="10" t="inlineStr">
        <is>
          <t>Công Ty TNHH ActsOne Việt Nam (Bbia, Hince BRAND)</t>
        </is>
      </c>
      <c r="E2812" s="10" t="inlineStr">
        <is>
          <t>$$ 1,000-1,500 /tháng</t>
        </is>
      </c>
      <c r="F2812" s="10" t="inlineStr">
        <is>
          <t>Hồ Chí Minh</t>
        </is>
      </c>
      <c r="G2812" s="10" t="inlineStr">
        <is>
          <t>Nhân viên</t>
        </is>
      </c>
      <c r="H2812" s="10" t="inlineStr">
        <is>
          <t>10/02/2026</t>
        </is>
      </c>
      <c r="I2812" s="10" t="inlineStr">
        <is>
          <t>27/03/2026</t>
        </is>
      </c>
      <c r="J2812" s="10" t="inlineStr">
        <is>
          <t>17/03/2026</t>
        </is>
      </c>
      <c r="K2812" s="10" t="inlineStr">
        <is>
          <t>N/A</t>
        </is>
      </c>
      <c r="L2812" s="10" t="inlineStr">
        <is>
          <t>Social Media, Content Strategy, Influencing Management, PR Communication, Viral Marketing</t>
        </is>
      </c>
      <c r="M2812" s="10" t="inlineStr">
        <is>
          <t>Training, Laptop, Vouchers</t>
        </is>
      </c>
      <c r="N2812" s="11">
        <f>HYPERLINK("https://www.vietnamworks.com/beauty-cosmetics-marketing-manager--2011273-jv","Xem chi tiết")</f>
        <v/>
      </c>
      <c r="O2812" s="10" t="n"/>
    </row>
    <row r="2813">
      <c r="B2813" s="7" t="n">
        <v>2811</v>
      </c>
      <c r="C2813" t="inlineStr">
        <is>
          <t>Sales Executive ( Urgent) (Đi Làm Ngay)</t>
        </is>
      </c>
      <c r="D2813" t="inlineStr">
        <is>
          <t>Công Ty TNHH Găng Tay Sri Trang Việt Nam</t>
        </is>
      </c>
      <c r="E2813" t="inlineStr">
        <is>
          <t>$$ 400-700 /tháng</t>
        </is>
      </c>
      <c r="F2813" t="inlineStr">
        <is>
          <t>Hồ Chí Minh</t>
        </is>
      </c>
      <c r="G2813" t="inlineStr">
        <is>
          <t>Nhân viên</t>
        </is>
      </c>
      <c r="H2813" t="inlineStr">
        <is>
          <t>10/02/2026</t>
        </is>
      </c>
      <c r="I2813" t="inlineStr">
        <is>
          <t>27/03/2026</t>
        </is>
      </c>
      <c r="J2813" t="inlineStr">
        <is>
          <t>17/03/2026</t>
        </is>
      </c>
      <c r="K2813" t="inlineStr">
        <is>
          <t>N/A</t>
        </is>
      </c>
      <c r="L2813" t="inlineStr">
        <is>
          <t>Sales, Business Development, Kinh Doanh, Sales Executive, Sales Logistics</t>
        </is>
      </c>
      <c r="M2813" t="inlineStr">
        <is>
          <t>Bonus, Healthcare Plan, Laptop</t>
        </is>
      </c>
      <c r="N2813" s="8">
        <f>HYPERLINK("https://www.vietnamworks.com/sales-executive-urgent-di-lam-ngay-2011243-jv","Xem chi tiết")</f>
        <v/>
      </c>
    </row>
    <row r="2814">
      <c r="B2814" s="9" t="n">
        <v>2812</v>
      </c>
      <c r="C2814" s="10" t="inlineStr">
        <is>
          <t>Video Editor Cum Cameraman (Đi Làm Ngay)</t>
        </is>
      </c>
      <c r="D2814" s="10" t="inlineStr">
        <is>
          <t>CÔNG TY TNHH AU SUNSHINE</t>
        </is>
      </c>
      <c r="E2814" s="10" t="inlineStr">
        <is>
          <t>Thương lượng</t>
        </is>
      </c>
      <c r="F2814" s="10" t="inlineStr">
        <is>
          <t>Hồ Chí Minh</t>
        </is>
      </c>
      <c r="G2814" s="10" t="inlineStr">
        <is>
          <t>Trưởng phòng</t>
        </is>
      </c>
      <c r="H2814" s="10" t="inlineStr">
        <is>
          <t>10/02/2026</t>
        </is>
      </c>
      <c r="I2814" s="10" t="inlineStr">
        <is>
          <t>27/03/2026</t>
        </is>
      </c>
      <c r="J2814" s="10" t="inlineStr">
        <is>
          <t>17/03/2026</t>
        </is>
      </c>
      <c r="K2814" s="10" t="inlineStr">
        <is>
          <t>N/A</t>
        </is>
      </c>
      <c r="L2814" s="10" t="inlineStr">
        <is>
          <t>Adobe Premiere, Hiệu Chỉnh Video</t>
        </is>
      </c>
      <c r="M2814" s="10" t="inlineStr">
        <is>
          <t>Bonus, Training, Others</t>
        </is>
      </c>
      <c r="N2814" s="11">
        <f>HYPERLINK("https://www.vietnamworks.com/video-editor-cum-cameraman-dji-lam-ngay-2011255-jv","Xem chi tiết")</f>
        <v/>
      </c>
      <c r="O2814" s="10" t="n"/>
    </row>
    <row r="2815">
      <c r="B2815" s="7" t="n">
        <v>2813</v>
      </c>
      <c r="C2815" t="inlineStr">
        <is>
          <t>Content Creator Video (Đi Làm Ngay)</t>
        </is>
      </c>
      <c r="D2815" t="inlineStr">
        <is>
          <t>CÔNG TY TNHH AU SUNSHINE</t>
        </is>
      </c>
      <c r="E2815" t="inlineStr">
        <is>
          <t>Thương lượng</t>
        </is>
      </c>
      <c r="F2815" t="inlineStr">
        <is>
          <t>Hồ Chí Minh</t>
        </is>
      </c>
      <c r="G2815" t="inlineStr">
        <is>
          <t>Nhân viên</t>
        </is>
      </c>
      <c r="H2815" t="inlineStr">
        <is>
          <t>10/02/2026</t>
        </is>
      </c>
      <c r="I2815" t="inlineStr">
        <is>
          <t>27/03/2026</t>
        </is>
      </c>
      <c r="J2815" t="inlineStr">
        <is>
          <t>17/03/2026</t>
        </is>
      </c>
      <c r="K2815" t="inlineStr">
        <is>
          <t>N/A</t>
        </is>
      </c>
      <c r="L2815" t="inlineStr">
        <is>
          <t>Facebook Ads, SEO Marketing, Thực Phẩm Chức Năng, Conten Social Media, Mỹ Phẩm</t>
        </is>
      </c>
      <c r="M2815" t="inlineStr">
        <is>
          <t>Bonus, Training, Others</t>
        </is>
      </c>
      <c r="N2815" s="8">
        <f>HYPERLINK("https://www.vietnamworks.com/content-creator-video-di-lam-ngay-2011254-jv","Xem chi tiết")</f>
        <v/>
      </c>
    </row>
    <row r="2816">
      <c r="B2816" s="9" t="n">
        <v>2814</v>
      </c>
      <c r="C2816" s="10" t="inlineStr">
        <is>
          <t>Senior Marketing Specialist</t>
        </is>
      </c>
      <c r="D2816" s="10" t="inlineStr">
        <is>
          <t>Công Ty Cổ Phần Phúc Long Heritage</t>
        </is>
      </c>
      <c r="E2816" s="10" t="inlineStr">
        <is>
          <t>Thương lượng</t>
        </is>
      </c>
      <c r="F2816" s="10" t="inlineStr">
        <is>
          <t>Hồ Chí Minh</t>
        </is>
      </c>
      <c r="G2816" s="10" t="inlineStr">
        <is>
          <t>Nhân viên</t>
        </is>
      </c>
      <c r="H2816" s="10" t="inlineStr">
        <is>
          <t>10/02/2026</t>
        </is>
      </c>
      <c r="I2816" s="10" t="inlineStr">
        <is>
          <t>27/03/2026</t>
        </is>
      </c>
      <c r="J2816" s="10" t="inlineStr">
        <is>
          <t>17/03/2026</t>
        </is>
      </c>
      <c r="K2816" s="10" t="inlineStr">
        <is>
          <t>N/A</t>
        </is>
      </c>
      <c r="L2816" s="10" t="inlineStr">
        <is>
          <t>Campaign Execution, English, Growth Strategy, Marketing</t>
        </is>
      </c>
      <c r="M2816" s="10" t="inlineStr">
        <is>
          <t>Others</t>
        </is>
      </c>
      <c r="N2816" s="11">
        <f>HYPERLINK("https://www.vietnamworks.com/senior-marketing-specialist-2011262-jv","Xem chi tiết")</f>
        <v/>
      </c>
      <c r="O2816" s="10" t="n"/>
    </row>
    <row r="2817">
      <c r="B2817" s="7" t="n">
        <v>2815</v>
      </c>
      <c r="C2817" t="inlineStr">
        <is>
          <t>Trưởng Phòng Chứng Từ Xuất Nhập Khẩu - Đồng Nai</t>
        </is>
      </c>
      <c r="D2817" t="inlineStr">
        <is>
          <t>CÔNG TY TNHH GIAO NHẬN THƯƠNG MẠI RỒNG Á CHÂU - ADC</t>
        </is>
      </c>
      <c r="E2817" t="inlineStr">
        <is>
          <t>Thương lượng</t>
        </is>
      </c>
      <c r="F2817" t="inlineStr">
        <is>
          <t>Đồng Nai</t>
        </is>
      </c>
      <c r="G2817" t="inlineStr">
        <is>
          <t>Trưởng phòng</t>
        </is>
      </c>
      <c r="H2817" t="inlineStr">
        <is>
          <t>10/02/2026</t>
        </is>
      </c>
      <c r="I2817" t="inlineStr">
        <is>
          <t>27/03/2026</t>
        </is>
      </c>
      <c r="J2817" t="inlineStr">
        <is>
          <t>17/03/2026</t>
        </is>
      </c>
      <c r="K2817" t="inlineStr">
        <is>
          <t>N/A</t>
        </is>
      </c>
      <c r="L2817" t="inlineStr">
        <is>
          <t>Xuất Nhập Khẩu, Thủ Tục Xuất Nhập Khẩu, Chứng Từ Hàng Xuất Nhập, Logistics</t>
        </is>
      </c>
      <c r="M2817" t="inlineStr">
        <is>
          <t>Bonus, Healthcare Plan, Training</t>
        </is>
      </c>
      <c r="N2817" s="8">
        <f>HYPERLINK("https://www.vietnamworks.com/truong-phong-chung-tu-xuat-nhap-khau-dong-nai-2011240-jv","Xem chi tiết")</f>
        <v/>
      </c>
    </row>
    <row r="2818">
      <c r="B2818" s="9" t="n">
        <v>2816</v>
      </c>
      <c r="C2818" s="10" t="inlineStr">
        <is>
          <t>Financial Controlling Executive</t>
        </is>
      </c>
      <c r="D2818" s="10" t="inlineStr">
        <is>
          <t>NEYU</t>
        </is>
      </c>
      <c r="E2818" s="10" t="inlineStr">
        <is>
          <t>Thương lượng</t>
        </is>
      </c>
      <c r="F2818" s="10" t="inlineStr">
        <is>
          <t>Hồ Chí Minh</t>
        </is>
      </c>
      <c r="G2818" s="10" t="inlineStr">
        <is>
          <t>Nhân viên</t>
        </is>
      </c>
      <c r="H2818" s="10" t="inlineStr">
        <is>
          <t>10/02/2026</t>
        </is>
      </c>
      <c r="I2818" s="10" t="inlineStr">
        <is>
          <t>27/03/2026</t>
        </is>
      </c>
      <c r="J2818" s="10" t="inlineStr">
        <is>
          <t>17/03/2026</t>
        </is>
      </c>
      <c r="K2818" s="10" t="inlineStr">
        <is>
          <t>N/A</t>
        </is>
      </c>
      <c r="L2818" s="10" t="inlineStr">
        <is>
          <t>Accounting, Communication Skills, Financial Reporting, Ifrs Knowledge, Microsoft Excel</t>
        </is>
      </c>
      <c r="M2818" s="10" t="inlineStr">
        <is>
          <t>Bonus, Healthcare Plan, Team Activities, Others</t>
        </is>
      </c>
      <c r="N2818" s="11">
        <f>HYPERLINK("https://www.vietnamworks.com/financial-controlling-executive-2011261-jv","Xem chi tiết")</f>
        <v/>
      </c>
      <c r="O2818" s="10" t="n"/>
    </row>
    <row r="2819">
      <c r="B2819" s="7" t="n">
        <v>2817</v>
      </c>
      <c r="C2819" t="inlineStr">
        <is>
          <t>Brand &amp; Communications Supervisor</t>
        </is>
      </c>
      <c r="D2819" t="inlineStr">
        <is>
          <t>Shinhan Vietnam Finance Company Limited</t>
        </is>
      </c>
      <c r="E2819" t="inlineStr">
        <is>
          <t>Thương lượng</t>
        </is>
      </c>
      <c r="F2819" t="inlineStr">
        <is>
          <t>Hồ Chí Minh</t>
        </is>
      </c>
      <c r="G2819" t="inlineStr">
        <is>
          <t>Nhân viên</t>
        </is>
      </c>
      <c r="H2819" t="inlineStr">
        <is>
          <t>10/02/2026</t>
        </is>
      </c>
      <c r="I2819" t="inlineStr">
        <is>
          <t>27/03/2026</t>
        </is>
      </c>
      <c r="J2819" t="inlineStr">
        <is>
          <t>17/03/2026</t>
        </is>
      </c>
      <c r="K2819" t="inlineStr">
        <is>
          <t>N/A</t>
        </is>
      </c>
      <c r="L2819" t="inlineStr">
        <is>
          <t>Adaptability, Authoring Tools, Branding, Communication Design, Media Monitoring</t>
        </is>
      </c>
      <c r="M2819" t="inlineStr">
        <is>
          <t>Bonus, Paid Leave, Library, Travel Opportunities</t>
        </is>
      </c>
      <c r="N2819" s="8">
        <f>HYPERLINK("https://www.vietnamworks.com/brand-and-communications-supervisor-2011256-jv","Xem chi tiết")</f>
        <v/>
      </c>
    </row>
    <row r="2820">
      <c r="B2820" s="9" t="n">
        <v>2818</v>
      </c>
      <c r="C2820" s="10" t="inlineStr">
        <is>
          <t>Nhân Viên Văn Phòng (Admin Staff) - Cần tuyển gấp !!!</t>
        </is>
      </c>
      <c r="D2820" s="10" t="inlineStr">
        <is>
          <t>Công ty Thương Mại Dược Phẩm Tâm An</t>
        </is>
      </c>
      <c r="E2820" s="10" t="inlineStr">
        <is>
          <t>Thương lượng</t>
        </is>
      </c>
      <c r="F2820" s="10" t="inlineStr">
        <is>
          <t>Hà Nội</t>
        </is>
      </c>
      <c r="G2820" s="10" t="inlineStr">
        <is>
          <t>Nhân viên</t>
        </is>
      </c>
      <c r="H2820" s="10" t="inlineStr">
        <is>
          <t>10/02/2026</t>
        </is>
      </c>
      <c r="I2820" s="10" t="inlineStr">
        <is>
          <t>27/03/2026</t>
        </is>
      </c>
      <c r="J2820" s="10" t="inlineStr">
        <is>
          <t>17/03/2026</t>
        </is>
      </c>
      <c r="K2820" s="10" t="inlineStr">
        <is>
          <t>N/A</t>
        </is>
      </c>
      <c r="L2820" s="10" t="inlineStr">
        <is>
          <t>Quản Lý Hàng Tồn Kho, Chứng Từ Xuất Nhập Khẩu, Lập Báo Cáo, Mua Hàng, Soạn Thảo Hợp Đồng</t>
        </is>
      </c>
      <c r="M2820" s="10" t="inlineStr">
        <is>
          <t>Bonus, Healthcare Plan, Paid Leave, Training, Others</t>
        </is>
      </c>
      <c r="N2820" s="11">
        <f>HYPERLINK("https://www.vietnamworks.com/nhan-vien-van-phong-admin-staff-can-tuyen-gap-2011246-jv","Xem chi tiết")</f>
        <v/>
      </c>
      <c r="O2820" s="10" t="n"/>
    </row>
    <row r="2821">
      <c r="B2821" s="7" t="n">
        <v>2819</v>
      </c>
      <c r="C2821" t="inlineStr">
        <is>
          <t>[ Hot Job ] Nhân Viên Kinh Doanh B2B (Mảng Quà Tặng Doanh Nghiệp)</t>
        </is>
      </c>
      <c r="D2821" t="inlineStr">
        <is>
          <t>Công Ty TNHH Lock&amp;Lock HN</t>
        </is>
      </c>
      <c r="E2821" t="inlineStr">
        <is>
          <t>Thương lượng</t>
        </is>
      </c>
      <c r="F2821" t="inlineStr">
        <is>
          <t>Hà Nội</t>
        </is>
      </c>
      <c r="G2821" t="inlineStr">
        <is>
          <t>Nhân viên</t>
        </is>
      </c>
      <c r="H2821" t="inlineStr">
        <is>
          <t>10/02/2026</t>
        </is>
      </c>
      <c r="I2821" t="inlineStr">
        <is>
          <t>27/03/2026</t>
        </is>
      </c>
      <c r="J2821" t="inlineStr">
        <is>
          <t>17/03/2026</t>
        </is>
      </c>
      <c r="K2821" t="inlineStr">
        <is>
          <t>N/A</t>
        </is>
      </c>
      <c r="L2821" t="inlineStr">
        <is>
          <t>Chăm Sóc Khách Hàng, Giao Tiếp, Kinh Doanh B2B, Bán Hàng Dự Án, FMCG</t>
        </is>
      </c>
      <c r="M2821" t="inlineStr">
        <is>
          <t>Healthcare Plan, Paid Leave, Laptop, Travel Opportunities, Transportation, Others</t>
        </is>
      </c>
      <c r="N2821" s="8">
        <f>HYPERLINK("https://www.vietnamworks.com/hot-job-nhan-vien-kinh-doanh-b2b-mang-qua-tang-doanh-nghiep-2011249-jv","Xem chi tiết")</f>
        <v/>
      </c>
    </row>
    <row r="2822">
      <c r="B2822" s="9" t="n">
        <v>2820</v>
      </c>
      <c r="C2822" s="10" t="inlineStr">
        <is>
          <t>Senior Business Controller</t>
        </is>
      </c>
      <c r="D2822" s="10" t="inlineStr">
        <is>
          <t>Michael Page Vietnam</t>
        </is>
      </c>
      <c r="E2822" s="10" t="inlineStr">
        <is>
          <t>$$ 6,583-10,000 /tháng</t>
        </is>
      </c>
      <c r="F2822" s="10" t="inlineStr">
        <is>
          <t>Hồ Chí Minh</t>
        </is>
      </c>
      <c r="G2822" s="10" t="inlineStr">
        <is>
          <t>Nhân viên</t>
        </is>
      </c>
      <c r="H2822" s="10" t="inlineStr">
        <is>
          <t>10/02/2026</t>
        </is>
      </c>
      <c r="I2822" s="10" t="inlineStr">
        <is>
          <t>27/03/2026</t>
        </is>
      </c>
      <c r="J2822" s="10" t="inlineStr">
        <is>
          <t>17/03/2026</t>
        </is>
      </c>
      <c r="K2822" s="10" t="inlineStr">
        <is>
          <t>N/A</t>
        </is>
      </c>
      <c r="L2822" s="10" t="inlineStr">
        <is>
          <t>Finance, Accounting, Retail Sales, Commercial, ACCA</t>
        </is>
      </c>
      <c r="M2822" s="10" t="inlineStr">
        <is>
          <t>Awards</t>
        </is>
      </c>
      <c r="N2822" s="11">
        <f>HYPERLINK("https://www.vietnamworks.com/senior-business-controller-1-2011282-jv","Xem chi tiết")</f>
        <v/>
      </c>
      <c r="O2822" s="10" t="n"/>
    </row>
    <row r="2823">
      <c r="B2823" s="7" t="n">
        <v>2821</v>
      </c>
      <c r="C2823" t="inlineStr">
        <is>
          <t>Chuyên viên Phân tích Khách hàng Doanh nghiệp - Business Customer Data Analyst - Khối Dữ liệu (HO26.37)</t>
        </is>
      </c>
      <c r="D2823" t="inlineStr">
        <is>
          <t>NGÂN HÀNG TMCP QUÂN ĐỘI – MBBANK</t>
        </is>
      </c>
      <c r="E2823" t="inlineStr">
        <is>
          <t>Thương lượng</t>
        </is>
      </c>
      <c r="F2823" t="inlineStr">
        <is>
          <t>Hà Nội</t>
        </is>
      </c>
      <c r="G2823" t="inlineStr">
        <is>
          <t>Nhân viên</t>
        </is>
      </c>
      <c r="H2823" t="inlineStr">
        <is>
          <t>10/02/2026</t>
        </is>
      </c>
      <c r="I2823" t="inlineStr">
        <is>
          <t>27/03/2026</t>
        </is>
      </c>
      <c r="J2823" t="inlineStr">
        <is>
          <t>17/03/2026</t>
        </is>
      </c>
      <c r="K2823" t="inlineStr">
        <is>
          <t>N/A</t>
        </is>
      </c>
      <c r="L2823" t="inlineStr">
        <is>
          <t>SQL, Power BI, Tableau, Oracle, Phân Tích Dữ Liệu Khách Hàng</t>
        </is>
      </c>
      <c r="M2823" t="inlineStr">
        <is>
          <t>Bonus, Healthcare Plan, Paid Leave, Training, Awards, Library, Team Activities</t>
        </is>
      </c>
      <c r="N2823" s="8">
        <f>HYPERLINK("https://www.vietnamworks.com/chuyen-vien-phan-tich-khach-hang-doanh-nghiep-business-customer-data-analyst-khoi-du-lieu-ho26-37-2011248-jv","Xem chi tiết")</f>
        <v/>
      </c>
    </row>
    <row r="2824">
      <c r="B2824" s="9" t="n">
        <v>2822</v>
      </c>
      <c r="C2824" s="10" t="inlineStr">
        <is>
          <t>Privilege Banking Relationship Manager</t>
        </is>
      </c>
      <c r="D2824" s="10" t="inlineStr">
        <is>
          <t>United Overseas Bank (Vietnam) Limited (UOB)</t>
        </is>
      </c>
      <c r="E2824" s="10" t="inlineStr">
        <is>
          <t>Thương lượng</t>
        </is>
      </c>
      <c r="F2824" s="10" t="inlineStr">
        <is>
          <t>Hồ Chí Minh</t>
        </is>
      </c>
      <c r="G2824" s="10" t="inlineStr">
        <is>
          <t>Nhân viên</t>
        </is>
      </c>
      <c r="H2824" s="10" t="inlineStr">
        <is>
          <t>10/02/2026</t>
        </is>
      </c>
      <c r="I2824" s="10" t="inlineStr">
        <is>
          <t>27/03/2026</t>
        </is>
      </c>
      <c r="J2824" s="10" t="inlineStr">
        <is>
          <t>17/03/2026</t>
        </is>
      </c>
      <c r="K2824" s="10" t="inlineStr">
        <is>
          <t>N/A</t>
        </is>
      </c>
      <c r="L2824" s="10" t="inlineStr">
        <is>
          <t>Client Orientation, Communication, Investment Management, Relationship Management, Sales Orientation</t>
        </is>
      </c>
      <c r="M2824" s="10" t="inlineStr">
        <is>
          <t>Bonus, Healthcare Plan, Paid Leave, Others</t>
        </is>
      </c>
      <c r="N2824" s="11">
        <f>HYPERLINK("https://www.vietnamworks.com/privilege-banking-relationship-manager-2011276-jv","Xem chi tiết")</f>
        <v/>
      </c>
      <c r="O2824" s="10" t="n"/>
    </row>
    <row r="2825">
      <c r="B2825" s="7" t="n">
        <v>2823</v>
      </c>
      <c r="C2825" t="inlineStr">
        <is>
          <t>Production Supervisor (SMT)</t>
        </is>
      </c>
      <c r="D2825" t="inlineStr">
        <is>
          <t>CÔNG TY TNHH AJAX SYSTEMS VIỆT NAM</t>
        </is>
      </c>
      <c r="E2825" t="inlineStr">
        <is>
          <t>Thương lượng</t>
        </is>
      </c>
      <c r="F2825" t="inlineStr">
        <is>
          <t>Hưng Yên, Hà Nội, Hải Dương</t>
        </is>
      </c>
      <c r="G2825" t="inlineStr">
        <is>
          <t>Nhân viên</t>
        </is>
      </c>
      <c r="H2825" t="inlineStr">
        <is>
          <t>10/02/2026</t>
        </is>
      </c>
      <c r="I2825" t="inlineStr">
        <is>
          <t>27/03/2026</t>
        </is>
      </c>
      <c r="J2825" t="inlineStr">
        <is>
          <t>17/03/2026</t>
        </is>
      </c>
      <c r="K2825" t="inlineStr">
        <is>
          <t>N/A</t>
        </is>
      </c>
      <c r="L2825" t="inlineStr">
        <is>
          <t>Production Management, Giám Sát Sản Xuất, Quản Lý Sản Xuất, SMT, PCB</t>
        </is>
      </c>
      <c r="M2825" t="inlineStr">
        <is>
          <t>Bonus, Laptop, Transportation</t>
        </is>
      </c>
      <c r="N2825" s="8">
        <f>HYPERLINK("https://www.vietnamworks.com/production-supervisor-smt-2011275-jv","Xem chi tiết")</f>
        <v/>
      </c>
    </row>
    <row r="2826">
      <c r="B2826" s="9" t="n">
        <v>2824</v>
      </c>
      <c r="C2826" s="10" t="inlineStr">
        <is>
          <t>Legal Counsel</t>
        </is>
      </c>
      <c r="D2826" s="10" t="inlineStr">
        <is>
          <t>CÔNG TY TNHH AJAX SYSTEMS VIỆT NAM</t>
        </is>
      </c>
      <c r="E2826" s="10" t="inlineStr">
        <is>
          <t>Thương lượng</t>
        </is>
      </c>
      <c r="F2826" s="10" t="inlineStr">
        <is>
          <t>Hưng Yên, Hải Dương, Hà Nội</t>
        </is>
      </c>
      <c r="G2826" s="10" t="inlineStr">
        <is>
          <t>Nhân viên</t>
        </is>
      </c>
      <c r="H2826" s="10" t="inlineStr">
        <is>
          <t>10/02/2026</t>
        </is>
      </c>
      <c r="I2826" s="10" t="inlineStr">
        <is>
          <t>27/03/2026</t>
        </is>
      </c>
      <c r="J2826" s="10" t="inlineStr">
        <is>
          <t>17/03/2026</t>
        </is>
      </c>
      <c r="K2826" s="10" t="inlineStr">
        <is>
          <t>N/A</t>
        </is>
      </c>
      <c r="L2826" s="10" t="inlineStr">
        <is>
          <t>Legal, Law, Legal &amp; Law, Legal Counsel &amp; Compliance, Legal Counseling</t>
        </is>
      </c>
      <c r="M2826" s="10" t="inlineStr">
        <is>
          <t>Bonus, Laptop, Transportation</t>
        </is>
      </c>
      <c r="N2826" s="11">
        <f>HYPERLINK("https://www.vietnamworks.com/legal-counsel--2011274-jv","Xem chi tiết")</f>
        <v/>
      </c>
      <c r="O2826" s="10" t="n"/>
    </row>
    <row r="2827">
      <c r="B2827" s="7" t="n">
        <v>2825</v>
      </c>
      <c r="C2827" t="inlineStr">
        <is>
          <t>Kỹ Thuật Viên Phòng Thí Nghiệm</t>
        </is>
      </c>
      <c r="D2827" t="inlineStr">
        <is>
          <t>TRUNG TÂM PHÂN TÍCH INVITEC (CHI NHÁNH CÔNG TY TNHH HI – MEDIC)</t>
        </is>
      </c>
      <c r="E2827" t="inlineStr">
        <is>
          <t>8.5tr-10tr ₫/tháng</t>
        </is>
      </c>
      <c r="F2827" t="inlineStr">
        <is>
          <t>Hà Nội</t>
        </is>
      </c>
      <c r="G2827" t="inlineStr">
        <is>
          <t>Nhân viên</t>
        </is>
      </c>
      <c r="H2827" t="inlineStr">
        <is>
          <t>23/02/2026</t>
        </is>
      </c>
      <c r="I2827" t="inlineStr">
        <is>
          <t>27/03/2026</t>
        </is>
      </c>
      <c r="J2827" t="inlineStr">
        <is>
          <t>17/03/2026</t>
        </is>
      </c>
      <c r="K2827" t="inlineStr">
        <is>
          <t>N/A</t>
        </is>
      </c>
      <c r="L2827" t="inlineStr">
        <is>
          <t>An Toàn Phòng Thí Nghiệm, Kỹ năng làm việc nhóm, Kỹ Thuật Phòng Thí Nghiệm</t>
        </is>
      </c>
      <c r="M2827" t="inlineStr">
        <is>
          <t>Bonus, Others</t>
        </is>
      </c>
      <c r="N2827" s="8">
        <f>HYPERLINK("https://www.vietnamworks.com/ky-thuat-vien-phong-thi-nghiem-2012546-jv","Xem chi tiết")</f>
        <v/>
      </c>
    </row>
    <row r="2828">
      <c r="B2828" s="9" t="n">
        <v>2826</v>
      </c>
      <c r="C2828" s="10" t="inlineStr">
        <is>
          <t>Trợ Lý Tiếng Trung</t>
        </is>
      </c>
      <c r="D2828" s="10" t="inlineStr">
        <is>
          <t>Oriental Logistics Multimodal Transport CO., LTD</t>
        </is>
      </c>
      <c r="E2828" s="10" t="inlineStr">
        <is>
          <t>Thương lượng</t>
        </is>
      </c>
      <c r="F2828" s="10" t="inlineStr">
        <is>
          <t>Hồ Chí Minh</t>
        </is>
      </c>
      <c r="G2828" s="10" t="inlineStr">
        <is>
          <t>Nhân viên</t>
        </is>
      </c>
      <c r="H2828" s="10" t="inlineStr">
        <is>
          <t>23/02/2026</t>
        </is>
      </c>
      <c r="I2828" s="10" t="inlineStr">
        <is>
          <t>27/03/2026</t>
        </is>
      </c>
      <c r="J2828" s="10" t="inlineStr">
        <is>
          <t>17/03/2026</t>
        </is>
      </c>
      <c r="K2828" s="10" t="inlineStr">
        <is>
          <t>N/A</t>
        </is>
      </c>
      <c r="L2828" s="10" t="inlineStr">
        <is>
          <t>Ngoại Thương, Logistics, Kinh Doanh, Tiếng Trung, Trợ Lý Văn Phòng</t>
        </is>
      </c>
      <c r="M2828" s="10" t="inlineStr">
        <is>
          <t>Bonus, Healthcare Plan, Paid Leave, Travel Opportunities, Others</t>
        </is>
      </c>
      <c r="N2828" s="11">
        <f>HYPERLINK("https://www.vietnamworks.com/tro-ly-tieng-trung-2012528-jv","Xem chi tiết")</f>
        <v/>
      </c>
      <c r="O2828" s="10" t="n"/>
    </row>
    <row r="2829">
      <c r="B2829" s="7" t="n">
        <v>2827</v>
      </c>
      <c r="C2829" t="inlineStr">
        <is>
          <t>Dự Toán Nội Thất (Senior/Leader)</t>
        </is>
      </c>
      <c r="D2829" t="inlineStr">
        <is>
          <t>CÔNG TY TNHH INSTYLE DESIGN</t>
        </is>
      </c>
      <c r="E2829" t="inlineStr">
        <is>
          <t>Thương lượng</t>
        </is>
      </c>
      <c r="F2829" t="inlineStr">
        <is>
          <t>Hồ Chí Minh</t>
        </is>
      </c>
      <c r="G2829" t="inlineStr">
        <is>
          <t>Nhân viên</t>
        </is>
      </c>
      <c r="H2829" t="inlineStr">
        <is>
          <t>24/02/2026</t>
        </is>
      </c>
      <c r="I2829" t="inlineStr">
        <is>
          <t>27/03/2026</t>
        </is>
      </c>
      <c r="J2829" t="inlineStr">
        <is>
          <t>17/03/2026</t>
        </is>
      </c>
      <c r="K2829" t="inlineStr">
        <is>
          <t>N/A</t>
        </is>
      </c>
      <c r="L2829" t="inlineStr">
        <is>
          <t>Dự Toán, Dự Toán Chi Phí, Dự Toán Nội Thất, Dự Toán Xây Dựng, Thi Công Nội Thất</t>
        </is>
      </c>
      <c r="M2829" t="inlineStr">
        <is>
          <t>Bonus, Healthcare Plan, Training, Laptop</t>
        </is>
      </c>
      <c r="N2829" s="8">
        <f>HYPERLINK("https://www.vietnamworks.com/du-toan-noi-that-seniorleader-2012746-jv","Xem chi tiết")</f>
        <v/>
      </c>
    </row>
    <row r="2830">
      <c r="B2830" s="9" t="n">
        <v>2828</v>
      </c>
      <c r="C2830" s="10" t="inlineStr">
        <is>
          <t>QA/QC Specialist</t>
        </is>
      </c>
      <c r="D2830" s="10" t="inlineStr">
        <is>
          <t>Oberon Design</t>
        </is>
      </c>
      <c r="E2830" s="10" t="inlineStr">
        <is>
          <t>Thương lượng</t>
        </is>
      </c>
      <c r="F2830" s="10" t="inlineStr">
        <is>
          <t>Hồ Chí Minh</t>
        </is>
      </c>
      <c r="G2830" s="10" t="inlineStr">
        <is>
          <t>Nhân viên</t>
        </is>
      </c>
      <c r="H2830" s="10" t="inlineStr">
        <is>
          <t>24/02/2026</t>
        </is>
      </c>
      <c r="I2830" s="10" t="inlineStr">
        <is>
          <t>27/03/2026</t>
        </is>
      </c>
      <c r="J2830" s="10" t="inlineStr">
        <is>
          <t>17/03/2026</t>
        </is>
      </c>
      <c r="K2830" s="10" t="inlineStr">
        <is>
          <t>N/A</t>
        </is>
      </c>
      <c r="L2830" s="10" t="inlineStr">
        <is>
          <t>Quality Control, Project Procurement Management, Supplier Relationship Management, Sourcing, Qa/Qc Management</t>
        </is>
      </c>
      <c r="M2830" s="10" t="inlineStr">
        <is>
          <t>Bonus, Paid Leave, Others</t>
        </is>
      </c>
      <c r="N2830" s="11">
        <f>HYPERLINK("https://www.vietnamworks.com/qa-qc-specialist--2012708-jv","Xem chi tiết")</f>
        <v/>
      </c>
      <c r="O2830" s="10" t="n"/>
    </row>
    <row r="2831">
      <c r="B2831" s="7" t="n">
        <v>2829</v>
      </c>
      <c r="C2831" t="inlineStr">
        <is>
          <t>Trưởng Xưởng May (Production Manager)</t>
        </is>
      </c>
      <c r="D2831" t="inlineStr">
        <is>
          <t>Công Ty TNHH Dệt May VTJ Toms</t>
        </is>
      </c>
      <c r="E2831" t="inlineStr">
        <is>
          <t>$$ 789-1,380 /tháng</t>
        </is>
      </c>
      <c r="F2831" t="inlineStr">
        <is>
          <t>Quảng Trị</t>
        </is>
      </c>
      <c r="G2831" t="inlineStr">
        <is>
          <t>Giám Đốc và Cấp Cao Hơn</t>
        </is>
      </c>
      <c r="H2831" t="inlineStr">
        <is>
          <t>24/02/2026</t>
        </is>
      </c>
      <c r="I2831" t="inlineStr">
        <is>
          <t>27/03/2026</t>
        </is>
      </c>
      <c r="J2831" t="inlineStr">
        <is>
          <t>17/03/2026</t>
        </is>
      </c>
      <c r="K2831" t="inlineStr">
        <is>
          <t>N/A</t>
        </is>
      </c>
      <c r="L2831" t="inlineStr">
        <is>
          <t>5S Control, Công Nghệ Dệt May, Lãnh Đạo, Quản Lý Sản Xuất, Quản Trị Hiệu Suất</t>
        </is>
      </c>
      <c r="M2831" t="inlineStr">
        <is>
          <t>Bonus, Training, Others</t>
        </is>
      </c>
      <c r="N2831" s="8">
        <f>HYPERLINK("https://www.vietnamworks.com/truong-xuong-may-production-manager-2013159-jv","Xem chi tiết")</f>
        <v/>
      </c>
    </row>
    <row r="2832">
      <c r="B2832" s="9" t="n">
        <v>2830</v>
      </c>
      <c r="C2832" s="10" t="inlineStr">
        <is>
          <t>Sales Manager - Food</t>
        </is>
      </c>
      <c r="D2832" s="10" t="inlineStr">
        <is>
          <t>Master Martini Vietnam</t>
        </is>
      </c>
      <c r="E2832" s="10" t="inlineStr">
        <is>
          <t>Thương lượng</t>
        </is>
      </c>
      <c r="F2832" s="10" t="inlineStr">
        <is>
          <t>Hồ Chí Minh</t>
        </is>
      </c>
      <c r="G2832" s="10" t="inlineStr">
        <is>
          <t>Trưởng phòng</t>
        </is>
      </c>
      <c r="H2832" s="10" t="inlineStr">
        <is>
          <t>24/02/2026</t>
        </is>
      </c>
      <c r="I2832" s="10" t="inlineStr">
        <is>
          <t>27/03/2026</t>
        </is>
      </c>
      <c r="J2832" s="10" t="inlineStr">
        <is>
          <t>17/03/2026</t>
        </is>
      </c>
      <c r="K2832" s="10" t="inlineStr">
        <is>
          <t>N/A</t>
        </is>
      </c>
      <c r="L2832" s="10" t="inlineStr">
        <is>
          <t>Business Development &amp; Client Relations, Sales manager, Team Cooperation</t>
        </is>
      </c>
      <c r="M2832" s="10" t="inlineStr">
        <is>
          <t>Bonus, Paid Leave, Laptop, Mobile</t>
        </is>
      </c>
      <c r="N2832" s="11">
        <f>HYPERLINK("https://www.vietnamworks.com/sales-manager-food-2013392-jv","Xem chi tiết")</f>
        <v/>
      </c>
      <c r="O2832" s="10" t="n"/>
    </row>
    <row r="2833">
      <c r="B2833" s="7" t="n">
        <v>2831</v>
      </c>
      <c r="C2833" t="inlineStr">
        <is>
          <t>English Teacher for IELTS Giáo Viên IELTS</t>
        </is>
      </c>
      <c r="D2833" t="inlineStr">
        <is>
          <t>Giáo Làng Education</t>
        </is>
      </c>
      <c r="E2833" t="inlineStr">
        <is>
          <t>15tr-40tr ₫/tháng</t>
        </is>
      </c>
      <c r="F2833" t="inlineStr">
        <is>
          <t>Hồ Chí Minh</t>
        </is>
      </c>
      <c r="G2833" t="inlineStr">
        <is>
          <t>Nhân viên</t>
        </is>
      </c>
      <c r="H2833" t="inlineStr">
        <is>
          <t>24/02/2026</t>
        </is>
      </c>
      <c r="I2833" t="inlineStr">
        <is>
          <t>27/03/2026</t>
        </is>
      </c>
      <c r="J2833" t="inlineStr">
        <is>
          <t>17/03/2026</t>
        </is>
      </c>
      <c r="K2833" t="inlineStr">
        <is>
          <t>N/A</t>
        </is>
      </c>
      <c r="L2833" t="inlineStr">
        <is>
          <t>Lesson Planning, English Teaching, IELTS Teaching, Fluency in English, Teaching</t>
        </is>
      </c>
      <c r="M2833" t="inlineStr">
        <is>
          <t>Bonus, Paid Leave, Training</t>
        </is>
      </c>
      <c r="N2833" s="8">
        <f>HYPERLINK("https://www.vietnamworks.com/english-teacher-for-ielts-giao-vien-ielts-2013349-jv","Xem chi tiết")</f>
        <v/>
      </c>
    </row>
    <row r="2834">
      <c r="B2834" s="9" t="n">
        <v>2832</v>
      </c>
      <c r="C2834" s="10" t="inlineStr">
        <is>
          <t>Kỹ Sư Xây Dựng Hiện Trường ( Giao Thông, Thủy Lợi, Dân Dụng) Lương Tới 20Tr</t>
        </is>
      </c>
      <c r="D2834" s="10" t="inlineStr">
        <is>
          <t>Công Ty CP Tư Vấn Thiết Kế Xây Dựng Lũng Lô</t>
        </is>
      </c>
      <c r="E2834" s="10" t="inlineStr">
        <is>
          <t>14tr-20tr ₫/tháng</t>
        </is>
      </c>
      <c r="F2834" s="10" t="inlineStr">
        <is>
          <t>Hà Nội</t>
        </is>
      </c>
      <c r="G2834" s="10" t="inlineStr">
        <is>
          <t>Nhân viên</t>
        </is>
      </c>
      <c r="H2834" s="10" t="inlineStr">
        <is>
          <t>24/02/2026</t>
        </is>
      </c>
      <c r="I2834" s="10" t="inlineStr">
        <is>
          <t>27/03/2026</t>
        </is>
      </c>
      <c r="J2834" s="10" t="inlineStr">
        <is>
          <t>17/03/2026</t>
        </is>
      </c>
      <c r="K2834" s="10" t="inlineStr">
        <is>
          <t>N/A</t>
        </is>
      </c>
      <c r="L2834" s="10" t="inlineStr">
        <is>
          <t>Kỹ Thuật Hiện Trường, AutoCAD, Công Trình Giao Thông, Xây Dựng Công Trình Thủy Điện, Thi Công Dân Dụng</t>
        </is>
      </c>
      <c r="M2834" s="10" t="inlineStr">
        <is>
          <t>Bonus</t>
        </is>
      </c>
      <c r="N2834" s="11">
        <f>HYPERLINK("https://www.vietnamworks.com/ky-su-xay-dung-hien-truong-giao-thong-thuy-loi-dan-dung-luong-toi-20tr-2013354-jv","Xem chi tiết")</f>
        <v/>
      </c>
      <c r="O2834" s="10" t="n"/>
    </row>
    <row r="2835">
      <c r="B2835" s="7" t="n">
        <v>2833</v>
      </c>
      <c r="C2835" t="inlineStr">
        <is>
          <t>Interior Designer (Senior/Leader)</t>
        </is>
      </c>
      <c r="D2835" t="inlineStr">
        <is>
          <t>CÔNG TY TNHH INSTYLE DESIGN</t>
        </is>
      </c>
      <c r="E2835" t="inlineStr">
        <is>
          <t>Thương lượng</t>
        </is>
      </c>
      <c r="F2835" t="inlineStr">
        <is>
          <t>Hồ Chí Minh</t>
        </is>
      </c>
      <c r="G2835" t="inlineStr">
        <is>
          <t>Nhân viên</t>
        </is>
      </c>
      <c r="H2835" t="inlineStr">
        <is>
          <t>24/02/2026</t>
        </is>
      </c>
      <c r="I2835" t="inlineStr">
        <is>
          <t>27/03/2026</t>
        </is>
      </c>
      <c r="J2835" t="inlineStr">
        <is>
          <t>17/03/2026</t>
        </is>
      </c>
      <c r="K2835" t="inlineStr">
        <is>
          <t>N/A</t>
        </is>
      </c>
      <c r="L2835" t="inlineStr">
        <is>
          <t>Auto CAD, Interior Architecture, Interior Design, Thi Công Nội Thất, Thiết Kế Nội Thất</t>
        </is>
      </c>
      <c r="M2835" t="inlineStr">
        <is>
          <t>Bonus, Healthcare Plan, Training, Laptop</t>
        </is>
      </c>
      <c r="N2835" s="8">
        <f>HYPERLINK("https://www.vietnamworks.com/interior-designer-seniorleader-2012749-jv","Xem chi tiết")</f>
        <v/>
      </c>
    </row>
    <row r="2836">
      <c r="B2836" s="9" t="n">
        <v>2834</v>
      </c>
      <c r="C2836" s="10" t="inlineStr">
        <is>
          <t>Kế Toán Trưởng</t>
        </is>
      </c>
      <c r="D2836" s="10" t="inlineStr">
        <is>
          <t>Finlogistics - Công Ty Cổ Phần Kinh Doanh Quốc Tế Fingroup</t>
        </is>
      </c>
      <c r="E2836" s="10" t="inlineStr">
        <is>
          <t>20tr-25tr ₫/tháng</t>
        </is>
      </c>
      <c r="F2836" s="10" t="inlineStr">
        <is>
          <t>Hà Nội</t>
        </is>
      </c>
      <c r="G2836" s="10" t="inlineStr">
        <is>
          <t>Trưởng phòng</t>
        </is>
      </c>
      <c r="H2836" s="10" t="inlineStr">
        <is>
          <t>23/02/2026</t>
        </is>
      </c>
      <c r="I2836" s="10" t="inlineStr">
        <is>
          <t>27/03/2026</t>
        </is>
      </c>
      <c r="J2836" s="10" t="inlineStr">
        <is>
          <t>17/03/2026</t>
        </is>
      </c>
      <c r="K2836" s="10" t="inlineStr">
        <is>
          <t>N/A</t>
        </is>
      </c>
      <c r="L2836" s="10" t="inlineStr">
        <is>
          <t>kế toán trưởng, Chief Accountant, Chief Accountant Certificate, Quản Lý Kế Toán, Tài Chính Kế Toán</t>
        </is>
      </c>
      <c r="M2836" s="10" t="inlineStr">
        <is>
          <t>Bonus, Travel Opportunities</t>
        </is>
      </c>
      <c r="N2836" s="11">
        <f>HYPERLINK("https://www.vietnamworks.com/ke-toan-truong-2012487-jv","Xem chi tiết")</f>
        <v/>
      </c>
      <c r="O2836" s="10" t="n"/>
    </row>
    <row r="2837">
      <c r="B2837" s="7" t="n">
        <v>2835</v>
      </c>
      <c r="C2837" t="inlineStr">
        <is>
          <t>Office Administrator</t>
        </is>
      </c>
      <c r="D2837" t="inlineStr">
        <is>
          <t>Oberon Design</t>
        </is>
      </c>
      <c r="E2837" t="inlineStr">
        <is>
          <t>Thương lượng</t>
        </is>
      </c>
      <c r="F2837" t="inlineStr">
        <is>
          <t>Hồ Chí Minh</t>
        </is>
      </c>
      <c r="G2837" t="inlineStr">
        <is>
          <t>Nhân viên</t>
        </is>
      </c>
      <c r="H2837" t="inlineStr">
        <is>
          <t>24/02/2026</t>
        </is>
      </c>
      <c r="I2837" t="inlineStr">
        <is>
          <t>27/03/2026</t>
        </is>
      </c>
      <c r="J2837" t="inlineStr">
        <is>
          <t>17/03/2026</t>
        </is>
      </c>
      <c r="K2837" t="inlineStr">
        <is>
          <t>N/A</t>
        </is>
      </c>
      <c r="L2837" t="inlineStr">
        <is>
          <t>English, Office Support, Multitasking, Interpersonal Skill, Communication Skills</t>
        </is>
      </c>
      <c r="M2837" t="inlineStr">
        <is>
          <t>Bonus, Paid Leave, Others</t>
        </is>
      </c>
      <c r="N2837" s="8">
        <f>HYPERLINK("https://www.vietnamworks.com/office-administrator--2012707-jv","Xem chi tiết")</f>
        <v/>
      </c>
    </row>
    <row r="2838">
      <c r="B2838" s="9" t="n">
        <v>2836</v>
      </c>
      <c r="C2838" s="10" t="inlineStr">
        <is>
          <t>Nhân Viên Kinh Doanh</t>
        </is>
      </c>
      <c r="D2838" s="10" t="inlineStr">
        <is>
          <t>Holcom Vietnam Co.,Ltd</t>
        </is>
      </c>
      <c r="E2838" s="10" t="inlineStr">
        <is>
          <t>Từ 10tr ₫/tháng</t>
        </is>
      </c>
      <c r="F2838" s="10" t="inlineStr">
        <is>
          <t>Bắc Ninh, Hồ Chí Minh</t>
        </is>
      </c>
      <c r="G2838" s="10" t="inlineStr">
        <is>
          <t>Nhân viên</t>
        </is>
      </c>
      <c r="H2838" s="10" t="inlineStr">
        <is>
          <t>24/02/2026</t>
        </is>
      </c>
      <c r="I2838" s="10" t="inlineStr">
        <is>
          <t>27/03/2026</t>
        </is>
      </c>
      <c r="J2838" s="10" t="inlineStr">
        <is>
          <t>17/03/2026</t>
        </is>
      </c>
      <c r="K2838" s="10" t="inlineStr">
        <is>
          <t>N/A</t>
        </is>
      </c>
      <c r="L2838" s="10" t="inlineStr">
        <is>
          <t>Chăm Sóc Khách Hàng, Theo Dõi Đơn Hàng, Tìm Kiếm Khách Hàng, Bán hàng, Solar Energy</t>
        </is>
      </c>
      <c r="M2838" s="10" t="inlineStr">
        <is>
          <t>Bonus, Healthcare Plan, Awards, Team Activities, Canteen, Others</t>
        </is>
      </c>
      <c r="N2838" s="11">
        <f>HYPERLINK("https://www.vietnamworks.com/nhan-vien-kinh-doanh-2012807-jv","Xem chi tiết")</f>
        <v/>
      </c>
      <c r="O2838" s="10" t="n"/>
    </row>
    <row r="2839">
      <c r="B2839" s="7" t="n">
        <v>2837</v>
      </c>
      <c r="C2839" t="inlineStr">
        <is>
          <t>Kỹ Sư Hiện Trường (Field Engineer)</t>
        </is>
      </c>
      <c r="D2839" t="inlineStr">
        <is>
          <t>CÔNG TY CỔ PHẦN XÂY DỰNG HOÀNG PHÁT</t>
        </is>
      </c>
      <c r="E2839" t="inlineStr">
        <is>
          <t>20tr-30tr ₫/tháng</t>
        </is>
      </c>
      <c r="F2839" t="inlineStr">
        <is>
          <t>Hà Nội</t>
        </is>
      </c>
      <c r="G2839" t="inlineStr">
        <is>
          <t>Nhân viên</t>
        </is>
      </c>
      <c r="H2839" t="inlineStr">
        <is>
          <t>22/02/2026</t>
        </is>
      </c>
      <c r="I2839" t="inlineStr">
        <is>
          <t>27/03/2026</t>
        </is>
      </c>
      <c r="J2839" t="inlineStr">
        <is>
          <t>17/03/2026</t>
        </is>
      </c>
      <c r="K2839" t="inlineStr">
        <is>
          <t>N/A</t>
        </is>
      </c>
      <c r="L2839" t="inlineStr">
        <is>
          <t>Lập Trình AutoCAD, Quản Lý Thi Công, Civil Engineering, Site Engineering, Xây Dựng</t>
        </is>
      </c>
      <c r="M2839" t="inlineStr">
        <is>
          <t>Bonus, Healthcare Plan, Training, Others</t>
        </is>
      </c>
      <c r="N2839" s="8">
        <f>HYPERLINK("https://www.vietnamworks.com/ky-su-hien-truong-field-engineer-2012227-jv","Xem chi tiết")</f>
        <v/>
      </c>
    </row>
    <row r="2840">
      <c r="B2840" s="9" t="n">
        <v>2838</v>
      </c>
      <c r="C2840" s="10" t="inlineStr">
        <is>
          <t>English Teacher for Grammar Giáo Viên Tiếng Anh Ngữ Pháp</t>
        </is>
      </c>
      <c r="D2840" s="10" t="inlineStr">
        <is>
          <t>Giáo Làng Education</t>
        </is>
      </c>
      <c r="E2840" s="10" t="inlineStr">
        <is>
          <t>10tr-18tr ₫/tháng</t>
        </is>
      </c>
      <c r="F2840" s="10" t="inlineStr">
        <is>
          <t>Hồ Chí Minh</t>
        </is>
      </c>
      <c r="G2840" s="10" t="inlineStr">
        <is>
          <t>Nhân viên</t>
        </is>
      </c>
      <c r="H2840" s="10" t="inlineStr">
        <is>
          <t>24/02/2026</t>
        </is>
      </c>
      <c r="I2840" s="10" t="inlineStr">
        <is>
          <t>27/03/2026</t>
        </is>
      </c>
      <c r="J2840" s="10" t="inlineStr">
        <is>
          <t>17/03/2026</t>
        </is>
      </c>
      <c r="K2840" s="10" t="inlineStr">
        <is>
          <t>N/A</t>
        </is>
      </c>
      <c r="L2840" s="10" t="inlineStr">
        <is>
          <t>Grammar Instruction, Lesson Planning, English Teaching, Student Support, Class Management</t>
        </is>
      </c>
      <c r="M2840" s="10" t="inlineStr">
        <is>
          <t>Bonus, Paid Leave, Training</t>
        </is>
      </c>
      <c r="N2840" s="11">
        <f>HYPERLINK("https://www.vietnamworks.com/english-teacher-for-grammar-giao-vien-tieng-anh-ngu-phap-2013348-jv","Xem chi tiết")</f>
        <v/>
      </c>
      <c r="O2840" s="10" t="n"/>
    </row>
    <row r="2841">
      <c r="B2841" s="7" t="n">
        <v>2839</v>
      </c>
      <c r="C2841" t="inlineStr">
        <is>
          <t>Senior HR Manager</t>
        </is>
      </c>
      <c r="D2841" t="inlineStr">
        <is>
          <t>Trường THCS Và THPT Đinh Thiện Lý ( Lawrence S.ting School )</t>
        </is>
      </c>
      <c r="E2841" t="inlineStr">
        <is>
          <t>Thương lượng</t>
        </is>
      </c>
      <c r="F2841" t="inlineStr">
        <is>
          <t>Hồ Chí Minh</t>
        </is>
      </c>
      <c r="G2841" t="inlineStr">
        <is>
          <t>Trưởng phòng</t>
        </is>
      </c>
      <c r="H2841" t="inlineStr">
        <is>
          <t>24/02/2026</t>
        </is>
      </c>
      <c r="I2841" t="inlineStr">
        <is>
          <t>27/03/2026</t>
        </is>
      </c>
      <c r="J2841" t="inlineStr">
        <is>
          <t>17/03/2026</t>
        </is>
      </c>
      <c r="K2841" t="inlineStr">
        <is>
          <t>N/A</t>
        </is>
      </c>
      <c r="L2841" t="inlineStr">
        <is>
          <t>Manage Workflow, Conflict Management, Risk Governance, Leadership Skills, Resilience And Persistence</t>
        </is>
      </c>
      <c r="M2841" t="inlineStr">
        <is>
          <t>Bonus, Training</t>
        </is>
      </c>
      <c r="N2841" s="8">
        <f>HYPERLINK("https://www.vietnamworks.com/senior-hr-manager--2013087-jv","Xem chi tiết")</f>
        <v/>
      </c>
    </row>
    <row r="2842">
      <c r="B2842" s="9" t="n">
        <v>2840</v>
      </c>
      <c r="C2842" s="10" t="inlineStr">
        <is>
          <t>Kỹ Sư Điện Upto 28Tr [Đi Làm Ngay]</t>
        </is>
      </c>
      <c r="D2842" s="10" t="inlineStr">
        <is>
          <t>Công Ty Cổ Phần Kỹ Thuật Công Trình Việt Nam (2T Corp)</t>
        </is>
      </c>
      <c r="E2842" s="10" t="inlineStr">
        <is>
          <t>Tới 28tr ₫/tháng</t>
        </is>
      </c>
      <c r="F2842" s="10" t="inlineStr">
        <is>
          <t>Hà Nội, Hưng Yên</t>
        </is>
      </c>
      <c r="G2842" s="10" t="inlineStr">
        <is>
          <t>Nhân viên</t>
        </is>
      </c>
      <c r="H2842" s="10" t="inlineStr">
        <is>
          <t>24/02/2026</t>
        </is>
      </c>
      <c r="I2842" s="10" t="inlineStr">
        <is>
          <t>27/03/2026</t>
        </is>
      </c>
      <c r="J2842" s="10" t="inlineStr">
        <is>
          <t>17/03/2026</t>
        </is>
      </c>
      <c r="K2842" s="10" t="inlineStr">
        <is>
          <t>N/A</t>
        </is>
      </c>
      <c r="L2842" s="10" t="inlineStr">
        <is>
          <t>AutoCAD, Shop Drawing, Electrical Engineering, Tự Động Hóa, Điện</t>
        </is>
      </c>
      <c r="M2842" s="10" t="inlineStr">
        <is>
          <t>Bonus, Healthcare Plan, Training, Awards, Others</t>
        </is>
      </c>
      <c r="N2842" s="11">
        <f>HYPERLINK("https://www.vietnamworks.com/ky-su-dien-upto-28tr-di-lam-ngay-2013184-jv","Xem chi tiết")</f>
        <v/>
      </c>
      <c r="O2842" s="10" t="n"/>
    </row>
    <row r="2843">
      <c r="B2843" s="7" t="n">
        <v>2841</v>
      </c>
      <c r="C2843" t="inlineStr">
        <is>
          <t>Nhân Viên Kinh Doanh và Hỗ Trợ Kinh Doanh (Kinh Nghiệm OEM/ ODM Ngành Mỹ Phẩm)</t>
        </is>
      </c>
      <c r="D2843" t="inlineStr">
        <is>
          <t>Công Ty TNHH Cana Young</t>
        </is>
      </c>
      <c r="E2843" t="inlineStr">
        <is>
          <t>25tr-30tr ₫/tháng</t>
        </is>
      </c>
      <c r="F2843" t="inlineStr">
        <is>
          <t>Hồ Chí Minh</t>
        </is>
      </c>
      <c r="G2843" t="inlineStr">
        <is>
          <t>Nhân viên</t>
        </is>
      </c>
      <c r="H2843" t="inlineStr">
        <is>
          <t>24/02/2026</t>
        </is>
      </c>
      <c r="I2843" t="inlineStr">
        <is>
          <t>27/03/2026</t>
        </is>
      </c>
      <c r="J2843" t="inlineStr">
        <is>
          <t>17/03/2026</t>
        </is>
      </c>
      <c r="K2843" t="inlineStr">
        <is>
          <t>N/A</t>
        </is>
      </c>
      <c r="L2843" t="inlineStr">
        <is>
          <t>Bán Hàng, Kinh Doanh, Business Development, Sales, Mỹ Phẩm</t>
        </is>
      </c>
      <c r="M2843" t="inlineStr">
        <is>
          <t>Bonus, Healthcare Plan, Others</t>
        </is>
      </c>
      <c r="N2843" s="8">
        <f>HYPERLINK("https://www.vietnamworks.com/nhan-vien-kinh-doanh-va-ho-tro-kinh-doanh-kinh-nghiem-oem-odm-nganh-my-pham-2012933-jv","Xem chi tiết")</f>
        <v/>
      </c>
    </row>
    <row r="2844">
      <c r="B2844" s="9" t="n">
        <v>2842</v>
      </c>
      <c r="C2844" s="10" t="inlineStr">
        <is>
          <t>Kỹ Sư Cấp Thoát Nước [Upto 28Tr] [Đi Làm Ngay]</t>
        </is>
      </c>
      <c r="D2844" s="10" t="inlineStr">
        <is>
          <t>Công Ty Cổ Phần Kỹ Thuật Công Trình Việt Nam (2T Corp)</t>
        </is>
      </c>
      <c r="E2844" s="10" t="inlineStr">
        <is>
          <t>Tới 28tr ₫/tháng</t>
        </is>
      </c>
      <c r="F2844" s="10" t="inlineStr">
        <is>
          <t>Hà Nội, Hưng Yên</t>
        </is>
      </c>
      <c r="G2844" s="10" t="inlineStr">
        <is>
          <t>Nhân viên</t>
        </is>
      </c>
      <c r="H2844" s="10" t="inlineStr">
        <is>
          <t>24/02/2026</t>
        </is>
      </c>
      <c r="I2844" s="10" t="inlineStr">
        <is>
          <t>27/03/2026</t>
        </is>
      </c>
      <c r="J2844" s="10" t="inlineStr">
        <is>
          <t>17/03/2026</t>
        </is>
      </c>
      <c r="K2844" s="10" t="inlineStr">
        <is>
          <t>N/A</t>
        </is>
      </c>
      <c r="L2844" s="10" t="inlineStr">
        <is>
          <t>AutoCAD, Shop Drawing, Bóc Tách Khối Lượng, Cấp Thoát Nước, Nghiệm Thu</t>
        </is>
      </c>
      <c r="M2844" s="10" t="inlineStr">
        <is>
          <t>Bonus, Healthcare Plan, Training, Awards, Others</t>
        </is>
      </c>
      <c r="N2844" s="11">
        <f>HYPERLINK("https://www.vietnamworks.com/ky-su-cap-thoat-nuoc-upto-28tr-di-lam-ngay-2013182-jv","Xem chi tiết")</f>
        <v/>
      </c>
      <c r="O2844" s="10" t="n"/>
    </row>
    <row r="2845">
      <c r="B2845" s="7" t="n">
        <v>2843</v>
      </c>
      <c r="C2845" t="inlineStr">
        <is>
          <t>Chuyên Viên Kinh Doanh Logistics</t>
        </is>
      </c>
      <c r="D2845" t="inlineStr">
        <is>
          <t>CÔNG TY CỔ PHẦN DỊCH VỤ VÀ HẠ TẦNG Ô TÔ THÀNH CÔNG - TCMS</t>
        </is>
      </c>
      <c r="E2845" t="inlineStr">
        <is>
          <t>Thương lượng</t>
        </is>
      </c>
      <c r="F2845" t="inlineStr">
        <is>
          <t>Hà Nội, Ninh Bình, Quảng Ninh</t>
        </is>
      </c>
      <c r="G2845" t="inlineStr">
        <is>
          <t>Nhân viên</t>
        </is>
      </c>
      <c r="H2845" t="inlineStr">
        <is>
          <t>24/02/2026</t>
        </is>
      </c>
      <c r="I2845" t="inlineStr">
        <is>
          <t>27/03/2026</t>
        </is>
      </c>
      <c r="J2845" t="inlineStr">
        <is>
          <t>17/03/2026</t>
        </is>
      </c>
      <c r="K2845" t="inlineStr">
        <is>
          <t>N/A</t>
        </is>
      </c>
      <c r="L2845" t="inlineStr">
        <is>
          <t>Kinh Doanh, Kinh Doanh Kho Bãi, Logistic, Vận Tải, Sales Development</t>
        </is>
      </c>
      <c r="M2845" t="inlineStr">
        <is>
          <t>Bonus, Healthcare Plan, Paid Leave</t>
        </is>
      </c>
      <c r="N2845" s="8">
        <f>HYPERLINK("https://www.vietnamworks.com/chuyen-vien-kinh-doanh-logistics-2012938-jv","Xem chi tiết")</f>
        <v/>
      </c>
    </row>
    <row r="2846">
      <c r="B2846" s="9" t="n">
        <v>2844</v>
      </c>
      <c r="C2846" s="10" t="inlineStr">
        <is>
          <t>Chuyên Viên Kinh Doanh Dự Án – Thiết Bị Gia Dụng &amp; Kỹ Thuật Xây Dựng</t>
        </is>
      </c>
      <c r="D2846" s="10" t="inlineStr">
        <is>
          <t>Công Ty CP TM HMH Việt Nam</t>
        </is>
      </c>
      <c r="E2846" s="10" t="inlineStr">
        <is>
          <t>15tr-20tr ₫/tháng</t>
        </is>
      </c>
      <c r="F2846" s="10" t="inlineStr">
        <is>
          <t>Hồ Chí Minh</t>
        </is>
      </c>
      <c r="G2846" s="10" t="inlineStr">
        <is>
          <t>Nhân viên</t>
        </is>
      </c>
      <c r="H2846" s="10" t="inlineStr">
        <is>
          <t>24/02/2026</t>
        </is>
      </c>
      <c r="I2846" s="10" t="inlineStr">
        <is>
          <t>27/03/2026</t>
        </is>
      </c>
      <c r="J2846" s="10" t="inlineStr">
        <is>
          <t>17/03/2026</t>
        </is>
      </c>
      <c r="K2846" s="10" t="inlineStr">
        <is>
          <t>N/A</t>
        </is>
      </c>
      <c r="L2846" s="10" t="inlineStr">
        <is>
          <t>Giao Tiếp, Giao Tiếp Tiếng Anh, Kinh Doanh Phát Triển Dự Án, Đàm Phán, Đọc Bản Vẽ Kỹ Thuật</t>
        </is>
      </c>
      <c r="M2846" s="10" t="inlineStr">
        <is>
          <t>Bonus, Healthcare Plan, Training, Others</t>
        </is>
      </c>
      <c r="N2846" s="11">
        <f>HYPERLINK("https://www.vietnamworks.com/chuyen-vien-kinh-doanh-du-an-thiet-bi-gia-dung-and-ky-thuat-xay-dung-2013006-jv","Xem chi tiết")</f>
        <v/>
      </c>
      <c r="O2846" s="10" t="n"/>
    </row>
    <row r="2847">
      <c r="B2847" s="7" t="n">
        <v>2845</v>
      </c>
      <c r="C2847" t="inlineStr">
        <is>
          <t>Trưởng Phòng Kinh Doanh – Phụ Trách Bất Động Sản Khu Công Nghiệp</t>
        </is>
      </c>
      <c r="D2847" t="inlineStr">
        <is>
          <t>CÔNG TY CỔ PHẦN DỊCH VỤ VÀ HẠ TẦNG Ô TÔ THÀNH CÔNG - TCMS</t>
        </is>
      </c>
      <c r="E2847" t="inlineStr">
        <is>
          <t>Thương lượng</t>
        </is>
      </c>
      <c r="F2847" t="inlineStr">
        <is>
          <t>Hà Nội, Ninh Bình, Quảng Ninh</t>
        </is>
      </c>
      <c r="G2847" t="inlineStr">
        <is>
          <t>Trưởng phòng</t>
        </is>
      </c>
      <c r="H2847" t="inlineStr">
        <is>
          <t>24/02/2026</t>
        </is>
      </c>
      <c r="I2847" t="inlineStr">
        <is>
          <t>27/03/2026</t>
        </is>
      </c>
      <c r="J2847" t="inlineStr">
        <is>
          <t>17/03/2026</t>
        </is>
      </c>
      <c r="K2847" t="inlineStr">
        <is>
          <t>N/A</t>
        </is>
      </c>
      <c r="L2847" t="inlineStr">
        <is>
          <t>Shipping Logistics, Phân Tích Thị Trường, Đàm Phán Hợp Đồng, Phát Triển Kinh Doanh, Tìm Kiếm Khách Hàng</t>
        </is>
      </c>
      <c r="M2847" t="inlineStr">
        <is>
          <t>Bonus, Healthcare Plan, Travel Opportunities, Others</t>
        </is>
      </c>
      <c r="N2847" s="8">
        <f>HYPERLINK("https://www.vietnamworks.com/truong-phong-kinh-doanh-phu-trach-bat-djong-san-khu-cong-nghiep-2012929-jv","Xem chi tiết")</f>
        <v/>
      </c>
    </row>
    <row r="2848">
      <c r="B2848" s="9" t="n">
        <v>2846</v>
      </c>
      <c r="C2848" s="10" t="inlineStr">
        <is>
          <t>Electrician</t>
        </is>
      </c>
      <c r="D2848" s="10" t="inlineStr">
        <is>
          <t>CÔNG TY TNHH AJAX SYSTEMS VIỆT NAM</t>
        </is>
      </c>
      <c r="E2848" s="10" t="inlineStr">
        <is>
          <t>Thương lượng</t>
        </is>
      </c>
      <c r="F2848" s="10" t="inlineStr">
        <is>
          <t>Hưng Yên, Hải Dương, Hà Nội</t>
        </is>
      </c>
      <c r="G2848" s="10" t="inlineStr">
        <is>
          <t>Nhân viên</t>
        </is>
      </c>
      <c r="H2848" s="10" t="inlineStr">
        <is>
          <t>24/02/2026</t>
        </is>
      </c>
      <c r="I2848" s="10" t="inlineStr">
        <is>
          <t>27/03/2026</t>
        </is>
      </c>
      <c r="J2848" s="10" t="inlineStr">
        <is>
          <t>17/03/2026</t>
        </is>
      </c>
      <c r="K2848" s="10" t="inlineStr">
        <is>
          <t>N/A</t>
        </is>
      </c>
      <c r="L2848" s="10" t="inlineStr">
        <is>
          <t>Điện, Bảo Trì Điện, Bảo Trì, Cơ Khí, Sửa Chữa</t>
        </is>
      </c>
      <c r="M2848" s="10" t="inlineStr">
        <is>
          <t>Bonus, Laptop, Transportation</t>
        </is>
      </c>
      <c r="N2848" s="11">
        <f>HYPERLINK("https://www.vietnamworks.com/electrician--2013475-jv","Xem chi tiết")</f>
        <v/>
      </c>
      <c r="O2848" s="10" t="n"/>
    </row>
    <row r="2849">
      <c r="B2849" s="7" t="n">
        <v>2847</v>
      </c>
      <c r="C2849" t="inlineStr">
        <is>
          <t>Trưởng Phòng Kiến Trúc Công Nghệ và Dữ Liệu - Head of Architecture and Platform</t>
        </is>
      </c>
      <c r="D2849" t="inlineStr">
        <is>
          <t>Tập Đoàn Tân Á Đại Thành</t>
        </is>
      </c>
      <c r="E2849" t="inlineStr">
        <is>
          <t>Thương lượng</t>
        </is>
      </c>
      <c r="F2849" t="inlineStr">
        <is>
          <t>Hà Nội</t>
        </is>
      </c>
      <c r="G2849" t="inlineStr">
        <is>
          <t>Trưởng phòng</t>
        </is>
      </c>
      <c r="H2849" t="inlineStr">
        <is>
          <t>25/02/2026</t>
        </is>
      </c>
      <c r="I2849" t="inlineStr">
        <is>
          <t>27/03/2026</t>
        </is>
      </c>
      <c r="J2849" t="inlineStr">
        <is>
          <t>17/03/2026</t>
        </is>
      </c>
      <c r="K2849" t="inlineStr">
        <is>
          <t>N/A</t>
        </is>
      </c>
      <c r="L2849" t="inlineStr">
        <is>
          <t>IT Operations, IT Administration, DevOps &amp; CI/CD, Architecture Technology, Platform Solution</t>
        </is>
      </c>
      <c r="M2849" t="inlineStr">
        <is>
          <t>Bonus, Healthcare Plan, Laptop</t>
        </is>
      </c>
      <c r="N2849" s="8">
        <f>HYPERLINK("https://www.vietnamworks.com/truong-phong-kien-truc-cong-nghe-va-du-lieu-head-of-architecture-and-platform-2013479-jv","Xem chi tiết")</f>
        <v/>
      </c>
    </row>
    <row r="2850">
      <c r="B2850" s="9" t="n">
        <v>2848</v>
      </c>
      <c r="C2850" s="10" t="inlineStr">
        <is>
          <t>Office Specialist</t>
        </is>
      </c>
      <c r="D2850" s="10" t="inlineStr">
        <is>
          <t>CÔNG TY TNHH AJAX SYSTEMS VIỆT NAM</t>
        </is>
      </c>
      <c r="E2850" s="10" t="inlineStr">
        <is>
          <t>Thương lượng</t>
        </is>
      </c>
      <c r="F2850" s="10" t="inlineStr">
        <is>
          <t>Hưng Yên, Hải Dương, Hà Nội</t>
        </is>
      </c>
      <c r="G2850" s="10" t="inlineStr">
        <is>
          <t>Nhân viên</t>
        </is>
      </c>
      <c r="H2850" s="10" t="inlineStr">
        <is>
          <t>24/02/2026</t>
        </is>
      </c>
      <c r="I2850" s="10" t="inlineStr">
        <is>
          <t>27/03/2026</t>
        </is>
      </c>
      <c r="J2850" s="10" t="inlineStr">
        <is>
          <t>17/03/2026</t>
        </is>
      </c>
      <c r="K2850" s="10" t="inlineStr">
        <is>
          <t>N/A</t>
        </is>
      </c>
      <c r="L2850" s="10" t="inlineStr">
        <is>
          <t>Administration, Hành Chính Thư Ký, Hành Chính, Nghiệp Vụ Thư Ký, Willingness To Work Night Shifts</t>
        </is>
      </c>
      <c r="M2850" s="10" t="inlineStr">
        <is>
          <t>Bonus, Laptop, Transportation</t>
        </is>
      </c>
      <c r="N2850" s="11">
        <f>HYPERLINK("https://www.vietnamworks.com/office-specialist-2013476-jv","Xem chi tiết")</f>
        <v/>
      </c>
      <c r="O2850" s="10" t="n"/>
    </row>
    <row r="2851">
      <c r="B2851" s="7" t="n">
        <v>2849</v>
      </c>
      <c r="C2851" t="inlineStr">
        <is>
          <t>Business Development (B2B)</t>
        </is>
      </c>
      <c r="D2851" t="inlineStr">
        <is>
          <t>Chi Nhánh Công Ty Cổ Phần Giải Pháp Tự Động Hóa Kỹ Thuật Việt Nam</t>
        </is>
      </c>
      <c r="E2851" t="inlineStr">
        <is>
          <t>Thương lượng</t>
        </is>
      </c>
      <c r="F2851" t="inlineStr">
        <is>
          <t>Hồ Chí Minh</t>
        </is>
      </c>
      <c r="G2851" t="inlineStr">
        <is>
          <t>Nhân viên</t>
        </is>
      </c>
      <c r="H2851" t="inlineStr">
        <is>
          <t>24/02/2026</t>
        </is>
      </c>
      <c r="I2851" t="inlineStr">
        <is>
          <t>27/03/2026</t>
        </is>
      </c>
      <c r="J2851" t="inlineStr">
        <is>
          <t>17/03/2026</t>
        </is>
      </c>
      <c r="K2851" t="inlineStr">
        <is>
          <t>N/A</t>
        </is>
      </c>
      <c r="L2851" t="inlineStr">
        <is>
          <t>Phát Triển Kinh Doanh, Mastercam, Presales Technical, B2B Business Development, Tiếng  Anh Giao Tiếp</t>
        </is>
      </c>
      <c r="M2851" t="inlineStr">
        <is>
          <t>Bonus, Awards, Laptop</t>
        </is>
      </c>
      <c r="N2851" s="8">
        <f>HYPERLINK("https://www.vietnamworks.com/business-development-b2b--2013394-jv","Xem chi tiết")</f>
        <v/>
      </c>
    </row>
    <row r="2852">
      <c r="B2852" s="9" t="n">
        <v>2850</v>
      </c>
      <c r="C2852" s="10" t="inlineStr">
        <is>
          <t>Nhân Viên Kinh Doanh</t>
        </is>
      </c>
      <c r="D2852" s="10" t="inlineStr">
        <is>
          <t>Công Ty TNHH Todaytec Việt Nam</t>
        </is>
      </c>
      <c r="E2852" s="10" t="inlineStr">
        <is>
          <t>10tr-18tr ₫/tháng</t>
        </is>
      </c>
      <c r="F2852" s="10" t="inlineStr">
        <is>
          <t>Hồ Chí Minh, Hà Nội</t>
        </is>
      </c>
      <c r="G2852" s="10" t="inlineStr">
        <is>
          <t>Mới Tốt Nghiệp</t>
        </is>
      </c>
      <c r="H2852" s="10" t="inlineStr">
        <is>
          <t>24/02/2026</t>
        </is>
      </c>
      <c r="I2852" s="10" t="inlineStr">
        <is>
          <t>27/03/2026</t>
        </is>
      </c>
      <c r="J2852" s="10" t="inlineStr">
        <is>
          <t>17/03/2026</t>
        </is>
      </c>
      <c r="K2852" s="10" t="inlineStr">
        <is>
          <t>N/A</t>
        </is>
      </c>
      <c r="L2852" s="10" t="inlineStr">
        <is>
          <t>Sales Management, Business Development, Customer Relation, sale B2B, Sale technician</t>
        </is>
      </c>
      <c r="M2852" s="10" t="inlineStr">
        <is>
          <t>Bonus, Healthcare Plan, Paid Leave, Training, Others</t>
        </is>
      </c>
      <c r="N2852" s="11">
        <f>HYPERLINK("https://www.vietnamworks.com/nhan-vien-kinh-doanh-2013417-jv","Xem chi tiết")</f>
        <v/>
      </c>
      <c r="O2852" s="10" t="n"/>
    </row>
    <row r="2853">
      <c r="B2853" s="7" t="n">
        <v>2851</v>
      </c>
      <c r="C2853" t="inlineStr">
        <is>
          <t>Giám Đốc Truyền Thông ( Chủ Đầu Tư BĐS )</t>
        </is>
      </c>
      <c r="D2853" t="inlineStr">
        <is>
          <t>Công Ty CP Tập Đoàn Everland</t>
        </is>
      </c>
      <c r="E2853" t="inlineStr">
        <is>
          <t>Thương lượng</t>
        </is>
      </c>
      <c r="F2853" t="inlineStr">
        <is>
          <t>Hà Nội</t>
        </is>
      </c>
      <c r="G2853" t="inlineStr">
        <is>
          <t>Giám Đốc và Cấp Cao Hơn</t>
        </is>
      </c>
      <c r="H2853" t="inlineStr">
        <is>
          <t>24/02/2026</t>
        </is>
      </c>
      <c r="I2853" t="inlineStr">
        <is>
          <t>27/03/2026</t>
        </is>
      </c>
      <c r="J2853" t="inlineStr">
        <is>
          <t>17/03/2026</t>
        </is>
      </c>
      <c r="K2853" t="inlineStr">
        <is>
          <t>N/A</t>
        </is>
      </c>
      <c r="L2853" t="inlineStr">
        <is>
          <t>Marcom, Truyền Thông Báo Chí</t>
        </is>
      </c>
      <c r="M2853" t="inlineStr">
        <is>
          <t>Bonus, Healthcare Plan, Team Activities</t>
        </is>
      </c>
      <c r="N2853" s="8">
        <f>HYPERLINK("https://www.vietnamworks.com/giam-doc-truyen-thong-chu-dau-tu-bds-2013453-jv","Xem chi tiết")</f>
        <v/>
      </c>
    </row>
    <row r="2854">
      <c r="B2854" s="9" t="n">
        <v>2852</v>
      </c>
      <c r="C2854" s="10" t="inlineStr">
        <is>
          <t>Quality System Engineer</t>
        </is>
      </c>
      <c r="D2854" s="10" t="inlineStr">
        <is>
          <t>Amphenol High Speed Technology Vietnam</t>
        </is>
      </c>
      <c r="E2854" s="10" t="inlineStr">
        <is>
          <t>Thương lượng</t>
        </is>
      </c>
      <c r="F2854" s="10" t="inlineStr">
        <is>
          <t>Bắc Ninh, Hà Nội, Hải Dương</t>
        </is>
      </c>
      <c r="G2854" s="10" t="inlineStr">
        <is>
          <t>Nhân viên</t>
        </is>
      </c>
      <c r="H2854" s="10" t="inlineStr">
        <is>
          <t>25/02/2026</t>
        </is>
      </c>
      <c r="I2854" s="10" t="inlineStr">
        <is>
          <t>27/03/2026</t>
        </is>
      </c>
      <c r="J2854" s="10" t="inlineStr">
        <is>
          <t>17/03/2026</t>
        </is>
      </c>
      <c r="K2854" s="10" t="inlineStr">
        <is>
          <t>N/A</t>
        </is>
      </c>
      <c r="L2854" s="10" t="inlineStr">
        <is>
          <t>Quality System, Quality Management System, Audit, ISO, QMS</t>
        </is>
      </c>
      <c r="M2854" s="10" t="inlineStr">
        <is>
          <t>Bonus, Healthcare Plan, Transportation</t>
        </is>
      </c>
      <c r="N2854" s="11">
        <f>HYPERLINK("https://www.vietnamworks.com/quality-system-engineer--2013477-jv","Xem chi tiết")</f>
        <v/>
      </c>
      <c r="O2854" s="10" t="n"/>
    </row>
    <row r="2855">
      <c r="B2855" s="7" t="n">
        <v>2853</v>
      </c>
      <c r="C2855" t="inlineStr">
        <is>
          <t>Trưởng Nhóm Kinh Doanh</t>
        </is>
      </c>
      <c r="D2855" t="inlineStr">
        <is>
          <t>TICO TRAVEL</t>
        </is>
      </c>
      <c r="E2855" t="inlineStr">
        <is>
          <t>15tr-20tr ₫/tháng</t>
        </is>
      </c>
      <c r="F2855" t="inlineStr">
        <is>
          <t>Hà Nội</t>
        </is>
      </c>
      <c r="G2855" t="inlineStr">
        <is>
          <t>Trưởng phòng</t>
        </is>
      </c>
      <c r="H2855" t="inlineStr">
        <is>
          <t>25/02/2026</t>
        </is>
      </c>
      <c r="I2855" t="inlineStr">
        <is>
          <t>27/03/2026</t>
        </is>
      </c>
      <c r="J2855" t="inlineStr">
        <is>
          <t>17/03/2026</t>
        </is>
      </c>
      <c r="K2855" t="inlineStr">
        <is>
          <t>N/A</t>
        </is>
      </c>
      <c r="L2855" t="inlineStr">
        <is>
          <t>Giao Tiếp Tiếng Anh, Kỹ năng bán hàng, Quản Lý Nhóm, Xử Lý Tình Huống, Yêu Thích Du Lịch</t>
        </is>
      </c>
      <c r="M2855" t="inlineStr">
        <is>
          <t>Healthcare Plan, Training, Team Activities, Others</t>
        </is>
      </c>
      <c r="N2855" s="8">
        <f>HYPERLINK("https://www.vietnamworks.com/truong-nhom-kinh-doanh-2013495-jv","Xem chi tiết")</f>
        <v/>
      </c>
    </row>
    <row r="2856">
      <c r="B2856" s="9" t="n">
        <v>2854</v>
      </c>
      <c r="C2856" s="10" t="inlineStr">
        <is>
          <t>Invoice Issuance Accountant/ Kế Toán Xuất Hóa Đơn</t>
        </is>
      </c>
      <c r="D2856" s="10" t="inlineStr">
        <is>
          <t>Otsuka Nutraceutical Vietnam Co.,ltd.</t>
        </is>
      </c>
      <c r="E2856" s="10" t="inlineStr">
        <is>
          <t>$$ 500-550 /tháng</t>
        </is>
      </c>
      <c r="F2856" s="10" t="inlineStr">
        <is>
          <t>Hồ Chí Minh</t>
        </is>
      </c>
      <c r="G2856" s="10" t="inlineStr">
        <is>
          <t>Nhân viên</t>
        </is>
      </c>
      <c r="H2856" s="10" t="inlineStr">
        <is>
          <t>25/02/2026</t>
        </is>
      </c>
      <c r="I2856" s="10" t="inlineStr">
        <is>
          <t>27/03/2026</t>
        </is>
      </c>
      <c r="J2856" s="10" t="inlineStr">
        <is>
          <t>17/03/2026</t>
        </is>
      </c>
      <c r="K2856" s="10" t="inlineStr">
        <is>
          <t>N/A</t>
        </is>
      </c>
      <c r="L2856" s="10" t="inlineStr">
        <is>
          <t>N/A</t>
        </is>
      </c>
      <c r="M2856" s="10" t="inlineStr">
        <is>
          <t>Bonus, Healthcare Plan, Paid Leave, Laptop</t>
        </is>
      </c>
      <c r="N2856" s="11">
        <f>HYPERLINK("https://www.vietnamworks.com/invoice-issuance-accountant-ke-toan-xuat-hoa-djon-2013497-jv","Xem chi tiết")</f>
        <v/>
      </c>
      <c r="O2856" s="10" t="n"/>
    </row>
    <row r="2857">
      <c r="B2857" s="7" t="n">
        <v>2855</v>
      </c>
      <c r="C2857" t="inlineStr">
        <is>
          <t>Kinh Doanh Quốc Tế/ International Sales (Open for Fresher)</t>
        </is>
      </c>
      <c r="D2857" t="inlineStr">
        <is>
          <t>Công Ty Cổ Phần BM Windows</t>
        </is>
      </c>
      <c r="E2857" t="inlineStr">
        <is>
          <t>$$ 600-1,000 /tháng</t>
        </is>
      </c>
      <c r="F2857" t="inlineStr">
        <is>
          <t>Hồ Chí Minh, Hà Nội</t>
        </is>
      </c>
      <c r="G2857" t="inlineStr">
        <is>
          <t>Thực tập sinh/Sinh viên</t>
        </is>
      </c>
      <c r="H2857" t="inlineStr">
        <is>
          <t>25/02/2026</t>
        </is>
      </c>
      <c r="I2857" t="inlineStr">
        <is>
          <t>27/03/2026</t>
        </is>
      </c>
      <c r="J2857" t="inlineStr">
        <is>
          <t>17/03/2026</t>
        </is>
      </c>
      <c r="K2857" t="inlineStr">
        <is>
          <t>N/A</t>
        </is>
      </c>
      <c r="L2857" t="inlineStr">
        <is>
          <t>Kinh Doanh Quốc Tế, Quan Hệ Đối Ngoại, Tiếng Anh, Tổng Hợp Thông Tin, Tìm Kiếm Khách Hàng</t>
        </is>
      </c>
      <c r="M2857" t="inlineStr">
        <is>
          <t>Bonus, Healthcare Plan, Team Activities</t>
        </is>
      </c>
      <c r="N2857" s="8">
        <f>HYPERLINK("https://www.vietnamworks.com/kinh-doanh-quoc-te-international-sales-open-for-fresher-2013494-jv","Xem chi tiết")</f>
        <v/>
      </c>
    </row>
    <row r="2858">
      <c r="B2858" s="9" t="n">
        <v>2856</v>
      </c>
      <c r="C2858" s="10" t="inlineStr">
        <is>
          <t>[Nữ] Kế Toán Trưởng Tại Hà Nội</t>
        </is>
      </c>
      <c r="D2858" s="10" t="inlineStr">
        <is>
          <t>Công Ty Cổ Phần Đầu Tư Và Công Nghệ Bắc Hà</t>
        </is>
      </c>
      <c r="E2858" s="10" t="inlineStr">
        <is>
          <t>20tr-40tr ₫/tháng</t>
        </is>
      </c>
      <c r="F2858" s="10" t="inlineStr">
        <is>
          <t>Hà Nội</t>
        </is>
      </c>
      <c r="G2858" s="10" t="inlineStr">
        <is>
          <t>Trưởng phòng</t>
        </is>
      </c>
      <c r="H2858" s="10" t="inlineStr">
        <is>
          <t>25/02/2026</t>
        </is>
      </c>
      <c r="I2858" s="10" t="inlineStr">
        <is>
          <t>27/03/2026</t>
        </is>
      </c>
      <c r="J2858" s="10" t="inlineStr">
        <is>
          <t>17/03/2026</t>
        </is>
      </c>
      <c r="K2858" s="10" t="inlineStr">
        <is>
          <t>N/A</t>
        </is>
      </c>
      <c r="L2858" s="10" t="inlineStr">
        <is>
          <t>Kế Toán Thuế, Lập Báo Cáo Tài Chính, Phân Tích Tài Chính, Tài Chính Kế Toán, Đầu Tư Tài Chính</t>
        </is>
      </c>
      <c r="M2858" s="10" t="inlineStr">
        <is>
          <t>Bonus, Healthcare Plan, Team Activities, Others</t>
        </is>
      </c>
      <c r="N2858" s="11">
        <f>HYPERLINK("https://www.vietnamworks.com/nu-ke-toan-truong-tai-ha-noi-2013496-jv","Xem chi tiết")</f>
        <v/>
      </c>
      <c r="O2858" s="10" t="n"/>
    </row>
    <row r="2859">
      <c r="B2859" s="7" t="n">
        <v>2857</v>
      </c>
      <c r="C2859" t="inlineStr">
        <is>
          <t>Đội Trưởng Đội Bảo Vệ</t>
        </is>
      </c>
      <c r="D2859" t="inlineStr">
        <is>
          <t>Eschool</t>
        </is>
      </c>
      <c r="E2859" t="inlineStr">
        <is>
          <t>Thương lượng</t>
        </is>
      </c>
      <c r="F2859" t="inlineStr">
        <is>
          <t>Hồ Chí Minh</t>
        </is>
      </c>
      <c r="G2859" t="inlineStr">
        <is>
          <t>Trưởng phòng</t>
        </is>
      </c>
      <c r="H2859" t="inlineStr">
        <is>
          <t>25/02/2026</t>
        </is>
      </c>
      <c r="I2859" t="inlineStr">
        <is>
          <t>27/03/2026</t>
        </is>
      </c>
      <c r="J2859" t="inlineStr">
        <is>
          <t>17/03/2026</t>
        </is>
      </c>
      <c r="K2859" t="inlineStr">
        <is>
          <t>N/A</t>
        </is>
      </c>
      <c r="L2859" t="inlineStr">
        <is>
          <t>An ninh, Bảo vệ, Bảo Vệ An Ninh, Quản lý an ninh, PCCC</t>
        </is>
      </c>
      <c r="M2859" t="inlineStr">
        <is>
          <t>Bonus, Training, Team Activities, Others</t>
        </is>
      </c>
      <c r="N2859" s="8">
        <f>HYPERLINK("https://www.vietnamworks.com/djoi-truong-djoi-bao-ve-2013487-jv","Xem chi tiết")</f>
        <v/>
      </c>
    </row>
    <row r="2860">
      <c r="B2860" s="9" t="n">
        <v>2858</v>
      </c>
      <c r="C2860" s="10" t="inlineStr">
        <is>
          <t>Chuyên Viên Đào Tạo</t>
        </is>
      </c>
      <c r="D2860" s="10" t="inlineStr">
        <is>
          <t>Công Ty Cổ Phần BM Windows</t>
        </is>
      </c>
      <c r="E2860" s="10" t="inlineStr">
        <is>
          <t>$$ 700-1,500 /tháng</t>
        </is>
      </c>
      <c r="F2860" s="10" t="inlineStr">
        <is>
          <t>Hồ Chí Minh</t>
        </is>
      </c>
      <c r="G2860" s="10" t="inlineStr">
        <is>
          <t>Nhân viên</t>
        </is>
      </c>
      <c r="H2860" s="10" t="inlineStr">
        <is>
          <t>25/02/2026</t>
        </is>
      </c>
      <c r="I2860" s="10" t="inlineStr">
        <is>
          <t>27/03/2026</t>
        </is>
      </c>
      <c r="J2860" s="10" t="inlineStr">
        <is>
          <t>17/03/2026</t>
        </is>
      </c>
      <c r="K2860" s="10" t="inlineStr">
        <is>
          <t>N/A</t>
        </is>
      </c>
      <c r="L2860" s="10" t="inlineStr">
        <is>
          <t>Đào Tạo, Training, Learning And Development, Human Resources, Phát Triển Nhân Sự Nội Bộ</t>
        </is>
      </c>
      <c r="M2860" s="10" t="inlineStr">
        <is>
          <t>Bonus, Healthcare Plan, Team Activities</t>
        </is>
      </c>
      <c r="N2860" s="11">
        <f>HYPERLINK("https://www.vietnamworks.com/chuyen-vien-dao-tao--2013492-jv","Xem chi tiết")</f>
        <v/>
      </c>
      <c r="O2860" s="10" t="n"/>
    </row>
    <row r="2861">
      <c r="B2861" s="7" t="n">
        <v>2859</v>
      </c>
      <c r="C2861" t="inlineStr">
        <is>
          <t>Senior Executive - Digital Marketing (Digital Performance &amp; E-Commerce)</t>
        </is>
      </c>
      <c r="D2861" t="inlineStr">
        <is>
          <t>Omron Healthcare Vietnam Company Limited</t>
        </is>
      </c>
      <c r="E2861" t="inlineStr">
        <is>
          <t>Thương lượng</t>
        </is>
      </c>
      <c r="F2861" t="inlineStr">
        <is>
          <t>Hồ Chí Minh</t>
        </is>
      </c>
      <c r="G2861" t="inlineStr">
        <is>
          <t>Nhân viên</t>
        </is>
      </c>
      <c r="H2861" t="inlineStr">
        <is>
          <t>25/02/2026</t>
        </is>
      </c>
      <c r="I2861" t="inlineStr">
        <is>
          <t>27/03/2026</t>
        </is>
      </c>
      <c r="J2861" t="inlineStr">
        <is>
          <t>17/03/2026</t>
        </is>
      </c>
      <c r="K2861" t="inlineStr">
        <is>
          <t>N/A</t>
        </is>
      </c>
      <c r="L2861" t="inlineStr">
        <is>
          <t>Digital Marketing, Online Marketing, Social Media Development</t>
        </is>
      </c>
      <c r="M2861" t="inlineStr">
        <is>
          <t>Bonus, Healthcare Plan, Training</t>
        </is>
      </c>
      <c r="N2861" s="8">
        <f>HYPERLINK("https://www.vietnamworks.com/senior-executive-digital-marketing-digital-performance-e-commerce-2013493-jv","Xem chi tiết")</f>
        <v/>
      </c>
    </row>
    <row r="2862">
      <c r="B2862" s="9" t="n">
        <v>2860</v>
      </c>
      <c r="C2862" s="10" t="inlineStr">
        <is>
          <t>Kỹ Sư Cơ Khí</t>
        </is>
      </c>
      <c r="D2862" s="10" t="inlineStr">
        <is>
          <t>Công Ty Cổ Phần BM Windows</t>
        </is>
      </c>
      <c r="E2862" s="10" t="inlineStr">
        <is>
          <t>650-1,000 ₫/tháng</t>
        </is>
      </c>
      <c r="F2862" s="10" t="inlineStr">
        <is>
          <t>Hồ Chí Minh, Hà Nội</t>
        </is>
      </c>
      <c r="G2862" s="10" t="inlineStr">
        <is>
          <t>Mới Tốt Nghiệp</t>
        </is>
      </c>
      <c r="H2862" s="10" t="inlineStr">
        <is>
          <t>25/02/2026</t>
        </is>
      </c>
      <c r="I2862" s="10" t="inlineStr">
        <is>
          <t>27/03/2026</t>
        </is>
      </c>
      <c r="J2862" s="10" t="inlineStr">
        <is>
          <t>17/03/2026</t>
        </is>
      </c>
      <c r="K2862" s="10" t="inlineStr">
        <is>
          <t>N/A</t>
        </is>
      </c>
      <c r="L2862" s="10" t="inlineStr">
        <is>
          <t>Mechanical, Chế Tạo Máy, Mechanical Engineering, Cơ Kỹ Thuật, cơ khí chế tạo máy</t>
        </is>
      </c>
      <c r="M2862" s="10" t="inlineStr">
        <is>
          <t>Bonus, Healthcare Plan, Team Activities</t>
        </is>
      </c>
      <c r="N2862" s="11">
        <f>HYPERLINK("https://www.vietnamworks.com/ky-su-co-khi--2013491-jv","Xem chi tiết")</f>
        <v/>
      </c>
      <c r="O2862" s="10" t="n"/>
    </row>
    <row r="2863">
      <c r="B2863" s="7" t="n">
        <v>2861</v>
      </c>
      <c r="C2863" t="inlineStr">
        <is>
          <t>C#/.NET Software Engineer</t>
        </is>
      </c>
      <c r="D2863" t="inlineStr">
        <is>
          <t>Ascension 6</t>
        </is>
      </c>
      <c r="E2863" t="inlineStr">
        <is>
          <t>Thương lượng</t>
        </is>
      </c>
      <c r="F2863" t="inlineStr">
        <is>
          <t>Hồ Chí Minh</t>
        </is>
      </c>
      <c r="G2863" t="inlineStr">
        <is>
          <t>Nhân viên</t>
        </is>
      </c>
      <c r="H2863" t="inlineStr">
        <is>
          <t>25/02/2026</t>
        </is>
      </c>
      <c r="I2863" t="inlineStr">
        <is>
          <t>27/03/2026</t>
        </is>
      </c>
      <c r="J2863" t="inlineStr">
        <is>
          <t>17/03/2026</t>
        </is>
      </c>
      <c r="K2863" t="inlineStr">
        <is>
          <t>N/A</t>
        </is>
      </c>
      <c r="L2863" t="inlineStr">
        <is>
          <t>Agile Methodologies, C# Development, Effective Communication, PLC Programming, Wpf Application Development</t>
        </is>
      </c>
      <c r="M2863" t="inlineStr">
        <is>
          <t>Bonus, Training, Others</t>
        </is>
      </c>
      <c r="N2863" s="8">
        <f>HYPERLINK("https://www.vietnamworks.com/c-net-software-engineer-2013481-jv","Xem chi tiết")</f>
        <v/>
      </c>
    </row>
    <row r="2864">
      <c r="B2864" s="9" t="n">
        <v>2862</v>
      </c>
      <c r="C2864" s="10" t="inlineStr">
        <is>
          <t>Area Sales Manager GT - Miền Bắc (Base Nghệ An) và Miền Trung (Base Huế)</t>
        </is>
      </c>
      <c r="D2864" s="10" t="inlineStr">
        <is>
          <t>Otsuka Nutraceutical Vietnam Co.,ltd.</t>
        </is>
      </c>
      <c r="E2864" s="10" t="inlineStr">
        <is>
          <t>$$ 1,400-2,000 /tháng</t>
        </is>
      </c>
      <c r="F2864" s="10" t="inlineStr">
        <is>
          <t>Khác</t>
        </is>
      </c>
      <c r="G2864" s="10" t="inlineStr">
        <is>
          <t>Trưởng phòng</t>
        </is>
      </c>
      <c r="H2864" s="10" t="inlineStr">
        <is>
          <t>25/02/2026</t>
        </is>
      </c>
      <c r="I2864" s="10" t="inlineStr">
        <is>
          <t>27/03/2026</t>
        </is>
      </c>
      <c r="J2864" s="10" t="inlineStr">
        <is>
          <t>17/03/2026</t>
        </is>
      </c>
      <c r="K2864" s="10" t="inlineStr">
        <is>
          <t>N/A</t>
        </is>
      </c>
      <c r="L2864" s="10" t="inlineStr">
        <is>
          <t>Kinh Doanh, Bán Hàng, FMCG, Trade Activity, Sales Product Training</t>
        </is>
      </c>
      <c r="M2864" s="10" t="inlineStr">
        <is>
          <t>Bonus, Healthcare Plan, Laptop</t>
        </is>
      </c>
      <c r="N2864" s="11">
        <f>HYPERLINK("https://www.vietnamworks.com/area-sales-manager-gt-mien-bac-base-nghe-an-va-mien-trung-base-hue-2013483-jv","Xem chi tiết")</f>
        <v/>
      </c>
      <c r="O2864" s="10" t="n"/>
    </row>
    <row r="2865">
      <c r="B2865" s="7" t="n">
        <v>2863</v>
      </c>
      <c r="C2865" t="inlineStr">
        <is>
          <t>Trưởng Phòng Chuyển Đổi Số Bất Động Sản và Smart City</t>
        </is>
      </c>
      <c r="D2865" t="inlineStr">
        <is>
          <t>Tập Đoàn Tân Á Đại Thành</t>
        </is>
      </c>
      <c r="E2865" t="inlineStr">
        <is>
          <t>Thương lượng</t>
        </is>
      </c>
      <c r="F2865" t="inlineStr">
        <is>
          <t>Hà Nội</t>
        </is>
      </c>
      <c r="G2865" t="inlineStr">
        <is>
          <t>Trưởng phòng</t>
        </is>
      </c>
      <c r="H2865" t="inlineStr">
        <is>
          <t>25/02/2026</t>
        </is>
      </c>
      <c r="I2865" t="inlineStr">
        <is>
          <t>27/03/2026</t>
        </is>
      </c>
      <c r="J2865" t="inlineStr">
        <is>
          <t>17/03/2026</t>
        </is>
      </c>
      <c r="K2865" t="inlineStr">
        <is>
          <t>N/A</t>
        </is>
      </c>
      <c r="L2865" t="inlineStr">
        <is>
          <t>Chuyển Đổi Số, Kiến Thức Thị Trường Bất Động Sản, IT Operations, Digital Transformation</t>
        </is>
      </c>
      <c r="M2865" t="inlineStr">
        <is>
          <t>Bonus, Healthcare Plan, Laptop</t>
        </is>
      </c>
      <c r="N2865" s="8">
        <f>HYPERLINK("https://www.vietnamworks.com/truong-phong-chuyen-doi-so-bat-dong-san-va-smart-city-2013480-jv","Xem chi tiết")</f>
        <v/>
      </c>
    </row>
    <row r="2866">
      <c r="B2866" s="9" t="n">
        <v>2864</v>
      </c>
      <c r="C2866" s="10" t="inlineStr">
        <is>
          <t>CHUYÊN VIÊN KINH DOANH DỰ ÁN</t>
        </is>
      </c>
      <c r="D2866" s="10" t="inlineStr">
        <is>
          <t>Công ty Cổ phần Quốc Tế Gốm Sứ Việt</t>
        </is>
      </c>
      <c r="E2866" s="10" t="inlineStr">
        <is>
          <t>Thương lượng</t>
        </is>
      </c>
      <c r="F2866" s="10" t="inlineStr">
        <is>
          <t>Hồ Chí Minh</t>
        </is>
      </c>
      <c r="G2866" s="10" t="inlineStr">
        <is>
          <t>Nhân viên</t>
        </is>
      </c>
      <c r="H2866" s="10" t="inlineStr">
        <is>
          <t>25/02/2026</t>
        </is>
      </c>
      <c r="I2866" s="10" t="inlineStr">
        <is>
          <t>27/03/2026</t>
        </is>
      </c>
      <c r="J2866" s="10" t="inlineStr">
        <is>
          <t>17/03/2026</t>
        </is>
      </c>
      <c r="K2866" s="10" t="inlineStr">
        <is>
          <t>N/A</t>
        </is>
      </c>
      <c r="L2866" s="10" t="inlineStr">
        <is>
          <t>Kinh Nghiệm Nội Thất Cao Cấp, Mở rộng thị trường, Thuyết Phục Đàm Phán, Tiếng Anh lưu loát, Tìm Kiếm Khách Hàng</t>
        </is>
      </c>
      <c r="M2866" s="10" t="inlineStr">
        <is>
          <t>Bonus, Healthcare Plan, Paid Leave, Training, Awards, Travel Opportunities, Others</t>
        </is>
      </c>
      <c r="N2866" s="11">
        <f>HYPERLINK("https://www.vietnamworks.com/chuyen-vien-kinh-doanh-du-an-2013488-jv","Xem chi tiết")</f>
        <v/>
      </c>
      <c r="O2866" s="10" t="n"/>
    </row>
    <row r="2867">
      <c r="B2867" s="7" t="n">
        <v>2865</v>
      </c>
      <c r="C2867" t="inlineStr">
        <is>
          <t>Chuyên Viên Thanh Tra Xây Dựng</t>
        </is>
      </c>
      <c r="D2867" t="inlineStr">
        <is>
          <t>CÔNG TY CỔ PHẦN TẬP ĐOÀN KIM OANH</t>
        </is>
      </c>
      <c r="E2867" t="inlineStr">
        <is>
          <t>Thương lượng</t>
        </is>
      </c>
      <c r="F2867" t="inlineStr">
        <is>
          <t>Hồ Chí Minh</t>
        </is>
      </c>
      <c r="G2867" t="inlineStr">
        <is>
          <t>Nhân viên</t>
        </is>
      </c>
      <c r="H2867" t="inlineStr">
        <is>
          <t>25/02/2026</t>
        </is>
      </c>
      <c r="I2867" t="inlineStr">
        <is>
          <t>27/03/2026</t>
        </is>
      </c>
      <c r="J2867" t="inlineStr">
        <is>
          <t>17/03/2026</t>
        </is>
      </c>
      <c r="K2867" t="inlineStr">
        <is>
          <t>N/A</t>
        </is>
      </c>
      <c r="L2867" t="inlineStr">
        <is>
          <t>Kiểm Tra Chất Lượng, Thanh Tra Hoạt Động, Xây Dựng, Giám Sát, Bất Động Sản</t>
        </is>
      </c>
      <c r="M2867" t="inlineStr">
        <is>
          <t>Others</t>
        </is>
      </c>
      <c r="N2867" s="8">
        <f>HYPERLINK("https://www.vietnamworks.com/chuyen-vien-thanh-tra-xay-dung--2013484-jv","Xem chi tiết")</f>
        <v/>
      </c>
    </row>
    <row r="2868">
      <c r="B2868" s="9" t="n">
        <v>2866</v>
      </c>
      <c r="C2868" s="10" t="inlineStr">
        <is>
          <t>Talent Acquisition Partner</t>
        </is>
      </c>
      <c r="D2868" s="10" t="inlineStr">
        <is>
          <t>Panasonic Sales Vietnam</t>
        </is>
      </c>
      <c r="E2868" s="10" t="inlineStr">
        <is>
          <t>Thương lượng</t>
        </is>
      </c>
      <c r="F2868" s="10" t="inlineStr">
        <is>
          <t>Hà Nội, Hồ Chí Minh</t>
        </is>
      </c>
      <c r="G2868" s="10" t="inlineStr">
        <is>
          <t>Nhân viên</t>
        </is>
      </c>
      <c r="H2868" s="10" t="inlineStr">
        <is>
          <t>25/02/2026</t>
        </is>
      </c>
      <c r="I2868" s="10" t="inlineStr">
        <is>
          <t>27/03/2026</t>
        </is>
      </c>
      <c r="J2868" s="10" t="inlineStr">
        <is>
          <t>17/03/2026</t>
        </is>
      </c>
      <c r="K2868" s="10" t="inlineStr">
        <is>
          <t>N/A</t>
        </is>
      </c>
      <c r="L2868" s="10" t="inlineStr">
        <is>
          <t>Talent Sourcing, Talent Acquisition, Recruitment, Behavioral Interviewing, Competency Based Interviewing</t>
        </is>
      </c>
      <c r="M2868" s="10" t="inlineStr">
        <is>
          <t>Bonus, Paid Leave, Laptop</t>
        </is>
      </c>
      <c r="N2868" s="11">
        <f>HYPERLINK("https://www.vietnamworks.com/talent-acquisition-partner--2013499-jv","Xem chi tiết")</f>
        <v/>
      </c>
      <c r="O2868" s="10" t="n"/>
    </row>
    <row r="2869">
      <c r="B2869" s="7" t="n">
        <v>2867</v>
      </c>
      <c r="C2869" t="inlineStr">
        <is>
          <t>Giám Sát Xây Dựng - Quản Lý Nhà Máy</t>
        </is>
      </c>
      <c r="D2869" t="inlineStr">
        <is>
          <t>TNHH MTV Eundan</t>
        </is>
      </c>
      <c r="E2869" t="inlineStr">
        <is>
          <t>$$ 1,000-2,000 /tháng</t>
        </is>
      </c>
      <c r="F2869" t="inlineStr">
        <is>
          <t>Tây Ninh</t>
        </is>
      </c>
      <c r="G2869" t="inlineStr">
        <is>
          <t>Trưởng phòng</t>
        </is>
      </c>
      <c r="H2869" t="inlineStr">
        <is>
          <t>25/02/2026</t>
        </is>
      </c>
      <c r="I2869" t="inlineStr">
        <is>
          <t>27/03/2026</t>
        </is>
      </c>
      <c r="J2869" t="inlineStr">
        <is>
          <t>17/03/2026</t>
        </is>
      </c>
      <c r="K2869" t="inlineStr">
        <is>
          <t>N/A</t>
        </is>
      </c>
      <c r="L2869" t="inlineStr">
        <is>
          <t>Bảo Trì Kỹ Thuật, EHS, HVAC, Maintenance Management, Technical Operations</t>
        </is>
      </c>
      <c r="M2869" t="inlineStr">
        <is>
          <t>Bonus, Team Activities, Others</t>
        </is>
      </c>
      <c r="N2869" s="8">
        <f>HYPERLINK("https://www.vietnamworks.com/giam-sat-xay-dung-quan-ly-nha-may-2013512-jv","Xem chi tiết")</f>
        <v/>
      </c>
    </row>
    <row r="2870">
      <c r="B2870" s="9" t="n">
        <v>2868</v>
      </c>
      <c r="C2870" s="10" t="inlineStr">
        <is>
          <t>Trưởng Phòng Nhân Sự (HR Manager)</t>
        </is>
      </c>
      <c r="D2870" s="10" t="inlineStr">
        <is>
          <t>Tp Inc. - Hanoi Business Center</t>
        </is>
      </c>
      <c r="E2870" s="10" t="inlineStr">
        <is>
          <t>Thương lượng</t>
        </is>
      </c>
      <c r="F2870" s="10" t="inlineStr">
        <is>
          <t>Bắc Ninh</t>
        </is>
      </c>
      <c r="G2870" s="10" t="inlineStr">
        <is>
          <t>Trưởng phòng</t>
        </is>
      </c>
      <c r="H2870" s="10" t="inlineStr">
        <is>
          <t>25/02/2026</t>
        </is>
      </c>
      <c r="I2870" s="10" t="inlineStr">
        <is>
          <t>27/03/2026</t>
        </is>
      </c>
      <c r="J2870" s="10" t="inlineStr">
        <is>
          <t>17/03/2026</t>
        </is>
      </c>
      <c r="K2870" s="10" t="inlineStr">
        <is>
          <t>N/A</t>
        </is>
      </c>
      <c r="L2870" s="10" t="inlineStr">
        <is>
          <t>Tuyển Dụng, Quản Lý Nhân Sự, Nhân Sự, HR, Hành Chính Nhân Sự</t>
        </is>
      </c>
      <c r="M2870" s="10" t="inlineStr">
        <is>
          <t>Bonus, Training, Team Activities</t>
        </is>
      </c>
      <c r="N2870" s="11">
        <f>HYPERLINK("https://www.vietnamworks.com/truong-phong-nhan-su-hr-manager--2013502-jv","Xem chi tiết")</f>
        <v/>
      </c>
      <c r="O2870" s="10" t="n"/>
    </row>
    <row r="2871">
      <c r="B2871" s="7" t="n">
        <v>2869</v>
      </c>
      <c r="C2871" t="inlineStr">
        <is>
          <t>Credit Policy/ Chính Sách Tín Dụng</t>
        </is>
      </c>
      <c r="D2871" t="inlineStr">
        <is>
          <t>Ngân Hàng TNHH MTV Woori Việt Nam</t>
        </is>
      </c>
      <c r="E2871" t="inlineStr">
        <is>
          <t>Thương lượng</t>
        </is>
      </c>
      <c r="F2871" t="inlineStr">
        <is>
          <t>Hà Nội</t>
        </is>
      </c>
      <c r="G2871" t="inlineStr">
        <is>
          <t>Nhân viên</t>
        </is>
      </c>
      <c r="H2871" t="inlineStr">
        <is>
          <t>25/02/2026</t>
        </is>
      </c>
      <c r="I2871" t="inlineStr">
        <is>
          <t>27/03/2026</t>
        </is>
      </c>
      <c r="J2871" t="inlineStr">
        <is>
          <t>17/03/2026</t>
        </is>
      </c>
      <c r="K2871" t="inlineStr">
        <is>
          <t>N/A</t>
        </is>
      </c>
      <c r="L2871" t="inlineStr">
        <is>
          <t>English, Credit Policy, MS Office, Banking, Tín Dụng Doanh Nghiệp</t>
        </is>
      </c>
      <c r="M2871" t="inlineStr">
        <is>
          <t>Bonus, Healthcare Plan, Travel Opportunities</t>
        </is>
      </c>
      <c r="N2871" s="8">
        <f>HYPERLINK("https://www.vietnamworks.com/credit-policy-chinh-sach-tin-dung--2013503-jv","Xem chi tiết")</f>
        <v/>
      </c>
    </row>
    <row r="2872">
      <c r="B2872" s="9" t="n">
        <v>2870</v>
      </c>
      <c r="C2872" s="10" t="inlineStr">
        <is>
          <t>Trưởng Phòng Đào tạo &amp; Phát Triển (L&amp;D Manager)</t>
        </is>
      </c>
      <c r="D2872" s="10" t="inlineStr">
        <is>
          <t>Công Ty CP Dây Cáp Điện Việt Nam - CADIVI</t>
        </is>
      </c>
      <c r="E2872" s="10" t="inlineStr">
        <is>
          <t>Thương lượng</t>
        </is>
      </c>
      <c r="F2872" s="10" t="inlineStr">
        <is>
          <t>Hồ Chí Minh</t>
        </is>
      </c>
      <c r="G2872" s="10" t="inlineStr">
        <is>
          <t>Trưởng phòng</t>
        </is>
      </c>
      <c r="H2872" s="10" t="inlineStr">
        <is>
          <t>25/02/2026</t>
        </is>
      </c>
      <c r="I2872" s="10" t="inlineStr">
        <is>
          <t>27/03/2026</t>
        </is>
      </c>
      <c r="J2872" s="10" t="inlineStr">
        <is>
          <t>17/03/2026</t>
        </is>
      </c>
      <c r="K2872" s="10" t="inlineStr">
        <is>
          <t>N/A</t>
        </is>
      </c>
      <c r="L2872" s="10" t="inlineStr">
        <is>
          <t>Learning And Development, Nhân Sự, Đào Tạo và Phát Triển</t>
        </is>
      </c>
      <c r="M2872" s="10" t="inlineStr">
        <is>
          <t>Bonus, Training, Awards</t>
        </is>
      </c>
      <c r="N2872" s="11">
        <f>HYPERLINK("https://www.vietnamworks.com/truong-phong-djao-tao-and-phat-trien-landd-manager-2013498-jv","Xem chi tiết")</f>
        <v/>
      </c>
      <c r="O2872" s="10" t="n"/>
    </row>
    <row r="2873">
      <c r="B2873" s="7" t="n">
        <v>2871</v>
      </c>
      <c r="C2873" t="inlineStr">
        <is>
          <t>Senior Inventory Control Staff - Chuyên Viên Kiểm Soát Hàng Hóa</t>
        </is>
      </c>
      <c r="D2873" t="inlineStr">
        <is>
          <t>Mitra Adiperkasa Vietnam Limited</t>
        </is>
      </c>
      <c r="E2873" t="inlineStr">
        <is>
          <t>Thương lượng</t>
        </is>
      </c>
      <c r="F2873" t="inlineStr">
        <is>
          <t>Hồ Chí Minh</t>
        </is>
      </c>
      <c r="G2873" t="inlineStr">
        <is>
          <t>Nhân viên</t>
        </is>
      </c>
      <c r="H2873" t="inlineStr">
        <is>
          <t>25/02/2026</t>
        </is>
      </c>
      <c r="I2873" t="inlineStr">
        <is>
          <t>27/03/2026</t>
        </is>
      </c>
      <c r="J2873" t="inlineStr">
        <is>
          <t>17/03/2026</t>
        </is>
      </c>
      <c r="K2873" t="inlineStr">
        <is>
          <t>N/A</t>
        </is>
      </c>
      <c r="L2873" t="inlineStr">
        <is>
          <t>Inventory Control, SAP, Accounting, Data Analysis, Communication</t>
        </is>
      </c>
      <c r="M2873" t="inlineStr">
        <is>
          <t>Healthcare Plan, Paid Leave, Training, Others</t>
        </is>
      </c>
      <c r="N2873" s="8">
        <f>HYPERLINK("https://www.vietnamworks.com/senior-inventory-control-staff-chuyen-vien-kiem-soat-hang-hoa-2013500-jv","Xem chi tiết")</f>
        <v/>
      </c>
    </row>
    <row r="2874">
      <c r="B2874" s="9" t="n">
        <v>2872</v>
      </c>
      <c r="C2874" s="10" t="inlineStr">
        <is>
          <t>Trưởng Phòng Chiến Lược và Ứng Dụng AI</t>
        </is>
      </c>
      <c r="D2874" s="10" t="inlineStr">
        <is>
          <t>Tập Đoàn Tân Á Đại Thành</t>
        </is>
      </c>
      <c r="E2874" s="10" t="inlineStr">
        <is>
          <t>Thương lượng</t>
        </is>
      </c>
      <c r="F2874" s="10" t="inlineStr">
        <is>
          <t>Hà Nội</t>
        </is>
      </c>
      <c r="G2874" s="10" t="inlineStr">
        <is>
          <t>Trưởng phòng</t>
        </is>
      </c>
      <c r="H2874" s="10" t="inlineStr">
        <is>
          <t>25/02/2026</t>
        </is>
      </c>
      <c r="I2874" s="10" t="inlineStr">
        <is>
          <t>27/03/2026</t>
        </is>
      </c>
      <c r="J2874" s="10" t="inlineStr">
        <is>
          <t>17/03/2026</t>
        </is>
      </c>
      <c r="K2874" s="10" t="inlineStr">
        <is>
          <t>N/A</t>
        </is>
      </c>
      <c r="L2874" s="10" t="inlineStr">
        <is>
          <t>AI, GenAI, Computer Vision, NLP, Apis And Integration</t>
        </is>
      </c>
      <c r="M2874" s="10" t="inlineStr">
        <is>
          <t>Bonus, Healthcare Plan, Laptop</t>
        </is>
      </c>
      <c r="N2874" s="11">
        <f>HYPERLINK("https://www.vietnamworks.com/truong-phong-chien-luoc-va-ung-dung-ai-2013507-jv","Xem chi tiết")</f>
        <v/>
      </c>
      <c r="O2874" s="10" t="n"/>
    </row>
    <row r="2875">
      <c r="B2875" s="7" t="n">
        <v>2873</v>
      </c>
      <c r="C2875" t="inlineStr">
        <is>
          <t>Phó Tổng Giám Đốc Kinh Doanh - Ngành Dược</t>
        </is>
      </c>
      <c r="D2875" t="inlineStr">
        <is>
          <t>Công Ty Cổ Phần Dược Liệu Việt Nam</t>
        </is>
      </c>
      <c r="E2875" t="inlineStr">
        <is>
          <t>$$ 1,500-2,500 /tháng</t>
        </is>
      </c>
      <c r="F2875" t="inlineStr">
        <is>
          <t>Hà Nội, Hồ Chí Minh</t>
        </is>
      </c>
      <c r="G2875" t="inlineStr">
        <is>
          <t>Giám Đốc và Cấp Cao Hơn</t>
        </is>
      </c>
      <c r="H2875" t="inlineStr">
        <is>
          <t>25/02/2026</t>
        </is>
      </c>
      <c r="I2875" t="inlineStr">
        <is>
          <t>27/03/2026</t>
        </is>
      </c>
      <c r="J2875" t="inlineStr">
        <is>
          <t>17/03/2026</t>
        </is>
      </c>
      <c r="K2875" t="inlineStr">
        <is>
          <t>N/A</t>
        </is>
      </c>
      <c r="L2875" t="inlineStr">
        <is>
          <t>Quản Lý Kinh Doanh Dược Phẩm, Kinh Doanh Nhà Thuốc, Kinh Doanh Dược Mỹ Phẩm, Quản Trị Đội Ngũ, Vận Hành Kinh Doanh</t>
        </is>
      </c>
      <c r="M2875" t="inlineStr">
        <is>
          <t>Bonus, Healthcare Plan, Training</t>
        </is>
      </c>
      <c r="N2875" s="8">
        <f>HYPERLINK("https://www.vietnamworks.com/pho-tong-giam-doc-kinh-doanh-nganh-duoc--2013513-jv","Xem chi tiết")</f>
        <v/>
      </c>
    </row>
    <row r="2876">
      <c r="B2876" s="9" t="n">
        <v>2874</v>
      </c>
      <c r="C2876" s="10" t="inlineStr">
        <is>
          <t>Brand Advocacy &amp; Content Senior Manager</t>
        </is>
      </c>
      <c r="D2876" s="10" t="inlineStr">
        <is>
          <t>Công Ty Cổ Phần Sữa Việt Nam (Vinamilk)</t>
        </is>
      </c>
      <c r="E2876" s="10" t="inlineStr">
        <is>
          <t>Thương lượng</t>
        </is>
      </c>
      <c r="F2876" s="10" t="inlineStr">
        <is>
          <t>Hồ Chí Minh</t>
        </is>
      </c>
      <c r="G2876" s="10" t="inlineStr">
        <is>
          <t>Trưởng phòng</t>
        </is>
      </c>
      <c r="H2876" s="10" t="inlineStr">
        <is>
          <t>25/02/2026</t>
        </is>
      </c>
      <c r="I2876" s="10" t="inlineStr">
        <is>
          <t>27/03/2026</t>
        </is>
      </c>
      <c r="J2876" s="10" t="inlineStr">
        <is>
          <t>17/03/2026</t>
        </is>
      </c>
      <c r="K2876" s="10" t="inlineStr">
        <is>
          <t>N/A</t>
        </is>
      </c>
      <c r="L2876" s="10" t="inlineStr">
        <is>
          <t>Communication Strategy, Crisis Management, Content Optimization, Optimizing Performance, Advocacy Strategy</t>
        </is>
      </c>
      <c r="M2876" s="10" t="inlineStr">
        <is>
          <t>Bonus, Healthcare Plan, Training</t>
        </is>
      </c>
      <c r="N2876" s="11">
        <f>HYPERLINK("https://www.vietnamworks.com/brand-advocacy-content-senior-manager-2013514-jv","Xem chi tiết")</f>
        <v/>
      </c>
      <c r="O2876" s="10" t="n"/>
    </row>
    <row r="2877">
      <c r="B2877" s="7" t="n">
        <v>2875</v>
      </c>
      <c r="C2877" t="inlineStr">
        <is>
          <t>日本人 営業事務スタッフ- Japanese Sales Admin Staff (Người Nhật)</t>
        </is>
      </c>
      <c r="D2877" t="inlineStr">
        <is>
          <t>Công Ty TNHH Japan Pack System Việt Nam</t>
        </is>
      </c>
      <c r="E2877" t="inlineStr">
        <is>
          <t>Thương lượng</t>
        </is>
      </c>
      <c r="F2877" t="inlineStr">
        <is>
          <t>Hồ Chí Minh, Hà Nội</t>
        </is>
      </c>
      <c r="G2877" t="inlineStr">
        <is>
          <t>Nhân viên</t>
        </is>
      </c>
      <c r="H2877" t="inlineStr">
        <is>
          <t>25/02/2026</t>
        </is>
      </c>
      <c r="I2877" t="inlineStr">
        <is>
          <t>27/03/2026</t>
        </is>
      </c>
      <c r="J2877" t="inlineStr">
        <is>
          <t>17/03/2026</t>
        </is>
      </c>
      <c r="K2877" t="inlineStr">
        <is>
          <t>N/A</t>
        </is>
      </c>
      <c r="L2877" t="inlineStr">
        <is>
          <t>Quản Trị Kinh Doanh, Báo Giá, Theo Dõi Công Nợ, Theo Dõi Đơn Hàng, Tiếng Nhật N2</t>
        </is>
      </c>
      <c r="M2877" t="inlineStr">
        <is>
          <t>Bonus, Healthcare Plan, Paid Leave, Others</t>
        </is>
      </c>
      <c r="N2877" s="8">
        <f>HYPERLINK("https://www.vietnamworks.com/k-v-japanese-sales-admin-staff-nguoi-nhat-2013509-jv","Xem chi tiết")</f>
        <v/>
      </c>
    </row>
    <row r="2878">
      <c r="B2878" s="9" t="n">
        <v>2876</v>
      </c>
      <c r="C2878" s="10" t="inlineStr">
        <is>
          <t>Chuyên Viên Pháp Chế</t>
        </is>
      </c>
      <c r="D2878" s="10" t="inlineStr">
        <is>
          <t>Công Ty TNHH TCG Land</t>
        </is>
      </c>
      <c r="E2878" s="10" t="inlineStr">
        <is>
          <t>20tr-30tr ₫/tháng</t>
        </is>
      </c>
      <c r="F2878" s="10" t="inlineStr">
        <is>
          <t>Hà Nội</t>
        </is>
      </c>
      <c r="G2878" s="10" t="inlineStr">
        <is>
          <t>Nhân viên</t>
        </is>
      </c>
      <c r="H2878" s="10" t="inlineStr">
        <is>
          <t>25/02/2026</t>
        </is>
      </c>
      <c r="I2878" s="10" t="inlineStr">
        <is>
          <t>27/03/2026</t>
        </is>
      </c>
      <c r="J2878" s="10" t="inlineStr">
        <is>
          <t>17/03/2026</t>
        </is>
      </c>
      <c r="K2878" s="10" t="inlineStr">
        <is>
          <t>N/A</t>
        </is>
      </c>
      <c r="L2878" s="10" t="inlineStr">
        <is>
          <t>Giao Tiếp, Pháp Chế Doanh Nghiệp, Soạn Thảo Văn Bản, Trách Nhiệm, Đàm Phán</t>
        </is>
      </c>
      <c r="M2878" s="10" t="inlineStr">
        <is>
          <t>Bonus, Healthcare Plan, Travel Opportunities, Canteen</t>
        </is>
      </c>
      <c r="N2878" s="11">
        <f>HYPERLINK("https://www.vietnamworks.com/chuyen-vien-phap-che-2013505-jv","Xem chi tiết")</f>
        <v/>
      </c>
      <c r="O2878" s="10" t="n"/>
    </row>
    <row r="2879">
      <c r="B2879" s="7" t="n">
        <v>2877</v>
      </c>
      <c r="C2879" t="inlineStr">
        <is>
          <t>Kỹ Sư Cơ Khí - Lắp Đặt Máy/ Mechanical - Installation Machine Engineer</t>
        </is>
      </c>
      <c r="D2879" t="inlineStr">
        <is>
          <t>Công Ty TNHH Logistics &amp; Engineering Nspg</t>
        </is>
      </c>
      <c r="E2879" t="inlineStr">
        <is>
          <t>13tr-18tr ₫/tháng</t>
        </is>
      </c>
      <c r="F2879" t="inlineStr">
        <is>
          <t>Hồ Chí Minh</t>
        </is>
      </c>
      <c r="G2879" t="inlineStr">
        <is>
          <t>Nhân viên</t>
        </is>
      </c>
      <c r="H2879" t="inlineStr">
        <is>
          <t>25/02/2026</t>
        </is>
      </c>
      <c r="I2879" t="inlineStr">
        <is>
          <t>27/03/2026</t>
        </is>
      </c>
      <c r="J2879" t="inlineStr">
        <is>
          <t>17/03/2026</t>
        </is>
      </c>
      <c r="K2879" t="inlineStr">
        <is>
          <t>N/A</t>
        </is>
      </c>
      <c r="L2879" t="inlineStr">
        <is>
          <t>Cơ Khí Thiết Bị, Giám Sát Lắp Máy, AutoCAD, Khảo Sát Hiện Trường, Hỗ Trợ Kỹ Thuật</t>
        </is>
      </c>
      <c r="M2879" t="inlineStr">
        <is>
          <t>Bonus, Healthcare Plan, Paid Leave, Travel Opportunities, Others</t>
        </is>
      </c>
      <c r="N2879" s="8">
        <f>HYPERLINK("https://www.vietnamworks.com/ky-su-co-khi-lap-dat-may-mechanical-installation-machine-engineer--2013515-jv","Xem chi tiết")</f>
        <v/>
      </c>
    </row>
    <row r="2880">
      <c r="B2880" s="9" t="n">
        <v>2878</v>
      </c>
      <c r="C2880" s="10" t="inlineStr">
        <is>
          <t>Chuyên Viên Tuyển Dụng Và Đào Tạo Thu Nhập Từ 20 -25 Triệu</t>
        </is>
      </c>
      <c r="D2880" s="10" t="inlineStr">
        <is>
          <t>Công ty Cổ phần Bảo Tín An Lạc</t>
        </is>
      </c>
      <c r="E2880" s="10" t="inlineStr">
        <is>
          <t>20tr-25tr ₫/tháng</t>
        </is>
      </c>
      <c r="F2880" s="10" t="inlineStr">
        <is>
          <t>Hà Nội</t>
        </is>
      </c>
      <c r="G2880" s="10" t="inlineStr">
        <is>
          <t>Nhân viên</t>
        </is>
      </c>
      <c r="H2880" s="10" t="inlineStr">
        <is>
          <t>25/02/2026</t>
        </is>
      </c>
      <c r="I2880" s="10" t="inlineStr">
        <is>
          <t>27/03/2026</t>
        </is>
      </c>
      <c r="J2880" s="10" t="inlineStr">
        <is>
          <t>17/03/2026</t>
        </is>
      </c>
      <c r="K2880" s="10" t="inlineStr">
        <is>
          <t>N/A</t>
        </is>
      </c>
      <c r="L2880" s="10" t="inlineStr">
        <is>
          <t>Kỹ năng giao tiêp, kỹ năng đào tạo, Lập Kế Hoạch Tuyển Dụng, Kế Hoạch Đào Tạo, Trung Thực</t>
        </is>
      </c>
      <c r="M2880" s="10" t="inlineStr">
        <is>
          <t>Training, Team Activities, Others</t>
        </is>
      </c>
      <c r="N2880" s="11">
        <f>HYPERLINK("https://www.vietnamworks.com/chuyen-vien-tuyen-dung-va-dao-tao-thu-nhap-tu-20-25-trieu-2013510-jv","Xem chi tiết")</f>
        <v/>
      </c>
      <c r="O2880" s="10" t="n"/>
    </row>
    <row r="2881">
      <c r="B2881" s="7" t="n">
        <v>2879</v>
      </c>
      <c r="C2881" t="inlineStr">
        <is>
          <t>[Tuyển Gấp] Nhân Viên Kế Toán</t>
        </is>
      </c>
      <c r="D2881" t="inlineStr">
        <is>
          <t>Chi nhánh Công ty Dệt Vĩnh Phúc tại Nam Định</t>
        </is>
      </c>
      <c r="E2881" t="inlineStr">
        <is>
          <t>Thương lượng</t>
        </is>
      </c>
      <c r="F2881" t="inlineStr">
        <is>
          <t>Hà Nội</t>
        </is>
      </c>
      <c r="G2881" t="inlineStr">
        <is>
          <t>Nhân viên</t>
        </is>
      </c>
      <c r="H2881" t="inlineStr">
        <is>
          <t>25/02/2026</t>
        </is>
      </c>
      <c r="I2881" t="inlineStr">
        <is>
          <t>27/03/2026</t>
        </is>
      </c>
      <c r="J2881" t="inlineStr">
        <is>
          <t>17/03/2026</t>
        </is>
      </c>
      <c r="K2881" t="inlineStr">
        <is>
          <t>N/A</t>
        </is>
      </c>
      <c r="L2881" t="inlineStr">
        <is>
          <t>Kế Toán Tổng Hợp, Hạch Toán, Theo Dõi Thu Chi Nội Bộ, Tài Chính Kế Toán</t>
        </is>
      </c>
      <c r="M2881" t="inlineStr">
        <is>
          <t>Bonus, Healthcare Plan, Team Activities</t>
        </is>
      </c>
      <c r="N2881" s="8">
        <f>HYPERLINK("https://www.vietnamworks.com/tuyen-gap-nhan-vien-ke-toan--2013518-jv","Xem chi tiết")</f>
        <v/>
      </c>
    </row>
    <row r="2882">
      <c r="B2882" s="9" t="n">
        <v>2880</v>
      </c>
      <c r="C2882" s="10" t="inlineStr">
        <is>
          <t>Sales Expert/ Senior Sales (Forwarding Division)</t>
        </is>
      </c>
      <c r="D2882" s="10" t="inlineStr">
        <is>
          <t>CÔNG TY TNHH DBF LOGISTIC VIETNAM</t>
        </is>
      </c>
      <c r="E2882" s="10" t="inlineStr">
        <is>
          <t>Thương lượng</t>
        </is>
      </c>
      <c r="F2882" s="10" t="inlineStr">
        <is>
          <t>Hồ Chí Minh</t>
        </is>
      </c>
      <c r="G2882" s="10" t="inlineStr">
        <is>
          <t>Nhân viên</t>
        </is>
      </c>
      <c r="H2882" s="10" t="inlineStr">
        <is>
          <t>25/02/2026</t>
        </is>
      </c>
      <c r="I2882" s="10" t="inlineStr">
        <is>
          <t>27/03/2026</t>
        </is>
      </c>
      <c r="J2882" s="10" t="inlineStr">
        <is>
          <t>17/03/2026</t>
        </is>
      </c>
      <c r="K2882" s="10" t="inlineStr">
        <is>
          <t>N/A</t>
        </is>
      </c>
      <c r="L2882" s="10" t="inlineStr">
        <is>
          <t>English, Negotiation Skills, Quotation Preparation, Relationship Maintaining, Sales Logistics</t>
        </is>
      </c>
      <c r="M2882" s="10" t="inlineStr">
        <is>
          <t>Bonus, Healthcare Plan, Training, Others</t>
        </is>
      </c>
      <c r="N2882" s="11">
        <f>HYPERLINK("https://www.vietnamworks.com/sales-expert-senior-sales-forwarding-division-2013517-jv","Xem chi tiết")</f>
        <v/>
      </c>
      <c r="O2882" s="10" t="n"/>
    </row>
    <row r="2883">
      <c r="B2883" s="7" t="n">
        <v>2881</v>
      </c>
      <c r="C2883" t="inlineStr">
        <is>
          <t>Chuyên Viên Truyền Thông Nội Bộ</t>
        </is>
      </c>
      <c r="D2883" t="inlineStr">
        <is>
          <t>Công Ty Cổ Phần Tập đoàn Đầu tư Thái Nam</t>
        </is>
      </c>
      <c r="E2883" t="inlineStr">
        <is>
          <t>Thương lượng</t>
        </is>
      </c>
      <c r="F2883" t="inlineStr">
        <is>
          <t>Hà Nội</t>
        </is>
      </c>
      <c r="G2883" t="inlineStr">
        <is>
          <t>Nhân viên</t>
        </is>
      </c>
      <c r="H2883" t="inlineStr">
        <is>
          <t>25/02/2026</t>
        </is>
      </c>
      <c r="I2883" t="inlineStr">
        <is>
          <t>27/03/2026</t>
        </is>
      </c>
      <c r="J2883" t="inlineStr">
        <is>
          <t>17/03/2026</t>
        </is>
      </c>
      <c r="K2883" t="inlineStr">
        <is>
          <t>N/A</t>
        </is>
      </c>
      <c r="L2883" t="inlineStr">
        <is>
          <t>Giao Tiếp, Quản Lý Sự Kiện, Sáng Tạo Nội Dung, Thiết Kế Đồ Họa, Truyền Thông</t>
        </is>
      </c>
      <c r="M2883" t="inlineStr">
        <is>
          <t>Healthcare Plan, Paid Leave, Awards, Others</t>
        </is>
      </c>
      <c r="N2883" s="8">
        <f>HYPERLINK("https://www.vietnamworks.com/chuyen-vien-truyen-thong-noi-bo-2013511-jv","Xem chi tiết")</f>
        <v/>
      </c>
    </row>
    <row r="2884">
      <c r="B2884" s="9" t="n">
        <v>2882</v>
      </c>
      <c r="C2884" s="10" t="inlineStr">
        <is>
          <t>Sales Manager</t>
        </is>
      </c>
      <c r="D2884" s="10" t="inlineStr">
        <is>
          <t>DHAS VIETNAM</t>
        </is>
      </c>
      <c r="E2884" s="10" t="inlineStr">
        <is>
          <t>$$ 1,500-2,000 /tháng</t>
        </is>
      </c>
      <c r="F2884" s="10" t="inlineStr">
        <is>
          <t>Hà Nội</t>
        </is>
      </c>
      <c r="G2884" s="10" t="inlineStr">
        <is>
          <t>Trưởng phòng</t>
        </is>
      </c>
      <c r="H2884" s="10" t="inlineStr">
        <is>
          <t>25/02/2026</t>
        </is>
      </c>
      <c r="I2884" s="10" t="inlineStr">
        <is>
          <t>27/03/2026</t>
        </is>
      </c>
      <c r="J2884" s="10" t="inlineStr">
        <is>
          <t>17/03/2026</t>
        </is>
      </c>
      <c r="K2884" s="10" t="inlineStr">
        <is>
          <t>N/A</t>
        </is>
      </c>
      <c r="L2884" s="10" t="inlineStr">
        <is>
          <t>Market Strategies, Relationship Management, Team leadership, Market Analysis, Communication and negotiation skills</t>
        </is>
      </c>
      <c r="M2884" s="10" t="inlineStr">
        <is>
          <t>Healthcare Plan, Laptop, Others</t>
        </is>
      </c>
      <c r="N2884" s="11">
        <f>HYPERLINK("https://www.vietnamworks.com/sales-manager--2013523-jv","Xem chi tiết")</f>
        <v/>
      </c>
      <c r="O2884" s="10" t="n"/>
    </row>
    <row r="2885">
      <c r="B2885" s="7" t="n">
        <v>2883</v>
      </c>
      <c r="C2885" t="inlineStr">
        <is>
          <t>Chuyên Viên Vận Hành Quỹ</t>
        </is>
      </c>
      <c r="D2885" t="inlineStr">
        <is>
          <t>Công Ty Cổ Phần Quản Lý Quỹ Đầu Tư Lighthouse</t>
        </is>
      </c>
      <c r="E2885" t="inlineStr">
        <is>
          <t>Thương lượng</t>
        </is>
      </c>
      <c r="F2885" t="inlineStr">
        <is>
          <t>Hồ Chí Minh</t>
        </is>
      </c>
      <c r="G2885" t="inlineStr">
        <is>
          <t>Nhân viên</t>
        </is>
      </c>
      <c r="H2885" t="inlineStr">
        <is>
          <t>25/02/2026</t>
        </is>
      </c>
      <c r="I2885" t="inlineStr">
        <is>
          <t>27/03/2026</t>
        </is>
      </c>
      <c r="J2885" t="inlineStr">
        <is>
          <t>17/03/2026</t>
        </is>
      </c>
      <c r="K2885" t="inlineStr">
        <is>
          <t>N/A</t>
        </is>
      </c>
      <c r="L2885" t="inlineStr">
        <is>
          <t>Chứng Khoán, Investment Operation, Quản Lý Quỹ, Tiếng Anh</t>
        </is>
      </c>
      <c r="M2885" t="inlineStr">
        <is>
          <t>Bonus, Healthcare Plan, Travel Opportunities, Others</t>
        </is>
      </c>
      <c r="N2885" s="8">
        <f>HYPERLINK("https://www.vietnamworks.com/chuyen-vien-van-hanh-quy-2013506-jv","Xem chi tiết")</f>
        <v/>
      </c>
    </row>
    <row r="2886">
      <c r="B2886" s="9" t="n">
        <v>2884</v>
      </c>
      <c r="C2886" s="10" t="inlineStr">
        <is>
          <t>Trưởng Phòng Nhân Lực &amp; Văn Hoá Doanh Nghiệp/ Head of People &amp; Culture</t>
        </is>
      </c>
      <c r="D2886" s="10" t="inlineStr">
        <is>
          <t>Công Ty TNHH Đầu Tư - Dịch Vụ HumVentures</t>
        </is>
      </c>
      <c r="E2886" s="10" t="inlineStr">
        <is>
          <t>Thương lượng</t>
        </is>
      </c>
      <c r="F2886" s="10" t="inlineStr">
        <is>
          <t>Hồ Chí Minh</t>
        </is>
      </c>
      <c r="G2886" s="10" t="inlineStr">
        <is>
          <t>Trưởng phòng</t>
        </is>
      </c>
      <c r="H2886" s="10" t="inlineStr">
        <is>
          <t>25/02/2026</t>
        </is>
      </c>
      <c r="I2886" s="10" t="inlineStr">
        <is>
          <t>27/03/2026</t>
        </is>
      </c>
      <c r="J2886" s="10" t="inlineStr">
        <is>
          <t>17/03/2026</t>
        </is>
      </c>
      <c r="K2886" s="10" t="inlineStr">
        <is>
          <t>N/A</t>
        </is>
      </c>
      <c r="L2886" s="10" t="inlineStr">
        <is>
          <t>HR Operations</t>
        </is>
      </c>
      <c r="M2886" s="10" t="inlineStr">
        <is>
          <t>Bonus, Training, Others</t>
        </is>
      </c>
      <c r="N2886" s="11">
        <f>HYPERLINK("https://www.vietnamworks.com/truong-phong-nhan-luc-van-hoa-doanh-nghiep-head-of-people-culture-2013524-jv","Xem chi tiết")</f>
        <v/>
      </c>
      <c r="O2886" s="10" t="n"/>
    </row>
    <row r="2887">
      <c r="B2887" s="7" t="n">
        <v>2885</v>
      </c>
      <c r="C2887" t="inlineStr">
        <is>
          <t>Trưởng Phòng Marketing</t>
        </is>
      </c>
      <c r="D2887" t="inlineStr">
        <is>
          <t>Công Ty Cổ Phần Dịch Vụ Y Tế - Bệnh Viện Âu Cơ</t>
        </is>
      </c>
      <c r="E2887" t="inlineStr">
        <is>
          <t>Thương lượng</t>
        </is>
      </c>
      <c r="F2887" t="inlineStr">
        <is>
          <t>Đồng Nai, Hồ Chí Minh</t>
        </is>
      </c>
      <c r="G2887" t="inlineStr">
        <is>
          <t>Trưởng phòng</t>
        </is>
      </c>
      <c r="H2887" t="inlineStr">
        <is>
          <t>25/02/2026</t>
        </is>
      </c>
      <c r="I2887" t="inlineStr">
        <is>
          <t>27/03/2026</t>
        </is>
      </c>
      <c r="J2887" t="inlineStr">
        <is>
          <t>17/03/2026</t>
        </is>
      </c>
      <c r="K2887" t="inlineStr">
        <is>
          <t>N/A</t>
        </is>
      </c>
      <c r="L2887" t="inlineStr">
        <is>
          <t>Marketing Strategy, Nghiên Cứu Thị Trường, Quản Lý Ngân Sách, Tiếng Anh Giao Tiếp, Đàm Phán Thương Lượng</t>
        </is>
      </c>
      <c r="M2887" t="inlineStr">
        <is>
          <t>Bonus, Healthcare Plan, Training, Transportation, Others</t>
        </is>
      </c>
      <c r="N2887" s="8">
        <f>HYPERLINK("https://www.vietnamworks.com/truong-phong-marketing-2013520-jv","Xem chi tiết")</f>
        <v/>
      </c>
    </row>
    <row r="2888">
      <c r="B2888" s="9" t="n">
        <v>2886</v>
      </c>
      <c r="C2888" s="10" t="inlineStr">
        <is>
          <t>Australian Taxation/ SMSF Accountant (Fresher Or Under 1 Year of Experience)</t>
        </is>
      </c>
      <c r="D2888" s="10" t="inlineStr">
        <is>
          <t>Seamless Outsourcing (Superaa Myoutsource Vietnam Ltd)</t>
        </is>
      </c>
      <c r="E2888" s="10" t="inlineStr">
        <is>
          <t>$$ 400-500 /tháng</t>
        </is>
      </c>
      <c r="F2888" s="10" t="inlineStr">
        <is>
          <t>Hồ Chí Minh</t>
        </is>
      </c>
      <c r="G2888" s="10" t="inlineStr">
        <is>
          <t>Mới Tốt Nghiệp</t>
        </is>
      </c>
      <c r="H2888" s="10" t="inlineStr">
        <is>
          <t>25/02/2026</t>
        </is>
      </c>
      <c r="I2888" s="10" t="inlineStr">
        <is>
          <t>27/03/2026</t>
        </is>
      </c>
      <c r="J2888" s="10" t="inlineStr">
        <is>
          <t>17/03/2026</t>
        </is>
      </c>
      <c r="K2888" s="10" t="inlineStr">
        <is>
          <t>N/A</t>
        </is>
      </c>
      <c r="L2888" s="10" t="inlineStr">
        <is>
          <t>Taxation, Accounting Standards, Australian Tax, Tax Accounting, Fund Accounting</t>
        </is>
      </c>
      <c r="M2888" s="10" t="inlineStr">
        <is>
          <t>Bonus, Paid Leave, Training</t>
        </is>
      </c>
      <c r="N2888" s="11">
        <f>HYPERLINK("https://www.vietnamworks.com/australian-taxation-smsf-accountant-fresher-or-under-1-year-of-experience--2013548-jv","Xem chi tiết")</f>
        <v/>
      </c>
      <c r="O2888" s="10" t="n"/>
    </row>
    <row r="2889">
      <c r="B2889" s="7" t="n">
        <v>2887</v>
      </c>
      <c r="C2889" t="inlineStr">
        <is>
          <t>Business Development</t>
        </is>
      </c>
      <c r="D2889" t="inlineStr">
        <is>
          <t>Dai-Ichi Life Vietnam</t>
        </is>
      </c>
      <c r="E2889" t="inlineStr">
        <is>
          <t>Thương lượng</t>
        </is>
      </c>
      <c r="F2889" t="inlineStr">
        <is>
          <t>Hồ Chí Minh, Hà Nội, Đà Nẵng</t>
        </is>
      </c>
      <c r="G2889" t="inlineStr">
        <is>
          <t>Nhân viên</t>
        </is>
      </c>
      <c r="H2889" t="inlineStr">
        <is>
          <t>25/02/2026</t>
        </is>
      </c>
      <c r="I2889" t="inlineStr">
        <is>
          <t>27/03/2026</t>
        </is>
      </c>
      <c r="J2889" t="inlineStr">
        <is>
          <t>17/03/2026</t>
        </is>
      </c>
      <c r="K2889" t="inlineStr">
        <is>
          <t>N/A</t>
        </is>
      </c>
      <c r="L2889" t="inlineStr">
        <is>
          <t>Bảo Hiểm, Kinh Doanh, Đào Tạo</t>
        </is>
      </c>
      <c r="M2889" t="inlineStr">
        <is>
          <t>Bonus, Healthcare Plan, Paid Leave</t>
        </is>
      </c>
      <c r="N2889" s="8">
        <f>HYPERLINK("https://www.vietnamworks.com/business-development--2013525-jv","Xem chi tiết")</f>
        <v/>
      </c>
    </row>
    <row r="2890">
      <c r="B2890" s="9" t="n">
        <v>2888</v>
      </c>
      <c r="C2890" s="10" t="inlineStr">
        <is>
          <t>Sales Manager B2B</t>
        </is>
      </c>
      <c r="D2890" s="10" t="inlineStr">
        <is>
          <t>Công ty TNHH Truyền thông và Giải pháp trực tuyến LeadsGen</t>
        </is>
      </c>
      <c r="E2890" s="10" t="inlineStr">
        <is>
          <t>25tr-30tr ₫/tháng</t>
        </is>
      </c>
      <c r="F2890" s="10" t="inlineStr">
        <is>
          <t>Hà Nội</t>
        </is>
      </c>
      <c r="G2890" s="10" t="inlineStr">
        <is>
          <t>Trưởng phòng</t>
        </is>
      </c>
      <c r="H2890" s="10" t="inlineStr">
        <is>
          <t>25/02/2026</t>
        </is>
      </c>
      <c r="I2890" s="10" t="inlineStr">
        <is>
          <t>27/03/2026</t>
        </is>
      </c>
      <c r="J2890" s="10" t="inlineStr">
        <is>
          <t>17/03/2026</t>
        </is>
      </c>
      <c r="K2890" s="10" t="inlineStr">
        <is>
          <t>N/A</t>
        </is>
      </c>
      <c r="L2890" s="10" t="inlineStr">
        <is>
          <t>B2B Sales, Negotiation Skills, Customer Management, English Communication, Goal Oriented</t>
        </is>
      </c>
      <c r="M2890" s="10" t="inlineStr">
        <is>
          <t>Bonus, Healthcare Plan, Team Activities, Others</t>
        </is>
      </c>
      <c r="N2890" s="11">
        <f>HYPERLINK("https://www.vietnamworks.com/sales-manager-b2b-2013534-jv","Xem chi tiết")</f>
        <v/>
      </c>
      <c r="O2890" s="10" t="n"/>
    </row>
    <row r="2891">
      <c r="B2891" s="7" t="n">
        <v>2889</v>
      </c>
      <c r="C2891" t="inlineStr">
        <is>
          <t>Trợ Lý Giám Đốc Tiếng Hàn</t>
        </is>
      </c>
      <c r="D2891" t="inlineStr">
        <is>
          <t>Monstaz</t>
        </is>
      </c>
      <c r="E2891" t="inlineStr">
        <is>
          <t>Tới 30tr ₫/tháng</t>
        </is>
      </c>
      <c r="F2891" t="inlineStr">
        <is>
          <t>Hồ Chí Minh</t>
        </is>
      </c>
      <c r="G2891" t="inlineStr">
        <is>
          <t>Nhân viên</t>
        </is>
      </c>
      <c r="H2891" t="inlineStr">
        <is>
          <t>25/02/2026</t>
        </is>
      </c>
      <c r="I2891" t="inlineStr">
        <is>
          <t>27/03/2026</t>
        </is>
      </c>
      <c r="J2891" t="inlineStr">
        <is>
          <t>17/03/2026</t>
        </is>
      </c>
      <c r="K2891" t="inlineStr">
        <is>
          <t>N/A</t>
        </is>
      </c>
      <c r="L2891" t="inlineStr">
        <is>
          <t>Phiên Dịch, Biên Dịch, Tiếng Hàn Giao Tiếp, Topik 5, Hành Chính</t>
        </is>
      </c>
      <c r="M2891" t="inlineStr">
        <is>
          <t>Bonus, Healthcare Plan, Paid Leave, Travel Opportunities, Canteen, Others</t>
        </is>
      </c>
      <c r="N2891" s="8">
        <f>HYPERLINK("https://www.vietnamworks.com/tro-ly-giam-djoc-tieng-han-2013551-jv","Xem chi tiết")</f>
        <v/>
      </c>
    </row>
    <row r="2892">
      <c r="B2892" s="9" t="n">
        <v>2890</v>
      </c>
      <c r="C2892" s="10" t="inlineStr">
        <is>
          <t>Kỹ Sư Thiết Kế Điện</t>
        </is>
      </c>
      <c r="D2892" s="10" t="inlineStr">
        <is>
          <t>CÔNG TY TNHH D.I.D VIỆT NAM- CHI NHÁNH THÀNH PHỐ HỒ CHÍ MINH</t>
        </is>
      </c>
      <c r="E2892" s="10" t="inlineStr">
        <is>
          <t>Thương lượng</t>
        </is>
      </c>
      <c r="F2892" s="10" t="inlineStr">
        <is>
          <t>Hồ Chí Minh</t>
        </is>
      </c>
      <c r="G2892" s="10" t="inlineStr">
        <is>
          <t>Nhân viên</t>
        </is>
      </c>
      <c r="H2892" s="10" t="inlineStr">
        <is>
          <t>25/02/2026</t>
        </is>
      </c>
      <c r="I2892" s="10" t="inlineStr">
        <is>
          <t>27/03/2026</t>
        </is>
      </c>
      <c r="J2892" s="10" t="inlineStr">
        <is>
          <t>17/03/2026</t>
        </is>
      </c>
      <c r="K2892" s="10" t="inlineStr">
        <is>
          <t>N/A</t>
        </is>
      </c>
      <c r="L2892" s="10" t="inlineStr">
        <is>
          <t>Thiết Kế Điện, Lập Trình PLC, Bóc Tách Vật Tư, Thiết Kế Bản Vẽ, Triển Khai Dự Án</t>
        </is>
      </c>
      <c r="M2892" s="10" t="inlineStr">
        <is>
          <t>Training, Others</t>
        </is>
      </c>
      <c r="N2892" s="11">
        <f>HYPERLINK("https://www.vietnamworks.com/ky-su-thiet-ke-djien-2013527-jv","Xem chi tiết")</f>
        <v/>
      </c>
      <c r="O2892" s="10" t="n"/>
    </row>
    <row r="2893">
      <c r="B2893" s="7" t="n">
        <v>2891</v>
      </c>
      <c r="C2893" t="inlineStr">
        <is>
          <t>Chuyên Viên Xuất Nhập Khẩu</t>
        </is>
      </c>
      <c r="D2893" t="inlineStr">
        <is>
          <t>Công Ty Cổ Phần TM&amp;XNK Vật Tư Giao Thông</t>
        </is>
      </c>
      <c r="E2893" t="inlineStr">
        <is>
          <t>$$ 650-900 /tháng</t>
        </is>
      </c>
      <c r="F2893" t="inlineStr">
        <is>
          <t>Hà Nội</t>
        </is>
      </c>
      <c r="G2893" t="inlineStr">
        <is>
          <t>Nhân viên</t>
        </is>
      </c>
      <c r="H2893" t="inlineStr">
        <is>
          <t>25/02/2026</t>
        </is>
      </c>
      <c r="I2893" t="inlineStr">
        <is>
          <t>27/03/2026</t>
        </is>
      </c>
      <c r="J2893" t="inlineStr">
        <is>
          <t>17/03/2026</t>
        </is>
      </c>
      <c r="K2893" t="inlineStr">
        <is>
          <t>N/A</t>
        </is>
      </c>
      <c r="L2893" t="inlineStr">
        <is>
          <t>Xuất Nhập Khẩu, Tiếng Anh, Import-Export, Chứng Từ Xuất Nhập Khẩu, Incoterms 2020</t>
        </is>
      </c>
      <c r="M2893" t="inlineStr">
        <is>
          <t>Healthcare Plan, Training, Travel Opportunities</t>
        </is>
      </c>
      <c r="N2893" s="8">
        <f>HYPERLINK("https://www.vietnamworks.com/chuyen-vien-xuat-nhap-khau--2013535-jv","Xem chi tiết")</f>
        <v/>
      </c>
    </row>
    <row r="2894">
      <c r="B2894" s="9" t="n">
        <v>2892</v>
      </c>
      <c r="C2894" s="10" t="inlineStr">
        <is>
          <t>Nhân Viên Kinh Doanh Ngành Thực Phẩm Nhập Khẩu</t>
        </is>
      </c>
      <c r="D2894" s="10" t="inlineStr">
        <is>
          <t>Công ty TNHH Singgreen Vina</t>
        </is>
      </c>
      <c r="E2894" s="10" t="inlineStr">
        <is>
          <t>15tr-30tr ₫/tháng</t>
        </is>
      </c>
      <c r="F2894" s="10" t="inlineStr">
        <is>
          <t>Hà Nội</t>
        </is>
      </c>
      <c r="G2894" s="10" t="inlineStr">
        <is>
          <t>Nhân viên</t>
        </is>
      </c>
      <c r="H2894" s="10" t="inlineStr">
        <is>
          <t>25/02/2026</t>
        </is>
      </c>
      <c r="I2894" s="10" t="inlineStr">
        <is>
          <t>27/03/2026</t>
        </is>
      </c>
      <c r="J2894" s="10" t="inlineStr">
        <is>
          <t>17/03/2026</t>
        </is>
      </c>
      <c r="K2894" s="10" t="inlineStr">
        <is>
          <t>N/A</t>
        </is>
      </c>
      <c r="L2894" s="10" t="inlineStr">
        <is>
          <t>Kinh Doanh Thực Phẩm, Marketing, Tiếng Anh, Tiếng Hàn, Phát Triển Kênh Phân Phối</t>
        </is>
      </c>
      <c r="M2894" s="10" t="inlineStr">
        <is>
          <t>Bonus, Healthcare Plan, Paid Leave, Travel Opportunities, Others</t>
        </is>
      </c>
      <c r="N2894" s="11">
        <f>HYPERLINK("https://www.vietnamworks.com/nhan-vien-kinh-doanh-nganh-thuc-pham-nhap-khau-2013552-jv","Xem chi tiết")</f>
        <v/>
      </c>
      <c r="O2894" s="10" t="n"/>
    </row>
    <row r="2895">
      <c r="B2895" s="7" t="n">
        <v>2893</v>
      </c>
      <c r="C2895" t="inlineStr">
        <is>
          <t>Giám Đốc Marketing</t>
        </is>
      </c>
      <c r="D2895" t="inlineStr">
        <is>
          <t>Công ty cổ phần SJ Group</t>
        </is>
      </c>
      <c r="E2895" t="inlineStr">
        <is>
          <t>Thương lượng</t>
        </is>
      </c>
      <c r="F2895" t="inlineStr">
        <is>
          <t>Hà Nội</t>
        </is>
      </c>
      <c r="G2895" t="inlineStr">
        <is>
          <t>Giám Đốc và Cấp Cao Hơn</t>
        </is>
      </c>
      <c r="H2895" t="inlineStr">
        <is>
          <t>25/02/2026</t>
        </is>
      </c>
      <c r="I2895" t="inlineStr">
        <is>
          <t>27/03/2026</t>
        </is>
      </c>
      <c r="J2895" t="inlineStr">
        <is>
          <t>17/03/2026</t>
        </is>
      </c>
      <c r="K2895" t="inlineStr">
        <is>
          <t>N/A</t>
        </is>
      </c>
      <c r="L2895" t="inlineStr">
        <is>
          <t>Marketing, Digital Marketing, Content Marketing, Bất Động Sản, Google Ads</t>
        </is>
      </c>
      <c r="M2895" t="inlineStr">
        <is>
          <t>Bonus, Healthcare Plan, Paid Leave, Team Activities, Others</t>
        </is>
      </c>
      <c r="N2895" s="8">
        <f>HYPERLINK("https://www.vietnamworks.com/giam-djoc-marketing-2013542-jv","Xem chi tiết")</f>
        <v/>
      </c>
    </row>
    <row r="2896">
      <c r="B2896" s="9" t="n">
        <v>2894</v>
      </c>
      <c r="C2896" s="10" t="inlineStr">
        <is>
          <t>Nhân Viên An Toàn-Sức Khỏe-Môi Trường (EHS)</t>
        </is>
      </c>
      <c r="D2896" s="10" t="inlineStr">
        <is>
          <t>Công ty TNHH Taiyo Ink Vietnam</t>
        </is>
      </c>
      <c r="E2896" s="10" t="inlineStr">
        <is>
          <t>$$ 550-650 /tháng</t>
        </is>
      </c>
      <c r="F2896" s="10" t="inlineStr">
        <is>
          <t>Hà Nội</t>
        </is>
      </c>
      <c r="G2896" s="10" t="inlineStr">
        <is>
          <t>Nhân viên</t>
        </is>
      </c>
      <c r="H2896" s="10" t="inlineStr">
        <is>
          <t>25/02/2026</t>
        </is>
      </c>
      <c r="I2896" s="10" t="inlineStr">
        <is>
          <t>27/03/2026</t>
        </is>
      </c>
      <c r="J2896" s="10" t="inlineStr">
        <is>
          <t>17/03/2026</t>
        </is>
      </c>
      <c r="K2896" s="10" t="inlineStr">
        <is>
          <t>N/A</t>
        </is>
      </c>
      <c r="L2896" s="10" t="inlineStr">
        <is>
          <t>An Toàn Lao Động, An Toàn Sức Khỏe Môi Trường, Kiểm Soát An Toàn, Environmental Safety, HSE</t>
        </is>
      </c>
      <c r="M2896" s="10" t="inlineStr">
        <is>
          <t>Bonus, Healthcare Plan, Transportation, Others</t>
        </is>
      </c>
      <c r="N2896" s="11">
        <f>HYPERLINK("https://www.vietnamworks.com/nhan-vien-an-toan-suc-khoe-moi-truong-ehs-2013545-jv","Xem chi tiết")</f>
        <v/>
      </c>
      <c r="O2896" s="10" t="n"/>
    </row>
    <row r="2897">
      <c r="B2897" s="7" t="n">
        <v>2895</v>
      </c>
      <c r="C2897" t="inlineStr">
        <is>
          <t>Chuyên viên Kế hoạch Sản xuất</t>
        </is>
      </c>
      <c r="D2897" t="inlineStr">
        <is>
          <t>Công Ty CP Dây Cáp Điện Việt Nam - CADIVI</t>
        </is>
      </c>
      <c r="E2897" t="inlineStr">
        <is>
          <t>Thương lượng</t>
        </is>
      </c>
      <c r="F2897" t="inlineStr">
        <is>
          <t>Hồ Chí Minh</t>
        </is>
      </c>
      <c r="G2897" t="inlineStr">
        <is>
          <t>Nhân viên</t>
        </is>
      </c>
      <c r="H2897" t="inlineStr">
        <is>
          <t>25/02/2026</t>
        </is>
      </c>
      <c r="I2897" t="inlineStr">
        <is>
          <t>27/03/2026</t>
        </is>
      </c>
      <c r="J2897" t="inlineStr">
        <is>
          <t>17/03/2026</t>
        </is>
      </c>
      <c r="K2897" t="inlineStr">
        <is>
          <t>N/A</t>
        </is>
      </c>
      <c r="L2897" t="inlineStr">
        <is>
          <t>Lập Kế Hoạch Sản Xuất, Sản Xuất Cáp Quang, Xây Dựng Kế Hoạch Sản Xuất</t>
        </is>
      </c>
      <c r="M2897" t="inlineStr">
        <is>
          <t>Bonus, Training, Awards</t>
        </is>
      </c>
      <c r="N2897" s="8">
        <f>HYPERLINK("https://www.vietnamworks.com/chuyen-vien-ke-hoach-san-xuat-2013544-jv","Xem chi tiết")</f>
        <v/>
      </c>
    </row>
    <row r="2898">
      <c r="B2898" s="9" t="n">
        <v>2896</v>
      </c>
      <c r="C2898" s="10" t="inlineStr">
        <is>
          <t>Trưởng Phòng Xuất Nhập Khẩu - Thiết Bị Y Tế</t>
        </is>
      </c>
      <c r="D2898" s="10" t="inlineStr">
        <is>
          <t>Công Ty Cổ Phần Dược Liệu Việt Nam</t>
        </is>
      </c>
      <c r="E2898" s="10" t="inlineStr">
        <is>
          <t>$$ 1,000-1,500 /tháng</t>
        </is>
      </c>
      <c r="F2898" s="10" t="inlineStr">
        <is>
          <t>Hồ Chí Minh, Hà Nội</t>
        </is>
      </c>
      <c r="G2898" s="10" t="inlineStr">
        <is>
          <t>Trưởng phòng</t>
        </is>
      </c>
      <c r="H2898" s="10" t="inlineStr">
        <is>
          <t>25/02/2026</t>
        </is>
      </c>
      <c r="I2898" s="10" t="inlineStr">
        <is>
          <t>27/03/2026</t>
        </is>
      </c>
      <c r="J2898" s="10" t="inlineStr">
        <is>
          <t>17/03/2026</t>
        </is>
      </c>
      <c r="K2898" s="10" t="inlineStr">
        <is>
          <t>N/A</t>
        </is>
      </c>
      <c r="L2898" s="10" t="inlineStr">
        <is>
          <t>Quản Lý Hoạt Động Xuất Nhập Khẩu, Mua Hàng Nước Ngoài, Mua Hàng Vật Tư, Mua Hàng Sản Xuất, Giám Sát Mua Hàng</t>
        </is>
      </c>
      <c r="M2898" s="10" t="inlineStr">
        <is>
          <t>Bonus, Healthcare Plan, Training</t>
        </is>
      </c>
      <c r="N2898" s="11">
        <f>HYPERLINK("https://www.vietnamworks.com/truong-phong-xuat-nhap-khau-thiet-bi-y-te--2013540-jv","Xem chi tiết")</f>
        <v/>
      </c>
      <c r="O2898" s="10" t="n"/>
    </row>
    <row r="2899">
      <c r="B2899" s="7" t="n">
        <v>2897</v>
      </c>
      <c r="C2899" t="inlineStr">
        <is>
          <t>Giám Đốc Trung Tâm Nghiên Cứu &amp; Phát Triển (R&amp;D)</t>
        </is>
      </c>
      <c r="D2899" t="inlineStr">
        <is>
          <t>Công Ty Cổ Phần Quốc Tế Sơn Hà</t>
        </is>
      </c>
      <c r="E2899" t="inlineStr">
        <is>
          <t>Thương lượng</t>
        </is>
      </c>
      <c r="F2899" t="inlineStr">
        <is>
          <t>Hà Nội</t>
        </is>
      </c>
      <c r="G2899" t="inlineStr">
        <is>
          <t>Giám Đốc và Cấp Cao Hơn</t>
        </is>
      </c>
      <c r="H2899" t="inlineStr">
        <is>
          <t>25/02/2026</t>
        </is>
      </c>
      <c r="I2899" t="inlineStr">
        <is>
          <t>27/03/2026</t>
        </is>
      </c>
      <c r="J2899" t="inlineStr">
        <is>
          <t>17/03/2026</t>
        </is>
      </c>
      <c r="K2899" t="inlineStr">
        <is>
          <t>N/A</t>
        </is>
      </c>
      <c r="L2899" t="inlineStr">
        <is>
          <t>R&amp;D, Nghiên Cứu Phát Triển, Hệ Thống Xử Lý Nước, Cơ Khí, Công Nghiệp Thép</t>
        </is>
      </c>
      <c r="M2899" t="inlineStr">
        <is>
          <t>Bonus, Healthcare Plan, Laptop</t>
        </is>
      </c>
      <c r="N2899" s="8">
        <f>HYPERLINK("https://www.vietnamworks.com/giam-doc-trung-tam-nghien-cuu-phat-trien-r-d-2013549-jv","Xem chi tiết")</f>
        <v/>
      </c>
    </row>
    <row r="2900">
      <c r="B2900" s="9" t="n">
        <v>2898</v>
      </c>
      <c r="C2900" s="10" t="inlineStr">
        <is>
          <t>Senior E&amp;I Engineer</t>
        </is>
      </c>
      <c r="D2900" s="10" t="inlineStr">
        <is>
          <t>Hoan Vu &amp; Hoang Long Joint Operating Companies</t>
        </is>
      </c>
      <c r="E2900" s="10" t="inlineStr">
        <is>
          <t>Thương lượng</t>
        </is>
      </c>
      <c r="F2900" s="10" t="inlineStr">
        <is>
          <t>Hồ Chí Minh</t>
        </is>
      </c>
      <c r="G2900" s="10" t="inlineStr">
        <is>
          <t>Nhân viên</t>
        </is>
      </c>
      <c r="H2900" s="10" t="inlineStr">
        <is>
          <t>25/02/2026</t>
        </is>
      </c>
      <c r="I2900" s="10" t="inlineStr">
        <is>
          <t>27/03/2026</t>
        </is>
      </c>
      <c r="J2900" s="10" t="inlineStr">
        <is>
          <t>17/03/2026</t>
        </is>
      </c>
      <c r="K2900" s="10" t="inlineStr">
        <is>
          <t>N/A</t>
        </is>
      </c>
      <c r="L2900" s="10" t="inlineStr">
        <is>
          <t>Electrical Engineering, Instrumentation Engineering, Telecom System Design, HSE Management, Communication Skills</t>
        </is>
      </c>
      <c r="M2900" s="10" t="inlineStr">
        <is>
          <t>Bonus, Training, Others</t>
        </is>
      </c>
      <c r="N2900" s="11">
        <f>HYPERLINK("https://www.vietnamworks.com/senior-eandi-engineer-2013547-jv","Xem chi tiết")</f>
        <v/>
      </c>
      <c r="O2900" s="10" t="n"/>
    </row>
    <row r="2901">
      <c r="B2901" s="7" t="n">
        <v>2899</v>
      </c>
      <c r="C2901" t="inlineStr">
        <is>
          <t>Quản lý Khu vực (F&amp;B - Cần Thơ)</t>
        </is>
      </c>
      <c r="D2901" t="inlineStr">
        <is>
          <t>Công Ty Cổ Phần Phúc Long Heritage</t>
        </is>
      </c>
      <c r="E2901" t="inlineStr">
        <is>
          <t>Thương lượng</t>
        </is>
      </c>
      <c r="F2901" t="inlineStr">
        <is>
          <t>Cần Thơ</t>
        </is>
      </c>
      <c r="G2901" t="inlineStr">
        <is>
          <t>Nhân viên</t>
        </is>
      </c>
      <c r="H2901" t="inlineStr">
        <is>
          <t>25/02/2026</t>
        </is>
      </c>
      <c r="I2901" t="inlineStr">
        <is>
          <t>27/03/2026</t>
        </is>
      </c>
      <c r="J2901" t="inlineStr">
        <is>
          <t>17/03/2026</t>
        </is>
      </c>
      <c r="K2901" t="inlineStr">
        <is>
          <t>N/A</t>
        </is>
      </c>
      <c r="L2901" t="inlineStr">
        <is>
          <t>Customer Service &amp; After Service, FnB, People Management, Sales and Profit Management</t>
        </is>
      </c>
      <c r="M2901" t="inlineStr">
        <is>
          <t>Others</t>
        </is>
      </c>
      <c r="N2901" s="8">
        <f>HYPERLINK("https://www.vietnamworks.com/quan-ly-khu-vuc-fandb-can-tho-2013554-jv","Xem chi tiết")</f>
        <v/>
      </c>
    </row>
    <row r="2902">
      <c r="B2902" s="9" t="n">
        <v>2900</v>
      </c>
      <c r="C2902" s="10" t="inlineStr">
        <is>
          <t>Accounting Assistant/ Junior Accountant</t>
        </is>
      </c>
      <c r="D2902" s="10" t="inlineStr">
        <is>
          <t>CÔNG TY TNHH RBA WTS TAX VIỆT NAM</t>
        </is>
      </c>
      <c r="E2902" s="10" t="inlineStr">
        <is>
          <t>Thương lượng</t>
        </is>
      </c>
      <c r="F2902" s="10" t="inlineStr">
        <is>
          <t>Hồ Chí Minh</t>
        </is>
      </c>
      <c r="G2902" s="10" t="inlineStr">
        <is>
          <t>Nhân viên</t>
        </is>
      </c>
      <c r="H2902" s="10" t="inlineStr">
        <is>
          <t>25/02/2026</t>
        </is>
      </c>
      <c r="I2902" s="10" t="inlineStr">
        <is>
          <t>27/03/2026</t>
        </is>
      </c>
      <c r="J2902" s="10" t="inlineStr">
        <is>
          <t>17/03/2026</t>
        </is>
      </c>
      <c r="K2902" s="10" t="inlineStr">
        <is>
          <t>N/A</t>
        </is>
      </c>
      <c r="L2902" s="10" t="inlineStr">
        <is>
          <t>Accounting, Microsoft Excel, Bookkeeping, Payroll Support, Taxation</t>
        </is>
      </c>
      <c r="M2902" s="10" t="inlineStr">
        <is>
          <t>Bonus, Healthcare Plan, Paid Leave, Training, Others</t>
        </is>
      </c>
      <c r="N2902" s="11">
        <f>HYPERLINK("https://www.vietnamworks.com/accounting-assistant-junior-accountant-2013538-jv","Xem chi tiết")</f>
        <v/>
      </c>
      <c r="O2902" s="10" t="n"/>
    </row>
    <row r="2903">
      <c r="B2903" s="7" t="n">
        <v>2901</v>
      </c>
      <c r="C2903" t="inlineStr">
        <is>
          <t>Nhân Viên Kế Toán Kho Tây Ninh</t>
        </is>
      </c>
      <c r="D2903" t="inlineStr">
        <is>
          <t>CÔNG TY CP THỰC PHẨM RICHY MIỀN NAM</t>
        </is>
      </c>
      <c r="E2903" t="inlineStr">
        <is>
          <t>Từ $ 400 /tháng</t>
        </is>
      </c>
      <c r="F2903" t="inlineStr">
        <is>
          <t>Tây Ninh</t>
        </is>
      </c>
      <c r="G2903" t="inlineStr">
        <is>
          <t>Nhân viên</t>
        </is>
      </c>
      <c r="H2903" t="inlineStr">
        <is>
          <t>25/02/2026</t>
        </is>
      </c>
      <c r="I2903" t="inlineStr">
        <is>
          <t>27/03/2026</t>
        </is>
      </c>
      <c r="J2903" t="inlineStr">
        <is>
          <t>17/03/2026</t>
        </is>
      </c>
      <c r="K2903" t="inlineStr">
        <is>
          <t>N/A</t>
        </is>
      </c>
      <c r="L2903" t="inlineStr">
        <is>
          <t>Account, EXCEL văn phòng</t>
        </is>
      </c>
      <c r="M2903" t="inlineStr">
        <is>
          <t>Bonus, Travel Opportunities</t>
        </is>
      </c>
      <c r="N2903" s="8">
        <f>HYPERLINK("https://www.vietnamworks.com/nhan-vien-ke-toan-kho-tay-ninh-2013528-jv","Xem chi tiết")</f>
        <v/>
      </c>
    </row>
    <row r="2904">
      <c r="B2904" s="9" t="n">
        <v>2902</v>
      </c>
      <c r="C2904" s="10" t="inlineStr">
        <is>
          <t>Senior Admin Staff</t>
        </is>
      </c>
      <c r="D2904" s="10" t="inlineStr">
        <is>
          <t>Palfinger Marine Vietnam Co., Ltd</t>
        </is>
      </c>
      <c r="E2904" s="10" t="inlineStr">
        <is>
          <t>15tr-25tr ₫/tháng</t>
        </is>
      </c>
      <c r="F2904" s="10" t="inlineStr">
        <is>
          <t>Hà Nội, Hưng Yên</t>
        </is>
      </c>
      <c r="G2904" s="10" t="inlineStr">
        <is>
          <t>Nhân viên</t>
        </is>
      </c>
      <c r="H2904" s="10" t="inlineStr">
        <is>
          <t>25/02/2026</t>
        </is>
      </c>
      <c r="I2904" s="10" t="inlineStr">
        <is>
          <t>27/03/2026</t>
        </is>
      </c>
      <c r="J2904" s="10" t="inlineStr">
        <is>
          <t>17/03/2026</t>
        </is>
      </c>
      <c r="K2904" s="10" t="inlineStr">
        <is>
          <t>N/A</t>
        </is>
      </c>
      <c r="L2904" s="10" t="inlineStr">
        <is>
          <t>Tiếng Anh, Tổ chức sự kiện, Quản Lý Nhà Cung Cấp, Xử Lý Tình Huống, Hành Chính Văn Phòng</t>
        </is>
      </c>
      <c r="M2904" s="10" t="inlineStr">
        <is>
          <t>Bonus, Healthcare Plan, Paid Leave, Training, Team Activities, Transportation, Others</t>
        </is>
      </c>
      <c r="N2904" s="11">
        <f>HYPERLINK("https://www.vietnamworks.com/senior-admin-staff-2013531-jv","Xem chi tiết")</f>
        <v/>
      </c>
      <c r="O2904" s="10" t="n"/>
    </row>
    <row r="2905">
      <c r="B2905" s="7" t="n">
        <v>2903</v>
      </c>
      <c r="C2905" t="inlineStr">
        <is>
          <t>TRỢ LÝ DỰ ÁN TIẾNG TRUNG</t>
        </is>
      </c>
      <c r="D2905" t="inlineStr">
        <is>
          <t>Công Ty TNHH Mic-Tech Việt Nam</t>
        </is>
      </c>
      <c r="E2905" t="inlineStr">
        <is>
          <t>Thương lượng</t>
        </is>
      </c>
      <c r="F2905" t="inlineStr">
        <is>
          <t>Hải Phòng</t>
        </is>
      </c>
      <c r="G2905" t="inlineStr">
        <is>
          <t>Mới Tốt Nghiệp</t>
        </is>
      </c>
      <c r="H2905" t="inlineStr">
        <is>
          <t>25/02/2026</t>
        </is>
      </c>
      <c r="I2905" t="inlineStr">
        <is>
          <t>27/03/2026</t>
        </is>
      </c>
      <c r="J2905" t="inlineStr">
        <is>
          <t>17/03/2026</t>
        </is>
      </c>
      <c r="K2905" t="inlineStr">
        <is>
          <t>N/A</t>
        </is>
      </c>
      <c r="L2905" t="inlineStr">
        <is>
          <t>Hỗ Trợ Dự Án, Kỹ năng giao tiếp, Soạn Thảo Văn Bản, Theo Dõi Hợp Đồng, Tiếng Trung Giao Tiếp</t>
        </is>
      </c>
      <c r="M2905" t="inlineStr">
        <is>
          <t>Bonus, Paid Leave, Transportation, Others</t>
        </is>
      </c>
      <c r="N2905" s="8">
        <f>HYPERLINK("https://www.vietnamworks.com/tro-ly-du-an-tieng-trung-2013533-jv","Xem chi tiết")</f>
        <v/>
      </c>
    </row>
    <row r="2906">
      <c r="B2906" s="9" t="n">
        <v>2904</v>
      </c>
      <c r="C2906" s="10" t="inlineStr">
        <is>
          <t>Supply Chain Leader</t>
        </is>
      </c>
      <c r="D2906" s="10" t="inlineStr">
        <is>
          <t>Công ty TNHH Truyền thông và Giải pháp trực tuyến LeadsGen</t>
        </is>
      </c>
      <c r="E2906" s="10" t="inlineStr">
        <is>
          <t>Tới 25tr ₫/tháng</t>
        </is>
      </c>
      <c r="F2906" s="10" t="inlineStr">
        <is>
          <t>Hà Nội</t>
        </is>
      </c>
      <c r="G2906" s="10" t="inlineStr">
        <is>
          <t>Nhân viên</t>
        </is>
      </c>
      <c r="H2906" s="10" t="inlineStr">
        <is>
          <t>25/02/2026</t>
        </is>
      </c>
      <c r="I2906" s="10" t="inlineStr">
        <is>
          <t>27/03/2026</t>
        </is>
      </c>
      <c r="J2906" s="10" t="inlineStr">
        <is>
          <t>17/03/2026</t>
        </is>
      </c>
      <c r="K2906" s="10" t="inlineStr">
        <is>
          <t>N/A</t>
        </is>
      </c>
      <c r="L2906" s="10" t="inlineStr">
        <is>
          <t>Vendor Management, Sourcing Management, Logistics, English Communication, Xuất Khẩu</t>
        </is>
      </c>
      <c r="M2906" s="10" t="inlineStr">
        <is>
          <t>Bonus, Healthcare Plan, Team Activities, Others</t>
        </is>
      </c>
      <c r="N2906" s="11">
        <f>HYPERLINK("https://www.vietnamworks.com/supply-chain-leader-2013537-jv","Xem chi tiết")</f>
        <v/>
      </c>
      <c r="O2906" s="10" t="n"/>
    </row>
    <row r="2907">
      <c r="B2907" s="7" t="n">
        <v>2905</v>
      </c>
      <c r="C2907" t="inlineStr">
        <is>
          <t>QA Manager</t>
        </is>
      </c>
      <c r="D2907" t="inlineStr">
        <is>
          <t>Công ty TNHH R-Pac Việt Nam</t>
        </is>
      </c>
      <c r="E2907" t="inlineStr">
        <is>
          <t>Thương lượng</t>
        </is>
      </c>
      <c r="F2907" t="inlineStr">
        <is>
          <t>Bình Dương</t>
        </is>
      </c>
      <c r="G2907" t="inlineStr">
        <is>
          <t>Trưởng phòng</t>
        </is>
      </c>
      <c r="H2907" t="inlineStr">
        <is>
          <t>25/02/2026</t>
        </is>
      </c>
      <c r="I2907" t="inlineStr">
        <is>
          <t>27/03/2026</t>
        </is>
      </c>
      <c r="J2907" t="inlineStr">
        <is>
          <t>17/03/2026</t>
        </is>
      </c>
      <c r="K2907" t="inlineStr">
        <is>
          <t>N/A</t>
        </is>
      </c>
      <c r="L2907" t="inlineStr">
        <is>
          <t>Quality Analysis, Quality assuance, Quality Management System, Quality System</t>
        </is>
      </c>
      <c r="M2907" t="inlineStr">
        <is>
          <t>Healthcare Plan, Training, Travel Opportunities, Transportation</t>
        </is>
      </c>
      <c r="N2907" s="8">
        <f>HYPERLINK("https://www.vietnamworks.com/qa-manager-2013539-jv","Xem chi tiết")</f>
        <v/>
      </c>
    </row>
    <row r="2908">
      <c r="B2908" s="9" t="n">
        <v>2906</v>
      </c>
      <c r="C2908" s="10" t="inlineStr">
        <is>
          <t>Kế Toán Nội Bộ</t>
        </is>
      </c>
      <c r="D2908" s="10" t="inlineStr">
        <is>
          <t>CÔNG TY TNHH THƯƠNG MẠI DỊCH VỤ TRUNG TÍN ĐẠI PHÁT</t>
        </is>
      </c>
      <c r="E2908" s="10" t="inlineStr">
        <is>
          <t>9tr-10tr ₫/tháng</t>
        </is>
      </c>
      <c r="F2908" s="10" t="inlineStr">
        <is>
          <t>Hồ Chí Minh</t>
        </is>
      </c>
      <c r="G2908" s="10" t="inlineStr">
        <is>
          <t>Nhân viên</t>
        </is>
      </c>
      <c r="H2908" s="10" t="inlineStr">
        <is>
          <t>25/02/2026</t>
        </is>
      </c>
      <c r="I2908" s="10" t="inlineStr">
        <is>
          <t>27/03/2026</t>
        </is>
      </c>
      <c r="J2908" s="10" t="inlineStr">
        <is>
          <t>17/03/2026</t>
        </is>
      </c>
      <c r="K2908" s="10" t="inlineStr">
        <is>
          <t>N/A</t>
        </is>
      </c>
      <c r="L2908" s="10" t="inlineStr">
        <is>
          <t>Kế Toán, Tài Chính, Excel, Phần mềm kế toán, Trách nhiệm</t>
        </is>
      </c>
      <c r="M2908" s="10" t="inlineStr">
        <is>
          <t>Bonus, Healthcare Plan, Others</t>
        </is>
      </c>
      <c r="N2908" s="11">
        <f>HYPERLINK("https://www.vietnamworks.com/ke-toan-noi-bo-2013563-jv","Xem chi tiết")</f>
        <v/>
      </c>
      <c r="O2908" s="10" t="n"/>
    </row>
    <row r="2909">
      <c r="B2909" s="7" t="n">
        <v>2907</v>
      </c>
      <c r="C2909" t="inlineStr">
        <is>
          <t>Social Compliance (Kiểm Xưởng)</t>
        </is>
      </c>
      <c r="D2909" t="inlineStr">
        <is>
          <t>Công Ty TNHH Sheico Việt Nam</t>
        </is>
      </c>
      <c r="E2909" t="inlineStr">
        <is>
          <t>Thương lượng</t>
        </is>
      </c>
      <c r="F2909" t="inlineStr">
        <is>
          <t>Hồ Chí Minh</t>
        </is>
      </c>
      <c r="G2909" t="inlineStr">
        <is>
          <t>Nhân viên</t>
        </is>
      </c>
      <c r="H2909" t="inlineStr">
        <is>
          <t>25/02/2026</t>
        </is>
      </c>
      <c r="I2909" t="inlineStr">
        <is>
          <t>27/03/2026</t>
        </is>
      </c>
      <c r="J2909" t="inlineStr">
        <is>
          <t>17/03/2026</t>
        </is>
      </c>
      <c r="K2909" t="inlineStr">
        <is>
          <t>N/A</t>
        </is>
      </c>
      <c r="L2909" t="inlineStr">
        <is>
          <t>Giao Tiếp, HSE Compliance, HSE Experience, Office Software, Tiếng  Anh Giao Tiếp</t>
        </is>
      </c>
      <c r="M2909" t="inlineStr">
        <is>
          <t>Others</t>
        </is>
      </c>
      <c r="N2909" s="8">
        <f>HYPERLINK("https://www.vietnamworks.com/social-compliance-kiem-xuong-2013573-jv","Xem chi tiết")</f>
        <v/>
      </c>
    </row>
    <row r="2910">
      <c r="B2910" s="9" t="n">
        <v>2908</v>
      </c>
      <c r="C2910" s="10" t="inlineStr">
        <is>
          <t>Nhân Viên Kế Toán Phòng Vtnđ</t>
        </is>
      </c>
      <c r="D2910" s="10" t="inlineStr">
        <is>
          <t>Công ty Cổ phần Đầu tư và Giao nhận Thái Hà</t>
        </is>
      </c>
      <c r="E2910" s="10" t="inlineStr">
        <is>
          <t>9tr-12tr ₫/tháng</t>
        </is>
      </c>
      <c r="F2910" s="10" t="inlineStr">
        <is>
          <t>Hà Nội</t>
        </is>
      </c>
      <c r="G2910" s="10" t="inlineStr">
        <is>
          <t>Nhân viên</t>
        </is>
      </c>
      <c r="H2910" s="10" t="inlineStr">
        <is>
          <t>25/02/2026</t>
        </is>
      </c>
      <c r="I2910" s="10" t="inlineStr">
        <is>
          <t>27/03/2026</t>
        </is>
      </c>
      <c r="J2910" s="10" t="inlineStr">
        <is>
          <t>17/03/2026</t>
        </is>
      </c>
      <c r="K2910" s="10" t="inlineStr">
        <is>
          <t>N/A</t>
        </is>
      </c>
      <c r="L2910" s="10" t="inlineStr">
        <is>
          <t>Quản Lý Đơn Hàng, Hạch Toán Doanh Thu, Quản Lý Công Nợ, Báo Cáo Tài Chính, Giao Tiếp</t>
        </is>
      </c>
      <c r="M2910" s="10" t="inlineStr">
        <is>
          <t>Team Activities, Others</t>
        </is>
      </c>
      <c r="N2910" s="11">
        <f>HYPERLINK("https://www.vietnamworks.com/nhan-vien-ke-toan-phong-vtnd-2013559-jv","Xem chi tiết")</f>
        <v/>
      </c>
      <c r="O2910" s="10" t="n"/>
    </row>
    <row r="2911">
      <c r="B2911" s="7" t="n">
        <v>2909</v>
      </c>
      <c r="C2911" t="inlineStr">
        <is>
          <t>Thợ In</t>
        </is>
      </c>
      <c r="D2911" t="inlineStr">
        <is>
          <t>CÔNG TY TNHH THƯƠNG MẠI DỊCH VỤ TRUNG TÍN ĐẠI PHÁT</t>
        </is>
      </c>
      <c r="E2911" t="inlineStr">
        <is>
          <t>Thương lượng</t>
        </is>
      </c>
      <c r="F2911" t="inlineStr">
        <is>
          <t>Hồ Chí Minh</t>
        </is>
      </c>
      <c r="G2911" t="inlineStr">
        <is>
          <t>Mới Tốt Nghiệp</t>
        </is>
      </c>
      <c r="H2911" t="inlineStr">
        <is>
          <t>25/02/2026</t>
        </is>
      </c>
      <c r="I2911" t="inlineStr">
        <is>
          <t>27/03/2026</t>
        </is>
      </c>
      <c r="J2911" t="inlineStr">
        <is>
          <t>17/03/2026</t>
        </is>
      </c>
      <c r="K2911" t="inlineStr">
        <is>
          <t>N/A</t>
        </is>
      </c>
      <c r="L2911" t="inlineStr">
        <is>
          <t>In Lụa, 3D, chịu khó, Có trách nhiệm, Khám Sức Khỏe</t>
        </is>
      </c>
      <c r="M2911" t="inlineStr">
        <is>
          <t>Healthcare Plan, Others</t>
        </is>
      </c>
      <c r="N2911" s="8">
        <f>HYPERLINK("https://www.vietnamworks.com/tho-in-2013560-jv","Xem chi tiết")</f>
        <v/>
      </c>
    </row>
    <row r="2912">
      <c r="B2912" s="9" t="n">
        <v>2910</v>
      </c>
      <c r="C2912" s="10" t="inlineStr">
        <is>
          <t>Project Coordinator - Chuyên Viên Điều Phối Dự Án</t>
        </is>
      </c>
      <c r="D2912" s="10" t="inlineStr">
        <is>
          <t>CÔNG TY TNHH DE HEUS</t>
        </is>
      </c>
      <c r="E2912" s="10" t="inlineStr">
        <is>
          <t>Thương lượng</t>
        </is>
      </c>
      <c r="F2912" s="10" t="inlineStr">
        <is>
          <t>Hồ Chí Minh</t>
        </is>
      </c>
      <c r="G2912" s="10" t="inlineStr">
        <is>
          <t>Nhân viên</t>
        </is>
      </c>
      <c r="H2912" s="10" t="inlineStr">
        <is>
          <t>25/02/2026</t>
        </is>
      </c>
      <c r="I2912" s="10" t="inlineStr">
        <is>
          <t>27/03/2026</t>
        </is>
      </c>
      <c r="J2912" s="10" t="inlineStr">
        <is>
          <t>17/03/2026</t>
        </is>
      </c>
      <c r="K2912" s="10" t="inlineStr">
        <is>
          <t>N/A</t>
        </is>
      </c>
      <c r="L2912" s="10" t="inlineStr">
        <is>
          <t>Vận Hành Dự Án, Chăn Nuôi Thú Y, Quản Lý Tiến Độ Dự Án</t>
        </is>
      </c>
      <c r="M2912" s="10" t="inlineStr">
        <is>
          <t>Bonus, Healthcare Plan, Training</t>
        </is>
      </c>
      <c r="N2912" s="11">
        <f>HYPERLINK("https://www.vietnamworks.com/project-coordinator-chuyen-vien-dieu-phoi-du-an--2013556-jv","Xem chi tiết")</f>
        <v/>
      </c>
      <c r="O2912" s="10" t="n"/>
    </row>
    <row r="2913">
      <c r="B2913" s="7" t="n">
        <v>2911</v>
      </c>
      <c r="C2913" t="inlineStr">
        <is>
          <t>B2B Sales Manager - Kitchen Appliance</t>
        </is>
      </c>
      <c r="D2913" t="inlineStr">
        <is>
          <t>LG Electronics Vietnam Hai Phong - Sales &amp; Marketing Company</t>
        </is>
      </c>
      <c r="E2913" t="inlineStr">
        <is>
          <t>Thương lượng</t>
        </is>
      </c>
      <c r="F2913" t="inlineStr">
        <is>
          <t>Hồ Chí Minh, Hà Nội</t>
        </is>
      </c>
      <c r="G2913" t="inlineStr">
        <is>
          <t>Trưởng phòng</t>
        </is>
      </c>
      <c r="H2913" t="inlineStr">
        <is>
          <t>25/02/2026</t>
        </is>
      </c>
      <c r="I2913" t="inlineStr">
        <is>
          <t>27/03/2026</t>
        </is>
      </c>
      <c r="J2913" t="inlineStr">
        <is>
          <t>17/03/2026</t>
        </is>
      </c>
      <c r="K2913" t="inlineStr">
        <is>
          <t>N/A</t>
        </is>
      </c>
      <c r="L2913" t="inlineStr">
        <is>
          <t>Home Appliances, B2B Development, Sales manager, Project Sales, Network Development</t>
        </is>
      </c>
      <c r="M2913" t="inlineStr">
        <is>
          <t>Healthcare Plan, Paid Leave, Canteen</t>
        </is>
      </c>
      <c r="N2913" s="8">
        <f>HYPERLINK("https://www.vietnamworks.com/b2b-sales-manager-kitchen-appliance-2013565-jv","Xem chi tiết")</f>
        <v/>
      </c>
    </row>
    <row r="2914">
      <c r="B2914" s="9" t="n">
        <v>2912</v>
      </c>
      <c r="C2914" s="10" t="inlineStr">
        <is>
          <t>Kế Toán Thanh Toán</t>
        </is>
      </c>
      <c r="D2914" s="10" t="inlineStr">
        <is>
          <t>Công ty Cổ phần Đầu Tư Bảo Hưng</t>
        </is>
      </c>
      <c r="E2914" s="10" t="inlineStr">
        <is>
          <t>Thương lượng</t>
        </is>
      </c>
      <c r="F2914" s="10" t="inlineStr">
        <is>
          <t>Hưng Yên</t>
        </is>
      </c>
      <c r="G2914" s="10" t="inlineStr">
        <is>
          <t>Nhân viên</t>
        </is>
      </c>
      <c r="H2914" s="10" t="inlineStr">
        <is>
          <t>25/02/2026</t>
        </is>
      </c>
      <c r="I2914" s="10" t="inlineStr">
        <is>
          <t>27/03/2026</t>
        </is>
      </c>
      <c r="J2914" s="10" t="inlineStr">
        <is>
          <t>17/03/2026</t>
        </is>
      </c>
      <c r="K2914" s="10" t="inlineStr">
        <is>
          <t>N/A</t>
        </is>
      </c>
      <c r="L2914" s="10" t="inlineStr">
        <is>
          <t>Giao Tiếp, Kế Toán, Kiểm Toán, Quản Trị Kinh Doanh, Tài Chính</t>
        </is>
      </c>
      <c r="M2914" s="10" t="inlineStr">
        <is>
          <t>Bonus, Healthcare Plan, Canteen</t>
        </is>
      </c>
      <c r="N2914" s="11">
        <f>HYPERLINK("https://www.vietnamworks.com/ke-toan-thanh-toan-2013558-jv","Xem chi tiết")</f>
        <v/>
      </c>
      <c r="O2914" s="10" t="n"/>
    </row>
    <row r="2915">
      <c r="B2915" s="7" t="n">
        <v>2913</v>
      </c>
      <c r="C2915" t="inlineStr">
        <is>
          <t>Merchandiser</t>
        </is>
      </c>
      <c r="D2915" t="inlineStr">
        <is>
          <t>Văn phòng đại diện Samil Solution Co., Ltd tại Tp. Hồ Chí Minh</t>
        </is>
      </c>
      <c r="E2915" t="inlineStr">
        <is>
          <t>15tr-20tr ₫/tháng</t>
        </is>
      </c>
      <c r="F2915" t="inlineStr">
        <is>
          <t>Hồ Chí Minh</t>
        </is>
      </c>
      <c r="G2915" t="inlineStr">
        <is>
          <t>Nhân viên</t>
        </is>
      </c>
      <c r="H2915" t="inlineStr">
        <is>
          <t>25/02/2026</t>
        </is>
      </c>
      <c r="I2915" t="inlineStr">
        <is>
          <t>27/03/2026</t>
        </is>
      </c>
      <c r="J2915" t="inlineStr">
        <is>
          <t>17/03/2026</t>
        </is>
      </c>
      <c r="K2915" t="inlineStr">
        <is>
          <t>N/A</t>
        </is>
      </c>
      <c r="L2915" t="inlineStr">
        <is>
          <t>Merchandising, Garment, May Mặc, Hàng hóa, Sản xuất</t>
        </is>
      </c>
      <c r="M2915" t="inlineStr">
        <is>
          <t>Healthcare Plan, Training, Canteen</t>
        </is>
      </c>
      <c r="N2915" s="8">
        <f>HYPERLINK("https://www.vietnamworks.com/merchandiser--2013572-jv","Xem chi tiết")</f>
        <v/>
      </c>
    </row>
    <row r="2916">
      <c r="B2916" s="9" t="n">
        <v>2914</v>
      </c>
      <c r="C2916" s="10" t="inlineStr">
        <is>
          <t>Product Manager</t>
        </is>
      </c>
      <c r="D2916" s="10" t="inlineStr">
        <is>
          <t>CÔNG TY CỔ PHẦN VIE HEALTHCARE</t>
        </is>
      </c>
      <c r="E2916" s="10" t="inlineStr">
        <is>
          <t>Thương lượng</t>
        </is>
      </c>
      <c r="F2916" s="10" t="inlineStr">
        <is>
          <t>Hồ Chí Minh</t>
        </is>
      </c>
      <c r="G2916" s="10" t="inlineStr">
        <is>
          <t>Trưởng phòng</t>
        </is>
      </c>
      <c r="H2916" s="10" t="inlineStr">
        <is>
          <t>25/02/2026</t>
        </is>
      </c>
      <c r="I2916" s="10" t="inlineStr">
        <is>
          <t>27/03/2026</t>
        </is>
      </c>
      <c r="J2916" s="10" t="inlineStr">
        <is>
          <t>17/03/2026</t>
        </is>
      </c>
      <c r="K2916" s="10" t="inlineStr">
        <is>
          <t>N/A</t>
        </is>
      </c>
      <c r="L2916" s="10" t="inlineStr">
        <is>
          <t>Brand Marketing, Biological Sciences, Dermatology, Market Insight</t>
        </is>
      </c>
      <c r="M2916" s="10" t="inlineStr">
        <is>
          <t>Bonus, Healthcare Plan, Team Activities, Others</t>
        </is>
      </c>
      <c r="N2916" s="11">
        <f>HYPERLINK("https://www.vietnamworks.com/product-manager-2013557-jv","Xem chi tiết")</f>
        <v/>
      </c>
      <c r="O2916" s="10" t="n"/>
    </row>
    <row r="2917">
      <c r="B2917" s="7" t="n">
        <v>2915</v>
      </c>
      <c r="C2917" t="inlineStr">
        <is>
          <t>Group Brand Manager (Food)</t>
        </is>
      </c>
      <c r="D2917" t="inlineStr">
        <is>
          <t>Công ty TNHH CJ Foods Việt Nam/ CJ Foods Vietnam Company Limited</t>
        </is>
      </c>
      <c r="E2917" t="inlineStr">
        <is>
          <t>Thương lượng</t>
        </is>
      </c>
      <c r="F2917" t="inlineStr">
        <is>
          <t>Hồ Chí Minh</t>
        </is>
      </c>
      <c r="G2917" t="inlineStr">
        <is>
          <t>Trưởng phòng</t>
        </is>
      </c>
      <c r="H2917" t="inlineStr">
        <is>
          <t>25/02/2026</t>
        </is>
      </c>
      <c r="I2917" t="inlineStr">
        <is>
          <t>27/03/2026</t>
        </is>
      </c>
      <c r="J2917" t="inlineStr">
        <is>
          <t>17/03/2026</t>
        </is>
      </c>
      <c r="K2917" t="inlineStr">
        <is>
          <t>N/A</t>
        </is>
      </c>
      <c r="L2917" t="inlineStr">
        <is>
          <t>Brand Management, Market Research, Marketing Strategy, Product Development, Team Management</t>
        </is>
      </c>
      <c r="M2917" t="inlineStr">
        <is>
          <t>Bonus, Healthcare Plan, Paid Leave, Training, Laptop, Others</t>
        </is>
      </c>
      <c r="N2917" s="8">
        <f>HYPERLINK("https://www.vietnamworks.com/group-brand-manager-food-2013568-jv","Xem chi tiết")</f>
        <v/>
      </c>
    </row>
    <row r="2918">
      <c r="B2918" s="9" t="n">
        <v>2916</v>
      </c>
      <c r="C2918" s="10" t="inlineStr">
        <is>
          <t>Freight Forwarding Manager</t>
        </is>
      </c>
      <c r="D2918" s="10" t="inlineStr">
        <is>
          <t>MITSUI &amp; CO. GLOBAL LOGISTICS (VIETNAM) COMPANY LIMITED</t>
        </is>
      </c>
      <c r="E2918" s="10" t="inlineStr">
        <is>
          <t>Thương lượng</t>
        </is>
      </c>
      <c r="F2918" s="10" t="inlineStr">
        <is>
          <t>Hồ Chí Minh</t>
        </is>
      </c>
      <c r="G2918" s="10" t="inlineStr">
        <is>
          <t>Trưởng phòng</t>
        </is>
      </c>
      <c r="H2918" s="10" t="inlineStr">
        <is>
          <t>25/02/2026</t>
        </is>
      </c>
      <c r="I2918" s="10" t="inlineStr">
        <is>
          <t>27/03/2026</t>
        </is>
      </c>
      <c r="J2918" s="10" t="inlineStr">
        <is>
          <t>17/03/2026</t>
        </is>
      </c>
      <c r="K2918" s="10" t="inlineStr">
        <is>
          <t>N/A</t>
        </is>
      </c>
      <c r="L2918" s="10" t="inlineStr">
        <is>
          <t>Custom Regulations, English, Freight Forwarder, International Trade, Leadership</t>
        </is>
      </c>
      <c r="M2918" s="10" t="inlineStr">
        <is>
          <t>Bonus, Healthcare Plan, Training, Laptop, Others</t>
        </is>
      </c>
      <c r="N2918" s="11">
        <f>HYPERLINK("https://www.vietnamworks.com/freight-forwarding-manager-2013566-jv","Xem chi tiết")</f>
        <v/>
      </c>
      <c r="O2918" s="10" t="n"/>
    </row>
    <row r="2919">
      <c r="B2919" s="7" t="n">
        <v>2917</v>
      </c>
      <c r="C2919" t="inlineStr">
        <is>
          <t>Kế Toán Nội Bộ (LOGISTICS)</t>
        </is>
      </c>
      <c r="D2919" t="inlineStr">
        <is>
          <t>CÔNG TY CỔ PHẦN DỊCH VỤ SÀI GÒN LOGISTICS</t>
        </is>
      </c>
      <c r="E2919" t="inlineStr">
        <is>
          <t>10tr-12tr ₫/tháng</t>
        </is>
      </c>
      <c r="F2919" t="inlineStr">
        <is>
          <t>Hồ Chí Minh</t>
        </is>
      </c>
      <c r="G2919" t="inlineStr">
        <is>
          <t>Nhân viên</t>
        </is>
      </c>
      <c r="H2919" t="inlineStr">
        <is>
          <t>25/02/2026</t>
        </is>
      </c>
      <c r="I2919" t="inlineStr">
        <is>
          <t>27/03/2026</t>
        </is>
      </c>
      <c r="J2919" t="inlineStr">
        <is>
          <t>17/03/2026</t>
        </is>
      </c>
      <c r="K2919" t="inlineStr">
        <is>
          <t>N/A</t>
        </is>
      </c>
      <c r="L2919" t="inlineStr">
        <is>
          <t>BRAVO, Công Nợ, Fast, Logistics, Misa</t>
        </is>
      </c>
      <c r="M2919" t="inlineStr">
        <is>
          <t>Bonus, Healthcare Plan, Paid Leave, Training, Others</t>
        </is>
      </c>
      <c r="N2919" s="8">
        <f>HYPERLINK("https://www.vietnamworks.com/ke-toan-noi-bo-logistics-2013567-jv","Xem chi tiết")</f>
        <v/>
      </c>
    </row>
    <row r="2920">
      <c r="B2920" s="9" t="n">
        <v>2918</v>
      </c>
      <c r="C2920" s="10" t="inlineStr">
        <is>
          <t>Cán Bộ Kỹ Thuật Ép Nosew</t>
        </is>
      </c>
      <c r="D2920" s="10" t="inlineStr">
        <is>
          <t>CÔNG TY TNHH THƯƠNG MẠI DỊCH VỤ TRUNG TÍN ĐẠI PHÁT</t>
        </is>
      </c>
      <c r="E2920" s="10" t="inlineStr">
        <is>
          <t>Thương lượng</t>
        </is>
      </c>
      <c r="F2920" s="10" t="inlineStr">
        <is>
          <t>Hồ Chí Minh</t>
        </is>
      </c>
      <c r="G2920" s="10" t="inlineStr">
        <is>
          <t>Nhân viên</t>
        </is>
      </c>
      <c r="H2920" s="10" t="inlineStr">
        <is>
          <t>25/02/2026</t>
        </is>
      </c>
      <c r="I2920" s="10" t="inlineStr">
        <is>
          <t>27/03/2026</t>
        </is>
      </c>
      <c r="J2920" s="10" t="inlineStr">
        <is>
          <t>17/03/2026</t>
        </is>
      </c>
      <c r="K2920" s="10" t="inlineStr">
        <is>
          <t>N/A</t>
        </is>
      </c>
      <c r="L2920" s="10" t="inlineStr">
        <is>
          <t>Vận Hành Máy Ép, Tính Thông Số Kỹ Thuật, Phát Hiện Sự Cố Kỹ Thuật, Bảo Trì Máy, Làm Việc Chịu Áp Lực Cao</t>
        </is>
      </c>
      <c r="M2920" s="10" t="inlineStr">
        <is>
          <t>Healthcare Plan, Training, Others</t>
        </is>
      </c>
      <c r="N2920" s="11">
        <f>HYPERLINK("https://www.vietnamworks.com/can-bo-ky-thuat-ep-nosew-2013555-jv","Xem chi tiết")</f>
        <v/>
      </c>
      <c r="O2920" s="10" t="n"/>
    </row>
    <row r="2921">
      <c r="B2921" s="7" t="n">
        <v>2919</v>
      </c>
      <c r="C2921" t="inlineStr">
        <is>
          <t>Quản Lý Phòng Sản Xuất - Thành thạo Tiếng Nhật/ Tiếng Anh</t>
        </is>
      </c>
      <c r="D2921" t="inlineStr">
        <is>
          <t>Công Ty TNHH Điện Tử Meiko Việt Nam (MKVC)</t>
        </is>
      </c>
      <c r="E2921" t="inlineStr">
        <is>
          <t>Thương lượng</t>
        </is>
      </c>
      <c r="F2921" t="inlineStr">
        <is>
          <t>Hà Nội</t>
        </is>
      </c>
      <c r="G2921" t="inlineStr">
        <is>
          <t>Trưởng phòng</t>
        </is>
      </c>
      <c r="H2921" t="inlineStr">
        <is>
          <t>25/02/2026</t>
        </is>
      </c>
      <c r="I2921" t="inlineStr">
        <is>
          <t>27/03/2026</t>
        </is>
      </c>
      <c r="J2921" t="inlineStr">
        <is>
          <t>17/03/2026</t>
        </is>
      </c>
      <c r="K2921" t="inlineStr">
        <is>
          <t>N/A</t>
        </is>
      </c>
      <c r="L2921" t="inlineStr">
        <is>
          <t>IATF 16949:2016, ISO 14001, Quản Lý Sản Xuất, Tiếng Nhật N1, Tư Duy Cải Tiến</t>
        </is>
      </c>
      <c r="M2921" t="inlineStr">
        <is>
          <t>Healthcare Plan, Paid Leave, Training, Transportation, Others</t>
        </is>
      </c>
      <c r="N2921" s="8">
        <f>HYPERLINK("https://www.vietnamworks.com/quan-ly-phong-san-xuat-thanh-thao-tieng-nhat-tieng-anh-2013562-jv","Xem chi tiết")</f>
        <v/>
      </c>
    </row>
    <row r="2922">
      <c r="B2922" s="9" t="n">
        <v>2920</v>
      </c>
      <c r="C2922" s="10" t="inlineStr">
        <is>
          <t>Garment Merchandiser (Nhân Viên Merchandiser Ngành May Mặc)</t>
        </is>
      </c>
      <c r="D2922" s="10" t="inlineStr">
        <is>
          <t>Công Ty TNHH Sheico Việt Nam</t>
        </is>
      </c>
      <c r="E2922" s="10" t="inlineStr">
        <is>
          <t>Thương lượng</t>
        </is>
      </c>
      <c r="F2922" s="10" t="inlineStr">
        <is>
          <t>Hồ Chí Minh</t>
        </is>
      </c>
      <c r="G2922" s="10" t="inlineStr">
        <is>
          <t>Nhân viên</t>
        </is>
      </c>
      <c r="H2922" s="10" t="inlineStr">
        <is>
          <t>25/02/2026</t>
        </is>
      </c>
      <c r="I2922" s="10" t="inlineStr">
        <is>
          <t>27/03/2026</t>
        </is>
      </c>
      <c r="J2922" s="10" t="inlineStr">
        <is>
          <t>17/03/2026</t>
        </is>
      </c>
      <c r="K2922" s="10" t="inlineStr">
        <is>
          <t>N/A</t>
        </is>
      </c>
      <c r="L2922" s="10" t="inlineStr">
        <is>
          <t>Costing, English, Merchandising, Product Development, Production Supervisor</t>
        </is>
      </c>
      <c r="M2922" s="10" t="inlineStr">
        <is>
          <t>Others</t>
        </is>
      </c>
      <c r="N2922" s="11">
        <f>HYPERLINK("https://www.vietnamworks.com/garment-merchandiser-nhan-vien-merchandiser-nganh-may-mac-2013561-jv","Xem chi tiết")</f>
        <v/>
      </c>
      <c r="O2922" s="10" t="n"/>
    </row>
    <row r="2923">
      <c r="B2923" s="7" t="n">
        <v>2921</v>
      </c>
      <c r="C2923" t="inlineStr">
        <is>
          <t>Accounts Receivable Supervisor</t>
        </is>
      </c>
      <c r="D2923" t="inlineStr">
        <is>
          <t>Heritage LINE Co., Ltd</t>
        </is>
      </c>
      <c r="E2923" t="inlineStr">
        <is>
          <t>Thương lượng</t>
        </is>
      </c>
      <c r="F2923" t="inlineStr">
        <is>
          <t>Hồ Chí Minh</t>
        </is>
      </c>
      <c r="G2923" t="inlineStr">
        <is>
          <t>Nhân viên</t>
        </is>
      </c>
      <c r="H2923" t="inlineStr">
        <is>
          <t>25/02/2026</t>
        </is>
      </c>
      <c r="I2923" t="inlineStr">
        <is>
          <t>27/03/2026</t>
        </is>
      </c>
      <c r="J2923" t="inlineStr">
        <is>
          <t>17/03/2026</t>
        </is>
      </c>
      <c r="K2923" t="inlineStr">
        <is>
          <t>N/A</t>
        </is>
      </c>
      <c r="L2923" t="inlineStr">
        <is>
          <t>Accounting, English Communication, Finance, Spreadsheet, Team Management</t>
        </is>
      </c>
      <c r="M2923" t="inlineStr">
        <is>
          <t>Healthcare Plan, Paid Leave</t>
        </is>
      </c>
      <c r="N2923" s="8">
        <f>HYPERLINK("https://www.vietnamworks.com/accounts-receivable-supervisor-2013564-jv","Xem chi tiết")</f>
        <v/>
      </c>
    </row>
    <row r="2924">
      <c r="B2924" s="9" t="n">
        <v>2922</v>
      </c>
      <c r="C2924" s="10" t="inlineStr">
        <is>
          <t>Chuyên Viên Tuân Thủ Thuế - Phòng Kế Toán</t>
        </is>
      </c>
      <c r="D2924" s="10" t="inlineStr">
        <is>
          <t>Công Ty TNHH Điện Tử Meiko Việt Nam (MKVC)</t>
        </is>
      </c>
      <c r="E2924" s="10" t="inlineStr">
        <is>
          <t>Thương lượng</t>
        </is>
      </c>
      <c r="F2924" s="10" t="inlineStr">
        <is>
          <t>Hà Nội</t>
        </is>
      </c>
      <c r="G2924" s="10" t="inlineStr">
        <is>
          <t>Nhân viên</t>
        </is>
      </c>
      <c r="H2924" s="10" t="inlineStr">
        <is>
          <t>25/02/2026</t>
        </is>
      </c>
      <c r="I2924" s="10" t="inlineStr">
        <is>
          <t>27/03/2026</t>
        </is>
      </c>
      <c r="J2924" s="10" t="inlineStr">
        <is>
          <t>17/03/2026</t>
        </is>
      </c>
      <c r="K2924" s="10" t="inlineStr">
        <is>
          <t>N/A</t>
        </is>
      </c>
      <c r="L2924" s="10" t="inlineStr">
        <is>
          <t>Kế Toán, Phân Tích Rủi Ro, Thống Kê Excel, Thuế, Tư Duy Cải Tiến</t>
        </is>
      </c>
      <c r="M2924" s="10" t="inlineStr">
        <is>
          <t>Healthcare Plan, Paid Leave, Training, Transportation, Others</t>
        </is>
      </c>
      <c r="N2924" s="11">
        <f>HYPERLINK("https://www.vietnamworks.com/chuyen-vien-tuan-thu-thue-phong-ke-toan-2013575-jv","Xem chi tiết")</f>
        <v/>
      </c>
      <c r="O2924" s="10" t="n"/>
    </row>
    <row r="2925">
      <c r="B2925" s="7" t="n">
        <v>2923</v>
      </c>
      <c r="C2925" t="inlineStr">
        <is>
          <t>[Vĩnh Phúc] Export Sales Executive (Nhân Viên Bán Hàng Xuất Khẩu)</t>
        </is>
      </c>
      <c r="D2925" t="inlineStr">
        <is>
          <t>Công Ty Cổ Phần Prime Group</t>
        </is>
      </c>
      <c r="E2925" t="inlineStr">
        <is>
          <t>$$ 400-800 /tháng</t>
        </is>
      </c>
      <c r="F2925" t="inlineStr">
        <is>
          <t>Hà Nội, Vĩnh Phúc</t>
        </is>
      </c>
      <c r="G2925" t="inlineStr">
        <is>
          <t>Nhân viên</t>
        </is>
      </c>
      <c r="H2925" t="inlineStr">
        <is>
          <t>25/02/2026</t>
        </is>
      </c>
      <c r="I2925" t="inlineStr">
        <is>
          <t>27/03/2026</t>
        </is>
      </c>
      <c r="J2925" t="inlineStr">
        <is>
          <t>17/03/2026</t>
        </is>
      </c>
      <c r="K2925" t="inlineStr">
        <is>
          <t>N/A</t>
        </is>
      </c>
      <c r="L2925" t="inlineStr">
        <is>
          <t>Sales Export, International Economics, Export Import, Freight Forwarding Sales, Export Sales</t>
        </is>
      </c>
      <c r="M2925" t="inlineStr">
        <is>
          <t>Bonus, Training, Canteen</t>
        </is>
      </c>
      <c r="N2925" s="8">
        <f>HYPERLINK("https://www.vietnamworks.com/vinh-phuc-export-sales-executive-nhan-vien-ban-hang-xuat-khau--2013577-jv","Xem chi tiết")</f>
        <v/>
      </c>
    </row>
    <row r="2926">
      <c r="B2926" s="9" t="n">
        <v>2924</v>
      </c>
      <c r="C2926" s="10" t="inlineStr">
        <is>
          <t>Pattern Maker (Chuyên viên Thiết kế Mẫu - Rập)</t>
        </is>
      </c>
      <c r="D2926" s="10" t="inlineStr">
        <is>
          <t>Công Ty TNHH Sheico Việt Nam</t>
        </is>
      </c>
      <c r="E2926" s="10" t="inlineStr">
        <is>
          <t>Thương lượng</t>
        </is>
      </c>
      <c r="F2926" s="10" t="inlineStr">
        <is>
          <t>Hồ Chí Minh</t>
        </is>
      </c>
      <c r="G2926" s="10" t="inlineStr">
        <is>
          <t>Nhân viên</t>
        </is>
      </c>
      <c r="H2926" s="10" t="inlineStr">
        <is>
          <t>25/02/2026</t>
        </is>
      </c>
      <c r="I2926" s="10" t="inlineStr">
        <is>
          <t>27/03/2026</t>
        </is>
      </c>
      <c r="J2926" s="10" t="inlineStr">
        <is>
          <t>17/03/2026</t>
        </is>
      </c>
      <c r="K2926" s="10" t="inlineStr">
        <is>
          <t>N/A</t>
        </is>
      </c>
      <c r="L2926" s="10" t="inlineStr">
        <is>
          <t>Garment Construction, Gerber CAD System, Microsoft Office, Pattern Making, Sewing Techniques</t>
        </is>
      </c>
      <c r="M2926" s="10" t="inlineStr">
        <is>
          <t>Others</t>
        </is>
      </c>
      <c r="N2926" s="11">
        <f>HYPERLINK("https://www.vietnamworks.com/pattern-maker-chuyen-vien-thiet-ke-mau-rap-2013569-jv","Xem chi tiết")</f>
        <v/>
      </c>
      <c r="O2926" s="10" t="n"/>
    </row>
    <row r="2927">
      <c r="B2927" s="7" t="n">
        <v>2925</v>
      </c>
      <c r="C2927" t="inlineStr">
        <is>
          <t>Nhân Viên Kinh Doanh Thương Mại Quốc Tế</t>
        </is>
      </c>
      <c r="D2927" t="inlineStr">
        <is>
          <t>CÔNG TY TNHH JIN JUMBO METAL GIFTS</t>
        </is>
      </c>
      <c r="E2927" t="inlineStr">
        <is>
          <t>Từ 30tr ₫/tháng</t>
        </is>
      </c>
      <c r="F2927" t="inlineStr">
        <is>
          <t>Hồ Chí Minh</t>
        </is>
      </c>
      <c r="G2927" t="inlineStr">
        <is>
          <t>Nhân viên</t>
        </is>
      </c>
      <c r="H2927" t="inlineStr">
        <is>
          <t>25/02/2026</t>
        </is>
      </c>
      <c r="I2927" t="inlineStr">
        <is>
          <t>27/03/2026</t>
        </is>
      </c>
      <c r="J2927" t="inlineStr">
        <is>
          <t>17/03/2026</t>
        </is>
      </c>
      <c r="K2927" t="inlineStr">
        <is>
          <t>N/A</t>
        </is>
      </c>
      <c r="L2927" t="inlineStr">
        <is>
          <t>Tiếng Trung, Tiếng Anh, Quản Trị Hệ Thống ERP, Thương Mại Quốc Tế, Nhân viên kinh doanh</t>
        </is>
      </c>
      <c r="M2927" t="inlineStr">
        <is>
          <t>Bonus, Healthcare Plan</t>
        </is>
      </c>
      <c r="N2927" s="8">
        <f>HYPERLINK("https://www.vietnamworks.com/nhan-vien-kinh-doanh-thuong-mai-quoc-te-2013570-jv","Xem chi tiết")</f>
        <v/>
      </c>
    </row>
    <row r="2928">
      <c r="B2928" s="9" t="n">
        <v>2926</v>
      </c>
      <c r="C2928" s="10" t="inlineStr">
        <is>
          <t>Chuyên Viên Thẩm Định Bảo Hiểm Cấp Cao – Tài Sản &amp; Kỹ Thuật (Senior Underwriter – Property &amp; Engineering)</t>
        </is>
      </c>
      <c r="D2928" s="10" t="inlineStr">
        <is>
          <t>QBE Insurance (Vietnam) Ltd</t>
        </is>
      </c>
      <c r="E2928" s="10" t="inlineStr">
        <is>
          <t>Thương lượng</t>
        </is>
      </c>
      <c r="F2928" s="10" t="inlineStr">
        <is>
          <t>Hồ Chí Minh</t>
        </is>
      </c>
      <c r="G2928" s="10" t="inlineStr">
        <is>
          <t>Nhân viên</t>
        </is>
      </c>
      <c r="H2928" s="10" t="inlineStr">
        <is>
          <t>25/02/2026</t>
        </is>
      </c>
      <c r="I2928" s="10" t="inlineStr">
        <is>
          <t>27/03/2026</t>
        </is>
      </c>
      <c r="J2928" s="10" t="inlineStr">
        <is>
          <t>17/03/2026</t>
        </is>
      </c>
      <c r="K2928" s="10" t="inlineStr">
        <is>
          <t>N/A</t>
        </is>
      </c>
      <c r="L2928" s="10" t="inlineStr">
        <is>
          <t>Insurance, Insurance Underwriting, Underwriting</t>
        </is>
      </c>
      <c r="M2928" s="10" t="inlineStr">
        <is>
          <t>Bonus, Healthcare Plan, Others</t>
        </is>
      </c>
      <c r="N2928" s="11">
        <f>HYPERLINK("https://www.vietnamworks.com/chuyen-vien-tham-dinh-bao-hiem-cap-cao-tai-san-ky-thuat-senior-underwriter-property-engineering-2013579-jv","Xem chi tiết")</f>
        <v/>
      </c>
      <c r="O2928" s="10" t="n"/>
    </row>
    <row r="2929">
      <c r="B2929" s="7" t="n">
        <v>2927</v>
      </c>
      <c r="C2929" t="inlineStr">
        <is>
          <t>Chuyên Viên Thẩm Định Bảo Hiểm Cấp Cao – An Ninh Mạng (Senior Underwriter – Cyber)</t>
        </is>
      </c>
      <c r="D2929" t="inlineStr">
        <is>
          <t>QBE Insurance (Vietnam) Ltd</t>
        </is>
      </c>
      <c r="E2929" t="inlineStr">
        <is>
          <t>Thương lượng</t>
        </is>
      </c>
      <c r="F2929" t="inlineStr">
        <is>
          <t>Hồ Chí Minh</t>
        </is>
      </c>
      <c r="G2929" t="inlineStr">
        <is>
          <t>Nhân viên</t>
        </is>
      </c>
      <c r="H2929" t="inlineStr">
        <is>
          <t>25/02/2026</t>
        </is>
      </c>
      <c r="I2929" t="inlineStr">
        <is>
          <t>27/03/2026</t>
        </is>
      </c>
      <c r="J2929" t="inlineStr">
        <is>
          <t>17/03/2026</t>
        </is>
      </c>
      <c r="K2929" t="inlineStr">
        <is>
          <t>N/A</t>
        </is>
      </c>
      <c r="L2929" t="inlineStr">
        <is>
          <t>Insurance Underwriting, Underwriting, Underwriting &amp; Claims, Underwriting Analytics, Underwriting Management</t>
        </is>
      </c>
      <c r="M2929" t="inlineStr">
        <is>
          <t>Bonus, Healthcare Plan, Others</t>
        </is>
      </c>
      <c r="N2929" s="8">
        <f>HYPERLINK("https://www.vietnamworks.com/chuyen-vien-tham-dinh-bao-hiem-cap-cao-an-ninh-mang-senior-underwriter-cyber-2013584-jv","Xem chi tiết")</f>
        <v/>
      </c>
    </row>
    <row r="2930">
      <c r="B2930" s="9" t="n">
        <v>2928</v>
      </c>
      <c r="C2930" s="10" t="inlineStr">
        <is>
          <t>Promotion Assistant (MKT support)</t>
        </is>
      </c>
      <c r="D2930" s="10" t="inlineStr">
        <is>
          <t>Công Ty TNHH Hankol Healthcare Vina</t>
        </is>
      </c>
      <c r="E2930" s="10" t="inlineStr">
        <is>
          <t>Thương lượng</t>
        </is>
      </c>
      <c r="F2930" s="10" t="inlineStr">
        <is>
          <t>Hồ Chí Minh</t>
        </is>
      </c>
      <c r="G2930" s="10" t="inlineStr">
        <is>
          <t>Nhân viên</t>
        </is>
      </c>
      <c r="H2930" s="10" t="inlineStr">
        <is>
          <t>25/02/2026</t>
        </is>
      </c>
      <c r="I2930" s="10" t="inlineStr">
        <is>
          <t>27/03/2026</t>
        </is>
      </c>
      <c r="J2930" s="10" t="inlineStr">
        <is>
          <t>17/03/2026</t>
        </is>
      </c>
      <c r="K2930" s="10" t="inlineStr">
        <is>
          <t>N/A</t>
        </is>
      </c>
      <c r="L2930" s="10" t="inlineStr">
        <is>
          <t>MS Office, Communication Skills, marketing coordination, Marketing Support, Reporting</t>
        </is>
      </c>
      <c r="M2930" s="10" t="inlineStr">
        <is>
          <t>Bonus, Healthcare Plan, Others</t>
        </is>
      </c>
      <c r="N2930" s="11">
        <f>HYPERLINK("https://www.vietnamworks.com/promotion-assistant-mkt-support-2013582-jv","Xem chi tiết")</f>
        <v/>
      </c>
      <c r="O2930" s="10" t="n"/>
    </row>
    <row r="2931">
      <c r="B2931" s="7" t="n">
        <v>2929</v>
      </c>
      <c r="C2931" t="inlineStr">
        <is>
          <t>Nhân Viên Hành Chính kiêm Kế Toán Nội Bộ</t>
        </is>
      </c>
      <c r="D2931" t="inlineStr">
        <is>
          <t>Công ty TNHH Xây Dựng và Vận Tải Phú An Phát</t>
        </is>
      </c>
      <c r="E2931" t="inlineStr">
        <is>
          <t>Thương lượng</t>
        </is>
      </c>
      <c r="F2931" t="inlineStr">
        <is>
          <t>Hồ Chí Minh</t>
        </is>
      </c>
      <c r="G2931" t="inlineStr">
        <is>
          <t>Nhân viên</t>
        </is>
      </c>
      <c r="H2931" t="inlineStr">
        <is>
          <t>25/02/2026</t>
        </is>
      </c>
      <c r="I2931" t="inlineStr">
        <is>
          <t>27/03/2026</t>
        </is>
      </c>
      <c r="J2931" t="inlineStr">
        <is>
          <t>17/03/2026</t>
        </is>
      </c>
      <c r="K2931" t="inlineStr">
        <is>
          <t>N/A</t>
        </is>
      </c>
      <c r="L2931" t="inlineStr">
        <is>
          <t>Hành Chính Nhân Sự, Kế Toán, Human Resources, Accounting, Thuế</t>
        </is>
      </c>
      <c r="M2931" t="inlineStr">
        <is>
          <t>Bonus, Healthcare Plan, Travel Opportunities, Others</t>
        </is>
      </c>
      <c r="N2931" s="8">
        <f>HYPERLINK("https://www.vietnamworks.com/nhan-vien-hanh-chinh-kiem-ke-toan-noi-bo--2013590-jv","Xem chi tiết")</f>
        <v/>
      </c>
    </row>
    <row r="2932">
      <c r="B2932" s="9" t="n">
        <v>2930</v>
      </c>
      <c r="C2932" s="10" t="inlineStr">
        <is>
          <t>Chuyên Viên Kiểm Soát Thiết Kế Kiến Trúc</t>
        </is>
      </c>
      <c r="D2932" s="10" t="inlineStr">
        <is>
          <t>Tập đoàn Hateco</t>
        </is>
      </c>
      <c r="E2932" s="10" t="inlineStr">
        <is>
          <t>$$ 1,000-1,500 /tháng</t>
        </is>
      </c>
      <c r="F2932" s="10" t="inlineStr">
        <is>
          <t>Hà Nội</t>
        </is>
      </c>
      <c r="G2932" s="10" t="inlineStr">
        <is>
          <t>Nhân viên</t>
        </is>
      </c>
      <c r="H2932" s="10" t="inlineStr">
        <is>
          <t>25/02/2026</t>
        </is>
      </c>
      <c r="I2932" s="10" t="inlineStr">
        <is>
          <t>27/03/2026</t>
        </is>
      </c>
      <c r="J2932" s="10" t="inlineStr">
        <is>
          <t>17/03/2026</t>
        </is>
      </c>
      <c r="K2932" s="10" t="inlineStr">
        <is>
          <t>N/A</t>
        </is>
      </c>
      <c r="L2932" s="10" t="inlineStr">
        <is>
          <t>Xây Dựng, Kiếm Soát Thiết Kế, Thiết Kế Kiến Trúc, Kiến Trúc Xây Dựng, Architectural Design Review</t>
        </is>
      </c>
      <c r="M2932" s="10" t="inlineStr">
        <is>
          <t>Bonus, Team Activities, Canteen</t>
        </is>
      </c>
      <c r="N2932" s="11">
        <f>HYPERLINK("https://www.vietnamworks.com/chuyen-vien-kiem-soat-thiet-ke-kien-truc--2013578-jv","Xem chi tiết")</f>
        <v/>
      </c>
      <c r="O2932" s="10" t="n"/>
    </row>
    <row r="2933">
      <c r="B2933" s="7" t="n">
        <v>2931</v>
      </c>
      <c r="C2933" t="inlineStr">
        <is>
          <t>Backend Developer</t>
        </is>
      </c>
      <c r="D2933" t="inlineStr">
        <is>
          <t>Igarment (Vietnam) Co., Ltd.</t>
        </is>
      </c>
      <c r="E2933" t="inlineStr">
        <is>
          <t>Thương lượng</t>
        </is>
      </c>
      <c r="F2933" t="inlineStr">
        <is>
          <t>Hồ Chí Minh</t>
        </is>
      </c>
      <c r="G2933" t="inlineStr">
        <is>
          <t>Nhân viên</t>
        </is>
      </c>
      <c r="H2933" t="inlineStr">
        <is>
          <t>25/02/2026</t>
        </is>
      </c>
      <c r="I2933" t="inlineStr">
        <is>
          <t>27/03/2026</t>
        </is>
      </c>
      <c r="J2933" t="inlineStr">
        <is>
          <t>17/03/2026</t>
        </is>
      </c>
      <c r="K2933" t="inlineStr">
        <is>
          <t>N/A</t>
        </is>
      </c>
      <c r="L2933" t="inlineStr">
        <is>
          <t>Python, Java, Django, MySQL</t>
        </is>
      </c>
      <c r="M2933" t="inlineStr">
        <is>
          <t>Bonus</t>
        </is>
      </c>
      <c r="N2933" s="8">
        <f>HYPERLINK("https://www.vietnamworks.com/backend-developer--2013581-jv","Xem chi tiết")</f>
        <v/>
      </c>
    </row>
    <row r="2934">
      <c r="B2934" s="9" t="n">
        <v>2932</v>
      </c>
      <c r="C2934" s="10" t="inlineStr">
        <is>
          <t>Facility Technician</t>
        </is>
      </c>
      <c r="D2934" s="10" t="inlineStr">
        <is>
          <t>Hella Vietnam</t>
        </is>
      </c>
      <c r="E2934" s="10" t="inlineStr">
        <is>
          <t>Thương lượng</t>
        </is>
      </c>
      <c r="F2934" s="10" t="inlineStr">
        <is>
          <t>Hồ Chí Minh</t>
        </is>
      </c>
      <c r="G2934" s="10" t="inlineStr">
        <is>
          <t>Nhân viên</t>
        </is>
      </c>
      <c r="H2934" s="10" t="inlineStr">
        <is>
          <t>25/02/2026</t>
        </is>
      </c>
      <c r="I2934" s="10" t="inlineStr">
        <is>
          <t>27/03/2026</t>
        </is>
      </c>
      <c r="J2934" s="10" t="inlineStr">
        <is>
          <t>17/03/2026</t>
        </is>
      </c>
      <c r="K2934" s="10" t="inlineStr">
        <is>
          <t>N/A</t>
        </is>
      </c>
      <c r="L2934" s="10" t="inlineStr">
        <is>
          <t>Electronic Technician, Facility Maintenance, Ehs Specialist, An toàn - Sức khỏe - Môi trường, Quản lý cơ sở vật chất</t>
        </is>
      </c>
      <c r="M2934" s="10" t="inlineStr">
        <is>
          <t>Bonus, Healthcare Plan, Training, Mobile, Team Activities, Others</t>
        </is>
      </c>
      <c r="N2934" s="11">
        <f>HYPERLINK("https://www.vietnamworks.com/facility-technician-2013588-jv","Xem chi tiết")</f>
        <v/>
      </c>
      <c r="O2934" s="10" t="n"/>
    </row>
    <row r="2935">
      <c r="B2935" s="7" t="n">
        <v>2933</v>
      </c>
      <c r="C2935" t="inlineStr">
        <is>
          <t>Chuyên Viên Thiết Kế Bao Bì</t>
        </is>
      </c>
      <c r="D2935" t="inlineStr">
        <is>
          <t>CÔNG TY TNHH SẢN XUẤT THƯƠNG MẠI VÀ XNK KIM LONG</t>
        </is>
      </c>
      <c r="E2935" t="inlineStr">
        <is>
          <t>Thương lượng</t>
        </is>
      </c>
      <c r="F2935" t="inlineStr">
        <is>
          <t>Hà Nội</t>
        </is>
      </c>
      <c r="G2935" t="inlineStr">
        <is>
          <t>Nhân viên</t>
        </is>
      </c>
      <c r="H2935" t="inlineStr">
        <is>
          <t>25/02/2026</t>
        </is>
      </c>
      <c r="I2935" t="inlineStr">
        <is>
          <t>27/03/2026</t>
        </is>
      </c>
      <c r="J2935" t="inlineStr">
        <is>
          <t>17/03/2026</t>
        </is>
      </c>
      <c r="K2935" t="inlineStr">
        <is>
          <t>N/A</t>
        </is>
      </c>
      <c r="L2935" t="inlineStr">
        <is>
          <t>Adobe Illustrator, Graphic Design, Indesign, Photoshop, Thiết Kế Bao Bì</t>
        </is>
      </c>
      <c r="M2935" t="inlineStr">
        <is>
          <t>Healthcare Plan, Training, Travel Opportunities, Team Activities, Others</t>
        </is>
      </c>
      <c r="N2935" s="8">
        <f>HYPERLINK("https://www.vietnamworks.com/chuyen-vien-thiet-ke-bao-bi-2013599-jv","Xem chi tiết")</f>
        <v/>
      </c>
    </row>
    <row r="2936">
      <c r="B2936" s="9" t="n">
        <v>2934</v>
      </c>
      <c r="C2936" s="10" t="inlineStr">
        <is>
          <t>Senior Demand Planner</t>
        </is>
      </c>
      <c r="D2936" s="10" t="inlineStr">
        <is>
          <t>Bel</t>
        </is>
      </c>
      <c r="E2936" s="10" t="inlineStr">
        <is>
          <t>Thương lượng</t>
        </is>
      </c>
      <c r="F2936" s="10" t="inlineStr">
        <is>
          <t>Hồ Chí Minh</t>
        </is>
      </c>
      <c r="G2936" s="10" t="inlineStr">
        <is>
          <t>Nhân viên</t>
        </is>
      </c>
      <c r="H2936" s="10" t="inlineStr">
        <is>
          <t>25/02/2026</t>
        </is>
      </c>
      <c r="I2936" s="10" t="inlineStr">
        <is>
          <t>27/03/2026</t>
        </is>
      </c>
      <c r="J2936" s="10" t="inlineStr">
        <is>
          <t>17/03/2026</t>
        </is>
      </c>
      <c r="K2936" s="10" t="inlineStr">
        <is>
          <t>N/A</t>
        </is>
      </c>
      <c r="L2936" s="10" t="inlineStr">
        <is>
          <t>Supply Chain Management, Forecasting, Data Analysis, Power BI, Communication</t>
        </is>
      </c>
      <c r="M2936" s="10" t="inlineStr">
        <is>
          <t>Bonus, Healthcare Plan, Paid Leave</t>
        </is>
      </c>
      <c r="N2936" s="11">
        <f>HYPERLINK("https://www.vietnamworks.com/senior-demand-planner-2013594-jv","Xem chi tiết")</f>
        <v/>
      </c>
      <c r="O2936" s="10" t="n"/>
    </row>
    <row r="2937">
      <c r="B2937" s="7" t="n">
        <v>2935</v>
      </c>
      <c r="C2937" t="inlineStr">
        <is>
          <t>Nhân Viên Kinh Doanh Quốc Tế - Sales International</t>
        </is>
      </c>
      <c r="D2937" t="inlineStr">
        <is>
          <t>Công Ty TNHH Viet Fiber</t>
        </is>
      </c>
      <c r="E2937" t="inlineStr">
        <is>
          <t>Thương lượng</t>
        </is>
      </c>
      <c r="F2937" t="inlineStr">
        <is>
          <t>Tây Ninh, Hồ Chí Minh, Long An</t>
        </is>
      </c>
      <c r="G2937" t="inlineStr">
        <is>
          <t>Nhân viên</t>
        </is>
      </c>
      <c r="H2937" t="inlineStr">
        <is>
          <t>25/02/2026</t>
        </is>
      </c>
      <c r="I2937" t="inlineStr">
        <is>
          <t>27/03/2026</t>
        </is>
      </c>
      <c r="J2937" t="inlineStr">
        <is>
          <t>17/03/2026</t>
        </is>
      </c>
      <c r="K2937" t="inlineStr">
        <is>
          <t>N/A</t>
        </is>
      </c>
      <c r="L2937" t="inlineStr">
        <is>
          <t>Business Administration, Marketing Development, Sales, Finding Customers, Market Evaluation</t>
        </is>
      </c>
      <c r="M2937" t="inlineStr">
        <is>
          <t>Training, Travel Opportunities, Others</t>
        </is>
      </c>
      <c r="N2937" s="8">
        <f>HYPERLINK("https://www.vietnamworks.com/nhan-vien-kinh-doanh-quoc-te-sales-international-2013583-jv","Xem chi tiết")</f>
        <v/>
      </c>
    </row>
    <row r="2938">
      <c r="B2938" s="9" t="n">
        <v>2936</v>
      </c>
      <c r="C2938" s="10" t="inlineStr">
        <is>
          <t>OEM Assistant</t>
        </is>
      </c>
      <c r="D2938" s="10" t="inlineStr">
        <is>
          <t>Công Ty TNHH Hankol Healthcare Vina</t>
        </is>
      </c>
      <c r="E2938" s="10" t="inlineStr">
        <is>
          <t>Thương lượng</t>
        </is>
      </c>
      <c r="F2938" s="10" t="inlineStr">
        <is>
          <t>Hồ Chí Minh</t>
        </is>
      </c>
      <c r="G2938" s="10" t="inlineStr">
        <is>
          <t>Nhân viên</t>
        </is>
      </c>
      <c r="H2938" s="10" t="inlineStr">
        <is>
          <t>25/02/2026</t>
        </is>
      </c>
      <c r="I2938" s="10" t="inlineStr">
        <is>
          <t>27/03/2026</t>
        </is>
      </c>
      <c r="J2938" s="10" t="inlineStr">
        <is>
          <t>17/03/2026</t>
        </is>
      </c>
      <c r="K2938" s="10" t="inlineStr">
        <is>
          <t>N/A</t>
        </is>
      </c>
      <c r="L2938" s="10" t="inlineStr">
        <is>
          <t>Accounting Transactions, Invoice Issuance, MS Office, Receivable Accounting, Revenue Reporting</t>
        </is>
      </c>
      <c r="M2938" s="10" t="inlineStr">
        <is>
          <t>Bonus, Healthcare Plan, Others</t>
        </is>
      </c>
      <c r="N2938" s="11">
        <f>HYPERLINK("https://www.vietnamworks.com/oem-assistant-2013580-jv","Xem chi tiết")</f>
        <v/>
      </c>
      <c r="O2938" s="10" t="n"/>
    </row>
    <row r="2939">
      <c r="B2939" s="7" t="n">
        <v>2937</v>
      </c>
      <c r="C2939" t="inlineStr">
        <is>
          <t>Nhân Viên Kinh Doanh Thiết Bị Phân Tích (Sales Techincal)</t>
        </is>
      </c>
      <c r="D2939" t="inlineStr">
        <is>
          <t>Trung Son TSSE Joint Stock Company</t>
        </is>
      </c>
      <c r="E2939" t="inlineStr">
        <is>
          <t>Thương lượng</t>
        </is>
      </c>
      <c r="F2939" t="inlineStr">
        <is>
          <t>Cần Thơ, Hà Nội</t>
        </is>
      </c>
      <c r="G2939" t="inlineStr">
        <is>
          <t>Nhân viên</t>
        </is>
      </c>
      <c r="H2939" t="inlineStr">
        <is>
          <t>25/02/2026</t>
        </is>
      </c>
      <c r="I2939" t="inlineStr">
        <is>
          <t>27/03/2026</t>
        </is>
      </c>
      <c r="J2939" t="inlineStr">
        <is>
          <t>17/03/2026</t>
        </is>
      </c>
      <c r="K2939" t="inlineStr">
        <is>
          <t>N/A</t>
        </is>
      </c>
      <c r="L2939" t="inlineStr">
        <is>
          <t>Hóa Học, Công Nghệ Hóa Học, Hóa Phân Tích, Bán hàng, Kinh Doanh</t>
        </is>
      </c>
      <c r="M2939" t="inlineStr">
        <is>
          <t>Bonus, Healthcare Plan, Training, Others</t>
        </is>
      </c>
      <c r="N2939" s="8">
        <f>HYPERLINK("https://www.vietnamworks.com/nhan-vien-kinh-doanh-thiet-bi-phan-tich-sales-techincal-2013592-jv","Xem chi tiết")</f>
        <v/>
      </c>
    </row>
    <row r="2940">
      <c r="B2940" s="9" t="n">
        <v>2938</v>
      </c>
      <c r="C2940" s="10" t="inlineStr">
        <is>
          <t>Nhân Viên Kế Toán Thuế</t>
        </is>
      </c>
      <c r="D2940" s="10" t="inlineStr">
        <is>
          <t>Công Ty Cổ Phần Prosi Thăng LONG</t>
        </is>
      </c>
      <c r="E2940" s="10" t="inlineStr">
        <is>
          <t>13tr-15tr ₫/tháng</t>
        </is>
      </c>
      <c r="F2940" s="10" t="inlineStr">
        <is>
          <t>Hà Nội</t>
        </is>
      </c>
      <c r="G2940" s="10" t="inlineStr">
        <is>
          <t>Nhân viên</t>
        </is>
      </c>
      <c r="H2940" s="10" t="inlineStr">
        <is>
          <t>25/02/2026</t>
        </is>
      </c>
      <c r="I2940" s="10" t="inlineStr">
        <is>
          <t>27/03/2026</t>
        </is>
      </c>
      <c r="J2940" s="10" t="inlineStr">
        <is>
          <t>17/03/2026</t>
        </is>
      </c>
      <c r="K2940" s="10" t="inlineStr">
        <is>
          <t>N/A</t>
        </is>
      </c>
      <c r="L2940" s="10" t="inlineStr">
        <is>
          <t>Kiểm Tra Số Liệu, Báo Cáo Công Nợ, Tax Accounting, Hệ Thống Thuế, Thuế</t>
        </is>
      </c>
      <c r="M2940" s="10" t="inlineStr">
        <is>
          <t>Bonus, Healthcare Plan, Others</t>
        </is>
      </c>
      <c r="N2940" s="11">
        <f>HYPERLINK("https://www.vietnamworks.com/nhan-vien-ke-toan-thue--2013595-jv","Xem chi tiết")</f>
        <v/>
      </c>
      <c r="O2940" s="10" t="n"/>
    </row>
    <row r="2941">
      <c r="B2941" s="7" t="n">
        <v>2939</v>
      </c>
      <c r="C2941" t="inlineStr">
        <is>
          <t>Sample Planner</t>
        </is>
      </c>
      <c r="D2941" t="inlineStr">
        <is>
          <t>VIETNAM HOUSEWARES CORP</t>
        </is>
      </c>
      <c r="E2941" t="inlineStr">
        <is>
          <t>Thương lượng</t>
        </is>
      </c>
      <c r="F2941" t="inlineStr">
        <is>
          <t>Bình Dương, Hồ Chí Minh</t>
        </is>
      </c>
      <c r="G2941" t="inlineStr">
        <is>
          <t>Nhân viên</t>
        </is>
      </c>
      <c r="H2941" t="inlineStr">
        <is>
          <t>25/02/2026</t>
        </is>
      </c>
      <c r="I2941" t="inlineStr">
        <is>
          <t>27/03/2026</t>
        </is>
      </c>
      <c r="J2941" t="inlineStr">
        <is>
          <t>17/03/2026</t>
        </is>
      </c>
      <c r="K2941" t="inlineStr">
        <is>
          <t>N/A</t>
        </is>
      </c>
      <c r="L2941" t="inlineStr">
        <is>
          <t>Materials Planning, Production Management, Production Planning, Quản Lý Chuỗi Cung Ứng, Supply Chain Management</t>
        </is>
      </c>
      <c r="M2941" t="inlineStr">
        <is>
          <t>Bonus, Healthcare Plan, Paid Leave, Training, Laptop, Transportation, Others</t>
        </is>
      </c>
      <c r="N2941" s="8">
        <f>HYPERLINK("https://www.vietnamworks.com/sample-planner-2013600-jv","Xem chi tiết")</f>
        <v/>
      </c>
    </row>
    <row r="2942">
      <c r="B2942" s="9" t="n">
        <v>2940</v>
      </c>
      <c r="C2942" s="10" t="inlineStr">
        <is>
          <t>Trưởng Phòng Thương Mại Điện Tử (Ecommerce Manager)</t>
        </is>
      </c>
      <c r="D2942" s="10" t="inlineStr">
        <is>
          <t>Công Ty Cổ Phần Thương Mại Dịch Vụ Sản Xuất Thái Bình Dương</t>
        </is>
      </c>
      <c r="E2942" s="10" t="inlineStr">
        <is>
          <t>Thương lượng</t>
        </is>
      </c>
      <c r="F2942" s="10" t="inlineStr">
        <is>
          <t>Hồ Chí Minh</t>
        </is>
      </c>
      <c r="G2942" s="10" t="inlineStr">
        <is>
          <t>Trưởng phòng</t>
        </is>
      </c>
      <c r="H2942" s="10" t="inlineStr">
        <is>
          <t>25/02/2026</t>
        </is>
      </c>
      <c r="I2942" s="10" t="inlineStr">
        <is>
          <t>27/03/2026</t>
        </is>
      </c>
      <c r="J2942" s="10" t="inlineStr">
        <is>
          <t>17/03/2026</t>
        </is>
      </c>
      <c r="K2942" s="10" t="inlineStr">
        <is>
          <t>N/A</t>
        </is>
      </c>
      <c r="L2942" s="10" t="inlineStr">
        <is>
          <t>Thương Mại Điện Tử, Kinh Tế, Marketing Development, Phân tích dữ liệu, Giao Tiếp Tiếng Anh</t>
        </is>
      </c>
      <c r="M2942" s="10" t="inlineStr">
        <is>
          <t>Bonus, Healthcare Plan, Training, Travel Opportunities, Others</t>
        </is>
      </c>
      <c r="N2942" s="11">
        <f>HYPERLINK("https://www.vietnamworks.com/truong-phong-thuong-mai-dien-tu-ecommerce-manager--2013601-jv","Xem chi tiết")</f>
        <v/>
      </c>
      <c r="O2942" s="10" t="n"/>
    </row>
    <row r="2943">
      <c r="B2943" s="7" t="n">
        <v>2941</v>
      </c>
      <c r="C2943" t="inlineStr">
        <is>
          <t>Sales Manager for Shipping Line in Ho Chi Minh</t>
        </is>
      </c>
      <c r="D2943" t="inlineStr">
        <is>
          <t>CÔNG TY TNHH S5 ASIA</t>
        </is>
      </c>
      <c r="E2943" t="inlineStr">
        <is>
          <t>Thương lượng</t>
        </is>
      </c>
      <c r="F2943" t="inlineStr">
        <is>
          <t>Hồ Chí Minh</t>
        </is>
      </c>
      <c r="G2943" t="inlineStr">
        <is>
          <t>Trưởng phòng</t>
        </is>
      </c>
      <c r="H2943" t="inlineStr">
        <is>
          <t>25/02/2026</t>
        </is>
      </c>
      <c r="I2943" t="inlineStr">
        <is>
          <t>27/03/2026</t>
        </is>
      </c>
      <c r="J2943" t="inlineStr">
        <is>
          <t>17/03/2026</t>
        </is>
      </c>
      <c r="K2943" t="inlineStr">
        <is>
          <t>N/A</t>
        </is>
      </c>
      <c r="L2943" t="inlineStr">
        <is>
          <t>Account Management, Leadership, English Communication, Container Shipping, Customer Service</t>
        </is>
      </c>
      <c r="M2943" t="inlineStr">
        <is>
          <t>Others</t>
        </is>
      </c>
      <c r="N2943" s="8">
        <f>HYPERLINK("https://www.vietnamworks.com/sales-manager-for-shipping-line-in-ho-chi-minh-2013585-jv","Xem chi tiết")</f>
        <v/>
      </c>
    </row>
    <row r="2944">
      <c r="B2944" s="9" t="n">
        <v>2942</v>
      </c>
      <c r="C2944" s="10" t="inlineStr">
        <is>
          <t>[Hà Nội] Pull Sales Executive</t>
        </is>
      </c>
      <c r="D2944" s="10" t="inlineStr">
        <is>
          <t>Công ty TNHH công nghiệp Vĩnh Tường miền bắc Việt Nam</t>
        </is>
      </c>
      <c r="E2944" s="10" t="inlineStr">
        <is>
          <t>Thương lượng</t>
        </is>
      </c>
      <c r="F2944" s="10" t="inlineStr">
        <is>
          <t>Hà Nội</t>
        </is>
      </c>
      <c r="G2944" s="10" t="inlineStr">
        <is>
          <t>Nhân viên</t>
        </is>
      </c>
      <c r="H2944" s="10" t="inlineStr">
        <is>
          <t>25/02/2026</t>
        </is>
      </c>
      <c r="I2944" s="10" t="inlineStr">
        <is>
          <t>27/03/2026</t>
        </is>
      </c>
      <c r="J2944" s="10" t="inlineStr">
        <is>
          <t>17/03/2026</t>
        </is>
      </c>
      <c r="K2944" s="10" t="inlineStr">
        <is>
          <t>N/A</t>
        </is>
      </c>
      <c r="L2944" s="10" t="inlineStr">
        <is>
          <t>Kinh Doanh, Bán Lẻ, Sale Thị Trường</t>
        </is>
      </c>
      <c r="M2944" s="10" t="inlineStr">
        <is>
          <t>Healthcare Plan, Training, Laptop</t>
        </is>
      </c>
      <c r="N2944" s="11">
        <f>HYPERLINK("https://www.vietnamworks.com/ha-noi-pull-sales-executive-2013598-jv","Xem chi tiết")</f>
        <v/>
      </c>
      <c r="O2944" s="10" t="n"/>
    </row>
    <row r="2945">
      <c r="B2945" s="7" t="n">
        <v>2943</v>
      </c>
      <c r="C2945" t="inlineStr">
        <is>
          <t>(Senior) Product Development Specialist – Unsecured Credit Products</t>
        </is>
      </c>
      <c r="D2945" t="inlineStr">
        <is>
          <t>Trusting Social</t>
        </is>
      </c>
      <c r="E2945" t="inlineStr">
        <is>
          <t>Thương lượng</t>
        </is>
      </c>
      <c r="F2945" t="inlineStr">
        <is>
          <t>Hồ Chí Minh</t>
        </is>
      </c>
      <c r="G2945" t="inlineStr">
        <is>
          <t>Nhân viên</t>
        </is>
      </c>
      <c r="H2945" t="inlineStr">
        <is>
          <t>25/02/2026</t>
        </is>
      </c>
      <c r="I2945" t="inlineStr">
        <is>
          <t>27/03/2026</t>
        </is>
      </c>
      <c r="J2945" t="inlineStr">
        <is>
          <t>17/03/2026</t>
        </is>
      </c>
      <c r="K2945" t="inlineStr">
        <is>
          <t>N/A</t>
        </is>
      </c>
      <c r="L2945" t="inlineStr">
        <is>
          <t>Collaboration, Data Analysis, Problem Solving, Product Development, SQL</t>
        </is>
      </c>
      <c r="M2945" t="inlineStr">
        <is>
          <t>Bonus, Healthcare Plan, Paid Leave, Team Activities, Canteen, Others</t>
        </is>
      </c>
      <c r="N2945" s="8">
        <f>HYPERLINK("https://www.vietnamworks.com/-senior-product-development-specialist-unsecured-credit-products-2013586-jv","Xem chi tiết")</f>
        <v/>
      </c>
    </row>
    <row r="2946">
      <c r="B2946" s="9" t="n">
        <v>2944</v>
      </c>
      <c r="C2946" s="10" t="inlineStr">
        <is>
          <t>Chuyên Viên Cao Cấp CSKH Doanh Nghiệp 24/7</t>
        </is>
      </c>
      <c r="D2946" s="10" t="inlineStr">
        <is>
          <t>Công ty Cổ phần Thanh toán số Mobifone</t>
        </is>
      </c>
      <c r="E2946" s="10" t="inlineStr">
        <is>
          <t>Thương lượng</t>
        </is>
      </c>
      <c r="F2946" s="10" t="inlineStr">
        <is>
          <t>Hà Nội</t>
        </is>
      </c>
      <c r="G2946" s="10" t="inlineStr">
        <is>
          <t>Nhân viên</t>
        </is>
      </c>
      <c r="H2946" s="10" t="inlineStr">
        <is>
          <t>25/02/2026</t>
        </is>
      </c>
      <c r="I2946" s="10" t="inlineStr">
        <is>
          <t>27/03/2026</t>
        </is>
      </c>
      <c r="J2946" s="10" t="inlineStr">
        <is>
          <t>17/03/2026</t>
        </is>
      </c>
      <c r="K2946" s="10" t="inlineStr">
        <is>
          <t>N/A</t>
        </is>
      </c>
      <c r="L2946" s="10" t="inlineStr">
        <is>
          <t>Chăm Sóc Khách Hàng, Hỗ Trợ Khách Hàng, Hỗ Trợ Kỹ Thuật, Khách Hàng Doanh Nghiệp, Quản Lý Hotline</t>
        </is>
      </c>
      <c r="M2946" s="10" t="inlineStr">
        <is>
          <t>Bonus, Paid Leave, Canteen</t>
        </is>
      </c>
      <c r="N2946" s="11">
        <f>HYPERLINK("https://www.vietnamworks.com/chuyen-vien-cao-cap-cskh-doanh-nghiep-247-2013589-jv","Xem chi tiết")</f>
        <v/>
      </c>
      <c r="O2946" s="10" t="n"/>
    </row>
    <row r="2947">
      <c r="B2947" s="7" t="n">
        <v>2945</v>
      </c>
      <c r="C2947" t="inlineStr">
        <is>
          <t>Nhân Viên Tự Động Hóa</t>
        </is>
      </c>
      <c r="D2947" t="inlineStr">
        <is>
          <t>Công Ty Cổ Phần Dược Phẩm Vĩnh Phúc</t>
        </is>
      </c>
      <c r="E2947" t="inlineStr">
        <is>
          <t>Thương lượng</t>
        </is>
      </c>
      <c r="F2947" t="inlineStr">
        <is>
          <t>Vĩnh Phúc</t>
        </is>
      </c>
      <c r="G2947" t="inlineStr">
        <is>
          <t>Nhân viên</t>
        </is>
      </c>
      <c r="H2947" t="inlineStr">
        <is>
          <t>25/02/2026</t>
        </is>
      </c>
      <c r="I2947" t="inlineStr">
        <is>
          <t>27/03/2026</t>
        </is>
      </c>
      <c r="J2947" t="inlineStr">
        <is>
          <t>17/03/2026</t>
        </is>
      </c>
      <c r="K2947" t="inlineStr">
        <is>
          <t>N/A</t>
        </is>
      </c>
      <c r="L2947" t="inlineStr">
        <is>
          <t>Tự Động Hóa, Cơ Điện Tử, Cơ Khí</t>
        </is>
      </c>
      <c r="M2947" t="inlineStr">
        <is>
          <t>Bonus, Healthcare Plan, Travel Opportunities</t>
        </is>
      </c>
      <c r="N2947" s="8">
        <f>HYPERLINK("https://www.vietnamworks.com/nhan-vien-tu-dong-hoa--2013602-jv","Xem chi tiết")</f>
        <v/>
      </c>
    </row>
    <row r="2948">
      <c r="B2948" s="9" t="n">
        <v>2946</v>
      </c>
      <c r="C2948" s="10" t="inlineStr">
        <is>
          <t>Tuyển Dụng Trình Dược Viên Cấp Cao</t>
        </is>
      </c>
      <c r="D2948" s="10" t="inlineStr">
        <is>
          <t>Gedeon Richter Plc</t>
        </is>
      </c>
      <c r="E2948" s="10" t="inlineStr">
        <is>
          <t>Thương lượng</t>
        </is>
      </c>
      <c r="F2948" s="10" t="inlineStr">
        <is>
          <t>Thái Nguyên</t>
        </is>
      </c>
      <c r="G2948" s="10" t="inlineStr">
        <is>
          <t>Nhân viên</t>
        </is>
      </c>
      <c r="H2948" s="10" t="inlineStr">
        <is>
          <t>25/02/2026</t>
        </is>
      </c>
      <c r="I2948" s="10" t="inlineStr">
        <is>
          <t>27/03/2026</t>
        </is>
      </c>
      <c r="J2948" s="10" t="inlineStr">
        <is>
          <t>17/03/2026</t>
        </is>
      </c>
      <c r="K2948" s="10" t="inlineStr">
        <is>
          <t>N/A</t>
        </is>
      </c>
      <c r="L2948" s="10" t="inlineStr">
        <is>
          <t>Pharmacy, Dược, Medical Affairs, Medical Representative, Pharmacist</t>
        </is>
      </c>
      <c r="M2948" s="10" t="inlineStr">
        <is>
          <t>Others</t>
        </is>
      </c>
      <c r="N2948" s="11">
        <f>HYPERLINK("https://www.vietnamworks.com/tuyen-dung-trinh-duoc-vien-cap-cao-2013605-jv","Xem chi tiết")</f>
        <v/>
      </c>
      <c r="O2948" s="10" t="n"/>
    </row>
    <row r="2949">
      <c r="B2949" s="7" t="n">
        <v>2947</v>
      </c>
      <c r="C2949" t="inlineStr">
        <is>
          <t>Kế Toán Trưởng – Chủ Đầu Tư Bất Động Sản</t>
        </is>
      </c>
      <c r="D2949" t="inlineStr">
        <is>
          <t>Công ty Cổ phần Đầu Tư Bảo Hưng</t>
        </is>
      </c>
      <c r="E2949" t="inlineStr">
        <is>
          <t>$$ 1,000-1,500 /tháng</t>
        </is>
      </c>
      <c r="F2949" t="inlineStr">
        <is>
          <t>Hưng Yên</t>
        </is>
      </c>
      <c r="G2949" t="inlineStr">
        <is>
          <t>Nhân viên</t>
        </is>
      </c>
      <c r="H2949" t="inlineStr">
        <is>
          <t>25/02/2026</t>
        </is>
      </c>
      <c r="I2949" t="inlineStr">
        <is>
          <t>27/03/2026</t>
        </is>
      </c>
      <c r="J2949" t="inlineStr">
        <is>
          <t>17/03/2026</t>
        </is>
      </c>
      <c r="K2949" t="inlineStr">
        <is>
          <t>N/A</t>
        </is>
      </c>
      <c r="L2949" t="inlineStr">
        <is>
          <t>Giao Tiếp, Kiểm Soát Rủi Ro, Phân Tích Tài Chính, Quản Lý Kế Toán, Quản Lý Tài Chính</t>
        </is>
      </c>
      <c r="M2949" t="inlineStr">
        <is>
          <t>Bonus, Healthcare Plan, Others</t>
        </is>
      </c>
      <c r="N2949" s="8">
        <f>HYPERLINK("https://www.vietnamworks.com/ke-toan-truong-chu-djau-tu-bat-djong-san-2013607-jv","Xem chi tiết")</f>
        <v/>
      </c>
    </row>
    <row r="2950">
      <c r="B2950" s="9" t="n">
        <v>2948</v>
      </c>
      <c r="C2950" s="10" t="inlineStr">
        <is>
          <t>Nhân Viên Thu Mua (Tiếng Hàn Topik 4)</t>
        </is>
      </c>
      <c r="D2950" s="10" t="inlineStr">
        <is>
          <t>Kumho Tire (Vietnam) Co., Ltd</t>
        </is>
      </c>
      <c r="E2950" s="10" t="inlineStr">
        <is>
          <t>Thương lượng</t>
        </is>
      </c>
      <c r="F2950" s="10" t="inlineStr">
        <is>
          <t>Bình Dương</t>
        </is>
      </c>
      <c r="G2950" s="10" t="inlineStr">
        <is>
          <t>Mới Tốt Nghiệp</t>
        </is>
      </c>
      <c r="H2950" s="10" t="inlineStr">
        <is>
          <t>25/02/2026</t>
        </is>
      </c>
      <c r="I2950" s="10" t="inlineStr">
        <is>
          <t>27/03/2026</t>
        </is>
      </c>
      <c r="J2950" s="10" t="inlineStr">
        <is>
          <t>17/03/2026</t>
        </is>
      </c>
      <c r="K2950" s="10" t="inlineStr">
        <is>
          <t>N/A</t>
        </is>
      </c>
      <c r="L2950" s="10" t="inlineStr">
        <is>
          <t>Tiếng Hàn Topik 4, Phiên Dịch Tiếng Hàn, Thông Thạo Tiếng Hàn, Tiếng Hàn, Tiếng Hàn Thành thạo</t>
        </is>
      </c>
      <c r="M2950" s="10" t="inlineStr">
        <is>
          <t>Bonus, Healthcare Plan, Paid Leave, Awards, Transportation, Canteen, Kindergarten, Others</t>
        </is>
      </c>
      <c r="N2950" s="11">
        <f>HYPERLINK("https://www.vietnamworks.com/nhan-vien-thu-mua-tieng-han-topik-4-2013612-jv","Xem chi tiết")</f>
        <v/>
      </c>
      <c r="O2950" s="10" t="n"/>
    </row>
    <row r="2951">
      <c r="B2951" s="7" t="n">
        <v>2949</v>
      </c>
      <c r="C2951" t="inlineStr">
        <is>
          <t>Kế Toán Trưởng</t>
        </is>
      </c>
      <c r="D2951" t="inlineStr">
        <is>
          <t>Công ty TNHH Everlastify</t>
        </is>
      </c>
      <c r="E2951" t="inlineStr">
        <is>
          <t>20tr-30tr ₫/tháng</t>
        </is>
      </c>
      <c r="F2951" t="inlineStr">
        <is>
          <t>Đà Nẵng</t>
        </is>
      </c>
      <c r="G2951" t="inlineStr">
        <is>
          <t>Trưởng phòng</t>
        </is>
      </c>
      <c r="H2951" t="inlineStr">
        <is>
          <t>25/02/2026</t>
        </is>
      </c>
      <c r="I2951" t="inlineStr">
        <is>
          <t>27/03/2026</t>
        </is>
      </c>
      <c r="J2951" t="inlineStr">
        <is>
          <t>17/03/2026</t>
        </is>
      </c>
      <c r="K2951" t="inlineStr">
        <is>
          <t>N/A</t>
        </is>
      </c>
      <c r="L2951" t="inlineStr">
        <is>
          <t>Giao Tiếp, Kế Toán, Kiểm Toán, Phân Tích Số Liệu, Tài Chính</t>
        </is>
      </c>
      <c r="M2951" t="inlineStr">
        <is>
          <t>Bonus, Healthcare Plan, Training, Team Activities</t>
        </is>
      </c>
      <c r="N2951" s="8">
        <f>HYPERLINK("https://www.vietnamworks.com/ke-toan-truong-2013614-jv","Xem chi tiết")</f>
        <v/>
      </c>
    </row>
    <row r="2952">
      <c r="B2952" s="9" t="n">
        <v>2950</v>
      </c>
      <c r="C2952" s="10" t="inlineStr">
        <is>
          <t>Sales Executive (Construction / Elevators / High-End Projects) Swift Home Lifts (Hanoi)</t>
        </is>
      </c>
      <c r="D2952" s="10" t="inlineStr">
        <is>
          <t>SWIFT Home Lifts Vietnam Co., Ltd</t>
        </is>
      </c>
      <c r="E2952" s="10" t="inlineStr">
        <is>
          <t>20tr-23tr ₫/tháng</t>
        </is>
      </c>
      <c r="F2952" s="10" t="inlineStr">
        <is>
          <t>Hà Nội</t>
        </is>
      </c>
      <c r="G2952" s="10" t="inlineStr">
        <is>
          <t>Nhân viên</t>
        </is>
      </c>
      <c r="H2952" s="10" t="inlineStr">
        <is>
          <t>25/02/2026</t>
        </is>
      </c>
      <c r="I2952" s="10" t="inlineStr">
        <is>
          <t>27/03/2026</t>
        </is>
      </c>
      <c r="J2952" s="10" t="inlineStr">
        <is>
          <t>17/03/2026</t>
        </is>
      </c>
      <c r="K2952" s="10" t="inlineStr">
        <is>
          <t>N/A</t>
        </is>
      </c>
      <c r="L2952" s="10" t="inlineStr">
        <is>
          <t>Sales, Business Development, Negotiation Skills, B2B Development, Construction Project</t>
        </is>
      </c>
      <c r="M2952" s="10" t="inlineStr">
        <is>
          <t>Bonus, Others</t>
        </is>
      </c>
      <c r="N2952" s="11">
        <f>HYPERLINK("https://www.vietnamworks.com/sales-executive-construction-elevators-high-end-projects-swift-home-lifts-hanoi-2013622-jv","Xem chi tiết")</f>
        <v/>
      </c>
      <c r="O2952" s="10" t="n"/>
    </row>
    <row r="2953">
      <c r="B2953" s="7" t="n">
        <v>2951</v>
      </c>
      <c r="C2953" t="inlineStr">
        <is>
          <t>Data Analyst Executive</t>
        </is>
      </c>
      <c r="D2953" t="inlineStr">
        <is>
          <t>Hanoi Toronto School</t>
        </is>
      </c>
      <c r="E2953" t="inlineStr">
        <is>
          <t>Thương lượng</t>
        </is>
      </c>
      <c r="F2953" t="inlineStr">
        <is>
          <t>Hà Nội</t>
        </is>
      </c>
      <c r="G2953" t="inlineStr">
        <is>
          <t>Nhân viên</t>
        </is>
      </c>
      <c r="H2953" t="inlineStr">
        <is>
          <t>25/02/2026</t>
        </is>
      </c>
      <c r="I2953" t="inlineStr">
        <is>
          <t>27/03/2026</t>
        </is>
      </c>
      <c r="J2953" t="inlineStr">
        <is>
          <t>17/03/2026</t>
        </is>
      </c>
      <c r="K2953" t="inlineStr">
        <is>
          <t>N/A</t>
        </is>
      </c>
      <c r="L2953" t="inlineStr">
        <is>
          <t>Communication, Data Management, MS Excel, SQL, Technical Support</t>
        </is>
      </c>
      <c r="M2953" t="inlineStr">
        <is>
          <t>Bonus, Healthcare Plan, Paid Leave, Training, Laptop, Canteen</t>
        </is>
      </c>
      <c r="N2953" s="8">
        <f>HYPERLINK("https://www.vietnamworks.com/data-analyst-executive-2013611-jv","Xem chi tiết")</f>
        <v/>
      </c>
    </row>
    <row r="2954">
      <c r="B2954" s="9" t="n">
        <v>2952</v>
      </c>
      <c r="C2954" s="10" t="inlineStr">
        <is>
          <t>[Thanh Hóa] Area Sales Executive</t>
        </is>
      </c>
      <c r="D2954" s="10" t="inlineStr">
        <is>
          <t>Công ty TNHH công nghiệp Vĩnh Tường miền bắc Việt Nam</t>
        </is>
      </c>
      <c r="E2954" s="10" t="inlineStr">
        <is>
          <t>Thương lượng</t>
        </is>
      </c>
      <c r="F2954" s="10" t="inlineStr">
        <is>
          <t>Thanh Hóa</t>
        </is>
      </c>
      <c r="G2954" s="10" t="inlineStr">
        <is>
          <t>Nhân viên</t>
        </is>
      </c>
      <c r="H2954" s="10" t="inlineStr">
        <is>
          <t>25/02/2026</t>
        </is>
      </c>
      <c r="I2954" s="10" t="inlineStr">
        <is>
          <t>27/03/2026</t>
        </is>
      </c>
      <c r="J2954" s="10" t="inlineStr">
        <is>
          <t>17/03/2026</t>
        </is>
      </c>
      <c r="K2954" s="10" t="inlineStr">
        <is>
          <t>N/A</t>
        </is>
      </c>
      <c r="L2954" s="10" t="inlineStr">
        <is>
          <t>Kinh Doanh, Bán Lẻ, Mở rộng &amp; phát triển thị trường, Phát Triển Kênh Phân Phối, Kinh Nghiệm Vật Liệu Xây Dựng</t>
        </is>
      </c>
      <c r="M2954" s="10" t="inlineStr">
        <is>
          <t>Healthcare Plan, Training, Laptop</t>
        </is>
      </c>
      <c r="N2954" s="11">
        <f>HYPERLINK("https://www.vietnamworks.com/thanh-hoa-area-sales-executive--2013610-jv","Xem chi tiết")</f>
        <v/>
      </c>
      <c r="O2954" s="10" t="n"/>
    </row>
    <row r="2955">
      <c r="B2955" s="7" t="n">
        <v>2953</v>
      </c>
      <c r="C2955" t="inlineStr">
        <is>
          <t>Chuyên Viên Đăng Ký Công Bố Sản Phẩm (Ưu Tiên Biết Tiếng Trung)</t>
        </is>
      </c>
      <c r="D2955" t="inlineStr">
        <is>
          <t>CÔNG TY TNHH SẢN XUẤT THƯƠNG MẠI VÀ XNK KIM LONG</t>
        </is>
      </c>
      <c r="E2955" t="inlineStr">
        <is>
          <t>Thương lượng</t>
        </is>
      </c>
      <c r="F2955" t="inlineStr">
        <is>
          <t>Hà Nội</t>
        </is>
      </c>
      <c r="G2955" t="inlineStr">
        <is>
          <t>Nhân viên</t>
        </is>
      </c>
      <c r="H2955" t="inlineStr">
        <is>
          <t>25/02/2026</t>
        </is>
      </c>
      <c r="I2955" t="inlineStr">
        <is>
          <t>27/03/2026</t>
        </is>
      </c>
      <c r="J2955" t="inlineStr">
        <is>
          <t>17/03/2026</t>
        </is>
      </c>
      <c r="K2955" t="inlineStr">
        <is>
          <t>N/A</t>
        </is>
      </c>
      <c r="L2955" t="inlineStr">
        <is>
          <t>Hoá Thực Phẩm, Luật Thực Phẩm, Regulatory Management, Tiếng Anh, Tiếng Trung</t>
        </is>
      </c>
      <c r="M2955" t="inlineStr">
        <is>
          <t>Healthcare Plan, Training, Travel Opportunities, Team Activities, Others</t>
        </is>
      </c>
      <c r="N2955" s="8">
        <f>HYPERLINK("https://www.vietnamworks.com/chuyen-vien-djang-ky-cong-bo-san-pham-uu-tien-biet-tieng-trung-2013603-jv","Xem chi tiết")</f>
        <v/>
      </c>
    </row>
    <row r="2956">
      <c r="B2956" s="9" t="n">
        <v>2954</v>
      </c>
      <c r="C2956" s="10" t="inlineStr">
        <is>
          <t>Chuyên Viên Pháp Chế</t>
        </is>
      </c>
      <c r="D2956" s="10" t="inlineStr">
        <is>
          <t>CÔNG TY TNHH SẢN XUẤT THƯƠNG MẠI VÀ XNK KIM LONG</t>
        </is>
      </c>
      <c r="E2956" s="10" t="inlineStr">
        <is>
          <t>Thương lượng</t>
        </is>
      </c>
      <c r="F2956" s="10" t="inlineStr">
        <is>
          <t>Hà Nội</t>
        </is>
      </c>
      <c r="G2956" s="10" t="inlineStr">
        <is>
          <t>Nhân viên</t>
        </is>
      </c>
      <c r="H2956" s="10" t="inlineStr">
        <is>
          <t>25/02/2026</t>
        </is>
      </c>
      <c r="I2956" s="10" t="inlineStr">
        <is>
          <t>27/03/2026</t>
        </is>
      </c>
      <c r="J2956" s="10" t="inlineStr">
        <is>
          <t>17/03/2026</t>
        </is>
      </c>
      <c r="K2956" s="10" t="inlineStr">
        <is>
          <t>N/A</t>
        </is>
      </c>
      <c r="L2956" s="10" t="inlineStr">
        <is>
          <t>Luật Thương Mại, Pháp Chế Doanh Nghiệp, Tư Vấn Luật</t>
        </is>
      </c>
      <c r="M2956" s="10" t="inlineStr">
        <is>
          <t>Bonus, Healthcare Plan, Travel Opportunities, Team Activities, Others</t>
        </is>
      </c>
      <c r="N2956" s="11">
        <f>HYPERLINK("https://www.vietnamworks.com/chuyen-vien-phap-che-2013606-jv","Xem chi tiết")</f>
        <v/>
      </c>
      <c r="O2956" s="10" t="n"/>
    </row>
    <row r="2957">
      <c r="B2957" s="7" t="n">
        <v>2955</v>
      </c>
      <c r="C2957" t="inlineStr">
        <is>
          <t>Assitant to Production Manager Work In LGG Textile, Lang Giang, Bac Giang</t>
        </is>
      </c>
      <c r="D2957" t="inlineStr">
        <is>
          <t>Bosideng Apparel I/E Co, Ltd Limited</t>
        </is>
      </c>
      <c r="E2957" t="inlineStr">
        <is>
          <t>Thương lượng</t>
        </is>
      </c>
      <c r="F2957" t="inlineStr">
        <is>
          <t>Bắc Giang</t>
        </is>
      </c>
      <c r="G2957" t="inlineStr">
        <is>
          <t>Nhân viên</t>
        </is>
      </c>
      <c r="H2957" t="inlineStr">
        <is>
          <t>25/02/2026</t>
        </is>
      </c>
      <c r="I2957" t="inlineStr">
        <is>
          <t>27/03/2026</t>
        </is>
      </c>
      <c r="J2957" t="inlineStr">
        <is>
          <t>17/03/2026</t>
        </is>
      </c>
      <c r="K2957" t="inlineStr">
        <is>
          <t>N/A</t>
        </is>
      </c>
      <c r="L2957" t="inlineStr">
        <is>
          <t>Maintenance, Production Operations Management, Production Planning, Production Reports, Textile Engineering</t>
        </is>
      </c>
      <c r="M2957" t="inlineStr">
        <is>
          <t>Bonus, Healthcare Plan, Team Activities, Others</t>
        </is>
      </c>
      <c r="N2957" s="8">
        <f>HYPERLINK("https://www.vietnamworks.com/assitant-to-production-manager-work-in-lgg-textile-lang-giang-bac-giang-2013629-jv","Xem chi tiết")</f>
        <v/>
      </c>
    </row>
    <row r="2958">
      <c r="B2958" s="9" t="n">
        <v>2956</v>
      </c>
      <c r="C2958" s="10" t="inlineStr">
        <is>
          <t>Nhân Viên Xuất Nhập Khẩu</t>
        </is>
      </c>
      <c r="D2958" s="10" t="inlineStr">
        <is>
          <t>Thygesen Textile Vietnam</t>
        </is>
      </c>
      <c r="E2958" s="10" t="inlineStr">
        <is>
          <t>12tr-16tr ₫/tháng</t>
        </is>
      </c>
      <c r="F2958" s="10" t="inlineStr">
        <is>
          <t>Hà Nội</t>
        </is>
      </c>
      <c r="G2958" s="10" t="inlineStr">
        <is>
          <t>Nhân viên</t>
        </is>
      </c>
      <c r="H2958" s="10" t="inlineStr">
        <is>
          <t>25/02/2026</t>
        </is>
      </c>
      <c r="I2958" s="10" t="inlineStr">
        <is>
          <t>27/03/2026</t>
        </is>
      </c>
      <c r="J2958" s="10" t="inlineStr">
        <is>
          <t>17/03/2026</t>
        </is>
      </c>
      <c r="K2958" s="10" t="inlineStr">
        <is>
          <t>N/A</t>
        </is>
      </c>
      <c r="L2958" s="10" t="inlineStr">
        <is>
          <t>Nhập Xuất Hàng Hóa, Quản Lý Đơn Hàng, Quản Trị Tài Chính, Vận Chuyển, Xuất Nhập Khẩu Hàng Hóa</t>
        </is>
      </c>
      <c r="M2958" s="10" t="inlineStr">
        <is>
          <t>Bonus, Healthcare Plan, Training, Laptop, Travel Opportunities, Canteen</t>
        </is>
      </c>
      <c r="N2958" s="11">
        <f>HYPERLINK("https://www.vietnamworks.com/nhan-vien-xuat-nhap-khau-2013604-jv","Xem chi tiết")</f>
        <v/>
      </c>
      <c r="O2958" s="10" t="n"/>
    </row>
    <row r="2959">
      <c r="B2959" s="7" t="n">
        <v>2957</v>
      </c>
      <c r="C2959" t="inlineStr">
        <is>
          <t>Senior Brand Advocacy &amp; Content Specialist</t>
        </is>
      </c>
      <c r="D2959" t="inlineStr">
        <is>
          <t>Công Ty Cổ Phần Sữa Việt Nam (Vinamilk)</t>
        </is>
      </c>
      <c r="E2959" t="inlineStr">
        <is>
          <t>Thương lượng</t>
        </is>
      </c>
      <c r="F2959" t="inlineStr">
        <is>
          <t>Hồ Chí Minh</t>
        </is>
      </c>
      <c r="G2959" t="inlineStr">
        <is>
          <t>Nhân viên</t>
        </is>
      </c>
      <c r="H2959" t="inlineStr">
        <is>
          <t>25/02/2026</t>
        </is>
      </c>
      <c r="I2959" t="inlineStr">
        <is>
          <t>27/03/2026</t>
        </is>
      </c>
      <c r="J2959" t="inlineStr">
        <is>
          <t>17/03/2026</t>
        </is>
      </c>
      <c r="K2959" t="inlineStr">
        <is>
          <t>N/A</t>
        </is>
      </c>
      <c r="L2959" t="inlineStr">
        <is>
          <t>social media, Forum Seeding, Crisis Management, Brand Monitoring</t>
        </is>
      </c>
      <c r="M2959" t="inlineStr">
        <is>
          <t>Bonus, Healthcare Plan, Training</t>
        </is>
      </c>
      <c r="N2959" s="8">
        <f>HYPERLINK("https://www.vietnamworks.com/senior-brand-advocacy-content-specialist--2013618-jv","Xem chi tiết")</f>
        <v/>
      </c>
    </row>
    <row r="2960">
      <c r="B2960" s="9" t="n">
        <v>2958</v>
      </c>
      <c r="C2960" s="10" t="inlineStr">
        <is>
          <t>Chủ Quản Sản Xuất( Trưởng Phòng Sản Xuất) Biết Tiếng Trung ( Production Manager 生产管理/ Giám Sát Sản Xuất)</t>
        </is>
      </c>
      <c r="D2960" s="10" t="inlineStr">
        <is>
          <t>Công Ty TNHH Providence Enterprise (Việt Nam)</t>
        </is>
      </c>
      <c r="E2960" s="10" t="inlineStr">
        <is>
          <t>Thương lượng</t>
        </is>
      </c>
      <c r="F2960" s="10" t="inlineStr">
        <is>
          <t>Hải Phòng</t>
        </is>
      </c>
      <c r="G2960" s="10" t="inlineStr">
        <is>
          <t>Trưởng phòng</t>
        </is>
      </c>
      <c r="H2960" s="10" t="inlineStr">
        <is>
          <t>25/02/2026</t>
        </is>
      </c>
      <c r="I2960" s="10" t="inlineStr">
        <is>
          <t>27/03/2026</t>
        </is>
      </c>
      <c r="J2960" s="10" t="inlineStr">
        <is>
          <t>17/03/2026</t>
        </is>
      </c>
      <c r="K2960" s="10" t="inlineStr">
        <is>
          <t>N/A</t>
        </is>
      </c>
      <c r="L2960" s="10" t="inlineStr">
        <is>
          <t>Tiếng Trung, ISO, Chất Lượng Sản Phẩm, 5S</t>
        </is>
      </c>
      <c r="M2960" s="10" t="inlineStr">
        <is>
          <t>Bonus, Training, Awards</t>
        </is>
      </c>
      <c r="N2960" s="11">
        <f>HYPERLINK("https://www.vietnamworks.com/chu-quan-san-xuat-truong-phong-san-xuat-biet-tieng-trung-production-manager-chang-fa-lia-giam-sat-san-xuat-2013617-jv","Xem chi tiết")</f>
        <v/>
      </c>
      <c r="O2960" s="10" t="n"/>
    </row>
    <row r="2961">
      <c r="B2961" s="7" t="n">
        <v>2959</v>
      </c>
      <c r="C2961" t="inlineStr">
        <is>
          <t>Chuyên Viên Định Giá Tài Sản Tại Lâm Đồng (Làm Việc Tại VCB Đắk Nông)</t>
        </is>
      </c>
      <c r="D2961" t="inlineStr">
        <is>
          <t>Ngân Hàng TMCP Ngoại Thương Việt Nam - Vietcombank</t>
        </is>
      </c>
      <c r="E2961" t="inlineStr">
        <is>
          <t>Thương lượng</t>
        </is>
      </c>
      <c r="F2961" t="inlineStr">
        <is>
          <t>Lâm Đồng</t>
        </is>
      </c>
      <c r="G2961" t="inlineStr">
        <is>
          <t>Nhân viên</t>
        </is>
      </c>
      <c r="H2961" t="inlineStr">
        <is>
          <t>25/02/2026</t>
        </is>
      </c>
      <c r="I2961" t="inlineStr">
        <is>
          <t>27/03/2026</t>
        </is>
      </c>
      <c r="J2961" t="inlineStr">
        <is>
          <t>17/03/2026</t>
        </is>
      </c>
      <c r="K2961" t="inlineStr">
        <is>
          <t>N/A</t>
        </is>
      </c>
      <c r="L2961" t="inlineStr">
        <is>
          <t>Ngân hàng, Tài Chính, Thẩm Định Giá, Định Giá, Định Giá Tài Sản</t>
        </is>
      </c>
      <c r="M2961" t="inlineStr">
        <is>
          <t>Bonus</t>
        </is>
      </c>
      <c r="N2961" s="8">
        <f>HYPERLINK("https://www.vietnamworks.com/chuyen-vien-djinh-gia-tai-san-tai-lam-djong-lam-viec-tai-vcb-djak-nong-2013609-jv","Xem chi tiết")</f>
        <v/>
      </c>
    </row>
    <row r="2962">
      <c r="B2962" s="9" t="n">
        <v>2960</v>
      </c>
      <c r="C2962" s="10" t="inlineStr">
        <is>
          <t>[Hà Nội] Chuyên Gia/ Chuyên Viên Cao Cấp Tuyển Dụng (Yêu Cầu Kinh Nghiệm Ngân Hàng)</t>
        </is>
      </c>
      <c r="D2962" s="10" t="inlineStr">
        <is>
          <t>Ngân hàng Lộc Phát Việt Nam LPBank</t>
        </is>
      </c>
      <c r="E2962" s="10" t="inlineStr">
        <is>
          <t>Thương lượng</t>
        </is>
      </c>
      <c r="F2962" s="10" t="inlineStr">
        <is>
          <t>Hà Nội</t>
        </is>
      </c>
      <c r="G2962" s="10" t="inlineStr">
        <is>
          <t>Nhân viên</t>
        </is>
      </c>
      <c r="H2962" s="10" t="inlineStr">
        <is>
          <t>25/02/2026</t>
        </is>
      </c>
      <c r="I2962" s="10" t="inlineStr">
        <is>
          <t>27/03/2026</t>
        </is>
      </c>
      <c r="J2962" s="10" t="inlineStr">
        <is>
          <t>17/03/2026</t>
        </is>
      </c>
      <c r="K2962" s="10" t="inlineStr">
        <is>
          <t>N/A</t>
        </is>
      </c>
      <c r="L2962" s="10" t="inlineStr">
        <is>
          <t>Ngân hàng, Lập Kế Hoạch Tuyển Dụng, Quản Trị Nhân Lực, Tuyển Dụng, Đánh Giá Ứng Viên</t>
        </is>
      </c>
      <c r="M2962" s="10" t="inlineStr">
        <is>
          <t>Bonus, Healthcare Plan, Paid Leave, Laptop, Canteen, Others</t>
        </is>
      </c>
      <c r="N2962" s="11">
        <f>HYPERLINK("https://www.vietnamworks.com/ha-noi-chuyen-gia-chuyen-vien-cao-cap-tuyen-dung-yeu-cau-kinh-nghiem-ngan-hang-2013628-jv","Xem chi tiết")</f>
        <v/>
      </c>
      <c r="O2962" s="10" t="n"/>
    </row>
    <row r="2963">
      <c r="B2963" s="7" t="n">
        <v>2961</v>
      </c>
      <c r="C2963" t="inlineStr">
        <is>
          <t>Chuyên Viên C&amp;B</t>
        </is>
      </c>
      <c r="D2963" t="inlineStr">
        <is>
          <t>Công Ty TNHH Thương Mại Dịch Vụ Thanh Sinh</t>
        </is>
      </c>
      <c r="E2963" t="inlineStr">
        <is>
          <t>Thương lượng</t>
        </is>
      </c>
      <c r="F2963" t="inlineStr">
        <is>
          <t>Hồ Chí Minh</t>
        </is>
      </c>
      <c r="G2963" t="inlineStr">
        <is>
          <t>Nhân viên</t>
        </is>
      </c>
      <c r="H2963" t="inlineStr">
        <is>
          <t>25/02/2026</t>
        </is>
      </c>
      <c r="I2963" t="inlineStr">
        <is>
          <t>27/03/2026</t>
        </is>
      </c>
      <c r="J2963" t="inlineStr">
        <is>
          <t>17/03/2026</t>
        </is>
      </c>
      <c r="K2963" t="inlineStr">
        <is>
          <t>N/A</t>
        </is>
      </c>
      <c r="L2963" t="inlineStr">
        <is>
          <t>Chế độ phúc lợi, Compensation &amp; Benefits Management</t>
        </is>
      </c>
      <c r="M2963" t="inlineStr">
        <is>
          <t>Bonus, Healthcare Plan, Paid Leave, Team Activities, Others</t>
        </is>
      </c>
      <c r="N2963" s="8">
        <f>HYPERLINK("https://www.vietnamworks.com/chuyen-vien-candb-2013621-jv","Xem chi tiết")</f>
        <v/>
      </c>
    </row>
    <row r="2964">
      <c r="B2964" s="9" t="n">
        <v>2962</v>
      </c>
      <c r="C2964" s="10" t="inlineStr">
        <is>
          <t>IT Senior Executive</t>
        </is>
      </c>
      <c r="D2964" s="10" t="inlineStr">
        <is>
          <t>Vietnamworks' Client</t>
        </is>
      </c>
      <c r="E2964" s="10" t="inlineStr">
        <is>
          <t>$$ 700-1,000 /tháng</t>
        </is>
      </c>
      <c r="F2964" s="10" t="inlineStr">
        <is>
          <t>Hà Nội</t>
        </is>
      </c>
      <c r="G2964" s="10" t="inlineStr">
        <is>
          <t>Nhân viên</t>
        </is>
      </c>
      <c r="H2964" s="10" t="inlineStr">
        <is>
          <t>25/02/2026</t>
        </is>
      </c>
      <c r="I2964" s="10" t="inlineStr">
        <is>
          <t>27/03/2026</t>
        </is>
      </c>
      <c r="J2964" s="10" t="inlineStr">
        <is>
          <t>17/03/2026</t>
        </is>
      </c>
      <c r="K2964" s="10" t="inlineStr">
        <is>
          <t>N/A</t>
        </is>
      </c>
      <c r="L2964" s="10" t="inlineStr">
        <is>
          <t>Apple Products, Helpdesk Support, Network, Technical Support, Microsoft Certified Professional</t>
        </is>
      </c>
      <c r="M2964" s="10" t="inlineStr">
        <is>
          <t>Bonus, Healthcare Plan, Paid Leave, Library, Laptop, Team Activities, Canteen</t>
        </is>
      </c>
      <c r="N2964" s="11">
        <f>HYPERLINK("https://www.vietnamworks.com/it-senior-executive-2013626-jv","Xem chi tiết")</f>
        <v/>
      </c>
      <c r="O2964" s="10" t="n"/>
    </row>
    <row r="2965">
      <c r="B2965" s="7" t="n">
        <v>2963</v>
      </c>
      <c r="C2965" t="inlineStr">
        <is>
          <t>Nhân Viên/chuyên Viên Triển Khai Bản Vẽ 2D 2D Draftman</t>
        </is>
      </c>
      <c r="D2965" t="inlineStr">
        <is>
          <t>ADP - Công ty CP Nội thất cơ bản</t>
        </is>
      </c>
      <c r="E2965" t="inlineStr">
        <is>
          <t>Thương lượng</t>
        </is>
      </c>
      <c r="F2965" t="inlineStr">
        <is>
          <t>Hồ Chí Minh</t>
        </is>
      </c>
      <c r="G2965" t="inlineStr">
        <is>
          <t>Nhân viên</t>
        </is>
      </c>
      <c r="H2965" t="inlineStr">
        <is>
          <t>25/02/2026</t>
        </is>
      </c>
      <c r="I2965" t="inlineStr">
        <is>
          <t>27/03/2026</t>
        </is>
      </c>
      <c r="J2965" t="inlineStr">
        <is>
          <t>17/03/2026</t>
        </is>
      </c>
      <c r="K2965" t="inlineStr">
        <is>
          <t>N/A</t>
        </is>
      </c>
      <c r="L2965" t="inlineStr">
        <is>
          <t>Đọc Bản Vẽ Kỹ Thuật, Triển Khai Bản Vẽ 2D, Kiến Trúc Xây Dựng, Phối Cảnh 3D, Bóc Tách Bản Vẽ Chi Tiết</t>
        </is>
      </c>
      <c r="M2965" t="inlineStr">
        <is>
          <t>Bonus, Healthcare Plan, Awards</t>
        </is>
      </c>
      <c r="N2965" s="8">
        <f>HYPERLINK("https://www.vietnamworks.com/nhan-vien-chuyen-vien-trien-khai-ban-ve-2d-2d-draftman-2013619-jv","Xem chi tiết")</f>
        <v/>
      </c>
    </row>
    <row r="2966">
      <c r="B2966" s="9" t="n">
        <v>2964</v>
      </c>
      <c r="C2966" s="10" t="inlineStr">
        <is>
          <t>[Tuyển Gấp] Nhân Viên Kinh Doanh Kỹ Thuật (Thu Nhập Từ 30 - 40 Triệu Đồng)</t>
        </is>
      </c>
      <c r="D2966" s="10" t="inlineStr">
        <is>
          <t>Công Ty Cổ Phần Công Nghiệp Weldcom</t>
        </is>
      </c>
      <c r="E2966" s="10" t="inlineStr">
        <is>
          <t>12tr-17tr ₫/tháng</t>
        </is>
      </c>
      <c r="F2966" s="10" t="inlineStr">
        <is>
          <t>Hồ Chí Minh, Hà Nội, Hải Phòng</t>
        </is>
      </c>
      <c r="G2966" s="10" t="inlineStr">
        <is>
          <t>Nhân viên</t>
        </is>
      </c>
      <c r="H2966" s="10" t="inlineStr">
        <is>
          <t>25/02/2026</t>
        </is>
      </c>
      <c r="I2966" s="10" t="inlineStr">
        <is>
          <t>27/03/2026</t>
        </is>
      </c>
      <c r="J2966" s="10" t="inlineStr">
        <is>
          <t>17/03/2026</t>
        </is>
      </c>
      <c r="K2966" s="10" t="inlineStr">
        <is>
          <t>N/A</t>
        </is>
      </c>
      <c r="L2966" s="10" t="inlineStr">
        <is>
          <t>Kinh Doanh Kỹ Thuật, Bán Hàng Kỹ Thuật Dụng Cụ Cơ Khí, Cơ Khí Chế Tạo, Sales Engineering, Cơ Khí</t>
        </is>
      </c>
      <c r="M2966" s="10" t="inlineStr">
        <is>
          <t>Bonus, Paid Leave, Training</t>
        </is>
      </c>
      <c r="N2966" s="11">
        <f>HYPERLINK("https://www.vietnamworks.com/tuyen-gap-nhan-vien-kinh-doanh-ky-thuat-thu-nhap-tu-30-40-trieu-dong-2013624-jv","Xem chi tiết")</f>
        <v/>
      </c>
      <c r="O2966" s="10" t="n"/>
    </row>
    <row r="2967">
      <c r="B2967" s="7" t="n">
        <v>2965</v>
      </c>
      <c r="C2967" t="inlineStr">
        <is>
          <t>Business Development Staff (Nhân Viên Phòng Phát Triển Kinh Doanh)</t>
        </is>
      </c>
      <c r="D2967" t="inlineStr">
        <is>
          <t>Hayakawa Electronics Vietnam Co., Ltd.</t>
        </is>
      </c>
      <c r="E2967" t="inlineStr">
        <is>
          <t>Thương lượng</t>
        </is>
      </c>
      <c r="F2967" t="inlineStr">
        <is>
          <t>Bắc Ninh</t>
        </is>
      </c>
      <c r="G2967" t="inlineStr">
        <is>
          <t>Nhân viên</t>
        </is>
      </c>
      <c r="H2967" t="inlineStr">
        <is>
          <t>25/02/2026</t>
        </is>
      </c>
      <c r="I2967" t="inlineStr">
        <is>
          <t>27/03/2026</t>
        </is>
      </c>
      <c r="J2967" t="inlineStr">
        <is>
          <t>17/03/2026</t>
        </is>
      </c>
      <c r="K2967" t="inlineStr">
        <is>
          <t>N/A</t>
        </is>
      </c>
      <c r="L2967" t="inlineStr">
        <is>
          <t>Business Development, Negotiation Skills, Account Management, B2B Sales, Making Quotation</t>
        </is>
      </c>
      <c r="M2967" t="inlineStr">
        <is>
          <t>Bonus, Training, Transportation</t>
        </is>
      </c>
      <c r="N2967" s="8">
        <f>HYPERLINK("https://www.vietnamworks.com/business-development-staff-nhan-vien-phong-phat-trien-kinh-doanh-2013620-jv","Xem chi tiết")</f>
        <v/>
      </c>
    </row>
    <row r="2968">
      <c r="B2968" s="9" t="n">
        <v>2966</v>
      </c>
      <c r="C2968" s="10" t="inlineStr">
        <is>
          <t>Marketing Manager</t>
        </is>
      </c>
      <c r="D2968" s="10" t="inlineStr">
        <is>
          <t>CÔNG TY TNHH MAPPLE MITRA ADIPERKASA VIỆT NAM</t>
        </is>
      </c>
      <c r="E2968" s="10" t="inlineStr">
        <is>
          <t>Thương lượng</t>
        </is>
      </c>
      <c r="F2968" s="10" t="inlineStr">
        <is>
          <t>Hồ Chí Minh</t>
        </is>
      </c>
      <c r="G2968" s="10" t="inlineStr">
        <is>
          <t>Trưởng phòng</t>
        </is>
      </c>
      <c r="H2968" s="10" t="inlineStr">
        <is>
          <t>25/02/2026</t>
        </is>
      </c>
      <c r="I2968" s="10" t="inlineStr">
        <is>
          <t>27/03/2026</t>
        </is>
      </c>
      <c r="J2968" s="10" t="inlineStr">
        <is>
          <t>17/03/2026</t>
        </is>
      </c>
      <c r="K2968" s="10" t="inlineStr">
        <is>
          <t>N/A</t>
        </is>
      </c>
      <c r="L2968" s="10" t="inlineStr">
        <is>
          <t>Marketing Strategy, Campaign Management, Content Creation, Data Analysis, Creativity</t>
        </is>
      </c>
      <c r="M2968" s="10" t="inlineStr">
        <is>
          <t>Healthcare Plan, Vouchers</t>
        </is>
      </c>
      <c r="N2968" s="11">
        <f>HYPERLINK("https://www.vietnamworks.com/marketing-manager-2013630-jv","Xem chi tiết")</f>
        <v/>
      </c>
      <c r="O2968" s="10" t="n"/>
    </row>
    <row r="2969">
      <c r="B2969" s="7" t="n">
        <v>2967</v>
      </c>
      <c r="C2969" t="inlineStr">
        <is>
          <t>Payroll Associate</t>
        </is>
      </c>
      <c r="D2969" t="inlineStr">
        <is>
          <t>PwC (Vietnam) Ltd.</t>
        </is>
      </c>
      <c r="E2969" t="inlineStr">
        <is>
          <t>Thương lượng</t>
        </is>
      </c>
      <c r="F2969" t="inlineStr">
        <is>
          <t>Hồ Chí Minh</t>
        </is>
      </c>
      <c r="G2969" t="inlineStr">
        <is>
          <t>Nhân viên</t>
        </is>
      </c>
      <c r="H2969" t="inlineStr">
        <is>
          <t>25/02/2026</t>
        </is>
      </c>
      <c r="I2969" t="inlineStr">
        <is>
          <t>27/03/2026</t>
        </is>
      </c>
      <c r="J2969" t="inlineStr">
        <is>
          <t>17/03/2026</t>
        </is>
      </c>
      <c r="K2969" t="inlineStr">
        <is>
          <t>N/A</t>
        </is>
      </c>
      <c r="L2969" t="inlineStr">
        <is>
          <t>Payroll Service, PIT, Payroll, Payroll Calculation, C&amp;B</t>
        </is>
      </c>
      <c r="M2969" t="inlineStr">
        <is>
          <t>Bonus, Training, Laptop</t>
        </is>
      </c>
      <c r="N2969" s="8">
        <f>HYPERLINK("https://www.vietnamworks.com/payroll-associate--2013637-jv","Xem chi tiết")</f>
        <v/>
      </c>
    </row>
    <row r="2970">
      <c r="B2970" s="9" t="n">
        <v>2968</v>
      </c>
      <c r="C2970" s="10" t="inlineStr">
        <is>
          <t>Kỹ Thuật Viên Ép Nhựa</t>
        </is>
      </c>
      <c r="D2970" s="10" t="inlineStr">
        <is>
          <t>Công Ty TNHH Providence Enterprise (Việt Nam)</t>
        </is>
      </c>
      <c r="E2970" s="10" t="inlineStr">
        <is>
          <t>11tr-17tr ₫/tháng</t>
        </is>
      </c>
      <c r="F2970" s="10" t="inlineStr">
        <is>
          <t>Hải Phòng</t>
        </is>
      </c>
      <c r="G2970" s="10" t="inlineStr">
        <is>
          <t>Nhân viên</t>
        </is>
      </c>
      <c r="H2970" s="10" t="inlineStr">
        <is>
          <t>25/02/2026</t>
        </is>
      </c>
      <c r="I2970" s="10" t="inlineStr">
        <is>
          <t>27/03/2026</t>
        </is>
      </c>
      <c r="J2970" s="10" t="inlineStr">
        <is>
          <t>17/03/2026</t>
        </is>
      </c>
      <c r="K2970" s="10" t="inlineStr">
        <is>
          <t>N/A</t>
        </is>
      </c>
      <c r="L2970" s="10" t="inlineStr">
        <is>
          <t>Haitian Machine Adjustment, Quality Control, 7S Management, Injection Molding</t>
        </is>
      </c>
      <c r="M2970" s="10" t="inlineStr">
        <is>
          <t>Bonus, Training, Awards</t>
        </is>
      </c>
      <c r="N2970" s="11">
        <f>HYPERLINK("https://www.vietnamworks.com/ky-thuat-vien-ep-nhua-2013638-jv","Xem chi tiết")</f>
        <v/>
      </c>
      <c r="O2970" s="10" t="n"/>
    </row>
    <row r="2971">
      <c r="B2971" s="7" t="n">
        <v>2969</v>
      </c>
      <c r="C2971" t="inlineStr">
        <is>
          <t>Nhân Viên Phòng Bảo Dưỡng</t>
        </is>
      </c>
      <c r="D2971" t="inlineStr">
        <is>
          <t>Công ty TNHH Hamaden Việt Nam</t>
        </is>
      </c>
      <c r="E2971" t="inlineStr">
        <is>
          <t>Thương lượng</t>
        </is>
      </c>
      <c r="F2971" t="inlineStr">
        <is>
          <t>Hải Dương, Hà Nội, Hưng Yên</t>
        </is>
      </c>
      <c r="G2971" t="inlineStr">
        <is>
          <t>Nhân viên</t>
        </is>
      </c>
      <c r="H2971" t="inlineStr">
        <is>
          <t>25/02/2026</t>
        </is>
      </c>
      <c r="I2971" t="inlineStr">
        <is>
          <t>27/03/2026</t>
        </is>
      </c>
      <c r="J2971" t="inlineStr">
        <is>
          <t>17/03/2026</t>
        </is>
      </c>
      <c r="K2971" t="inlineStr">
        <is>
          <t>N/A</t>
        </is>
      </c>
      <c r="L2971" t="inlineStr">
        <is>
          <t>Bảo Dưỡng, Kỹ Thuật Điện, Điện Công Nghiệp, Tự Động Hóa, Bảo Trì Kỹ Thuật</t>
        </is>
      </c>
      <c r="M2971" t="inlineStr">
        <is>
          <t>Bonus, Healthcare Plan, Transportation</t>
        </is>
      </c>
      <c r="N2971" s="8">
        <f>HYPERLINK("https://www.vietnamworks.com/nhan-vien-phong-bao-duong--2013639-jv","Xem chi tiết")</f>
        <v/>
      </c>
    </row>
    <row r="2972">
      <c r="B2972" s="9" t="n">
        <v>2970</v>
      </c>
      <c r="C2972" s="10" t="inlineStr">
        <is>
          <t>Nhân Viên Thiết Kế Thùng/ Tray Đóng Gói - Có Xe Đưa Đón Tuyến Hải Dương - Hưng Yên</t>
        </is>
      </c>
      <c r="D2972" s="10" t="inlineStr">
        <is>
          <t>Công Ty TNHH Điện Tử UMC Việt Nam</t>
        </is>
      </c>
      <c r="E2972" s="10" t="inlineStr">
        <is>
          <t>$$ 300-400 /tháng</t>
        </is>
      </c>
      <c r="F2972" s="10" t="inlineStr">
        <is>
          <t>Bắc Ninh, Hải Phòng, Hưng Yên</t>
        </is>
      </c>
      <c r="G2972" s="10" t="inlineStr">
        <is>
          <t>Nhân viên</t>
        </is>
      </c>
      <c r="H2972" s="10" t="inlineStr">
        <is>
          <t>25/02/2026</t>
        </is>
      </c>
      <c r="I2972" s="10" t="inlineStr">
        <is>
          <t>27/03/2026</t>
        </is>
      </c>
      <c r="J2972" s="10" t="inlineStr">
        <is>
          <t>17/03/2026</t>
        </is>
      </c>
      <c r="K2972" s="10" t="inlineStr">
        <is>
          <t>N/A</t>
        </is>
      </c>
      <c r="L2972" s="10" t="inlineStr">
        <is>
          <t>Gia Công Cơ Khí, AutoCAD, Inventor, Thiết Kế 3D</t>
        </is>
      </c>
      <c r="M2972" s="10" t="inlineStr">
        <is>
          <t>Bonus, Healthcare Plan, Training</t>
        </is>
      </c>
      <c r="N2972" s="11">
        <f>HYPERLINK("https://www.vietnamworks.com/nhan-vien-thiet-ke-thung-tray-dong-goi-co-xe-dua-don-tuyen-hai-duong-hung-yen-2013631-jv","Xem chi tiết")</f>
        <v/>
      </c>
      <c r="O2972" s="10" t="n"/>
    </row>
    <row r="2973">
      <c r="B2973" s="7" t="n">
        <v>2971</v>
      </c>
      <c r="C2973" t="inlineStr">
        <is>
          <t>HR Manager/ Senior Manager</t>
        </is>
      </c>
      <c r="D2973" t="inlineStr">
        <is>
          <t>Công ty TNHH TM DV Tân Hiệp Phát</t>
        </is>
      </c>
      <c r="E2973" t="inlineStr">
        <is>
          <t>Thương lượng</t>
        </is>
      </c>
      <c r="F2973" t="inlineStr">
        <is>
          <t>Hồ Chí Minh</t>
        </is>
      </c>
      <c r="G2973" t="inlineStr">
        <is>
          <t>Trưởng phòng</t>
        </is>
      </c>
      <c r="H2973" t="inlineStr">
        <is>
          <t>25/02/2026</t>
        </is>
      </c>
      <c r="I2973" t="inlineStr">
        <is>
          <t>27/03/2026</t>
        </is>
      </c>
      <c r="J2973" t="inlineStr">
        <is>
          <t>17/03/2026</t>
        </is>
      </c>
      <c r="K2973" t="inlineStr">
        <is>
          <t>N/A</t>
        </is>
      </c>
      <c r="L2973" t="inlineStr">
        <is>
          <t>HR, Change Management, C&amp;B, human rescources, Performance Review</t>
        </is>
      </c>
      <c r="M2973" t="inlineStr">
        <is>
          <t>Bonus, Healthcare Plan, Canteen</t>
        </is>
      </c>
      <c r="N2973" s="8">
        <f>HYPERLINK("https://www.vietnamworks.com/hr-manager-senior-manager-2013632-jv","Xem chi tiết")</f>
        <v/>
      </c>
    </row>
    <row r="2974">
      <c r="B2974" s="9" t="n">
        <v>2972</v>
      </c>
      <c r="C2974" s="10" t="inlineStr">
        <is>
          <t>Content Operations Manager (Youtube)</t>
        </is>
      </c>
      <c r="D2974" s="10" t="inlineStr">
        <is>
          <t>AF Productions</t>
        </is>
      </c>
      <c r="E2974" s="10" t="inlineStr">
        <is>
          <t>$$ 400-750 /tháng</t>
        </is>
      </c>
      <c r="F2974" s="10" t="inlineStr">
        <is>
          <t>Hồ Chí Minh</t>
        </is>
      </c>
      <c r="G2974" s="10" t="inlineStr">
        <is>
          <t>Mới Tốt Nghiệp</t>
        </is>
      </c>
      <c r="H2974" s="10" t="inlineStr">
        <is>
          <t>25/02/2026</t>
        </is>
      </c>
      <c r="I2974" s="10" t="inlineStr">
        <is>
          <t>27/03/2026</t>
        </is>
      </c>
      <c r="J2974" s="10" t="inlineStr">
        <is>
          <t>17/03/2026</t>
        </is>
      </c>
      <c r="K2974" s="10" t="inlineStr">
        <is>
          <t>N/A</t>
        </is>
      </c>
      <c r="L2974" s="10" t="inlineStr">
        <is>
          <t>English Conversation, English proficiency, Google Calendar, Google Drive</t>
        </is>
      </c>
      <c r="M2974" s="10" t="inlineStr">
        <is>
          <t>Bonus, Laptop, Travel Opportunities</t>
        </is>
      </c>
      <c r="N2974" s="11">
        <f>HYPERLINK("https://www.vietnamworks.com/content-operations-manager-youtube-2013642-jv","Xem chi tiết")</f>
        <v/>
      </c>
      <c r="O2974" s="10" t="n"/>
    </row>
    <row r="2975">
      <c r="B2975" s="7" t="n">
        <v>2973</v>
      </c>
      <c r="C2975" t="inlineStr">
        <is>
          <t>Nhân Viên Kỹ Thuật</t>
        </is>
      </c>
      <c r="D2975" t="inlineStr">
        <is>
          <t>CBRE (Vietnam) Co.,ltd - HCM Branch</t>
        </is>
      </c>
      <c r="E2975" t="inlineStr">
        <is>
          <t>Thương lượng</t>
        </is>
      </c>
      <c r="F2975" t="inlineStr">
        <is>
          <t>Bình Dương, Hồ Chí Minh</t>
        </is>
      </c>
      <c r="G2975" t="inlineStr">
        <is>
          <t>Nhân viên</t>
        </is>
      </c>
      <c r="H2975" t="inlineStr">
        <is>
          <t>25/02/2026</t>
        </is>
      </c>
      <c r="I2975" t="inlineStr">
        <is>
          <t>27/03/2026</t>
        </is>
      </c>
      <c r="J2975" t="inlineStr">
        <is>
          <t>17/03/2026</t>
        </is>
      </c>
      <c r="K2975" t="inlineStr">
        <is>
          <t>N/A</t>
        </is>
      </c>
      <c r="L2975" t="inlineStr">
        <is>
          <t>HVAC, Bảo Trì, Cơ Điện, HVAC System, Giao tiếp</t>
        </is>
      </c>
      <c r="M2975" t="inlineStr">
        <is>
          <t>Bonus, Healthcare Plan, Training</t>
        </is>
      </c>
      <c r="N2975" s="8">
        <f>HYPERLINK("https://www.vietnamworks.com/nhan-vien-ky-thuat--2013633-jv","Xem chi tiết")</f>
        <v/>
      </c>
    </row>
    <row r="2976">
      <c r="B2976" s="9" t="n">
        <v>2974</v>
      </c>
      <c r="C2976" s="10" t="inlineStr">
        <is>
          <t>Officer, NBU</t>
        </is>
      </c>
      <c r="D2976" s="10" t="inlineStr">
        <is>
          <t>CÔNG TY TNHH BẢO HIỂM SHINHAN LIFE VIỆT NAM</t>
        </is>
      </c>
      <c r="E2976" s="10" t="inlineStr">
        <is>
          <t>Thương lượng</t>
        </is>
      </c>
      <c r="F2976" s="10" t="inlineStr">
        <is>
          <t>Hồ Chí Minh</t>
        </is>
      </c>
      <c r="G2976" s="10" t="inlineStr">
        <is>
          <t>Nhân viên</t>
        </is>
      </c>
      <c r="H2976" s="10" t="inlineStr">
        <is>
          <t>25/02/2026</t>
        </is>
      </c>
      <c r="I2976" s="10" t="inlineStr">
        <is>
          <t>27/03/2026</t>
        </is>
      </c>
      <c r="J2976" s="10" t="inlineStr">
        <is>
          <t>17/03/2026</t>
        </is>
      </c>
      <c r="K2976" s="10" t="inlineStr">
        <is>
          <t>N/A</t>
        </is>
      </c>
      <c r="L2976" s="10" t="inlineStr">
        <is>
          <t>Operations, Insurance, AML, UI Design</t>
        </is>
      </c>
      <c r="M2976" s="10" t="inlineStr">
        <is>
          <t>Healthcare Plan</t>
        </is>
      </c>
      <c r="N2976" s="11">
        <f>HYPERLINK("https://www.vietnamworks.com/officer-nbu-2013653-jv","Xem chi tiết")</f>
        <v/>
      </c>
      <c r="O2976" s="10" t="n"/>
    </row>
    <row r="2977">
      <c r="B2977" s="7" t="n">
        <v>2975</v>
      </c>
      <c r="C2977" t="inlineStr">
        <is>
          <t>Warehouse Manager</t>
        </is>
      </c>
      <c r="D2977" t="inlineStr">
        <is>
          <t>Samsung SDS</t>
        </is>
      </c>
      <c r="E2977" t="inlineStr">
        <is>
          <t>Thương lượng</t>
        </is>
      </c>
      <c r="F2977" t="inlineStr">
        <is>
          <t>Hồ Chí Minh</t>
        </is>
      </c>
      <c r="G2977" t="inlineStr">
        <is>
          <t>Trưởng phòng</t>
        </is>
      </c>
      <c r="H2977" t="inlineStr">
        <is>
          <t>25/02/2026</t>
        </is>
      </c>
      <c r="I2977" t="inlineStr">
        <is>
          <t>27/03/2026</t>
        </is>
      </c>
      <c r="J2977" t="inlineStr">
        <is>
          <t>17/03/2026</t>
        </is>
      </c>
      <c r="K2977" t="inlineStr">
        <is>
          <t>N/A</t>
        </is>
      </c>
      <c r="L2977" t="inlineStr">
        <is>
          <t>Communication Skills, Warehouse, English, WMS, ERP</t>
        </is>
      </c>
      <c r="M2977" t="inlineStr">
        <is>
          <t>Others</t>
        </is>
      </c>
      <c r="N2977" s="8">
        <f>HYPERLINK("https://www.vietnamworks.com/warehouse-manager-2013641-jv","Xem chi tiết")</f>
        <v/>
      </c>
    </row>
    <row r="2978">
      <c r="B2978" s="9" t="n">
        <v>2976</v>
      </c>
      <c r="C2978" s="10" t="inlineStr">
        <is>
          <t>Nhân Viên Kinh Doanh Khu Vực Miền Nam (Bình Tân Hồ Chí Minh, Long An)</t>
        </is>
      </c>
      <c r="D2978" s="10" t="inlineStr">
        <is>
          <t>Công Ty Cổ Phần Dệt TQT</t>
        </is>
      </c>
      <c r="E2978" s="10" t="inlineStr">
        <is>
          <t>10tr-30tr ₫/tháng</t>
        </is>
      </c>
      <c r="F2978" s="10" t="inlineStr">
        <is>
          <t>Long An, Hồ Chí Minh</t>
        </is>
      </c>
      <c r="G2978" s="10" t="inlineStr">
        <is>
          <t>Mới Tốt Nghiệp</t>
        </is>
      </c>
      <c r="H2978" s="10" t="inlineStr">
        <is>
          <t>25/02/2026</t>
        </is>
      </c>
      <c r="I2978" s="10" t="inlineStr">
        <is>
          <t>27/03/2026</t>
        </is>
      </c>
      <c r="J2978" s="10" t="inlineStr">
        <is>
          <t>17/03/2026</t>
        </is>
      </c>
      <c r="K2978" s="10" t="inlineStr">
        <is>
          <t>N/A</t>
        </is>
      </c>
      <c r="L2978" s="10" t="inlineStr">
        <is>
          <t>Chăm Sóc Khách Hàng, Phát Triển Kinh Doanh, Theo Dõi Hợp Đồng, Thiết Lập Mối Quan Hệ, Xử Lý Khiếu Nại</t>
        </is>
      </c>
      <c r="M2978" s="10" t="inlineStr">
        <is>
          <t>Bonus, Healthcare Plan, Training, Others</t>
        </is>
      </c>
      <c r="N2978" s="11">
        <f>HYPERLINK("https://www.vietnamworks.com/nhan-vien-kinh-doanh-khu-vuc-mien-nam-binh-tan-ho-chi-minh-long-an-2013648-jv","Xem chi tiết")</f>
        <v/>
      </c>
      <c r="O2978" s="10" t="n"/>
    </row>
    <row r="2979">
      <c r="B2979" s="7" t="n">
        <v>2977</v>
      </c>
      <c r="C2979" t="inlineStr">
        <is>
          <t>Quality Manager - Furniture industry</t>
        </is>
      </c>
      <c r="D2979" t="inlineStr">
        <is>
          <t>Teemo Design Ltd</t>
        </is>
      </c>
      <c r="E2979" t="inlineStr">
        <is>
          <t>$$ 1,500-2,500 /tháng</t>
        </is>
      </c>
      <c r="F2979" t="inlineStr">
        <is>
          <t>Hồ Chí Minh</t>
        </is>
      </c>
      <c r="G2979" t="inlineStr">
        <is>
          <t>Trưởng phòng</t>
        </is>
      </c>
      <c r="H2979" t="inlineStr">
        <is>
          <t>25/02/2026</t>
        </is>
      </c>
      <c r="I2979" t="inlineStr">
        <is>
          <t>27/03/2026</t>
        </is>
      </c>
      <c r="J2979" t="inlineStr">
        <is>
          <t>17/03/2026</t>
        </is>
      </c>
      <c r="K2979" t="inlineStr">
        <is>
          <t>N/A</t>
        </is>
      </c>
      <c r="L2979" t="inlineStr">
        <is>
          <t>Factory Audit, Furniture Manufactoring, Quality Inspection, Quality Process Improvement, Vietnamese fluency</t>
        </is>
      </c>
      <c r="M2979" t="inlineStr">
        <is>
          <t>Bonus, Healthcare Plan, Paid Leave, Laptop, Team Activities</t>
        </is>
      </c>
      <c r="N2979" s="8">
        <f>HYPERLINK("https://www.vietnamworks.com/quality-manager-furniture-industry-2013643-jv","Xem chi tiết")</f>
        <v/>
      </c>
    </row>
    <row r="2980">
      <c r="B2980" s="9" t="n">
        <v>2978</v>
      </c>
      <c r="C2980" s="10" t="inlineStr">
        <is>
          <t>Chuyên Viên Nhân Sự Tổng Hợp (Lương Từ 15 Triệu, Tiếng Anh Giao Tiếp)</t>
        </is>
      </c>
      <c r="D2980" s="10" t="inlineStr">
        <is>
          <t>Khách Sạn Hà Nội – Hanoi Hotel</t>
        </is>
      </c>
      <c r="E2980" s="10" t="inlineStr">
        <is>
          <t>Từ 15tr ₫/tháng</t>
        </is>
      </c>
      <c r="F2980" s="10" t="inlineStr">
        <is>
          <t>Hà Nội</t>
        </is>
      </c>
      <c r="G2980" s="10" t="inlineStr">
        <is>
          <t>Nhân viên</t>
        </is>
      </c>
      <c r="H2980" s="10" t="inlineStr">
        <is>
          <t>25/02/2026</t>
        </is>
      </c>
      <c r="I2980" s="10" t="inlineStr">
        <is>
          <t>27/03/2026</t>
        </is>
      </c>
      <c r="J2980" s="10" t="inlineStr">
        <is>
          <t>17/03/2026</t>
        </is>
      </c>
      <c r="K2980" s="10" t="inlineStr">
        <is>
          <t>N/A</t>
        </is>
      </c>
      <c r="L2980" s="10" t="inlineStr">
        <is>
          <t>Nhân Sự Tổng Hợp, C&amp;B, Tuyển Dụng, Tiếng  Anh Giao Tiếp, Pháp Luật Lao Động</t>
        </is>
      </c>
      <c r="M2980" s="10" t="inlineStr">
        <is>
          <t>Bonus, Healthcare Plan, Awards</t>
        </is>
      </c>
      <c r="N2980" s="11">
        <f>HYPERLINK("https://www.vietnamworks.com/chuyen-vien-nhan-su-tong-hop-luong-tu-15-trieu-tieng-anh-giao-tiep-2013640-jv","Xem chi tiết")</f>
        <v/>
      </c>
      <c r="O2980" s="10" t="n"/>
    </row>
    <row r="2981">
      <c r="B2981" s="7" t="n">
        <v>2979</v>
      </c>
      <c r="C2981" t="inlineStr">
        <is>
          <t>Product Specialist (Ha Noi, Ho Chi Minh City)</t>
        </is>
      </c>
      <c r="D2981" t="inlineStr">
        <is>
          <t>Công Ty Cổ Phần Vật Tư Khoa Học Biomedic</t>
        </is>
      </c>
      <c r="E2981" t="inlineStr">
        <is>
          <t>Thương lượng</t>
        </is>
      </c>
      <c r="F2981" t="inlineStr">
        <is>
          <t>Hà Nội, Hồ Chí Minh</t>
        </is>
      </c>
      <c r="G2981" t="inlineStr">
        <is>
          <t>Nhân viên</t>
        </is>
      </c>
      <c r="H2981" t="inlineStr">
        <is>
          <t>25/02/2026</t>
        </is>
      </c>
      <c r="I2981" t="inlineStr">
        <is>
          <t>27/03/2026</t>
        </is>
      </c>
      <c r="J2981" t="inlineStr">
        <is>
          <t>17/03/2026</t>
        </is>
      </c>
      <c r="K2981" t="inlineStr">
        <is>
          <t>N/A</t>
        </is>
      </c>
      <c r="L2981" t="inlineStr">
        <is>
          <t>Nghiên Cứu Sản Phẩm, Sinh Học Phân Tử, Phát Triển Sản Phẩm, Công Nghệ Sinh Học, Quản Lý Sản Phẩm</t>
        </is>
      </c>
      <c r="M2981" t="inlineStr">
        <is>
          <t>Bonus, Healthcare Plan, Training</t>
        </is>
      </c>
      <c r="N2981" s="8">
        <f>HYPERLINK("https://www.vietnamworks.com/product-specialist-ha-noi-ho-chi-minh-city-2013645-jv","Xem chi tiết")</f>
        <v/>
      </c>
    </row>
    <row r="2982">
      <c r="B2982" s="9" t="n">
        <v>2980</v>
      </c>
      <c r="C2982" s="10" t="inlineStr">
        <is>
          <t>Production Merchandiser (Garment Factory)</t>
        </is>
      </c>
      <c r="D2982" s="10" t="inlineStr">
        <is>
          <t>CÔNG TY TNHH PJ VN-KR</t>
        </is>
      </c>
      <c r="E2982" s="10" t="inlineStr">
        <is>
          <t>Từ 15tr ₫/tháng</t>
        </is>
      </c>
      <c r="F2982" s="10" t="inlineStr">
        <is>
          <t>Bình Dương</t>
        </is>
      </c>
      <c r="G2982" s="10" t="inlineStr">
        <is>
          <t>Nhân viên</t>
        </is>
      </c>
      <c r="H2982" s="10" t="inlineStr">
        <is>
          <t>25/02/2026</t>
        </is>
      </c>
      <c r="I2982" s="10" t="inlineStr">
        <is>
          <t>27/03/2026</t>
        </is>
      </c>
      <c r="J2982" s="10" t="inlineStr">
        <is>
          <t>17/03/2026</t>
        </is>
      </c>
      <c r="K2982" s="10" t="inlineStr">
        <is>
          <t>N/A</t>
        </is>
      </c>
      <c r="L2982" s="10" t="inlineStr">
        <is>
          <t>Quản Lý Đơn Hàng, Apparel Merchandising, Apparel Technique, Garment, Merchandising</t>
        </is>
      </c>
      <c r="M2982" s="10" t="inlineStr">
        <is>
          <t>Bonus, Healthcare Plan, Others</t>
        </is>
      </c>
      <c r="N2982" s="11">
        <f>HYPERLINK("https://www.vietnamworks.com/production-merchandiser-garment-factory-2013655-jv","Xem chi tiết")</f>
        <v/>
      </c>
      <c r="O2982" s="10" t="n"/>
    </row>
    <row r="2983">
      <c r="B2983" s="7" t="n">
        <v>2981</v>
      </c>
      <c r="C2983" t="inlineStr">
        <is>
          <t>Nhân Viên Kinh Doanh Logistics (Dịch Vụ Cước Đường Biển/hàng Không)</t>
        </is>
      </c>
      <c r="D2983" t="inlineStr">
        <is>
          <t>VISION Shipping Vietnam Co.,ltd</t>
        </is>
      </c>
      <c r="E2983" t="inlineStr">
        <is>
          <t>7tr-15tr ₫/tháng</t>
        </is>
      </c>
      <c r="F2983" t="inlineStr">
        <is>
          <t>Hà Nội, Hồ Chí Minh</t>
        </is>
      </c>
      <c r="G2983" t="inlineStr">
        <is>
          <t>Nhân viên</t>
        </is>
      </c>
      <c r="H2983" t="inlineStr">
        <is>
          <t>25/02/2026</t>
        </is>
      </c>
      <c r="I2983" t="inlineStr">
        <is>
          <t>27/03/2026</t>
        </is>
      </c>
      <c r="J2983" t="inlineStr">
        <is>
          <t>17/03/2026</t>
        </is>
      </c>
      <c r="K2983" t="inlineStr">
        <is>
          <t>N/A</t>
        </is>
      </c>
      <c r="L2983" t="inlineStr">
        <is>
          <t>Incoterm, Kinh Doanh Logistics, Sales Logistics</t>
        </is>
      </c>
      <c r="M2983" t="inlineStr">
        <is>
          <t>Bonus, Healthcare Plan, Training, Others</t>
        </is>
      </c>
      <c r="N2983" s="8">
        <f>HYPERLINK("https://www.vietnamworks.com/nhan-vien-kinh-doanh-logistics-dich-vu-cuoc-duong-bien-hang-khong-2013644-jv","Xem chi tiết")</f>
        <v/>
      </c>
    </row>
    <row r="2984">
      <c r="B2984" s="9" t="n">
        <v>2982</v>
      </c>
      <c r="C2984" s="10" t="inlineStr">
        <is>
          <t>Nhân Viên Kỹ Thuật Sản Xuất (Tiếng Nhật N4 Trở Lên)</t>
        </is>
      </c>
      <c r="D2984" s="10" t="inlineStr">
        <is>
          <t>Công ty TNHH Hamaden Việt Nam</t>
        </is>
      </c>
      <c r="E2984" s="10" t="inlineStr">
        <is>
          <t>Thương lượng</t>
        </is>
      </c>
      <c r="F2984" s="10" t="inlineStr">
        <is>
          <t>Hải Dương, Hà Nội, Hưng Yên</t>
        </is>
      </c>
      <c r="G2984" s="10" t="inlineStr">
        <is>
          <t>Nhân viên</t>
        </is>
      </c>
      <c r="H2984" s="10" t="inlineStr">
        <is>
          <t>25/02/2026</t>
        </is>
      </c>
      <c r="I2984" s="10" t="inlineStr">
        <is>
          <t>27/03/2026</t>
        </is>
      </c>
      <c r="J2984" s="10" t="inlineStr">
        <is>
          <t>17/03/2026</t>
        </is>
      </c>
      <c r="K2984" s="10" t="inlineStr">
        <is>
          <t>N/A</t>
        </is>
      </c>
      <c r="L2984" s="10" t="inlineStr">
        <is>
          <t>Kỹ Thuật Sản Xuất, Auto CAD, Tiếng Nhật N4, JLPT N4, Cải Tiến Công Đoạn</t>
        </is>
      </c>
      <c r="M2984" s="10" t="inlineStr">
        <is>
          <t>Bonus, Healthcare Plan, Transportation</t>
        </is>
      </c>
      <c r="N2984" s="11">
        <f>HYPERLINK("https://www.vietnamworks.com/nhan-vien-ky-thuat-san-xuat-tieng-nhat-n4-tro-len-2013652-jv","Xem chi tiết")</f>
        <v/>
      </c>
      <c r="O2984" s="10" t="n"/>
    </row>
    <row r="2985">
      <c r="B2985" s="7" t="n">
        <v>2983</v>
      </c>
      <c r="C2985" t="inlineStr">
        <is>
          <t>Chuyên Viên, Chuyên Viên Cao Cấp Xử Lý Tranh Chấp - Dispute Resolution Specialist, Senior Specialist - Khối Pháp Chế Và Tuân Thủ (HO26.46)</t>
        </is>
      </c>
      <c r="D2985" t="inlineStr">
        <is>
          <t>NGÂN HÀNG TMCP QUÂN ĐỘI – MBBANK</t>
        </is>
      </c>
      <c r="E2985" t="inlineStr">
        <is>
          <t>Thương lượng</t>
        </is>
      </c>
      <c r="F2985" t="inlineStr">
        <is>
          <t>Hà Nội</t>
        </is>
      </c>
      <c r="G2985" t="inlineStr">
        <is>
          <t>Nhân viên</t>
        </is>
      </c>
      <c r="H2985" t="inlineStr">
        <is>
          <t>25/02/2026</t>
        </is>
      </c>
      <c r="I2985" t="inlineStr">
        <is>
          <t>27/03/2026</t>
        </is>
      </c>
      <c r="J2985" t="inlineStr">
        <is>
          <t>17/03/2026</t>
        </is>
      </c>
      <c r="K2985" t="inlineStr">
        <is>
          <t>N/A</t>
        </is>
      </c>
      <c r="L2985" t="inlineStr">
        <is>
          <t>Debt Collection, Dispute Settlement, Legal Representation, Stakeholder Management, Handling Adverse Information</t>
        </is>
      </c>
      <c r="M2985" t="inlineStr">
        <is>
          <t>Bonus, Healthcare Plan, Paid Leave, Training, Team Activities, Vouchers, Others</t>
        </is>
      </c>
      <c r="N2985" s="8">
        <f>HYPERLINK("https://www.vietnamworks.com/chuyen-vien-chuyen-vien-cao-cap-xu-ly-tranh-chap-dispute-resolution-specialist-senior-specialist-khoi-phap-che-va-tuan-thu-ho26-46-2013646-jv","Xem chi tiết")</f>
        <v/>
      </c>
    </row>
    <row r="2986">
      <c r="B2986" s="9" t="n">
        <v>2984</v>
      </c>
      <c r="C2986" s="10" t="inlineStr">
        <is>
          <t>[Tuyển Gấp] Kế Toán Tổng Hợp</t>
        </is>
      </c>
      <c r="D2986" s="10" t="inlineStr">
        <is>
          <t>Công Ty Cổ Phần Công Nghệ VVT (VVTech., JSC)</t>
        </is>
      </c>
      <c r="E2986" s="10" t="inlineStr">
        <is>
          <t>Thương lượng</t>
        </is>
      </c>
      <c r="F2986" s="10" t="inlineStr">
        <is>
          <t>Hà Nội</t>
        </is>
      </c>
      <c r="G2986" s="10" t="inlineStr">
        <is>
          <t>Nhân viên</t>
        </is>
      </c>
      <c r="H2986" s="10" t="inlineStr">
        <is>
          <t>25/02/2026</t>
        </is>
      </c>
      <c r="I2986" s="10" t="inlineStr">
        <is>
          <t>27/03/2026</t>
        </is>
      </c>
      <c r="J2986" s="10" t="inlineStr">
        <is>
          <t>17/03/2026</t>
        </is>
      </c>
      <c r="K2986" s="10" t="inlineStr">
        <is>
          <t>N/A</t>
        </is>
      </c>
      <c r="L2986" s="10" t="inlineStr">
        <is>
          <t>Kế Toán Tổng Hợp, Phần mềm kế toán, Luật Thuế, Báo Cáo Thuế, Tài Chính</t>
        </is>
      </c>
      <c r="M2986" s="10" t="inlineStr">
        <is>
          <t>Bonus, Healthcare Plan, Paid Leave, Training, Others</t>
        </is>
      </c>
      <c r="N2986" s="11">
        <f>HYPERLINK("https://www.vietnamworks.com/tuyen-gap-ke-toan-tong-hop-2013649-jv","Xem chi tiết")</f>
        <v/>
      </c>
      <c r="O2986" s="10" t="n"/>
    </row>
    <row r="2987">
      <c r="B2987" s="7" t="n">
        <v>2985</v>
      </c>
      <c r="C2987" t="inlineStr">
        <is>
          <t>Trợ Lý Kế Toán Accountant Assistant</t>
        </is>
      </c>
      <c r="D2987" t="inlineStr">
        <is>
          <t>Ellsworth Adhesives Vietnam Ltd. HCM Office</t>
        </is>
      </c>
      <c r="E2987" t="inlineStr">
        <is>
          <t>Thương lượng</t>
        </is>
      </c>
      <c r="F2987" t="inlineStr">
        <is>
          <t>Hồ Chí Minh</t>
        </is>
      </c>
      <c r="G2987" t="inlineStr">
        <is>
          <t>Nhân viên</t>
        </is>
      </c>
      <c r="H2987" t="inlineStr">
        <is>
          <t>25/02/2026</t>
        </is>
      </c>
      <c r="I2987" t="inlineStr">
        <is>
          <t>27/03/2026</t>
        </is>
      </c>
      <c r="J2987" t="inlineStr">
        <is>
          <t>17/03/2026</t>
        </is>
      </c>
      <c r="K2987" t="inlineStr">
        <is>
          <t>N/A</t>
        </is>
      </c>
      <c r="L2987" t="inlineStr">
        <is>
          <t>Finance, General Accounting, ERP</t>
        </is>
      </c>
      <c r="M2987" t="inlineStr">
        <is>
          <t>Bonus, Healthcare Plan, Paid Leave</t>
        </is>
      </c>
      <c r="N2987" s="8">
        <f>HYPERLINK("https://www.vietnamworks.com/tro-ly-ke-toan-accountant-assistant--2013657-jv","Xem chi tiết")</f>
        <v/>
      </c>
    </row>
    <row r="2988">
      <c r="B2988" s="9" t="n">
        <v>2986</v>
      </c>
      <c r="C2988" s="10" t="inlineStr">
        <is>
          <t>Kỹ Sư Điện (Thu Nhập 20 Triệu)</t>
        </is>
      </c>
      <c r="D2988" s="10" t="inlineStr">
        <is>
          <t>CTY TNHH KAME VIỆT NAM</t>
        </is>
      </c>
      <c r="E2988" s="10" t="inlineStr">
        <is>
          <t>10tr-20tr ₫/tháng</t>
        </is>
      </c>
      <c r="F2988" s="10" t="inlineStr">
        <is>
          <t>Hà Nội</t>
        </is>
      </c>
      <c r="G2988" s="10" t="inlineStr">
        <is>
          <t>Mới Tốt Nghiệp</t>
        </is>
      </c>
      <c r="H2988" s="10" t="inlineStr">
        <is>
          <t>25/02/2026</t>
        </is>
      </c>
      <c r="I2988" s="10" t="inlineStr">
        <is>
          <t>27/03/2026</t>
        </is>
      </c>
      <c r="J2988" s="10" t="inlineStr">
        <is>
          <t>17/03/2026</t>
        </is>
      </c>
      <c r="K2988" s="10" t="inlineStr">
        <is>
          <t>N/A</t>
        </is>
      </c>
      <c r="L2988" s="10" t="inlineStr">
        <is>
          <t>AutoCAD, Sketchup, Điện tử, Bóc Tách Khối Lượng, Thiết Kế Bản Vẽ</t>
        </is>
      </c>
      <c r="M2988" s="10" t="inlineStr">
        <is>
          <t>Training, Others</t>
        </is>
      </c>
      <c r="N2988" s="11">
        <f>HYPERLINK("https://www.vietnamworks.com/ky-su-djien-thu-nhap-20-trieu-2013678-jv","Xem chi tiết")</f>
        <v/>
      </c>
      <c r="O2988" s="10" t="n"/>
    </row>
    <row r="2989">
      <c r="B2989" s="7" t="n">
        <v>2987</v>
      </c>
      <c r="C2989" t="inlineStr">
        <is>
          <t>Account Manager (Cloud Sales Representative) (Hanoi and Hochiminh)</t>
        </is>
      </c>
      <c r="D2989" t="inlineStr">
        <is>
          <t>Megazone Vietnam Company limited</t>
        </is>
      </c>
      <c r="E2989" t="inlineStr">
        <is>
          <t>Thương lượng</t>
        </is>
      </c>
      <c r="F2989" t="inlineStr">
        <is>
          <t>Hà Nội, Hồ Chí Minh</t>
        </is>
      </c>
      <c r="G2989" t="inlineStr">
        <is>
          <t>Nhân viên</t>
        </is>
      </c>
      <c r="H2989" t="inlineStr">
        <is>
          <t>25/02/2026</t>
        </is>
      </c>
      <c r="I2989" t="inlineStr">
        <is>
          <t>27/03/2026</t>
        </is>
      </c>
      <c r="J2989" t="inlineStr">
        <is>
          <t>17/03/2026</t>
        </is>
      </c>
      <c r="K2989" t="inlineStr">
        <is>
          <t>N/A</t>
        </is>
      </c>
      <c r="L2989" t="inlineStr">
        <is>
          <t>Amazon Web Services, AWS Architecture, Cloud Solutions, Customer Development, Technical Solutions</t>
        </is>
      </c>
      <c r="M2989" t="inlineStr">
        <is>
          <t>Bonus, Healthcare Plan, Others</t>
        </is>
      </c>
      <c r="N2989" s="8">
        <f>HYPERLINK("https://www.vietnamworks.com/account-manager-cloud-sales-representative-hanoi-and-hochiminh-2013659-jv","Xem chi tiết")</f>
        <v/>
      </c>
    </row>
    <row r="2990">
      <c r="B2990" s="9" t="n">
        <v>2988</v>
      </c>
      <c r="C2990" s="10" t="inlineStr">
        <is>
          <t>Chuyên Viên Dự Toán Công Trình (Upto 18Tr/ Tháng)</t>
        </is>
      </c>
      <c r="D2990" s="10" t="inlineStr">
        <is>
          <t>G-I Corporation</t>
        </is>
      </c>
      <c r="E2990" s="10" t="inlineStr">
        <is>
          <t>10tr-18tr ₫/tháng</t>
        </is>
      </c>
      <c r="F2990" s="10" t="inlineStr">
        <is>
          <t>Hà Nội</t>
        </is>
      </c>
      <c r="G2990" s="10" t="inlineStr">
        <is>
          <t>Nhân viên</t>
        </is>
      </c>
      <c r="H2990" s="10" t="inlineStr">
        <is>
          <t>25/02/2026</t>
        </is>
      </c>
      <c r="I2990" s="10" t="inlineStr">
        <is>
          <t>27/03/2026</t>
        </is>
      </c>
      <c r="J2990" s="10" t="inlineStr">
        <is>
          <t>17/03/2026</t>
        </is>
      </c>
      <c r="K2990" s="10" t="inlineStr">
        <is>
          <t>N/A</t>
        </is>
      </c>
      <c r="L2990" s="10" t="inlineStr">
        <is>
          <t>Auto CAD, Bóc Tách Khối Lượng, Công Trình Nội Thất, Dự Toán Công Trình, Đọc Hiểu Bản Vẽ</t>
        </is>
      </c>
      <c r="M2990" s="10" t="inlineStr">
        <is>
          <t>Bonus, Healthcare Plan</t>
        </is>
      </c>
      <c r="N2990" s="11">
        <f>HYPERLINK("https://www.vietnamworks.com/chuyen-vien-du-toan-cong-trinh-upto-18tr-thang-2013667-jv","Xem chi tiết")</f>
        <v/>
      </c>
      <c r="O2990" s="10" t="n"/>
    </row>
    <row r="2991">
      <c r="B2991" s="7" t="n">
        <v>2989</v>
      </c>
      <c r="C2991" t="inlineStr">
        <is>
          <t>QA Specialist</t>
        </is>
      </c>
      <c r="D2991" t="inlineStr">
        <is>
          <t>I. Schroeder KG (GmbH &amp; Co)</t>
        </is>
      </c>
      <c r="E2991" t="inlineStr">
        <is>
          <t>Thương lượng</t>
        </is>
      </c>
      <c r="F2991" t="inlineStr">
        <is>
          <t>Hồ Chí Minh</t>
        </is>
      </c>
      <c r="G2991" t="inlineStr">
        <is>
          <t>Nhân viên</t>
        </is>
      </c>
      <c r="H2991" t="inlineStr">
        <is>
          <t>25/02/2026</t>
        </is>
      </c>
      <c r="I2991" t="inlineStr">
        <is>
          <t>27/03/2026</t>
        </is>
      </c>
      <c r="J2991" t="inlineStr">
        <is>
          <t>17/03/2026</t>
        </is>
      </c>
      <c r="K2991" t="inlineStr">
        <is>
          <t>N/A</t>
        </is>
      </c>
      <c r="L2991" t="inlineStr">
        <is>
          <t>Quality Management System, HACCP, Quality Control, Food Technology, Analytical Skills</t>
        </is>
      </c>
      <c r="M2991" t="inlineStr">
        <is>
          <t>Bonus, Healthcare Plan, Paid Leave, Training, Laptop, Team Activities, Transportation, Others</t>
        </is>
      </c>
      <c r="N2991" s="8">
        <f>HYPERLINK("https://www.vietnamworks.com/qa-specialist-2013670-jv","Xem chi tiết")</f>
        <v/>
      </c>
    </row>
    <row r="2992">
      <c r="B2992" s="9" t="n">
        <v>2990</v>
      </c>
      <c r="C2992" s="10" t="inlineStr">
        <is>
          <t>Kỹ Sư Cơ Điện Điều Hòa</t>
        </is>
      </c>
      <c r="D2992" s="10" t="inlineStr">
        <is>
          <t>Công Ty TNHH Mic-Tech Việt Nam</t>
        </is>
      </c>
      <c r="E2992" s="10" t="inlineStr">
        <is>
          <t>Thương lượng</t>
        </is>
      </c>
      <c r="F2992" s="10" t="inlineStr">
        <is>
          <t>Hải Phòng</t>
        </is>
      </c>
      <c r="G2992" s="10" t="inlineStr">
        <is>
          <t>Nhân viên</t>
        </is>
      </c>
      <c r="H2992" s="10" t="inlineStr">
        <is>
          <t>25/02/2026</t>
        </is>
      </c>
      <c r="I2992" s="10" t="inlineStr">
        <is>
          <t>27/03/2026</t>
        </is>
      </c>
      <c r="J2992" s="10" t="inlineStr">
        <is>
          <t>17/03/2026</t>
        </is>
      </c>
      <c r="K2992" s="10" t="inlineStr">
        <is>
          <t>N/A</t>
        </is>
      </c>
      <c r="L2992" s="10" t="inlineStr">
        <is>
          <t>N/A</t>
        </is>
      </c>
      <c r="M2992" s="10" t="inlineStr">
        <is>
          <t>Bonus, Healthcare Plan, Paid Leave, Transportation, Others</t>
        </is>
      </c>
      <c r="N2992" s="11">
        <f>HYPERLINK("https://www.vietnamworks.com/ky-su-co-djien-djieu-hoa-2013664-jv","Xem chi tiết")</f>
        <v/>
      </c>
      <c r="O2992" s="10" t="n"/>
    </row>
    <row r="2993">
      <c r="B2993" s="7" t="n">
        <v>2991</v>
      </c>
      <c r="C2993" t="inlineStr">
        <is>
          <t>Accounting Associate (Accounts Payable)</t>
        </is>
      </c>
      <c r="D2993" t="inlineStr">
        <is>
          <t>First Trust ACPA Vietnam CO., LTD</t>
        </is>
      </c>
      <c r="E2993" t="inlineStr">
        <is>
          <t>$$ 100-5,000 /tháng</t>
        </is>
      </c>
      <c r="F2993" t="inlineStr">
        <is>
          <t>Hà Nội</t>
        </is>
      </c>
      <c r="G2993" t="inlineStr">
        <is>
          <t>Mới Tốt Nghiệp</t>
        </is>
      </c>
      <c r="H2993" t="inlineStr">
        <is>
          <t>25/02/2026</t>
        </is>
      </c>
      <c r="I2993" t="inlineStr">
        <is>
          <t>27/03/2026</t>
        </is>
      </c>
      <c r="J2993" t="inlineStr">
        <is>
          <t>17/03/2026</t>
        </is>
      </c>
      <c r="K2993" t="inlineStr">
        <is>
          <t>N/A</t>
        </is>
      </c>
      <c r="L2993" t="inlineStr">
        <is>
          <t>Accounting, Accounts Payable, English Language Proficiency, Interpersonal Skills, Microsoft Excel</t>
        </is>
      </c>
      <c r="M2993" t="inlineStr">
        <is>
          <t>Training, Others</t>
        </is>
      </c>
      <c r="N2993" s="8">
        <f>HYPERLINK("https://www.vietnamworks.com/accounting-associate-accounts-payable-2013673-jv","Xem chi tiết")</f>
        <v/>
      </c>
    </row>
    <row r="2994">
      <c r="B2994" s="9" t="n">
        <v>2992</v>
      </c>
      <c r="C2994" s="10" t="inlineStr">
        <is>
          <t>Purchasing Assistant</t>
        </is>
      </c>
      <c r="D2994" s="10" t="inlineStr">
        <is>
          <t>I. Schroeder KG (GmbH &amp; Co)</t>
        </is>
      </c>
      <c r="E2994" s="10" t="inlineStr">
        <is>
          <t>Thương lượng</t>
        </is>
      </c>
      <c r="F2994" s="10" t="inlineStr">
        <is>
          <t>Hồ Chí Minh</t>
        </is>
      </c>
      <c r="G2994" s="10" t="inlineStr">
        <is>
          <t>Nhân viên</t>
        </is>
      </c>
      <c r="H2994" s="10" t="inlineStr">
        <is>
          <t>25/02/2026</t>
        </is>
      </c>
      <c r="I2994" s="10" t="inlineStr">
        <is>
          <t>27/03/2026</t>
        </is>
      </c>
      <c r="J2994" s="10" t="inlineStr">
        <is>
          <t>17/03/2026</t>
        </is>
      </c>
      <c r="K2994" s="10" t="inlineStr">
        <is>
          <t>N/A</t>
        </is>
      </c>
      <c r="L2994" s="10" t="inlineStr">
        <is>
          <t>Familiar with Procurement Process, MS Office, Market Research, Analytical Skills, Teamwork</t>
        </is>
      </c>
      <c r="M2994" s="10" t="inlineStr">
        <is>
          <t>Bonus, Healthcare Plan, Paid Leave, Training, Laptop, Team Activities, Others</t>
        </is>
      </c>
      <c r="N2994" s="11">
        <f>HYPERLINK("https://www.vietnamworks.com/purchasing-assistant-2013668-jv","Xem chi tiết")</f>
        <v/>
      </c>
      <c r="O2994" s="10" t="n"/>
    </row>
    <row r="2995">
      <c r="B2995" s="7" t="n">
        <v>2993</v>
      </c>
      <c r="C2995" t="inlineStr">
        <is>
          <t>Chuyên viên, Chuyên viên cao cấp Quản lý pháp chế - Legal Management Specialist, Senior Specialist - Khối Pháp chế và Tuân thủ (HO26.47)</t>
        </is>
      </c>
      <c r="D2995" t="inlineStr">
        <is>
          <t>NGÂN HÀNG TMCP QUÂN ĐỘI – MBBANK</t>
        </is>
      </c>
      <c r="E2995" t="inlineStr">
        <is>
          <t>Thương lượng</t>
        </is>
      </c>
      <c r="F2995" t="inlineStr">
        <is>
          <t>Hà Nội</t>
        </is>
      </c>
      <c r="G2995" t="inlineStr">
        <is>
          <t>Nhân viên</t>
        </is>
      </c>
      <c r="H2995" t="inlineStr">
        <is>
          <t>25/02/2026</t>
        </is>
      </c>
      <c r="I2995" t="inlineStr">
        <is>
          <t>27/03/2026</t>
        </is>
      </c>
      <c r="J2995" t="inlineStr">
        <is>
          <t>17/03/2026</t>
        </is>
      </c>
      <c r="K2995" t="inlineStr">
        <is>
          <t>N/A</t>
        </is>
      </c>
      <c r="L2995" t="inlineStr">
        <is>
          <t>Contract Review, Legal Advisory, Legal Risk Management, Policy Development, Regulatory Compliance</t>
        </is>
      </c>
      <c r="M2995" t="inlineStr">
        <is>
          <t>Bonus, Healthcare Plan, Paid Leave, Training, Team Activities, Vouchers, Others</t>
        </is>
      </c>
      <c r="N2995" s="8">
        <f>HYPERLINK("https://www.vietnamworks.com/chuyen-vien-chuyen-vien-cao-cap-quan-ly-phap-che-legal-management-specialist-senior-specialist-khoi-phap-che-va-tuan-thu-ho26-47-2013660-jv","Xem chi tiết")</f>
        <v/>
      </c>
    </row>
    <row r="2996">
      <c r="B2996" s="9" t="n">
        <v>2994</v>
      </c>
      <c r="C2996" s="10" t="inlineStr">
        <is>
          <t>Tuyển Gấp - Trưởng Phòng Truyền Thông PR (Chủ Đầu Tư BĐS)</t>
        </is>
      </c>
      <c r="D2996" s="10" t="inlineStr">
        <is>
          <t>Công Ty CP Tập Đoàn Everland</t>
        </is>
      </c>
      <c r="E2996" s="10" t="inlineStr">
        <is>
          <t>Thương lượng</t>
        </is>
      </c>
      <c r="F2996" s="10" t="inlineStr">
        <is>
          <t>Hà Nội</t>
        </is>
      </c>
      <c r="G2996" s="10" t="inlineStr">
        <is>
          <t>Nhân viên</t>
        </is>
      </c>
      <c r="H2996" s="10" t="inlineStr">
        <is>
          <t>25/02/2026</t>
        </is>
      </c>
      <c r="I2996" s="10" t="inlineStr">
        <is>
          <t>27/03/2026</t>
        </is>
      </c>
      <c r="J2996" s="10" t="inlineStr">
        <is>
          <t>17/03/2026</t>
        </is>
      </c>
      <c r="K2996" s="10" t="inlineStr">
        <is>
          <t>N/A</t>
        </is>
      </c>
      <c r="L2996" s="10" t="inlineStr">
        <is>
          <t>Truyền Thông Báo Chí, Truyền Thông Dự Án, Truyền Thông</t>
        </is>
      </c>
      <c r="M2996" s="10" t="inlineStr">
        <is>
          <t>Bonus, Healthcare Plan, Team Activities</t>
        </is>
      </c>
      <c r="N2996" s="11">
        <f>HYPERLINK("https://www.vietnamworks.com/tuyen-gap-truong-phong-truyen-thong-pr-chu-dau-tu-bds-2013681-jv","Xem chi tiết")</f>
        <v/>
      </c>
      <c r="O2996" s="10" t="n"/>
    </row>
    <row r="2997">
      <c r="B2997" s="7" t="n">
        <v>2995</v>
      </c>
      <c r="C2997" t="inlineStr">
        <is>
          <t>Chuyên gia Tư vấn pháp chế (mảng Khách hàng lớn/ Ngân hàng đầu tư) - Legal Consultant Expert - Khối Pháp chế và Tuân thủ (HO26.48)</t>
        </is>
      </c>
      <c r="D2997" t="inlineStr">
        <is>
          <t>NGÂN HÀNG TMCP QUÂN ĐỘI – MBBANK</t>
        </is>
      </c>
      <c r="E2997" t="inlineStr">
        <is>
          <t>Thương lượng</t>
        </is>
      </c>
      <c r="F2997" t="inlineStr">
        <is>
          <t>Hà Nội</t>
        </is>
      </c>
      <c r="G2997" t="inlineStr">
        <is>
          <t>Nhân viên</t>
        </is>
      </c>
      <c r="H2997" t="inlineStr">
        <is>
          <t>25/02/2026</t>
        </is>
      </c>
      <c r="I2997" t="inlineStr">
        <is>
          <t>27/03/2026</t>
        </is>
      </c>
      <c r="J2997" t="inlineStr">
        <is>
          <t>17/03/2026</t>
        </is>
      </c>
      <c r="K2997" t="inlineStr">
        <is>
          <t>N/A</t>
        </is>
      </c>
      <c r="L2997" t="inlineStr">
        <is>
          <t>Banking, Economic Law, Legal Affairs, Legal Consulting, Luật Kinh Tế</t>
        </is>
      </c>
      <c r="M2997" t="inlineStr">
        <is>
          <t>Bonus, Healthcare Plan, Paid Leave, Training, Team Activities, Vouchers, Others</t>
        </is>
      </c>
      <c r="N2997" s="8">
        <f>HYPERLINK("https://www.vietnamworks.com/chuyen-gia-tu-van-phap-che-mang-khach-hang-lon-ngan-hang-djau-tu-legal-consultant-expert-khoi-phap-che-va-tuan-thu-ho26-48-2013662-jv","Xem chi tiết")</f>
        <v/>
      </c>
    </row>
    <row r="2998">
      <c r="B2998" s="9" t="n">
        <v>2996</v>
      </c>
      <c r="C2998" s="10" t="inlineStr">
        <is>
          <t>Chuyên viên, Chuyên viên cao cấp mảng Chính sách rủi ro tín dụng - Credit Risk Policy Specialist, Senior Specialist - Khối Quản trị rủi ro (HO26.51)</t>
        </is>
      </c>
      <c r="D2998" s="10" t="inlineStr">
        <is>
          <t>NGÂN HÀNG TMCP QUÂN ĐỘI – MBBANK</t>
        </is>
      </c>
      <c r="E2998" s="10" t="inlineStr">
        <is>
          <t>Thương lượng</t>
        </is>
      </c>
      <c r="F2998" s="10" t="inlineStr">
        <is>
          <t>Hà Nội</t>
        </is>
      </c>
      <c r="G2998" s="10" t="inlineStr">
        <is>
          <t>Nhân viên</t>
        </is>
      </c>
      <c r="H2998" s="10" t="inlineStr">
        <is>
          <t>25/02/2026</t>
        </is>
      </c>
      <c r="I2998" s="10" t="inlineStr">
        <is>
          <t>27/03/2026</t>
        </is>
      </c>
      <c r="J2998" s="10" t="inlineStr">
        <is>
          <t>17/03/2026</t>
        </is>
      </c>
      <c r="K2998" s="10" t="inlineStr">
        <is>
          <t>N/A</t>
        </is>
      </c>
      <c r="L2998" s="10" t="inlineStr">
        <is>
          <t>Debt Collection, Dispute Settlement, Legal Representation, Stakeholder Management, Handling Adverse Information</t>
        </is>
      </c>
      <c r="M2998" s="10" t="inlineStr">
        <is>
          <t>Bonus, Healthcare Plan, Paid Leave, Training, Team Activities, Vouchers, Others</t>
        </is>
      </c>
      <c r="N2998" s="11">
        <f>HYPERLINK("https://www.vietnamworks.com/chuyen-vien-chuyen-vien-cao-cap-mang-chinh-sach-rui-ro-tin-dung-credit-risk-policy-specialist-senior-specialist-khoi-quan-tri-rui-ro-ho26-51-2013666-jv","Xem chi tiết")</f>
        <v/>
      </c>
      <c r="O2998" s="10" t="n"/>
    </row>
    <row r="2999">
      <c r="B2999" s="7" t="n">
        <v>2997</v>
      </c>
      <c r="C2999" t="inlineStr">
        <is>
          <t>Supervisor Production - Giám Sát Sản Xuất</t>
        </is>
      </c>
      <c r="D2999" t="inlineStr">
        <is>
          <t>Coepto Vietnam Company</t>
        </is>
      </c>
      <c r="E2999" t="inlineStr">
        <is>
          <t>Thương lượng</t>
        </is>
      </c>
      <c r="F2999" t="inlineStr">
        <is>
          <t>Long An</t>
        </is>
      </c>
      <c r="G2999" t="inlineStr">
        <is>
          <t>Trưởng phòng</t>
        </is>
      </c>
      <c r="H2999" t="inlineStr">
        <is>
          <t>25/02/2026</t>
        </is>
      </c>
      <c r="I2999" t="inlineStr">
        <is>
          <t>27/03/2026</t>
        </is>
      </c>
      <c r="J2999" t="inlineStr">
        <is>
          <t>17/03/2026</t>
        </is>
      </c>
      <c r="K2999" t="inlineStr">
        <is>
          <t>N/A</t>
        </is>
      </c>
      <c r="L2999" t="inlineStr">
        <is>
          <t>Production Management, Production Control, Packaging Engineering, Paper Technology, People Management</t>
        </is>
      </c>
      <c r="M2999" t="inlineStr">
        <is>
          <t>Bonus, Healthcare Plan, Paid Leave</t>
        </is>
      </c>
      <c r="N2999" s="8">
        <f>HYPERLINK("https://www.vietnamworks.com/supervisor-production-giam-sat-san-xuat-2013672-jv","Xem chi tiết")</f>
        <v/>
      </c>
    </row>
    <row r="3000">
      <c r="B3000" s="9" t="n">
        <v>2998</v>
      </c>
      <c r="C3000" s="10" t="inlineStr">
        <is>
          <t>Chuyên viên, Chuyên viên cao cấp Quản trị rủi ro tích hợp - Integrated Risk Management Specialist, Senior Specialist - Khối Quản trị rủi ro (HO26.49)</t>
        </is>
      </c>
      <c r="D3000" s="10" t="inlineStr">
        <is>
          <t>NGÂN HÀNG TMCP QUÂN ĐỘI – MBBANK</t>
        </is>
      </c>
      <c r="E3000" s="10" t="inlineStr">
        <is>
          <t>Thương lượng</t>
        </is>
      </c>
      <c r="F3000" s="10" t="inlineStr">
        <is>
          <t>Hà Nội</t>
        </is>
      </c>
      <c r="G3000" s="10" t="inlineStr">
        <is>
          <t>Nhân viên</t>
        </is>
      </c>
      <c r="H3000" s="10" t="inlineStr">
        <is>
          <t>25/02/2026</t>
        </is>
      </c>
      <c r="I3000" s="10" t="inlineStr">
        <is>
          <t>27/03/2026</t>
        </is>
      </c>
      <c r="J3000" s="10" t="inlineStr">
        <is>
          <t>17/03/2026</t>
        </is>
      </c>
      <c r="K3000" s="10" t="inlineStr">
        <is>
          <t>N/A</t>
        </is>
      </c>
      <c r="L3000" s="10" t="inlineStr">
        <is>
          <t>Banking, CAR, Risk Management, SQL, VBA</t>
        </is>
      </c>
      <c r="M3000" s="10" t="inlineStr">
        <is>
          <t>Bonus, Healthcare Plan, Paid Leave, Training, Team Activities, Vouchers, Others</t>
        </is>
      </c>
      <c r="N3000" s="11">
        <f>HYPERLINK("https://www.vietnamworks.com/chuyen-vien-chuyen-vien-cao-cap-quan-tri-rui-ro-tich-hop-integrated-risk-management-specialist-senior-specialist-khoi-quan-tri-rui-ro-ho26-49-2013663-jv","Xem chi tiết")</f>
        <v/>
      </c>
      <c r="O3000" s="10" t="n"/>
    </row>
    <row r="3001">
      <c r="B3001" s="7" t="n">
        <v>2999</v>
      </c>
      <c r="C3001" t="inlineStr">
        <is>
          <t>[CISS] Senior School Service Executive</t>
        </is>
      </c>
      <c r="D3001" t="inlineStr">
        <is>
          <t>The Canadian International School System - Ciss (Hệ Thống Trường Quốc Tế Canada)</t>
        </is>
      </c>
      <c r="E3001" t="inlineStr">
        <is>
          <t>Thương lượng</t>
        </is>
      </c>
      <c r="F3001" t="inlineStr">
        <is>
          <t>Hồ Chí Minh</t>
        </is>
      </c>
      <c r="G3001" t="inlineStr">
        <is>
          <t>Nhân viên</t>
        </is>
      </c>
      <c r="H3001" t="inlineStr">
        <is>
          <t>25/02/2026</t>
        </is>
      </c>
      <c r="I3001" t="inlineStr">
        <is>
          <t>27/03/2026</t>
        </is>
      </c>
      <c r="J3001" t="inlineStr">
        <is>
          <t>17/03/2026</t>
        </is>
      </c>
      <c r="K3001" t="inlineStr">
        <is>
          <t>N/A</t>
        </is>
      </c>
      <c r="L3001" t="inlineStr">
        <is>
          <t>Communication, Customer Service, Leadership, Problem-solving, School Operations</t>
        </is>
      </c>
      <c r="M3001" t="inlineStr">
        <is>
          <t>Healthcare Plan, Paid Leave, Canteen</t>
        </is>
      </c>
      <c r="N3001" s="8">
        <f>HYPERLINK("https://www.vietnamworks.com/ciss-senior-school-service-executive-2013680-jv","Xem chi tiết")</f>
        <v/>
      </c>
    </row>
    <row r="3002">
      <c r="B3002" s="9" t="n">
        <v>3000</v>
      </c>
      <c r="C3002" s="10" t="inlineStr">
        <is>
          <t>Chuyên viên, Chuyên viên cao cấp Giám sát rủi ro tín dụng - Credit Risk Monitoring Specialist, Senior Specialist - Khối Quản trị rủi ro (HO26.50)</t>
        </is>
      </c>
      <c r="D3002" s="10" t="inlineStr">
        <is>
          <t>NGÂN HÀNG TMCP QUÂN ĐỘI – MBBANK</t>
        </is>
      </c>
      <c r="E3002" s="10" t="inlineStr">
        <is>
          <t>Thương lượng</t>
        </is>
      </c>
      <c r="F3002" s="10" t="inlineStr">
        <is>
          <t>Hà Nội</t>
        </is>
      </c>
      <c r="G3002" s="10" t="inlineStr">
        <is>
          <t>Nhân viên</t>
        </is>
      </c>
      <c r="H3002" s="10" t="inlineStr">
        <is>
          <t>25/02/2026</t>
        </is>
      </c>
      <c r="I3002" s="10" t="inlineStr">
        <is>
          <t>27/03/2026</t>
        </is>
      </c>
      <c r="J3002" s="10" t="inlineStr">
        <is>
          <t>17/03/2026</t>
        </is>
      </c>
      <c r="K3002" s="10" t="inlineStr">
        <is>
          <t>N/A</t>
        </is>
      </c>
      <c r="L3002" s="10" t="inlineStr">
        <is>
          <t>Data Collection, Reporting Tools, Risk Measurement, SQL, VBA</t>
        </is>
      </c>
      <c r="M3002" s="10" t="inlineStr">
        <is>
          <t>Bonus, Healthcare Plan, Paid Leave, Training, Team Activities, Vouchers, Others</t>
        </is>
      </c>
      <c r="N3002" s="11">
        <f>HYPERLINK("https://www.vietnamworks.com/chuyen-vien-chuyen-vien-cao-cap-giam-sat-rui-ro-tin-dung-credit-risk-monitoring-specialist-senior-specialist-khoi-quan-tri-rui-ro-ho26-50-2013665-jv","Xem chi tiết")</f>
        <v/>
      </c>
      <c r="O3002" s="10" t="n"/>
    </row>
    <row r="3003">
      <c r="B3003" s="7" t="n">
        <v>3001</v>
      </c>
      <c r="C3003" t="inlineStr">
        <is>
          <t>Chuyên Gia Quan Hệ Đối Tác Chi Tiêu Thẻ</t>
        </is>
      </c>
      <c r="D3003" t="inlineStr">
        <is>
          <t>Ngân Hàng TMCP Quốc Tế Việt Nam (VIB)</t>
        </is>
      </c>
      <c r="E3003" t="inlineStr">
        <is>
          <t>Từ $ 1,500 /tháng</t>
        </is>
      </c>
      <c r="F3003" t="inlineStr">
        <is>
          <t>Hà Nội</t>
        </is>
      </c>
      <c r="G3003" t="inlineStr">
        <is>
          <t>Nhân viên</t>
        </is>
      </c>
      <c r="H3003" t="inlineStr">
        <is>
          <t>25/02/2026</t>
        </is>
      </c>
      <c r="I3003" t="inlineStr">
        <is>
          <t>27/03/2026</t>
        </is>
      </c>
      <c r="J3003" t="inlineStr">
        <is>
          <t>17/03/2026</t>
        </is>
      </c>
      <c r="K3003" t="inlineStr">
        <is>
          <t>N/A</t>
        </is>
      </c>
      <c r="L3003" t="inlineStr">
        <is>
          <t>Kỹ năng giao tiếp, Phát Triển Đối Tác, Quản Lý Chi Tiêu, Tiếng Anh thành thạo</t>
        </is>
      </c>
      <c r="M3003" t="inlineStr">
        <is>
          <t>Bonus, Healthcare Plan, Training, Travel Opportunities, Others</t>
        </is>
      </c>
      <c r="N3003" s="8">
        <f>HYPERLINK("https://www.vietnamworks.com/chuyen-gia-quan-he-djoi-tac-chi-tieu-the-2013674-jv","Xem chi tiết")</f>
        <v/>
      </c>
    </row>
    <row r="3004">
      <c r="B3004" s="9" t="n">
        <v>3002</v>
      </c>
      <c r="C3004" s="10" t="inlineStr">
        <is>
          <t>Wholesales Leisure Consultant - English Speaking Markets</t>
        </is>
      </c>
      <c r="D3004" s="10" t="inlineStr">
        <is>
          <t>Trails Of Indochina Limited (Toi)</t>
        </is>
      </c>
      <c r="E3004" s="10" t="inlineStr">
        <is>
          <t>Thương lượng</t>
        </is>
      </c>
      <c r="F3004" s="10" t="inlineStr">
        <is>
          <t>Hồ Chí Minh</t>
        </is>
      </c>
      <c r="G3004" s="10" t="inlineStr">
        <is>
          <t>Nhân viên</t>
        </is>
      </c>
      <c r="H3004" s="10" t="inlineStr">
        <is>
          <t>25/02/2026</t>
        </is>
      </c>
      <c r="I3004" s="10" t="inlineStr">
        <is>
          <t>27/03/2026</t>
        </is>
      </c>
      <c r="J3004" s="10" t="inlineStr">
        <is>
          <t>17/03/2026</t>
        </is>
      </c>
      <c r="K3004" s="10" t="inlineStr">
        <is>
          <t>N/A</t>
        </is>
      </c>
      <c r="L3004" s="10" t="inlineStr">
        <is>
          <t>Customer Service, English Communication, Hospitality Knowledge, MS Office, Sales</t>
        </is>
      </c>
      <c r="M3004" s="10" t="inlineStr">
        <is>
          <t>Healthcare Plan, Paid Leave</t>
        </is>
      </c>
      <c r="N3004" s="11">
        <f>HYPERLINK("https://www.vietnamworks.com/wholesales-leisure-consultant-english-speaking-markets-2013661-jv","Xem chi tiết")</f>
        <v/>
      </c>
      <c r="O3004" s="10" t="n"/>
    </row>
    <row r="3005">
      <c r="B3005" s="7" t="n">
        <v>3003</v>
      </c>
      <c r="C3005" t="inlineStr">
        <is>
          <t>Giám Sát An Toàn Lao Động</t>
        </is>
      </c>
      <c r="D3005" t="inlineStr">
        <is>
          <t>Vacons (Interior Design &amp; Build)</t>
        </is>
      </c>
      <c r="E3005" t="inlineStr">
        <is>
          <t>12tr-20tr ₫/tháng</t>
        </is>
      </c>
      <c r="F3005" t="inlineStr">
        <is>
          <t>Hồ Chí Minh</t>
        </is>
      </c>
      <c r="G3005" t="inlineStr">
        <is>
          <t>Nhân viên</t>
        </is>
      </c>
      <c r="H3005" t="inlineStr">
        <is>
          <t>25/02/2026</t>
        </is>
      </c>
      <c r="I3005" t="inlineStr">
        <is>
          <t>27/03/2026</t>
        </is>
      </c>
      <c r="J3005" t="inlineStr">
        <is>
          <t>17/03/2026</t>
        </is>
      </c>
      <c r="K3005" t="inlineStr">
        <is>
          <t>N/A</t>
        </is>
      </c>
      <c r="L3005" t="inlineStr">
        <is>
          <t>An Toàn Lao Động, Giao Tiếp, Kỹ năng quan sát và phân tích vấn đề, Môi Trường, Xây Dựng</t>
        </is>
      </c>
      <c r="M3005" t="inlineStr">
        <is>
          <t>Bonus, Healthcare Plan, Training, Others</t>
        </is>
      </c>
      <c r="N3005" s="8">
        <f>HYPERLINK("https://www.vietnamworks.com/giam-sat-an-toan-lao-djong-2013682-jv","Xem chi tiết")</f>
        <v/>
      </c>
    </row>
    <row r="3006">
      <c r="B3006" s="9" t="n">
        <v>3004</v>
      </c>
      <c r="C3006" s="10" t="inlineStr">
        <is>
          <t>3 Chuyên Viên Kiểm Toán</t>
        </is>
      </c>
      <c r="D3006" s="10" t="inlineStr">
        <is>
          <t>Công Ty Cổ Phần Tập Đoàn Hòa Phát</t>
        </is>
      </c>
      <c r="E3006" s="10" t="inlineStr">
        <is>
          <t>Thương lượng</t>
        </is>
      </c>
      <c r="F3006" s="10" t="inlineStr">
        <is>
          <t>Hà Nội</t>
        </is>
      </c>
      <c r="G3006" s="10" t="inlineStr">
        <is>
          <t>Nhân viên</t>
        </is>
      </c>
      <c r="H3006" s="10" t="inlineStr">
        <is>
          <t>25/02/2026</t>
        </is>
      </c>
      <c r="I3006" s="10" t="inlineStr">
        <is>
          <t>27/03/2026</t>
        </is>
      </c>
      <c r="J3006" s="10" t="inlineStr">
        <is>
          <t>17/03/2026</t>
        </is>
      </c>
      <c r="K3006" s="10" t="inlineStr">
        <is>
          <t>N/A</t>
        </is>
      </c>
      <c r="L3006" s="10" t="inlineStr">
        <is>
          <t>Tài Chính, Kế Toán, Power BI, Phần Mềm Kế Toán, Tiếng Anh</t>
        </is>
      </c>
      <c r="M3006" s="10" t="inlineStr">
        <is>
          <t>Bonus, Healthcare Plan, Canteen</t>
        </is>
      </c>
      <c r="N3006" s="11">
        <f>HYPERLINK("https://www.vietnamworks.com/3-chuyen-vien-kiem-toan-2013675-jv","Xem chi tiết")</f>
        <v/>
      </c>
      <c r="O3006" s="10" t="n"/>
    </row>
    <row r="3007">
      <c r="B3007" s="7" t="n">
        <v>3005</v>
      </c>
      <c r="C3007" t="inlineStr">
        <is>
          <t>[ Hot Job ] Trưởng Phòng Kỹ Thuật Dịch Vụ (Hvac/m&amp;e) (Tổng Thu Nhập Từ 40-50 Triệu/tháng)</t>
        </is>
      </c>
      <c r="D3007" t="inlineStr">
        <is>
          <t>Công Ty TNHH Đầu Tư Phát Triển Thương Mại Dịch Vụ Hà Trung</t>
        </is>
      </c>
      <c r="E3007" t="inlineStr">
        <is>
          <t>40tr-50tr ₫/tháng</t>
        </is>
      </c>
      <c r="F3007" t="inlineStr">
        <is>
          <t>Hà Nội</t>
        </is>
      </c>
      <c r="G3007" t="inlineStr">
        <is>
          <t>Trưởng phòng</t>
        </is>
      </c>
      <c r="H3007" t="inlineStr">
        <is>
          <t>25/02/2026</t>
        </is>
      </c>
      <c r="I3007" t="inlineStr">
        <is>
          <t>27/03/2026</t>
        </is>
      </c>
      <c r="J3007" t="inlineStr">
        <is>
          <t>17/03/2026</t>
        </is>
      </c>
      <c r="K3007" t="inlineStr">
        <is>
          <t>N/A</t>
        </is>
      </c>
      <c r="L3007" t="inlineStr">
        <is>
          <t>HVAC, Xây Dựng, Cơ Điện, Kỹ Thuật Nhiệt, Điện Lạnh</t>
        </is>
      </c>
      <c r="M3007" t="inlineStr">
        <is>
          <t>Bonus, Healthcare Plan, Travel Opportunities, Team Activities, Others</t>
        </is>
      </c>
      <c r="N3007" s="8">
        <f>HYPERLINK("https://www.vietnamworks.com/hot-job-truong-phong-ky-thuat-dich-vu-hvac-m-e-tong-thu-nhap-tu-40-50-trieu-thang-2013676-jv","Xem chi tiết")</f>
        <v/>
      </c>
    </row>
    <row r="3008">
      <c r="B3008" s="9" t="n">
        <v>3006</v>
      </c>
      <c r="C3008" s="10" t="inlineStr">
        <is>
          <t>Chuyên Viên Kinh Doanh B2B – Phát Triển Thị Trường</t>
        </is>
      </c>
      <c r="D3008" s="10" t="inlineStr">
        <is>
          <t>Công Ty Cổ Phần Netnam</t>
        </is>
      </c>
      <c r="E3008" s="10" t="inlineStr">
        <is>
          <t>20tr-30tr ₫/tháng</t>
        </is>
      </c>
      <c r="F3008" s="10" t="inlineStr">
        <is>
          <t>Hà Nội</t>
        </is>
      </c>
      <c r="G3008" s="10" t="inlineStr">
        <is>
          <t>Nhân viên</t>
        </is>
      </c>
      <c r="H3008" s="10" t="inlineStr">
        <is>
          <t>25/02/2026</t>
        </is>
      </c>
      <c r="I3008" s="10" t="inlineStr">
        <is>
          <t>27/03/2026</t>
        </is>
      </c>
      <c r="J3008" s="10" t="inlineStr">
        <is>
          <t>17/03/2026</t>
        </is>
      </c>
      <c r="K3008" s="10" t="inlineStr">
        <is>
          <t>N/A</t>
        </is>
      </c>
      <c r="L3008" s="10" t="inlineStr">
        <is>
          <t>Account Management, Customer Relation, Phát Triển Kinh Doanh, Tìm Kiếm Khách Hàng, Sales Planning</t>
        </is>
      </c>
      <c r="M3008" s="10" t="inlineStr">
        <is>
          <t>Bonus, Healthcare Plan, Training, Travel Opportunities, Team Activities</t>
        </is>
      </c>
      <c r="N3008" s="11">
        <f>HYPERLINK("https://www.vietnamworks.com/chuyen-vien-kinh-doanh-b2b-phat-trien-thi-truong-2013697-jv","Xem chi tiết")</f>
        <v/>
      </c>
      <c r="O3008" s="10" t="n"/>
    </row>
    <row r="3009">
      <c r="B3009" s="7" t="n">
        <v>3007</v>
      </c>
      <c r="C3009" t="inlineStr">
        <is>
          <t>Operation Manager/ Trưởng Phòng Điều Hành</t>
        </is>
      </c>
      <c r="D3009" t="inlineStr">
        <is>
          <t>Công ty TNHH Truyền Thông TTV</t>
        </is>
      </c>
      <c r="E3009" t="inlineStr">
        <is>
          <t>30tr-50tr ₫/tháng</t>
        </is>
      </c>
      <c r="F3009" t="inlineStr">
        <is>
          <t>Hồ Chí Minh</t>
        </is>
      </c>
      <c r="G3009" t="inlineStr">
        <is>
          <t>Trưởng phòng</t>
        </is>
      </c>
      <c r="H3009" t="inlineStr">
        <is>
          <t>25/02/2026</t>
        </is>
      </c>
      <c r="I3009" t="inlineStr">
        <is>
          <t>27/03/2026</t>
        </is>
      </c>
      <c r="J3009" t="inlineStr">
        <is>
          <t>17/03/2026</t>
        </is>
      </c>
      <c r="K3009" t="inlineStr">
        <is>
          <t>N/A</t>
        </is>
      </c>
      <c r="L3009" t="inlineStr">
        <is>
          <t>Marketing Development, Social Media Management, Team Management, Content Creation, Data Analysis</t>
        </is>
      </c>
      <c r="M3009" t="inlineStr">
        <is>
          <t>Healthcare Plan, Others</t>
        </is>
      </c>
      <c r="N3009" s="8">
        <f>HYPERLINK("https://www.vietnamworks.com/operation-manager-truong-phong-djieu-hanh-2013694-jv","Xem chi tiết")</f>
        <v/>
      </c>
    </row>
    <row r="3010">
      <c r="B3010" s="9" t="n">
        <v>3008</v>
      </c>
      <c r="C3010" s="10" t="inlineStr">
        <is>
          <t>Kiểm toán viên (mảng Tín dụng, Tài chính, Hoạt động) - Auditor (Credit, Finance, Operation) - Cơ quan Kiểm toán nội bộ (HO26.54)</t>
        </is>
      </c>
      <c r="D3010" s="10" t="inlineStr">
        <is>
          <t>NGÂN HÀNG TMCP QUÂN ĐỘI – MBBANK</t>
        </is>
      </c>
      <c r="E3010" s="10" t="inlineStr">
        <is>
          <t>Thương lượng</t>
        </is>
      </c>
      <c r="F3010" s="10" t="inlineStr">
        <is>
          <t>Hà Nội</t>
        </is>
      </c>
      <c r="G3010" s="10" t="inlineStr">
        <is>
          <t>Nhân viên</t>
        </is>
      </c>
      <c r="H3010" s="10" t="inlineStr">
        <is>
          <t>25/02/2026</t>
        </is>
      </c>
      <c r="I3010" s="10" t="inlineStr">
        <is>
          <t>27/03/2026</t>
        </is>
      </c>
      <c r="J3010" s="10" t="inlineStr">
        <is>
          <t>17/03/2026</t>
        </is>
      </c>
      <c r="K3010" s="10" t="inlineStr">
        <is>
          <t>N/A</t>
        </is>
      </c>
      <c r="L3010" s="10" t="inlineStr">
        <is>
          <t>Audit Process, Banking, Internal Audit, Kiểm toán, Tài Chính Ngân Hàng</t>
        </is>
      </c>
      <c r="M3010" s="10" t="inlineStr">
        <is>
          <t>Bonus, Healthcare Plan, Paid Leave, Training, Team Activities, Vouchers, Others</t>
        </is>
      </c>
      <c r="N3010" s="11">
        <f>HYPERLINK("https://www.vietnamworks.com/kiem-toan-vien-mang-tin-dung-tai-chinh-hoat-djong-auditor-credit-finance-operation-co-quan-kiem-toan-noi-bo-ho26-54-2013700-jv","Xem chi tiết")</f>
        <v/>
      </c>
      <c r="O3010" s="10" t="n"/>
    </row>
    <row r="3011">
      <c r="B3011" s="7" t="n">
        <v>3009</v>
      </c>
      <c r="C3011" t="inlineStr">
        <is>
          <t>Tuyển Gấp - Chuyên Viên HRBP (HRBP Hospitality)</t>
        </is>
      </c>
      <c r="D3011" t="inlineStr">
        <is>
          <t>Công Ty CP Tập Đoàn Everland</t>
        </is>
      </c>
      <c r="E3011" t="inlineStr">
        <is>
          <t>Thương lượng</t>
        </is>
      </c>
      <c r="F3011" t="inlineStr">
        <is>
          <t>Hà Nội</t>
        </is>
      </c>
      <c r="G3011" t="inlineStr">
        <is>
          <t>Nhân viên</t>
        </is>
      </c>
      <c r="H3011" t="inlineStr">
        <is>
          <t>25/02/2026</t>
        </is>
      </c>
      <c r="I3011" t="inlineStr">
        <is>
          <t>27/03/2026</t>
        </is>
      </c>
      <c r="J3011" t="inlineStr">
        <is>
          <t>17/03/2026</t>
        </is>
      </c>
      <c r="K3011" t="inlineStr">
        <is>
          <t>N/A</t>
        </is>
      </c>
      <c r="L3011" t="inlineStr">
        <is>
          <t>HRBP, Hospitality</t>
        </is>
      </c>
      <c r="M3011" t="inlineStr">
        <is>
          <t>Bonus, Healthcare Plan, Team Activities</t>
        </is>
      </c>
      <c r="N3011" s="8">
        <f>HYPERLINK("https://www.vietnamworks.com/tuyen-gap-chuyen-vien-hrbp-hrbp-hospitality-2013693-jv","Xem chi tiết")</f>
        <v/>
      </c>
    </row>
    <row r="3012">
      <c r="B3012" s="9" t="n">
        <v>3010</v>
      </c>
      <c r="C3012" s="10" t="inlineStr">
        <is>
          <t>E-Commerce Sales Manager (Cuckoo Vina Mall) - HCMC</t>
        </is>
      </c>
      <c r="D3012" s="10" t="inlineStr">
        <is>
          <t>Công Ty TNHH Cuckoovina</t>
        </is>
      </c>
      <c r="E3012" s="10" t="inlineStr">
        <is>
          <t>Thương lượng</t>
        </is>
      </c>
      <c r="F3012" s="10" t="inlineStr">
        <is>
          <t>Hồ Chí Minh</t>
        </is>
      </c>
      <c r="G3012" s="10" t="inlineStr">
        <is>
          <t>Trưởng phòng</t>
        </is>
      </c>
      <c r="H3012" s="10" t="inlineStr">
        <is>
          <t>25/02/2026</t>
        </is>
      </c>
      <c r="I3012" s="10" t="inlineStr">
        <is>
          <t>27/03/2026</t>
        </is>
      </c>
      <c r="J3012" s="10" t="inlineStr">
        <is>
          <t>17/03/2026</t>
        </is>
      </c>
      <c r="K3012" s="10" t="inlineStr">
        <is>
          <t>N/A</t>
        </is>
      </c>
      <c r="L3012" s="10" t="inlineStr">
        <is>
          <t>E-commerce Management, Sales Strategy, Promotion Management, Data Analysis, Goal-Oriented Mindset</t>
        </is>
      </c>
      <c r="M3012" s="10" t="inlineStr">
        <is>
          <t>Healthcare Plan, Team Activities, Others</t>
        </is>
      </c>
      <c r="N3012" s="11">
        <f>HYPERLINK("https://www.vietnamworks.com/e-commerce-sales-manager-cuckoo-vina-mall-hcmc-2013698-jv","Xem chi tiết")</f>
        <v/>
      </c>
      <c r="O3012" s="10" t="n"/>
    </row>
    <row r="3013">
      <c r="B3013" s="7" t="n">
        <v>3011</v>
      </c>
      <c r="C3013" t="inlineStr">
        <is>
          <t>Kế Toán Trưởng - Chief Accountant (Overseeing Accounting Team)</t>
        </is>
      </c>
      <c r="D3013" t="inlineStr">
        <is>
          <t>Công ty Cổ phần TTD Global Việt Nam</t>
        </is>
      </c>
      <c r="E3013" t="inlineStr">
        <is>
          <t>Thương lượng</t>
        </is>
      </c>
      <c r="F3013" t="inlineStr">
        <is>
          <t>Hồ Chí Minh</t>
        </is>
      </c>
      <c r="G3013" t="inlineStr">
        <is>
          <t>Trưởng phòng</t>
        </is>
      </c>
      <c r="H3013" t="inlineStr">
        <is>
          <t>25/02/2026</t>
        </is>
      </c>
      <c r="I3013" t="inlineStr">
        <is>
          <t>27/03/2026</t>
        </is>
      </c>
      <c r="J3013" t="inlineStr">
        <is>
          <t>17/03/2026</t>
        </is>
      </c>
      <c r="K3013" t="inlineStr">
        <is>
          <t>N/A</t>
        </is>
      </c>
      <c r="L3013" t="inlineStr">
        <is>
          <t>Quản Lý Kế Toán, Luật Thuế, Phần mềm kế toán, Kế Toán Trưởng, Tài Chính Kế Toán</t>
        </is>
      </c>
      <c r="M3013" t="inlineStr">
        <is>
          <t>Bonus, Healthcare Plan, Training, Others</t>
        </is>
      </c>
      <c r="N3013" s="8">
        <f>HYPERLINK("https://www.vietnamworks.com/ke-toan-truong-chief-accountant-overseeing-accounting-team-2013687-jv","Xem chi tiết")</f>
        <v/>
      </c>
    </row>
    <row r="3014">
      <c r="B3014" s="9" t="n">
        <v>3012</v>
      </c>
      <c r="C3014" s="10" t="inlineStr">
        <is>
          <t>Process Engineer</t>
        </is>
      </c>
      <c r="D3014" s="10" t="inlineStr">
        <is>
          <t>Công ty TNHH Magnetec Vietnam</t>
        </is>
      </c>
      <c r="E3014" s="10" t="inlineStr">
        <is>
          <t>Thương lượng</t>
        </is>
      </c>
      <c r="F3014" s="10" t="inlineStr">
        <is>
          <t>Hải Phòng</t>
        </is>
      </c>
      <c r="G3014" s="10" t="inlineStr">
        <is>
          <t>Nhân viên</t>
        </is>
      </c>
      <c r="H3014" s="10" t="inlineStr">
        <is>
          <t>25/02/2026</t>
        </is>
      </c>
      <c r="I3014" s="10" t="inlineStr">
        <is>
          <t>27/03/2026</t>
        </is>
      </c>
      <c r="J3014" s="10" t="inlineStr">
        <is>
          <t>17/03/2026</t>
        </is>
      </c>
      <c r="K3014" s="10" t="inlineStr">
        <is>
          <t>N/A</t>
        </is>
      </c>
      <c r="L3014" s="10" t="inlineStr">
        <is>
          <t>Process Engineer, Production engineering, Electrical &amp; Electronic</t>
        </is>
      </c>
      <c r="M3014" s="10" t="inlineStr">
        <is>
          <t>Healthcare Plan, Paid Leave, Others</t>
        </is>
      </c>
      <c r="N3014" s="11">
        <f>HYPERLINK("https://www.vietnamworks.com/process-engineer--2013696-jv","Xem chi tiết")</f>
        <v/>
      </c>
      <c r="O3014" s="10" t="n"/>
    </row>
    <row r="3015">
      <c r="B3015" s="7" t="n">
        <v>3013</v>
      </c>
      <c r="C3015" t="inlineStr">
        <is>
          <t>Graphic Designer</t>
        </is>
      </c>
      <c r="D3015" t="inlineStr">
        <is>
          <t>Fleming International Viet Nam</t>
        </is>
      </c>
      <c r="E3015" t="inlineStr">
        <is>
          <t>Thương lượng</t>
        </is>
      </c>
      <c r="F3015" t="inlineStr">
        <is>
          <t>Đồng Nai</t>
        </is>
      </c>
      <c r="G3015" t="inlineStr">
        <is>
          <t>Nhân viên</t>
        </is>
      </c>
      <c r="H3015" t="inlineStr">
        <is>
          <t>25/02/2026</t>
        </is>
      </c>
      <c r="I3015" t="inlineStr">
        <is>
          <t>27/03/2026</t>
        </is>
      </c>
      <c r="J3015" t="inlineStr">
        <is>
          <t>17/03/2026</t>
        </is>
      </c>
      <c r="K3015" t="inlineStr">
        <is>
          <t>N/A</t>
        </is>
      </c>
      <c r="L3015" t="inlineStr">
        <is>
          <t>3DSMAX, Blender, AutoCAD, SolidWorks, Leadership Mindset</t>
        </is>
      </c>
      <c r="M3015" t="inlineStr">
        <is>
          <t>Bonus, Training, Transportation</t>
        </is>
      </c>
      <c r="N3015" s="8">
        <f>HYPERLINK("https://www.vietnamworks.com/graphic-designer--2013714-jv","Xem chi tiết")</f>
        <v/>
      </c>
    </row>
    <row r="3016">
      <c r="B3016" s="9" t="n">
        <v>3014</v>
      </c>
      <c r="C3016" s="10" t="inlineStr">
        <is>
          <t>BIM Structural Engineer (Kỹ Sư Triển Khai BIM Kết Cấu)</t>
        </is>
      </c>
      <c r="D3016" s="10" t="inlineStr">
        <is>
          <t>P &amp; T Consultants (Vietnam) Co. Ltd</t>
        </is>
      </c>
      <c r="E3016" s="10" t="inlineStr">
        <is>
          <t>Thương lượng</t>
        </is>
      </c>
      <c r="F3016" s="10" t="inlineStr">
        <is>
          <t>Hà Nội</t>
        </is>
      </c>
      <c r="G3016" s="10" t="inlineStr">
        <is>
          <t>Nhân viên</t>
        </is>
      </c>
      <c r="H3016" s="10" t="inlineStr">
        <is>
          <t>25/02/2026</t>
        </is>
      </c>
      <c r="I3016" s="10" t="inlineStr">
        <is>
          <t>27/03/2026</t>
        </is>
      </c>
      <c r="J3016" s="10" t="inlineStr">
        <is>
          <t>17/03/2026</t>
        </is>
      </c>
      <c r="K3016" s="10" t="inlineStr">
        <is>
          <t>N/A</t>
        </is>
      </c>
      <c r="L3016" s="10" t="inlineStr">
        <is>
          <t>Revit Structure, Structural BIM Modeling, BIM standards (ISO 19650), Kết cấu, BIM</t>
        </is>
      </c>
      <c r="M3016" s="10" t="inlineStr">
        <is>
          <t>Bonus, Healthcare Plan, Others</t>
        </is>
      </c>
      <c r="N3016" s="11">
        <f>HYPERLINK("https://www.vietnamworks.com/bim-structural-engineer-ky-su-trien-khai-bim-ket-cau-2013715-jv","Xem chi tiết")</f>
        <v/>
      </c>
      <c r="O3016" s="10" t="n"/>
    </row>
    <row r="3017">
      <c r="B3017" s="7" t="n">
        <v>3015</v>
      </c>
      <c r="C3017" t="inlineStr">
        <is>
          <t>Accounting Staff</t>
        </is>
      </c>
      <c r="D3017" t="inlineStr">
        <is>
          <t>SEI Electronic Components (Vietnam), Ltd.</t>
        </is>
      </c>
      <c r="E3017" t="inlineStr">
        <is>
          <t>Thương lượng</t>
        </is>
      </c>
      <c r="F3017" t="inlineStr">
        <is>
          <t>Hà Nội</t>
        </is>
      </c>
      <c r="G3017" t="inlineStr">
        <is>
          <t>Mới Tốt Nghiệp</t>
        </is>
      </c>
      <c r="H3017" t="inlineStr">
        <is>
          <t>25/02/2026</t>
        </is>
      </c>
      <c r="I3017" t="inlineStr">
        <is>
          <t>27/03/2026</t>
        </is>
      </c>
      <c r="J3017" t="inlineStr">
        <is>
          <t>17/03/2026</t>
        </is>
      </c>
      <c r="K3017" t="inlineStr">
        <is>
          <t>N/A</t>
        </is>
      </c>
      <c r="L3017" t="inlineStr">
        <is>
          <t>Account Payable, Accounting, English, Payment Process</t>
        </is>
      </c>
      <c r="M3017" t="inlineStr">
        <is>
          <t>Bonus, Healthcare Plan, Team Activities</t>
        </is>
      </c>
      <c r="N3017" s="8">
        <f>HYPERLINK("https://www.vietnamworks.com/accounting-staff-2013716-jv","Xem chi tiết")</f>
        <v/>
      </c>
    </row>
    <row r="3018">
      <c r="B3018" s="9" t="n">
        <v>3016</v>
      </c>
      <c r="C3018" s="10" t="inlineStr">
        <is>
          <t>Site Manager (HCM/ HN)</t>
        </is>
      </c>
      <c r="D3018" s="10" t="inlineStr">
        <is>
          <t>Vacons (Interior Design &amp; Build)</t>
        </is>
      </c>
      <c r="E3018" s="10" t="inlineStr">
        <is>
          <t>12tr-20tr ₫/tháng</t>
        </is>
      </c>
      <c r="F3018" s="10" t="inlineStr">
        <is>
          <t>Hà Nội, Hồ Chí Minh</t>
        </is>
      </c>
      <c r="G3018" s="10" t="inlineStr">
        <is>
          <t>Nhân viên</t>
        </is>
      </c>
      <c r="H3018" s="10" t="inlineStr">
        <is>
          <t>25/02/2026</t>
        </is>
      </c>
      <c r="I3018" s="10" t="inlineStr">
        <is>
          <t>27/03/2026</t>
        </is>
      </c>
      <c r="J3018" s="10" t="inlineStr">
        <is>
          <t>17/03/2026</t>
        </is>
      </c>
      <c r="K3018" s="10" t="inlineStr">
        <is>
          <t>N/A</t>
        </is>
      </c>
      <c r="L3018" s="10" t="inlineStr">
        <is>
          <t>Giám Sát Thi Công, Kỹ năng tổ chức, Kỹ Thuật Đất</t>
        </is>
      </c>
      <c r="M3018" s="10" t="inlineStr">
        <is>
          <t>Bonus, Healthcare Plan, Team Activities, Others</t>
        </is>
      </c>
      <c r="N3018" s="11">
        <f>HYPERLINK("https://www.vietnamworks.com/site-manager-hcm-hn-2013683-jv","Xem chi tiết")</f>
        <v/>
      </c>
      <c r="O3018" s="10" t="n"/>
    </row>
    <row r="3019">
      <c r="B3019" s="7" t="n">
        <v>3017</v>
      </c>
      <c r="C3019" t="inlineStr">
        <is>
          <t>Kiểm toán viên - Phòng Quản lý Kiểm toán - Auditor - Internal Audit Management Department - Cơ quan Kiểm toán nội bộ (HO26.55)</t>
        </is>
      </c>
      <c r="D3019" t="inlineStr">
        <is>
          <t>NGÂN HÀNG TMCP QUÂN ĐỘI – MBBANK</t>
        </is>
      </c>
      <c r="E3019" t="inlineStr">
        <is>
          <t>Thương lượng</t>
        </is>
      </c>
      <c r="F3019" t="inlineStr">
        <is>
          <t>Hà Nội</t>
        </is>
      </c>
      <c r="G3019" t="inlineStr">
        <is>
          <t>Nhân viên</t>
        </is>
      </c>
      <c r="H3019" t="inlineStr">
        <is>
          <t>25/02/2026</t>
        </is>
      </c>
      <c r="I3019" t="inlineStr">
        <is>
          <t>27/03/2026</t>
        </is>
      </c>
      <c r="J3019" t="inlineStr">
        <is>
          <t>17/03/2026</t>
        </is>
      </c>
      <c r="K3019" t="inlineStr">
        <is>
          <t>N/A</t>
        </is>
      </c>
      <c r="L3019" t="inlineStr">
        <is>
          <t>Banking, Giám Sát Tuân Thủ, Internal Audit, Kiểm toán, Tài Chính Ngân Hàng</t>
        </is>
      </c>
      <c r="M3019" t="inlineStr">
        <is>
          <t>Bonus, Healthcare Plan, Paid Leave, Training, Team Activities, Vouchers, Others</t>
        </is>
      </c>
      <c r="N3019" s="8">
        <f>HYPERLINK("https://www.vietnamworks.com/kiem-toan-vien-phong-quan-ly-kiem-toan-auditor-internal-audit-management-department-co-quan-kiem-toan-noi-bo-ho26-55-2013701-jv","Xem chi tiết")</f>
        <v/>
      </c>
    </row>
    <row r="3020">
      <c r="B3020" s="9" t="n">
        <v>3018</v>
      </c>
      <c r="C3020" s="10" t="inlineStr">
        <is>
          <t>Sales Capability Assistant Manager - GT</t>
        </is>
      </c>
      <c r="D3020" s="10" t="inlineStr">
        <is>
          <t>Marico South East Asia Corporation</t>
        </is>
      </c>
      <c r="E3020" s="10" t="inlineStr">
        <is>
          <t>Thương lượng</t>
        </is>
      </c>
      <c r="F3020" s="10" t="inlineStr">
        <is>
          <t>Hồ Chí Minh</t>
        </is>
      </c>
      <c r="G3020" s="10" t="inlineStr">
        <is>
          <t>Nhân viên</t>
        </is>
      </c>
      <c r="H3020" s="10" t="inlineStr">
        <is>
          <t>25/02/2026</t>
        </is>
      </c>
      <c r="I3020" s="10" t="inlineStr">
        <is>
          <t>27/03/2026</t>
        </is>
      </c>
      <c r="J3020" s="10" t="inlineStr">
        <is>
          <t>17/03/2026</t>
        </is>
      </c>
      <c r="K3020" s="10" t="inlineStr">
        <is>
          <t>N/A</t>
        </is>
      </c>
      <c r="L3020" s="10" t="inlineStr">
        <is>
          <t>Analytical Skills, Communication, FMCG, Sales Capability, Stakeholder Management</t>
        </is>
      </c>
      <c r="M3020" s="10" t="inlineStr">
        <is>
          <t>Others</t>
        </is>
      </c>
      <c r="N3020" s="11">
        <f>HYPERLINK("https://www.vietnamworks.com/sales-capability-assistant-manager-gt-2013703-jv","Xem chi tiết")</f>
        <v/>
      </c>
      <c r="O3020" s="10" t="n"/>
    </row>
    <row r="3021">
      <c r="B3021" s="7" t="n">
        <v>3019</v>
      </c>
      <c r="C3021" t="inlineStr">
        <is>
          <t>Quản Lý Kinh Doanh B2B (Văn Phòng Phẩm) Thu Nhập Upto 25 Triệu Hà Nội</t>
        </is>
      </c>
      <c r="D3021" t="inlineStr">
        <is>
          <t>CÔNG TY CỔ PHẦN PHÁT TRIỂN HẠ TẦNG VÀ DỊCH VỤ GIÁO DỤC VIỆT NAM</t>
        </is>
      </c>
      <c r="E3021" t="inlineStr">
        <is>
          <t>10tr-25tr ₫/tháng</t>
        </is>
      </c>
      <c r="F3021" t="inlineStr">
        <is>
          <t>Hà Nội</t>
        </is>
      </c>
      <c r="G3021" t="inlineStr">
        <is>
          <t>Nhân viên</t>
        </is>
      </c>
      <c r="H3021" t="inlineStr">
        <is>
          <t>25/02/2026</t>
        </is>
      </c>
      <c r="I3021" t="inlineStr">
        <is>
          <t>27/03/2026</t>
        </is>
      </c>
      <c r="J3021" t="inlineStr">
        <is>
          <t>17/03/2026</t>
        </is>
      </c>
      <c r="K3021" t="inlineStr">
        <is>
          <t>N/A</t>
        </is>
      </c>
      <c r="L3021" t="inlineStr">
        <is>
          <t>Kinh Doanh, Marketing Development, Chăm Sóc Khách Hàng, Giao Tiếp, Tư Vấn</t>
        </is>
      </c>
      <c r="M3021" t="inlineStr">
        <is>
          <t>Bonus, Healthcare Plan, Training, Others</t>
        </is>
      </c>
      <c r="N3021" s="8">
        <f>HYPERLINK("https://www.vietnamworks.com/quan-ly-kinh-doanh-b2b-van-phong-pham-thu-nhap-upto-25-trieu-ha-noi-2013686-jv","Xem chi tiết")</f>
        <v/>
      </c>
    </row>
    <row r="3022">
      <c r="B3022" s="9" t="n">
        <v>3020</v>
      </c>
      <c r="C3022" s="10" t="inlineStr">
        <is>
          <t>Chuyên Viên Hỗ Trợ Kinh Doanh</t>
        </is>
      </c>
      <c r="D3022" s="10" t="inlineStr">
        <is>
          <t>Công Ty Cổ Phần Netnam</t>
        </is>
      </c>
      <c r="E3022" s="10" t="inlineStr">
        <is>
          <t>12tr-15tr ₫/tháng</t>
        </is>
      </c>
      <c r="F3022" s="10" t="inlineStr">
        <is>
          <t>Hà Nội</t>
        </is>
      </c>
      <c r="G3022" s="10" t="inlineStr">
        <is>
          <t>Nhân viên</t>
        </is>
      </c>
      <c r="H3022" s="10" t="inlineStr">
        <is>
          <t>25/02/2026</t>
        </is>
      </c>
      <c r="I3022" s="10" t="inlineStr">
        <is>
          <t>27/03/2026</t>
        </is>
      </c>
      <c r="J3022" s="10" t="inlineStr">
        <is>
          <t>17/03/2026</t>
        </is>
      </c>
      <c r="K3022" s="10" t="inlineStr">
        <is>
          <t>N/A</t>
        </is>
      </c>
      <c r="L3022" s="10" t="inlineStr">
        <is>
          <t>Quản Trị Kinh Doanh, Tin Học Văn Phòng, Hỗ Trợ Kinh Doanh, Sales Admin, Sales Support</t>
        </is>
      </c>
      <c r="M3022" s="10" t="inlineStr">
        <is>
          <t>Bonus, Healthcare Plan, Travel Opportunities, Team Activities, Others</t>
        </is>
      </c>
      <c r="N3022" s="11">
        <f>HYPERLINK("https://www.vietnamworks.com/chuyen-vien-ho-tro-kinh-doanh-2013695-jv","Xem chi tiết")</f>
        <v/>
      </c>
      <c r="O3022" s="10" t="n"/>
    </row>
    <row r="3023">
      <c r="B3023" s="7" t="n">
        <v>3021</v>
      </c>
      <c r="C3023" t="inlineStr">
        <is>
          <t>Chuyên viên, Chuyên viên cao cấp Quản trị rủi ro gian lận - Khối Quản trị rủi ro (HO26.56)</t>
        </is>
      </c>
      <c r="D3023" t="inlineStr">
        <is>
          <t>NGÂN HÀNG TMCP QUÂN ĐỘI – MBBANK</t>
        </is>
      </c>
      <c r="E3023" t="inlineStr">
        <is>
          <t>Thương lượng</t>
        </is>
      </c>
      <c r="F3023" t="inlineStr">
        <is>
          <t>Hà Nội</t>
        </is>
      </c>
      <c r="G3023" t="inlineStr">
        <is>
          <t>Nhân viên</t>
        </is>
      </c>
      <c r="H3023" t="inlineStr">
        <is>
          <t>25/02/2026</t>
        </is>
      </c>
      <c r="I3023" t="inlineStr">
        <is>
          <t>27/03/2026</t>
        </is>
      </c>
      <c r="J3023" t="inlineStr">
        <is>
          <t>17/03/2026</t>
        </is>
      </c>
      <c r="K3023" t="inlineStr">
        <is>
          <t>N/A</t>
        </is>
      </c>
      <c r="L3023" t="inlineStr">
        <is>
          <t>Banking, Fraud Risks Management, OpRisks Management, Quản Trị Rủi Ro, Tài Chính Ngân Hàng</t>
        </is>
      </c>
      <c r="M3023" t="inlineStr">
        <is>
          <t>Bonus, Healthcare Plan, Paid Leave, Training, Team Activities, Vouchers, Others</t>
        </is>
      </c>
      <c r="N3023" s="8">
        <f>HYPERLINK("https://www.vietnamworks.com/chuyen-vien-chuyen-vien-cao-cap-quan-tri-rui-ro-gian-lan-khoi-quan-tri-rui-ro-ho26-56-2013702-jv","Xem chi tiết")</f>
        <v/>
      </c>
    </row>
    <row r="3024">
      <c r="B3024" s="9" t="n">
        <v>3022</v>
      </c>
      <c r="C3024" s="10" t="inlineStr">
        <is>
          <t>Chuyên viên, Chuyên viên cao cấp Quản trị rủi ro tập đoàn - Corporate Risk Management Specialist - Khối Quản trị rủi ro (HO26.52)</t>
        </is>
      </c>
      <c r="D3024" s="10" t="inlineStr">
        <is>
          <t>NGÂN HÀNG TMCP QUÂN ĐỘI – MBBANK</t>
        </is>
      </c>
      <c r="E3024" s="10" t="inlineStr">
        <is>
          <t>Thương lượng</t>
        </is>
      </c>
      <c r="F3024" s="10" t="inlineStr">
        <is>
          <t>Hà Nội</t>
        </is>
      </c>
      <c r="G3024" s="10" t="inlineStr">
        <is>
          <t>Nhân viên</t>
        </is>
      </c>
      <c r="H3024" s="10" t="inlineStr">
        <is>
          <t>25/02/2026</t>
        </is>
      </c>
      <c r="I3024" s="10" t="inlineStr">
        <is>
          <t>27/03/2026</t>
        </is>
      </c>
      <c r="J3024" s="10" t="inlineStr">
        <is>
          <t>17/03/2026</t>
        </is>
      </c>
      <c r="K3024" s="10" t="inlineStr">
        <is>
          <t>N/A</t>
        </is>
      </c>
      <c r="L3024" s="10" t="inlineStr">
        <is>
          <t>Banking, Insurance, Integrated Planning, Risk Analysis, Risk Management</t>
        </is>
      </c>
      <c r="M3024" s="10" t="inlineStr">
        <is>
          <t>Bonus, Healthcare Plan, Paid Leave, Training, Team Activities, Vouchers, Others</t>
        </is>
      </c>
      <c r="N3024" s="11">
        <f>HYPERLINK("https://www.vietnamworks.com/chuyen-vien-chuyen-vien-cao-cap-quan-tri-rui-ro-tap-djoan-corporate-risk-management-specialist-khoi-quan-tri-rui-ro-ho26-52-2013705-jv","Xem chi tiết")</f>
        <v/>
      </c>
      <c r="O3024" s="10" t="n"/>
    </row>
    <row r="3025">
      <c r="B3025" s="7" t="n">
        <v>3023</v>
      </c>
      <c r="C3025" t="inlineStr">
        <is>
          <t>QC Staff/ Nhân Viên Chất Lượng</t>
        </is>
      </c>
      <c r="D3025" t="inlineStr">
        <is>
          <t>Apeiron Bioenergy (Vietnam) Co.,ltd</t>
        </is>
      </c>
      <c r="E3025" t="inlineStr">
        <is>
          <t>10tr-12tr ₫/tháng</t>
        </is>
      </c>
      <c r="F3025" t="inlineStr">
        <is>
          <t>Hà Nội, Bình Dương, Cần Thơ</t>
        </is>
      </c>
      <c r="G3025" t="inlineStr">
        <is>
          <t>Nhân viên</t>
        </is>
      </c>
      <c r="H3025" t="inlineStr">
        <is>
          <t>25/02/2026</t>
        </is>
      </c>
      <c r="I3025" t="inlineStr">
        <is>
          <t>27/03/2026</t>
        </is>
      </c>
      <c r="J3025" t="inlineStr">
        <is>
          <t>17/03/2026</t>
        </is>
      </c>
      <c r="K3025" t="inlineStr">
        <is>
          <t>N/A</t>
        </is>
      </c>
      <c r="L3025" t="inlineStr">
        <is>
          <t>5S, Giám Sát Chất Lượng, Dầu Khí, Kiếm Soát Kỹ Thuật, English</t>
        </is>
      </c>
      <c r="M3025" t="inlineStr">
        <is>
          <t>Bonus, Healthcare Plan, Others</t>
        </is>
      </c>
      <c r="N3025" s="8">
        <f>HYPERLINK("https://www.vietnamworks.com/qc-staff-nhan-vien-chat-luong--2013706-jv","Xem chi tiết")</f>
        <v/>
      </c>
    </row>
    <row r="3026">
      <c r="B3026" s="9" t="n">
        <v>3024</v>
      </c>
      <c r="C3026" s="10" t="inlineStr">
        <is>
          <t>Sales Representative (SR)</t>
        </is>
      </c>
      <c r="D3026" s="10" t="inlineStr">
        <is>
          <t>Công Ty Cổ Phần Nền Tảng</t>
        </is>
      </c>
      <c r="E3026" s="10" t="inlineStr">
        <is>
          <t>Thương lượng</t>
        </is>
      </c>
      <c r="F3026" s="10" t="inlineStr">
        <is>
          <t>Hồ Chí Minh, Hà Nội</t>
        </is>
      </c>
      <c r="G3026" s="10" t="inlineStr">
        <is>
          <t>Nhân viên</t>
        </is>
      </c>
      <c r="H3026" s="10" t="inlineStr">
        <is>
          <t>25/02/2026</t>
        </is>
      </c>
      <c r="I3026" s="10" t="inlineStr">
        <is>
          <t>27/03/2026</t>
        </is>
      </c>
      <c r="J3026" s="10" t="inlineStr">
        <is>
          <t>17/03/2026</t>
        </is>
      </c>
      <c r="K3026" s="10" t="inlineStr">
        <is>
          <t>N/A</t>
        </is>
      </c>
      <c r="L3026" s="10" t="inlineStr">
        <is>
          <t>Giao Tiếp Bán Hàng, Đàm Phán Khách Hàng</t>
        </is>
      </c>
      <c r="M3026" s="10" t="inlineStr">
        <is>
          <t>Bonus, Healthcare Plan, Others</t>
        </is>
      </c>
      <c r="N3026" s="11">
        <f>HYPERLINK("https://www.vietnamworks.com/sales-representative-sr-2013713-jv","Xem chi tiết")</f>
        <v/>
      </c>
      <c r="O3026" s="10" t="n"/>
    </row>
    <row r="3027">
      <c r="B3027" s="7" t="n">
        <v>3025</v>
      </c>
      <c r="C3027" t="inlineStr">
        <is>
          <t>Kiểm toán viên (mảng Công nghệ, Dữ liệu) - Auditor (IT, Model, Data) - Cơ quan Kiểm toán nội bộ (HO26.53)</t>
        </is>
      </c>
      <c r="D3027" t="inlineStr">
        <is>
          <t>NGÂN HÀNG TMCP QUÂN ĐỘI – MBBANK</t>
        </is>
      </c>
      <c r="E3027" t="inlineStr">
        <is>
          <t>Thương lượng</t>
        </is>
      </c>
      <c r="F3027" t="inlineStr">
        <is>
          <t>Hà Nội</t>
        </is>
      </c>
      <c r="G3027" t="inlineStr">
        <is>
          <t>Nhân viên</t>
        </is>
      </c>
      <c r="H3027" t="inlineStr">
        <is>
          <t>25/02/2026</t>
        </is>
      </c>
      <c r="I3027" t="inlineStr">
        <is>
          <t>27/03/2026</t>
        </is>
      </c>
      <c r="J3027" t="inlineStr">
        <is>
          <t>17/03/2026</t>
        </is>
      </c>
      <c r="K3027" t="inlineStr">
        <is>
          <t>N/A</t>
        </is>
      </c>
      <c r="L3027" t="inlineStr">
        <is>
          <t>Banking, Internal Audit, IT Audit, Kiểm toán, Tài Chính Ngân Hàng</t>
        </is>
      </c>
      <c r="M3027" t="inlineStr">
        <is>
          <t>Bonus, Healthcare Plan, Paid Leave, Training, Team Activities, Vouchers, Others</t>
        </is>
      </c>
      <c r="N3027" s="8">
        <f>HYPERLINK("https://www.vietnamworks.com/kiem-toan-vien-mang-cong-nghe-du-lieu-auditor-it-model-data-co-quan-kiem-toan-noi-bo-ho26-53-2013699-jv","Xem chi tiết")</f>
        <v/>
      </c>
    </row>
    <row r="3028">
      <c r="B3028" s="9" t="n">
        <v>3026</v>
      </c>
      <c r="C3028" s="10" t="inlineStr">
        <is>
          <t>Giám Đốc Trung Tâm Ngân Hàng Giao Dịch</t>
        </is>
      </c>
      <c r="D3028" s="10" t="inlineStr">
        <is>
          <t>Ngân Hàng TMCP Quốc Dân ( NCB )</t>
        </is>
      </c>
      <c r="E3028" s="10" t="inlineStr">
        <is>
          <t>Thương lượng</t>
        </is>
      </c>
      <c r="F3028" s="10" t="inlineStr">
        <is>
          <t>Hà Nội</t>
        </is>
      </c>
      <c r="G3028" s="10" t="inlineStr">
        <is>
          <t>Giám Đốc và Cấp Cao Hơn</t>
        </is>
      </c>
      <c r="H3028" s="10" t="inlineStr">
        <is>
          <t>25/02/2026</t>
        </is>
      </c>
      <c r="I3028" s="10" t="inlineStr">
        <is>
          <t>27/03/2026</t>
        </is>
      </c>
      <c r="J3028" s="10" t="inlineStr">
        <is>
          <t>17/03/2026</t>
        </is>
      </c>
      <c r="K3028" s="10" t="inlineStr">
        <is>
          <t>N/A</t>
        </is>
      </c>
      <c r="L3028" s="10" t="inlineStr">
        <is>
          <t>Tài Chính Ngân Hàng, Tài Trợ Thương Mại, Quản Lý Dòng Tiền, Transaction Banking, Thanh Toán Quốc Tế</t>
        </is>
      </c>
      <c r="M3028" s="10" t="inlineStr">
        <is>
          <t>Bonus, Healthcare Plan, Paid Leave, Training, Awards</t>
        </is>
      </c>
      <c r="N3028" s="11">
        <f>HYPERLINK("https://www.vietnamworks.com/giam-djoc-trung-tam-ngan-hang-giao-dich-2013709-jv","Xem chi tiết")</f>
        <v/>
      </c>
      <c r="O3028" s="10" t="n"/>
    </row>
    <row r="3029">
      <c r="B3029" s="7" t="n">
        <v>3027</v>
      </c>
      <c r="C3029" t="inlineStr">
        <is>
          <t>Kế Toán Nội Bộ</t>
        </is>
      </c>
      <c r="D3029" t="inlineStr">
        <is>
          <t>Apeiron Bioenergy (Vietnam) Co.,ltd</t>
        </is>
      </c>
      <c r="E3029" t="inlineStr">
        <is>
          <t>12tr-14tr ₫/tháng</t>
        </is>
      </c>
      <c r="F3029" t="inlineStr">
        <is>
          <t>Bình Dương, Hồ Chí Minh</t>
        </is>
      </c>
      <c r="G3029" t="inlineStr">
        <is>
          <t>Nhân viên</t>
        </is>
      </c>
      <c r="H3029" t="inlineStr">
        <is>
          <t>25/02/2026</t>
        </is>
      </c>
      <c r="I3029" t="inlineStr">
        <is>
          <t>27/03/2026</t>
        </is>
      </c>
      <c r="J3029" t="inlineStr">
        <is>
          <t>17/03/2026</t>
        </is>
      </c>
      <c r="K3029" t="inlineStr">
        <is>
          <t>N/A</t>
        </is>
      </c>
      <c r="L3029" t="inlineStr">
        <is>
          <t>Tài Chính, Quản Lý Chi Phí, Kế Toán Tổng Hợp, Kế Toán Thuế, Tax &amp; Accounting</t>
        </is>
      </c>
      <c r="M3029" t="inlineStr">
        <is>
          <t>Bonus, Healthcare Plan, Others</t>
        </is>
      </c>
      <c r="N3029" s="8">
        <f>HYPERLINK("https://www.vietnamworks.com/ke-toan-noi-bo--2013708-jv","Xem chi tiết")</f>
        <v/>
      </c>
    </row>
    <row r="3030">
      <c r="B3030" s="9" t="n">
        <v>3028</v>
      </c>
      <c r="C3030" s="10" t="inlineStr">
        <is>
          <t>Supply &amp; Demand Planning Supervisor</t>
        </is>
      </c>
      <c r="D3030" s="10" t="inlineStr">
        <is>
          <t>Hayat Việt Nam</t>
        </is>
      </c>
      <c r="E3030" s="10" t="inlineStr">
        <is>
          <t>Thương lượng</t>
        </is>
      </c>
      <c r="F3030" s="10" t="inlineStr">
        <is>
          <t>Hồ Chí Minh</t>
        </is>
      </c>
      <c r="G3030" s="10" t="inlineStr">
        <is>
          <t>Nhân viên</t>
        </is>
      </c>
      <c r="H3030" s="10" t="inlineStr">
        <is>
          <t>25/02/2026</t>
        </is>
      </c>
      <c r="I3030" s="10" t="inlineStr">
        <is>
          <t>27/03/2026</t>
        </is>
      </c>
      <c r="J3030" s="10" t="inlineStr">
        <is>
          <t>17/03/2026</t>
        </is>
      </c>
      <c r="K3030" s="10" t="inlineStr">
        <is>
          <t>N/A</t>
        </is>
      </c>
      <c r="L3030" s="10" t="inlineStr">
        <is>
          <t>Demand Supply Planning, Materials Planning, SAP, Excel</t>
        </is>
      </c>
      <c r="M3030" s="10" t="inlineStr">
        <is>
          <t>Bonus, Healthcare Plan, Laptop</t>
        </is>
      </c>
      <c r="N3030" s="11">
        <f>HYPERLINK("https://www.vietnamworks.com/supply-demand-planning-supervisor--2013707-jv","Xem chi tiết")</f>
        <v/>
      </c>
      <c r="O3030" s="10" t="n"/>
    </row>
    <row r="3031">
      <c r="B3031" s="7" t="n">
        <v>3029</v>
      </c>
      <c r="C3031" t="inlineStr">
        <is>
          <t>Chuyên viên, Chuyên viên cao cấp Quản trị rủi ro mô hình - Model Risk Management Specialist, Senior Specialist - Khối Quản trị rủi ro (HO26.60)</t>
        </is>
      </c>
      <c r="D3031" t="inlineStr">
        <is>
          <t>NGÂN HÀNG TMCP QUÂN ĐỘI – MBBANK</t>
        </is>
      </c>
      <c r="E3031" t="inlineStr">
        <is>
          <t>Thương lượng</t>
        </is>
      </c>
      <c r="F3031" t="inlineStr">
        <is>
          <t>Hà Nội</t>
        </is>
      </c>
      <c r="G3031" t="inlineStr">
        <is>
          <t>Nhân viên</t>
        </is>
      </c>
      <c r="H3031" t="inlineStr">
        <is>
          <t>25/02/2026</t>
        </is>
      </c>
      <c r="I3031" t="inlineStr">
        <is>
          <t>27/03/2026</t>
        </is>
      </c>
      <c r="J3031" t="inlineStr">
        <is>
          <t>17/03/2026</t>
        </is>
      </c>
      <c r="K3031" t="inlineStr">
        <is>
          <t>N/A</t>
        </is>
      </c>
      <c r="L3031" t="inlineStr">
        <is>
          <t>Data Analysis, Data Science, FRMS, Model Performance Analysis, Modeling</t>
        </is>
      </c>
      <c r="M3031" t="inlineStr">
        <is>
          <t>Bonus, Healthcare Plan, Paid Leave, Training, Team Activities, Vouchers, Others</t>
        </is>
      </c>
      <c r="N3031" s="8">
        <f>HYPERLINK("https://www.vietnamworks.com/chuyen-vien-chuyen-vien-cao-cap-quan-tri-rui-ro-mo-hinh-model-risk-management-specialist-senior-specialist-khoi-quan-tri-rui-ro-ho26-60-2013727-jv","Xem chi tiết")</f>
        <v/>
      </c>
    </row>
    <row r="3032">
      <c r="B3032" s="9" t="n">
        <v>3030</v>
      </c>
      <c r="C3032" s="10" t="inlineStr">
        <is>
          <t>Chuyên viên Phòng chống rửa tiền - Anti Money Laundering Specialist - Khối Quản trị rủi ro (HO26.57)</t>
        </is>
      </c>
      <c r="D3032" s="10" t="inlineStr">
        <is>
          <t>NGÂN HÀNG TMCP QUÂN ĐỘI – MBBANK</t>
        </is>
      </c>
      <c r="E3032" s="10" t="inlineStr">
        <is>
          <t>Thương lượng</t>
        </is>
      </c>
      <c r="F3032" s="10" t="inlineStr">
        <is>
          <t>Hà Nội</t>
        </is>
      </c>
      <c r="G3032" s="10" t="inlineStr">
        <is>
          <t>Nhân viên</t>
        </is>
      </c>
      <c r="H3032" s="10" t="inlineStr">
        <is>
          <t>25/02/2026</t>
        </is>
      </c>
      <c r="I3032" s="10" t="inlineStr">
        <is>
          <t>27/03/2026</t>
        </is>
      </c>
      <c r="J3032" s="10" t="inlineStr">
        <is>
          <t>17/03/2026</t>
        </is>
      </c>
      <c r="K3032" s="10" t="inlineStr">
        <is>
          <t>N/A</t>
        </is>
      </c>
      <c r="L3032" s="10" t="inlineStr">
        <is>
          <t>OpRisks Management, Quản Trị Rủi Ro, Tài Chính Ngân Hàng, AML, Chống Rửa Tiền</t>
        </is>
      </c>
      <c r="M3032" s="10" t="inlineStr">
        <is>
          <t>Bonus, Healthcare Plan, Paid Leave, Training, Team Activities, Vouchers, Others</t>
        </is>
      </c>
      <c r="N3032" s="11">
        <f>HYPERLINK("https://www.vietnamworks.com/chuyen-vien-phong-chong-rua-tien-anti-money-laundering-specialist-khoi-quan-tri-rui-ro-ho26-57-2013724-jv","Xem chi tiết")</f>
        <v/>
      </c>
      <c r="O3032" s="10" t="n"/>
    </row>
    <row r="3033">
      <c r="B3033" s="7" t="n">
        <v>3031</v>
      </c>
      <c r="C3033" t="inlineStr">
        <is>
          <t>Nhân Viên Sales Xuất Khẩu (B2B)/ Export Sales</t>
        </is>
      </c>
      <c r="D3033" t="inlineStr">
        <is>
          <t>CÔNG TY TNHH ZAAM INTERNATIONAL SOURCING</t>
        </is>
      </c>
      <c r="E3033" t="inlineStr">
        <is>
          <t>13tr-20tr ₫/tháng</t>
        </is>
      </c>
      <c r="F3033" t="inlineStr">
        <is>
          <t>Hồ Chí Minh</t>
        </is>
      </c>
      <c r="G3033" t="inlineStr">
        <is>
          <t>Nhân viên</t>
        </is>
      </c>
      <c r="H3033" t="inlineStr">
        <is>
          <t>25/02/2026</t>
        </is>
      </c>
      <c r="I3033" t="inlineStr">
        <is>
          <t>27/03/2026</t>
        </is>
      </c>
      <c r="J3033" t="inlineStr">
        <is>
          <t>17/03/2026</t>
        </is>
      </c>
      <c r="K3033" t="inlineStr">
        <is>
          <t>N/A</t>
        </is>
      </c>
      <c r="L3033" t="inlineStr">
        <is>
          <t>Kinh Doanh, Xuất Khẩu, Sales B2B, Kinh Doanh Quốc Tế, Sales logistics</t>
        </is>
      </c>
      <c r="M3033" t="inlineStr">
        <is>
          <t>Bonus, Healthcare Plan, Training</t>
        </is>
      </c>
      <c r="N3033" s="8">
        <f>HYPERLINK("https://www.vietnamworks.com/nhan-vien-sales-xuat-khau-b2b-export-sales-2013719-jv","Xem chi tiết")</f>
        <v/>
      </c>
    </row>
    <row r="3034">
      <c r="B3034" s="9" t="n">
        <v>3032</v>
      </c>
      <c r="C3034" s="10" t="inlineStr">
        <is>
          <t>Customer Support and Harvester Sales Officer</t>
        </is>
      </c>
      <c r="D3034" s="10" t="inlineStr">
        <is>
          <t>Murata Electronics (Vietnam) Co., Ltd</t>
        </is>
      </c>
      <c r="E3034" s="10" t="inlineStr">
        <is>
          <t>11.5tr-14tr ₫/tháng</t>
        </is>
      </c>
      <c r="F3034" s="10" t="inlineStr">
        <is>
          <t>Hà Nội</t>
        </is>
      </c>
      <c r="G3034" s="10" t="inlineStr">
        <is>
          <t>Nhân viên</t>
        </is>
      </c>
      <c r="H3034" s="10" t="inlineStr">
        <is>
          <t>25/02/2026</t>
        </is>
      </c>
      <c r="I3034" s="10" t="inlineStr">
        <is>
          <t>27/03/2026</t>
        </is>
      </c>
      <c r="J3034" s="10" t="inlineStr">
        <is>
          <t>17/03/2026</t>
        </is>
      </c>
      <c r="K3034" s="10" t="inlineStr">
        <is>
          <t>N/A</t>
        </is>
      </c>
      <c r="L3034" s="10" t="inlineStr">
        <is>
          <t>Microsoft Office, Communication Skills, Interpersonal Skill, Manufacturing</t>
        </is>
      </c>
      <c r="M3034" s="10" t="inlineStr">
        <is>
          <t>Bonus, Healthcare Plan, Paid Leave, Awards, Others</t>
        </is>
      </c>
      <c r="N3034" s="11">
        <f>HYPERLINK("https://www.vietnamworks.com/customer-support-and-harvester-sales-officer-2013733-jv","Xem chi tiết")</f>
        <v/>
      </c>
      <c r="O3034" s="10" t="n"/>
    </row>
    <row r="3035">
      <c r="B3035" s="7" t="n">
        <v>3033</v>
      </c>
      <c r="C3035" t="inlineStr">
        <is>
          <t>Regional Account Manager</t>
        </is>
      </c>
      <c r="D3035" t="inlineStr">
        <is>
          <t>Vatee</t>
        </is>
      </c>
      <c r="E3035" t="inlineStr">
        <is>
          <t>$$ 1,000-2,000 /tháng</t>
        </is>
      </c>
      <c r="F3035" t="inlineStr">
        <is>
          <t>Quốc tế</t>
        </is>
      </c>
      <c r="G3035" t="inlineStr">
        <is>
          <t>Trưởng phòng</t>
        </is>
      </c>
      <c r="H3035" t="inlineStr">
        <is>
          <t>25/02/2026</t>
        </is>
      </c>
      <c r="I3035" t="inlineStr">
        <is>
          <t>27/03/2026</t>
        </is>
      </c>
      <c r="J3035" t="inlineStr">
        <is>
          <t>17/03/2026</t>
        </is>
      </c>
      <c r="K3035" t="inlineStr">
        <is>
          <t>N/A</t>
        </is>
      </c>
      <c r="L3035" t="inlineStr">
        <is>
          <t>Mandarin, Sales Operations, Cfd Industry Knowledge</t>
        </is>
      </c>
      <c r="M3035" t="inlineStr">
        <is>
          <t>Bonus</t>
        </is>
      </c>
      <c r="N3035" s="8">
        <f>HYPERLINK("https://www.vietnamworks.com/regional-account-manager--2013731-jv","Xem chi tiết")</f>
        <v/>
      </c>
    </row>
    <row r="3036">
      <c r="B3036" s="9" t="n">
        <v>3034</v>
      </c>
      <c r="C3036" s="10" t="inlineStr">
        <is>
          <t>Kỹ Sư Thiết Kế Điều Hòa Không Khí Thông Gió (HVAC)</t>
        </is>
      </c>
      <c r="D3036" s="10" t="inlineStr">
        <is>
          <t>Công Ty Cổ Phần Kiến Trúc Tư Vấn Quản Lý Đông Dương</t>
        </is>
      </c>
      <c r="E3036" s="10" t="inlineStr">
        <is>
          <t>Thương lượng</t>
        </is>
      </c>
      <c r="F3036" s="10" t="inlineStr">
        <is>
          <t>Hồ Chí Minh</t>
        </is>
      </c>
      <c r="G3036" s="10" t="inlineStr">
        <is>
          <t>Nhân viên</t>
        </is>
      </c>
      <c r="H3036" s="10" t="inlineStr">
        <is>
          <t>25/02/2026</t>
        </is>
      </c>
      <c r="I3036" s="10" t="inlineStr">
        <is>
          <t>27/03/2026</t>
        </is>
      </c>
      <c r="J3036" s="10" t="inlineStr">
        <is>
          <t>17/03/2026</t>
        </is>
      </c>
      <c r="K3036" s="10" t="inlineStr">
        <is>
          <t>N/A</t>
        </is>
      </c>
      <c r="L3036" s="10" t="inlineStr">
        <is>
          <t>Hvac Engineering, Kỹ Sư Thiết Kế, MEP Construction Design, Revit/Cad Software</t>
        </is>
      </c>
      <c r="M3036" s="10" t="inlineStr">
        <is>
          <t>Others</t>
        </is>
      </c>
      <c r="N3036" s="11">
        <f>HYPERLINK("https://www.vietnamworks.com/ky-su-thiet-ke-djieu-hoa-khong-khi-thong-gio-hvac-2013736-jv","Xem chi tiết")</f>
        <v/>
      </c>
      <c r="O3036" s="10" t="n"/>
    </row>
    <row r="3037">
      <c r="B3037" s="7" t="n">
        <v>3035</v>
      </c>
      <c r="C3037" t="inlineStr">
        <is>
          <t>Chuyên viên, Chuyên viên cao cấp Kiểm định Mô hình rủi ro - Risk Model Validation Specialist, Senior Specialist - Khối Quản trị rủi ro (HO26.59)</t>
        </is>
      </c>
      <c r="D3037" t="inlineStr">
        <is>
          <t>NGÂN HÀNG TMCP QUÂN ĐỘI – MBBANK</t>
        </is>
      </c>
      <c r="E3037" t="inlineStr">
        <is>
          <t>Thương lượng</t>
        </is>
      </c>
      <c r="F3037" t="inlineStr">
        <is>
          <t>Hà Nội</t>
        </is>
      </c>
      <c r="G3037" t="inlineStr">
        <is>
          <t>Nhân viên</t>
        </is>
      </c>
      <c r="H3037" t="inlineStr">
        <is>
          <t>25/02/2026</t>
        </is>
      </c>
      <c r="I3037" t="inlineStr">
        <is>
          <t>27/03/2026</t>
        </is>
      </c>
      <c r="J3037" t="inlineStr">
        <is>
          <t>17/03/2026</t>
        </is>
      </c>
      <c r="K3037" t="inlineStr">
        <is>
          <t>N/A</t>
        </is>
      </c>
      <c r="L3037" t="inlineStr">
        <is>
          <t>Banking, Data Analysis, Financial Modeling, Model Performance Verification, Model Testing</t>
        </is>
      </c>
      <c r="M3037" t="inlineStr">
        <is>
          <t>Bonus, Healthcare Plan, Paid Leave, Training, Team Activities, Vouchers, Others</t>
        </is>
      </c>
      <c r="N3037" s="8">
        <f>HYPERLINK("https://www.vietnamworks.com/chuyen-vien-chuyen-vien-cao-cap-kiem-djinh-mo-hinh-rui-ro-risk-model-validation-specialist-senior-specialist-khoi-quan-tri-rui-ro-ho26-59-2013726-jv","Xem chi tiết")</f>
        <v/>
      </c>
    </row>
    <row r="3038">
      <c r="B3038" s="9" t="n">
        <v>3036</v>
      </c>
      <c r="C3038" s="10" t="inlineStr">
        <is>
          <t>[Đắk Lắk, Quảng Nam, Phú Thọ] Giám Sát Bán Hàng Kênh Truyền Thống</t>
        </is>
      </c>
      <c r="D3038" s="10" t="inlineStr">
        <is>
          <t>FrieslandCampina Vietnam</t>
        </is>
      </c>
      <c r="E3038" s="10" t="inlineStr">
        <is>
          <t>Thương lượng</t>
        </is>
      </c>
      <c r="F3038" s="10" t="inlineStr">
        <is>
          <t>Quảng Nam</t>
        </is>
      </c>
      <c r="G3038" s="10" t="inlineStr">
        <is>
          <t>Nhân viên</t>
        </is>
      </c>
      <c r="H3038" s="10" t="inlineStr">
        <is>
          <t>25/02/2026</t>
        </is>
      </c>
      <c r="I3038" s="10" t="inlineStr">
        <is>
          <t>27/03/2026</t>
        </is>
      </c>
      <c r="J3038" s="10" t="inlineStr">
        <is>
          <t>17/03/2026</t>
        </is>
      </c>
      <c r="K3038" s="10" t="inlineStr">
        <is>
          <t>N/A</t>
        </is>
      </c>
      <c r="L3038" s="10" t="inlineStr">
        <is>
          <t>Kỹ năng bán hàng, Kỹ Năng Quản Lý, Kỹ năng xử lý tình huống</t>
        </is>
      </c>
      <c r="M3038" s="10" t="inlineStr">
        <is>
          <t>Bonus, Healthcare Plan, Training</t>
        </is>
      </c>
      <c r="N3038" s="11">
        <f>HYPERLINK("https://www.vietnamworks.com/djak-lak-quang-nam-phu-tho-giam-sat-ban-hang-kenh-truyen-thong-2013723-jv","Xem chi tiết")</f>
        <v/>
      </c>
      <c r="O3038" s="10" t="n"/>
    </row>
    <row r="3039">
      <c r="B3039" s="7" t="n">
        <v>3037</v>
      </c>
      <c r="C3039" t="inlineStr">
        <is>
          <t>Nhân Viên Kiểm Soát Chất Lượng/ Quality Control (QC)</t>
        </is>
      </c>
      <c r="D3039" t="inlineStr">
        <is>
          <t>CÔNG TY TNHH ZAAM INTERNATIONAL SOURCING</t>
        </is>
      </c>
      <c r="E3039" t="inlineStr">
        <is>
          <t>10tr-15tr ₫/tháng</t>
        </is>
      </c>
      <c r="F3039" t="inlineStr">
        <is>
          <t>Hồ Chí Minh</t>
        </is>
      </c>
      <c r="G3039" t="inlineStr">
        <is>
          <t>Nhân viên</t>
        </is>
      </c>
      <c r="H3039" t="inlineStr">
        <is>
          <t>25/02/2026</t>
        </is>
      </c>
      <c r="I3039" t="inlineStr">
        <is>
          <t>27/03/2026</t>
        </is>
      </c>
      <c r="J3039" t="inlineStr">
        <is>
          <t>17/03/2026</t>
        </is>
      </c>
      <c r="K3039" t="inlineStr">
        <is>
          <t>N/A</t>
        </is>
      </c>
      <c r="L3039" t="inlineStr">
        <is>
          <t>Quản lý chất lượng, Kiểm Soát Chất Lượng, Đảm Bảo Chất Lượng, QC, English</t>
        </is>
      </c>
      <c r="M3039" t="inlineStr">
        <is>
          <t>Bonus, Healthcare Plan, Training, Others</t>
        </is>
      </c>
      <c r="N3039" s="8">
        <f>HYPERLINK("https://www.vietnamworks.com/nhan-vien-kiem-soat-chat-luong-quality-control-qc-2013729-jv","Xem chi tiết")</f>
        <v/>
      </c>
    </row>
    <row r="3040">
      <c r="B3040" s="9" t="n">
        <v>3038</v>
      </c>
      <c r="C3040" s="10" t="inlineStr">
        <is>
          <t>Elevator / Home Lift Installation Technician (Hanoi)</t>
        </is>
      </c>
      <c r="D3040" s="10" t="inlineStr">
        <is>
          <t>SWIFT Home Lifts Vietnam Co., Ltd</t>
        </is>
      </c>
      <c r="E3040" s="10" t="inlineStr">
        <is>
          <t>20tr-24tr ₫/tháng</t>
        </is>
      </c>
      <c r="F3040" s="10" t="inlineStr">
        <is>
          <t>Hà Nội</t>
        </is>
      </c>
      <c r="G3040" s="10" t="inlineStr">
        <is>
          <t>Nhân viên</t>
        </is>
      </c>
      <c r="H3040" s="10" t="inlineStr">
        <is>
          <t>25/02/2026</t>
        </is>
      </c>
      <c r="I3040" s="10" t="inlineStr">
        <is>
          <t>27/03/2026</t>
        </is>
      </c>
      <c r="J3040" s="10" t="inlineStr">
        <is>
          <t>17/03/2026</t>
        </is>
      </c>
      <c r="K3040" s="10" t="inlineStr">
        <is>
          <t>N/A</t>
        </is>
      </c>
      <c r="L3040" s="10" t="inlineStr">
        <is>
          <t>Technical skill, Electrical, Mechanical, Maintenance, Device Installation</t>
        </is>
      </c>
      <c r="M3040" s="10" t="inlineStr">
        <is>
          <t>Bonus, Others</t>
        </is>
      </c>
      <c r="N3040" s="11">
        <f>HYPERLINK("https://www.vietnamworks.com/elevator-home-lift-installation-technician-hanoi-2013728-jv","Xem chi tiết")</f>
        <v/>
      </c>
      <c r="O3040" s="10" t="n"/>
    </row>
    <row r="3041">
      <c r="B3041" s="7" t="n">
        <v>3039</v>
      </c>
      <c r="C3041" t="inlineStr">
        <is>
          <t>Accounting Clerk</t>
        </is>
      </c>
      <c r="D3041" t="inlineStr">
        <is>
          <t>Công Ty TNHH Chỉ May American &amp; Efird Việt Nam</t>
        </is>
      </c>
      <c r="E3041" t="inlineStr">
        <is>
          <t>Thương lượng</t>
        </is>
      </c>
      <c r="F3041" t="inlineStr">
        <is>
          <t>Đồng Nai</t>
        </is>
      </c>
      <c r="G3041" t="inlineStr">
        <is>
          <t>Nhân viên</t>
        </is>
      </c>
      <c r="H3041" t="inlineStr">
        <is>
          <t>25/02/2026</t>
        </is>
      </c>
      <c r="I3041" t="inlineStr">
        <is>
          <t>27/03/2026</t>
        </is>
      </c>
      <c r="J3041" t="inlineStr">
        <is>
          <t>17/03/2026</t>
        </is>
      </c>
      <c r="K3041" t="inlineStr">
        <is>
          <t>N/A</t>
        </is>
      </c>
      <c r="L3041" t="inlineStr">
        <is>
          <t>Account Payable, Accounting, English Communicate, Excel, Taxation</t>
        </is>
      </c>
      <c r="M3041" t="inlineStr">
        <is>
          <t>Bonus, Healthcare Plan, Training, Team Activities, Canteen</t>
        </is>
      </c>
      <c r="N3041" s="8">
        <f>HYPERLINK("https://www.vietnamworks.com/accounting-clerk-2013738-jv","Xem chi tiết")</f>
        <v/>
      </c>
    </row>
    <row r="3042">
      <c r="B3042" s="9" t="n">
        <v>3040</v>
      </c>
      <c r="C3042" s="10" t="inlineStr">
        <is>
          <t>Quản Lý Bán Hàng (Ưu Tiên Kênh ETC) Ngành Hàng Thực Phẩm Bảo Vệ Sức Khoẻ, Nhập Khẩu Từ Cộng Hoà Pháp - Yêu Cầu Có Kinh Nghiệm và Năng Lực Thực Sự Với Các Ngành Dược Phẩm, Thực Phẩm Bảo Vệ Sức Khoẻ</t>
        </is>
      </c>
      <c r="D3042" s="10" t="inlineStr">
        <is>
          <t>Công Ty TNHH Thương Mại - Dược Phẩm Mẹ và Bé</t>
        </is>
      </c>
      <c r="E3042" s="10" t="inlineStr">
        <is>
          <t>$$ 1,000-3,000 /tháng</t>
        </is>
      </c>
      <c r="F3042" s="10" t="inlineStr">
        <is>
          <t>Đà Nẵng, Hồ Chí Minh, Hà Nội</t>
        </is>
      </c>
      <c r="G3042" s="10" t="inlineStr">
        <is>
          <t>Giám Đốc và Cấp Cao Hơn</t>
        </is>
      </c>
      <c r="H3042" s="10" t="inlineStr">
        <is>
          <t>25/02/2026</t>
        </is>
      </c>
      <c r="I3042" s="10" t="inlineStr">
        <is>
          <t>27/03/2026</t>
        </is>
      </c>
      <c r="J3042" s="10" t="inlineStr">
        <is>
          <t>17/03/2026</t>
        </is>
      </c>
      <c r="K3042" s="10" t="inlineStr">
        <is>
          <t>N/A</t>
        </is>
      </c>
      <c r="L3042" s="10" t="inlineStr">
        <is>
          <t>Phân Tích Thị Trường, Quản Lý Kinh Doanh, ETC, Phân Phối Dược Phẩm, Bán hàng</t>
        </is>
      </c>
      <c r="M3042" s="10" t="inlineStr">
        <is>
          <t>Bonus, Travel Opportunities, Canteen</t>
        </is>
      </c>
      <c r="N3042" s="11">
        <f>HYPERLINK("https://www.vietnamworks.com/quan-ly-ban-hang-uu-tien-kenh-etc-nganh-hang-thuc-pham-bao-ve-suc-khoe-nhap-khau-tu-cong-hoa-phap-yeu-cau-co-kinh-nghiem-va-nang-luc-thuc-su-voi-cac-nganh-duoc-pham-thuc-pham-bao-ve-suc-khoe-2013737-jv","Xem chi tiết")</f>
        <v/>
      </c>
      <c r="O3042" s="10" t="n"/>
    </row>
    <row r="3043">
      <c r="B3043" s="7" t="n">
        <v>3041</v>
      </c>
      <c r="C3043" t="inlineStr">
        <is>
          <t>Nhân Viên Kinh Doanh B2B Tại Hà Nội</t>
        </is>
      </c>
      <c r="D3043" t="inlineStr">
        <is>
          <t>Sti - Simple Tech Investment</t>
        </is>
      </c>
      <c r="E3043" t="inlineStr">
        <is>
          <t>$$ 800-1,200 /tháng</t>
        </is>
      </c>
      <c r="F3043" t="inlineStr">
        <is>
          <t>Hà Nội</t>
        </is>
      </c>
      <c r="G3043" t="inlineStr">
        <is>
          <t>Nhân viên</t>
        </is>
      </c>
      <c r="H3043" t="inlineStr">
        <is>
          <t>25/02/2026</t>
        </is>
      </c>
      <c r="I3043" t="inlineStr">
        <is>
          <t>27/03/2026</t>
        </is>
      </c>
      <c r="J3043" t="inlineStr">
        <is>
          <t>17/03/2026</t>
        </is>
      </c>
      <c r="K3043" t="inlineStr">
        <is>
          <t>N/A</t>
        </is>
      </c>
      <c r="L3043" t="inlineStr">
        <is>
          <t>Tư Vấn Mua Hàng, B2B Sales, B2B</t>
        </is>
      </c>
      <c r="M3043" t="inlineStr">
        <is>
          <t>Bonus, Healthcare Plan, Paid Leave</t>
        </is>
      </c>
      <c r="N3043" s="8">
        <f>HYPERLINK("https://www.vietnamworks.com/nhan-vien-kinh-doanh-b2b-tai-ha-noi--2013751-jv","Xem chi tiết")</f>
        <v/>
      </c>
    </row>
    <row r="3044">
      <c r="B3044" s="9" t="n">
        <v>3042</v>
      </c>
      <c r="C3044" s="10" t="inlineStr">
        <is>
          <t>Market Executive</t>
        </is>
      </c>
      <c r="D3044" s="10" t="inlineStr">
        <is>
          <t>Haegen &amp; Co., Limited</t>
        </is>
      </c>
      <c r="E3044" s="10" t="inlineStr">
        <is>
          <t>$$ 500-1,500 /tháng</t>
        </is>
      </c>
      <c r="F3044" s="10" t="inlineStr">
        <is>
          <t>Hồ Chí Minh</t>
        </is>
      </c>
      <c r="G3044" s="10" t="inlineStr">
        <is>
          <t>Trưởng phòng</t>
        </is>
      </c>
      <c r="H3044" s="10" t="inlineStr">
        <is>
          <t>25/02/2026</t>
        </is>
      </c>
      <c r="I3044" s="10" t="inlineStr">
        <is>
          <t>27/03/2026</t>
        </is>
      </c>
      <c r="J3044" s="10" t="inlineStr">
        <is>
          <t>17/03/2026</t>
        </is>
      </c>
      <c r="K3044" s="10" t="inlineStr">
        <is>
          <t>N/A</t>
        </is>
      </c>
      <c r="L3044" s="10" t="inlineStr">
        <is>
          <t>Data Analysis, Media Production, Platform Management, Project magement</t>
        </is>
      </c>
      <c r="M3044" s="10" t="inlineStr">
        <is>
          <t>Bonus</t>
        </is>
      </c>
      <c r="N3044" s="11">
        <f>HYPERLINK("https://www.vietnamworks.com/market-executive-2013739-jv","Xem chi tiết")</f>
        <v/>
      </c>
      <c r="O3044" s="10" t="n"/>
    </row>
    <row r="3045">
      <c r="B3045" s="7" t="n">
        <v>3043</v>
      </c>
      <c r="C3045" t="inlineStr">
        <is>
          <t>Quản Lý Tuyển Dụng &amp; Đối Tác Nhân Lực (Talent Acquisition cum HRBP Manager)</t>
        </is>
      </c>
      <c r="D3045" t="inlineStr">
        <is>
          <t>Công Ty TNHH Đầu Tư - Dịch Vụ HumVentures</t>
        </is>
      </c>
      <c r="E3045" t="inlineStr">
        <is>
          <t>Thương lượng</t>
        </is>
      </c>
      <c r="F3045" t="inlineStr">
        <is>
          <t>Hồ Chí Minh</t>
        </is>
      </c>
      <c r="G3045" t="inlineStr">
        <is>
          <t>Trưởng phòng</t>
        </is>
      </c>
      <c r="H3045" t="inlineStr">
        <is>
          <t>25/02/2026</t>
        </is>
      </c>
      <c r="I3045" t="inlineStr">
        <is>
          <t>27/03/2026</t>
        </is>
      </c>
      <c r="J3045" t="inlineStr">
        <is>
          <t>17/03/2026</t>
        </is>
      </c>
      <c r="K3045" t="inlineStr">
        <is>
          <t>N/A</t>
        </is>
      </c>
      <c r="L3045" t="inlineStr">
        <is>
          <t>HRBP, Talent Acquisition, recruiment</t>
        </is>
      </c>
      <c r="M3045" t="inlineStr">
        <is>
          <t>Bonus, Training, Others</t>
        </is>
      </c>
      <c r="N3045" s="8">
        <f>HYPERLINK("https://www.vietnamworks.com/quan-ly-tuyen-dung-doi-tac-nhan-luc-talent-acquisition-cum-hrbp-manager-2013740-jv","Xem chi tiết")</f>
        <v/>
      </c>
    </row>
    <row r="3046">
      <c r="B3046" s="9" t="n">
        <v>3044</v>
      </c>
      <c r="C3046" s="10" t="inlineStr">
        <is>
          <t>H&amp;S System Engineer</t>
        </is>
      </c>
      <c r="D3046" s="10" t="inlineStr">
        <is>
          <t>Công Ty TNHH Một Thành Viên Relats Viêt Nam</t>
        </is>
      </c>
      <c r="E3046" s="10" t="inlineStr">
        <is>
          <t>Thương lượng</t>
        </is>
      </c>
      <c r="F3046" s="10" t="inlineStr">
        <is>
          <t>Đà Nẵng</t>
        </is>
      </c>
      <c r="G3046" s="10" t="inlineStr">
        <is>
          <t>Nhân viên</t>
        </is>
      </c>
      <c r="H3046" s="10" t="inlineStr">
        <is>
          <t>25/02/2026</t>
        </is>
      </c>
      <c r="I3046" s="10" t="inlineStr">
        <is>
          <t>27/03/2026</t>
        </is>
      </c>
      <c r="J3046" s="10" t="inlineStr">
        <is>
          <t>17/03/2026</t>
        </is>
      </c>
      <c r="K3046" s="10" t="inlineStr">
        <is>
          <t>N/A</t>
        </is>
      </c>
      <c r="L3046" s="10" t="inlineStr">
        <is>
          <t>An Toàn Lao Động, ISO 45001, Xây Dựng Chương Trình Đào Tạo, Xử Lý Tình Huống, Đánh Giá Rủi Ro</t>
        </is>
      </c>
      <c r="M3046" s="10" t="inlineStr">
        <is>
          <t>Bonus, Healthcare Plan, Team Activities</t>
        </is>
      </c>
      <c r="N3046" s="11">
        <f>HYPERLINK("https://www.vietnamworks.com/hands-system-engineer-2013721-jv","Xem chi tiết")</f>
        <v/>
      </c>
      <c r="O3046" s="10" t="n"/>
    </row>
    <row r="3047">
      <c r="B3047" s="7" t="n">
        <v>3045</v>
      </c>
      <c r="C3047" t="inlineStr">
        <is>
          <t>Specialist Transport &amp; Packaging - Chuyên Viên Quản Lý Đóng Gói &amp; Vận Chuyển</t>
        </is>
      </c>
      <c r="D3047" t="inlineStr">
        <is>
          <t>Công ty Cổ Phần Draexlmaier Automotive Việt Nam</t>
        </is>
      </c>
      <c r="E3047" t="inlineStr">
        <is>
          <t>Thương lượng</t>
        </is>
      </c>
      <c r="F3047" t="inlineStr">
        <is>
          <t>Quảng Nam, Đà Nẵng</t>
        </is>
      </c>
      <c r="G3047" t="inlineStr">
        <is>
          <t>Nhân viên</t>
        </is>
      </c>
      <c r="H3047" t="inlineStr">
        <is>
          <t>25/02/2026</t>
        </is>
      </c>
      <c r="I3047" t="inlineStr">
        <is>
          <t>27/03/2026</t>
        </is>
      </c>
      <c r="J3047" t="inlineStr">
        <is>
          <t>17/03/2026</t>
        </is>
      </c>
      <c r="K3047" t="inlineStr">
        <is>
          <t>N/A</t>
        </is>
      </c>
      <c r="L3047" t="inlineStr">
        <is>
          <t>Logistics, SAP, Microsoft Office, Quản Lý Đóng Gói, Transport</t>
        </is>
      </c>
      <c r="M3047" t="inlineStr">
        <is>
          <t>Healthcare Plan, Transportation, Canteen</t>
        </is>
      </c>
      <c r="N3047" s="8">
        <f>HYPERLINK("https://www.vietnamworks.com/specialist-transport-and-packaging-chuyen-vien-quan-ly-djong-goi-and-van-chuyen-2013743-jv","Xem chi tiết")</f>
        <v/>
      </c>
    </row>
    <row r="3048">
      <c r="B3048" s="9" t="n">
        <v>3046</v>
      </c>
      <c r="C3048" s="10" t="inlineStr">
        <is>
          <t>Buyer</t>
        </is>
      </c>
      <c r="D3048" s="10" t="inlineStr">
        <is>
          <t>Ellsworth Adhesives Vietnam Ltd. HCM Office</t>
        </is>
      </c>
      <c r="E3048" s="10" t="inlineStr">
        <is>
          <t>Thương lượng</t>
        </is>
      </c>
      <c r="F3048" s="10" t="inlineStr">
        <is>
          <t>Hà Nội</t>
        </is>
      </c>
      <c r="G3048" s="10" t="inlineStr">
        <is>
          <t>Nhân viên</t>
        </is>
      </c>
      <c r="H3048" s="10" t="inlineStr">
        <is>
          <t>25/02/2026</t>
        </is>
      </c>
      <c r="I3048" s="10" t="inlineStr">
        <is>
          <t>27/03/2026</t>
        </is>
      </c>
      <c r="J3048" s="10" t="inlineStr">
        <is>
          <t>17/03/2026</t>
        </is>
      </c>
      <c r="K3048" s="10" t="inlineStr">
        <is>
          <t>N/A</t>
        </is>
      </c>
      <c r="L3048" s="10" t="inlineStr">
        <is>
          <t>Purchasing Goods, Inventory Management, ERP Systems, Purchase Management, Procurement</t>
        </is>
      </c>
      <c r="M3048" s="10" t="inlineStr">
        <is>
          <t>Bonus, Healthcare Plan, Paid Leave</t>
        </is>
      </c>
      <c r="N3048" s="11">
        <f>HYPERLINK("https://www.vietnamworks.com/buyer--2013734-jv","Xem chi tiết")</f>
        <v/>
      </c>
      <c r="O3048" s="10" t="n"/>
    </row>
    <row r="3049">
      <c r="B3049" s="7" t="n">
        <v>3047</v>
      </c>
      <c r="C3049" t="inlineStr">
        <is>
          <t>Nhân Viên Kinh Doanh/ Sales Executive (Ngành Thép)</t>
        </is>
      </c>
      <c r="D3049" t="inlineStr">
        <is>
          <t>CAMET TECH MATERIALS PTE. LTD</t>
        </is>
      </c>
      <c r="E3049" t="inlineStr">
        <is>
          <t>$$ 500-2,000 /tháng</t>
        </is>
      </c>
      <c r="F3049" t="inlineStr">
        <is>
          <t>Hà Nội</t>
        </is>
      </c>
      <c r="G3049" t="inlineStr">
        <is>
          <t>Nhân viên</t>
        </is>
      </c>
      <c r="H3049" t="inlineStr">
        <is>
          <t>25/02/2026</t>
        </is>
      </c>
      <c r="I3049" t="inlineStr">
        <is>
          <t>27/03/2026</t>
        </is>
      </c>
      <c r="J3049" t="inlineStr">
        <is>
          <t>17/03/2026</t>
        </is>
      </c>
      <c r="K3049" t="inlineStr">
        <is>
          <t>N/A</t>
        </is>
      </c>
      <c r="L3049" t="inlineStr">
        <is>
          <t>Customer Experience Management, International Trade, Market Analysis, Negotiation Skills, Kinh Doanh Sắt Thép</t>
        </is>
      </c>
      <c r="M3049" t="inlineStr">
        <is>
          <t>Bonus, Training</t>
        </is>
      </c>
      <c r="N3049" s="8">
        <f>HYPERLINK("https://www.vietnamworks.com/nhan-vien-kinh-doanh-sales-executive-nganh-thep-2013752-jv","Xem chi tiết")</f>
        <v/>
      </c>
    </row>
    <row r="3050">
      <c r="B3050" s="9" t="n">
        <v>3048</v>
      </c>
      <c r="C3050" s="10" t="inlineStr">
        <is>
          <t>1 (Nữ) Đại Học- Nhân Viên Phòng Xuất Nhập Khẩu (Loteco)</t>
        </is>
      </c>
      <c r="D3050" s="10" t="inlineStr">
        <is>
          <t>Công Ty TNHH Mitsuba Việt Nam</t>
        </is>
      </c>
      <c r="E3050" s="10" t="inlineStr">
        <is>
          <t>10tr-11tr ₫/tháng</t>
        </is>
      </c>
      <c r="F3050" s="10" t="inlineStr">
        <is>
          <t>Đồng Nai</t>
        </is>
      </c>
      <c r="G3050" s="10" t="inlineStr">
        <is>
          <t>Nhân viên</t>
        </is>
      </c>
      <c r="H3050" s="10" t="inlineStr">
        <is>
          <t>25/02/2026</t>
        </is>
      </c>
      <c r="I3050" s="10" t="inlineStr">
        <is>
          <t>27/03/2026</t>
        </is>
      </c>
      <c r="J3050" s="10" t="inlineStr">
        <is>
          <t>17/03/2026</t>
        </is>
      </c>
      <c r="K3050" s="10" t="inlineStr">
        <is>
          <t>N/A</t>
        </is>
      </c>
      <c r="L3050" s="10" t="inlineStr">
        <is>
          <t>Chứng từ, Chứng Từ Xuất Nhập Khẩu, Export Control, Import Experience, Xuất Nhập Khẩu</t>
        </is>
      </c>
      <c r="M3050" s="10" t="inlineStr">
        <is>
          <t>Bonus, Healthcare Plan, Paid Leave, Team Activities, Others</t>
        </is>
      </c>
      <c r="N3050" s="11">
        <f>HYPERLINK("https://www.vietnamworks.com/1-nu-dai-hoc-nhan-vien-phong-xuat-nhap-khau-loteco-2013753-jv","Xem chi tiết")</f>
        <v/>
      </c>
      <c r="O3050" s="10" t="n"/>
    </row>
    <row r="3051">
      <c r="B3051" s="7" t="n">
        <v>3049</v>
      </c>
      <c r="C3051" t="inlineStr">
        <is>
          <t>Chuyên viên, Chuyên viên cao cấp Xây dựng Mô hình rủi ro - Risk Modeling Specialist, Senior Specialist - Khối Quản trị rủi ro (HO26.58)</t>
        </is>
      </c>
      <c r="D3051" t="inlineStr">
        <is>
          <t>NGÂN HÀNG TMCP QUÂN ĐỘI – MBBANK</t>
        </is>
      </c>
      <c r="E3051" t="inlineStr">
        <is>
          <t>Thương lượng</t>
        </is>
      </c>
      <c r="F3051" t="inlineStr">
        <is>
          <t>Hà Nội</t>
        </is>
      </c>
      <c r="G3051" t="inlineStr">
        <is>
          <t>Nhân viên</t>
        </is>
      </c>
      <c r="H3051" t="inlineStr">
        <is>
          <t>25/02/2026</t>
        </is>
      </c>
      <c r="I3051" t="inlineStr">
        <is>
          <t>27/03/2026</t>
        </is>
      </c>
      <c r="J3051" t="inlineStr">
        <is>
          <t>17/03/2026</t>
        </is>
      </c>
      <c r="K3051" t="inlineStr">
        <is>
          <t>N/A</t>
        </is>
      </c>
      <c r="L3051" t="inlineStr">
        <is>
          <t>Banking, Credit Risk Modeling, Data Analysis, Python, SQL</t>
        </is>
      </c>
      <c r="M3051" t="inlineStr">
        <is>
          <t>Bonus, Healthcare Plan, Paid Leave, Training, Team Activities, Vouchers, Others</t>
        </is>
      </c>
      <c r="N3051" s="8">
        <f>HYPERLINK("https://www.vietnamworks.com/chuyen-vien-chuyen-vien-cao-cap-xay-dung-mo-hinh-rui-ro-risk-modeling-specialist-senior-specialist-khoi-quan-tri-rui-ro-ho26-58-2013725-jv","Xem chi tiết")</f>
        <v/>
      </c>
    </row>
    <row r="3052">
      <c r="B3052" s="9" t="n">
        <v>3050</v>
      </c>
      <c r="C3052" s="10" t="inlineStr">
        <is>
          <t>(VN 216) Kỹ Sư Phát Triển Phần Mềm Nhúng Matlab Simulink</t>
        </is>
      </c>
      <c r="D3052" s="10" t="inlineStr">
        <is>
          <t>Công Ty TNHH R Techno Việt Nam</t>
        </is>
      </c>
      <c r="E3052" s="10" t="inlineStr">
        <is>
          <t>Từ 47tr ₫/tháng</t>
        </is>
      </c>
      <c r="F3052" s="10" t="inlineStr">
        <is>
          <t>Hồ Chí Minh</t>
        </is>
      </c>
      <c r="G3052" s="10" t="inlineStr">
        <is>
          <t>Nhân viên</t>
        </is>
      </c>
      <c r="H3052" s="10" t="inlineStr">
        <is>
          <t>25/02/2026</t>
        </is>
      </c>
      <c r="I3052" s="10" t="inlineStr">
        <is>
          <t>27/03/2026</t>
        </is>
      </c>
      <c r="J3052" s="10" t="inlineStr">
        <is>
          <t>17/03/2026</t>
        </is>
      </c>
      <c r="K3052" s="10" t="inlineStr">
        <is>
          <t>N/A</t>
        </is>
      </c>
      <c r="L3052" s="10" t="inlineStr">
        <is>
          <t>Kiến Thức Phần Cứng, Làm Tài Liệu Kỹ Thuật, Lập Trình MATLAB, Matlab Simulink, Phát Triển Phần Mềm</t>
        </is>
      </c>
      <c r="M3052" s="10" t="inlineStr">
        <is>
          <t>Bonus, Healthcare Plan, Paid Leave</t>
        </is>
      </c>
      <c r="N3052" s="11">
        <f>HYPERLINK("https://www.vietnamworks.com/-vn-216-ky-su-phat-trien-phan-mem-nhung-matlab-simulink-2013744-jv","Xem chi tiết")</f>
        <v/>
      </c>
      <c r="O3052" s="10" t="n"/>
    </row>
    <row r="3053">
      <c r="B3053" s="7" t="n">
        <v>3051</v>
      </c>
      <c r="C3053" t="inlineStr">
        <is>
          <t>Nhân Viên Truyền Thông và Sự Kiện - Up to 25 Triệu/tháng</t>
        </is>
      </c>
      <c r="D3053" t="inlineStr">
        <is>
          <t>Công Ty Cổ Phần Giáo Dục American Study</t>
        </is>
      </c>
      <c r="E3053" t="inlineStr">
        <is>
          <t>Tới 25tr ₫/tháng</t>
        </is>
      </c>
      <c r="F3053" t="inlineStr">
        <is>
          <t>Hà Nội, Hồ Chí Minh</t>
        </is>
      </c>
      <c r="G3053" t="inlineStr">
        <is>
          <t>Mới Tốt Nghiệp</t>
        </is>
      </c>
      <c r="H3053" t="inlineStr">
        <is>
          <t>25/02/2026</t>
        </is>
      </c>
      <c r="I3053" t="inlineStr">
        <is>
          <t>27/03/2026</t>
        </is>
      </c>
      <c r="J3053" t="inlineStr">
        <is>
          <t>17/03/2026</t>
        </is>
      </c>
      <c r="K3053" t="inlineStr">
        <is>
          <t>N/A</t>
        </is>
      </c>
      <c r="L3053" t="inlineStr">
        <is>
          <t>Quảng Bá Hình Ảnh, Quản Lý Mạng Xã Hội, Truyền Thông Quốc Tế, Báo chí, Điều Phối Sự Kiện</t>
        </is>
      </c>
      <c r="M3053" t="inlineStr">
        <is>
          <t>Bonus, Training, Travel Opportunities</t>
        </is>
      </c>
      <c r="N3053" s="8">
        <f>HYPERLINK("https://www.vietnamworks.com/nhan-vien-truyen-thong-va-su-kien-up-to-25-trieuthang-2013748-jv","Xem chi tiết")</f>
        <v/>
      </c>
    </row>
    <row r="3054">
      <c r="B3054" s="9" t="n">
        <v>3052</v>
      </c>
      <c r="C3054" s="10" t="inlineStr">
        <is>
          <t>Senior Sales Capability Specialist</t>
        </is>
      </c>
      <c r="D3054" s="10" t="inlineStr">
        <is>
          <t>Công Ty Cổ Phần Vàng Bạc Đá Quý Phú Nhuận (PNJ)</t>
        </is>
      </c>
      <c r="E3054" s="10" t="inlineStr">
        <is>
          <t>Thương lượng</t>
        </is>
      </c>
      <c r="F3054" s="10" t="inlineStr">
        <is>
          <t>Hồ Chí Minh</t>
        </is>
      </c>
      <c r="G3054" s="10" t="inlineStr">
        <is>
          <t>Nhân viên</t>
        </is>
      </c>
      <c r="H3054" s="10" t="inlineStr">
        <is>
          <t>25/02/2026</t>
        </is>
      </c>
      <c r="I3054" s="10" t="inlineStr">
        <is>
          <t>27/03/2026</t>
        </is>
      </c>
      <c r="J3054" s="10" t="inlineStr">
        <is>
          <t>17/03/2026</t>
        </is>
      </c>
      <c r="K3054" s="10" t="inlineStr">
        <is>
          <t>N/A</t>
        </is>
      </c>
      <c r="L3054" s="10" t="inlineStr">
        <is>
          <t>Planning &amp; Analysis, Thiết Kế Giáo Trình, Training Evaluation, Training Organizing, Training Planning</t>
        </is>
      </c>
      <c r="M3054" s="10" t="inlineStr">
        <is>
          <t>Bonus, Healthcare Plan, Paid Leave, Training, Laptop, Travel Opportunities, Others</t>
        </is>
      </c>
      <c r="N3054" s="11">
        <f>HYPERLINK("https://www.vietnamworks.com/senior-sales-capability-specialist-2013742-jv","Xem chi tiết")</f>
        <v/>
      </c>
      <c r="O3054" s="10" t="n"/>
    </row>
    <row r="3055">
      <c r="B3055" s="7" t="n">
        <v>3053</v>
      </c>
      <c r="C3055" t="inlineStr">
        <is>
          <t>Chuyên Viên Kế Toán Xây Lắp</t>
        </is>
      </c>
      <c r="D3055" t="inlineStr">
        <is>
          <t>TỔNG CÔNG TY XÂY DỰNG SỐ 1 - CTCP</t>
        </is>
      </c>
      <c r="E3055" t="inlineStr">
        <is>
          <t>Thương lượng</t>
        </is>
      </c>
      <c r="F3055" t="inlineStr">
        <is>
          <t>Hồ Chí Minh</t>
        </is>
      </c>
      <c r="G3055" t="inlineStr">
        <is>
          <t>Nhân viên</t>
        </is>
      </c>
      <c r="H3055" t="inlineStr">
        <is>
          <t>25/02/2026</t>
        </is>
      </c>
      <c r="I3055" t="inlineStr">
        <is>
          <t>27/03/2026</t>
        </is>
      </c>
      <c r="J3055" t="inlineStr">
        <is>
          <t>17/03/2026</t>
        </is>
      </c>
      <c r="K3055" t="inlineStr">
        <is>
          <t>N/A</t>
        </is>
      </c>
      <c r="L3055" t="inlineStr">
        <is>
          <t>Báo Cáo Tài Chính, Giao Tiếp, Kế Toán Xây Dựng, Phân Tích Chi Phí, Quản Lý Công Nợ</t>
        </is>
      </c>
      <c r="M3055" t="inlineStr">
        <is>
          <t>Bonus, Healthcare Plan, Paid Leave, Training, Mobile, Travel Opportunities, Canteen</t>
        </is>
      </c>
      <c r="N3055" s="8">
        <f>HYPERLINK("https://www.vietnamworks.com/chuyen-vien-ke-toan-xay-lap-2013750-jv","Xem chi tiết")</f>
        <v/>
      </c>
    </row>
    <row r="3056">
      <c r="B3056" s="9" t="n">
        <v>3054</v>
      </c>
      <c r="C3056" s="10" t="inlineStr">
        <is>
          <t>IT Manager</t>
        </is>
      </c>
      <c r="D3056" s="10" t="inlineStr">
        <is>
          <t>Công Ty TNHH FPT Smart Cloud</t>
        </is>
      </c>
      <c r="E3056" s="10" t="inlineStr">
        <is>
          <t>$$ 2,000-3,000 /tháng</t>
        </is>
      </c>
      <c r="F3056" s="10" t="inlineStr">
        <is>
          <t>Hà Nội</t>
        </is>
      </c>
      <c r="G3056" s="10" t="inlineStr">
        <is>
          <t>Trưởng phòng</t>
        </is>
      </c>
      <c r="H3056" s="10" t="inlineStr">
        <is>
          <t>25/02/2026</t>
        </is>
      </c>
      <c r="I3056" s="10" t="inlineStr">
        <is>
          <t>27/03/2026</t>
        </is>
      </c>
      <c r="J3056" s="10" t="inlineStr">
        <is>
          <t>17/03/2026</t>
        </is>
      </c>
      <c r="K3056" s="10" t="inlineStr">
        <is>
          <t>N/A</t>
        </is>
      </c>
      <c r="L3056" s="10" t="inlineStr">
        <is>
          <t>API Integration, Architecture Design, Database Software, Oracle CRM, Team Management</t>
        </is>
      </c>
      <c r="M3056" s="10" t="inlineStr">
        <is>
          <t>Healthcare Plan, Training, Team Activities, Others</t>
        </is>
      </c>
      <c r="N3056" s="11">
        <f>HYPERLINK("https://www.vietnamworks.com/it-manager-2013746-jv","Xem chi tiết")</f>
        <v/>
      </c>
      <c r="O3056" s="10" t="n"/>
    </row>
    <row r="3057">
      <c r="B3057" s="7" t="n">
        <v>3055</v>
      </c>
      <c r="C3057" t="inlineStr">
        <is>
          <t>Sales Engineer – Hanoi, Ho Chi Minh, Danang &amp; West Vietnam</t>
        </is>
      </c>
      <c r="D3057" t="inlineStr">
        <is>
          <t>Công Ty TNHH Kian Ho (Việt Nam)</t>
        </is>
      </c>
      <c r="E3057" t="inlineStr">
        <is>
          <t>Thương lượng</t>
        </is>
      </c>
      <c r="F3057" t="inlineStr">
        <is>
          <t>Hồ Chí Minh, Hà Nội, Đà Nẵng</t>
        </is>
      </c>
      <c r="G3057" t="inlineStr">
        <is>
          <t>Mới Tốt Nghiệp</t>
        </is>
      </c>
      <c r="H3057" t="inlineStr">
        <is>
          <t>25/02/2026</t>
        </is>
      </c>
      <c r="I3057" t="inlineStr">
        <is>
          <t>27/03/2026</t>
        </is>
      </c>
      <c r="J3057" t="inlineStr">
        <is>
          <t>17/03/2026</t>
        </is>
      </c>
      <c r="K3057" t="inlineStr">
        <is>
          <t>N/A</t>
        </is>
      </c>
      <c r="L3057" t="inlineStr">
        <is>
          <t>English, Machine Engineering, Mechanical Engineering, OEM, Sales Engineering</t>
        </is>
      </c>
      <c r="M3057" t="inlineStr">
        <is>
          <t>Bonus</t>
        </is>
      </c>
      <c r="N3057" s="8">
        <f>HYPERLINK("https://www.vietnamworks.com/sales-engineer-hanoi-ho-chi-minh-danang-and-west-vietnam-2013747-jv","Xem chi tiết")</f>
        <v/>
      </c>
    </row>
    <row r="3058">
      <c r="B3058" s="9" t="n">
        <v>3056</v>
      </c>
      <c r="C3058" s="10" t="inlineStr">
        <is>
          <t>Giám Đốc Kinh Doanh</t>
        </is>
      </c>
      <c r="D3058" s="10" t="inlineStr">
        <is>
          <t>CÔNG TY CỔ PHẦN BỆNH VIỆN ĐA KHOA QUỐC TẾ DNA</t>
        </is>
      </c>
      <c r="E3058" s="10" t="inlineStr">
        <is>
          <t>Thương lượng</t>
        </is>
      </c>
      <c r="F3058" s="10" t="inlineStr">
        <is>
          <t>Hồ Chí Minh</t>
        </is>
      </c>
      <c r="G3058" s="10" t="inlineStr">
        <is>
          <t>Giám Đốc và Cấp Cao Hơn</t>
        </is>
      </c>
      <c r="H3058" s="10" t="inlineStr">
        <is>
          <t>25/02/2026</t>
        </is>
      </c>
      <c r="I3058" s="10" t="inlineStr">
        <is>
          <t>27/03/2026</t>
        </is>
      </c>
      <c r="J3058" s="10" t="inlineStr">
        <is>
          <t>17/03/2026</t>
        </is>
      </c>
      <c r="K3058" s="10" t="inlineStr">
        <is>
          <t>N/A</t>
        </is>
      </c>
      <c r="L3058" s="10" t="inlineStr">
        <is>
          <t>Quản Lý Kinh Doanh, Lập Kế Hoạch Kinh Doanh, Kinh Doanh Thẩm Mỹ, Chăm Sóc Khách Hàng, Business Development</t>
        </is>
      </c>
      <c r="M3058" s="10" t="inlineStr">
        <is>
          <t>Others</t>
        </is>
      </c>
      <c r="N3058" s="11">
        <f>HYPERLINK("https://www.vietnamworks.com/giam-doc-kinh-doanh--2013757-jv","Xem chi tiết")</f>
        <v/>
      </c>
      <c r="O3058" s="10" t="n"/>
    </row>
    <row r="3059">
      <c r="B3059" s="7" t="n">
        <v>3057</v>
      </c>
      <c r="C3059" t="inlineStr">
        <is>
          <t>Finance &amp; Operations Support Manager</t>
        </is>
      </c>
      <c r="D3059" t="inlineStr">
        <is>
          <t>Công Ty TNHH Kian Ho (Việt Nam)</t>
        </is>
      </c>
      <c r="E3059" t="inlineStr">
        <is>
          <t>Thương lượng</t>
        </is>
      </c>
      <c r="F3059" t="inlineStr">
        <is>
          <t>Hồ Chí Minh</t>
        </is>
      </c>
      <c r="G3059" t="inlineStr">
        <is>
          <t>Trưởng phòng</t>
        </is>
      </c>
      <c r="H3059" t="inlineStr">
        <is>
          <t>25/02/2026</t>
        </is>
      </c>
      <c r="I3059" t="inlineStr">
        <is>
          <t>27/03/2026</t>
        </is>
      </c>
      <c r="J3059" t="inlineStr">
        <is>
          <t>17/03/2026</t>
        </is>
      </c>
      <c r="K3059" t="inlineStr">
        <is>
          <t>N/A</t>
        </is>
      </c>
      <c r="L3059" t="inlineStr">
        <is>
          <t>Finance Management, Financial Accounting, Inventory Planning, Finance, Accounting</t>
        </is>
      </c>
      <c r="M3059" t="inlineStr">
        <is>
          <t>Bonus</t>
        </is>
      </c>
      <c r="N3059" s="8">
        <f>HYPERLINK("https://www.vietnamworks.com/finance-and-operations-support-manager-2013758-jv","Xem chi tiết")</f>
        <v/>
      </c>
    </row>
    <row r="3060">
      <c r="B3060" s="9" t="n">
        <v>3058</v>
      </c>
      <c r="C3060" s="10" t="inlineStr">
        <is>
          <t>Senior Sales Executive</t>
        </is>
      </c>
      <c r="D3060" s="10" t="inlineStr">
        <is>
          <t>Công Ty Cổ Phần Prowtech International Vina</t>
        </is>
      </c>
      <c r="E3060" s="10" t="inlineStr">
        <is>
          <t>Thương lượng</t>
        </is>
      </c>
      <c r="F3060" s="10" t="inlineStr">
        <is>
          <t>Hồ Chí Minh</t>
        </is>
      </c>
      <c r="G3060" s="10" t="inlineStr">
        <is>
          <t>Nhân viên</t>
        </is>
      </c>
      <c r="H3060" s="10" t="inlineStr">
        <is>
          <t>25/02/2026</t>
        </is>
      </c>
      <c r="I3060" s="10" t="inlineStr">
        <is>
          <t>27/03/2026</t>
        </is>
      </c>
      <c r="J3060" s="10" t="inlineStr">
        <is>
          <t>17/03/2026</t>
        </is>
      </c>
      <c r="K3060" s="10" t="inlineStr">
        <is>
          <t>N/A</t>
        </is>
      </c>
      <c r="L3060" s="10" t="inlineStr">
        <is>
          <t>Kinh Doanh, Phát Triển Khách Hàng, Quản Lý Doanh Số, Sales Planning, Truyền Thông Quảng Cáo</t>
        </is>
      </c>
      <c r="M3060" s="10" t="inlineStr">
        <is>
          <t>Others</t>
        </is>
      </c>
      <c r="N3060" s="11">
        <f>HYPERLINK("https://www.vietnamworks.com/senior-sales-executive-2013768-jv","Xem chi tiết")</f>
        <v/>
      </c>
      <c r="O3060" s="10" t="n"/>
    </row>
    <row r="3061">
      <c r="B3061" s="7" t="n">
        <v>3059</v>
      </c>
      <c r="C3061" t="inlineStr">
        <is>
          <t>Sales B2B</t>
        </is>
      </c>
      <c r="D3061" t="inlineStr">
        <is>
          <t>Công ty cổ phần SiliconZ</t>
        </is>
      </c>
      <c r="E3061" t="inlineStr">
        <is>
          <t>15tr-25tr ₫/tháng</t>
        </is>
      </c>
      <c r="F3061" t="inlineStr">
        <is>
          <t>Hồ Chí Minh</t>
        </is>
      </c>
      <c r="G3061" t="inlineStr">
        <is>
          <t>Nhân viên</t>
        </is>
      </c>
      <c r="H3061" t="inlineStr">
        <is>
          <t>25/02/2026</t>
        </is>
      </c>
      <c r="I3061" t="inlineStr">
        <is>
          <t>27/03/2026</t>
        </is>
      </c>
      <c r="J3061" t="inlineStr">
        <is>
          <t>17/03/2026</t>
        </is>
      </c>
      <c r="K3061" t="inlineStr">
        <is>
          <t>N/A</t>
        </is>
      </c>
      <c r="L3061" t="inlineStr">
        <is>
          <t>Kinh Doanh B2B, Tìm Kiếm Khách Hàng, Tư Vấn Giải Pháp, Quản Lý Kinh Doanh, Kinh Doanh Nội Thất</t>
        </is>
      </c>
      <c r="M3061" t="inlineStr">
        <is>
          <t>Bonus, Others</t>
        </is>
      </c>
      <c r="N3061" s="8">
        <f>HYPERLINK("https://www.vietnamworks.com/sales-b2b--2013759-jv","Xem chi tiết")</f>
        <v/>
      </c>
    </row>
    <row r="3062">
      <c r="B3062" s="9" t="n">
        <v>3060</v>
      </c>
      <c r="C3062" s="10" t="inlineStr">
        <is>
          <t>Finance Manager / Accouting Manager</t>
        </is>
      </c>
      <c r="D3062" s="10" t="inlineStr">
        <is>
          <t>Vietnamworks' Client</t>
        </is>
      </c>
      <c r="E3062" s="10" t="inlineStr">
        <is>
          <t>Thương lượng</t>
        </is>
      </c>
      <c r="F3062" s="10" t="inlineStr">
        <is>
          <t>Hồ Chí Minh</t>
        </is>
      </c>
      <c r="G3062" s="10" t="inlineStr">
        <is>
          <t>Trưởng phòng</t>
        </is>
      </c>
      <c r="H3062" s="10" t="inlineStr">
        <is>
          <t>25/02/2026</t>
        </is>
      </c>
      <c r="I3062" s="10" t="inlineStr">
        <is>
          <t>27/03/2026</t>
        </is>
      </c>
      <c r="J3062" s="10" t="inlineStr">
        <is>
          <t>17/03/2026</t>
        </is>
      </c>
      <c r="K3062" s="10" t="inlineStr">
        <is>
          <t>N/A</t>
        </is>
      </c>
      <c r="L3062" s="10" t="inlineStr">
        <is>
          <t>Cost Accounting, ERP System, Excel, Fixed Assets, Inventory Management</t>
        </is>
      </c>
      <c r="M3062" s="10" t="inlineStr">
        <is>
          <t>Bonus, Healthcare Plan, Training, Travel Opportunities</t>
        </is>
      </c>
      <c r="N3062" s="11">
        <f>HYPERLINK("https://www.vietnamworks.com/finance-manager-accouting-manager-2013755-jv","Xem chi tiết")</f>
        <v/>
      </c>
      <c r="O3062" s="10" t="n"/>
    </row>
    <row r="3063">
      <c r="B3063" s="7" t="n">
        <v>3061</v>
      </c>
      <c r="C3063" t="inlineStr">
        <is>
          <t>Chuyên Gia Vận Hành Nghiệp Vụ Thanh Toán (Tra Soát/đối Soát)</t>
        </is>
      </c>
      <c r="D3063" t="inlineStr">
        <is>
          <t>Công ty Cổ phần Thanh toán số Mobifone</t>
        </is>
      </c>
      <c r="E3063" t="inlineStr">
        <is>
          <t>Thương lượng</t>
        </is>
      </c>
      <c r="F3063" t="inlineStr">
        <is>
          <t>Hà Nội</t>
        </is>
      </c>
      <c r="G3063" t="inlineStr">
        <is>
          <t>Nhân viên</t>
        </is>
      </c>
      <c r="H3063" t="inlineStr">
        <is>
          <t>25/02/2026</t>
        </is>
      </c>
      <c r="I3063" t="inlineStr">
        <is>
          <t>27/03/2026</t>
        </is>
      </c>
      <c r="J3063" t="inlineStr">
        <is>
          <t>17/03/2026</t>
        </is>
      </c>
      <c r="K3063" t="inlineStr">
        <is>
          <t>N/A</t>
        </is>
      </c>
      <c r="L3063" t="inlineStr">
        <is>
          <t>Business Development, Account Management, Digital Payment, Effective Communication, Client Relationships</t>
        </is>
      </c>
      <c r="M3063" t="inlineStr">
        <is>
          <t>Bonus, Paid Leave, Canteen</t>
        </is>
      </c>
      <c r="N3063" s="8">
        <f>HYPERLINK("https://www.vietnamworks.com/chuyen-gia-van-hanh-nghiep-vu-thanh-toan-tra-soatdjoi-soat-2013754-jv","Xem chi tiết")</f>
        <v/>
      </c>
    </row>
    <row r="3064">
      <c r="B3064" s="9" t="n">
        <v>3062</v>
      </c>
      <c r="C3064" s="10" t="inlineStr">
        <is>
          <t>Nhân Viên Thiết Kế/ Graphic Designer</t>
        </is>
      </c>
      <c r="D3064" s="10" t="inlineStr">
        <is>
          <t>Công Ty Cổ Phần Thương Mại Âu Á</t>
        </is>
      </c>
      <c r="E3064" s="10" t="inlineStr">
        <is>
          <t>15tr-20tr ₫/tháng</t>
        </is>
      </c>
      <c r="F3064" s="10" t="inlineStr">
        <is>
          <t>Hà Nội</t>
        </is>
      </c>
      <c r="G3064" s="10" t="inlineStr">
        <is>
          <t>Nhân viên</t>
        </is>
      </c>
      <c r="H3064" s="10" t="inlineStr">
        <is>
          <t>25/02/2026</t>
        </is>
      </c>
      <c r="I3064" s="10" t="inlineStr">
        <is>
          <t>27/03/2026</t>
        </is>
      </c>
      <c r="J3064" s="10" t="inlineStr">
        <is>
          <t>17/03/2026</t>
        </is>
      </c>
      <c r="K3064" s="10" t="inlineStr">
        <is>
          <t>N/A</t>
        </is>
      </c>
      <c r="L3064" s="10" t="inlineStr">
        <is>
          <t>Photoshop, Lightroom, Graphic Designer, Illustrators, Thiết Kế Đồ Họa</t>
        </is>
      </c>
      <c r="M3064" s="10" t="inlineStr">
        <is>
          <t>Bonus, Training, Others</t>
        </is>
      </c>
      <c r="N3064" s="11">
        <f>HYPERLINK("https://www.vietnamworks.com/nhan-vien-thiet-ke-graphic-designer-2013756-jv","Xem chi tiết")</f>
        <v/>
      </c>
      <c r="O3064" s="10" t="n"/>
    </row>
    <row r="3065">
      <c r="B3065" s="7" t="n">
        <v>3063</v>
      </c>
      <c r="C3065" t="inlineStr">
        <is>
          <t>Kế Toán Thuế Upto 22 Triệu</t>
        </is>
      </c>
      <c r="D3065" t="inlineStr">
        <is>
          <t>Công Ty TNHH Khoáng Sản Vina Global</t>
        </is>
      </c>
      <c r="E3065" t="inlineStr">
        <is>
          <t>18tr-22tr ₫/tháng</t>
        </is>
      </c>
      <c r="F3065" t="inlineStr">
        <is>
          <t>Hà Nội</t>
        </is>
      </c>
      <c r="G3065" t="inlineStr">
        <is>
          <t>Nhân viên</t>
        </is>
      </c>
      <c r="H3065" t="inlineStr">
        <is>
          <t>25/02/2026</t>
        </is>
      </c>
      <c r="I3065" t="inlineStr">
        <is>
          <t>27/03/2026</t>
        </is>
      </c>
      <c r="J3065" t="inlineStr">
        <is>
          <t>17/03/2026</t>
        </is>
      </c>
      <c r="K3065" t="inlineStr">
        <is>
          <t>N/A</t>
        </is>
      </c>
      <c r="L3065" t="inlineStr">
        <is>
          <t>Luật Thuế, Phân Tích Rủi Ro, MS Excel, Phần Mềm Kế Toán, Tư Vấn Thuế</t>
        </is>
      </c>
      <c r="M3065" t="inlineStr">
        <is>
          <t>Healthcare Plan, Canteen, Others</t>
        </is>
      </c>
      <c r="N3065" s="8">
        <f>HYPERLINK("https://www.vietnamworks.com/ke-toan-thue-upto-22-trieu-2013770-jv","Xem chi tiết")</f>
        <v/>
      </c>
    </row>
    <row r="3066">
      <c r="B3066" s="9" t="n">
        <v>3064</v>
      </c>
      <c r="C3066" s="10" t="inlineStr">
        <is>
          <t>Kế Toán Thuế</t>
        </is>
      </c>
      <c r="D3066" s="10" t="inlineStr">
        <is>
          <t>Công Ty TNHH Thương Mại Dịch Vụ Thanh Sinh</t>
        </is>
      </c>
      <c r="E3066" s="10" t="inlineStr">
        <is>
          <t>Thương lượng</t>
        </is>
      </c>
      <c r="F3066" s="10" t="inlineStr">
        <is>
          <t>Đà Nẵng</t>
        </is>
      </c>
      <c r="G3066" s="10" t="inlineStr">
        <is>
          <t>Nhân viên</t>
        </is>
      </c>
      <c r="H3066" s="10" t="inlineStr">
        <is>
          <t>25/02/2026</t>
        </is>
      </c>
      <c r="I3066" s="10" t="inlineStr">
        <is>
          <t>27/03/2026</t>
        </is>
      </c>
      <c r="J3066" s="10" t="inlineStr">
        <is>
          <t>17/03/2026</t>
        </is>
      </c>
      <c r="K3066" s="10" t="inlineStr">
        <is>
          <t>N/A</t>
        </is>
      </c>
      <c r="L3066" s="10" t="inlineStr">
        <is>
          <t>Kế Toán Thuế, Kiểm Tra Đánh Giá Hợp Đồng, Làm Hóa Đơn, Thanh Toán Thuế, Báo Cáo Kế Toán Thuế</t>
        </is>
      </c>
      <c r="M3066" s="10" t="inlineStr">
        <is>
          <t>Paid Leave, Laptop, Others</t>
        </is>
      </c>
      <c r="N3066" s="11">
        <f>HYPERLINK("https://www.vietnamworks.com/ke-toan-thue-2013782-jv","Xem chi tiết")</f>
        <v/>
      </c>
      <c r="O3066" s="10" t="n"/>
    </row>
    <row r="3067">
      <c r="B3067" s="7" t="n">
        <v>3065</v>
      </c>
      <c r="C3067" t="inlineStr">
        <is>
          <t>Relationship Manager (Corporate Banking)</t>
        </is>
      </c>
      <c r="D3067" t="inlineStr">
        <is>
          <t>Bank Of China (Hong Kong) Limited - Hochiminh City Branch</t>
        </is>
      </c>
      <c r="E3067" t="inlineStr">
        <is>
          <t>Thương lượng</t>
        </is>
      </c>
      <c r="F3067" t="inlineStr">
        <is>
          <t>Hà Nội</t>
        </is>
      </c>
      <c r="G3067" t="inlineStr">
        <is>
          <t>Nhân viên</t>
        </is>
      </c>
      <c r="H3067" t="inlineStr">
        <is>
          <t>25/02/2026</t>
        </is>
      </c>
      <c r="I3067" t="inlineStr">
        <is>
          <t>27/03/2026</t>
        </is>
      </c>
      <c r="J3067" t="inlineStr">
        <is>
          <t>17/03/2026</t>
        </is>
      </c>
      <c r="K3067" t="inlineStr">
        <is>
          <t>N/A</t>
        </is>
      </c>
      <c r="L3067" t="inlineStr">
        <is>
          <t>Financial Solution, Analytical Skills, Business Strategy, Credit, Relationship Management</t>
        </is>
      </c>
      <c r="M3067" t="inlineStr">
        <is>
          <t>Bonus, Training, Others</t>
        </is>
      </c>
      <c r="N3067" s="8">
        <f>HYPERLINK("https://www.vietnamworks.com/relationship-manager-corporate-banking-2013784-jv","Xem chi tiết")</f>
        <v/>
      </c>
    </row>
    <row r="3068">
      <c r="B3068" s="9" t="n">
        <v>3066</v>
      </c>
      <c r="C3068" s="10" t="inlineStr">
        <is>
          <t>Thư Ký Ban Tổng Giám Đốc</t>
        </is>
      </c>
      <c r="D3068" s="10" t="inlineStr">
        <is>
          <t>Công Ty Cổ Phần Prowtech International Vina</t>
        </is>
      </c>
      <c r="E3068" s="10" t="inlineStr">
        <is>
          <t>Thương lượng</t>
        </is>
      </c>
      <c r="F3068" s="10" t="inlineStr">
        <is>
          <t>Hồ Chí Minh</t>
        </is>
      </c>
      <c r="G3068" s="10" t="inlineStr">
        <is>
          <t>Nhân viên</t>
        </is>
      </c>
      <c r="H3068" s="10" t="inlineStr">
        <is>
          <t>25/02/2026</t>
        </is>
      </c>
      <c r="I3068" s="10" t="inlineStr">
        <is>
          <t>27/03/2026</t>
        </is>
      </c>
      <c r="J3068" s="10" t="inlineStr">
        <is>
          <t>17/03/2026</t>
        </is>
      </c>
      <c r="K3068" s="10" t="inlineStr">
        <is>
          <t>N/A</t>
        </is>
      </c>
      <c r="L3068" s="10" t="inlineStr">
        <is>
          <t>Thư ký, Truyền Thông, Tin Học Văn Phòng, Trợ Lý, Quản Trị Kinh Doanh</t>
        </is>
      </c>
      <c r="M3068" s="10" t="inlineStr">
        <is>
          <t>Others</t>
        </is>
      </c>
      <c r="N3068" s="11">
        <f>HYPERLINK("https://www.vietnamworks.com/thu-ky-ban-tong-giam-doc--2013764-jv","Xem chi tiết")</f>
        <v/>
      </c>
      <c r="O3068" s="10" t="n"/>
    </row>
    <row r="3069">
      <c r="B3069" s="7" t="n">
        <v>3067</v>
      </c>
      <c r="C3069" t="inlineStr">
        <is>
          <t>Kỹ Sư Cơ Nhiệt</t>
        </is>
      </c>
      <c r="D3069" t="inlineStr">
        <is>
          <t>Ban Quản Lý Dự Án Điện Lực Dầu Khí Long Phú 1</t>
        </is>
      </c>
      <c r="E3069" t="inlineStr">
        <is>
          <t>Thương lượng</t>
        </is>
      </c>
      <c r="F3069" t="inlineStr">
        <is>
          <t>Sóc Trăng, Cần Thơ, Hậu Giang</t>
        </is>
      </c>
      <c r="G3069" t="inlineStr">
        <is>
          <t>Nhân viên</t>
        </is>
      </c>
      <c r="H3069" t="inlineStr">
        <is>
          <t>25/02/2026</t>
        </is>
      </c>
      <c r="I3069" t="inlineStr">
        <is>
          <t>27/03/2026</t>
        </is>
      </c>
      <c r="J3069" t="inlineStr">
        <is>
          <t>17/03/2026</t>
        </is>
      </c>
      <c r="K3069" t="inlineStr">
        <is>
          <t>N/A</t>
        </is>
      </c>
      <c r="L3069" t="inlineStr">
        <is>
          <t>Boiler Maintenance, Nhiệt Điện, Cơ Khí, Kỹ Thuật Nhiệt, Kỹ Thuật Lò Hơi</t>
        </is>
      </c>
      <c r="M3069" t="inlineStr">
        <is>
          <t>Bonus, Healthcare Plan, Others</t>
        </is>
      </c>
      <c r="N3069" s="8">
        <f>HYPERLINK("https://www.vietnamworks.com/ky-su-co-nhiet--2013766-jv","Xem chi tiết")</f>
        <v/>
      </c>
    </row>
    <row r="3070">
      <c r="B3070" s="9" t="n">
        <v>3068</v>
      </c>
      <c r="C3070" s="10" t="inlineStr">
        <is>
          <t>Project Delivery Engineer</t>
        </is>
      </c>
      <c r="D3070" s="10" t="inlineStr">
        <is>
          <t>Thương Mại Khánh Thiện</t>
        </is>
      </c>
      <c r="E3070" s="10" t="inlineStr">
        <is>
          <t>Thương lượng</t>
        </is>
      </c>
      <c r="F3070" s="10" t="inlineStr">
        <is>
          <t>Hồ Chí Minh</t>
        </is>
      </c>
      <c r="G3070" s="10" t="inlineStr">
        <is>
          <t>Nhân viên</t>
        </is>
      </c>
      <c r="H3070" s="10" t="inlineStr">
        <is>
          <t>25/02/2026</t>
        </is>
      </c>
      <c r="I3070" s="10" t="inlineStr">
        <is>
          <t>27/03/2026</t>
        </is>
      </c>
      <c r="J3070" s="10" t="inlineStr">
        <is>
          <t>17/03/2026</t>
        </is>
      </c>
      <c r="K3070" s="10" t="inlineStr">
        <is>
          <t>N/A</t>
        </is>
      </c>
      <c r="L3070" s="10" t="inlineStr">
        <is>
          <t>Analytical Skills, English, Installation Testing, Problem Solving, Project Management</t>
        </is>
      </c>
      <c r="M3070" s="10" t="inlineStr">
        <is>
          <t>Bonus, Healthcare Plan, Paid Leave, Training, Others</t>
        </is>
      </c>
      <c r="N3070" s="11">
        <f>HYPERLINK("https://www.vietnamworks.com/project-delivery-engineer-2013786-jv","Xem chi tiết")</f>
        <v/>
      </c>
      <c r="O3070" s="10" t="n"/>
    </row>
    <row r="3071">
      <c r="B3071" s="7" t="n">
        <v>3069</v>
      </c>
      <c r="C3071" t="inlineStr">
        <is>
          <t>Trưởng Phòng Kinh Doanh Giải Pháp Tự Động Hóa Và Máy Đóng Gói</t>
        </is>
      </c>
      <c r="D3071" t="inlineStr">
        <is>
          <t>CÔNG TY CỔ PHẦN MÁY ĐÓNG GÓI MIKYO</t>
        </is>
      </c>
      <c r="E3071" t="inlineStr">
        <is>
          <t>20tr-30tr ₫/tháng</t>
        </is>
      </c>
      <c r="F3071" t="inlineStr">
        <is>
          <t>Bắc Ninh</t>
        </is>
      </c>
      <c r="G3071" t="inlineStr">
        <is>
          <t>Trưởng phòng</t>
        </is>
      </c>
      <c r="H3071" t="inlineStr">
        <is>
          <t>25/02/2026</t>
        </is>
      </c>
      <c r="I3071" t="inlineStr">
        <is>
          <t>27/03/2026</t>
        </is>
      </c>
      <c r="J3071" t="inlineStr">
        <is>
          <t>17/03/2026</t>
        </is>
      </c>
      <c r="K3071" t="inlineStr">
        <is>
          <t>N/A</t>
        </is>
      </c>
      <c r="L3071" t="inlineStr">
        <is>
          <t>Kinh Doanh, Quản Lý, Cơ Khí Chế Tạo, Giao Tiếp, Cơ Điện Tử</t>
        </is>
      </c>
      <c r="M3071" t="inlineStr">
        <is>
          <t>Bonus, Healthcare Plan, Travel Opportunities, Team Activities, Canteen, Others</t>
        </is>
      </c>
      <c r="N3071" s="8">
        <f>HYPERLINK("https://www.vietnamworks.com/truong-phong-kinh-doanh-giai-phap-tu-djong-hoa-va-may-djong-goi-2013788-jv","Xem chi tiết")</f>
        <v/>
      </c>
    </row>
    <row r="3072">
      <c r="B3072" s="9" t="n">
        <v>3070</v>
      </c>
      <c r="C3072" s="10" t="inlineStr">
        <is>
          <t>Warehouse Manager</t>
        </is>
      </c>
      <c r="D3072" s="10" t="inlineStr">
        <is>
          <t>Công Ty TNHH WGR Industries</t>
        </is>
      </c>
      <c r="E3072" s="10" t="inlineStr">
        <is>
          <t>Thương lượng</t>
        </is>
      </c>
      <c r="F3072" s="10" t="inlineStr">
        <is>
          <t>Bình Định</t>
        </is>
      </c>
      <c r="G3072" s="10" t="inlineStr">
        <is>
          <t>Trưởng phòng</t>
        </is>
      </c>
      <c r="H3072" s="10" t="inlineStr">
        <is>
          <t>25/02/2026</t>
        </is>
      </c>
      <c r="I3072" s="10" t="inlineStr">
        <is>
          <t>27/03/2026</t>
        </is>
      </c>
      <c r="J3072" s="10" t="inlineStr">
        <is>
          <t>17/03/2026</t>
        </is>
      </c>
      <c r="K3072" s="10" t="inlineStr">
        <is>
          <t>N/A</t>
        </is>
      </c>
      <c r="L3072" s="10" t="inlineStr">
        <is>
          <t>Communication, ERP Systems, Inventory Control, Leadership, Warehouse Management</t>
        </is>
      </c>
      <c r="M3072" s="10" t="inlineStr">
        <is>
          <t>Healthcare Plan, Laptop, Transportation</t>
        </is>
      </c>
      <c r="N3072" s="11">
        <f>HYPERLINK("https://www.vietnamworks.com/warehouse-manager-2013789-jv","Xem chi tiết")</f>
        <v/>
      </c>
      <c r="O3072" s="10" t="n"/>
    </row>
    <row r="3073">
      <c r="B3073" s="7" t="n">
        <v>3071</v>
      </c>
      <c r="C3073" t="inlineStr">
        <is>
          <t>Trưởng Phòng Tổ Chức Nhân Sự</t>
        </is>
      </c>
      <c r="D3073" t="inlineStr">
        <is>
          <t>Công Ty TNHH Thương Mại Dược Phẩm Đông Á</t>
        </is>
      </c>
      <c r="E3073" t="inlineStr">
        <is>
          <t>Thương lượng</t>
        </is>
      </c>
      <c r="F3073" t="inlineStr">
        <is>
          <t>Hà Nội</t>
        </is>
      </c>
      <c r="G3073" t="inlineStr">
        <is>
          <t>Trưởng phòng</t>
        </is>
      </c>
      <c r="H3073" t="inlineStr">
        <is>
          <t>25/02/2026</t>
        </is>
      </c>
      <c r="I3073" t="inlineStr">
        <is>
          <t>27/03/2026</t>
        </is>
      </c>
      <c r="J3073" t="inlineStr">
        <is>
          <t>17/03/2026</t>
        </is>
      </c>
      <c r="K3073" t="inlineStr">
        <is>
          <t>N/A</t>
        </is>
      </c>
      <c r="L3073" t="inlineStr">
        <is>
          <t>Hành Chính Nhân Sự, HR, Employer Branding, Hoạch Định Chiến Lược Nhân Sự, Tuyển Dụng</t>
        </is>
      </c>
      <c r="M3073" t="inlineStr">
        <is>
          <t>Bonus, Healthcare Plan, Training, Team Activities, Canteen, Others</t>
        </is>
      </c>
      <c r="N3073" s="8">
        <f>HYPERLINK("https://www.vietnamworks.com/truong-phong-to-chuc-nhan-su--2013762-jv","Xem chi tiết")</f>
        <v/>
      </c>
    </row>
    <row r="3074">
      <c r="B3074" s="9" t="n">
        <v>3072</v>
      </c>
      <c r="C3074" s="10" t="inlineStr">
        <is>
          <t>Purchasing Specialist</t>
        </is>
      </c>
      <c r="D3074" s="10" t="inlineStr">
        <is>
          <t>Công Ty TNHH sản xuất HARTING Việt Nam</t>
        </is>
      </c>
      <c r="E3074" s="10" t="inlineStr">
        <is>
          <t>Thương lượng</t>
        </is>
      </c>
      <c r="F3074" s="10" t="inlineStr">
        <is>
          <t>Hải Dương, Hải Phòng, Hưng Yên</t>
        </is>
      </c>
      <c r="G3074" s="10" t="inlineStr">
        <is>
          <t>Nhân viên</t>
        </is>
      </c>
      <c r="H3074" s="10" t="inlineStr">
        <is>
          <t>25/02/2026</t>
        </is>
      </c>
      <c r="I3074" s="10" t="inlineStr">
        <is>
          <t>27/03/2026</t>
        </is>
      </c>
      <c r="J3074" s="10" t="inlineStr">
        <is>
          <t>17/03/2026</t>
        </is>
      </c>
      <c r="K3074" s="10" t="inlineStr">
        <is>
          <t>N/A</t>
        </is>
      </c>
      <c r="L3074" s="10" t="inlineStr">
        <is>
          <t>English Communication, MS Office, Project Procurement Management, Supplier Management</t>
        </is>
      </c>
      <c r="M3074" s="10" t="inlineStr">
        <is>
          <t>Bonus</t>
        </is>
      </c>
      <c r="N3074" s="11">
        <f>HYPERLINK("https://www.vietnamworks.com/purchasing-specialist-2013783-jv","Xem chi tiết")</f>
        <v/>
      </c>
      <c r="O3074" s="10" t="n"/>
    </row>
    <row r="3075">
      <c r="B3075" s="7" t="n">
        <v>3073</v>
      </c>
      <c r="C3075" t="inlineStr">
        <is>
          <t>IT Helpdesk IT Helpdesk</t>
        </is>
      </c>
      <c r="D3075" t="inlineStr">
        <is>
          <t>CÔNG TY CỔ PHẦN HÀNG KHÔNG LỮ HÀNH VIỆT NAM</t>
        </is>
      </c>
      <c r="E3075" t="inlineStr">
        <is>
          <t>Thương lượng</t>
        </is>
      </c>
      <c r="F3075" t="inlineStr">
        <is>
          <t>Hà Nội</t>
        </is>
      </c>
      <c r="G3075" t="inlineStr">
        <is>
          <t>Nhân viên</t>
        </is>
      </c>
      <c r="H3075" t="inlineStr">
        <is>
          <t>25/02/2026</t>
        </is>
      </c>
      <c r="I3075" t="inlineStr">
        <is>
          <t>27/03/2026</t>
        </is>
      </c>
      <c r="J3075" t="inlineStr">
        <is>
          <t>17/03/2026</t>
        </is>
      </c>
      <c r="K3075" t="inlineStr">
        <is>
          <t>N/A</t>
        </is>
      </c>
      <c r="L3075" t="inlineStr">
        <is>
          <t>Technical Support, Hardware Support, Product Support, Communication, Time Management</t>
        </is>
      </c>
      <c r="M3075" t="inlineStr">
        <is>
          <t>Bonus, Healthcare Plan, Paid Leave</t>
        </is>
      </c>
      <c r="N3075" s="8">
        <f>HYPERLINK("https://www.vietnamworks.com/it-helpdesk-it-helpdesk-2013760-jv","Xem chi tiết")</f>
        <v/>
      </c>
    </row>
    <row r="3076">
      <c r="B3076" s="9" t="n">
        <v>3074</v>
      </c>
      <c r="C3076" s="10" t="inlineStr">
        <is>
          <t>Teacher Librarian</t>
        </is>
      </c>
      <c r="D3076" s="10" t="inlineStr">
        <is>
          <t>Trường Quốc Tế Đức Thành Phố Hồ Chí Minh</t>
        </is>
      </c>
      <c r="E3076" s="10" t="inlineStr">
        <is>
          <t>Thương lượng</t>
        </is>
      </c>
      <c r="F3076" s="10" t="inlineStr">
        <is>
          <t>Hồ Chí Minh</t>
        </is>
      </c>
      <c r="G3076" s="10" t="inlineStr">
        <is>
          <t>Nhân viên</t>
        </is>
      </c>
      <c r="H3076" s="10" t="inlineStr">
        <is>
          <t>25/02/2026</t>
        </is>
      </c>
      <c r="I3076" s="10" t="inlineStr">
        <is>
          <t>27/03/2026</t>
        </is>
      </c>
      <c r="J3076" s="10" t="inlineStr">
        <is>
          <t>17/03/2026</t>
        </is>
      </c>
      <c r="K3076" s="10" t="inlineStr">
        <is>
          <t>N/A</t>
        </is>
      </c>
      <c r="L3076" s="10" t="inlineStr">
        <is>
          <t>IT Literacy, Collection Management, Library Management, Digital Databases, Communication Skills</t>
        </is>
      </c>
      <c r="M3076" s="10" t="inlineStr">
        <is>
          <t>Bonus, Healthcare Plan, Team Activities</t>
        </is>
      </c>
      <c r="N3076" s="11">
        <f>HYPERLINK("https://www.vietnamworks.com/teacher-librarian-2013775-jv","Xem chi tiết")</f>
        <v/>
      </c>
      <c r="O3076" s="10" t="n"/>
    </row>
    <row r="3077">
      <c r="B3077" s="7" t="n">
        <v>3075</v>
      </c>
      <c r="C3077" t="inlineStr">
        <is>
          <t>Senior R&amp;D Specialist – Washing (Denim)</t>
        </is>
      </c>
      <c r="D3077" t="inlineStr">
        <is>
          <t>Công Ty TNHH May Thêu Thuận Phương</t>
        </is>
      </c>
      <c r="E3077" t="inlineStr">
        <is>
          <t>Thương lượng</t>
        </is>
      </c>
      <c r="F3077" t="inlineStr">
        <is>
          <t>Tây Ninh</t>
        </is>
      </c>
      <c r="G3077" t="inlineStr">
        <is>
          <t>Nhân viên</t>
        </is>
      </c>
      <c r="H3077" t="inlineStr">
        <is>
          <t>25/02/2026</t>
        </is>
      </c>
      <c r="I3077" t="inlineStr">
        <is>
          <t>27/03/2026</t>
        </is>
      </c>
      <c r="J3077" t="inlineStr">
        <is>
          <t>17/03/2026</t>
        </is>
      </c>
      <c r="K3077" t="inlineStr">
        <is>
          <t>N/A</t>
        </is>
      </c>
      <c r="L3077" t="inlineStr">
        <is>
          <t>N/A</t>
        </is>
      </c>
      <c r="M3077" t="inlineStr">
        <is>
          <t>Bonus, Healthcare Plan, Others</t>
        </is>
      </c>
      <c r="N3077" s="8">
        <f>HYPERLINK("https://www.vietnamworks.com/senior-randd-specialist-washing-denim-2013792-jv","Xem chi tiết")</f>
        <v/>
      </c>
    </row>
    <row r="3078">
      <c r="B3078" s="9" t="n">
        <v>3076</v>
      </c>
      <c r="C3078" s="10" t="inlineStr">
        <is>
          <t>Nhân Viên Hỗ Trợ Kinh Doanh/ Sale Admin</t>
        </is>
      </c>
      <c r="D3078" s="10" t="inlineStr">
        <is>
          <t>Công Ty Cổ Phần Công Nghệ PAC Việt Nam</t>
        </is>
      </c>
      <c r="E3078" s="10" t="inlineStr">
        <is>
          <t>Từ 13tr ₫/tháng</t>
        </is>
      </c>
      <c r="F3078" s="10" t="inlineStr">
        <is>
          <t>Hà Nội</t>
        </is>
      </c>
      <c r="G3078" s="10" t="inlineStr">
        <is>
          <t>Nhân viên</t>
        </is>
      </c>
      <c r="H3078" s="10" t="inlineStr">
        <is>
          <t>25/02/2026</t>
        </is>
      </c>
      <c r="I3078" s="10" t="inlineStr">
        <is>
          <t>27/03/2026</t>
        </is>
      </c>
      <c r="J3078" s="10" t="inlineStr">
        <is>
          <t>17/03/2026</t>
        </is>
      </c>
      <c r="K3078" s="10" t="inlineStr">
        <is>
          <t>N/A</t>
        </is>
      </c>
      <c r="L3078" s="10" t="inlineStr">
        <is>
          <t>Bán Hàng, Hỗ Trợ Kinh Doanh, Sales Administration, Sales Support, Chăm Sóc Khách Hàng</t>
        </is>
      </c>
      <c r="M3078" s="10" t="inlineStr">
        <is>
          <t>Bonus, Training, Laptop</t>
        </is>
      </c>
      <c r="N3078" s="11">
        <f>HYPERLINK("https://www.vietnamworks.com/nhan-vien-ho-tro-kinh-doanh-sale-admin--2013772-jv","Xem chi tiết")</f>
        <v/>
      </c>
      <c r="O3078" s="10" t="n"/>
    </row>
    <row r="3079">
      <c r="B3079" s="7" t="n">
        <v>3077</v>
      </c>
      <c r="C3079" t="inlineStr">
        <is>
          <t>Nhân Viên Nghiên Cứu Và Phát Triển Sản Phẩm</t>
        </is>
      </c>
      <c r="D3079" t="inlineStr">
        <is>
          <t>Công Ty TNHH Thương Mại Dịch Vụ Thanh Sinh</t>
        </is>
      </c>
      <c r="E3079" t="inlineStr">
        <is>
          <t>Thương lượng</t>
        </is>
      </c>
      <c r="F3079" t="inlineStr">
        <is>
          <t>Hồ Chí Minh, Đà Nẵng</t>
        </is>
      </c>
      <c r="G3079" t="inlineStr">
        <is>
          <t>Nhân viên</t>
        </is>
      </c>
      <c r="H3079" t="inlineStr">
        <is>
          <t>25/02/2026</t>
        </is>
      </c>
      <c r="I3079" t="inlineStr">
        <is>
          <t>27/03/2026</t>
        </is>
      </c>
      <c r="J3079" t="inlineStr">
        <is>
          <t>17/03/2026</t>
        </is>
      </c>
      <c r="K3079" t="inlineStr">
        <is>
          <t>N/A</t>
        </is>
      </c>
      <c r="L3079" t="inlineStr">
        <is>
          <t>Nghiên Cứu Sản Phẩm, Lập Báo Cáo, Công Nghệ Thực Phẩm, Lập Kế Hoạch, Tin Học Văn Phòng</t>
        </is>
      </c>
      <c r="M3079" t="inlineStr">
        <is>
          <t>Bonus, Healthcare Plan, Paid Leave, Others</t>
        </is>
      </c>
      <c r="N3079" s="8">
        <f>HYPERLINK("https://www.vietnamworks.com/nhan-vien-nghien-cuu-va-phat-trien-san-pham-2013771-jv","Xem chi tiết")</f>
        <v/>
      </c>
    </row>
    <row r="3080">
      <c r="B3080" s="9" t="n">
        <v>3078</v>
      </c>
      <c r="C3080" s="10" t="inlineStr">
        <is>
          <t>Senior Merchandiser (French Speaking)</t>
        </is>
      </c>
      <c r="D3080" s="10" t="inlineStr">
        <is>
          <t>Source Of Asia</t>
        </is>
      </c>
      <c r="E3080" s="10" t="inlineStr">
        <is>
          <t>$$ 1,000-1,500 /tháng</t>
        </is>
      </c>
      <c r="F3080" s="10" t="inlineStr">
        <is>
          <t>Hồ Chí Minh</t>
        </is>
      </c>
      <c r="G3080" s="10" t="inlineStr">
        <is>
          <t>Nhân viên</t>
        </is>
      </c>
      <c r="H3080" s="10" t="inlineStr">
        <is>
          <t>25/02/2026</t>
        </is>
      </c>
      <c r="I3080" s="10" t="inlineStr">
        <is>
          <t>27/03/2026</t>
        </is>
      </c>
      <c r="J3080" s="10" t="inlineStr">
        <is>
          <t>17/03/2026</t>
        </is>
      </c>
      <c r="K3080" s="10" t="inlineStr">
        <is>
          <t>N/A</t>
        </is>
      </c>
      <c r="L3080" s="10" t="inlineStr">
        <is>
          <t>Business Development, Communication Skills, Merchandising, Sourcing Skills, Supply Chain Management</t>
        </is>
      </c>
      <c r="M3080" s="10" t="inlineStr">
        <is>
          <t>Others</t>
        </is>
      </c>
      <c r="N3080" s="11">
        <f>HYPERLINK("https://www.vietnamworks.com/senior-merchandiser-french-speaking-2013776-jv","Xem chi tiết")</f>
        <v/>
      </c>
      <c r="O3080" s="10" t="n"/>
    </row>
    <row r="3081">
      <c r="B3081" s="7" t="n">
        <v>3079</v>
      </c>
      <c r="C3081" t="inlineStr">
        <is>
          <t>Project Manager Operation (Transformation Logistics Ecom)</t>
        </is>
      </c>
      <c r="D3081" t="inlineStr">
        <is>
          <t>Công Ty TNHH Onpoint</t>
        </is>
      </c>
      <c r="E3081" t="inlineStr">
        <is>
          <t>Thương lượng</t>
        </is>
      </c>
      <c r="F3081" t="inlineStr">
        <is>
          <t>Hồ Chí Minh</t>
        </is>
      </c>
      <c r="G3081" t="inlineStr">
        <is>
          <t>Nhân viên</t>
        </is>
      </c>
      <c r="H3081" t="inlineStr">
        <is>
          <t>25/02/2026</t>
        </is>
      </c>
      <c r="I3081" t="inlineStr">
        <is>
          <t>27/03/2026</t>
        </is>
      </c>
      <c r="J3081" t="inlineStr">
        <is>
          <t>17/03/2026</t>
        </is>
      </c>
      <c r="K3081" t="inlineStr">
        <is>
          <t>N/A</t>
        </is>
      </c>
      <c r="L3081" t="inlineStr">
        <is>
          <t>Project Management, Operations Management, Data Analysis, Agile Methodology, Problem-solving</t>
        </is>
      </c>
      <c r="M3081" t="inlineStr">
        <is>
          <t>Healthcare Plan, Paid Leave, Laptop</t>
        </is>
      </c>
      <c r="N3081" s="8">
        <f>HYPERLINK("https://www.vietnamworks.com/project-manager-operation-transformation-logistics-ecom-2013779-jv","Xem chi tiết")</f>
        <v/>
      </c>
    </row>
    <row r="3082">
      <c r="B3082" s="9" t="n">
        <v>3080</v>
      </c>
      <c r="C3082" s="10" t="inlineStr">
        <is>
          <t>Medical Communication Supervisor (Base Hà Nội)</t>
        </is>
      </c>
      <c r="D3082" s="10" t="inlineStr">
        <is>
          <t>Otsuka Nutraceutical Vietnam Co.,ltd.</t>
        </is>
      </c>
      <c r="E3082" s="10" t="inlineStr">
        <is>
          <t>$$ 800-1,000 /tháng</t>
        </is>
      </c>
      <c r="F3082" s="10" t="inlineStr">
        <is>
          <t>Hà Nội</t>
        </is>
      </c>
      <c r="G3082" s="10" t="inlineStr">
        <is>
          <t>Nhân viên</t>
        </is>
      </c>
      <c r="H3082" s="10" t="inlineStr">
        <is>
          <t>25/02/2026</t>
        </is>
      </c>
      <c r="I3082" s="10" t="inlineStr">
        <is>
          <t>27/03/2026</t>
        </is>
      </c>
      <c r="J3082" s="10" t="inlineStr">
        <is>
          <t>17/03/2026</t>
        </is>
      </c>
      <c r="K3082" s="10" t="inlineStr">
        <is>
          <t>N/A</t>
        </is>
      </c>
      <c r="L3082" s="10" t="inlineStr">
        <is>
          <t>Communication Skills, Medical And Scientific Knowledge, Presentation Skills, Strategy Planning, Team Management</t>
        </is>
      </c>
      <c r="M3082" s="10" t="inlineStr">
        <is>
          <t>Bonus, Healthcare Plan, Training, Laptop</t>
        </is>
      </c>
      <c r="N3082" s="11">
        <f>HYPERLINK("https://www.vietnamworks.com/medical-communication-supervisor-base-ha-noi-2013780-jv","Xem chi tiết")</f>
        <v/>
      </c>
      <c r="O3082" s="10" t="n"/>
    </row>
    <row r="3083">
      <c r="B3083" s="7" t="n">
        <v>3081</v>
      </c>
      <c r="C3083" t="inlineStr">
        <is>
          <t>Kế Toán Thuế kiêm Kế Toán Phải Trả</t>
        </is>
      </c>
      <c r="D3083" t="inlineStr">
        <is>
          <t>Công Ty Cổ Phần Chứng Khoán SSI</t>
        </is>
      </c>
      <c r="E3083" t="inlineStr">
        <is>
          <t>Thương lượng</t>
        </is>
      </c>
      <c r="F3083" t="inlineStr">
        <is>
          <t>Hà Nội</t>
        </is>
      </c>
      <c r="G3083" t="inlineStr">
        <is>
          <t>Nhân viên</t>
        </is>
      </c>
      <c r="H3083" t="inlineStr">
        <is>
          <t>25/02/2026</t>
        </is>
      </c>
      <c r="I3083" t="inlineStr">
        <is>
          <t>27/03/2026</t>
        </is>
      </c>
      <c r="J3083" t="inlineStr">
        <is>
          <t>17/03/2026</t>
        </is>
      </c>
      <c r="K3083" t="inlineStr">
        <is>
          <t>N/A</t>
        </is>
      </c>
      <c r="L3083" t="inlineStr">
        <is>
          <t>Kế Toán Thuế, Kế Toán Công Nợ, Kế Toán Thanh Toán, ERP, Kế Toán Nội Bộ</t>
        </is>
      </c>
      <c r="M3083" t="inlineStr">
        <is>
          <t>Bonus, Training, Others</t>
        </is>
      </c>
      <c r="N3083" s="8">
        <f>HYPERLINK("https://www.vietnamworks.com/ke-toan-thue-kiem-ke-toan-phai-tra--2013787-jv","Xem chi tiết")</f>
        <v/>
      </c>
    </row>
    <row r="3084">
      <c r="B3084" s="9" t="n">
        <v>3082</v>
      </c>
      <c r="C3084" s="10" t="inlineStr">
        <is>
          <t>Chuyên Viên Quản Trị Công Nghệ Thông Tin</t>
        </is>
      </c>
      <c r="D3084" s="10" t="inlineStr">
        <is>
          <t>Công Ty Cổ Phần Du Lịch Thương Mại Và Đầu Tư Thủ Đô</t>
        </is>
      </c>
      <c r="E3084" s="10" t="inlineStr">
        <is>
          <t>$$ 700-1,200 /tháng</t>
        </is>
      </c>
      <c r="F3084" s="10" t="inlineStr">
        <is>
          <t>Hà Nội</t>
        </is>
      </c>
      <c r="G3084" s="10" t="inlineStr">
        <is>
          <t>Nhân viên</t>
        </is>
      </c>
      <c r="H3084" s="10" t="inlineStr">
        <is>
          <t>25/02/2026</t>
        </is>
      </c>
      <c r="I3084" s="10" t="inlineStr">
        <is>
          <t>27/03/2026</t>
        </is>
      </c>
      <c r="J3084" s="10" t="inlineStr">
        <is>
          <t>17/03/2026</t>
        </is>
      </c>
      <c r="K3084" s="10" t="inlineStr">
        <is>
          <t>N/A</t>
        </is>
      </c>
      <c r="L3084" s="10" t="inlineStr">
        <is>
          <t>IT Administration, Quản Trị Hệ Thống, Helpdesk Support, Quản Trị Hệ Thống Mạng Lan, Quản Trị Hạ Tầng CNTT</t>
        </is>
      </c>
      <c r="M3084" s="10" t="inlineStr">
        <is>
          <t>Bonus, Healthcare Plan, Travel Opportunities</t>
        </is>
      </c>
      <c r="N3084" s="11">
        <f>HYPERLINK("https://www.vietnamworks.com/chuyen-vien-quan-tri-cong-nghe-thong-tin--2013785-jv","Xem chi tiết")</f>
        <v/>
      </c>
      <c r="O3084" s="10" t="n"/>
    </row>
    <row r="3085">
      <c r="B3085" s="7" t="n">
        <v>3083</v>
      </c>
      <c r="C3085" t="inlineStr">
        <is>
          <t>Senior Automation Tester</t>
        </is>
      </c>
      <c r="D3085" t="inlineStr">
        <is>
          <t>CÔNG TY TNHH MTV CONVERTECH SOLUTIONS</t>
        </is>
      </c>
      <c r="E3085" t="inlineStr">
        <is>
          <t>$$ 1,200-1,500 /tháng</t>
        </is>
      </c>
      <c r="F3085" t="inlineStr">
        <is>
          <t>Hồ Chí Minh</t>
        </is>
      </c>
      <c r="G3085" t="inlineStr">
        <is>
          <t>Nhân viên</t>
        </is>
      </c>
      <c r="H3085" t="inlineStr">
        <is>
          <t>25/02/2026</t>
        </is>
      </c>
      <c r="I3085" t="inlineStr">
        <is>
          <t>27/03/2026</t>
        </is>
      </c>
      <c r="J3085" t="inlineStr">
        <is>
          <t>17/03/2026</t>
        </is>
      </c>
      <c r="K3085" t="inlineStr">
        <is>
          <t>N/A</t>
        </is>
      </c>
      <c r="L3085" t="inlineStr">
        <is>
          <t>Automation system test, Automation Test Script, Automation Testing, Selenium, TypeScript</t>
        </is>
      </c>
      <c r="M3085" t="inlineStr">
        <is>
          <t>Bonus, Healthcare Plan, Travel Opportunities</t>
        </is>
      </c>
      <c r="N3085" s="8">
        <f>HYPERLINK("https://www.vietnamworks.com/senior-automation-tester-2013795-jv","Xem chi tiết")</f>
        <v/>
      </c>
    </row>
    <row r="3086">
      <c r="B3086" s="9" t="n">
        <v>3084</v>
      </c>
      <c r="C3086" s="10" t="inlineStr">
        <is>
          <t>Nhân Viên Chất Lượng Bộ Phận Sản Xuất - PP</t>
        </is>
      </c>
      <c r="D3086" s="10" t="inlineStr">
        <is>
          <t>Công Ty TNHH Taishodo Việt Nam</t>
        </is>
      </c>
      <c r="E3086" s="10" t="inlineStr">
        <is>
          <t>Thương lượng</t>
        </is>
      </c>
      <c r="F3086" s="10" t="inlineStr">
        <is>
          <t>Hải Phòng, Hải Dương</t>
        </is>
      </c>
      <c r="G3086" s="10" t="inlineStr">
        <is>
          <t>Nhân viên</t>
        </is>
      </c>
      <c r="H3086" s="10" t="inlineStr">
        <is>
          <t>25/02/2026</t>
        </is>
      </c>
      <c r="I3086" s="10" t="inlineStr">
        <is>
          <t>27/03/2026</t>
        </is>
      </c>
      <c r="J3086" s="10" t="inlineStr">
        <is>
          <t>17/03/2026</t>
        </is>
      </c>
      <c r="K3086" s="10" t="inlineStr">
        <is>
          <t>N/A</t>
        </is>
      </c>
      <c r="L3086" s="10" t="inlineStr">
        <is>
          <t>Phân Tích Lỗi, Quản Lý Dây Chuyền Sản Xuất, Tiếng Nhật, Tự Động Hóa, Điện tử</t>
        </is>
      </c>
      <c r="M3086" s="10" t="inlineStr">
        <is>
          <t>Bonus, Healthcare Plan, Awards, Travel Opportunities, Team Activities, Others</t>
        </is>
      </c>
      <c r="N3086" s="11">
        <f>HYPERLINK("https://www.vietnamworks.com/nhan-vien-chat-luong-bo-phan-san-xuat-pp-2013798-jv","Xem chi tiết")</f>
        <v/>
      </c>
      <c r="O3086" s="10" t="n"/>
    </row>
    <row r="3087">
      <c r="B3087" s="7" t="n">
        <v>3085</v>
      </c>
      <c r="C3087" t="inlineStr">
        <is>
          <t>Nhân Viên Thiết Kế Khuôn Dập</t>
        </is>
      </c>
      <c r="D3087" t="inlineStr">
        <is>
          <t>CÔNG TY TNHH PHA VIỆT NAM</t>
        </is>
      </c>
      <c r="E3087" t="inlineStr">
        <is>
          <t>Thương lượng</t>
        </is>
      </c>
      <c r="F3087" t="inlineStr">
        <is>
          <t>Hải Phòng</t>
        </is>
      </c>
      <c r="G3087" t="inlineStr">
        <is>
          <t>Nhân viên</t>
        </is>
      </c>
      <c r="H3087" t="inlineStr">
        <is>
          <t>25/02/2026</t>
        </is>
      </c>
      <c r="I3087" t="inlineStr">
        <is>
          <t>27/03/2026</t>
        </is>
      </c>
      <c r="J3087" t="inlineStr">
        <is>
          <t>17/03/2026</t>
        </is>
      </c>
      <c r="K3087" t="inlineStr">
        <is>
          <t>N/A</t>
        </is>
      </c>
      <c r="L3087" t="inlineStr">
        <is>
          <t>AutoCAD, CATIA, Chế Tạo Linh Kiện Ô Tô, Mechanical, Mold Design</t>
        </is>
      </c>
      <c r="M3087" t="inlineStr">
        <is>
          <t>Bonus, Healthcare Plan, Others</t>
        </is>
      </c>
      <c r="N3087" s="8">
        <f>HYPERLINK("https://www.vietnamworks.com/nhan-vien-thiet-ke-khuon-dap-2013802-jv","Xem chi tiết")</f>
        <v/>
      </c>
    </row>
    <row r="3088">
      <c r="B3088" s="9" t="n">
        <v>3086</v>
      </c>
      <c r="C3088" s="10" t="inlineStr">
        <is>
          <t>Mechanical Design Engineer</t>
        </is>
      </c>
      <c r="D3088" s="10" t="inlineStr">
        <is>
          <t>Công Ty TNHH sản xuất HARTING Việt Nam</t>
        </is>
      </c>
      <c r="E3088" s="10" t="inlineStr">
        <is>
          <t>Thương lượng</t>
        </is>
      </c>
      <c r="F3088" s="10" t="inlineStr">
        <is>
          <t>Hà Nội</t>
        </is>
      </c>
      <c r="G3088" s="10" t="inlineStr">
        <is>
          <t>Nhân viên</t>
        </is>
      </c>
      <c r="H3088" s="10" t="inlineStr">
        <is>
          <t>25/02/2026</t>
        </is>
      </c>
      <c r="I3088" s="10" t="inlineStr">
        <is>
          <t>27/03/2026</t>
        </is>
      </c>
      <c r="J3088" s="10" t="inlineStr">
        <is>
          <t>17/03/2026</t>
        </is>
      </c>
      <c r="K3088" s="10" t="inlineStr">
        <is>
          <t>N/A</t>
        </is>
      </c>
      <c r="L3088" s="10" t="inlineStr">
        <is>
          <t>CAD Software, Cơ Khí, Kỹ Thuật ÔTô, Material Development, Mechanical Design</t>
        </is>
      </c>
      <c r="M3088" s="10" t="inlineStr">
        <is>
          <t>Bonus</t>
        </is>
      </c>
      <c r="N3088" s="11">
        <f>HYPERLINK("https://www.vietnamworks.com/mechanical-design-engineer-2013806-jv","Xem chi tiết")</f>
        <v/>
      </c>
      <c r="O3088" s="10" t="n"/>
    </row>
    <row r="3089">
      <c r="B3089" s="7" t="n">
        <v>3087</v>
      </c>
      <c r="C3089" t="inlineStr">
        <is>
          <t>HR &amp; Admin Manager</t>
        </is>
      </c>
      <c r="D3089" t="inlineStr">
        <is>
          <t>CÔNG TY TNHH M&amp;H INNOVATION VIỆT NAM</t>
        </is>
      </c>
      <c r="E3089" t="inlineStr">
        <is>
          <t>22tr-25tr ₫/tháng</t>
        </is>
      </c>
      <c r="F3089" t="inlineStr">
        <is>
          <t>Hải Phòng</t>
        </is>
      </c>
      <c r="G3089" t="inlineStr">
        <is>
          <t>Trưởng phòng</t>
        </is>
      </c>
      <c r="H3089" t="inlineStr">
        <is>
          <t>25/02/2026</t>
        </is>
      </c>
      <c r="I3089" t="inlineStr">
        <is>
          <t>27/03/2026</t>
        </is>
      </c>
      <c r="J3089" t="inlineStr">
        <is>
          <t>17/03/2026</t>
        </is>
      </c>
      <c r="K3089" t="inlineStr">
        <is>
          <t>N/A</t>
        </is>
      </c>
      <c r="L3089" t="inlineStr">
        <is>
          <t>Human Resources Management, Payroll Management, Recruitment Marketing, Training Development, Communication Skills</t>
        </is>
      </c>
      <c r="M3089" t="inlineStr">
        <is>
          <t>Bonus, Healthcare Plan, Team Activities, Others</t>
        </is>
      </c>
      <c r="N3089" s="8">
        <f>HYPERLINK("https://www.vietnamworks.com/hr-admin-manager--2013814-jv","Xem chi tiết")</f>
        <v/>
      </c>
    </row>
    <row r="3090">
      <c r="B3090" s="9" t="n">
        <v>3088</v>
      </c>
      <c r="C3090" s="10" t="inlineStr">
        <is>
          <t>Nhân Viên IT Hệ Thống &amp; Helpdesk (IT System &amp; Helpdesk)</t>
        </is>
      </c>
      <c r="D3090" s="10" t="inlineStr">
        <is>
          <t>Công Ty TNHH Kỹ Thuật Taikisha Việt Nam</t>
        </is>
      </c>
      <c r="E3090" s="10" t="inlineStr">
        <is>
          <t>Thương lượng</t>
        </is>
      </c>
      <c r="F3090" s="10" t="inlineStr">
        <is>
          <t>Hà Nội</t>
        </is>
      </c>
      <c r="G3090" s="10" t="inlineStr">
        <is>
          <t>Mới Tốt Nghiệp</t>
        </is>
      </c>
      <c r="H3090" s="10" t="inlineStr">
        <is>
          <t>25/02/2026</t>
        </is>
      </c>
      <c r="I3090" s="10" t="inlineStr">
        <is>
          <t>27/03/2026</t>
        </is>
      </c>
      <c r="J3090" s="10" t="inlineStr">
        <is>
          <t>17/03/2026</t>
        </is>
      </c>
      <c r="K3090" s="10" t="inlineStr">
        <is>
          <t>N/A</t>
        </is>
      </c>
      <c r="L3090" s="10" t="inlineStr">
        <is>
          <t>IT Hardware, IT Support, IT Helpdesk, Computer Skills, IT Administration</t>
        </is>
      </c>
      <c r="M3090" s="10" t="inlineStr">
        <is>
          <t>Bonus, Healthcare Plan, Awards</t>
        </is>
      </c>
      <c r="N3090" s="11">
        <f>HYPERLINK("https://www.vietnamworks.com/nhan-vien-it-he-thong-helpdesk-it-system-helpdesk-2013812-jv","Xem chi tiết")</f>
        <v/>
      </c>
      <c r="O3090" s="10" t="n"/>
    </row>
    <row r="3091">
      <c r="B3091" s="7" t="n">
        <v>3089</v>
      </c>
      <c r="C3091" t="inlineStr">
        <is>
          <t>Supplier Quality Engineer (SQE)</t>
        </is>
      </c>
      <c r="D3091" t="inlineStr">
        <is>
          <t>Công Ty TNHH sản xuất HARTING Việt Nam</t>
        </is>
      </c>
      <c r="E3091" t="inlineStr">
        <is>
          <t>Thương lượng</t>
        </is>
      </c>
      <c r="F3091" t="inlineStr">
        <is>
          <t>Hải Dương, Hải Phòng, Hưng Yên</t>
        </is>
      </c>
      <c r="G3091" t="inlineStr">
        <is>
          <t>Nhân viên</t>
        </is>
      </c>
      <c r="H3091" t="inlineStr">
        <is>
          <t>25/02/2026</t>
        </is>
      </c>
      <c r="I3091" t="inlineStr">
        <is>
          <t>27/03/2026</t>
        </is>
      </c>
      <c r="J3091" t="inlineStr">
        <is>
          <t>17/03/2026</t>
        </is>
      </c>
      <c r="K3091" t="inlineStr">
        <is>
          <t>N/A</t>
        </is>
      </c>
      <c r="L3091" t="inlineStr">
        <is>
          <t>ISO 14001, ISO 9001, Quality Control, Quality Tools, Supplier Quality Management</t>
        </is>
      </c>
      <c r="M3091" t="inlineStr">
        <is>
          <t>Bonus</t>
        </is>
      </c>
      <c r="N3091" s="8">
        <f>HYPERLINK("https://www.vietnamworks.com/supplier-quality-engineer-sqe-2013793-jv","Xem chi tiết")</f>
        <v/>
      </c>
    </row>
    <row r="3092">
      <c r="B3092" s="9" t="n">
        <v>3090</v>
      </c>
      <c r="C3092" s="10" t="inlineStr">
        <is>
          <t>Kỹ Sư Chăm Sóc Và Theo Dõi Cây Trồng</t>
        </is>
      </c>
      <c r="D3092" s="10" t="inlineStr">
        <is>
          <t>Công Ty TNHH May Thêu Thuận Phương</t>
        </is>
      </c>
      <c r="E3092" s="10" t="inlineStr">
        <is>
          <t>Tới 20tr ₫/tháng</t>
        </is>
      </c>
      <c r="F3092" s="10" t="inlineStr">
        <is>
          <t>Hồ Chí Minh</t>
        </is>
      </c>
      <c r="G3092" s="10" t="inlineStr">
        <is>
          <t>Nhân viên</t>
        </is>
      </c>
      <c r="H3092" s="10" t="inlineStr">
        <is>
          <t>25/02/2026</t>
        </is>
      </c>
      <c r="I3092" s="10" t="inlineStr">
        <is>
          <t>27/03/2026</t>
        </is>
      </c>
      <c r="J3092" s="10" t="inlineStr">
        <is>
          <t>17/03/2026</t>
        </is>
      </c>
      <c r="K3092" s="10" t="inlineStr">
        <is>
          <t>N/A</t>
        </is>
      </c>
      <c r="L3092" s="10" t="inlineStr">
        <is>
          <t>Chăm Sóc Cây, Kiểm Soát Chất Lượng, Kỹ năng giao tiếp, Lập Kế Hoạch Vật Tư, Thiết Kế Quy Trình Tưới</t>
        </is>
      </c>
      <c r="M3092" s="10" t="inlineStr">
        <is>
          <t>Bonus, Others</t>
        </is>
      </c>
      <c r="N3092" s="11">
        <f>HYPERLINK("https://www.vietnamworks.com/ky-su-cham-soc-va-theo-doi-cay-trong-2013799-jv","Xem chi tiết")</f>
        <v/>
      </c>
      <c r="O3092" s="10" t="n"/>
    </row>
    <row r="3093">
      <c r="B3093" s="7" t="n">
        <v>3091</v>
      </c>
      <c r="C3093" t="inlineStr">
        <is>
          <t>Chuyên Viên Giải Pháp Công Nghệ Thông Tin (ICT Solution Executive)</t>
        </is>
      </c>
      <c r="D3093" t="inlineStr">
        <is>
          <t>Trung Tâm Công Nghệ Thông Tin MobiFone</t>
        </is>
      </c>
      <c r="E3093" t="inlineStr">
        <is>
          <t>Từ 280tr ₫/năm</t>
        </is>
      </c>
      <c r="F3093" t="inlineStr">
        <is>
          <t>Hà Nội</t>
        </is>
      </c>
      <c r="G3093" t="inlineStr">
        <is>
          <t>Mới Tốt Nghiệp</t>
        </is>
      </c>
      <c r="H3093" t="inlineStr">
        <is>
          <t>25/02/2026</t>
        </is>
      </c>
      <c r="I3093" t="inlineStr">
        <is>
          <t>27/03/2026</t>
        </is>
      </c>
      <c r="J3093" t="inlineStr">
        <is>
          <t>17/03/2026</t>
        </is>
      </c>
      <c r="K3093" t="inlineStr">
        <is>
          <t>N/A</t>
        </is>
      </c>
      <c r="L3093" t="inlineStr">
        <is>
          <t>Giải Pháp Công Nghệ, Kinh Doanh Phần Mềm, Quản Lý Thúc Đẩy Kinh Doanh, Tiếng Anh, Kinh Doanh Dự Án Cntt</t>
        </is>
      </c>
      <c r="M3093" t="inlineStr">
        <is>
          <t>Bonus, Healthcare Plan, Training, Team Activities</t>
        </is>
      </c>
      <c r="N3093" s="8">
        <f>HYPERLINK("https://www.vietnamworks.com/chuyen-vien-giai-phap-cong-nghe-thong-tin-ict-solution-executive-2013801-jv","Xem chi tiết")</f>
        <v/>
      </c>
    </row>
    <row r="3094">
      <c r="B3094" s="9" t="n">
        <v>3092</v>
      </c>
      <c r="C3094" s="10" t="inlineStr">
        <is>
          <t>Kỹ Sư Cơ Khí Công Trường (Mechanical Site Engineer Lương Upto 30 Triệu/ Tháng)</t>
        </is>
      </c>
      <c r="D3094" s="10" t="inlineStr">
        <is>
          <t>CÔNG TY TNHH DOPPELMAYR VIỆT NAM</t>
        </is>
      </c>
      <c r="E3094" s="10" t="inlineStr">
        <is>
          <t>$$ 800-1,200 /tháng</t>
        </is>
      </c>
      <c r="F3094" s="10" t="inlineStr">
        <is>
          <t>Hồ Chí Minh, Hà Nội, Đà Nẵng</t>
        </is>
      </c>
      <c r="G3094" s="10" t="inlineStr">
        <is>
          <t>Nhân viên</t>
        </is>
      </c>
      <c r="H3094" s="10" t="inlineStr">
        <is>
          <t>25/02/2026</t>
        </is>
      </c>
      <c r="I3094" s="10" t="inlineStr">
        <is>
          <t>27/03/2026</t>
        </is>
      </c>
      <c r="J3094" s="10" t="inlineStr">
        <is>
          <t>17/03/2026</t>
        </is>
      </c>
      <c r="K3094" s="10" t="inlineStr">
        <is>
          <t>N/A</t>
        </is>
      </c>
      <c r="L3094" s="10" t="inlineStr">
        <is>
          <t>Tiếng Anh Giao Tiếp, Sức khỏe tốt, Công Tác Xa, Kĩ Thuật Công Trường</t>
        </is>
      </c>
      <c r="M3094" s="10" t="inlineStr">
        <is>
          <t>Bonus, Healthcare Plan, Paid Leave</t>
        </is>
      </c>
      <c r="N3094" s="11">
        <f>HYPERLINK("https://www.vietnamworks.com/ky-su-co-khi-cong-truong-mechanical-site-engineer-luong-upto-30-trieu-thang-2013822-jv","Xem chi tiết")</f>
        <v/>
      </c>
      <c r="O3094" s="10" t="n"/>
    </row>
    <row r="3095">
      <c r="B3095" s="7" t="n">
        <v>3093</v>
      </c>
      <c r="C3095" t="inlineStr">
        <is>
          <t>IT Manager (ERP &amp; Systems)</t>
        </is>
      </c>
      <c r="D3095" t="inlineStr">
        <is>
          <t>CÔNG TY TNHH TJ AEROSPACE VN</t>
        </is>
      </c>
      <c r="E3095" t="inlineStr">
        <is>
          <t>Thương lượng</t>
        </is>
      </c>
      <c r="F3095" t="inlineStr">
        <is>
          <t>Hồ Chí Minh</t>
        </is>
      </c>
      <c r="G3095" t="inlineStr">
        <is>
          <t>Trưởng phòng</t>
        </is>
      </c>
      <c r="H3095" t="inlineStr">
        <is>
          <t>25/02/2026</t>
        </is>
      </c>
      <c r="I3095" t="inlineStr">
        <is>
          <t>27/03/2026</t>
        </is>
      </c>
      <c r="J3095" t="inlineStr">
        <is>
          <t>17/03/2026</t>
        </is>
      </c>
      <c r="K3095" t="inlineStr">
        <is>
          <t>N/A</t>
        </is>
      </c>
      <c r="L3095" t="inlineStr">
        <is>
          <t>IT Infrastructure Management, Leadership, Manage ERP Software, Network</t>
        </is>
      </c>
      <c r="M3095" t="inlineStr">
        <is>
          <t>Bonus, Healthcare Plan, Paid Leave, Travel Opportunities, Canteen</t>
        </is>
      </c>
      <c r="N3095" s="8">
        <f>HYPERLINK("https://www.vietnamworks.com/it-manager-erp-and-systems-2013823-jv","Xem chi tiết")</f>
        <v/>
      </c>
    </row>
    <row r="3096">
      <c r="B3096" s="9" t="n">
        <v>3094</v>
      </c>
      <c r="C3096" s="10" t="inlineStr">
        <is>
          <t>Customer Care Manager- Working in Hai Phong</t>
        </is>
      </c>
      <c r="D3096" s="10" t="inlineStr">
        <is>
          <t>CÔNG TY TNHH PHA VIỆT NAM</t>
        </is>
      </c>
      <c r="E3096" s="10" t="inlineStr">
        <is>
          <t>Từ $ 1,000 /tháng</t>
        </is>
      </c>
      <c r="F3096" s="10" t="inlineStr">
        <is>
          <t>Hải Phòng</t>
        </is>
      </c>
      <c r="G3096" s="10" t="inlineStr">
        <is>
          <t>Trưởng phòng</t>
        </is>
      </c>
      <c r="H3096" s="10" t="inlineStr">
        <is>
          <t>25/02/2026</t>
        </is>
      </c>
      <c r="I3096" s="10" t="inlineStr">
        <is>
          <t>27/03/2026</t>
        </is>
      </c>
      <c r="J3096" s="10" t="inlineStr">
        <is>
          <t>17/03/2026</t>
        </is>
      </c>
      <c r="K3096" s="10" t="inlineStr">
        <is>
          <t>N/A</t>
        </is>
      </c>
      <c r="L3096" s="10" t="inlineStr">
        <is>
          <t>Market Analysis, Sales Strategy, Customer Care, Leadership, Phân Tích Thị Trường</t>
        </is>
      </c>
      <c r="M3096" s="10" t="inlineStr">
        <is>
          <t>Bonus, Healthcare Plan, Others</t>
        </is>
      </c>
      <c r="N3096" s="11">
        <f>HYPERLINK("https://www.vietnamworks.com/customer-care-manager-working-in-hai-phong-2013803-jv","Xem chi tiết")</f>
        <v/>
      </c>
      <c r="O3096" s="10" t="n"/>
    </row>
    <row r="3097">
      <c r="B3097" s="7" t="n">
        <v>3095</v>
      </c>
      <c r="C3097" t="inlineStr">
        <is>
          <t>Kế Toán Trưởng (Lương Lên Tới 25 Triệu/ Tháng)</t>
        </is>
      </c>
      <c r="D3097" t="inlineStr">
        <is>
          <t>CellphoneS</t>
        </is>
      </c>
      <c r="E3097" t="inlineStr">
        <is>
          <t>18tr-25tr ₫/tháng</t>
        </is>
      </c>
      <c r="F3097" t="inlineStr">
        <is>
          <t>Hà Nội</t>
        </is>
      </c>
      <c r="G3097" t="inlineStr">
        <is>
          <t>Trưởng phòng</t>
        </is>
      </c>
      <c r="H3097" t="inlineStr">
        <is>
          <t>25/02/2026</t>
        </is>
      </c>
      <c r="I3097" t="inlineStr">
        <is>
          <t>27/03/2026</t>
        </is>
      </c>
      <c r="J3097" t="inlineStr">
        <is>
          <t>17/03/2026</t>
        </is>
      </c>
      <c r="K3097" t="inlineStr">
        <is>
          <t>N/A</t>
        </is>
      </c>
      <c r="L3097" t="inlineStr">
        <is>
          <t>Kế Toán Tổng Hợp, Luật Thuế, Báo Cáo Thuế, Kế Toán Thuế, Quyết Toán Thuế</t>
        </is>
      </c>
      <c r="M3097" t="inlineStr">
        <is>
          <t>Bonus, Healthcare Plan, Paid Leave, Training, Team Activities, Others</t>
        </is>
      </c>
      <c r="N3097" s="8">
        <f>HYPERLINK("https://www.vietnamworks.com/ke-toan-truong-luong-len-toi-25-trieu-thang-2013809-jv","Xem chi tiết")</f>
        <v/>
      </c>
    </row>
    <row r="3098">
      <c r="B3098" s="9" t="n">
        <v>3096</v>
      </c>
      <c r="C3098" s="10" t="inlineStr">
        <is>
          <t>Chuyên Viên Kinh Doanh BĐS Công Nghiệp (Tiếng Trung/ Hàn) - Upto 35Tr + Hoa Hồng</t>
        </is>
      </c>
      <c r="D3098" s="10" t="inlineStr">
        <is>
          <t>Công Ty Cổ Phần Quốc Tế Sơn Hà</t>
        </is>
      </c>
      <c r="E3098" s="10" t="inlineStr">
        <is>
          <t>Tới 35tr ₫/tháng</t>
        </is>
      </c>
      <c r="F3098" s="10" t="inlineStr">
        <is>
          <t>Hà Nội</t>
        </is>
      </c>
      <c r="G3098" s="10" t="inlineStr">
        <is>
          <t>Nhân viên</t>
        </is>
      </c>
      <c r="H3098" s="10" t="inlineStr">
        <is>
          <t>25/02/2026</t>
        </is>
      </c>
      <c r="I3098" s="10" t="inlineStr">
        <is>
          <t>27/03/2026</t>
        </is>
      </c>
      <c r="J3098" s="10" t="inlineStr">
        <is>
          <t>17/03/2026</t>
        </is>
      </c>
      <c r="K3098" s="10" t="inlineStr">
        <is>
          <t>N/A</t>
        </is>
      </c>
      <c r="L3098" s="10" t="inlineStr">
        <is>
          <t>Kinh Doanh, Bất Động Sản Công Nghiệp, Hợp Tác Đầu Tư, Tiếng Hàn, Tiếng Trung</t>
        </is>
      </c>
      <c r="M3098" s="10" t="inlineStr">
        <is>
          <t>Bonus, Healthcare Plan, Laptop, Others</t>
        </is>
      </c>
      <c r="N3098" s="11">
        <f>HYPERLINK("https://www.vietnamworks.com/chuyen-vien-kinh-doanh-bdjs-cong-nghiep-tieng-trung-han-upto-35tr-hoa-hong-2013815-jv","Xem chi tiết")</f>
        <v/>
      </c>
      <c r="O3098" s="10" t="n"/>
    </row>
    <row r="3099">
      <c r="B3099" s="7" t="n">
        <v>3097</v>
      </c>
      <c r="C3099" t="inlineStr">
        <is>
          <t>Medical Advisor</t>
        </is>
      </c>
      <c r="D3099" t="inlineStr">
        <is>
          <t>Servier (Vietnam) Pharmaceutical Company</t>
        </is>
      </c>
      <c r="E3099" t="inlineStr">
        <is>
          <t>Thương lượng</t>
        </is>
      </c>
      <c r="F3099" t="inlineStr">
        <is>
          <t>Hồ Chí Minh</t>
        </is>
      </c>
      <c r="G3099" t="inlineStr">
        <is>
          <t>Nhân viên</t>
        </is>
      </c>
      <c r="H3099" t="inlineStr">
        <is>
          <t>25/02/2026</t>
        </is>
      </c>
      <c r="I3099" t="inlineStr">
        <is>
          <t>27/03/2026</t>
        </is>
      </c>
      <c r="J3099" t="inlineStr">
        <is>
          <t>17/03/2026</t>
        </is>
      </c>
      <c r="K3099" t="inlineStr">
        <is>
          <t>N/A</t>
        </is>
      </c>
      <c r="L3099" t="inlineStr">
        <is>
          <t>Medical Healthcare, Medical, Clinical Consultation, Business Acumen, Dược Phẩm</t>
        </is>
      </c>
      <c r="M3099" t="inlineStr">
        <is>
          <t>Bonus, Healthcare Plan, Team Activities</t>
        </is>
      </c>
      <c r="N3099" s="8">
        <f>HYPERLINK("https://www.vietnamworks.com/medical-advisor--2013819-jv","Xem chi tiết")</f>
        <v/>
      </c>
    </row>
    <row r="3100">
      <c r="B3100" s="9" t="n">
        <v>3098</v>
      </c>
      <c r="C3100" s="10" t="inlineStr">
        <is>
          <t>Chuyên Viên Kinh Doanh Quảng Cáo – Khách Hàng Doanh Nghiệp Nhật</t>
        </is>
      </c>
      <c r="D3100" s="10" t="inlineStr">
        <is>
          <t>CÔNG TY TNHH MỘT THÀNH VIÊN SKETCH - VĂN PHÒNG ĐẠI DIỆN TẠI HÀ NỘI</t>
        </is>
      </c>
      <c r="E3100" s="10" t="inlineStr">
        <is>
          <t>Từ 18tr ₫/tháng</t>
        </is>
      </c>
      <c r="F3100" s="10" t="inlineStr">
        <is>
          <t>Hà Nội</t>
        </is>
      </c>
      <c r="G3100" s="10" t="inlineStr">
        <is>
          <t>Nhân viên</t>
        </is>
      </c>
      <c r="H3100" s="10" t="inlineStr">
        <is>
          <t>25/02/2026</t>
        </is>
      </c>
      <c r="I3100" s="10" t="inlineStr">
        <is>
          <t>27/03/2026</t>
        </is>
      </c>
      <c r="J3100" s="10" t="inlineStr">
        <is>
          <t>17/03/2026</t>
        </is>
      </c>
      <c r="K3100" s="10" t="inlineStr">
        <is>
          <t>N/A</t>
        </is>
      </c>
      <c r="L3100" s="10" t="inlineStr">
        <is>
          <t>Sales Planning, Advertising, Sales B2B, Tiếng  Anh Giao Tiếp, Tư Vấn Giải Pháp</t>
        </is>
      </c>
      <c r="M3100" s="10" t="inlineStr">
        <is>
          <t>Bonus, Healthcare Plan, Awards, Team Activities</t>
        </is>
      </c>
      <c r="N3100" s="11">
        <f>HYPERLINK("https://www.vietnamworks.com/chuyen-vien-kinh-doanh-quang-cao-khach-hang-doanh-nghiep-nhat-2013811-jv","Xem chi tiết")</f>
        <v/>
      </c>
      <c r="O3100" s="10" t="n"/>
    </row>
    <row r="3101">
      <c r="B3101" s="7" t="n">
        <v>3099</v>
      </c>
      <c r="C3101" t="inlineStr">
        <is>
          <t>Chuyên Viên An Toàn Chất Lượng</t>
        </is>
      </c>
      <c r="D3101" t="inlineStr">
        <is>
          <t>Công Ty Cổ Phần Suất Ăn Hàng Không Nội Bài</t>
        </is>
      </c>
      <c r="E3101" t="inlineStr">
        <is>
          <t>Từ 15tr ₫/tháng</t>
        </is>
      </c>
      <c r="F3101" t="inlineStr">
        <is>
          <t>Hà Nội</t>
        </is>
      </c>
      <c r="G3101" t="inlineStr">
        <is>
          <t>Nhân viên</t>
        </is>
      </c>
      <c r="H3101" t="inlineStr">
        <is>
          <t>25/02/2026</t>
        </is>
      </c>
      <c r="I3101" t="inlineStr">
        <is>
          <t>27/03/2026</t>
        </is>
      </c>
      <c r="J3101" t="inlineStr">
        <is>
          <t>17/03/2026</t>
        </is>
      </c>
      <c r="K3101" t="inlineStr">
        <is>
          <t>N/A</t>
        </is>
      </c>
      <c r="L3101" t="inlineStr">
        <is>
          <t>Phòng Cháy Chữa Cháy, ISO Environment, An Toàn Lao Động, Kiểm Soát Nội Bộ, Giám Sát An Toàn</t>
        </is>
      </c>
      <c r="M3101" t="inlineStr">
        <is>
          <t>Bonus, Healthcare Plan, Canteen</t>
        </is>
      </c>
      <c r="N3101" s="8">
        <f>HYPERLINK("https://www.vietnamworks.com/chuyen-vien-an-toan-chat-luong--2013817-jv","Xem chi tiết")</f>
        <v/>
      </c>
    </row>
    <row r="3102">
      <c r="B3102" s="9" t="n">
        <v>3100</v>
      </c>
      <c r="C3102" s="10" t="inlineStr">
        <is>
          <t>Project Engineer</t>
        </is>
      </c>
      <c r="D3102" s="10" t="inlineStr">
        <is>
          <t>Công Ty TNHH sản xuất HARTING Việt Nam</t>
        </is>
      </c>
      <c r="E3102" s="10" t="inlineStr">
        <is>
          <t>Thương lượng</t>
        </is>
      </c>
      <c r="F3102" s="10" t="inlineStr">
        <is>
          <t>Hà Nội</t>
        </is>
      </c>
      <c r="G3102" s="10" t="inlineStr">
        <is>
          <t>Nhân viên</t>
        </is>
      </c>
      <c r="H3102" s="10" t="inlineStr">
        <is>
          <t>25/02/2026</t>
        </is>
      </c>
      <c r="I3102" s="10" t="inlineStr">
        <is>
          <t>27/03/2026</t>
        </is>
      </c>
      <c r="J3102" s="10" t="inlineStr">
        <is>
          <t>17/03/2026</t>
        </is>
      </c>
      <c r="K3102" s="10" t="inlineStr">
        <is>
          <t>N/A</t>
        </is>
      </c>
      <c r="L3102" s="10" t="inlineStr">
        <is>
          <t>Analyzing Skill, Planning, Project Management, Quản Lý Dự Án, Technical Project Management</t>
        </is>
      </c>
      <c r="M3102" s="10" t="inlineStr">
        <is>
          <t>Bonus</t>
        </is>
      </c>
      <c r="N3102" s="11">
        <f>HYPERLINK("https://www.vietnamworks.com/project-engineer-2013816-jv","Xem chi tiết")</f>
        <v/>
      </c>
      <c r="O3102" s="10" t="n"/>
    </row>
    <row r="3103">
      <c r="B3103" s="7" t="n">
        <v>3101</v>
      </c>
      <c r="C3103" t="inlineStr">
        <is>
          <t>Electrical Design Engineer (Kỹ Sư Thiết Kế Điện)</t>
        </is>
      </c>
      <c r="D3103" t="inlineStr">
        <is>
          <t>Công Ty TNHH Kỹ Thuật Taikisha Việt Nam</t>
        </is>
      </c>
      <c r="E3103" t="inlineStr">
        <is>
          <t>Thương lượng</t>
        </is>
      </c>
      <c r="F3103" t="inlineStr">
        <is>
          <t>Hà Nội</t>
        </is>
      </c>
      <c r="G3103" t="inlineStr">
        <is>
          <t>Nhân viên</t>
        </is>
      </c>
      <c r="H3103" t="inlineStr">
        <is>
          <t>25/02/2026</t>
        </is>
      </c>
      <c r="I3103" t="inlineStr">
        <is>
          <t>27/03/2026</t>
        </is>
      </c>
      <c r="J3103" t="inlineStr">
        <is>
          <t>17/03/2026</t>
        </is>
      </c>
      <c r="K3103" t="inlineStr">
        <is>
          <t>N/A</t>
        </is>
      </c>
      <c r="L3103" t="inlineStr">
        <is>
          <t>Electrical System Engineering, Electrical Automation System, Tư Vấn Giám Sát Điện, Công Trình Điện, Electrical System</t>
        </is>
      </c>
      <c r="M3103" t="inlineStr">
        <is>
          <t>Bonus, Healthcare Plan, Awards</t>
        </is>
      </c>
      <c r="N3103" s="8">
        <f>HYPERLINK("https://www.vietnamworks.com/electrical-design-engineer-ky-su-thiet-ke-dien--2013833-jv","Xem chi tiết")</f>
        <v/>
      </c>
    </row>
    <row r="3104">
      <c r="B3104" s="9" t="n">
        <v>3102</v>
      </c>
      <c r="C3104" s="10" t="inlineStr">
        <is>
          <t>Kỹ Sư Cơ Khí (Sơn &amp; Vật Tư Kết Cấu Thép) – Làm Việc Tại Hải Phòng</t>
        </is>
      </c>
      <c r="D3104" s="10" t="inlineStr">
        <is>
          <t>Công Ty TNHH Công Nghiệp Nặng BUMHAN VINA (Tên Cũ DOOSAN VINA Hai Phong)</t>
        </is>
      </c>
      <c r="E3104" s="10" t="inlineStr">
        <is>
          <t>$$ 400-800 /tháng</t>
        </is>
      </c>
      <c r="F3104" s="10" t="inlineStr">
        <is>
          <t>Hải Dương, Hải Phòng</t>
        </is>
      </c>
      <c r="G3104" s="10" t="inlineStr">
        <is>
          <t>Nhân viên</t>
        </is>
      </c>
      <c r="H3104" s="10" t="inlineStr">
        <is>
          <t>25/02/2026</t>
        </is>
      </c>
      <c r="I3104" s="10" t="inlineStr">
        <is>
          <t>27/03/2026</t>
        </is>
      </c>
      <c r="J3104" s="10" t="inlineStr">
        <is>
          <t>17/03/2026</t>
        </is>
      </c>
      <c r="K3104" s="10" t="inlineStr">
        <is>
          <t>N/A</t>
        </is>
      </c>
      <c r="L3104" s="10" t="inlineStr">
        <is>
          <t>Cơ Khí Kỹ Thuật, AutoCAD, Cơ Khí, Kế Hoạch Dự Án, Kiểm soát vật tư</t>
        </is>
      </c>
      <c r="M3104" s="10" t="inlineStr">
        <is>
          <t>Bonus, Healthcare Plan, Awards</t>
        </is>
      </c>
      <c r="N3104" s="11">
        <f>HYPERLINK("https://www.vietnamworks.com/ky-su-co-khi-son-vat-tu-ket-cau-thep-lam-viec-tai-hai-phong-2013804-jv","Xem chi tiết")</f>
        <v/>
      </c>
      <c r="O3104" s="10" t="n"/>
    </row>
    <row r="3105">
      <c r="B3105" s="7" t="n">
        <v>3103</v>
      </c>
      <c r="C3105" t="inlineStr">
        <is>
          <t>Accounts and Admin Executive</t>
        </is>
      </c>
      <c r="D3105" t="inlineStr">
        <is>
          <t>Ascendas Systems Co. Ltd</t>
        </is>
      </c>
      <c r="E3105" t="inlineStr">
        <is>
          <t>Thương lượng</t>
        </is>
      </c>
      <c r="F3105" t="inlineStr">
        <is>
          <t>Hà Nội</t>
        </is>
      </c>
      <c r="G3105" t="inlineStr">
        <is>
          <t>Nhân viên</t>
        </is>
      </c>
      <c r="H3105" t="inlineStr">
        <is>
          <t>25/02/2026</t>
        </is>
      </c>
      <c r="I3105" t="inlineStr">
        <is>
          <t>27/03/2026</t>
        </is>
      </c>
      <c r="J3105" t="inlineStr">
        <is>
          <t>17/03/2026</t>
        </is>
      </c>
      <c r="K3105" t="inlineStr">
        <is>
          <t>N/A</t>
        </is>
      </c>
      <c r="L3105" t="inlineStr">
        <is>
          <t>Finance &amp; Accounting, Accounting Standards, Financial Statement, Administration Office</t>
        </is>
      </c>
      <c r="M3105" t="inlineStr">
        <is>
          <t>Paid Leave, Laptop</t>
        </is>
      </c>
      <c r="N3105" s="8">
        <f>HYPERLINK("https://www.vietnamworks.com/accounts-and-admin-executive--2013808-jv","Xem chi tiết")</f>
        <v/>
      </c>
    </row>
    <row r="3106">
      <c r="B3106" s="9" t="n">
        <v>3104</v>
      </c>
      <c r="C3106" s="10" t="inlineStr">
        <is>
          <t>Nhân Viên Quản Lý Sản Xuất</t>
        </is>
      </c>
      <c r="D3106" s="10" t="inlineStr">
        <is>
          <t>Công Ty TNHH HS Hyosung Quang Nam</t>
        </is>
      </c>
      <c r="E3106" s="10" t="inlineStr">
        <is>
          <t>Thương lượng</t>
        </is>
      </c>
      <c r="F3106" s="10" t="inlineStr">
        <is>
          <t>Đà Nẵng</t>
        </is>
      </c>
      <c r="G3106" s="10" t="inlineStr">
        <is>
          <t>Nhân viên</t>
        </is>
      </c>
      <c r="H3106" s="10" t="inlineStr">
        <is>
          <t>25/02/2026</t>
        </is>
      </c>
      <c r="I3106" s="10" t="inlineStr">
        <is>
          <t>27/03/2026</t>
        </is>
      </c>
      <c r="J3106" s="10" t="inlineStr">
        <is>
          <t>17/03/2026</t>
        </is>
      </c>
      <c r="K3106" s="10" t="inlineStr">
        <is>
          <t>N/A</t>
        </is>
      </c>
      <c r="L3106" s="10" t="inlineStr">
        <is>
          <t>Quản Lý Sản Xuất, Kỹ Thuật, ISO, IATF, Quản Lý Nhân Sự</t>
        </is>
      </c>
      <c r="M3106" s="10" t="inlineStr">
        <is>
          <t>Bonus, Healthcare Plan, Paid Leave, Training, Mobile, Others</t>
        </is>
      </c>
      <c r="N3106" s="11">
        <f>HYPERLINK("https://www.vietnamworks.com/nhan-vien-quan-ly-san-xuat-2013827-jv","Xem chi tiết")</f>
        <v/>
      </c>
      <c r="O3106" s="10" t="n"/>
    </row>
    <row r="3107">
      <c r="B3107" s="7" t="n">
        <v>3105</v>
      </c>
      <c r="C3107" t="inlineStr">
        <is>
          <t>Director of Events &amp; Strategic Partnerships</t>
        </is>
      </c>
      <c r="D3107" t="inlineStr">
        <is>
          <t>Công Ty TNHH Phát Triển Nam Hội An</t>
        </is>
      </c>
      <c r="E3107" t="inlineStr">
        <is>
          <t>Thương lượng</t>
        </is>
      </c>
      <c r="F3107" t="inlineStr">
        <is>
          <t>Đà Nẵng</t>
        </is>
      </c>
      <c r="G3107" t="inlineStr">
        <is>
          <t>Giám Đốc và Cấp Cao Hơn</t>
        </is>
      </c>
      <c r="H3107" t="inlineStr">
        <is>
          <t>25/02/2026</t>
        </is>
      </c>
      <c r="I3107" t="inlineStr">
        <is>
          <t>27/03/2026</t>
        </is>
      </c>
      <c r="J3107" t="inlineStr">
        <is>
          <t>17/03/2026</t>
        </is>
      </c>
      <c r="K3107" t="inlineStr">
        <is>
          <t>N/A</t>
        </is>
      </c>
      <c r="L3107" t="inlineStr">
        <is>
          <t>Brand Activation, Budget Management, Event Management, sự kiện, Quảng Bá Thương Hiệu</t>
        </is>
      </c>
      <c r="M3107" t="inlineStr">
        <is>
          <t>Bonus, Healthcare Plan, Training, Transportation, Others</t>
        </is>
      </c>
      <c r="N3107" s="8">
        <f>HYPERLINK("https://www.vietnamworks.com/director-of-events-and-strategic-partnerships-2013832-jv","Xem chi tiết")</f>
        <v/>
      </c>
    </row>
    <row r="3108">
      <c r="B3108" s="9" t="n">
        <v>3106</v>
      </c>
      <c r="C3108" s="10" t="inlineStr">
        <is>
          <t>Kỹ Sư Thiết Kế Khuôn Mẫu (Lương Từ 13 - 20Tr)</t>
        </is>
      </c>
      <c r="D3108" s="10" t="inlineStr">
        <is>
          <t>Công Ty TNHH Nhựa An Phú Việt</t>
        </is>
      </c>
      <c r="E3108" s="10" t="inlineStr">
        <is>
          <t>13tr-20tr ₫/tháng</t>
        </is>
      </c>
      <c r="F3108" s="10" t="inlineStr">
        <is>
          <t>Hưng Yên, Hải Dương, Bắc Ninh</t>
        </is>
      </c>
      <c r="G3108" s="10" t="inlineStr">
        <is>
          <t>Nhân viên</t>
        </is>
      </c>
      <c r="H3108" s="10" t="inlineStr">
        <is>
          <t>25/02/2026</t>
        </is>
      </c>
      <c r="I3108" s="10" t="inlineStr">
        <is>
          <t>27/03/2026</t>
        </is>
      </c>
      <c r="J3108" s="10" t="inlineStr">
        <is>
          <t>17/03/2026</t>
        </is>
      </c>
      <c r="K3108" s="10" t="inlineStr">
        <is>
          <t>N/A</t>
        </is>
      </c>
      <c r="L3108" s="10" t="inlineStr">
        <is>
          <t>Thiết Kế NX, Thiết Kế Khuôn, Cơ Khí Chế Tạo, Mold Design, AutoCAD</t>
        </is>
      </c>
      <c r="M3108" s="10" t="inlineStr">
        <is>
          <t>Bonus, Travel Opportunities, Transportation</t>
        </is>
      </c>
      <c r="N3108" s="11">
        <f>HYPERLINK("https://www.vietnamworks.com/ky-su-thiet-ke-khuon-mau-luong-tu-13-20tr-2013818-jv","Xem chi tiết")</f>
        <v/>
      </c>
      <c r="O3108" s="10" t="n"/>
    </row>
    <row r="3109">
      <c r="B3109" s="7" t="n">
        <v>3107</v>
      </c>
      <c r="C3109" t="inlineStr">
        <is>
          <t>Merchant Accounting Associate</t>
        </is>
      </c>
      <c r="D3109" t="inlineStr">
        <is>
          <t>Công ty TNHH Anh Béo Hà Nội</t>
        </is>
      </c>
      <c r="E3109" t="inlineStr">
        <is>
          <t>Thương lượng</t>
        </is>
      </c>
      <c r="F3109" t="inlineStr">
        <is>
          <t>Hà Nội</t>
        </is>
      </c>
      <c r="G3109" t="inlineStr">
        <is>
          <t>Nhân viên</t>
        </is>
      </c>
      <c r="H3109" t="inlineStr">
        <is>
          <t>25/02/2026</t>
        </is>
      </c>
      <c r="I3109" t="inlineStr">
        <is>
          <t>27/03/2026</t>
        </is>
      </c>
      <c r="J3109" t="inlineStr">
        <is>
          <t>17/03/2026</t>
        </is>
      </c>
      <c r="K3109" t="inlineStr">
        <is>
          <t>N/A</t>
        </is>
      </c>
      <c r="L3109" t="inlineStr">
        <is>
          <t>Accounting, Finance, Invoice Processing, Ecommerce</t>
        </is>
      </c>
      <c r="M3109" t="inlineStr">
        <is>
          <t>Bonus, Healthcare Plan, Paid Leave, Training, Team Activities, Others</t>
        </is>
      </c>
      <c r="N3109" s="8">
        <f>HYPERLINK("https://www.vietnamworks.com/merchant-accounting-associate-2013831-jv","Xem chi tiết")</f>
        <v/>
      </c>
    </row>
    <row r="3110">
      <c r="B3110" s="9" t="n">
        <v>3108</v>
      </c>
      <c r="C3110" s="10" t="inlineStr">
        <is>
          <t>Giáo Viên Tiểu Học (6 Tháng)</t>
        </is>
      </c>
      <c r="D3110" s="10" t="inlineStr">
        <is>
          <t>Kinderworld International Group (Singapore International School)</t>
        </is>
      </c>
      <c r="E3110" s="10" t="inlineStr">
        <is>
          <t>$$ 650-900 /tháng</t>
        </is>
      </c>
      <c r="F3110" s="10" t="inlineStr">
        <is>
          <t>Hồ Chí Minh</t>
        </is>
      </c>
      <c r="G3110" s="10" t="inlineStr">
        <is>
          <t>Nhân viên</t>
        </is>
      </c>
      <c r="H3110" s="10" t="inlineStr">
        <is>
          <t>25/02/2026</t>
        </is>
      </c>
      <c r="I3110" s="10" t="inlineStr">
        <is>
          <t>27/03/2026</t>
        </is>
      </c>
      <c r="J3110" s="10" t="inlineStr">
        <is>
          <t>17/03/2026</t>
        </is>
      </c>
      <c r="K3110" s="10" t="inlineStr">
        <is>
          <t>N/A</t>
        </is>
      </c>
      <c r="L3110" s="10" t="inlineStr">
        <is>
          <t>English, Giảng Dạy Tiểu Học, Giáo Viên, Giáo Dục Tiểu Học, Sư Phạm Tiểu Học</t>
        </is>
      </c>
      <c r="M3110" s="10" t="inlineStr">
        <is>
          <t>Bonus, Healthcare Plan</t>
        </is>
      </c>
      <c r="N3110" s="11">
        <f>HYPERLINK("https://www.vietnamworks.com/giao-vien-tieu-hoc-6-thang--2013829-jv","Xem chi tiết")</f>
        <v/>
      </c>
      <c r="O3110" s="10" t="n"/>
    </row>
    <row r="3111">
      <c r="B3111" s="7" t="n">
        <v>3109</v>
      </c>
      <c r="C3111" t="inlineStr">
        <is>
          <t>Business Development Executive</t>
        </is>
      </c>
      <c r="D3111" t="inlineStr">
        <is>
          <t>Ascendas Systems Co. Ltd</t>
        </is>
      </c>
      <c r="E3111" t="inlineStr">
        <is>
          <t>Thương lượng</t>
        </is>
      </c>
      <c r="F3111" t="inlineStr">
        <is>
          <t>Hà Nội</t>
        </is>
      </c>
      <c r="G3111" t="inlineStr">
        <is>
          <t>Nhân viên</t>
        </is>
      </c>
      <c r="H3111" t="inlineStr">
        <is>
          <t>25/02/2026</t>
        </is>
      </c>
      <c r="I3111" t="inlineStr">
        <is>
          <t>27/03/2026</t>
        </is>
      </c>
      <c r="J3111" t="inlineStr">
        <is>
          <t>17/03/2026</t>
        </is>
      </c>
      <c r="K3111" t="inlineStr">
        <is>
          <t>N/A</t>
        </is>
      </c>
      <c r="L3111" t="inlineStr">
        <is>
          <t>Bán Hàng Kỹ Thuật, Electrical Engineering, Software Analysis, CRM, Technical Support</t>
        </is>
      </c>
      <c r="M3111" t="inlineStr">
        <is>
          <t>Paid Leave, Laptop</t>
        </is>
      </c>
      <c r="N3111" s="8">
        <f>HYPERLINK("https://www.vietnamworks.com/business-development-executive--2013807-jv","Xem chi tiết")</f>
        <v/>
      </c>
    </row>
    <row r="3112">
      <c r="B3112" s="9" t="n">
        <v>3110</v>
      </c>
      <c r="C3112" s="10" t="inlineStr">
        <is>
          <t>Field Service Technician</t>
        </is>
      </c>
      <c r="D3112" s="10" t="inlineStr">
        <is>
          <t>Công Ty TNHH Diebold Nixdorf Việt Nam</t>
        </is>
      </c>
      <c r="E3112" s="10" t="inlineStr">
        <is>
          <t>10tr-16tr ₫/tháng</t>
        </is>
      </c>
      <c r="F3112" s="10" t="inlineStr">
        <is>
          <t>Hồ Chí Minh</t>
        </is>
      </c>
      <c r="G3112" s="10" t="inlineStr">
        <is>
          <t>Mới Tốt Nghiệp</t>
        </is>
      </c>
      <c r="H3112" s="10" t="inlineStr">
        <is>
          <t>25/02/2026</t>
        </is>
      </c>
      <c r="I3112" s="10" t="inlineStr">
        <is>
          <t>27/03/2026</t>
        </is>
      </c>
      <c r="J3112" s="10" t="inlineStr">
        <is>
          <t>17/03/2026</t>
        </is>
      </c>
      <c r="K3112" s="10" t="inlineStr">
        <is>
          <t>N/A</t>
        </is>
      </c>
      <c r="L3112" s="10" t="inlineStr">
        <is>
          <t>Communication Skills, Field Services, Hardware Maintenance, Technical Service, Troubleshooting</t>
        </is>
      </c>
      <c r="M3112" s="10" t="inlineStr">
        <is>
          <t>Bonus, Healthcare Plan, Paid Leave, Mobile, Transportation, Others</t>
        </is>
      </c>
      <c r="N3112" s="11">
        <f>HYPERLINK("https://www.vietnamworks.com/field-service-technician-2013834-jv","Xem chi tiết")</f>
        <v/>
      </c>
      <c r="O3112" s="10" t="n"/>
    </row>
    <row r="3113">
      <c r="B3113" s="7" t="n">
        <v>3111</v>
      </c>
      <c r="C3113" t="inlineStr">
        <is>
          <t>Nhân Viên Kinh Doanh</t>
        </is>
      </c>
      <c r="D3113" t="inlineStr">
        <is>
          <t>Công Ty Cổ phần Tập đoàn cơ điện Phương Linh</t>
        </is>
      </c>
      <c r="E3113" t="inlineStr">
        <is>
          <t>10tr-15tr ₫/tháng</t>
        </is>
      </c>
      <c r="F3113" t="inlineStr">
        <is>
          <t>Hà Nội</t>
        </is>
      </c>
      <c r="G3113" t="inlineStr">
        <is>
          <t>Nhân viên</t>
        </is>
      </c>
      <c r="H3113" t="inlineStr">
        <is>
          <t>25/02/2026</t>
        </is>
      </c>
      <c r="I3113" t="inlineStr">
        <is>
          <t>27/03/2026</t>
        </is>
      </c>
      <c r="J3113" t="inlineStr">
        <is>
          <t>17/03/2026</t>
        </is>
      </c>
      <c r="K3113" t="inlineStr">
        <is>
          <t>N/A</t>
        </is>
      </c>
      <c r="L3113" t="inlineStr">
        <is>
          <t>Kinh Doanh B2B, Chốt Công Nợ, Quản Lý Công Nợ, Xử Lý Khiếu Nại, Đàm Phán Hợp Đồng</t>
        </is>
      </c>
      <c r="M3113" t="inlineStr">
        <is>
          <t>Bonus, Healthcare Plan, Paid Leave, Training, Travel Opportunities, Others</t>
        </is>
      </c>
      <c r="N3113" s="8">
        <f>HYPERLINK("https://www.vietnamworks.com/nhan-vien-kinh-doanh-2013821-jv","Xem chi tiết")</f>
        <v/>
      </c>
    </row>
    <row r="3114">
      <c r="B3114" s="9" t="n">
        <v>3112</v>
      </c>
      <c r="C3114" s="10" t="inlineStr">
        <is>
          <t>Giáo Viên Giảng Dạy Môn Văn Hóa - Chủ Nhiệm Lớp; Giáo viên Thể Chất; Giáo viên Âm nhạc</t>
        </is>
      </c>
      <c r="D3114" s="10" t="inlineStr">
        <is>
          <t>Tesla Primary School</t>
        </is>
      </c>
      <c r="E3114" s="10" t="inlineStr">
        <is>
          <t>Thương lượng</t>
        </is>
      </c>
      <c r="F3114" s="10" t="inlineStr">
        <is>
          <t>Hà Nội</t>
        </is>
      </c>
      <c r="G3114" s="10" t="inlineStr">
        <is>
          <t>Nhân viên</t>
        </is>
      </c>
      <c r="H3114" s="10" t="inlineStr">
        <is>
          <t>25/02/2026</t>
        </is>
      </c>
      <c r="I3114" s="10" t="inlineStr">
        <is>
          <t>27/03/2026</t>
        </is>
      </c>
      <c r="J3114" s="10" t="inlineStr">
        <is>
          <t>17/03/2026</t>
        </is>
      </c>
      <c r="K3114" s="10" t="inlineStr">
        <is>
          <t>N/A</t>
        </is>
      </c>
      <c r="L3114" s="10" t="inlineStr">
        <is>
          <t>Kỹ Năng Thể Thao, Sư Phạm Thanh Nhạc, Sư Phạm Tiểu Học, Tiếng Anh Căn Bản</t>
        </is>
      </c>
      <c r="M3114" s="10" t="inlineStr">
        <is>
          <t>Bonus</t>
        </is>
      </c>
      <c r="N3114" s="11">
        <f>HYPERLINK("https://www.vietnamworks.com/giao-vien-giang-day-mon-van-hoa-chu-nhiem-lop-giao-vien-the-chat-giao-vien-am-nhac-2013848-jv","Xem chi tiết")</f>
        <v/>
      </c>
      <c r="O3114" s="10" t="n"/>
    </row>
    <row r="3115">
      <c r="B3115" s="7" t="n">
        <v>3113</v>
      </c>
      <c r="C3115" t="inlineStr">
        <is>
          <t>Chief Accountant</t>
        </is>
      </c>
      <c r="D3115" t="inlineStr">
        <is>
          <t>Arches Corporation</t>
        </is>
      </c>
      <c r="E3115" t="inlineStr">
        <is>
          <t>$$ 1,500-2,000 /tháng</t>
        </is>
      </c>
      <c r="F3115" t="inlineStr">
        <is>
          <t>Hồ Chí Minh</t>
        </is>
      </c>
      <c r="G3115" t="inlineStr">
        <is>
          <t>Trưởng phòng</t>
        </is>
      </c>
      <c r="H3115" t="inlineStr">
        <is>
          <t>25/02/2026</t>
        </is>
      </c>
      <c r="I3115" t="inlineStr">
        <is>
          <t>27/03/2026</t>
        </is>
      </c>
      <c r="J3115" t="inlineStr">
        <is>
          <t>17/03/2026</t>
        </is>
      </c>
      <c r="K3115" t="inlineStr">
        <is>
          <t>N/A</t>
        </is>
      </c>
      <c r="L3115" t="inlineStr">
        <is>
          <t>Accounting Softwares, Accounting Standards, Analytical Skills, MS Office, Vietnam Tax Law</t>
        </is>
      </c>
      <c r="M3115" t="inlineStr">
        <is>
          <t>Bonus, Healthcare Plan, Paid Leave</t>
        </is>
      </c>
      <c r="N3115" s="8">
        <f>HYPERLINK("https://www.vietnamworks.com/chief-accountant-2013830-jv","Xem chi tiết")</f>
        <v/>
      </c>
    </row>
    <row r="3116">
      <c r="B3116" s="9" t="n">
        <v>3114</v>
      </c>
      <c r="C3116" s="10" t="inlineStr">
        <is>
          <t>Tuyển Gấp 10 Chuyên Viên Phát Triển Mặt Bằng Chuỗi WinMart+</t>
        </is>
      </c>
      <c r="D3116" s="10" t="inlineStr">
        <is>
          <t>Công Ty Cổ Phần Dịch Vụ Thương Mại Tổng Hợp WinCommerce</t>
        </is>
      </c>
      <c r="E3116" s="10" t="inlineStr">
        <is>
          <t>$$ 500-1,500 /tháng</t>
        </is>
      </c>
      <c r="F3116" s="10" t="inlineStr">
        <is>
          <t>Hà Nội, Hà Nam, Hưng Yên</t>
        </is>
      </c>
      <c r="G3116" s="10" t="inlineStr">
        <is>
          <t>Nhân viên</t>
        </is>
      </c>
      <c r="H3116" s="10" t="inlineStr">
        <is>
          <t>25/02/2026</t>
        </is>
      </c>
      <c r="I3116" s="10" t="inlineStr">
        <is>
          <t>27/03/2026</t>
        </is>
      </c>
      <c r="J3116" s="10" t="inlineStr">
        <is>
          <t>17/03/2026</t>
        </is>
      </c>
      <c r="K3116" s="10" t="inlineStr">
        <is>
          <t>N/A</t>
        </is>
      </c>
      <c r="L3116" s="10" t="inlineStr">
        <is>
          <t>Bất Động Sản, Tìm Kiếm Mặt Bằng, Pháp Lý Nhà Đất, Môi Giới Bất Động Sản</t>
        </is>
      </c>
      <c r="M3116" s="10" t="inlineStr">
        <is>
          <t>Bonus, Healthcare Plan, Others</t>
        </is>
      </c>
      <c r="N3116" s="11">
        <f>HYPERLINK("https://www.vietnamworks.com/tuyen-gap-10-chuyen-vien-phat-trien-mat-bang-chuoi-winmart-2013847-jv","Xem chi tiết")</f>
        <v/>
      </c>
      <c r="O3116" s="10" t="n"/>
    </row>
    <row r="3117">
      <c r="B3117" s="7" t="n">
        <v>3115</v>
      </c>
      <c r="C3117" t="inlineStr">
        <is>
          <t>Service Coordinator ( Male Preferred, 3+ Years Exp. )</t>
        </is>
      </c>
      <c r="D3117" t="inlineStr">
        <is>
          <t>CÔNG TY TNHH DOPPELMAYR VIỆT NAM</t>
        </is>
      </c>
      <c r="E3117" t="inlineStr">
        <is>
          <t>25tr-35tr ₫/tháng</t>
        </is>
      </c>
      <c r="F3117" t="inlineStr">
        <is>
          <t>Hà Nội, Hồ Chí Minh</t>
        </is>
      </c>
      <c r="G3117" t="inlineStr">
        <is>
          <t>Nhân viên</t>
        </is>
      </c>
      <c r="H3117" t="inlineStr">
        <is>
          <t>25/02/2026</t>
        </is>
      </c>
      <c r="I3117" t="inlineStr">
        <is>
          <t>27/03/2026</t>
        </is>
      </c>
      <c r="J3117" t="inlineStr">
        <is>
          <t>17/03/2026</t>
        </is>
      </c>
      <c r="K3117" t="inlineStr">
        <is>
          <t>N/A</t>
        </is>
      </c>
      <c r="L3117" t="inlineStr">
        <is>
          <t>Project Coordination, English Fluency, Customer Service, Administrative Support, Technical Support</t>
        </is>
      </c>
      <c r="M3117" t="inlineStr">
        <is>
          <t>Bonus, Healthcare Plan, Paid Leave, Travel Opportunities, Others</t>
        </is>
      </c>
      <c r="N3117" s="8">
        <f>HYPERLINK("https://www.vietnamworks.com/service-coordinator-male-preferred-3-years-exp-2013839-jv","Xem chi tiết")</f>
        <v/>
      </c>
    </row>
    <row r="3118">
      <c r="B3118" s="9" t="n">
        <v>3116</v>
      </c>
      <c r="C3118" s="10" t="inlineStr">
        <is>
          <t>IT Project Manager</t>
        </is>
      </c>
      <c r="D3118" s="10" t="inlineStr">
        <is>
          <t>Shinhan Vietnam Finance Company Limited</t>
        </is>
      </c>
      <c r="E3118" s="10" t="inlineStr">
        <is>
          <t>Thương lượng</t>
        </is>
      </c>
      <c r="F3118" s="10" t="inlineStr">
        <is>
          <t>Hồ Chí Minh</t>
        </is>
      </c>
      <c r="G3118" s="10" t="inlineStr">
        <is>
          <t>Nhân viên</t>
        </is>
      </c>
      <c r="H3118" s="10" t="inlineStr">
        <is>
          <t>25/02/2026</t>
        </is>
      </c>
      <c r="I3118" s="10" t="inlineStr">
        <is>
          <t>27/03/2026</t>
        </is>
      </c>
      <c r="J3118" s="10" t="inlineStr">
        <is>
          <t>17/03/2026</t>
        </is>
      </c>
      <c r="K3118" s="10" t="inlineStr">
        <is>
          <t>N/A</t>
        </is>
      </c>
      <c r="L3118" s="10" t="inlineStr">
        <is>
          <t>Agile, Project Management, Waterfall Project Management, Scrum Master, Project Performance</t>
        </is>
      </c>
      <c r="M3118" s="10" t="inlineStr">
        <is>
          <t>Bonus, Healthcare Plan, Paid Leave</t>
        </is>
      </c>
      <c r="N3118" s="11">
        <f>HYPERLINK("https://www.vietnamworks.com/it-project-manager--2013858-jv","Xem chi tiết")</f>
        <v/>
      </c>
      <c r="O3118" s="10" t="n"/>
    </row>
    <row r="3119">
      <c r="B3119" s="7" t="n">
        <v>3117</v>
      </c>
      <c r="C3119" t="inlineStr">
        <is>
          <t>Kỹ Thuật Viên Lập Trình PLC</t>
        </is>
      </c>
      <c r="D3119" t="inlineStr">
        <is>
          <t>Công ty TNHH Elentec Việt Nam</t>
        </is>
      </c>
      <c r="E3119" t="inlineStr">
        <is>
          <t>8tr-18tr ₫/tháng</t>
        </is>
      </c>
      <c r="F3119" t="inlineStr">
        <is>
          <t>Hà Nội</t>
        </is>
      </c>
      <c r="G3119" t="inlineStr">
        <is>
          <t>Nhân viên</t>
        </is>
      </c>
      <c r="H3119" t="inlineStr">
        <is>
          <t>25/02/2026</t>
        </is>
      </c>
      <c r="I3119" t="inlineStr">
        <is>
          <t>27/03/2026</t>
        </is>
      </c>
      <c r="J3119" t="inlineStr">
        <is>
          <t>17/03/2026</t>
        </is>
      </c>
      <c r="K3119" t="inlineStr">
        <is>
          <t>N/A</t>
        </is>
      </c>
      <c r="L3119" t="inlineStr">
        <is>
          <t>HMI, PLC, PLC Control Systems, Servo, Tự Động Hóa</t>
        </is>
      </c>
      <c r="M3119" t="inlineStr">
        <is>
          <t>Bonus, Healthcare Plan, Training, Transportation, Canteen, Others</t>
        </is>
      </c>
      <c r="N3119" s="8">
        <f>HYPERLINK("https://www.vietnamworks.com/ky-thuat-vien-lap-trinh-plc-2013846-jv","Xem chi tiết")</f>
        <v/>
      </c>
    </row>
    <row r="3120">
      <c r="B3120" s="9" t="n">
        <v>3118</v>
      </c>
      <c r="C3120" s="10" t="inlineStr">
        <is>
          <t>Sales Representative</t>
        </is>
      </c>
      <c r="D3120" s="10" t="inlineStr">
        <is>
          <t>WikiFx</t>
        </is>
      </c>
      <c r="E3120" s="10" t="inlineStr">
        <is>
          <t>$$ 1,112-8,000 /tháng</t>
        </is>
      </c>
      <c r="F3120" s="10" t="inlineStr">
        <is>
          <t>Hồ Chí Minh</t>
        </is>
      </c>
      <c r="G3120" s="10" t="inlineStr">
        <is>
          <t>Nhân viên</t>
        </is>
      </c>
      <c r="H3120" s="10" t="inlineStr">
        <is>
          <t>25/02/2026</t>
        </is>
      </c>
      <c r="I3120" s="10" t="inlineStr">
        <is>
          <t>27/03/2026</t>
        </is>
      </c>
      <c r="J3120" s="10" t="inlineStr">
        <is>
          <t>17/03/2026</t>
        </is>
      </c>
      <c r="K3120" s="10" t="inlineStr">
        <is>
          <t>N/A</t>
        </is>
      </c>
      <c r="L3120" s="10" t="inlineStr">
        <is>
          <t>B2B Sale, Vietnamese Language, English</t>
        </is>
      </c>
      <c r="M3120" s="10" t="inlineStr">
        <is>
          <t>Bonus</t>
        </is>
      </c>
      <c r="N3120" s="11">
        <f>HYPERLINK("https://www.vietnamworks.com/sales-representative-2013850-jv","Xem chi tiết")</f>
        <v/>
      </c>
      <c r="O3120" s="10" t="n"/>
    </row>
    <row r="3121">
      <c r="B3121" s="7" t="n">
        <v>3119</v>
      </c>
      <c r="C3121" t="inlineStr">
        <is>
          <t>Kỹ Sư IT</t>
        </is>
      </c>
      <c r="D3121" t="inlineStr">
        <is>
          <t>Công ty TNHH Năng lượng mới Growatt Việt Nam</t>
        </is>
      </c>
      <c r="E3121" t="inlineStr">
        <is>
          <t>Thương lượng</t>
        </is>
      </c>
      <c r="F3121" t="inlineStr">
        <is>
          <t>Hải Phòng</t>
        </is>
      </c>
      <c r="G3121" t="inlineStr">
        <is>
          <t>Nhân viên</t>
        </is>
      </c>
      <c r="H3121" t="inlineStr">
        <is>
          <t>25/02/2026</t>
        </is>
      </c>
      <c r="I3121" t="inlineStr">
        <is>
          <t>27/03/2026</t>
        </is>
      </c>
      <c r="J3121" t="inlineStr">
        <is>
          <t>17/03/2026</t>
        </is>
      </c>
      <c r="K3121" t="inlineStr">
        <is>
          <t>N/A</t>
        </is>
      </c>
      <c r="L3121" t="inlineStr">
        <is>
          <t>IT System Administration, Bảo mật mạng, Windows Server, Firewall Configuration, LAN</t>
        </is>
      </c>
      <c r="M3121" t="inlineStr">
        <is>
          <t>Others</t>
        </is>
      </c>
      <c r="N3121" s="8">
        <f>HYPERLINK("https://www.vietnamworks.com/ky-su-it--2013856-jv","Xem chi tiết")</f>
        <v/>
      </c>
    </row>
    <row r="3122">
      <c r="B3122" s="9" t="n">
        <v>3120</v>
      </c>
      <c r="C3122" s="10" t="inlineStr">
        <is>
          <t>Nhân Viên QA</t>
        </is>
      </c>
      <c r="D3122" s="10" t="inlineStr">
        <is>
          <t>Công Ty TNHH HS Hyosung Quang Nam</t>
        </is>
      </c>
      <c r="E3122" s="10" t="inlineStr">
        <is>
          <t>Thương lượng</t>
        </is>
      </c>
      <c r="F3122" s="10" t="inlineStr">
        <is>
          <t>Đà Nẵng</t>
        </is>
      </c>
      <c r="G3122" s="10" t="inlineStr">
        <is>
          <t>Nhân viên</t>
        </is>
      </c>
      <c r="H3122" s="10" t="inlineStr">
        <is>
          <t>25/02/2026</t>
        </is>
      </c>
      <c r="I3122" s="10" t="inlineStr">
        <is>
          <t>27/03/2026</t>
        </is>
      </c>
      <c r="J3122" s="10" t="inlineStr">
        <is>
          <t>17/03/2026</t>
        </is>
      </c>
      <c r="K3122" s="10" t="inlineStr">
        <is>
          <t>N/A</t>
        </is>
      </c>
      <c r="L3122" s="10" t="inlineStr">
        <is>
          <t>Quản Lý Hồ Sơ, MS Office, PPAP, QA, Quản lý chất lượng</t>
        </is>
      </c>
      <c r="M3122" s="10" t="inlineStr">
        <is>
          <t>Bonus, Healthcare Plan, Training, Awards, Mobile, Others</t>
        </is>
      </c>
      <c r="N3122" s="11">
        <f>HYPERLINK("https://www.vietnamworks.com/nhan-vien-qa-2013854-jv","Xem chi tiết")</f>
        <v/>
      </c>
      <c r="O3122" s="10" t="n"/>
    </row>
    <row r="3123">
      <c r="B3123" s="7" t="n">
        <v>3121</v>
      </c>
      <c r="C3123" t="inlineStr">
        <is>
          <t>Clinical Operation &amp; Medical Project Specialist</t>
        </is>
      </c>
      <c r="D3123" t="inlineStr">
        <is>
          <t>Servier (Vietnam) Pharmaceutical Company</t>
        </is>
      </c>
      <c r="E3123" t="inlineStr">
        <is>
          <t>$$ 2,000-3,000 /tháng</t>
        </is>
      </c>
      <c r="F3123" t="inlineStr">
        <is>
          <t>Hồ Chí Minh</t>
        </is>
      </c>
      <c r="G3123" t="inlineStr">
        <is>
          <t>Nhân viên</t>
        </is>
      </c>
      <c r="H3123" t="inlineStr">
        <is>
          <t>25/02/2026</t>
        </is>
      </c>
      <c r="I3123" t="inlineStr">
        <is>
          <t>27/03/2026</t>
        </is>
      </c>
      <c r="J3123" t="inlineStr">
        <is>
          <t>17/03/2026</t>
        </is>
      </c>
      <c r="K3123" t="inlineStr">
        <is>
          <t>N/A</t>
        </is>
      </c>
      <c r="L3123" t="inlineStr">
        <is>
          <t>Clinical Pharmacy, Medical Affairs</t>
        </is>
      </c>
      <c r="M3123" t="inlineStr">
        <is>
          <t>Bonus, Healthcare Plan, Team Activities</t>
        </is>
      </c>
      <c r="N3123" s="8">
        <f>HYPERLINK("https://www.vietnamworks.com/clinical-operation-medical-project-specialist-2013838-jv","Xem chi tiết")</f>
        <v/>
      </c>
    </row>
    <row r="3124">
      <c r="B3124" s="9" t="n">
        <v>3122</v>
      </c>
      <c r="C3124" s="10" t="inlineStr">
        <is>
          <t>Kỹ Sư SMT</t>
        </is>
      </c>
      <c r="D3124" s="10" t="inlineStr">
        <is>
          <t>Công ty TNHH Năng lượng mới Growatt Việt Nam</t>
        </is>
      </c>
      <c r="E3124" s="10" t="inlineStr">
        <is>
          <t>Thương lượng</t>
        </is>
      </c>
      <c r="F3124" s="10" t="inlineStr">
        <is>
          <t>Hải Phòng</t>
        </is>
      </c>
      <c r="G3124" s="10" t="inlineStr">
        <is>
          <t>Nhân viên</t>
        </is>
      </c>
      <c r="H3124" s="10" t="inlineStr">
        <is>
          <t>25/02/2026</t>
        </is>
      </c>
      <c r="I3124" s="10" t="inlineStr">
        <is>
          <t>27/03/2026</t>
        </is>
      </c>
      <c r="J3124" s="10" t="inlineStr">
        <is>
          <t>17/03/2026</t>
        </is>
      </c>
      <c r="K3124" s="10" t="inlineStr">
        <is>
          <t>N/A</t>
        </is>
      </c>
      <c r="L3124" s="10" t="inlineStr">
        <is>
          <t>SMT Production, Tiếng Trung, Phân Tích Lỗi, SMT Technology, SMT Process</t>
        </is>
      </c>
      <c r="M3124" s="10" t="inlineStr">
        <is>
          <t>Others</t>
        </is>
      </c>
      <c r="N3124" s="11">
        <f>HYPERLINK("https://www.vietnamworks.com/ky-su-smt--2013851-jv","Xem chi tiết")</f>
        <v/>
      </c>
      <c r="O3124" s="10" t="n"/>
    </row>
    <row r="3125">
      <c r="B3125" s="7" t="n">
        <v>3123</v>
      </c>
      <c r="C3125" t="inlineStr">
        <is>
          <t>Digital Marketing Manager | Quản Lý Bộ Phận Tiếp Thị Kỹ Thuật Số</t>
        </is>
      </c>
      <c r="D3125" t="inlineStr">
        <is>
          <t>JW Marriott Hanoi</t>
        </is>
      </c>
      <c r="E3125" t="inlineStr">
        <is>
          <t>Thương lượng</t>
        </is>
      </c>
      <c r="F3125" t="inlineStr">
        <is>
          <t>Hà Nội</t>
        </is>
      </c>
      <c r="G3125" t="inlineStr">
        <is>
          <t>Nhân viên</t>
        </is>
      </c>
      <c r="H3125" t="inlineStr">
        <is>
          <t>25/02/2026</t>
        </is>
      </c>
      <c r="I3125" t="inlineStr">
        <is>
          <t>27/03/2026</t>
        </is>
      </c>
      <c r="J3125" t="inlineStr">
        <is>
          <t>17/03/2026</t>
        </is>
      </c>
      <c r="K3125" t="inlineStr">
        <is>
          <t>N/A</t>
        </is>
      </c>
      <c r="L3125" t="inlineStr">
        <is>
          <t>Digital Marketing, Data Analysis, Communication Skills, Goal Oriented, Interpreter</t>
        </is>
      </c>
      <c r="M3125" t="inlineStr">
        <is>
          <t>Bonus, Healthcare Plan, Paid Leave, Training, Team Activities, Canteen, Vouchers, Others</t>
        </is>
      </c>
      <c r="N3125" s="8">
        <f>HYPERLINK("https://www.vietnamworks.com/digital-marketing-manager-or-quan-ly-bo-phan-tiep-thi-ky-thuat-so-2013866-jv","Xem chi tiết")</f>
        <v/>
      </c>
    </row>
    <row r="3126">
      <c r="B3126" s="9" t="n">
        <v>3124</v>
      </c>
      <c r="C3126" s="10" t="inlineStr">
        <is>
          <t>Warehouse Assistant</t>
        </is>
      </c>
      <c r="D3126" s="10" t="inlineStr">
        <is>
          <t>Công ty TNHH TUV Rheinland Vietnam.</t>
        </is>
      </c>
      <c r="E3126" s="10" t="inlineStr">
        <is>
          <t>Thương lượng</t>
        </is>
      </c>
      <c r="F3126" s="10" t="inlineStr">
        <is>
          <t>Hưng Yên</t>
        </is>
      </c>
      <c r="G3126" s="10" t="inlineStr">
        <is>
          <t>Nhân viên</t>
        </is>
      </c>
      <c r="H3126" s="10" t="inlineStr">
        <is>
          <t>25/02/2026</t>
        </is>
      </c>
      <c r="I3126" s="10" t="inlineStr">
        <is>
          <t>27/03/2026</t>
        </is>
      </c>
      <c r="J3126" s="10" t="inlineStr">
        <is>
          <t>17/03/2026</t>
        </is>
      </c>
      <c r="K3126" s="10" t="inlineStr">
        <is>
          <t>N/A</t>
        </is>
      </c>
      <c r="L3126" s="10" t="inlineStr">
        <is>
          <t>Warehouse Management, Logistics Management, English Communication, Technical Maintenance, Facility Management</t>
        </is>
      </c>
      <c r="M3126" s="10" t="inlineStr">
        <is>
          <t>Bonus, Healthcare Plan, Paid Leave</t>
        </is>
      </c>
      <c r="N3126" s="11">
        <f>HYPERLINK("https://www.vietnamworks.com/warehouse-assistant--2013868-jv","Xem chi tiết")</f>
        <v/>
      </c>
      <c r="O3126" s="10" t="n"/>
    </row>
    <row r="3127">
      <c r="B3127" s="7" t="n">
        <v>3125</v>
      </c>
      <c r="C3127" t="inlineStr">
        <is>
          <t>Nhân Viên Bán Hàng Kỹ Thuật (Sales Engineer)</t>
        </is>
      </c>
      <c r="D3127" t="inlineStr">
        <is>
          <t>Công Ty Cổ Phần Dịch Vụ Công Nghiệp Wolfram</t>
        </is>
      </c>
      <c r="E3127" t="inlineStr">
        <is>
          <t>Từ 12tr ₫/tháng</t>
        </is>
      </c>
      <c r="F3127" t="inlineStr">
        <is>
          <t>Hà Nội, Nghệ An, Hà Tĩnh</t>
        </is>
      </c>
      <c r="G3127" t="inlineStr">
        <is>
          <t>Nhân viên</t>
        </is>
      </c>
      <c r="H3127" t="inlineStr">
        <is>
          <t>25/02/2026</t>
        </is>
      </c>
      <c r="I3127" t="inlineStr">
        <is>
          <t>27/03/2026</t>
        </is>
      </c>
      <c r="J3127" t="inlineStr">
        <is>
          <t>17/03/2026</t>
        </is>
      </c>
      <c r="K3127" t="inlineStr">
        <is>
          <t>N/A</t>
        </is>
      </c>
      <c r="L3127" t="inlineStr">
        <is>
          <t>Máy CNC, Tiếng  Anh Giao Tiếp, Tìm Kiếm Khách Hàng, Tư Vấn Giải Pháp, Tư Vấn Kỹ Thuật</t>
        </is>
      </c>
      <c r="M3127" t="inlineStr">
        <is>
          <t>Bonus, Healthcare Plan, Paid Leave, Training, Others</t>
        </is>
      </c>
      <c r="N3127" s="8">
        <f>HYPERLINK("https://www.vietnamworks.com/nhan-vien-ban-hang-ky-thuat-sales-engineer-2013849-jv","Xem chi tiết")</f>
        <v/>
      </c>
    </row>
    <row r="3128">
      <c r="B3128" s="9" t="n">
        <v>3126</v>
      </c>
      <c r="C3128" s="10" t="inlineStr">
        <is>
          <t>(Đống Đa, HN) Nhân Viên Tiếng Anh (Chấp Nhận Fresher) Hợp Đồng 1 Năm</t>
        </is>
      </c>
      <c r="D3128" s="10" t="inlineStr">
        <is>
          <t>Neos Vietnam International Co., Ltd</t>
        </is>
      </c>
      <c r="E3128" s="10" t="inlineStr">
        <is>
          <t>400-600 ₫/tháng</t>
        </is>
      </c>
      <c r="F3128" s="10" t="inlineStr">
        <is>
          <t>Hà Nội</t>
        </is>
      </c>
      <c r="G3128" s="10" t="inlineStr">
        <is>
          <t>Nhân viên</t>
        </is>
      </c>
      <c r="H3128" s="10" t="inlineStr">
        <is>
          <t>25/02/2026</t>
        </is>
      </c>
      <c r="I3128" s="10" t="inlineStr">
        <is>
          <t>27/03/2026</t>
        </is>
      </c>
      <c r="J3128" s="10" t="inlineStr">
        <is>
          <t>17/03/2026</t>
        </is>
      </c>
      <c r="K3128" s="10" t="inlineStr">
        <is>
          <t>N/A</t>
        </is>
      </c>
      <c r="L3128" s="10" t="inlineStr">
        <is>
          <t>Tiếng Nhật N2, Tiếng Nhật N3, Cad, BPO, Excel Skills</t>
        </is>
      </c>
      <c r="M3128" s="10" t="inlineStr">
        <is>
          <t>Training, Laptop, Others</t>
        </is>
      </c>
      <c r="N3128" s="11">
        <f>HYPERLINK("https://www.vietnamworks.com/dong-da-hn-nhan-vien-tieng-anh-chap-nhan-fresher-hop-dong-1-nam-2013860-jv","Xem chi tiết")</f>
        <v/>
      </c>
      <c r="O3128" s="10" t="n"/>
    </row>
    <row r="3129">
      <c r="B3129" s="7" t="n">
        <v>3127</v>
      </c>
      <c r="C3129" t="inlineStr">
        <is>
          <t>Kỹ Sư Điện (Electrical Engineer) ( Lương Upto 30Tr /tháng)</t>
        </is>
      </c>
      <c r="D3129" t="inlineStr">
        <is>
          <t>CÔNG TY TNHH DOPPELMAYR VIỆT NAM</t>
        </is>
      </c>
      <c r="E3129" t="inlineStr">
        <is>
          <t>$$ 800-1,200 /tháng</t>
        </is>
      </c>
      <c r="F3129" t="inlineStr">
        <is>
          <t>Hồ Chí Minh, Hà Nội, Đà Nẵng</t>
        </is>
      </c>
      <c r="G3129" t="inlineStr">
        <is>
          <t>Nhân viên</t>
        </is>
      </c>
      <c r="H3129" t="inlineStr">
        <is>
          <t>25/02/2026</t>
        </is>
      </c>
      <c r="I3129" t="inlineStr">
        <is>
          <t>27/03/2026</t>
        </is>
      </c>
      <c r="J3129" t="inlineStr">
        <is>
          <t>17/03/2026</t>
        </is>
      </c>
      <c r="K3129" t="inlineStr">
        <is>
          <t>N/A</t>
        </is>
      </c>
      <c r="L3129" t="inlineStr">
        <is>
          <t>Kỹ Thuật Điện, Tiếng Anh Lưu Loát, Khả năng chịu áp lực, Công Tác Xa</t>
        </is>
      </c>
      <c r="M3129" t="inlineStr">
        <is>
          <t>Bonus, Healthcare Plan, Paid Leave</t>
        </is>
      </c>
      <c r="N3129" s="8">
        <f>HYPERLINK("https://www.vietnamworks.com/ky-su-dien-electrical-engineer-luong-upto-30tr-thang-2013843-jv","Xem chi tiết")</f>
        <v/>
      </c>
    </row>
    <row r="3130">
      <c r="B3130" s="9" t="n">
        <v>3128</v>
      </c>
      <c r="C3130" s="10" t="inlineStr">
        <is>
          <t>Nhân Viên Kinh Doanh – Sales Logistics (LCB 20M++ Bonus / Sales Incentive)</t>
        </is>
      </c>
      <c r="D3130" s="10" t="inlineStr">
        <is>
          <t>CHI NHÁNH THÀNH PHỐ HÀ NỘI CÔNG TY CỔ PHẦN GIAO NHẬN WIN WIN</t>
        </is>
      </c>
      <c r="E3130" s="10" t="inlineStr">
        <is>
          <t>Từ 20tr ₫/tháng</t>
        </is>
      </c>
      <c r="F3130" s="10" t="inlineStr">
        <is>
          <t>Hà Nội, Hải Phòng, Hồ Chí Minh</t>
        </is>
      </c>
      <c r="G3130" s="10" t="inlineStr">
        <is>
          <t>Nhân viên</t>
        </is>
      </c>
      <c r="H3130" s="10" t="inlineStr">
        <is>
          <t>25/02/2026</t>
        </is>
      </c>
      <c r="I3130" s="10" t="inlineStr">
        <is>
          <t>27/03/2026</t>
        </is>
      </c>
      <c r="J3130" s="10" t="inlineStr">
        <is>
          <t>17/03/2026</t>
        </is>
      </c>
      <c r="K3130" s="10" t="inlineStr">
        <is>
          <t>N/A</t>
        </is>
      </c>
      <c r="L3130" s="10" t="inlineStr">
        <is>
          <t>Logistics Sales, Báo Giá, Tư Vấn, Phát Triển Kinh Doanh, Chăm Sóc Khách Hàng</t>
        </is>
      </c>
      <c r="M3130" s="10" t="inlineStr">
        <is>
          <t>Bonus, Training, Laptop</t>
        </is>
      </c>
      <c r="N3130" s="11">
        <f>HYPERLINK("https://www.vietnamworks.com/nhan-vien-kinh-doanh-sales-logistics-lcb-20m-bonus-sales-incentive-2013861-jv","Xem chi tiết")</f>
        <v/>
      </c>
      <c r="O3130" s="10" t="n"/>
    </row>
    <row r="3131">
      <c r="B3131" s="7" t="n">
        <v>3129</v>
      </c>
      <c r="C3131" t="inlineStr">
        <is>
          <t>Văn Thư Bộ Phận</t>
        </is>
      </c>
      <c r="D3131" t="inlineStr">
        <is>
          <t>Công ty TNHH Năng lượng mới Growatt Việt Nam</t>
        </is>
      </c>
      <c r="E3131" t="inlineStr">
        <is>
          <t>Thương lượng</t>
        </is>
      </c>
      <c r="F3131" t="inlineStr">
        <is>
          <t>Hải Phòng</t>
        </is>
      </c>
      <c r="G3131" t="inlineStr">
        <is>
          <t>Nhân viên</t>
        </is>
      </c>
      <c r="H3131" t="inlineStr">
        <is>
          <t>25/02/2026</t>
        </is>
      </c>
      <c r="I3131" t="inlineStr">
        <is>
          <t>27/03/2026</t>
        </is>
      </c>
      <c r="J3131" t="inlineStr">
        <is>
          <t>17/03/2026</t>
        </is>
      </c>
      <c r="K3131" t="inlineStr">
        <is>
          <t>N/A</t>
        </is>
      </c>
      <c r="L3131" t="inlineStr">
        <is>
          <t>Excel, Chấm Công Tính Lương, Văn Thư Hành Chính, Administration Tasks</t>
        </is>
      </c>
      <c r="M3131" t="inlineStr">
        <is>
          <t>Others</t>
        </is>
      </c>
      <c r="N3131" s="8">
        <f>HYPERLINK("https://www.vietnamworks.com/van-thu-bo-phan-2013859-jv","Xem chi tiết")</f>
        <v/>
      </c>
    </row>
    <row r="3132">
      <c r="B3132" s="9" t="n">
        <v>3130</v>
      </c>
      <c r="C3132" s="10" t="inlineStr">
        <is>
          <t>Account Executive</t>
        </is>
      </c>
      <c r="D3132" s="10" t="inlineStr">
        <is>
          <t>Công Ty TNHH Truyền Thông Live Channel</t>
        </is>
      </c>
      <c r="E3132" s="10" t="inlineStr">
        <is>
          <t>Thương lượng</t>
        </is>
      </c>
      <c r="F3132" s="10" t="inlineStr">
        <is>
          <t>Hồ Chí Minh</t>
        </is>
      </c>
      <c r="G3132" s="10" t="inlineStr">
        <is>
          <t>Nhân viên</t>
        </is>
      </c>
      <c r="H3132" s="10" t="inlineStr">
        <is>
          <t>25/02/2026</t>
        </is>
      </c>
      <c r="I3132" s="10" t="inlineStr">
        <is>
          <t>27/03/2026</t>
        </is>
      </c>
      <c r="J3132" s="10" t="inlineStr">
        <is>
          <t>17/03/2026</t>
        </is>
      </c>
      <c r="K3132" s="10" t="inlineStr">
        <is>
          <t>N/A</t>
        </is>
      </c>
      <c r="L3132" s="10" t="inlineStr">
        <is>
          <t>Account Management, Marketing Strategy, Project Coordination, Communication Skills, Problem-solving</t>
        </is>
      </c>
      <c r="M3132" s="10" t="inlineStr">
        <is>
          <t>Bonus, Healthcare Plan, Paid Leave, Training, Travel Opportunities, Others</t>
        </is>
      </c>
      <c r="N3132" s="11">
        <f>HYPERLINK("https://www.vietnamworks.com/account-executive-2013862-jv","Xem chi tiết")</f>
        <v/>
      </c>
      <c r="O3132" s="10" t="n"/>
    </row>
    <row r="3133">
      <c r="B3133" s="7" t="n">
        <v>3131</v>
      </c>
      <c r="C3133" t="inlineStr">
        <is>
          <t>Nhân Viên Khai Báo Hải Quan (Từ 2 Năm Kinh Nghiệm)</t>
        </is>
      </c>
      <c r="D3133" t="inlineStr">
        <is>
          <t>Worldwide Logistic Co, Ltd</t>
        </is>
      </c>
      <c r="E3133" t="inlineStr">
        <is>
          <t>Thương lượng</t>
        </is>
      </c>
      <c r="F3133" t="inlineStr">
        <is>
          <t>Hồ Chí Minh</t>
        </is>
      </c>
      <c r="G3133" t="inlineStr">
        <is>
          <t>Nhân viên</t>
        </is>
      </c>
      <c r="H3133" t="inlineStr">
        <is>
          <t>25/02/2026</t>
        </is>
      </c>
      <c r="I3133" t="inlineStr">
        <is>
          <t>27/03/2026</t>
        </is>
      </c>
      <c r="J3133" t="inlineStr">
        <is>
          <t>17/03/2026</t>
        </is>
      </c>
      <c r="K3133" t="inlineStr">
        <is>
          <t>N/A</t>
        </is>
      </c>
      <c r="L3133" t="inlineStr">
        <is>
          <t>Khai Báo Hải Quan, Quản Lý Dữ Liệu, Giao Tiếp, Logistics, Thủ Tục Hải Quan</t>
        </is>
      </c>
      <c r="M3133" t="inlineStr">
        <is>
          <t>Bonus, Healthcare Plan, Others</t>
        </is>
      </c>
      <c r="N3133" s="8">
        <f>HYPERLINK("https://www.vietnamworks.com/nhan-vien-khai-bao-hai-quan-tu-2-nam-kinh-nghiem--2013881-jv","Xem chi tiết")</f>
        <v/>
      </c>
    </row>
    <row r="3134">
      <c r="B3134" s="9" t="n">
        <v>3132</v>
      </c>
      <c r="C3134" s="10" t="inlineStr">
        <is>
          <t>Trưởng Bộ Phận Điện - Tự Động Hóa</t>
        </is>
      </c>
      <c r="D3134" s="10" t="inlineStr">
        <is>
          <t>Công Ty Cổ Phần Tập Đoàn Sunhouse</t>
        </is>
      </c>
      <c r="E3134" s="10" t="inlineStr">
        <is>
          <t>$$ 1,000-1,300 /tháng</t>
        </is>
      </c>
      <c r="F3134" s="10" t="inlineStr">
        <is>
          <t>Hà Nội</t>
        </is>
      </c>
      <c r="G3134" s="10" t="inlineStr">
        <is>
          <t>Trưởng phòng</t>
        </is>
      </c>
      <c r="H3134" s="10" t="inlineStr">
        <is>
          <t>25/02/2026</t>
        </is>
      </c>
      <c r="I3134" s="10" t="inlineStr">
        <is>
          <t>27/03/2026</t>
        </is>
      </c>
      <c r="J3134" s="10" t="inlineStr">
        <is>
          <t>17/03/2026</t>
        </is>
      </c>
      <c r="K3134" s="10" t="inlineStr">
        <is>
          <t>N/A</t>
        </is>
      </c>
      <c r="L3134" s="10" t="inlineStr">
        <is>
          <t>Tự Động Hóa, Hệ Thống Điện, Cơ Điện, Bảo Trì, PLC</t>
        </is>
      </c>
      <c r="M3134" s="10" t="inlineStr">
        <is>
          <t>Bonus, Travel Opportunities, Transportation</t>
        </is>
      </c>
      <c r="N3134" s="11">
        <f>HYPERLINK("https://www.vietnamworks.com/truong-bo-phan-dien-tu-dong-hoa--2013877-jv","Xem chi tiết")</f>
        <v/>
      </c>
      <c r="O3134" s="10" t="n"/>
    </row>
    <row r="3135">
      <c r="B3135" s="7" t="n">
        <v>3133</v>
      </c>
      <c r="C3135" t="inlineStr">
        <is>
          <t>Calling For Expressions Of Interest To Conduct A Tilapia Aquaculture Baseline Survey In Vietnam</t>
        </is>
      </c>
      <c r="D3135" t="inlineStr">
        <is>
          <t>Corus International</t>
        </is>
      </c>
      <c r="E3135" t="inlineStr">
        <is>
          <t>Thương lượng</t>
        </is>
      </c>
      <c r="F3135" t="inlineStr">
        <is>
          <t>Hà Nội</t>
        </is>
      </c>
      <c r="G3135" t="inlineStr">
        <is>
          <t>Nhân viên</t>
        </is>
      </c>
      <c r="H3135" t="inlineStr">
        <is>
          <t>25/02/2026</t>
        </is>
      </c>
      <c r="I3135" t="inlineStr">
        <is>
          <t>27/03/2026</t>
        </is>
      </c>
      <c r="J3135" t="inlineStr">
        <is>
          <t>17/03/2026</t>
        </is>
      </c>
      <c r="K3135" t="inlineStr">
        <is>
          <t>N/A</t>
        </is>
      </c>
      <c r="L3135" t="inlineStr">
        <is>
          <t>Aquaculture, Data Analytics, Gis Practitioners, Economist/Agribusiness Specialists, Effective Communication</t>
        </is>
      </c>
      <c r="M3135" t="inlineStr">
        <is>
          <t>Bonus, Paid Leave, Team Activities</t>
        </is>
      </c>
      <c r="N3135" s="8">
        <f>HYPERLINK("https://www.vietnamworks.com/calling-for-expressions-of-interest-to-conduct-a-tilapia-aquaculture-baseline-survey-in-vietnam-2013872-jv","Xem chi tiết")</f>
        <v/>
      </c>
    </row>
    <row r="3136">
      <c r="B3136" s="9" t="n">
        <v>3134</v>
      </c>
      <c r="C3136" s="10" t="inlineStr">
        <is>
          <t>Kỹ Sư MEP</t>
        </is>
      </c>
      <c r="D3136" s="10" t="inlineStr">
        <is>
          <t>Vacons (Interior Design &amp; Build)</t>
        </is>
      </c>
      <c r="E3136" s="10" t="inlineStr">
        <is>
          <t>1tr-20tr ₫/tháng</t>
        </is>
      </c>
      <c r="F3136" s="10" t="inlineStr">
        <is>
          <t>Hồ Chí Minh</t>
        </is>
      </c>
      <c r="G3136" s="10" t="inlineStr">
        <is>
          <t>Nhân viên</t>
        </is>
      </c>
      <c r="H3136" s="10" t="inlineStr">
        <is>
          <t>25/02/2026</t>
        </is>
      </c>
      <c r="I3136" s="10" t="inlineStr">
        <is>
          <t>27/03/2026</t>
        </is>
      </c>
      <c r="J3136" s="10" t="inlineStr">
        <is>
          <t>17/03/2026</t>
        </is>
      </c>
      <c r="K3136" s="10" t="inlineStr">
        <is>
          <t>N/A</t>
        </is>
      </c>
      <c r="L3136" s="10" t="inlineStr">
        <is>
          <t>AutoCAD Pro, Cost Estimation, Excel Skills, Logical Thinking, Mep System Knowledge</t>
        </is>
      </c>
      <c r="M3136" s="10" t="inlineStr">
        <is>
          <t>Bonus, Healthcare Plan</t>
        </is>
      </c>
      <c r="N3136" s="11">
        <f>HYPERLINK("https://www.vietnamworks.com/ky-su-mep-2013879-jv","Xem chi tiết")</f>
        <v/>
      </c>
      <c r="O3136" s="10" t="n"/>
    </row>
    <row r="3137">
      <c r="B3137" s="7" t="n">
        <v>3135</v>
      </c>
      <c r="C3137" t="inlineStr">
        <is>
          <t>Nhân Viên Sales Admin</t>
        </is>
      </c>
      <c r="D3137" t="inlineStr">
        <is>
          <t>CÔNG TY TNHH MỘT THÀNH VIÊN PHÂN PHỐI THƯƠNG MẠI ĐÔNG DƯƠNG</t>
        </is>
      </c>
      <c r="E3137" t="inlineStr">
        <is>
          <t>10tr-14tr ₫/tháng</t>
        </is>
      </c>
      <c r="F3137" t="inlineStr">
        <is>
          <t>Hà Nội</t>
        </is>
      </c>
      <c r="G3137" t="inlineStr">
        <is>
          <t>Nhân viên</t>
        </is>
      </c>
      <c r="H3137" t="inlineStr">
        <is>
          <t>25/02/2026</t>
        </is>
      </c>
      <c r="I3137" t="inlineStr">
        <is>
          <t>27/03/2026</t>
        </is>
      </c>
      <c r="J3137" t="inlineStr">
        <is>
          <t>17/03/2026</t>
        </is>
      </c>
      <c r="K3137" t="inlineStr">
        <is>
          <t>N/A</t>
        </is>
      </c>
      <c r="L3137" t="inlineStr">
        <is>
          <t>Sales, Administration Management, Customer Service, Hỗ Trợ Kinh Doanh, Sales Support</t>
        </is>
      </c>
      <c r="M3137" t="inlineStr">
        <is>
          <t>Bonus, Healthcare Plan, Paid Leave, Training, Canteen, Others</t>
        </is>
      </c>
      <c r="N3137" s="8">
        <f>HYPERLINK("https://www.vietnamworks.com/nhan-vien-sales-admin-2013871-jv","Xem chi tiết")</f>
        <v/>
      </c>
    </row>
    <row r="3138">
      <c r="B3138" s="9" t="n">
        <v>3136</v>
      </c>
      <c r="C3138" s="10" t="inlineStr">
        <is>
          <t>Purchasing Executive</t>
        </is>
      </c>
      <c r="D3138" s="10" t="inlineStr">
        <is>
          <t>Häfele Vietnam LLC</t>
        </is>
      </c>
      <c r="E3138" s="10" t="inlineStr">
        <is>
          <t>Thương lượng</t>
        </is>
      </c>
      <c r="F3138" s="10" t="inlineStr">
        <is>
          <t>Hồ Chí Minh</t>
        </is>
      </c>
      <c r="G3138" s="10" t="inlineStr">
        <is>
          <t>Nhân viên</t>
        </is>
      </c>
      <c r="H3138" s="10" t="inlineStr">
        <is>
          <t>25/02/2026</t>
        </is>
      </c>
      <c r="I3138" s="10" t="inlineStr">
        <is>
          <t>27/03/2026</t>
        </is>
      </c>
      <c r="J3138" s="10" t="inlineStr">
        <is>
          <t>17/03/2026</t>
        </is>
      </c>
      <c r="K3138" s="10" t="inlineStr">
        <is>
          <t>N/A</t>
        </is>
      </c>
      <c r="L3138" s="10" t="inlineStr">
        <is>
          <t>Purchasing Logistics, Purchase Management, Logistics, Purchasing Control</t>
        </is>
      </c>
      <c r="M3138" s="10" t="inlineStr">
        <is>
          <t>Bonus, Healthcare Plan, Paid Leave</t>
        </is>
      </c>
      <c r="N3138" s="11">
        <f>HYPERLINK("https://www.vietnamworks.com/purchasing-executive--2013875-jv","Xem chi tiết")</f>
        <v/>
      </c>
      <c r="O3138" s="10" t="n"/>
    </row>
    <row r="3139">
      <c r="B3139" s="7" t="n">
        <v>3137</v>
      </c>
      <c r="C3139" t="inlineStr">
        <is>
          <t>[Human Resources Department] Northern HR - Talent Acquisition Specialist</t>
        </is>
      </c>
      <c r="D3139" t="inlineStr">
        <is>
          <t>Shinhan Bank Vietnam</t>
        </is>
      </c>
      <c r="E3139" t="inlineStr">
        <is>
          <t>Thương lượng</t>
        </is>
      </c>
      <c r="F3139" t="inlineStr">
        <is>
          <t>Hà Nội</t>
        </is>
      </c>
      <c r="G3139" t="inlineStr">
        <is>
          <t>Trưởng phòng</t>
        </is>
      </c>
      <c r="H3139" t="inlineStr">
        <is>
          <t>25/02/2026</t>
        </is>
      </c>
      <c r="I3139" t="inlineStr">
        <is>
          <t>27/03/2026</t>
        </is>
      </c>
      <c r="J3139" t="inlineStr">
        <is>
          <t>17/03/2026</t>
        </is>
      </c>
      <c r="K3139" t="inlineStr">
        <is>
          <t>N/A</t>
        </is>
      </c>
      <c r="L3139" t="inlineStr">
        <is>
          <t>Recruitment, Private Banker</t>
        </is>
      </c>
      <c r="M3139" t="inlineStr">
        <is>
          <t>Healthcare Plan, Paid Leave</t>
        </is>
      </c>
      <c r="N3139" s="8">
        <f>HYPERLINK("https://www.vietnamworks.com/human-resources-department-northern-hr-talent-acquisition-specialist-2013880-jv","Xem chi tiết")</f>
        <v/>
      </c>
    </row>
    <row r="3140">
      <c r="B3140" s="9" t="n">
        <v>3138</v>
      </c>
      <c r="C3140" s="10" t="inlineStr">
        <is>
          <t>Customer Care Officer - Team Complaint Management</t>
        </is>
      </c>
      <c r="D3140" s="10" t="inlineStr">
        <is>
          <t>Dai-Ichi Life Vietnam</t>
        </is>
      </c>
      <c r="E3140" s="10" t="inlineStr">
        <is>
          <t>Thương lượng</t>
        </is>
      </c>
      <c r="F3140" s="10" t="inlineStr">
        <is>
          <t>Hồ Chí Minh</t>
        </is>
      </c>
      <c r="G3140" s="10" t="inlineStr">
        <is>
          <t>Nhân viên</t>
        </is>
      </c>
      <c r="H3140" s="10" t="inlineStr">
        <is>
          <t>25/02/2026</t>
        </is>
      </c>
      <c r="I3140" s="10" t="inlineStr">
        <is>
          <t>27/03/2026</t>
        </is>
      </c>
      <c r="J3140" s="10" t="inlineStr">
        <is>
          <t>17/03/2026</t>
        </is>
      </c>
      <c r="K3140" s="10" t="inlineStr">
        <is>
          <t>N/A</t>
        </is>
      </c>
      <c r="L3140" s="10" t="inlineStr">
        <is>
          <t>Nhạy Bén, Trí Tuệ Cảm Xúc, Tư Duy Logic Và Khả Năng Giải Quyết Vấn Đề Tốt, Xử Lý Khiếu Nại, Đàm Phán Khách Hàng</t>
        </is>
      </c>
      <c r="M3140" s="10" t="inlineStr">
        <is>
          <t>Bonus, Healthcare Plan, Others</t>
        </is>
      </c>
      <c r="N3140" s="11">
        <f>HYPERLINK("https://www.vietnamworks.com/customer-care-officer-team-complaint-management-2013853-jv","Xem chi tiết")</f>
        <v/>
      </c>
      <c r="O3140" s="10" t="n"/>
    </row>
    <row r="3141">
      <c r="B3141" s="7" t="n">
        <v>3139</v>
      </c>
      <c r="C3141" t="inlineStr">
        <is>
          <t>EHS Officer</t>
        </is>
      </c>
      <c r="D3141" t="inlineStr">
        <is>
          <t>Công Ty TNHH Superior Multi - Packaging Việt Nam</t>
        </is>
      </c>
      <c r="E3141" t="inlineStr">
        <is>
          <t>Thương lượng</t>
        </is>
      </c>
      <c r="F3141" t="inlineStr">
        <is>
          <t>Hồ Chí Minh, Bình Dương, Đồng Nai</t>
        </is>
      </c>
      <c r="G3141" t="inlineStr">
        <is>
          <t>Nhân viên</t>
        </is>
      </c>
      <c r="H3141" t="inlineStr">
        <is>
          <t>25/02/2026</t>
        </is>
      </c>
      <c r="I3141" t="inlineStr">
        <is>
          <t>27/03/2026</t>
        </is>
      </c>
      <c r="J3141" t="inlineStr">
        <is>
          <t>17/03/2026</t>
        </is>
      </c>
      <c r="K3141" t="inlineStr">
        <is>
          <t>N/A</t>
        </is>
      </c>
      <c r="L3141" t="inlineStr">
        <is>
          <t>EHS Management, Safety Procedures, Environmental Law, Analytical Skills, ISO 14001</t>
        </is>
      </c>
      <c r="M3141" t="inlineStr">
        <is>
          <t>Bonus, Healthcare Plan</t>
        </is>
      </c>
      <c r="N3141" s="8">
        <f>HYPERLINK("https://www.vietnamworks.com/ehs-officer-2013867-jv","Xem chi tiết")</f>
        <v/>
      </c>
    </row>
    <row r="3142">
      <c r="B3142" s="9" t="n">
        <v>3140</v>
      </c>
      <c r="C3142" s="10" t="inlineStr">
        <is>
          <t>English Trainer (HCM &amp; HN)</t>
        </is>
      </c>
      <c r="D3142" s="10" t="inlineStr">
        <is>
          <t>NAB Innovation Centre Vietnam</t>
        </is>
      </c>
      <c r="E3142" s="10" t="inlineStr">
        <is>
          <t>Thương lượng</t>
        </is>
      </c>
      <c r="F3142" s="10" t="inlineStr">
        <is>
          <t>Hà Nội, Hồ Chí Minh</t>
        </is>
      </c>
      <c r="G3142" s="10" t="inlineStr">
        <is>
          <t>Nhân viên</t>
        </is>
      </c>
      <c r="H3142" s="10" t="inlineStr">
        <is>
          <t>25/02/2026</t>
        </is>
      </c>
      <c r="I3142" s="10" t="inlineStr">
        <is>
          <t>27/03/2026</t>
        </is>
      </c>
      <c r="J3142" s="10" t="inlineStr">
        <is>
          <t>17/03/2026</t>
        </is>
      </c>
      <c r="K3142" s="10" t="inlineStr">
        <is>
          <t>N/A</t>
        </is>
      </c>
      <c r="L3142" s="10" t="inlineStr">
        <is>
          <t>TEFL, TESOL, CELTA Qualification, English Training, English Teaching</t>
        </is>
      </c>
      <c r="M3142" s="10" t="inlineStr">
        <is>
          <t>Bonus, Healthcare Plan, Team Activities</t>
        </is>
      </c>
      <c r="N3142" s="11">
        <f>HYPERLINK("https://www.vietnamworks.com/english-trainer-hcm-hn-2013884-jv","Xem chi tiết")</f>
        <v/>
      </c>
      <c r="O3142" s="10" t="n"/>
    </row>
    <row r="3143">
      <c r="B3143" s="7" t="n">
        <v>3141</v>
      </c>
      <c r="C3143" t="inlineStr">
        <is>
          <t>Nhân Viên Hành Chính Thủ Kho</t>
        </is>
      </c>
      <c r="D3143" t="inlineStr">
        <is>
          <t>Công Ty Cổ Phần Tập Đoàn Masterise</t>
        </is>
      </c>
      <c r="E3143" t="inlineStr">
        <is>
          <t>Thương lượng</t>
        </is>
      </c>
      <c r="F3143" t="inlineStr">
        <is>
          <t>Bắc Ninh</t>
        </is>
      </c>
      <c r="G3143" t="inlineStr">
        <is>
          <t>Nhân viên</t>
        </is>
      </c>
      <c r="H3143" t="inlineStr">
        <is>
          <t>25/02/2026</t>
        </is>
      </c>
      <c r="I3143" t="inlineStr">
        <is>
          <t>27/03/2026</t>
        </is>
      </c>
      <c r="J3143" t="inlineStr">
        <is>
          <t>17/03/2026</t>
        </is>
      </c>
      <c r="K3143" t="inlineStr">
        <is>
          <t>N/A</t>
        </is>
      </c>
      <c r="L3143" t="inlineStr">
        <is>
          <t>Kỹ Năng Lập Báo Cáo, Hành Chính, Thanh Toán Thu Chi, Quản Lý Chứng Từ, Hồ Sơ Giấy Tờ</t>
        </is>
      </c>
      <c r="M3143" t="inlineStr">
        <is>
          <t>Bonus, Healthcare Plan, Laptop</t>
        </is>
      </c>
      <c r="N3143" s="8">
        <f>HYPERLINK("https://www.vietnamworks.com/nhan-vien-hanh-chinh-thu-kho-2013886-jv","Xem chi tiết")</f>
        <v/>
      </c>
    </row>
    <row r="3144">
      <c r="B3144" s="9" t="n">
        <v>3142</v>
      </c>
      <c r="C3144" s="10" t="inlineStr">
        <is>
          <t>Chuyên Viên Điều Tra Nội Bộ</t>
        </is>
      </c>
      <c r="D3144" s="10" t="inlineStr">
        <is>
          <t>Masan High-Tech Materials</t>
        </is>
      </c>
      <c r="E3144" s="10" t="inlineStr">
        <is>
          <t>Thương lượng</t>
        </is>
      </c>
      <c r="F3144" s="10" t="inlineStr">
        <is>
          <t>Hà Nội, Thái Nguyên</t>
        </is>
      </c>
      <c r="G3144" s="10" t="inlineStr">
        <is>
          <t>Nhân viên</t>
        </is>
      </c>
      <c r="H3144" s="10" t="inlineStr">
        <is>
          <t>25/02/2026</t>
        </is>
      </c>
      <c r="I3144" s="10" t="inlineStr">
        <is>
          <t>27/03/2026</t>
        </is>
      </c>
      <c r="J3144" s="10" t="inlineStr">
        <is>
          <t>17/03/2026</t>
        </is>
      </c>
      <c r="K3144" s="10" t="inlineStr">
        <is>
          <t>N/A</t>
        </is>
      </c>
      <c r="L3144" s="10" t="inlineStr">
        <is>
          <t>Kiểm Soát Tuân Thủ, Phân Tích Hồ Sơ, Investigation, Điều Tra Nội Bộ, Local Lawyer Qualification</t>
        </is>
      </c>
      <c r="M3144" s="10" t="inlineStr">
        <is>
          <t>Bonus, Healthcare Plan, Others</t>
        </is>
      </c>
      <c r="N3144" s="11">
        <f>HYPERLINK("https://www.vietnamworks.com/chuyen-vien-dieu-tra-noi-bo--2013887-jv","Xem chi tiết")</f>
        <v/>
      </c>
      <c r="O3144" s="10" t="n"/>
    </row>
    <row r="3145">
      <c r="B3145" s="7" t="n">
        <v>3143</v>
      </c>
      <c r="C3145" t="inlineStr">
        <is>
          <t>Chuyên Viên Thiết Kế 3D</t>
        </is>
      </c>
      <c r="D3145" t="inlineStr">
        <is>
          <t>Công Ty Cổ Phần Vật Liệu Vĩnh Tân</t>
        </is>
      </c>
      <c r="E3145" t="inlineStr">
        <is>
          <t>20tr-25tr ₫/tháng</t>
        </is>
      </c>
      <c r="F3145" t="inlineStr">
        <is>
          <t>Hà Nội</t>
        </is>
      </c>
      <c r="G3145" t="inlineStr">
        <is>
          <t>Nhân viên</t>
        </is>
      </c>
      <c r="H3145" t="inlineStr">
        <is>
          <t>25/02/2026</t>
        </is>
      </c>
      <c r="I3145" t="inlineStr">
        <is>
          <t>27/03/2026</t>
        </is>
      </c>
      <c r="J3145" t="inlineStr">
        <is>
          <t>17/03/2026</t>
        </is>
      </c>
      <c r="K3145" t="inlineStr">
        <is>
          <t>N/A</t>
        </is>
      </c>
      <c r="L3145" t="inlineStr">
        <is>
          <t>3D smax, Graphic Designer, Sketchup, Thiết Kế, V-Ray</t>
        </is>
      </c>
      <c r="M3145" t="inlineStr">
        <is>
          <t>Bonus, Healthcare Plan, Others</t>
        </is>
      </c>
      <c r="N3145" s="8">
        <f>HYPERLINK("https://www.vietnamworks.com/chuyen-vien-thiet-ke-3d-2013894-jv","Xem chi tiết")</f>
        <v/>
      </c>
    </row>
    <row r="3146">
      <c r="B3146" s="9" t="n">
        <v>3144</v>
      </c>
      <c r="C3146" s="10" t="inlineStr">
        <is>
          <t>Trưởng Nhóm Thiết Kế Cơ Khí [Lương 20-25Tr/ Tháng]</t>
        </is>
      </c>
      <c r="D3146" s="10" t="inlineStr">
        <is>
          <t>Công Ty Cổ Phần Công Nghiệp INVICO</t>
        </is>
      </c>
      <c r="E3146" s="10" t="inlineStr">
        <is>
          <t>20tr-25tr ₫/tháng</t>
        </is>
      </c>
      <c r="F3146" s="10" t="inlineStr">
        <is>
          <t>Hà Nội</t>
        </is>
      </c>
      <c r="G3146" s="10" t="inlineStr">
        <is>
          <t>Nhân viên</t>
        </is>
      </c>
      <c r="H3146" s="10" t="inlineStr">
        <is>
          <t>25/02/2026</t>
        </is>
      </c>
      <c r="I3146" s="10" t="inlineStr">
        <is>
          <t>27/03/2026</t>
        </is>
      </c>
      <c r="J3146" s="10" t="inlineStr">
        <is>
          <t>17/03/2026</t>
        </is>
      </c>
      <c r="K3146" s="10" t="inlineStr">
        <is>
          <t>N/A</t>
        </is>
      </c>
      <c r="L3146" s="10" t="inlineStr">
        <is>
          <t>Thiết Kế Cơ Khí, AutoCAD, SolidWorks, Điện Công Nghiệp, Quản Lý</t>
        </is>
      </c>
      <c r="M3146" s="10" t="inlineStr">
        <is>
          <t>Bonus, Healthcare Plan, Training, Travel Opportunities, Team Activities, Canteen, Others</t>
        </is>
      </c>
      <c r="N3146" s="11">
        <f>HYPERLINK("https://www.vietnamworks.com/truong-nhom-thiet-ke-co-khi-luong-20-25tr-thang-2013889-jv","Xem chi tiết")</f>
        <v/>
      </c>
      <c r="O3146" s="10" t="n"/>
    </row>
    <row r="3147">
      <c r="B3147" s="7" t="n">
        <v>3145</v>
      </c>
      <c r="C3147" t="inlineStr">
        <is>
          <t>Chuyên viên Trưng bày cửa hàng (Visual Merchandiser Specialist - V.M)</t>
        </is>
      </c>
      <c r="D3147" t="inlineStr">
        <is>
          <t>CELLPHONES - HỆ THỐNG BÁN LẺ ĐIỆN THOẠI DI ĐỘNG, LAPTOP VÀ CÁC SẢN PHẨM CÔNG NGHỆ TOÀN QUỐC</t>
        </is>
      </c>
      <c r="E3147" t="inlineStr">
        <is>
          <t>14tr-20tr ₫/tháng</t>
        </is>
      </c>
      <c r="F3147" t="inlineStr">
        <is>
          <t>Hồ Chí Minh</t>
        </is>
      </c>
      <c r="G3147" t="inlineStr">
        <is>
          <t>Nhân viên</t>
        </is>
      </c>
      <c r="H3147" t="inlineStr">
        <is>
          <t>25/02/2026</t>
        </is>
      </c>
      <c r="I3147" t="inlineStr">
        <is>
          <t>27/03/2026</t>
        </is>
      </c>
      <c r="J3147" t="inlineStr">
        <is>
          <t>17/03/2026</t>
        </is>
      </c>
      <c r="K3147" t="inlineStr">
        <is>
          <t>N/A</t>
        </is>
      </c>
      <c r="L3147" t="inlineStr">
        <is>
          <t>Khả Năng Di Chuyển, Quản Lý Dự Án, Thiết Kế Layout, Thiết Kế Trưng Bày, Xây Dựng</t>
        </is>
      </c>
      <c r="M3147" t="inlineStr">
        <is>
          <t>Bonus, Healthcare Plan, Paid Leave, Team Activities, Others</t>
        </is>
      </c>
      <c r="N3147" s="8">
        <f>HYPERLINK("https://www.vietnamworks.com/chuyen-vien-trung-bay-cua-hang-visual-merchandiser-specialist-v-m-2013901-jv","Xem chi tiết")</f>
        <v/>
      </c>
    </row>
    <row r="3148">
      <c r="B3148" s="9" t="n">
        <v>3146</v>
      </c>
      <c r="C3148" s="10" t="inlineStr">
        <is>
          <t>[HN] Operation Staff Shipping</t>
        </is>
      </c>
      <c r="D3148" s="10" t="inlineStr">
        <is>
          <t>Worldwide Logistic Co, Ltd</t>
        </is>
      </c>
      <c r="E3148" s="10" t="inlineStr">
        <is>
          <t>Thương lượng</t>
        </is>
      </c>
      <c r="F3148" s="10" t="inlineStr">
        <is>
          <t>Hà Nội</t>
        </is>
      </c>
      <c r="G3148" s="10" t="inlineStr">
        <is>
          <t>Nhân viên</t>
        </is>
      </c>
      <c r="H3148" s="10" t="inlineStr">
        <is>
          <t>25/02/2026</t>
        </is>
      </c>
      <c r="I3148" s="10" t="inlineStr">
        <is>
          <t>27/03/2026</t>
        </is>
      </c>
      <c r="J3148" s="10" t="inlineStr">
        <is>
          <t>17/03/2026</t>
        </is>
      </c>
      <c r="K3148" s="10" t="inlineStr">
        <is>
          <t>N/A</t>
        </is>
      </c>
      <c r="L3148" s="10" t="inlineStr">
        <is>
          <t>Shipping Operations, Customs Clearance, Airfreight Rates Negotiation, English Communication, Sea and Air Cargo Operations</t>
        </is>
      </c>
      <c r="M3148" s="10" t="inlineStr">
        <is>
          <t>Bonus, Healthcare Plan, Training, Others</t>
        </is>
      </c>
      <c r="N3148" s="11">
        <f>HYPERLINK("https://www.vietnamworks.com/hn-operation-staff-shipping-2013890-jv","Xem chi tiết")</f>
        <v/>
      </c>
      <c r="O3148" s="10" t="n"/>
    </row>
    <row r="3149">
      <c r="B3149" s="7" t="n">
        <v>3147</v>
      </c>
      <c r="C3149" t="inlineStr">
        <is>
          <t>Nhân Viên Kỹ Thuật Bảo Trì</t>
        </is>
      </c>
      <c r="D3149" t="inlineStr">
        <is>
          <t>JOMA VIETNAM</t>
        </is>
      </c>
      <c r="E3149" t="inlineStr">
        <is>
          <t>11tr-13tr ₫/tháng</t>
        </is>
      </c>
      <c r="F3149" t="inlineStr">
        <is>
          <t>Hà Nội</t>
        </is>
      </c>
      <c r="G3149" t="inlineStr">
        <is>
          <t>Mới Tốt Nghiệp</t>
        </is>
      </c>
      <c r="H3149" t="inlineStr">
        <is>
          <t>25/02/2026</t>
        </is>
      </c>
      <c r="I3149" t="inlineStr">
        <is>
          <t>27/03/2026</t>
        </is>
      </c>
      <c r="J3149" t="inlineStr">
        <is>
          <t>17/03/2026</t>
        </is>
      </c>
      <c r="K3149" t="inlineStr">
        <is>
          <t>N/A</t>
        </is>
      </c>
      <c r="L3149" t="inlineStr">
        <is>
          <t>Kỹ Thuật Điện, Điện Lạnh, Cơ Điện, Bảo Trì Kỹ Thuật, Maintenace</t>
        </is>
      </c>
      <c r="M3149" t="inlineStr">
        <is>
          <t>Bonus, Healthcare Plan, Paid Leave, Transportation, Others</t>
        </is>
      </c>
      <c r="N3149" s="8">
        <f>HYPERLINK("https://www.vietnamworks.com/nhan-vien-ky-thuat-bao-tri-2013885-jv","Xem chi tiết")</f>
        <v/>
      </c>
    </row>
    <row r="3150">
      <c r="B3150" s="9" t="n">
        <v>3148</v>
      </c>
      <c r="C3150" s="10" t="inlineStr">
        <is>
          <t>Chuyên Viên Thiết Kế Đồ Hoạ</t>
        </is>
      </c>
      <c r="D3150" s="10" t="inlineStr">
        <is>
          <t>Công Ty Cổ Phần Thaiholdings</t>
        </is>
      </c>
      <c r="E3150" s="10" t="inlineStr">
        <is>
          <t>Thương lượng</t>
        </is>
      </c>
      <c r="F3150" s="10" t="inlineStr">
        <is>
          <t>Hà Nội</t>
        </is>
      </c>
      <c r="G3150" s="10" t="inlineStr">
        <is>
          <t>Nhân viên</t>
        </is>
      </c>
      <c r="H3150" s="10" t="inlineStr">
        <is>
          <t>25/02/2026</t>
        </is>
      </c>
      <c r="I3150" s="10" t="inlineStr">
        <is>
          <t>27/03/2026</t>
        </is>
      </c>
      <c r="J3150" s="10" t="inlineStr">
        <is>
          <t>17/03/2026</t>
        </is>
      </c>
      <c r="K3150" s="10" t="inlineStr">
        <is>
          <t>N/A</t>
        </is>
      </c>
      <c r="L3150" s="10" t="inlineStr">
        <is>
          <t>Thiết Kế Đồ Họa, Graphic Design, Adobe Photoshop, Adobe InDesign, Adobe Illustrator</t>
        </is>
      </c>
      <c r="M3150" s="10" t="inlineStr">
        <is>
          <t>Bonus, Healthcare Plan, Team Activities</t>
        </is>
      </c>
      <c r="N3150" s="11">
        <f>HYPERLINK("https://www.vietnamworks.com/chuyen-vien-thiet-ke-do-hoa--2013893-jv","Xem chi tiết")</f>
        <v/>
      </c>
      <c r="O3150" s="10" t="n"/>
    </row>
    <row r="3151">
      <c r="B3151" s="7" t="n">
        <v>3149</v>
      </c>
      <c r="C3151" t="inlineStr">
        <is>
          <t>Trưởng Bộ Phận Phát Triển Sản Phẩm</t>
        </is>
      </c>
      <c r="D3151" t="inlineStr">
        <is>
          <t>Công Ty Cổ Phần Tập Đoàn Sunhouse</t>
        </is>
      </c>
      <c r="E3151" t="inlineStr">
        <is>
          <t>Thương lượng</t>
        </is>
      </c>
      <c r="F3151" t="inlineStr">
        <is>
          <t>Hà Nội</t>
        </is>
      </c>
      <c r="G3151" t="inlineStr">
        <is>
          <t>Trưởng phòng</t>
        </is>
      </c>
      <c r="H3151" t="inlineStr">
        <is>
          <t>25/02/2026</t>
        </is>
      </c>
      <c r="I3151" t="inlineStr">
        <is>
          <t>27/03/2026</t>
        </is>
      </c>
      <c r="J3151" t="inlineStr">
        <is>
          <t>17/03/2026</t>
        </is>
      </c>
      <c r="K3151" t="inlineStr">
        <is>
          <t>N/A</t>
        </is>
      </c>
      <c r="L3151" t="inlineStr">
        <is>
          <t>Phát Triển Sản Phẩm, Product Marketing, Nghiên Cứu Thị Trường, Excel, Nắm Bắt Tâm Lý Khách</t>
        </is>
      </c>
      <c r="M3151" t="inlineStr">
        <is>
          <t>Bonus, Laptop, Travel Opportunities</t>
        </is>
      </c>
      <c r="N3151" s="8">
        <f>HYPERLINK("https://www.vietnamworks.com/truong-bo-phan-phat-trien-san-pham--2013904-jv","Xem chi tiết")</f>
        <v/>
      </c>
    </row>
    <row r="3152">
      <c r="B3152" s="9" t="n">
        <v>3150</v>
      </c>
      <c r="C3152" s="10" t="inlineStr">
        <is>
          <t>Nhân Viên Thiết Kế Diễn Hoạ Nội Thất (Interior Designer / 3D Visualizer)</t>
        </is>
      </c>
      <c r="D3152" s="10" t="inlineStr">
        <is>
          <t>Weiken.com</t>
        </is>
      </c>
      <c r="E3152" s="10" t="inlineStr">
        <is>
          <t>$$ 500-700 /tháng</t>
        </is>
      </c>
      <c r="F3152" s="10" t="inlineStr">
        <is>
          <t>Hồ Chí Minh</t>
        </is>
      </c>
      <c r="G3152" s="10" t="inlineStr">
        <is>
          <t>Nhân viên</t>
        </is>
      </c>
      <c r="H3152" s="10" t="inlineStr">
        <is>
          <t>25/02/2026</t>
        </is>
      </c>
      <c r="I3152" s="10" t="inlineStr">
        <is>
          <t>27/03/2026</t>
        </is>
      </c>
      <c r="J3152" s="10" t="inlineStr">
        <is>
          <t>17/03/2026</t>
        </is>
      </c>
      <c r="K3152" s="10" t="inlineStr">
        <is>
          <t>N/A</t>
        </is>
      </c>
      <c r="L3152" s="10" t="inlineStr">
        <is>
          <t>Sketchup, Adobe Photoshop, AutoCAD, 3D Max, Interior Design</t>
        </is>
      </c>
      <c r="M3152" s="10" t="inlineStr">
        <is>
          <t>Bonus, Others</t>
        </is>
      </c>
      <c r="N3152" s="11">
        <f>HYPERLINK("https://www.vietnamworks.com/nhan-vien-thiet-ke-dien-hoa-noi-that-interior-designer-3d-visualizer-2013892-jv","Xem chi tiết")</f>
        <v/>
      </c>
      <c r="O3152" s="10" t="n"/>
    </row>
    <row r="3153">
      <c r="B3153" s="7" t="n">
        <v>3151</v>
      </c>
      <c r="C3153" t="inlineStr">
        <is>
          <t>Personal Care Greater Asia Integrated Planning Lead</t>
        </is>
      </c>
      <c r="D3153" t="inlineStr">
        <is>
          <t>Unilever Vietnam</t>
        </is>
      </c>
      <c r="E3153" t="inlineStr">
        <is>
          <t>Thương lượng</t>
        </is>
      </c>
      <c r="F3153" t="inlineStr">
        <is>
          <t>Hồ Chí Minh</t>
        </is>
      </c>
      <c r="G3153" t="inlineStr">
        <is>
          <t>Giám Đốc và Cấp Cao Hơn</t>
        </is>
      </c>
      <c r="H3153" t="inlineStr">
        <is>
          <t>25/02/2026</t>
        </is>
      </c>
      <c r="I3153" t="inlineStr">
        <is>
          <t>27/03/2026</t>
        </is>
      </c>
      <c r="J3153" t="inlineStr">
        <is>
          <t>17/03/2026</t>
        </is>
      </c>
      <c r="K3153" t="inlineStr">
        <is>
          <t>N/A</t>
        </is>
      </c>
      <c r="L3153" t="inlineStr">
        <is>
          <t>Analytical Skills, Capacity Management, Product Planning, Leadership, Operations Management</t>
        </is>
      </c>
      <c r="M3153" t="inlineStr">
        <is>
          <t>Bonus</t>
        </is>
      </c>
      <c r="N3153" s="8">
        <f>HYPERLINK("https://www.vietnamworks.com/personal-care-greater-asia-integrated-planning-lead-2013912-jv","Xem chi tiết")</f>
        <v/>
      </c>
    </row>
    <row r="3154">
      <c r="B3154" s="9" t="n">
        <v>3152</v>
      </c>
      <c r="C3154" s="10" t="inlineStr">
        <is>
          <t>Purchasing Staff</t>
        </is>
      </c>
      <c r="D3154" s="10" t="inlineStr">
        <is>
          <t>Instanta Vietnam</t>
        </is>
      </c>
      <c r="E3154" s="10" t="inlineStr">
        <is>
          <t>Thương lượng</t>
        </is>
      </c>
      <c r="F3154" s="10" t="inlineStr">
        <is>
          <t>Hải Phòng</t>
        </is>
      </c>
      <c r="G3154" s="10" t="inlineStr">
        <is>
          <t>Nhân viên</t>
        </is>
      </c>
      <c r="H3154" s="10" t="inlineStr">
        <is>
          <t>25/02/2026</t>
        </is>
      </c>
      <c r="I3154" s="10" t="inlineStr">
        <is>
          <t>27/03/2026</t>
        </is>
      </c>
      <c r="J3154" s="10" t="inlineStr">
        <is>
          <t>17/03/2026</t>
        </is>
      </c>
      <c r="K3154" s="10" t="inlineStr">
        <is>
          <t>N/A</t>
        </is>
      </c>
      <c r="L3154" s="10" t="inlineStr">
        <is>
          <t>English, Purchase Management, EPE processing, Mua Hàng, Thu Mua</t>
        </is>
      </c>
      <c r="M3154" s="10" t="inlineStr">
        <is>
          <t>Bonus, Healthcare Plan, Paid Leave</t>
        </is>
      </c>
      <c r="N3154" s="11">
        <f>HYPERLINK("https://www.vietnamworks.com/purchasing-staff--2013914-jv","Xem chi tiết")</f>
        <v/>
      </c>
      <c r="O3154" s="10" t="n"/>
    </row>
    <row r="3155">
      <c r="B3155" s="7" t="n">
        <v>3153</v>
      </c>
      <c r="C3155" t="inlineStr">
        <is>
          <t>Design Manager</t>
        </is>
      </c>
      <c r="D3155" t="inlineStr">
        <is>
          <t>Công ty TNHH Plus PM Việt Nam</t>
        </is>
      </c>
      <c r="E3155" t="inlineStr">
        <is>
          <t>$$ 1,500-2,200 /tháng</t>
        </is>
      </c>
      <c r="F3155" t="inlineStr">
        <is>
          <t>Hà Nội, Thanh Hóa</t>
        </is>
      </c>
      <c r="G3155" t="inlineStr">
        <is>
          <t>Trưởng phòng</t>
        </is>
      </c>
      <c r="H3155" t="inlineStr">
        <is>
          <t>25/02/2026</t>
        </is>
      </c>
      <c r="I3155" t="inlineStr">
        <is>
          <t>27/03/2026</t>
        </is>
      </c>
      <c r="J3155" t="inlineStr">
        <is>
          <t>17/03/2026</t>
        </is>
      </c>
      <c r="K3155" t="inlineStr">
        <is>
          <t>N/A</t>
        </is>
      </c>
      <c r="L3155" t="inlineStr">
        <is>
          <t>Structure, Project Management, Design Review, Architectural Design Review</t>
        </is>
      </c>
      <c r="M3155" t="inlineStr">
        <is>
          <t>Healthcare Plan, Paid Leave</t>
        </is>
      </c>
      <c r="N3155" s="8">
        <f>HYPERLINK("https://www.vietnamworks.com/design-manager--2013911-jv","Xem chi tiết")</f>
        <v/>
      </c>
    </row>
    <row r="3156">
      <c r="B3156" s="9" t="n">
        <v>3154</v>
      </c>
      <c r="C3156" s="10" t="inlineStr">
        <is>
          <t>Legal Executive / Legal Officer - 1 Year contract</t>
        </is>
      </c>
      <c r="D3156" s="10" t="inlineStr">
        <is>
          <t>Jaspal Company Limited</t>
        </is>
      </c>
      <c r="E3156" s="10" t="inlineStr">
        <is>
          <t>Thương lượng</t>
        </is>
      </c>
      <c r="F3156" s="10" t="inlineStr">
        <is>
          <t>Hồ Chí Minh</t>
        </is>
      </c>
      <c r="G3156" s="10" t="inlineStr">
        <is>
          <t>Nhân viên</t>
        </is>
      </c>
      <c r="H3156" s="10" t="inlineStr">
        <is>
          <t>25/02/2026</t>
        </is>
      </c>
      <c r="I3156" s="10" t="inlineStr">
        <is>
          <t>27/03/2026</t>
        </is>
      </c>
      <c r="J3156" s="10" t="inlineStr">
        <is>
          <t>17/03/2026</t>
        </is>
      </c>
      <c r="K3156" s="10" t="inlineStr">
        <is>
          <t>N/A</t>
        </is>
      </c>
      <c r="L3156" s="10" t="inlineStr">
        <is>
          <t>Pháp Lý, Legal, Retail Leasing, Insurance Management, Government Reporting</t>
        </is>
      </c>
      <c r="M3156" s="10" t="inlineStr">
        <is>
          <t>Bonus, Healthcare Plan, Others</t>
        </is>
      </c>
      <c r="N3156" s="11">
        <f>HYPERLINK("https://www.vietnamworks.com/legal-executive-legal-officer-1-year-contract-2013900-jv","Xem chi tiết")</f>
        <v/>
      </c>
      <c r="O3156" s="10" t="n"/>
    </row>
    <row r="3157">
      <c r="B3157" s="7" t="n">
        <v>3155</v>
      </c>
      <c r="C3157" t="inlineStr">
        <is>
          <t>[Tuyển Gấp] Kế Toán Thuế</t>
        </is>
      </c>
      <c r="D3157" t="inlineStr">
        <is>
          <t>Công Ty Cổ Phần Vật Liệu Vĩnh Tân</t>
        </is>
      </c>
      <c r="E3157" t="inlineStr">
        <is>
          <t>12tr-16tr ₫/tháng</t>
        </is>
      </c>
      <c r="F3157" t="inlineStr">
        <is>
          <t>Hà Nội</t>
        </is>
      </c>
      <c r="G3157" t="inlineStr">
        <is>
          <t>Nhân viên</t>
        </is>
      </c>
      <c r="H3157" t="inlineStr">
        <is>
          <t>25/02/2026</t>
        </is>
      </c>
      <c r="I3157" t="inlineStr">
        <is>
          <t>27/03/2026</t>
        </is>
      </c>
      <c r="J3157" t="inlineStr">
        <is>
          <t>17/03/2026</t>
        </is>
      </c>
      <c r="K3157" t="inlineStr">
        <is>
          <t>N/A</t>
        </is>
      </c>
      <c r="L3157" t="inlineStr">
        <is>
          <t>Báo Cáo Kế Toán Thuế, Kế Toán Thuế, TAX, Taxation Knowledge, Thuế</t>
        </is>
      </c>
      <c r="M3157" t="inlineStr">
        <is>
          <t>Bonus, Healthcare Plan, Others</t>
        </is>
      </c>
      <c r="N3157" s="8">
        <f>HYPERLINK("https://www.vietnamworks.com/tuyen-gap-ke-toan-thue-2013902-jv","Xem chi tiết")</f>
        <v/>
      </c>
    </row>
    <row r="3158">
      <c r="B3158" s="9" t="n">
        <v>3156</v>
      </c>
      <c r="C3158" s="10" t="inlineStr">
        <is>
          <t>Phó Phòng Hành Chính</t>
        </is>
      </c>
      <c r="D3158" s="10" t="inlineStr">
        <is>
          <t>Công Ty Cổ Phần Thaiholdings</t>
        </is>
      </c>
      <c r="E3158" s="10" t="inlineStr">
        <is>
          <t>Thương lượng</t>
        </is>
      </c>
      <c r="F3158" s="10" t="inlineStr">
        <is>
          <t>Hà Nội</t>
        </is>
      </c>
      <c r="G3158" s="10" t="inlineStr">
        <is>
          <t>Trưởng phòng</t>
        </is>
      </c>
      <c r="H3158" s="10" t="inlineStr">
        <is>
          <t>25/02/2026</t>
        </is>
      </c>
      <c r="I3158" s="10" t="inlineStr">
        <is>
          <t>27/03/2026</t>
        </is>
      </c>
      <c r="J3158" s="10" t="inlineStr">
        <is>
          <t>17/03/2026</t>
        </is>
      </c>
      <c r="K3158" s="10" t="inlineStr">
        <is>
          <t>N/A</t>
        </is>
      </c>
      <c r="L3158" s="10" t="inlineStr">
        <is>
          <t>Quản Trị Nhân Lực, Quản Lý Hành Chính, Nhân Sự, Hành Chính Nhân Sự, Hành Chính</t>
        </is>
      </c>
      <c r="M3158" s="10" t="inlineStr">
        <is>
          <t>Bonus, Healthcare Plan, Team Activities</t>
        </is>
      </c>
      <c r="N3158" s="11">
        <f>HYPERLINK("https://www.vietnamworks.com/pho-phong-hanh-chinh--2013916-jv","Xem chi tiết")</f>
        <v/>
      </c>
      <c r="O3158" s="10" t="n"/>
    </row>
    <row r="3159">
      <c r="B3159" s="7" t="n">
        <v>3157</v>
      </c>
      <c r="C3159" t="inlineStr">
        <is>
          <t>Kỹ Sư Công Nghiệp</t>
        </is>
      </c>
      <c r="D3159" t="inlineStr">
        <is>
          <t>Công Ty Cổ Phần Công Nghệ Công Nghiệp Bưu Chính Viễn Thông - VNPT Technology</t>
        </is>
      </c>
      <c r="E3159" t="inlineStr">
        <is>
          <t>Thương lượng</t>
        </is>
      </c>
      <c r="F3159" t="inlineStr">
        <is>
          <t>Hà Nội</t>
        </is>
      </c>
      <c r="G3159" t="inlineStr">
        <is>
          <t>Nhân viên</t>
        </is>
      </c>
      <c r="H3159" t="inlineStr">
        <is>
          <t>25/02/2026</t>
        </is>
      </c>
      <c r="I3159" t="inlineStr">
        <is>
          <t>27/03/2026</t>
        </is>
      </c>
      <c r="J3159" t="inlineStr">
        <is>
          <t>17/03/2026</t>
        </is>
      </c>
      <c r="K3159" t="inlineStr">
        <is>
          <t>N/A</t>
        </is>
      </c>
      <c r="L3159" t="inlineStr">
        <is>
          <t>Dây Chuyền Sản Xuất, Hỗ Trợ Kỹ Thuật, Quản Lý Dự Án, Sản Xuất Công Nghiệp, Xử Lý Vấn Đề</t>
        </is>
      </c>
      <c r="M3159" t="inlineStr">
        <is>
          <t>Bonus, Training, Canteen</t>
        </is>
      </c>
      <c r="N3159" s="8">
        <f>HYPERLINK("https://www.vietnamworks.com/ky-su-cong-nghiep-2013910-jv","Xem chi tiết")</f>
        <v/>
      </c>
    </row>
    <row r="3160">
      <c r="B3160" s="9" t="n">
        <v>3158</v>
      </c>
      <c r="C3160" s="10" t="inlineStr">
        <is>
          <t>Chuyên Viên Kiểm Toán Nội Bộ (Senior Internal Audit Specialist)</t>
        </is>
      </c>
      <c r="D3160" s="10" t="inlineStr">
        <is>
          <t>Công Ty Cổ Phần Sữa Việt Nam (Vinamilk)</t>
        </is>
      </c>
      <c r="E3160" s="10" t="inlineStr">
        <is>
          <t>Thương lượng</t>
        </is>
      </c>
      <c r="F3160" s="10" t="inlineStr">
        <is>
          <t>Hồ Chí Minh</t>
        </is>
      </c>
      <c r="G3160" s="10" t="inlineStr">
        <is>
          <t>Nhân viên</t>
        </is>
      </c>
      <c r="H3160" s="10" t="inlineStr">
        <is>
          <t>25/02/2026</t>
        </is>
      </c>
      <c r="I3160" s="10" t="inlineStr">
        <is>
          <t>27/03/2026</t>
        </is>
      </c>
      <c r="J3160" s="10" t="inlineStr">
        <is>
          <t>17/03/2026</t>
        </is>
      </c>
      <c r="K3160" s="10" t="inlineStr">
        <is>
          <t>N/A</t>
        </is>
      </c>
      <c r="L3160" s="10" t="inlineStr">
        <is>
          <t>Audit, Audit Management, Auditing, Audit Planning, Audit Project</t>
        </is>
      </c>
      <c r="M3160" s="10" t="inlineStr">
        <is>
          <t>Bonus, Healthcare Plan, Training</t>
        </is>
      </c>
      <c r="N3160" s="11">
        <f>HYPERLINK("https://www.vietnamworks.com/chuyen-vien-kiem-toan-noi-bo-senior-internal-audit-specialist-2013913-jv","Xem chi tiết")</f>
        <v/>
      </c>
      <c r="O3160" s="10" t="n"/>
    </row>
    <row r="3161">
      <c r="B3161" s="7" t="n">
        <v>3159</v>
      </c>
      <c r="C3161" t="inlineStr">
        <is>
          <t xml:space="preserve">1:1 Learning Assistant </t>
        </is>
      </c>
      <c r="D3161" t="inlineStr">
        <is>
          <t>Dwight School Hanoi</t>
        </is>
      </c>
      <c r="E3161" t="inlineStr">
        <is>
          <t>Thương lượng</t>
        </is>
      </c>
      <c r="F3161" t="inlineStr">
        <is>
          <t>Hà Nội</t>
        </is>
      </c>
      <c r="G3161" t="inlineStr">
        <is>
          <t>Nhân viên</t>
        </is>
      </c>
      <c r="H3161" t="inlineStr">
        <is>
          <t>25/02/2026</t>
        </is>
      </c>
      <c r="I3161" t="inlineStr">
        <is>
          <t>27/03/2026</t>
        </is>
      </c>
      <c r="J3161" t="inlineStr">
        <is>
          <t>17/03/2026</t>
        </is>
      </c>
      <c r="K3161" t="inlineStr">
        <is>
          <t>N/A</t>
        </is>
      </c>
      <c r="L3161" t="inlineStr">
        <is>
          <t>Education Development, English Fluency, Interpersonal Skills, Technology Integration, Vietnamese fluency</t>
        </is>
      </c>
      <c r="M3161" t="inlineStr">
        <is>
          <t>Bonus, Healthcare Plan, Training, Others</t>
        </is>
      </c>
      <c r="N3161" s="8">
        <f>HYPERLINK("https://www.vietnamworks.com/11-learning-assistant-2013905-jv","Xem chi tiết")</f>
        <v/>
      </c>
    </row>
    <row r="3162">
      <c r="B3162" s="9" t="n">
        <v>3160</v>
      </c>
      <c r="C3162" s="10" t="inlineStr">
        <is>
          <t>Accountant Service</t>
        </is>
      </c>
      <c r="D3162" s="10" t="inlineStr">
        <is>
          <t>CÔNG TY TNHH LIÊN KẾT ADAM</t>
        </is>
      </c>
      <c r="E3162" s="10" t="inlineStr">
        <is>
          <t>Thương lượng</t>
        </is>
      </c>
      <c r="F3162" s="10" t="inlineStr">
        <is>
          <t>Hồ Chí Minh</t>
        </is>
      </c>
      <c r="G3162" s="10" t="inlineStr">
        <is>
          <t>Nhân viên</t>
        </is>
      </c>
      <c r="H3162" s="10" t="inlineStr">
        <is>
          <t>25/02/2026</t>
        </is>
      </c>
      <c r="I3162" s="10" t="inlineStr">
        <is>
          <t>27/03/2026</t>
        </is>
      </c>
      <c r="J3162" s="10" t="inlineStr">
        <is>
          <t>17/03/2026</t>
        </is>
      </c>
      <c r="K3162" s="10" t="inlineStr">
        <is>
          <t>N/A</t>
        </is>
      </c>
      <c r="L3162" s="10" t="inlineStr">
        <is>
          <t>Accounting, Channel Relationship Management, Financial Analysis, Solution Oriented, Tax Declaration</t>
        </is>
      </c>
      <c r="M3162" s="10" t="inlineStr">
        <is>
          <t>Bonus, Healthcare Plan, Training, Others</t>
        </is>
      </c>
      <c r="N3162" s="11">
        <f>HYPERLINK("https://www.vietnamworks.com/accountant-service-2013909-jv","Xem chi tiết")</f>
        <v/>
      </c>
      <c r="O3162" s="10" t="n"/>
    </row>
    <row r="3163">
      <c r="B3163" s="7" t="n">
        <v>3161</v>
      </c>
      <c r="C3163" t="inlineStr">
        <is>
          <t>Kỹ Sư Thiết Kế Cơ Khí</t>
        </is>
      </c>
      <c r="D3163" t="inlineStr">
        <is>
          <t>Fushan Technology Vietnam</t>
        </is>
      </c>
      <c r="E3163" t="inlineStr">
        <is>
          <t>Tới $ 1,500 /tháng</t>
        </is>
      </c>
      <c r="F3163" t="inlineStr">
        <is>
          <t>Bắc Ninh</t>
        </is>
      </c>
      <c r="G3163" t="inlineStr">
        <is>
          <t>Nhân viên</t>
        </is>
      </c>
      <c r="H3163" t="inlineStr">
        <is>
          <t>25/02/2026</t>
        </is>
      </c>
      <c r="I3163" t="inlineStr">
        <is>
          <t>27/03/2026</t>
        </is>
      </c>
      <c r="J3163" t="inlineStr">
        <is>
          <t>17/03/2026</t>
        </is>
      </c>
      <c r="K3163" t="inlineStr">
        <is>
          <t>N/A</t>
        </is>
      </c>
      <c r="L3163" t="inlineStr">
        <is>
          <t>Kế toán, Tài Chính</t>
        </is>
      </c>
      <c r="M3163" t="inlineStr">
        <is>
          <t>Bonus, Healthcare Plan, Paid Leave</t>
        </is>
      </c>
      <c r="N3163" s="8">
        <f>HYPERLINK("https://www.vietnamworks.com/ky-su-thiet-ke-co-khi--2013922-jv","Xem chi tiết")</f>
        <v/>
      </c>
    </row>
    <row r="3164">
      <c r="B3164" s="9" t="n">
        <v>3162</v>
      </c>
      <c r="C3164" s="10" t="inlineStr">
        <is>
          <t>Finance And Accountant Intern / Thực Tập Sinh Tài Chính &amp; Kế Toán</t>
        </is>
      </c>
      <c r="D3164" s="10" t="inlineStr">
        <is>
          <t>TORRECID VIETNAM</t>
        </is>
      </c>
      <c r="E3164" s="10" t="inlineStr">
        <is>
          <t>3tr-4.2tr ₫/tháng</t>
        </is>
      </c>
      <c r="F3164" s="10" t="inlineStr">
        <is>
          <t>Đồng Nai</t>
        </is>
      </c>
      <c r="G3164" s="10" t="inlineStr">
        <is>
          <t>Thực tập sinh/Sinh viên</t>
        </is>
      </c>
      <c r="H3164" s="10" t="inlineStr">
        <is>
          <t>25/02/2026</t>
        </is>
      </c>
      <c r="I3164" s="10" t="inlineStr">
        <is>
          <t>27/03/2026</t>
        </is>
      </c>
      <c r="J3164" s="10" t="inlineStr">
        <is>
          <t>17/03/2026</t>
        </is>
      </c>
      <c r="K3164" s="10" t="inlineStr">
        <is>
          <t>N/A</t>
        </is>
      </c>
      <c r="L3164" s="10" t="inlineStr">
        <is>
          <t>Accounting, Auditing, Banking, Finance, Teamwork</t>
        </is>
      </c>
      <c r="M3164" s="10" t="inlineStr">
        <is>
          <t>Training, Team Activities, Others</t>
        </is>
      </c>
      <c r="N3164" s="11">
        <f>HYPERLINK("https://www.vietnamworks.com/finance-and-accountant-intern-thuc-tap-sinh-tai-chinh-and-ke-toan-2013898-jv","Xem chi tiết")</f>
        <v/>
      </c>
      <c r="O3164" s="10" t="n"/>
    </row>
    <row r="3165">
      <c r="B3165" s="7" t="n">
        <v>3163</v>
      </c>
      <c r="C3165" t="inlineStr">
        <is>
          <t>General Accountant – Artisan Bakery &amp;tea</t>
        </is>
      </c>
      <c r="D3165" t="inlineStr">
        <is>
          <t>CÔNG TY TNHH CLEMENCE - CHI NHANH 1</t>
        </is>
      </c>
      <c r="E3165" t="inlineStr">
        <is>
          <t>13.5tr-17tr ₫/tháng</t>
        </is>
      </c>
      <c r="F3165" t="inlineStr">
        <is>
          <t>Hồ Chí Minh</t>
        </is>
      </c>
      <c r="G3165" t="inlineStr">
        <is>
          <t>Nhân viên</t>
        </is>
      </c>
      <c r="H3165" t="inlineStr">
        <is>
          <t>25/02/2026</t>
        </is>
      </c>
      <c r="I3165" t="inlineStr">
        <is>
          <t>27/03/2026</t>
        </is>
      </c>
      <c r="J3165" t="inlineStr">
        <is>
          <t>17/03/2026</t>
        </is>
      </c>
      <c r="K3165" t="inlineStr">
        <is>
          <t>N/A</t>
        </is>
      </c>
      <c r="L3165" t="inlineStr">
        <is>
          <t>Kế Toán Nội Bộ, Quản Lý Công Nợ, Accountant, Kế Toán</t>
        </is>
      </c>
      <c r="M3165" t="inlineStr">
        <is>
          <t>Bonus, Healthcare Plan, Training</t>
        </is>
      </c>
      <c r="N3165" s="8">
        <f>HYPERLINK("https://www.vietnamworks.com/general-accountant-artisan-bakery-tea-2013926-jv","Xem chi tiết")</f>
        <v/>
      </c>
    </row>
    <row r="3166">
      <c r="B3166" s="9" t="n">
        <v>3164</v>
      </c>
      <c r="C3166" s="10" t="inlineStr">
        <is>
          <t>Phó Tổng Giám Đốc Kinh Doanh</t>
        </is>
      </c>
      <c r="D3166" s="10" t="inlineStr">
        <is>
          <t>Công Ty Cổ Phần Tập Đoàn Meey Land</t>
        </is>
      </c>
      <c r="E3166" s="10" t="inlineStr">
        <is>
          <t>$$ 3,000-4,000 /tháng</t>
        </is>
      </c>
      <c r="F3166" s="10" t="inlineStr">
        <is>
          <t>Hà Nội</t>
        </is>
      </c>
      <c r="G3166" s="10" t="inlineStr">
        <is>
          <t>Giám Đốc và Cấp Cao Hơn</t>
        </is>
      </c>
      <c r="H3166" s="10" t="inlineStr">
        <is>
          <t>25/02/2026</t>
        </is>
      </c>
      <c r="I3166" s="10" t="inlineStr">
        <is>
          <t>27/03/2026</t>
        </is>
      </c>
      <c r="J3166" s="10" t="inlineStr">
        <is>
          <t>17/03/2026</t>
        </is>
      </c>
      <c r="K3166" s="10" t="inlineStr">
        <is>
          <t>N/A</t>
        </is>
      </c>
      <c r="L3166" s="10" t="inlineStr">
        <is>
          <t>Business Development Management, Chiến Lược Kinh Doanh, Marketing Campaign Management</t>
        </is>
      </c>
      <c r="M3166" s="10" t="inlineStr">
        <is>
          <t>Bonus, Healthcare Plan, Paid Leave, Training, Laptop, Travel Opportunities, Others</t>
        </is>
      </c>
      <c r="N3166" s="11">
        <f>HYPERLINK("https://www.vietnamworks.com/pho-tong-giam-djoc-kinh-doanh-2013903-jv","Xem chi tiết")</f>
        <v/>
      </c>
      <c r="O3166" s="10" t="n"/>
    </row>
    <row r="3167">
      <c r="B3167" s="7" t="n">
        <v>3165</v>
      </c>
      <c r="C3167" t="inlineStr">
        <is>
          <t>Accounts Payable Accountant (Hanoi)</t>
        </is>
      </c>
      <c r="D3167" t="inlineStr">
        <is>
          <t>CapitaLand Development (Vietnam)</t>
        </is>
      </c>
      <c r="E3167" t="inlineStr">
        <is>
          <t>Thương lượng</t>
        </is>
      </c>
      <c r="F3167" t="inlineStr">
        <is>
          <t>Hà Nội</t>
        </is>
      </c>
      <c r="G3167" t="inlineStr">
        <is>
          <t>Nhân viên</t>
        </is>
      </c>
      <c r="H3167" t="inlineStr">
        <is>
          <t>25/02/2026</t>
        </is>
      </c>
      <c r="I3167" t="inlineStr">
        <is>
          <t>27/03/2026</t>
        </is>
      </c>
      <c r="J3167" t="inlineStr">
        <is>
          <t>17/03/2026</t>
        </is>
      </c>
      <c r="K3167" t="inlineStr">
        <is>
          <t>N/A</t>
        </is>
      </c>
      <c r="L3167" t="inlineStr">
        <is>
          <t>Accounting, Accounts Payable, English, Tax Regulation, Vietnamese Accounting System</t>
        </is>
      </c>
      <c r="M3167" t="inlineStr">
        <is>
          <t>Bonus, Healthcare Plan, Training</t>
        </is>
      </c>
      <c r="N3167" s="8">
        <f>HYPERLINK("https://www.vietnamworks.com/accounts-payable-accountant-hanoi-2013908-jv","Xem chi tiết")</f>
        <v/>
      </c>
    </row>
    <row r="3168">
      <c r="B3168" s="9" t="n">
        <v>3166</v>
      </c>
      <c r="C3168" s="10" t="inlineStr">
        <is>
          <t>Property, Facilities &amp; Asset Security Executive</t>
        </is>
      </c>
      <c r="D3168" s="10" t="inlineStr">
        <is>
          <t>Bosch Global Software Technologies Company Limited</t>
        </is>
      </c>
      <c r="E3168" s="10" t="inlineStr">
        <is>
          <t>Thương lượng</t>
        </is>
      </c>
      <c r="F3168" s="10" t="inlineStr">
        <is>
          <t>Hồ Chí Minh</t>
        </is>
      </c>
      <c r="G3168" s="10" t="inlineStr">
        <is>
          <t>Nhân viên</t>
        </is>
      </c>
      <c r="H3168" s="10" t="inlineStr">
        <is>
          <t>25/02/2026</t>
        </is>
      </c>
      <c r="I3168" s="10" t="inlineStr">
        <is>
          <t>27/03/2026</t>
        </is>
      </c>
      <c r="J3168" s="10" t="inlineStr">
        <is>
          <t>17/03/2026</t>
        </is>
      </c>
      <c r="K3168" s="10" t="inlineStr">
        <is>
          <t>N/A</t>
        </is>
      </c>
      <c r="L3168" s="10" t="inlineStr">
        <is>
          <t>Access Control System, CCTV System Design, Physical Security, Security, Security Investigation</t>
        </is>
      </c>
      <c r="M3168" s="10" t="inlineStr">
        <is>
          <t>Bonus, Healthcare Plan, Paid Leave, Training, Team Activities, Others</t>
        </is>
      </c>
      <c r="N3168" s="11">
        <f>HYPERLINK("https://www.vietnamworks.com/property-facilities-and-asset-security-executive-2013924-jv","Xem chi tiết")</f>
        <v/>
      </c>
      <c r="O3168" s="10" t="n"/>
    </row>
    <row r="3169">
      <c r="B3169" s="7" t="n">
        <v>3167</v>
      </c>
      <c r="C3169" t="inlineStr">
        <is>
          <t>Chuyên Viên Sale Thiết Bị Y Tế (Thu Nhập Không Giới Hạn - Nghỉ Thứ 7, Chủ Nhật)</t>
        </is>
      </c>
      <c r="D3169" t="inlineStr">
        <is>
          <t>Công Ty TNHH Thiết Bị Y Tế Phương Đông</t>
        </is>
      </c>
      <c r="E3169" t="inlineStr">
        <is>
          <t>Thương lượng</t>
        </is>
      </c>
      <c r="F3169" t="inlineStr">
        <is>
          <t>Hà Nội</t>
        </is>
      </c>
      <c r="G3169" t="inlineStr">
        <is>
          <t>Nhân viên</t>
        </is>
      </c>
      <c r="H3169" t="inlineStr">
        <is>
          <t>25/02/2026</t>
        </is>
      </c>
      <c r="I3169" t="inlineStr">
        <is>
          <t>27/03/2026</t>
        </is>
      </c>
      <c r="J3169" t="inlineStr">
        <is>
          <t>17/03/2026</t>
        </is>
      </c>
      <c r="K3169" t="inlineStr">
        <is>
          <t>N/A</t>
        </is>
      </c>
      <c r="L3169" t="inlineStr">
        <is>
          <t>Quản Lý Sản Phẩm, Nghiên Cứu Thị Trường, Tìm Kiếm Khách Hàng, Thiết Bị Y Tế, B2B Sales</t>
        </is>
      </c>
      <c r="M3169" t="inlineStr">
        <is>
          <t>Paid Leave, Training, Library</t>
        </is>
      </c>
      <c r="N3169" s="8">
        <f>HYPERLINK("https://www.vietnamworks.com/chuyen-vien-sale-thiet-bi-y-te-thu-nhap-khong-gioi-han-nghi-thu-7-chu-nhat--2013907-jv","Xem chi tiết")</f>
        <v/>
      </c>
    </row>
    <row r="3170">
      <c r="B3170" s="9" t="n">
        <v>3168</v>
      </c>
      <c r="C3170" s="10" t="inlineStr">
        <is>
          <t>Senior Auditor (Kiểm Toán Viên Cao Cấp)</t>
        </is>
      </c>
      <c r="D3170" s="10" t="inlineStr">
        <is>
          <t>Công Ty TNHH Tư Vấn Phạm &amp; Các Cộng Sự</t>
        </is>
      </c>
      <c r="E3170" s="10" t="inlineStr">
        <is>
          <t>15tr-25tr ₫/tháng</t>
        </is>
      </c>
      <c r="F3170" s="10" t="inlineStr">
        <is>
          <t>Hồ Chí Minh</t>
        </is>
      </c>
      <c r="G3170" s="10" t="inlineStr">
        <is>
          <t>Nhân viên</t>
        </is>
      </c>
      <c r="H3170" s="10" t="inlineStr">
        <is>
          <t>25/02/2026</t>
        </is>
      </c>
      <c r="I3170" s="10" t="inlineStr">
        <is>
          <t>27/03/2026</t>
        </is>
      </c>
      <c r="J3170" s="10" t="inlineStr">
        <is>
          <t>17/03/2026</t>
        </is>
      </c>
      <c r="K3170" s="10" t="inlineStr">
        <is>
          <t>N/A</t>
        </is>
      </c>
      <c r="L3170" s="10" t="inlineStr">
        <is>
          <t>Auditing, Accounting, Tax Consulting, CPA, Kiểm toán</t>
        </is>
      </c>
      <c r="M3170" s="10" t="inlineStr">
        <is>
          <t>Bonus, Healthcare Plan, Paid Leave, Training, Team Activities, Others</t>
        </is>
      </c>
      <c r="N3170" s="11">
        <f>HYPERLINK("https://www.vietnamworks.com/senior-auditor-kiem-toan-vien-cao-cap-2013897-jv","Xem chi tiết")</f>
        <v/>
      </c>
      <c r="O3170" s="10" t="n"/>
    </row>
    <row r="3171">
      <c r="B3171" s="7" t="n">
        <v>3169</v>
      </c>
      <c r="C3171" t="inlineStr">
        <is>
          <t>Quản Lý Bán Hàng Ngành Dược - Thực Phẩm Chức Năng (Thu Nhập Lên Đến 30 Triệu)</t>
        </is>
      </c>
      <c r="D3171" t="inlineStr">
        <is>
          <t>Công Ty TNHH Quốc Tế Alexan Phar</t>
        </is>
      </c>
      <c r="E3171" t="inlineStr">
        <is>
          <t>18tr-30tr ₫/tháng</t>
        </is>
      </c>
      <c r="F3171" t="inlineStr">
        <is>
          <t>Hà Nội, Hưng Yên, Bắc Giang</t>
        </is>
      </c>
      <c r="G3171" t="inlineStr">
        <is>
          <t>Nhân viên</t>
        </is>
      </c>
      <c r="H3171" t="inlineStr">
        <is>
          <t>25/02/2026</t>
        </is>
      </c>
      <c r="I3171" t="inlineStr">
        <is>
          <t>27/03/2026</t>
        </is>
      </c>
      <c r="J3171" t="inlineStr">
        <is>
          <t>17/03/2026</t>
        </is>
      </c>
      <c r="K3171" t="inlineStr">
        <is>
          <t>N/A</t>
        </is>
      </c>
      <c r="L3171" t="inlineStr">
        <is>
          <t>Y Dược, FMCG, Mỹ Phẩm, Thực Phẩm Chức Năng, Bán hàng</t>
        </is>
      </c>
      <c r="M3171" t="inlineStr">
        <is>
          <t>Bonus, Healthcare Plan, Awards</t>
        </is>
      </c>
      <c r="N3171" s="8">
        <f>HYPERLINK("https://www.vietnamworks.com/quan-ly-ban-hang-nganh-duoc-thuc-pham-chuc-nang-thu-nhap-len-den-30-trieu--2013915-jv","Xem chi tiết")</f>
        <v/>
      </c>
    </row>
    <row r="3172">
      <c r="B3172" s="9" t="n">
        <v>3170</v>
      </c>
      <c r="C3172" s="10" t="inlineStr">
        <is>
          <t>Chuyên Viên IT</t>
        </is>
      </c>
      <c r="D3172" s="10" t="inlineStr">
        <is>
          <t>CÔNG TY CỔ PHẦN TẬP ĐOÀN BMK</t>
        </is>
      </c>
      <c r="E3172" s="10" t="inlineStr">
        <is>
          <t>$$ 15tr-20tr /tháng</t>
        </is>
      </c>
      <c r="F3172" s="10" t="inlineStr">
        <is>
          <t>Hà Nội</t>
        </is>
      </c>
      <c r="G3172" s="10" t="inlineStr">
        <is>
          <t>Nhân viên</t>
        </is>
      </c>
      <c r="H3172" s="10" t="inlineStr">
        <is>
          <t>25/02/2026</t>
        </is>
      </c>
      <c r="I3172" s="10" t="inlineStr">
        <is>
          <t>27/03/2026</t>
        </is>
      </c>
      <c r="J3172" s="10" t="inlineStr">
        <is>
          <t>17/03/2026</t>
        </is>
      </c>
      <c r="K3172" s="10" t="inlineStr">
        <is>
          <t>N/A</t>
        </is>
      </c>
      <c r="L3172" s="10" t="inlineStr">
        <is>
          <t>Quản Trị Hệ Thống, Hỗ Trợ Kỹ Thuật, Bảo Mật Dữ Liệu, Quản Lý Phần Mềm, Quản Lý Hồ Sơ</t>
        </is>
      </c>
      <c r="M3172" s="10" t="inlineStr">
        <is>
          <t>Bonus, Healthcare Plan, Travel Opportunities, Team Activities, Others</t>
        </is>
      </c>
      <c r="N3172" s="11">
        <f>HYPERLINK("https://www.vietnamworks.com/chuyen-vien-it-2013917-jv","Xem chi tiết")</f>
        <v/>
      </c>
      <c r="O3172" s="10" t="n"/>
    </row>
    <row r="3173">
      <c r="B3173" s="7" t="n">
        <v>3171</v>
      </c>
      <c r="C3173" t="inlineStr">
        <is>
          <t>Chuyên Viên Xuất Nhập Khẩu</t>
        </is>
      </c>
      <c r="D3173" t="inlineStr">
        <is>
          <t>CÔNG TY CỔ PHẦN NAFTA</t>
        </is>
      </c>
      <c r="E3173" t="inlineStr">
        <is>
          <t>Thương lượng</t>
        </is>
      </c>
      <c r="F3173" t="inlineStr">
        <is>
          <t>Hà Nội, Đà Nẵng</t>
        </is>
      </c>
      <c r="G3173" t="inlineStr">
        <is>
          <t>Nhân viên</t>
        </is>
      </c>
      <c r="H3173" t="inlineStr">
        <is>
          <t>25/02/2026</t>
        </is>
      </c>
      <c r="I3173" t="inlineStr">
        <is>
          <t>27/03/2026</t>
        </is>
      </c>
      <c r="J3173" t="inlineStr">
        <is>
          <t>17/03/2026</t>
        </is>
      </c>
      <c r="K3173" t="inlineStr">
        <is>
          <t>N/A</t>
        </is>
      </c>
      <c r="L3173" t="inlineStr">
        <is>
          <t>Import Export, Freight Forwarding, Supply Chain, FMCG, Logistics</t>
        </is>
      </c>
      <c r="M3173" t="inlineStr">
        <is>
          <t>Bonus, Healthcare Plan, Others</t>
        </is>
      </c>
      <c r="N3173" s="8">
        <f>HYPERLINK("https://www.vietnamworks.com/chuyen-vien-xuat-nhap-khau-2013930-jv","Xem chi tiết")</f>
        <v/>
      </c>
    </row>
    <row r="3174">
      <c r="B3174" s="9" t="n">
        <v>3172</v>
      </c>
      <c r="C3174" s="10" t="inlineStr">
        <is>
          <t>Sales Executive</t>
        </is>
      </c>
      <c r="D3174" s="10" t="inlineStr">
        <is>
          <t>CLP Industries (Vietnam) Company Limited</t>
        </is>
      </c>
      <c r="E3174" s="10" t="inlineStr">
        <is>
          <t>Thương lượng</t>
        </is>
      </c>
      <c r="F3174" s="10" t="inlineStr">
        <is>
          <t>Hồ Chí Minh</t>
        </is>
      </c>
      <c r="G3174" s="10" t="inlineStr">
        <is>
          <t>Nhân viên</t>
        </is>
      </c>
      <c r="H3174" s="10" t="inlineStr">
        <is>
          <t>25/02/2026</t>
        </is>
      </c>
      <c r="I3174" s="10" t="inlineStr">
        <is>
          <t>27/03/2026</t>
        </is>
      </c>
      <c r="J3174" s="10" t="inlineStr">
        <is>
          <t>17/03/2026</t>
        </is>
      </c>
      <c r="K3174" s="10" t="inlineStr">
        <is>
          <t>N/A</t>
        </is>
      </c>
      <c r="L3174" s="10" t="inlineStr">
        <is>
          <t>Marketing Development, Chemical Product, Sales Development, Chemical Sales, Sales Kỹ Thuật</t>
        </is>
      </c>
      <c r="M3174" s="10" t="inlineStr">
        <is>
          <t>Bonus, Healthcare Plan, Paid Leave</t>
        </is>
      </c>
      <c r="N3174" s="11">
        <f>HYPERLINK("https://www.vietnamworks.com/sales-executive-2210--2013928-jv","Xem chi tiết")</f>
        <v/>
      </c>
      <c r="O3174" s="10" t="n"/>
    </row>
    <row r="3175">
      <c r="B3175" s="7" t="n">
        <v>3173</v>
      </c>
      <c r="C3175" t="inlineStr">
        <is>
          <t>Senior Marketing Leader</t>
        </is>
      </c>
      <c r="D3175" t="inlineStr">
        <is>
          <t>Công Ty TNHH Delta Electronics (Việt Nam)</t>
        </is>
      </c>
      <c r="E3175" t="inlineStr">
        <is>
          <t>30tr-50tr ₫/tháng</t>
        </is>
      </c>
      <c r="F3175" t="inlineStr">
        <is>
          <t>Hà Nội</t>
        </is>
      </c>
      <c r="G3175" t="inlineStr">
        <is>
          <t>Nhân viên</t>
        </is>
      </c>
      <c r="H3175" t="inlineStr">
        <is>
          <t>25/02/2026</t>
        </is>
      </c>
      <c r="I3175" t="inlineStr">
        <is>
          <t>27/03/2026</t>
        </is>
      </c>
      <c r="J3175" t="inlineStr">
        <is>
          <t>17/03/2026</t>
        </is>
      </c>
      <c r="K3175" t="inlineStr">
        <is>
          <t>N/A</t>
        </is>
      </c>
      <c r="L3175" t="inlineStr">
        <is>
          <t>Event Organizing, Digital Marketing, Market Research</t>
        </is>
      </c>
      <c r="M3175" t="inlineStr">
        <is>
          <t>Bonus</t>
        </is>
      </c>
      <c r="N3175" s="8">
        <f>HYPERLINK("https://www.vietnamworks.com/senior-marketing-leader-2013927-jv","Xem chi tiết")</f>
        <v/>
      </c>
    </row>
    <row r="3176">
      <c r="B3176" s="9" t="n">
        <v>3174</v>
      </c>
      <c r="C3176" s="10" t="inlineStr">
        <is>
          <t>Contracts Manager – Hanoi Office (Full Time)</t>
        </is>
      </c>
      <c r="D3176" s="10" t="inlineStr">
        <is>
          <t>Moonholidaythais</t>
        </is>
      </c>
      <c r="E3176" s="10" t="inlineStr">
        <is>
          <t>25tr-40tr ₫/tháng</t>
        </is>
      </c>
      <c r="F3176" s="10" t="inlineStr">
        <is>
          <t>Hà Nội</t>
        </is>
      </c>
      <c r="G3176" s="10" t="inlineStr">
        <is>
          <t>Nhân viên</t>
        </is>
      </c>
      <c r="H3176" s="10" t="inlineStr">
        <is>
          <t>25/02/2026</t>
        </is>
      </c>
      <c r="I3176" s="10" t="inlineStr">
        <is>
          <t>27/03/2026</t>
        </is>
      </c>
      <c r="J3176" s="10" t="inlineStr">
        <is>
          <t>17/03/2026</t>
        </is>
      </c>
      <c r="K3176" s="10" t="inlineStr">
        <is>
          <t>N/A</t>
        </is>
      </c>
      <c r="L3176" s="10" t="inlineStr">
        <is>
          <t>Quản Lý Hợp Đồng, Giao Tiếp Tiếng Anh, Kỹ năng đàm phán, Du Lịch Khách Sạn, Kiểm Tra Đối Soát</t>
        </is>
      </c>
      <c r="M3176" s="10" t="inlineStr">
        <is>
          <t>Healthcare Plan</t>
        </is>
      </c>
      <c r="N3176" s="11">
        <f>HYPERLINK("https://www.vietnamworks.com/contracts-manager-hanoi-office-full-time-2013946-jv","Xem chi tiết")</f>
        <v/>
      </c>
      <c r="O3176" s="10" t="n"/>
    </row>
    <row r="3177">
      <c r="B3177" s="7" t="n">
        <v>3175</v>
      </c>
      <c r="C3177" t="inlineStr">
        <is>
          <t>D&amp;T Strategy, Portfolio &amp; Change Lead - HC Greater Asia</t>
        </is>
      </c>
      <c r="D3177" t="inlineStr">
        <is>
          <t>Unilever Vietnam</t>
        </is>
      </c>
      <c r="E3177" t="inlineStr">
        <is>
          <t>Thương lượng</t>
        </is>
      </c>
      <c r="F3177" t="inlineStr">
        <is>
          <t>Hồ Chí Minh</t>
        </is>
      </c>
      <c r="G3177" t="inlineStr">
        <is>
          <t>Trưởng phòng</t>
        </is>
      </c>
      <c r="H3177" t="inlineStr">
        <is>
          <t>25/02/2026</t>
        </is>
      </c>
      <c r="I3177" t="inlineStr">
        <is>
          <t>27/03/2026</t>
        </is>
      </c>
      <c r="J3177" t="inlineStr">
        <is>
          <t>17/03/2026</t>
        </is>
      </c>
      <c r="K3177" t="inlineStr">
        <is>
          <t>N/A</t>
        </is>
      </c>
      <c r="L3177" t="inlineStr">
        <is>
          <t>Change Management, communication, Leadership, Portfolio Management, Strategic Thinking</t>
        </is>
      </c>
      <c r="M3177" t="inlineStr">
        <is>
          <t>Bonus</t>
        </is>
      </c>
      <c r="N3177" s="8">
        <f>HYPERLINK("https://www.vietnamworks.com/dandt-strategy-portfolio-and-change-lead-hc-greater-asia-2013931-jv","Xem chi tiết")</f>
        <v/>
      </c>
    </row>
    <row r="3178">
      <c r="B3178" s="9" t="n">
        <v>3176</v>
      </c>
      <c r="C3178" s="10" t="inlineStr">
        <is>
          <t>Trưởng Nhóm Tư Vấn Tuyển Sinh Du Học ( Thu Nhập Từ 30 – 100Tr)</t>
        </is>
      </c>
      <c r="D3178" s="10" t="inlineStr">
        <is>
          <t>Cty TNHH Hợp Tác Quốc Tế Và Đào Tạo Eduline</t>
        </is>
      </c>
      <c r="E3178" s="10" t="inlineStr">
        <is>
          <t>15tr-30tr ₫/tháng</t>
        </is>
      </c>
      <c r="F3178" s="10" t="inlineStr">
        <is>
          <t>Hà Nội, Hồ Chí Minh</t>
        </is>
      </c>
      <c r="G3178" s="10" t="inlineStr">
        <is>
          <t>Nhân viên</t>
        </is>
      </c>
      <c r="H3178" s="10" t="inlineStr">
        <is>
          <t>25/02/2026</t>
        </is>
      </c>
      <c r="I3178" s="10" t="inlineStr">
        <is>
          <t>27/03/2026</t>
        </is>
      </c>
      <c r="J3178" s="10" t="inlineStr">
        <is>
          <t>17/03/2026</t>
        </is>
      </c>
      <c r="K3178" s="10" t="inlineStr">
        <is>
          <t>N/A</t>
        </is>
      </c>
      <c r="L3178" s="10" t="inlineStr">
        <is>
          <t>Tư Vấn Du Học, Tư Vấn Giáo Dục, Tiếng Anh, Kinh Doanh, Educational Planning</t>
        </is>
      </c>
      <c r="M3178" s="10" t="inlineStr">
        <is>
          <t>Bonus, Healthcare Plan, Awards, Travel Opportunities, Others</t>
        </is>
      </c>
      <c r="N3178" s="11">
        <f>HYPERLINK("https://www.vietnamworks.com/truong-nhom-tu-van-tuyen-sinh-du-hoc-thu-nhap-tu-30-100tr-2013940-jv","Xem chi tiết")</f>
        <v/>
      </c>
      <c r="O3178" s="10" t="n"/>
    </row>
    <row r="3179">
      <c r="B3179" s="7" t="n">
        <v>3177</v>
      </c>
      <c r="C3179" t="inlineStr">
        <is>
          <t>Business Intelligence Analyst</t>
        </is>
      </c>
      <c r="D3179" t="inlineStr">
        <is>
          <t>Galaxy Digital Holdings Co., Ltd (GH)</t>
        </is>
      </c>
      <c r="E3179" t="inlineStr">
        <is>
          <t>Thương lượng</t>
        </is>
      </c>
      <c r="F3179" t="inlineStr">
        <is>
          <t>Hồ Chí Minh</t>
        </is>
      </c>
      <c r="G3179" t="inlineStr">
        <is>
          <t>Nhân viên</t>
        </is>
      </c>
      <c r="H3179" t="inlineStr">
        <is>
          <t>25/02/2026</t>
        </is>
      </c>
      <c r="I3179" t="inlineStr">
        <is>
          <t>27/03/2026</t>
        </is>
      </c>
      <c r="J3179" t="inlineStr">
        <is>
          <t>17/03/2026</t>
        </is>
      </c>
      <c r="K3179" t="inlineStr">
        <is>
          <t>N/A</t>
        </is>
      </c>
      <c r="L3179" t="inlineStr">
        <is>
          <t>Business Intelligence, Business Analysis, communication, SQL, Power BI</t>
        </is>
      </c>
      <c r="M3179" t="inlineStr">
        <is>
          <t>Bonus, Healthcare Plan, Paid Leave</t>
        </is>
      </c>
      <c r="N3179" s="8">
        <f>HYPERLINK("https://www.vietnamworks.com/business-intelligence-analyst--2013933-jv","Xem chi tiết")</f>
        <v/>
      </c>
    </row>
    <row r="3180">
      <c r="B3180" s="9" t="n">
        <v>3178</v>
      </c>
      <c r="C3180" s="10" t="inlineStr">
        <is>
          <t>Kĩ Sư Phòng Kỹ Thuật Sản Xuất (Up to 15 Millions)</t>
        </is>
      </c>
      <c r="D3180" s="10" t="inlineStr">
        <is>
          <t>Công Ty TNHH Khuôn Đúc Tsukuba Việt Nam</t>
        </is>
      </c>
      <c r="E3180" s="10" t="inlineStr">
        <is>
          <t>$$ 500-700 /tháng</t>
        </is>
      </c>
      <c r="F3180" s="10" t="inlineStr">
        <is>
          <t>Hà Nội, Hưng Yên</t>
        </is>
      </c>
      <c r="G3180" s="10" t="inlineStr">
        <is>
          <t>Nhân viên</t>
        </is>
      </c>
      <c r="H3180" s="10" t="inlineStr">
        <is>
          <t>25/02/2026</t>
        </is>
      </c>
      <c r="I3180" s="10" t="inlineStr">
        <is>
          <t>27/03/2026</t>
        </is>
      </c>
      <c r="J3180" s="10" t="inlineStr">
        <is>
          <t>17/03/2026</t>
        </is>
      </c>
      <c r="K3180" s="10" t="inlineStr">
        <is>
          <t>N/A</t>
        </is>
      </c>
      <c r="L3180" s="10" t="inlineStr">
        <is>
          <t>Cơ Khí, Kỹ Thuật Cơ Khí, Kỹ Thuật Sản Xuất, AutoCAD, SolidWorks</t>
        </is>
      </c>
      <c r="M3180" s="10" t="inlineStr">
        <is>
          <t>Bonus, Healthcare Plan, Others</t>
        </is>
      </c>
      <c r="N3180" s="11">
        <f>HYPERLINK("https://www.vietnamworks.com/ki-su-phong-ky-thuat-san-xuat-up-to-15-millions--2013955-jv","Xem chi tiết")</f>
        <v/>
      </c>
      <c r="O3180" s="10" t="n"/>
    </row>
    <row r="3181">
      <c r="B3181" s="7" t="n">
        <v>3179</v>
      </c>
      <c r="C3181" t="inlineStr">
        <is>
          <t>Nhân Viên Kinh Doanh</t>
        </is>
      </c>
      <c r="D3181" t="inlineStr">
        <is>
          <t>CÔNG TY TNHH KẾ TOÁN, KIỂM TOÁN - ĐẠI LÝ THUẾ TÂN PHÚ QUÝ</t>
        </is>
      </c>
      <c r="E3181" t="inlineStr">
        <is>
          <t>Thương lượng</t>
        </is>
      </c>
      <c r="F3181" t="inlineStr">
        <is>
          <t>Hải Phòng, Quảng Ninh</t>
        </is>
      </c>
      <c r="G3181" t="inlineStr">
        <is>
          <t>Nhân viên</t>
        </is>
      </c>
      <c r="H3181" t="inlineStr">
        <is>
          <t>25/02/2026</t>
        </is>
      </c>
      <c r="I3181" t="inlineStr">
        <is>
          <t>27/03/2026</t>
        </is>
      </c>
      <c r="J3181" t="inlineStr">
        <is>
          <t>17/03/2026</t>
        </is>
      </c>
      <c r="K3181" t="inlineStr">
        <is>
          <t>N/A</t>
        </is>
      </c>
      <c r="L3181" t="inlineStr">
        <is>
          <t>Tìm Kiếm Khách Hàng, Kinh Doanh, Chăm Sóc Khách Hàng, Giao Tiếp Đàm Phán, Bán Hàng</t>
        </is>
      </c>
      <c r="M3181" t="inlineStr">
        <is>
          <t>Healthcare Plan, Training, Team Activities</t>
        </is>
      </c>
      <c r="N3181" s="8">
        <f>HYPERLINK("https://www.vietnamworks.com/nhan-vien-kinh-doanh--2013960-jv","Xem chi tiết")</f>
        <v/>
      </c>
    </row>
    <row r="3182">
      <c r="B3182" s="9" t="n">
        <v>3180</v>
      </c>
      <c r="C3182" s="10" t="inlineStr">
        <is>
          <t>[Yên Phong, Bắc Ninh] Trợ Lý Quản Đốc Xưởng Khuôn (25-30 Triệu)</t>
        </is>
      </c>
      <c r="D3182" s="10" t="inlineStr">
        <is>
          <t>Công Ty Cổ Phần Công Nghiệp KIMSEN</t>
        </is>
      </c>
      <c r="E3182" s="10" t="inlineStr">
        <is>
          <t>25tr-30tr ₫/tháng</t>
        </is>
      </c>
      <c r="F3182" s="10" t="inlineStr">
        <is>
          <t>Bắc Ninh</t>
        </is>
      </c>
      <c r="G3182" s="10" t="inlineStr">
        <is>
          <t>Trưởng phòng</t>
        </is>
      </c>
      <c r="H3182" s="10" t="inlineStr">
        <is>
          <t>25/02/2026</t>
        </is>
      </c>
      <c r="I3182" s="10" t="inlineStr">
        <is>
          <t>27/03/2026</t>
        </is>
      </c>
      <c r="J3182" s="10" t="inlineStr">
        <is>
          <t>17/03/2026</t>
        </is>
      </c>
      <c r="K3182" s="10" t="inlineStr">
        <is>
          <t>N/A</t>
        </is>
      </c>
      <c r="L3182" s="10" t="inlineStr">
        <is>
          <t>Giám Sát Sản Xuất, Cơ Khí, Chế Tạo Máy, CNC, Sản Xuất Khuôn Đúc</t>
        </is>
      </c>
      <c r="M3182" s="10" t="inlineStr">
        <is>
          <t>Bonus, Healthcare Plan, Paid Leave, Training, Team Activities, Others</t>
        </is>
      </c>
      <c r="N3182" s="11">
        <f>HYPERLINK("https://www.vietnamworks.com/yen-phong-bac-ninh-tro-ly-quan-djoc-xuong-khuon-25-30-trieu-2013949-jv","Xem chi tiết")</f>
        <v/>
      </c>
      <c r="O3182" s="10" t="n"/>
    </row>
    <row r="3183">
      <c r="B3183" s="7" t="n">
        <v>3181</v>
      </c>
      <c r="C3183" t="inlineStr">
        <is>
          <t>Giám Đốc Ban Quản Lý Dự Án Lương 35Tr++/ Tháng</t>
        </is>
      </c>
      <c r="D3183" t="inlineStr">
        <is>
          <t>CÔNG TY CỔ PHẦN BẮC THĂNG LONG THÀNH ĐỒNG</t>
        </is>
      </c>
      <c r="E3183" t="inlineStr">
        <is>
          <t>Thương lượng</t>
        </is>
      </c>
      <c r="F3183" t="inlineStr">
        <is>
          <t>Hà Nội</t>
        </is>
      </c>
      <c r="G3183" t="inlineStr">
        <is>
          <t>Giám Đốc và Cấp Cao Hơn</t>
        </is>
      </c>
      <c r="H3183" t="inlineStr">
        <is>
          <t>25/02/2026</t>
        </is>
      </c>
      <c r="I3183" t="inlineStr">
        <is>
          <t>27/03/2026</t>
        </is>
      </c>
      <c r="J3183" t="inlineStr">
        <is>
          <t>17/03/2026</t>
        </is>
      </c>
      <c r="K3183" t="inlineStr">
        <is>
          <t>N/A</t>
        </is>
      </c>
      <c r="L3183" t="inlineStr">
        <is>
          <t>Quản Lý Dự Án, Quản Lý Đội Ngũ, Luật Xây Dựng, Autocad, Soạn Thảo Hồ Sơ</t>
        </is>
      </c>
      <c r="M3183" t="inlineStr">
        <is>
          <t>Bonus, Travel Opportunities</t>
        </is>
      </c>
      <c r="N3183" s="8">
        <f>HYPERLINK("https://www.vietnamworks.com/giam-doc-ban-quan-ly-du-an-luong-35tr-thang--2013947-jv","Xem chi tiết")</f>
        <v/>
      </c>
    </row>
    <row r="3184">
      <c r="B3184" s="9" t="n">
        <v>3182</v>
      </c>
      <c r="C3184" s="10" t="inlineStr">
        <is>
          <t>Social Media Officer</t>
        </is>
      </c>
      <c r="D3184" s="10" t="inlineStr">
        <is>
          <t>VGU - Vietnamese German University</t>
        </is>
      </c>
      <c r="E3184" s="10" t="inlineStr">
        <is>
          <t>$$ 700-1,000 /tháng</t>
        </is>
      </c>
      <c r="F3184" s="10" t="inlineStr">
        <is>
          <t>Bình Dương, Hồ Chí Minh</t>
        </is>
      </c>
      <c r="G3184" s="10" t="inlineStr">
        <is>
          <t>Nhân viên</t>
        </is>
      </c>
      <c r="H3184" s="10" t="inlineStr">
        <is>
          <t>25/02/2026</t>
        </is>
      </c>
      <c r="I3184" s="10" t="inlineStr">
        <is>
          <t>27/03/2026</t>
        </is>
      </c>
      <c r="J3184" s="10" t="inlineStr">
        <is>
          <t>17/03/2026</t>
        </is>
      </c>
      <c r="K3184" s="10" t="inlineStr">
        <is>
          <t>N/A</t>
        </is>
      </c>
      <c r="L3184" s="10" t="inlineStr">
        <is>
          <t>Digital Media, Public Relations, Communications, Journalism, Social Media Communication</t>
        </is>
      </c>
      <c r="M3184" s="10" t="inlineStr">
        <is>
          <t>Bonus, Laptop, Transportation</t>
        </is>
      </c>
      <c r="N3184" s="11">
        <f>HYPERLINK("https://www.vietnamworks.com/social-media-officer--2013951-jv","Xem chi tiết")</f>
        <v/>
      </c>
      <c r="O3184" s="10" t="n"/>
    </row>
    <row r="3185">
      <c r="B3185" s="7" t="n">
        <v>3183</v>
      </c>
      <c r="C3185" t="inlineStr">
        <is>
          <t>Oracle Database Administrator</t>
        </is>
      </c>
      <c r="D3185" t="inlineStr">
        <is>
          <t>Unigen Vietnam Hanoi Co.Ltd</t>
        </is>
      </c>
      <c r="E3185" t="inlineStr">
        <is>
          <t>Thương lượng</t>
        </is>
      </c>
      <c r="F3185" t="inlineStr">
        <is>
          <t>Bắc Ninh, Bắc Giang, Hà Nội</t>
        </is>
      </c>
      <c r="G3185" t="inlineStr">
        <is>
          <t>Nhân viên</t>
        </is>
      </c>
      <c r="H3185" t="inlineStr">
        <is>
          <t>25/02/2026</t>
        </is>
      </c>
      <c r="I3185" t="inlineStr">
        <is>
          <t>27/03/2026</t>
        </is>
      </c>
      <c r="J3185" t="inlineStr">
        <is>
          <t>17/03/2026</t>
        </is>
      </c>
      <c r="K3185" t="inlineStr">
        <is>
          <t>N/A</t>
        </is>
      </c>
      <c r="L3185" t="inlineStr">
        <is>
          <t>SQL, PLSQL, Supply Chain Management, ERP, Inventory Management</t>
        </is>
      </c>
      <c r="M3185" t="inlineStr">
        <is>
          <t>Bonus, Healthcare Plan, Paid Leave</t>
        </is>
      </c>
      <c r="N3185" s="8">
        <f>HYPERLINK("https://www.vietnamworks.com/oracle-database-administrator--2013932-jv","Xem chi tiết")</f>
        <v/>
      </c>
    </row>
    <row r="3186">
      <c r="B3186" s="9" t="n">
        <v>3184</v>
      </c>
      <c r="C3186" s="10" t="inlineStr">
        <is>
          <t>Chuyên Viên Pháp Chế, Thanh Tra</t>
        </is>
      </c>
      <c r="D3186" s="10" t="inlineStr">
        <is>
          <t>Tổng Công Ty Phát Điện 3 - EVNGENCO3</t>
        </is>
      </c>
      <c r="E3186" s="10" t="inlineStr">
        <is>
          <t>Thương lượng</t>
        </is>
      </c>
      <c r="F3186" s="10" t="inlineStr">
        <is>
          <t>Hồ Chí Minh</t>
        </is>
      </c>
      <c r="G3186" s="10" t="inlineStr">
        <is>
          <t>Nhân viên</t>
        </is>
      </c>
      <c r="H3186" s="10" t="inlineStr">
        <is>
          <t>25/02/2026</t>
        </is>
      </c>
      <c r="I3186" s="10" t="inlineStr">
        <is>
          <t>27/03/2026</t>
        </is>
      </c>
      <c r="J3186" s="10" t="inlineStr">
        <is>
          <t>17/03/2026</t>
        </is>
      </c>
      <c r="K3186" s="10" t="inlineStr">
        <is>
          <t>N/A</t>
        </is>
      </c>
      <c r="L3186" s="10" t="inlineStr">
        <is>
          <t>Giao Tiếp, Luật Doanh Nghiệp, Pháp Lý, Soạn Thảo Hợp Đồng, Tư Vấn Pháp Luật</t>
        </is>
      </c>
      <c r="M3186" s="10" t="inlineStr">
        <is>
          <t>Healthcare Plan, Training, Laptop, Team Activities, Others</t>
        </is>
      </c>
      <c r="N3186" s="11">
        <f>HYPERLINK("https://www.vietnamworks.com/chuyen-vien-phap-che-thanh-tra-2013939-jv","Xem chi tiết")</f>
        <v/>
      </c>
      <c r="O3186" s="10" t="n"/>
    </row>
    <row r="3187">
      <c r="B3187" s="7" t="n">
        <v>3185</v>
      </c>
      <c r="C3187" t="inlineStr">
        <is>
          <t>Trưởng Phòng Thi Công</t>
        </is>
      </c>
      <c r="D3187" t="inlineStr">
        <is>
          <t>ADP - Công ty CP Nội thất cơ bản</t>
        </is>
      </c>
      <c r="E3187" t="inlineStr">
        <is>
          <t>Thương lượng</t>
        </is>
      </c>
      <c r="F3187" t="inlineStr">
        <is>
          <t>Hà Nội</t>
        </is>
      </c>
      <c r="G3187" t="inlineStr">
        <is>
          <t>Trưởng phòng</t>
        </is>
      </c>
      <c r="H3187" t="inlineStr">
        <is>
          <t>25/02/2026</t>
        </is>
      </c>
      <c r="I3187" t="inlineStr">
        <is>
          <t>27/03/2026</t>
        </is>
      </c>
      <c r="J3187" t="inlineStr">
        <is>
          <t>17/03/2026</t>
        </is>
      </c>
      <c r="K3187" t="inlineStr">
        <is>
          <t>N/A</t>
        </is>
      </c>
      <c r="L3187" t="inlineStr">
        <is>
          <t>Chỉ Huy Công Trình, Quản Lý Dự Án, Thi Công Nội Thất, AutoCAD, Nghiệm Thu</t>
        </is>
      </c>
      <c r="M3187" t="inlineStr">
        <is>
          <t>Bonus, Healthcare Plan, Awards</t>
        </is>
      </c>
      <c r="N3187" s="8">
        <f>HYPERLINK("https://www.vietnamworks.com/truong-phong-thi-cong--2013958-jv","Xem chi tiết")</f>
        <v/>
      </c>
    </row>
    <row r="3188">
      <c r="B3188" s="9" t="n">
        <v>3186</v>
      </c>
      <c r="C3188" s="10" t="inlineStr">
        <is>
          <t>Chuyên Gia QLRR Hoạt Động/ Operational Risk Expert</t>
        </is>
      </c>
      <c r="D3188" s="10" t="inlineStr">
        <is>
          <t>Công Ty Tài Chính TNHH Ngân Hàng TMCP Sài Gòn - Hà Nội (SHBFinance)</t>
        </is>
      </c>
      <c r="E3188" s="10" t="inlineStr">
        <is>
          <t>Thương lượng</t>
        </is>
      </c>
      <c r="F3188" s="10" t="inlineStr">
        <is>
          <t>Hồ Chí Minh</t>
        </is>
      </c>
      <c r="G3188" s="10" t="inlineStr">
        <is>
          <t>Nhân viên</t>
        </is>
      </c>
      <c r="H3188" s="10" t="inlineStr">
        <is>
          <t>25/02/2026</t>
        </is>
      </c>
      <c r="I3188" s="10" t="inlineStr">
        <is>
          <t>27/03/2026</t>
        </is>
      </c>
      <c r="J3188" s="10" t="inlineStr">
        <is>
          <t>17/03/2026</t>
        </is>
      </c>
      <c r="K3188" s="10" t="inlineStr">
        <is>
          <t>N/A</t>
        </is>
      </c>
      <c r="L3188" s="10" t="inlineStr">
        <is>
          <t>Kế Toán, Kiểm Toán, Quản Lý Thời Gian, Quản Trị Rủi Ro, Tài Chính</t>
        </is>
      </c>
      <c r="M3188" s="10" t="inlineStr">
        <is>
          <t>Healthcare Plan, Paid Leave, Travel Opportunities, Others</t>
        </is>
      </c>
      <c r="N3188" s="11">
        <f>HYPERLINK("https://www.vietnamworks.com/chuyen-gia-qlrr-hoat-djong-operational-risk-expert-2013954-jv","Xem chi tiết")</f>
        <v/>
      </c>
      <c r="O3188" s="10" t="n"/>
    </row>
    <row r="3189">
      <c r="B3189" s="7" t="n">
        <v>3187</v>
      </c>
      <c r="C3189" t="inlineStr">
        <is>
          <t>Nhân Viên Nhân Sự kiêm Đánh Giá Nhà Máy</t>
        </is>
      </c>
      <c r="D3189" t="inlineStr">
        <is>
          <t>CÔNG TY TNHH ĐỒ CHƠI THÔNG MINH SUN VIGOR VIỆT NAM</t>
        </is>
      </c>
      <c r="E3189" t="inlineStr">
        <is>
          <t>Thương lượng</t>
        </is>
      </c>
      <c r="F3189" t="inlineStr">
        <is>
          <t>Hải Phòng</t>
        </is>
      </c>
      <c r="G3189" t="inlineStr">
        <is>
          <t>Nhân viên</t>
        </is>
      </c>
      <c r="H3189" t="inlineStr">
        <is>
          <t>25/02/2026</t>
        </is>
      </c>
      <c r="I3189" t="inlineStr">
        <is>
          <t>27/03/2026</t>
        </is>
      </c>
      <c r="J3189" t="inlineStr">
        <is>
          <t>17/03/2026</t>
        </is>
      </c>
      <c r="K3189" t="inlineStr">
        <is>
          <t>N/A</t>
        </is>
      </c>
      <c r="L3189" t="inlineStr">
        <is>
          <t>Tiếng Trung, Lập Kế Hoạch Sản Xuất, Compliance Auditing, ISO, Đánh Giá Nhà Máy</t>
        </is>
      </c>
      <c r="M3189" t="inlineStr">
        <is>
          <t>Bonus, Healthcare Plan, Transportation</t>
        </is>
      </c>
      <c r="N3189" s="8">
        <f>HYPERLINK("https://www.vietnamworks.com/nhan-vien-nhan-su-kiem-danh-gia-nha-may-2013956-jv","Xem chi tiết")</f>
        <v/>
      </c>
    </row>
    <row r="3190">
      <c r="B3190" s="9" t="n">
        <v>3188</v>
      </c>
      <c r="C3190" s="10" t="inlineStr">
        <is>
          <t>Import Export Coordinator (Trucking)</t>
        </is>
      </c>
      <c r="D3190" s="10" t="inlineStr">
        <is>
          <t>OOCL Logistics (Vietnam)</t>
        </is>
      </c>
      <c r="E3190" s="10" t="inlineStr">
        <is>
          <t>Thương lượng</t>
        </is>
      </c>
      <c r="F3190" s="10" t="inlineStr">
        <is>
          <t>Hồ Chí Minh</t>
        </is>
      </c>
      <c r="G3190" s="10" t="inlineStr">
        <is>
          <t>Nhân viên</t>
        </is>
      </c>
      <c r="H3190" s="10" t="inlineStr">
        <is>
          <t>25/02/2026</t>
        </is>
      </c>
      <c r="I3190" s="10" t="inlineStr">
        <is>
          <t>27/03/2026</t>
        </is>
      </c>
      <c r="J3190" s="10" t="inlineStr">
        <is>
          <t>17/03/2026</t>
        </is>
      </c>
      <c r="K3190" s="10" t="inlineStr">
        <is>
          <t>N/A</t>
        </is>
      </c>
      <c r="L3190" s="10" t="inlineStr">
        <is>
          <t>CSV, Transporation, Logistics, Trucking, Trucking Management</t>
        </is>
      </c>
      <c r="M3190" s="10" t="inlineStr">
        <is>
          <t>Bonus, Healthcare Plan, Team Activities</t>
        </is>
      </c>
      <c r="N3190" s="11">
        <f>HYPERLINK("https://www.vietnamworks.com/import-export-coordinator-trucking-2013961-jv","Xem chi tiết")</f>
        <v/>
      </c>
      <c r="O3190" s="10" t="n"/>
    </row>
    <row r="3191">
      <c r="B3191" s="7" t="n">
        <v>3189</v>
      </c>
      <c r="C3191" t="inlineStr">
        <is>
          <t>(Mid/Senior) Strategic Planning Executive</t>
        </is>
      </c>
      <c r="D3191" t="inlineStr">
        <is>
          <t>Công Ty TNHH Onpoint</t>
        </is>
      </c>
      <c r="E3191" t="inlineStr">
        <is>
          <t>Thương lượng</t>
        </is>
      </c>
      <c r="F3191" t="inlineStr">
        <is>
          <t>Hồ Chí Minh</t>
        </is>
      </c>
      <c r="G3191" t="inlineStr">
        <is>
          <t>Nhân viên</t>
        </is>
      </c>
      <c r="H3191" t="inlineStr">
        <is>
          <t>25/02/2026</t>
        </is>
      </c>
      <c r="I3191" t="inlineStr">
        <is>
          <t>27/03/2026</t>
        </is>
      </c>
      <c r="J3191" t="inlineStr">
        <is>
          <t>17/03/2026</t>
        </is>
      </c>
      <c r="K3191" t="inlineStr">
        <is>
          <t>N/A</t>
        </is>
      </c>
      <c r="L3191" t="inlineStr">
        <is>
          <t>Market Research, Social Commerce, Project Management, Client Service, Communication Skills</t>
        </is>
      </c>
      <c r="M3191" t="inlineStr">
        <is>
          <t>Bonus, Healthcare Plan, Paid Leave, Laptop, Mobile, Others</t>
        </is>
      </c>
      <c r="N3191" s="8">
        <f>HYPERLINK("https://www.vietnamworks.com/-midsenior-strategic-planning-executive-2013938-jv","Xem chi tiết")</f>
        <v/>
      </c>
    </row>
    <row r="3192">
      <c r="B3192" s="9" t="n">
        <v>3190</v>
      </c>
      <c r="C3192" s="10" t="inlineStr">
        <is>
          <t>Senior, M&amp;A Tax, Deal Advisory</t>
        </is>
      </c>
      <c r="D3192" s="10" t="inlineStr">
        <is>
          <t>KPMG Việt Nam</t>
        </is>
      </c>
      <c r="E3192" s="10" t="inlineStr">
        <is>
          <t>Thương lượng</t>
        </is>
      </c>
      <c r="F3192" s="10" t="inlineStr">
        <is>
          <t>Hồ Chí Minh</t>
        </is>
      </c>
      <c r="G3192" s="10" t="inlineStr">
        <is>
          <t>Nhân viên</t>
        </is>
      </c>
      <c r="H3192" s="10" t="inlineStr">
        <is>
          <t>25/02/2026</t>
        </is>
      </c>
      <c r="I3192" s="10" t="inlineStr">
        <is>
          <t>27/03/2026</t>
        </is>
      </c>
      <c r="J3192" s="10" t="inlineStr">
        <is>
          <t>17/03/2026</t>
        </is>
      </c>
      <c r="K3192" s="10" t="inlineStr">
        <is>
          <t>N/A</t>
        </is>
      </c>
      <c r="L3192" s="10" t="inlineStr">
        <is>
          <t>Communication Skills, Financial Statement, M&amp;A Consulting, Microsoft Office, Tax Management</t>
        </is>
      </c>
      <c r="M3192" s="10" t="inlineStr">
        <is>
          <t>Bonus, Healthcare Plan, Mobile, Travel Opportunities</t>
        </is>
      </c>
      <c r="N3192" s="11">
        <f>HYPERLINK("https://www.vietnamworks.com/senior-manda-tax-deal-advisory-2013950-jv","Xem chi tiết")</f>
        <v/>
      </c>
      <c r="O3192" s="10" t="n"/>
    </row>
    <row r="3193">
      <c r="B3193" s="7" t="n">
        <v>3191</v>
      </c>
      <c r="C3193" t="inlineStr">
        <is>
          <t>Production Engineer</t>
        </is>
      </c>
      <c r="D3193" t="inlineStr">
        <is>
          <t>MODELLEISENBAHN VIET NAM ONE MEMBER LIMITED LIABILITY COMPANY</t>
        </is>
      </c>
      <c r="E3193" t="inlineStr">
        <is>
          <t>Thương lượng</t>
        </is>
      </c>
      <c r="F3193" t="inlineStr">
        <is>
          <t>Bình Dương, Hồ Chí Minh</t>
        </is>
      </c>
      <c r="G3193" t="inlineStr">
        <is>
          <t>Nhân viên</t>
        </is>
      </c>
      <c r="H3193" t="inlineStr">
        <is>
          <t>25/02/2026</t>
        </is>
      </c>
      <c r="I3193" t="inlineStr">
        <is>
          <t>27/03/2026</t>
        </is>
      </c>
      <c r="J3193" t="inlineStr">
        <is>
          <t>17/03/2026</t>
        </is>
      </c>
      <c r="K3193" t="inlineStr">
        <is>
          <t>N/A</t>
        </is>
      </c>
      <c r="L3193" t="inlineStr">
        <is>
          <t>Packaging Design, AutoCAD, 3D Drawing, Mechanical Engineering, Technical Design</t>
        </is>
      </c>
      <c r="M3193" t="inlineStr">
        <is>
          <t>Bonus, Healthcare Plan, Laptop, Canteen, Others</t>
        </is>
      </c>
      <c r="N3193" s="8">
        <f>HYPERLINK("https://www.vietnamworks.com/production-engineer--2013965-jv","Xem chi tiết")</f>
        <v/>
      </c>
    </row>
    <row r="3194">
      <c r="B3194" s="9" t="n">
        <v>3192</v>
      </c>
      <c r="C3194" s="10" t="inlineStr">
        <is>
          <t>Nhân Viên Hành Chính Nhân Sự</t>
        </is>
      </c>
      <c r="D3194" s="10" t="inlineStr">
        <is>
          <t>CÔNG TY TNHH KẾ TOÁN, KIỂM TOÁN - ĐẠI LÝ THUẾ TÂN PHÚ QUÝ</t>
        </is>
      </c>
      <c r="E3194" s="10" t="inlineStr">
        <is>
          <t>Thương lượng</t>
        </is>
      </c>
      <c r="F3194" s="10" t="inlineStr">
        <is>
          <t>Quảng Ninh, Hải Phòng</t>
        </is>
      </c>
      <c r="G3194" s="10" t="inlineStr">
        <is>
          <t>Mới Tốt Nghiệp</t>
        </is>
      </c>
      <c r="H3194" s="10" t="inlineStr">
        <is>
          <t>25/02/2026</t>
        </is>
      </c>
      <c r="I3194" s="10" t="inlineStr">
        <is>
          <t>27/03/2026</t>
        </is>
      </c>
      <c r="J3194" s="10" t="inlineStr">
        <is>
          <t>17/03/2026</t>
        </is>
      </c>
      <c r="K3194" s="10" t="inlineStr">
        <is>
          <t>N/A</t>
        </is>
      </c>
      <c r="L3194" s="10" t="inlineStr">
        <is>
          <t>Hành Chính Nhân Sự, Human Resources, Tin Học Văn Phòng, Luật Lao Động, Bảo Hiểm Xã Hội</t>
        </is>
      </c>
      <c r="M3194" s="10" t="inlineStr">
        <is>
          <t>Healthcare Plan, Training, Team Activities</t>
        </is>
      </c>
      <c r="N3194" s="11">
        <f>HYPERLINK("https://www.vietnamworks.com/nhan-vien-hanh-chinh-nhan-su--2013963-jv","Xem chi tiết")</f>
        <v/>
      </c>
      <c r="O3194" s="10" t="n"/>
    </row>
    <row r="3195">
      <c r="B3195" s="7" t="n">
        <v>3193</v>
      </c>
      <c r="C3195" t="inlineStr">
        <is>
          <t>HSE</t>
        </is>
      </c>
      <c r="D3195" t="inlineStr">
        <is>
          <t>MODELLEISENBAHN VIET NAM ONE MEMBER LIMITED LIABILITY COMPANY</t>
        </is>
      </c>
      <c r="E3195" t="inlineStr">
        <is>
          <t>Từ 20tr ₫/tháng</t>
        </is>
      </c>
      <c r="F3195" t="inlineStr">
        <is>
          <t>Bình Dương, Hồ Chí Minh</t>
        </is>
      </c>
      <c r="G3195" t="inlineStr">
        <is>
          <t>Nhân viên</t>
        </is>
      </c>
      <c r="H3195" t="inlineStr">
        <is>
          <t>25/02/2026</t>
        </is>
      </c>
      <c r="I3195" t="inlineStr">
        <is>
          <t>27/03/2026</t>
        </is>
      </c>
      <c r="J3195" t="inlineStr">
        <is>
          <t>17/03/2026</t>
        </is>
      </c>
      <c r="K3195" t="inlineStr">
        <is>
          <t>N/A</t>
        </is>
      </c>
      <c r="L3195" t="inlineStr">
        <is>
          <t>EHS, EHSQ Management, HSE, HSE Compliance, HSE Operating System</t>
        </is>
      </c>
      <c r="M3195" t="inlineStr">
        <is>
          <t>Bonus, Healthcare Plan, Laptop, Canteen, Others</t>
        </is>
      </c>
      <c r="N3195" s="8">
        <f>HYPERLINK("https://www.vietnamworks.com/hse-2013962-jv","Xem chi tiết")</f>
        <v/>
      </c>
    </row>
    <row r="3196">
      <c r="B3196" s="9" t="n">
        <v>3194</v>
      </c>
      <c r="C3196" s="10" t="inlineStr">
        <is>
          <t>Giám Đốc Tài Chính - Kế Toán Trưởng (Lương 20-25 Triệu + Thưởng )</t>
        </is>
      </c>
      <c r="D3196" s="10" t="inlineStr">
        <is>
          <t>CÔNG TY TNHH MỘT THÀNH VIÊN IDT HẠ LONG</t>
        </is>
      </c>
      <c r="E3196" s="10" t="inlineStr">
        <is>
          <t>20tr-25tr ₫/tháng</t>
        </is>
      </c>
      <c r="F3196" s="10" t="inlineStr">
        <is>
          <t>Hà Nội</t>
        </is>
      </c>
      <c r="G3196" s="10" t="inlineStr">
        <is>
          <t>Nhân viên</t>
        </is>
      </c>
      <c r="H3196" s="10" t="inlineStr">
        <is>
          <t>25/02/2026</t>
        </is>
      </c>
      <c r="I3196" s="10" t="inlineStr">
        <is>
          <t>27/03/2026</t>
        </is>
      </c>
      <c r="J3196" s="10" t="inlineStr">
        <is>
          <t>17/03/2026</t>
        </is>
      </c>
      <c r="K3196" s="10" t="inlineStr">
        <is>
          <t>N/A</t>
        </is>
      </c>
      <c r="L3196" s="10" t="inlineStr">
        <is>
          <t>Kế Toán, Kế Toán Trưởng, Lãnh Đạo, Quản Lý Tài Chính, Điều Hành</t>
        </is>
      </c>
      <c r="M3196" s="10" t="inlineStr">
        <is>
          <t>Bonus, Healthcare Plan, Training, Travel Opportunities, Others</t>
        </is>
      </c>
      <c r="N3196" s="11">
        <f>HYPERLINK("https://www.vietnamworks.com/giam-djoc-tai-chinh-ke-toan-truong-luong-20-25-trieu-thuong-2013966-jv","Xem chi tiết")</f>
        <v/>
      </c>
      <c r="O3196" s="10" t="n"/>
    </row>
    <row r="3197">
      <c r="B3197" s="7" t="n">
        <v>3195</v>
      </c>
      <c r="C3197" t="inlineStr">
        <is>
          <t>Kế Toán Viên</t>
        </is>
      </c>
      <c r="D3197" t="inlineStr">
        <is>
          <t>Công Ty Cổ Phần Green Leaf Holding</t>
        </is>
      </c>
      <c r="E3197" t="inlineStr">
        <is>
          <t>10tr-14tr ₫/tháng</t>
        </is>
      </c>
      <c r="F3197" t="inlineStr">
        <is>
          <t>Hà Nội</t>
        </is>
      </c>
      <c r="G3197" t="inlineStr">
        <is>
          <t>Nhân viên</t>
        </is>
      </c>
      <c r="H3197" t="inlineStr">
        <is>
          <t>25/02/2026</t>
        </is>
      </c>
      <c r="I3197" t="inlineStr">
        <is>
          <t>27/03/2026</t>
        </is>
      </c>
      <c r="J3197" t="inlineStr">
        <is>
          <t>17/03/2026</t>
        </is>
      </c>
      <c r="K3197" t="inlineStr">
        <is>
          <t>N/A</t>
        </is>
      </c>
      <c r="L3197" t="inlineStr">
        <is>
          <t>Kê Khai Thuế, Lưu Trữ Chứng Từ, Quyết Toán Thuế, Theo Dõi Công Nợ</t>
        </is>
      </c>
      <c r="M3197" t="inlineStr">
        <is>
          <t>Bonus, Healthcare Plan, Others</t>
        </is>
      </c>
      <c r="N3197" s="8">
        <f>HYPERLINK("https://www.vietnamworks.com/ke-toan-vien-2013971-jv","Xem chi tiết")</f>
        <v/>
      </c>
    </row>
    <row r="3198">
      <c r="B3198" s="9" t="n">
        <v>3196</v>
      </c>
      <c r="C3198" s="10" t="inlineStr">
        <is>
          <t>Administrative Secretary</t>
        </is>
      </c>
      <c r="D3198" s="10" t="inlineStr">
        <is>
          <t>AG WORLD TRANSPORT (VIETNAM) CO., LTD.</t>
        </is>
      </c>
      <c r="E3198" s="10" t="inlineStr">
        <is>
          <t>Thương lượng</t>
        </is>
      </c>
      <c r="F3198" s="10" t="inlineStr">
        <is>
          <t>Hà Nội</t>
        </is>
      </c>
      <c r="G3198" s="10" t="inlineStr">
        <is>
          <t>Nhân viên</t>
        </is>
      </c>
      <c r="H3198" s="10" t="inlineStr">
        <is>
          <t>25/02/2026</t>
        </is>
      </c>
      <c r="I3198" s="10" t="inlineStr">
        <is>
          <t>27/03/2026</t>
        </is>
      </c>
      <c r="J3198" s="10" t="inlineStr">
        <is>
          <t>17/03/2026</t>
        </is>
      </c>
      <c r="K3198" s="10" t="inlineStr">
        <is>
          <t>N/A</t>
        </is>
      </c>
      <c r="L3198" s="10" t="inlineStr">
        <is>
          <t>Administration skills, Business Formation, English Fluency, MS Office, Office Support</t>
        </is>
      </c>
      <c r="M3198" s="10" t="inlineStr">
        <is>
          <t>Healthcare Plan, Laptop, Others</t>
        </is>
      </c>
      <c r="N3198" s="11">
        <f>HYPERLINK("https://www.vietnamworks.com/administrative-secretary-2013973-jv","Xem chi tiết")</f>
        <v/>
      </c>
      <c r="O3198" s="10" t="n"/>
    </row>
    <row r="3199">
      <c r="B3199" s="7" t="n">
        <v>3197</v>
      </c>
      <c r="C3199" t="inlineStr">
        <is>
          <t>International Supply Chain Coordinator</t>
        </is>
      </c>
      <c r="D3199" t="inlineStr">
        <is>
          <t>OOCL Logistics (Vietnam)</t>
        </is>
      </c>
      <c r="E3199" t="inlineStr">
        <is>
          <t>Thương lượng</t>
        </is>
      </c>
      <c r="F3199" t="inlineStr">
        <is>
          <t>Hải Phòng</t>
        </is>
      </c>
      <c r="G3199" t="inlineStr">
        <is>
          <t>Nhân viên</t>
        </is>
      </c>
      <c r="H3199" t="inlineStr">
        <is>
          <t>25/02/2026</t>
        </is>
      </c>
      <c r="I3199" t="inlineStr">
        <is>
          <t>27/03/2026</t>
        </is>
      </c>
      <c r="J3199" t="inlineStr">
        <is>
          <t>17/03/2026</t>
        </is>
      </c>
      <c r="K3199" t="inlineStr">
        <is>
          <t>N/A</t>
        </is>
      </c>
      <c r="L3199" t="inlineStr">
        <is>
          <t>Logistics, CSV, English, Supply Chain Logistics</t>
        </is>
      </c>
      <c r="M3199" t="inlineStr">
        <is>
          <t>Bonus, Healthcare Plan, Team Activities</t>
        </is>
      </c>
      <c r="N3199" s="8">
        <f>HYPERLINK("https://www.vietnamworks.com/international-supply-chain-coordinator-2013972-jv","Xem chi tiết")</f>
        <v/>
      </c>
    </row>
    <row r="3200">
      <c r="B3200" s="9" t="n">
        <v>3198</v>
      </c>
      <c r="C3200" s="10" t="inlineStr">
        <is>
          <t>Accounting and Tax Manager (CPA)</t>
        </is>
      </c>
      <c r="D3200" s="10" t="inlineStr">
        <is>
          <t>Công Ty TNHH Tư Vấn Phạm &amp; Các Cộng Sự</t>
        </is>
      </c>
      <c r="E3200" s="10" t="inlineStr">
        <is>
          <t>Thương lượng</t>
        </is>
      </c>
      <c r="F3200" s="10" t="inlineStr">
        <is>
          <t>Hồ Chí Minh</t>
        </is>
      </c>
      <c r="G3200" s="10" t="inlineStr">
        <is>
          <t>Trưởng phòng</t>
        </is>
      </c>
      <c r="H3200" s="10" t="inlineStr">
        <is>
          <t>25/02/2026</t>
        </is>
      </c>
      <c r="I3200" s="10" t="inlineStr">
        <is>
          <t>27/03/2026</t>
        </is>
      </c>
      <c r="J3200" s="10" t="inlineStr">
        <is>
          <t>17/03/2026</t>
        </is>
      </c>
      <c r="K3200" s="10" t="inlineStr">
        <is>
          <t>N/A</t>
        </is>
      </c>
      <c r="L3200" s="10" t="inlineStr">
        <is>
          <t>TAX, Tài Chính Kế Toán, Thuế, Financial Accounting, Taxation</t>
        </is>
      </c>
      <c r="M3200" s="10" t="inlineStr">
        <is>
          <t>Bonus, Training, Team Activities</t>
        </is>
      </c>
      <c r="N3200" s="11">
        <f>HYPERLINK("https://www.vietnamworks.com/accounting-and-tax-manager-cpa--2013976-jv","Xem chi tiết")</f>
        <v/>
      </c>
      <c r="O3200" s="10" t="n"/>
    </row>
    <row r="3201">
      <c r="B3201" s="7" t="n">
        <v>3199</v>
      </c>
      <c r="C3201" t="inlineStr">
        <is>
          <t>Airlines Passenger Sales Executive</t>
        </is>
      </c>
      <c r="D3201" t="inlineStr">
        <is>
          <t>Trans World Aviation</t>
        </is>
      </c>
      <c r="E3201" t="inlineStr">
        <is>
          <t>Thương lượng</t>
        </is>
      </c>
      <c r="F3201" t="inlineStr">
        <is>
          <t>Hà Nội</t>
        </is>
      </c>
      <c r="G3201" t="inlineStr">
        <is>
          <t>Nhân viên</t>
        </is>
      </c>
      <c r="H3201" t="inlineStr">
        <is>
          <t>25/02/2026</t>
        </is>
      </c>
      <c r="I3201" t="inlineStr">
        <is>
          <t>27/03/2026</t>
        </is>
      </c>
      <c r="J3201" t="inlineStr">
        <is>
          <t>17/03/2026</t>
        </is>
      </c>
      <c r="K3201" t="inlineStr">
        <is>
          <t>N/A</t>
        </is>
      </c>
      <c r="L3201" t="inlineStr">
        <is>
          <t>Bán hàng, Kinh Doanh, Market Development, Sales Development, Tư Vấn</t>
        </is>
      </c>
      <c r="M3201" t="inlineStr">
        <is>
          <t>Bonus, Others</t>
        </is>
      </c>
      <c r="N3201" s="8">
        <f>HYPERLINK("https://www.vietnamworks.com/airlines-passenger-sales-executive-2013996-jv","Xem chi tiết")</f>
        <v/>
      </c>
    </row>
    <row r="3202">
      <c r="B3202" s="9" t="n">
        <v>3200</v>
      </c>
      <c r="C3202" s="10" t="inlineStr">
        <is>
          <t>Manager, HR Business Partnering (Ha Noi)</t>
        </is>
      </c>
      <c r="D3202" s="10" t="inlineStr">
        <is>
          <t>DKSH Vietnam Co., Ltd.</t>
        </is>
      </c>
      <c r="E3202" s="10" t="inlineStr">
        <is>
          <t>Thương lượng</t>
        </is>
      </c>
      <c r="F3202" s="10" t="inlineStr">
        <is>
          <t>Hà Nội</t>
        </is>
      </c>
      <c r="G3202" s="10" t="inlineStr">
        <is>
          <t>Trưởng phòng</t>
        </is>
      </c>
      <c r="H3202" s="10" t="inlineStr">
        <is>
          <t>25/02/2026</t>
        </is>
      </c>
      <c r="I3202" s="10" t="inlineStr">
        <is>
          <t>27/03/2026</t>
        </is>
      </c>
      <c r="J3202" s="10" t="inlineStr">
        <is>
          <t>17/03/2026</t>
        </is>
      </c>
      <c r="K3202" s="10" t="inlineStr">
        <is>
          <t>N/A</t>
        </is>
      </c>
      <c r="L3202" s="10" t="inlineStr">
        <is>
          <t>Employee Relation, HR Business Partner, Interpersonal Skills, Organizational Design, Talent Management</t>
        </is>
      </c>
      <c r="M3202" s="10" t="inlineStr">
        <is>
          <t>Bonus, Paid Leave</t>
        </is>
      </c>
      <c r="N3202" s="11">
        <f>HYPERLINK("https://www.vietnamworks.com/manager-hr-business-partnering-ha-noi-2013981-jv","Xem chi tiết")</f>
        <v/>
      </c>
      <c r="O3202" s="10" t="n"/>
    </row>
    <row r="3203">
      <c r="B3203" s="7" t="n">
        <v>3201</v>
      </c>
      <c r="C3203" t="inlineStr">
        <is>
          <t>Tổng Giám Đốc</t>
        </is>
      </c>
      <c r="D3203" t="inlineStr">
        <is>
          <t>Công Ty Cổ Phần Việt Mỹ. Group</t>
        </is>
      </c>
      <c r="E3203" t="inlineStr">
        <is>
          <t>Thương lượng</t>
        </is>
      </c>
      <c r="F3203" t="inlineStr">
        <is>
          <t>Hà Nội, Hòa Bình</t>
        </is>
      </c>
      <c r="G3203" t="inlineStr">
        <is>
          <t>Giám Đốc và Cấp Cao Hơn</t>
        </is>
      </c>
      <c r="H3203" t="inlineStr">
        <is>
          <t>25/02/2026</t>
        </is>
      </c>
      <c r="I3203" t="inlineStr">
        <is>
          <t>27/03/2026</t>
        </is>
      </c>
      <c r="J3203" t="inlineStr">
        <is>
          <t>17/03/2026</t>
        </is>
      </c>
      <c r="K3203" t="inlineStr">
        <is>
          <t>N/A</t>
        </is>
      </c>
      <c r="L3203" t="inlineStr">
        <is>
          <t>Quản Lý Dự Án, Kinh Tế Xây Dựng, Xây Dựng, Lãnh Đạo, MBA</t>
        </is>
      </c>
      <c r="M3203" t="inlineStr">
        <is>
          <t>Bonus, Awards, Transportation, Others</t>
        </is>
      </c>
      <c r="N3203" s="8">
        <f>HYPERLINK("https://www.vietnamworks.com/tong-giam-djoc-2013967-jv","Xem chi tiết")</f>
        <v/>
      </c>
    </row>
    <row r="3204">
      <c r="B3204" s="9" t="n">
        <v>3202</v>
      </c>
      <c r="C3204" s="10" t="inlineStr">
        <is>
          <t>Chuyên Viên Kinh Doanh | Investment Consultant Executive - English Speaking</t>
        </is>
      </c>
      <c r="D3204" s="10" t="inlineStr">
        <is>
          <t>Công ty Cổ phần Long Hậu</t>
        </is>
      </c>
      <c r="E3204" s="10" t="inlineStr">
        <is>
          <t>$$ 800-1,500 /tháng</t>
        </is>
      </c>
      <c r="F3204" s="10" t="inlineStr">
        <is>
          <t>Tây Ninh, Hồ Chí Minh</t>
        </is>
      </c>
      <c r="G3204" s="10" t="inlineStr">
        <is>
          <t>Nhân viên</t>
        </is>
      </c>
      <c r="H3204" s="10" t="inlineStr">
        <is>
          <t>25/02/2026</t>
        </is>
      </c>
      <c r="I3204" s="10" t="inlineStr">
        <is>
          <t>27/03/2026</t>
        </is>
      </c>
      <c r="J3204" s="10" t="inlineStr">
        <is>
          <t>17/03/2026</t>
        </is>
      </c>
      <c r="K3204" s="10" t="inlineStr">
        <is>
          <t>N/A</t>
        </is>
      </c>
      <c r="L3204" s="10" t="inlineStr">
        <is>
          <t>Kinh Doanh B2B, Đàm Phán, Bán hàng, Kinh Doanh, Tư Vấn</t>
        </is>
      </c>
      <c r="M3204" s="10" t="inlineStr">
        <is>
          <t>Bonus, Healthcare Plan, Training, Travel Opportunities</t>
        </is>
      </c>
      <c r="N3204" s="11">
        <f>HYPERLINK("https://www.vietnamworks.com/chuyen-vien-kinh-doanh-investment-consultant-executive-english-speaking-2013979-jv","Xem chi tiết")</f>
        <v/>
      </c>
      <c r="O3204" s="10" t="n"/>
    </row>
    <row r="3205">
      <c r="B3205" s="7" t="n">
        <v>3203</v>
      </c>
      <c r="C3205" t="inlineStr">
        <is>
          <t>Kiểm Toán Nội Bộ</t>
        </is>
      </c>
      <c r="D3205" t="inlineStr">
        <is>
          <t>Công Ty Cổ Phần Green Leaf Holding</t>
        </is>
      </c>
      <c r="E3205" t="inlineStr">
        <is>
          <t>15tr-20tr ₫/tháng</t>
        </is>
      </c>
      <c r="F3205" t="inlineStr">
        <is>
          <t>Hà Nội</t>
        </is>
      </c>
      <c r="G3205" t="inlineStr">
        <is>
          <t>Nhân viên</t>
        </is>
      </c>
      <c r="H3205" t="inlineStr">
        <is>
          <t>25/02/2026</t>
        </is>
      </c>
      <c r="I3205" t="inlineStr">
        <is>
          <t>27/03/2026</t>
        </is>
      </c>
      <c r="J3205" t="inlineStr">
        <is>
          <t>17/03/2026</t>
        </is>
      </c>
      <c r="K3205" t="inlineStr">
        <is>
          <t>N/A</t>
        </is>
      </c>
      <c r="L3205" t="inlineStr">
        <is>
          <t>Data Studio, Kiểm Soát Nội Bộ, Kiểm Toán Nội Bộ, Phân Tích Số Liệu, Power BI</t>
        </is>
      </c>
      <c r="M3205" t="inlineStr">
        <is>
          <t>Bonus</t>
        </is>
      </c>
      <c r="N3205" s="8">
        <f>HYPERLINK("https://www.vietnamworks.com/kiem-toan-noi-bo-2013977-jv","Xem chi tiết")</f>
        <v/>
      </c>
    </row>
    <row r="3206">
      <c r="B3206" s="9" t="n">
        <v>3204</v>
      </c>
      <c r="C3206" s="10" t="inlineStr">
        <is>
          <t>Chuyên Viên/ Nhân Viên Kinh Doanh</t>
        </is>
      </c>
      <c r="D3206" s="10" t="inlineStr">
        <is>
          <t>NGÂN HÀNG TRÁCH NHIỆM HỮU HẠN MỘT THÀNH VIÊN SỐ VIKKI</t>
        </is>
      </c>
      <c r="E3206" s="10" t="inlineStr">
        <is>
          <t>Thương lượng</t>
        </is>
      </c>
      <c r="F3206" s="10" t="inlineStr">
        <is>
          <t>Hồ Chí Minh</t>
        </is>
      </c>
      <c r="G3206" s="10" t="inlineStr">
        <is>
          <t>Nhân viên</t>
        </is>
      </c>
      <c r="H3206" s="10" t="inlineStr">
        <is>
          <t>25/02/2026</t>
        </is>
      </c>
      <c r="I3206" s="10" t="inlineStr">
        <is>
          <t>27/03/2026</t>
        </is>
      </c>
      <c r="J3206" s="10" t="inlineStr">
        <is>
          <t>17/03/2026</t>
        </is>
      </c>
      <c r="K3206" s="10" t="inlineStr">
        <is>
          <t>N/A</t>
        </is>
      </c>
      <c r="L3206" s="10" t="inlineStr">
        <is>
          <t>Kinh Tế, Tài Chính Kế Toán, Quản Trị Kinh Doanh, Quản Lý Rủi Ro, Kinh Doanh</t>
        </is>
      </c>
      <c r="M3206" s="10" t="inlineStr">
        <is>
          <t>Bonus, Healthcare Plan, Travel Opportunities, Others</t>
        </is>
      </c>
      <c r="N3206" s="11">
        <f>HYPERLINK("https://www.vietnamworks.com/chuyen-vien-nhan-vien-kinh-doanh-2013968-jv","Xem chi tiết")</f>
        <v/>
      </c>
      <c r="O3206" s="10" t="n"/>
    </row>
    <row r="3207">
      <c r="B3207" s="7" t="n">
        <v>3205</v>
      </c>
      <c r="C3207" t="inlineStr">
        <is>
          <t>Trưởng Nhóm Kế Toán</t>
        </is>
      </c>
      <c r="D3207" t="inlineStr">
        <is>
          <t>CÔNG TY TNHH KẾ TOÁN, KIỂM TOÁN - ĐẠI LÝ THUẾ TÂN PHÚ QUÝ</t>
        </is>
      </c>
      <c r="E3207" t="inlineStr">
        <is>
          <t>Thương lượng</t>
        </is>
      </c>
      <c r="F3207" t="inlineStr">
        <is>
          <t>Quảng Ninh, Hải Phòng</t>
        </is>
      </c>
      <c r="G3207" t="inlineStr">
        <is>
          <t>Nhân viên</t>
        </is>
      </c>
      <c r="H3207" t="inlineStr">
        <is>
          <t>25/02/2026</t>
        </is>
      </c>
      <c r="I3207" t="inlineStr">
        <is>
          <t>27/03/2026</t>
        </is>
      </c>
      <c r="J3207" t="inlineStr">
        <is>
          <t>17/03/2026</t>
        </is>
      </c>
      <c r="K3207" t="inlineStr">
        <is>
          <t>N/A</t>
        </is>
      </c>
      <c r="L3207" t="inlineStr">
        <is>
          <t>Kiểm Toán, Luật Thuế, Phần Mềm Kế Toán, Tin Học Văn Phòng, Lập Báo Cáo Thuế</t>
        </is>
      </c>
      <c r="M3207" t="inlineStr">
        <is>
          <t>Healthcare Plan, Training, Team Activities</t>
        </is>
      </c>
      <c r="N3207" s="8">
        <f>HYPERLINK("https://www.vietnamworks.com/truong-nhom-ke-toan--2013970-jv","Xem chi tiết")</f>
        <v/>
      </c>
    </row>
    <row r="3208">
      <c r="B3208" s="9" t="n">
        <v>3206</v>
      </c>
      <c r="C3208" s="10" t="inlineStr">
        <is>
          <t>Senior Associate - Learning &amp; Development</t>
        </is>
      </c>
      <c r="D3208" s="10" t="inlineStr">
        <is>
          <t>PwC (Vietnam) Ltd.</t>
        </is>
      </c>
      <c r="E3208" s="10" t="inlineStr">
        <is>
          <t>Thương lượng</t>
        </is>
      </c>
      <c r="F3208" s="10" t="inlineStr">
        <is>
          <t>Hà Nội</t>
        </is>
      </c>
      <c r="G3208" s="10" t="inlineStr">
        <is>
          <t>Nhân viên</t>
        </is>
      </c>
      <c r="H3208" s="10" t="inlineStr">
        <is>
          <t>25/02/2026</t>
        </is>
      </c>
      <c r="I3208" s="10" t="inlineStr">
        <is>
          <t>27/03/2026</t>
        </is>
      </c>
      <c r="J3208" s="10" t="inlineStr">
        <is>
          <t>17/03/2026</t>
        </is>
      </c>
      <c r="K3208" s="10" t="inlineStr">
        <is>
          <t>N/A</t>
        </is>
      </c>
      <c r="L3208" s="10" t="inlineStr">
        <is>
          <t>Effective Communication, Logistics Control, Report Analysis, Student Management, Training Delivery</t>
        </is>
      </c>
      <c r="M3208" s="10" t="inlineStr">
        <is>
          <t>Bonus, Training, Laptop</t>
        </is>
      </c>
      <c r="N3208" s="11">
        <f>HYPERLINK("https://www.vietnamworks.com/senior-associate-learning-and-development-2013993-jv","Xem chi tiết")</f>
        <v/>
      </c>
      <c r="O3208" s="10" t="n"/>
    </row>
    <row r="3209">
      <c r="B3209" s="7" t="n">
        <v>3207</v>
      </c>
      <c r="C3209" t="inlineStr">
        <is>
          <t>Business Analyst - Microsoft Dynamics 365 BC (Business Central)</t>
        </is>
      </c>
      <c r="D3209" t="inlineStr">
        <is>
          <t>Công Ty TNHH Omnicomm Việt Nam</t>
        </is>
      </c>
      <c r="E3209" t="inlineStr">
        <is>
          <t>Thương lượng</t>
        </is>
      </c>
      <c r="F3209" t="inlineStr">
        <is>
          <t>Hồ Chí Minh</t>
        </is>
      </c>
      <c r="G3209" t="inlineStr">
        <is>
          <t>Nhân viên</t>
        </is>
      </c>
      <c r="H3209" t="inlineStr">
        <is>
          <t>25/02/2026</t>
        </is>
      </c>
      <c r="I3209" t="inlineStr">
        <is>
          <t>27/03/2026</t>
        </is>
      </c>
      <c r="J3209" t="inlineStr">
        <is>
          <t>17/03/2026</t>
        </is>
      </c>
      <c r="K3209" t="inlineStr">
        <is>
          <t>N/A</t>
        </is>
      </c>
      <c r="L3209" t="inlineStr">
        <is>
          <t>Microsoft Dynamics 365, Power Pivot, Power BI, business analyst, Dynamics 365</t>
        </is>
      </c>
      <c r="M3209" t="inlineStr">
        <is>
          <t>Bonus, Paid Leave, Training</t>
        </is>
      </c>
      <c r="N3209" s="8">
        <f>HYPERLINK("https://www.vietnamworks.com/business-analyst-microsoft-dynamics-365-bc-business-central-2013974-jv","Xem chi tiết")</f>
        <v/>
      </c>
    </row>
    <row r="3210">
      <c r="B3210" s="9" t="n">
        <v>3208</v>
      </c>
      <c r="C3210" s="10" t="inlineStr">
        <is>
          <t>Senior Analyst (Accounting &amp; Finance)</t>
        </is>
      </c>
      <c r="D3210" s="10" t="inlineStr">
        <is>
          <t>GHConsults</t>
        </is>
      </c>
      <c r="E3210" s="10" t="inlineStr">
        <is>
          <t>Thương lượng</t>
        </is>
      </c>
      <c r="F3210" s="10" t="inlineStr">
        <is>
          <t>Hà Nội</t>
        </is>
      </c>
      <c r="G3210" s="10" t="inlineStr">
        <is>
          <t>Nhân viên</t>
        </is>
      </c>
      <c r="H3210" s="10" t="inlineStr">
        <is>
          <t>25/02/2026</t>
        </is>
      </c>
      <c r="I3210" s="10" t="inlineStr">
        <is>
          <t>27/03/2026</t>
        </is>
      </c>
      <c r="J3210" s="10" t="inlineStr">
        <is>
          <t>17/03/2026</t>
        </is>
      </c>
      <c r="K3210" s="10" t="inlineStr">
        <is>
          <t>N/A</t>
        </is>
      </c>
      <c r="L3210" s="10" t="inlineStr">
        <is>
          <t>Financial Analysis, Data Analysis, Audit, Financial Report, Accounting Data Input</t>
        </is>
      </c>
      <c r="M3210" s="10" t="inlineStr">
        <is>
          <t>Bonus, Healthcare Plan, Team Activities</t>
        </is>
      </c>
      <c r="N3210" s="11">
        <f>HYPERLINK("https://www.vietnamworks.com/senior-analyst-accounting-finance--2013992-jv","Xem chi tiết")</f>
        <v/>
      </c>
      <c r="O3210" s="10" t="n"/>
    </row>
    <row r="3211">
      <c r="B3211" s="7" t="n">
        <v>3209</v>
      </c>
      <c r="C3211" t="inlineStr">
        <is>
          <t>[Tuyển Gấp] Nhân Viên Phần Mềm Chuyển Đổi Số ERP</t>
        </is>
      </c>
      <c r="D3211" t="inlineStr">
        <is>
          <t>Bateco Vietnam., JSC</t>
        </is>
      </c>
      <c r="E3211" t="inlineStr">
        <is>
          <t>Thương lượng</t>
        </is>
      </c>
      <c r="F3211" t="inlineStr">
        <is>
          <t>Hà Nội</t>
        </is>
      </c>
      <c r="G3211" t="inlineStr">
        <is>
          <t>Nhân viên</t>
        </is>
      </c>
      <c r="H3211" t="inlineStr">
        <is>
          <t>25/02/2026</t>
        </is>
      </c>
      <c r="I3211" t="inlineStr">
        <is>
          <t>27/03/2026</t>
        </is>
      </c>
      <c r="J3211" t="inlineStr">
        <is>
          <t>17/03/2026</t>
        </is>
      </c>
      <c r="K3211" t="inlineStr">
        <is>
          <t>N/A</t>
        </is>
      </c>
      <c r="L3211" t="inlineStr">
        <is>
          <t>ASP.NET, C#, CSS, HTML, JavaScript</t>
        </is>
      </c>
      <c r="M3211" t="inlineStr">
        <is>
          <t>Bonus, Healthcare Plan, Paid Leave, Training, Travel Opportunities, Team Activities, Canteen, Others</t>
        </is>
      </c>
      <c r="N3211" s="8">
        <f>HYPERLINK("https://www.vietnamworks.com/tuyen-gap-nhan-vien-phan-mem-chuyen-doi-so-erp-2013988-jv","Xem chi tiết")</f>
        <v/>
      </c>
    </row>
    <row r="3212">
      <c r="B3212" s="9" t="n">
        <v>3210</v>
      </c>
      <c r="C3212" s="10" t="inlineStr">
        <is>
          <t>[Tuyển Gấp] Sales Manager Mảng Máy Xây Dựng, Công Nghiệp</t>
        </is>
      </c>
      <c r="D3212" s="10" t="inlineStr">
        <is>
          <t>Bateco Vietnam., JSC</t>
        </is>
      </c>
      <c r="E3212" s="10" t="inlineStr">
        <is>
          <t>Thương lượng</t>
        </is>
      </c>
      <c r="F3212" s="10" t="inlineStr">
        <is>
          <t>Hà Nội</t>
        </is>
      </c>
      <c r="G3212" s="10" t="inlineStr">
        <is>
          <t>Trưởng phòng</t>
        </is>
      </c>
      <c r="H3212" s="10" t="inlineStr">
        <is>
          <t>25/02/2026</t>
        </is>
      </c>
      <c r="I3212" s="10" t="inlineStr">
        <is>
          <t>27/03/2026</t>
        </is>
      </c>
      <c r="J3212" s="10" t="inlineStr">
        <is>
          <t>17/03/2026</t>
        </is>
      </c>
      <c r="K3212" s="10" t="inlineStr">
        <is>
          <t>N/A</t>
        </is>
      </c>
      <c r="L3212" s="10" t="inlineStr">
        <is>
          <t>Kinh Tế, Kỹ Thuật, Kỹ Thuật Công Trình, Máy Xây Dựng, Phân Tích Chiến Lược</t>
        </is>
      </c>
      <c r="M3212" s="10" t="inlineStr">
        <is>
          <t>Bonus, Healthcare Plan, Paid Leave, Training, Travel Opportunities, Team Activities, Canteen, Others</t>
        </is>
      </c>
      <c r="N3212" s="11">
        <f>HYPERLINK("https://www.vietnamworks.com/tuyen-gap-sales-manager-mang-may-xay-dung-cong-nghiep-2013983-jv","Xem chi tiết")</f>
        <v/>
      </c>
      <c r="O3212" s="10" t="n"/>
    </row>
    <row r="3213">
      <c r="B3213" s="7" t="n">
        <v>3211</v>
      </c>
      <c r="C3213" t="inlineStr">
        <is>
          <t>Tuyển Gấp Sales Engineer - Điện Công Nghiệp, Tự Động Hoá (Lương Cứng 15-20M)</t>
        </is>
      </c>
      <c r="D3213" t="inlineStr">
        <is>
          <t>Bateco Vietnam., JSC</t>
        </is>
      </c>
      <c r="E3213" t="inlineStr">
        <is>
          <t>15tr-20tr ₫/tháng</t>
        </is>
      </c>
      <c r="F3213" t="inlineStr">
        <is>
          <t>Hà Nội</t>
        </is>
      </c>
      <c r="G3213" t="inlineStr">
        <is>
          <t>Nhân viên</t>
        </is>
      </c>
      <c r="H3213" t="inlineStr">
        <is>
          <t>25/02/2026</t>
        </is>
      </c>
      <c r="I3213" t="inlineStr">
        <is>
          <t>27/03/2026</t>
        </is>
      </c>
      <c r="J3213" t="inlineStr">
        <is>
          <t>17/03/2026</t>
        </is>
      </c>
      <c r="K3213" t="inlineStr">
        <is>
          <t>N/A</t>
        </is>
      </c>
      <c r="L3213" t="inlineStr">
        <is>
          <t>Bán hàng, Giải Pháp Bán Hàng, Khảo Sát Nhu Cầu, Kinh Doanh, Tư Vấn</t>
        </is>
      </c>
      <c r="M3213" t="inlineStr">
        <is>
          <t>Bonus, Healthcare Plan, Paid Leave, Training, Awards, Team Activities, Canteen, Others</t>
        </is>
      </c>
      <c r="N3213" s="8">
        <f>HYPERLINK("https://www.vietnamworks.com/tuyen-gap-sales-engineer-dien-cong-nghiep-tu-dong-hoa-luong-cung-15-20m-2013994-jv","Xem chi tiết")</f>
        <v/>
      </c>
    </row>
    <row r="3214">
      <c r="B3214" s="9" t="n">
        <v>3212</v>
      </c>
      <c r="C3214" s="10" t="inlineStr">
        <is>
          <t>Senior Marketing Assistant (Partnership)</t>
        </is>
      </c>
      <c r="D3214" s="10" t="inlineStr">
        <is>
          <t>Lotte Mall West Lake Hanoi</t>
        </is>
      </c>
      <c r="E3214" s="10" t="inlineStr">
        <is>
          <t>Thương lượng</t>
        </is>
      </c>
      <c r="F3214" s="10" t="inlineStr">
        <is>
          <t>Hà Nội</t>
        </is>
      </c>
      <c r="G3214" s="10" t="inlineStr">
        <is>
          <t>Nhân viên</t>
        </is>
      </c>
      <c r="H3214" s="10" t="inlineStr">
        <is>
          <t>25/02/2026</t>
        </is>
      </c>
      <c r="I3214" s="10" t="inlineStr">
        <is>
          <t>27/03/2026</t>
        </is>
      </c>
      <c r="J3214" s="10" t="inlineStr">
        <is>
          <t>17/03/2026</t>
        </is>
      </c>
      <c r="K3214" s="10" t="inlineStr">
        <is>
          <t>N/A</t>
        </is>
      </c>
      <c r="L3214" s="10" t="inlineStr">
        <is>
          <t>Phát Triển Đối Tác, Partnership Development, Account Management, Marketing</t>
        </is>
      </c>
      <c r="M3214" s="10" t="inlineStr">
        <is>
          <t>Bonus, Healthcare Plan, Paid Leave</t>
        </is>
      </c>
      <c r="N3214" s="11">
        <f>HYPERLINK("https://www.vietnamworks.com/senior-marketing-assistant-partnership-2013997-jv","Xem chi tiết")</f>
        <v/>
      </c>
      <c r="O3214" s="10" t="n"/>
    </row>
    <row r="3215">
      <c r="B3215" s="7" t="n">
        <v>3213</v>
      </c>
      <c r="C3215" t="inlineStr">
        <is>
          <t>Chuyên Viên Pháp Lý Doanh Nghiệp/ Corporate Legal Specialist</t>
        </is>
      </c>
      <c r="D3215" t="inlineStr">
        <is>
          <t>Công ty TNHH TM DV Tân Hiệp Phát</t>
        </is>
      </c>
      <c r="E3215" t="inlineStr">
        <is>
          <t>Thương lượng</t>
        </is>
      </c>
      <c r="F3215" t="inlineStr">
        <is>
          <t>Hồ Chí Minh</t>
        </is>
      </c>
      <c r="G3215" t="inlineStr">
        <is>
          <t>Nhân viên</t>
        </is>
      </c>
      <c r="H3215" t="inlineStr">
        <is>
          <t>25/02/2026</t>
        </is>
      </c>
      <c r="I3215" t="inlineStr">
        <is>
          <t>27/03/2026</t>
        </is>
      </c>
      <c r="J3215" t="inlineStr">
        <is>
          <t>17/03/2026</t>
        </is>
      </c>
      <c r="K3215" t="inlineStr">
        <is>
          <t>N/A</t>
        </is>
      </c>
      <c r="L3215" t="inlineStr">
        <is>
          <t>Legal, Law, Legal &amp; Compliance, Legal Policy Development</t>
        </is>
      </c>
      <c r="M3215" t="inlineStr">
        <is>
          <t>Bonus, Healthcare Plan, Canteen</t>
        </is>
      </c>
      <c r="N3215" s="8">
        <f>HYPERLINK("https://www.vietnamworks.com/chuyen-vien-phap-ly-doanh-nghiep-corporate-legal-specialist--2013998-jv","Xem chi tiết")</f>
        <v/>
      </c>
    </row>
    <row r="3216">
      <c r="B3216" s="9" t="n">
        <v>3214</v>
      </c>
      <c r="C3216" s="10" t="inlineStr">
        <is>
          <t>Trợ Lý Giám Đốc</t>
        </is>
      </c>
      <c r="D3216" s="10" t="inlineStr">
        <is>
          <t>Công Ty TNHH LT Logistics</t>
        </is>
      </c>
      <c r="E3216" s="10" t="inlineStr">
        <is>
          <t>Thương lượng</t>
        </is>
      </c>
      <c r="F3216" s="10" t="inlineStr">
        <is>
          <t>Hồ Chí Minh</t>
        </is>
      </c>
      <c r="G3216" s="10" t="inlineStr">
        <is>
          <t>Nhân viên</t>
        </is>
      </c>
      <c r="H3216" s="10" t="inlineStr">
        <is>
          <t>25/02/2026</t>
        </is>
      </c>
      <c r="I3216" s="10" t="inlineStr">
        <is>
          <t>27/03/2026</t>
        </is>
      </c>
      <c r="J3216" s="10" t="inlineStr">
        <is>
          <t>17/03/2026</t>
        </is>
      </c>
      <c r="K3216" s="10" t="inlineStr">
        <is>
          <t>N/A</t>
        </is>
      </c>
      <c r="L3216" s="10" t="inlineStr">
        <is>
          <t>Logistics Training, International Shipping, Assitant &amp; supportive, Xuất Nhập Khẩu, Vận Chuyển Quốc Tế</t>
        </is>
      </c>
      <c r="M3216" s="10" t="inlineStr">
        <is>
          <t>Bonus, Healthcare Plan, Others</t>
        </is>
      </c>
      <c r="N3216" s="11">
        <f>HYPERLINK("https://www.vietnamworks.com/tro-ly-giam-djoc-2014002-jv","Xem chi tiết")</f>
        <v/>
      </c>
      <c r="O3216" s="10" t="n"/>
    </row>
    <row r="3217">
      <c r="B3217" s="7" t="n">
        <v>3215</v>
      </c>
      <c r="C3217" t="inlineStr">
        <is>
          <t>Export Sales</t>
        </is>
      </c>
      <c r="D3217" t="inlineStr">
        <is>
          <t>Công ty TNHH Thương mại và Xuất nhập khẩu Vihaba</t>
        </is>
      </c>
      <c r="E3217" t="inlineStr">
        <is>
          <t>Tới $ 1,700 /tháng</t>
        </is>
      </c>
      <c r="F3217" t="inlineStr">
        <is>
          <t>Hà Nội</t>
        </is>
      </c>
      <c r="G3217" t="inlineStr">
        <is>
          <t>Nhân viên</t>
        </is>
      </c>
      <c r="H3217" t="inlineStr">
        <is>
          <t>25/02/2026</t>
        </is>
      </c>
      <c r="I3217" t="inlineStr">
        <is>
          <t>27/03/2026</t>
        </is>
      </c>
      <c r="J3217" t="inlineStr">
        <is>
          <t>17/03/2026</t>
        </is>
      </c>
      <c r="K3217" t="inlineStr">
        <is>
          <t>N/A</t>
        </is>
      </c>
      <c r="L3217" t="inlineStr">
        <is>
          <t>Customer Care, International Business, Logistics Sales, Market Development, Sales Planning</t>
        </is>
      </c>
      <c r="M3217" t="inlineStr">
        <is>
          <t>Bonus, Others</t>
        </is>
      </c>
      <c r="N3217" s="8">
        <f>HYPERLINK("https://www.vietnamworks.com/export-sales-2014006-jv","Xem chi tiết")</f>
        <v/>
      </c>
    </row>
    <row r="3218">
      <c r="B3218" s="9" t="n">
        <v>3216</v>
      </c>
      <c r="C3218" s="10" t="inlineStr">
        <is>
          <t>Kế Toán Trưởng</t>
        </is>
      </c>
      <c r="D3218" s="10" t="inlineStr">
        <is>
          <t>Tam Coc Garden</t>
        </is>
      </c>
      <c r="E3218" s="10" t="inlineStr">
        <is>
          <t>Thương lượng</t>
        </is>
      </c>
      <c r="F3218" s="10" t="inlineStr">
        <is>
          <t>Hà Nội</t>
        </is>
      </c>
      <c r="G3218" s="10" t="inlineStr">
        <is>
          <t>Trưởng phòng</t>
        </is>
      </c>
      <c r="H3218" s="10" t="inlineStr">
        <is>
          <t>25/02/2026</t>
        </is>
      </c>
      <c r="I3218" s="10" t="inlineStr">
        <is>
          <t>27/03/2026</t>
        </is>
      </c>
      <c r="J3218" s="10" t="inlineStr">
        <is>
          <t>17/03/2026</t>
        </is>
      </c>
      <c r="K3218" s="10" t="inlineStr">
        <is>
          <t>N/A</t>
        </is>
      </c>
      <c r="L3218" s="10" t="inlineStr">
        <is>
          <t>Excel, Lập Báo Cáo, Luật Thuế, Misa, Vietnam Accounting Standards</t>
        </is>
      </c>
      <c r="M3218" s="10" t="inlineStr">
        <is>
          <t>Bonus, Healthcare Plan, Paid Leave, Team Activities, Canteen, Others</t>
        </is>
      </c>
      <c r="N3218" s="11">
        <f>HYPERLINK("https://www.vietnamworks.com/ke-toan-truong-2014000-jv","Xem chi tiết")</f>
        <v/>
      </c>
      <c r="O3218" s="10" t="n"/>
    </row>
    <row r="3219">
      <c r="B3219" s="7" t="n">
        <v>3217</v>
      </c>
      <c r="C3219" t="inlineStr">
        <is>
          <t>Chuyên Viên Kế Toán Đầu Tư - Tài Chính</t>
        </is>
      </c>
      <c r="D3219" t="inlineStr">
        <is>
          <t>Tổng Công Ty Phát Điện 3 - EVNGENCO3</t>
        </is>
      </c>
      <c r="E3219" t="inlineStr">
        <is>
          <t>Thương lượng</t>
        </is>
      </c>
      <c r="F3219" t="inlineStr">
        <is>
          <t>Hồ Chí Minh</t>
        </is>
      </c>
      <c r="G3219" t="inlineStr">
        <is>
          <t>Nhân viên</t>
        </is>
      </c>
      <c r="H3219" t="inlineStr">
        <is>
          <t>25/02/2026</t>
        </is>
      </c>
      <c r="I3219" t="inlineStr">
        <is>
          <t>27/03/2026</t>
        </is>
      </c>
      <c r="J3219" t="inlineStr">
        <is>
          <t>17/03/2026</t>
        </is>
      </c>
      <c r="K3219" t="inlineStr">
        <is>
          <t>N/A</t>
        </is>
      </c>
      <c r="L3219" t="inlineStr">
        <is>
          <t>English, Kiểm Tra Hồ Sơ, Thanh Quyết Toán, Theo Dõi Hợp Đồng Dự Án, Đầu Tư Xây Dựng</t>
        </is>
      </c>
      <c r="M3219" t="inlineStr">
        <is>
          <t>Healthcare Plan, Training, Laptop, Team Activities, Others</t>
        </is>
      </c>
      <c r="N3219" s="8">
        <f>HYPERLINK("https://www.vietnamworks.com/chuyen-vien-ke-toan-djau-tu-tai-chinh-2014004-jv","Xem chi tiết")</f>
        <v/>
      </c>
    </row>
    <row r="3220">
      <c r="B3220" s="9" t="n">
        <v>3218</v>
      </c>
      <c r="C3220" s="10" t="inlineStr">
        <is>
          <t>Chuyên Viên Đối Tác Nhân Sự Cao Cấp (HRBP)</t>
        </is>
      </c>
      <c r="D3220" s="10" t="inlineStr">
        <is>
          <t>Công ty Cổ phần Sản xuất và Kinh doanh VinMetal</t>
        </is>
      </c>
      <c r="E3220" s="10" t="inlineStr">
        <is>
          <t>Thương lượng</t>
        </is>
      </c>
      <c r="F3220" s="10" t="inlineStr">
        <is>
          <t>Hà Nội</t>
        </is>
      </c>
      <c r="G3220" s="10" t="inlineStr">
        <is>
          <t>Nhân viên</t>
        </is>
      </c>
      <c r="H3220" s="10" t="inlineStr">
        <is>
          <t>25/02/2026</t>
        </is>
      </c>
      <c r="I3220" s="10" t="inlineStr">
        <is>
          <t>27/03/2026</t>
        </is>
      </c>
      <c r="J3220" s="10" t="inlineStr">
        <is>
          <t>17/03/2026</t>
        </is>
      </c>
      <c r="K3220" s="10" t="inlineStr">
        <is>
          <t>N/A</t>
        </is>
      </c>
      <c r="L3220" s="10" t="inlineStr">
        <is>
          <t>HRBP, Hoạch Định Chiến Lược Nhân Sự, Hr Analytics, Đánh Giá Hiệu Suất Công Việc, Nhân sự - HR</t>
        </is>
      </c>
      <c r="M3220" s="10" t="inlineStr">
        <is>
          <t>Bonus, Healthcare Plan, Training</t>
        </is>
      </c>
      <c r="N3220" s="11">
        <f>HYPERLINK("https://www.vietnamworks.com/chuyen-vien-doi-tac-nhan-su-cao-cap-hrbp-2014015-jv","Xem chi tiết")</f>
        <v/>
      </c>
      <c r="O3220" s="10" t="n"/>
    </row>
    <row r="3221">
      <c r="B3221" s="7" t="n">
        <v>3219</v>
      </c>
      <c r="C3221" t="inlineStr">
        <is>
          <t>Kỹ Sư Quản Lý Chất Lượng Sản Phẩm Mới (QA-NPI)</t>
        </is>
      </c>
      <c r="D3221" t="inlineStr">
        <is>
          <t>SEI Electronic Components (Vietnam), Ltd.</t>
        </is>
      </c>
      <c r="E3221" t="inlineStr">
        <is>
          <t>Thương lượng</t>
        </is>
      </c>
      <c r="F3221" t="inlineStr">
        <is>
          <t>Hà Nội</t>
        </is>
      </c>
      <c r="G3221" t="inlineStr">
        <is>
          <t>Nhân viên</t>
        </is>
      </c>
      <c r="H3221" t="inlineStr">
        <is>
          <t>25/02/2026</t>
        </is>
      </c>
      <c r="I3221" t="inlineStr">
        <is>
          <t>27/03/2026</t>
        </is>
      </c>
      <c r="J3221" t="inlineStr">
        <is>
          <t>17/03/2026</t>
        </is>
      </c>
      <c r="K3221" t="inlineStr">
        <is>
          <t>N/A</t>
        </is>
      </c>
      <c r="L3221" t="inlineStr">
        <is>
          <t>Quality Control, 8D, Kiểm Soát Chất Lượng, Tiếng Anh, QA QC</t>
        </is>
      </c>
      <c r="M3221" t="inlineStr">
        <is>
          <t>Bonus, Paid Leave, Transportation</t>
        </is>
      </c>
      <c r="N3221" s="8">
        <f>HYPERLINK("https://www.vietnamworks.com/ky-su-quan-ly-chat-luong-san-pham-moi-qa-npi--2014009-jv","Xem chi tiết")</f>
        <v/>
      </c>
    </row>
    <row r="3222">
      <c r="B3222" s="9" t="n">
        <v>3220</v>
      </c>
      <c r="C3222" s="10" t="inlineStr">
        <is>
          <t>Fund Distribution Deputy Manager</t>
        </is>
      </c>
      <c r="D3222" s="10" t="inlineStr">
        <is>
          <t>UOB Asset Management (Vietnam)</t>
        </is>
      </c>
      <c r="E3222" s="10" t="inlineStr">
        <is>
          <t>Thương lượng</t>
        </is>
      </c>
      <c r="F3222" s="10" t="inlineStr">
        <is>
          <t>Hồ Chí Minh</t>
        </is>
      </c>
      <c r="G3222" s="10" t="inlineStr">
        <is>
          <t>Nhân viên</t>
        </is>
      </c>
      <c r="H3222" s="10" t="inlineStr">
        <is>
          <t>25/02/2026</t>
        </is>
      </c>
      <c r="I3222" s="10" t="inlineStr">
        <is>
          <t>27/03/2026</t>
        </is>
      </c>
      <c r="J3222" s="10" t="inlineStr">
        <is>
          <t>17/03/2026</t>
        </is>
      </c>
      <c r="K3222" s="10" t="inlineStr">
        <is>
          <t>N/A</t>
        </is>
      </c>
      <c r="L3222" s="10" t="inlineStr">
        <is>
          <t>Fund Management, Financial Services, Finance, Investment, Wealth Management</t>
        </is>
      </c>
      <c r="M3222" s="10" t="inlineStr">
        <is>
          <t>Bonus, Healthcare Plan, Training</t>
        </is>
      </c>
      <c r="N3222" s="11">
        <f>HYPERLINK("https://www.vietnamworks.com/fund-distribution-deputy-manager--2014023-jv","Xem chi tiết")</f>
        <v/>
      </c>
      <c r="O3222" s="10" t="n"/>
    </row>
    <row r="3223">
      <c r="B3223" s="7" t="n">
        <v>3221</v>
      </c>
      <c r="C3223" t="inlineStr">
        <is>
          <t>Kỹ Sư Cơ Điện</t>
        </is>
      </c>
      <c r="D3223" t="inlineStr">
        <is>
          <t>SEI Electronic Components (Vietnam), Ltd.</t>
        </is>
      </c>
      <c r="E3223" t="inlineStr">
        <is>
          <t>Thương lượng</t>
        </is>
      </c>
      <c r="F3223" t="inlineStr">
        <is>
          <t>Hà Nội</t>
        </is>
      </c>
      <c r="G3223" t="inlineStr">
        <is>
          <t>Nhân viên</t>
        </is>
      </c>
      <c r="H3223" t="inlineStr">
        <is>
          <t>25/02/2026</t>
        </is>
      </c>
      <c r="I3223" t="inlineStr">
        <is>
          <t>27/03/2026</t>
        </is>
      </c>
      <c r="J3223" t="inlineStr">
        <is>
          <t>17/03/2026</t>
        </is>
      </c>
      <c r="K3223" t="inlineStr">
        <is>
          <t>N/A</t>
        </is>
      </c>
      <c r="L3223" t="inlineStr">
        <is>
          <t>Cơ Điện, Thiết Kế Hệ Thống Điện, HVAC, Tự Động Hóa, Điện</t>
        </is>
      </c>
      <c r="M3223" t="inlineStr">
        <is>
          <t>Bonus, Healthcare Plan, Team Activities</t>
        </is>
      </c>
      <c r="N3223" s="8">
        <f>HYPERLINK("https://www.vietnamworks.com/ky-su-co-djien-2014014-jv","Xem chi tiết")</f>
        <v/>
      </c>
    </row>
    <row r="3224">
      <c r="B3224" s="9" t="n">
        <v>3222</v>
      </c>
      <c r="C3224" s="10" t="inlineStr">
        <is>
          <t>Chuyên viên Kiểm soát chi phí</t>
        </is>
      </c>
      <c r="D3224" s="10" t="inlineStr">
        <is>
          <t>Công Ty Cổ Phần Đầu Tư Và Kinh Doanh Nhà Khang Điền</t>
        </is>
      </c>
      <c r="E3224" s="10" t="inlineStr">
        <is>
          <t>Thương lượng</t>
        </is>
      </c>
      <c r="F3224" s="10" t="inlineStr">
        <is>
          <t>Hồ Chí Minh</t>
        </is>
      </c>
      <c r="G3224" s="10" t="inlineStr">
        <is>
          <t>Nhân viên</t>
        </is>
      </c>
      <c r="H3224" s="10" t="inlineStr">
        <is>
          <t>25/02/2026</t>
        </is>
      </c>
      <c r="I3224" s="10" t="inlineStr">
        <is>
          <t>27/03/2026</t>
        </is>
      </c>
      <c r="J3224" s="10" t="inlineStr">
        <is>
          <t>17/03/2026</t>
        </is>
      </c>
      <c r="K3224" s="10" t="inlineStr">
        <is>
          <t>N/A</t>
        </is>
      </c>
      <c r="L3224" s="10" t="inlineStr">
        <is>
          <t>Dự Toán Đấu Thầu Xây Dựng, Kinh Nghiệm Với Chủ Đầu Tư, Phân Tích Dự Án, Quản Lý Chi Phí Dự Án, Xây Dựng</t>
        </is>
      </c>
      <c r="M3224" s="10" t="inlineStr">
        <is>
          <t>Bonus</t>
        </is>
      </c>
      <c r="N3224" s="11">
        <f>HYPERLINK("https://www.vietnamworks.com/chuyen-vien-kiem-soat-chi-phi-2014021-jv","Xem chi tiết")</f>
        <v/>
      </c>
      <c r="O3224" s="10" t="n"/>
    </row>
    <row r="3225">
      <c r="B3225" s="7" t="n">
        <v>3223</v>
      </c>
      <c r="C3225" t="inlineStr">
        <is>
          <t>Kỹ Sư Phát Triển Nhà Máy Thông Minh - Smart Factory</t>
        </is>
      </c>
      <c r="D3225" t="inlineStr">
        <is>
          <t>SEI Electronic Components (Vietnam), Ltd.</t>
        </is>
      </c>
      <c r="E3225" t="inlineStr">
        <is>
          <t>Thương lượng</t>
        </is>
      </c>
      <c r="F3225" t="inlineStr">
        <is>
          <t>Hà Nội</t>
        </is>
      </c>
      <c r="G3225" t="inlineStr">
        <is>
          <t>Nhân viên</t>
        </is>
      </c>
      <c r="H3225" t="inlineStr">
        <is>
          <t>25/02/2026</t>
        </is>
      </c>
      <c r="I3225" t="inlineStr">
        <is>
          <t>27/03/2026</t>
        </is>
      </c>
      <c r="J3225" t="inlineStr">
        <is>
          <t>17/03/2026</t>
        </is>
      </c>
      <c r="K3225" t="inlineStr">
        <is>
          <t>N/A</t>
        </is>
      </c>
      <c r="L3225" t="inlineStr">
        <is>
          <t>Theo Dõi Tiến Độ, PLC, Tự Động Hóa, Điện + Điện tử, HMI</t>
        </is>
      </c>
      <c r="M3225" t="inlineStr">
        <is>
          <t>Bonus, Paid Leave, Transportation</t>
        </is>
      </c>
      <c r="N3225" s="8">
        <f>HYPERLINK("https://www.vietnamworks.com/ky-su-phat-trien-nha-may-thong-minh-smart-factory--2014012-jv","Xem chi tiết")</f>
        <v/>
      </c>
    </row>
    <row r="3226">
      <c r="B3226" s="9" t="n">
        <v>3224</v>
      </c>
      <c r="C3226" s="10" t="inlineStr">
        <is>
          <t>Project Manager - Set Up N Global Expansion</t>
        </is>
      </c>
      <c r="D3226" s="10" t="inlineStr">
        <is>
          <t>GSM</t>
        </is>
      </c>
      <c r="E3226" s="10" t="inlineStr">
        <is>
          <t>$$ 1,500-3,000 /tháng</t>
        </is>
      </c>
      <c r="F3226" s="10" t="inlineStr">
        <is>
          <t>Hà Nội, Quốc tế</t>
        </is>
      </c>
      <c r="G3226" s="10" t="inlineStr">
        <is>
          <t>Trưởng phòng</t>
        </is>
      </c>
      <c r="H3226" s="10" t="inlineStr">
        <is>
          <t>25/02/2026</t>
        </is>
      </c>
      <c r="I3226" s="10" t="inlineStr">
        <is>
          <t>27/03/2026</t>
        </is>
      </c>
      <c r="J3226" s="10" t="inlineStr">
        <is>
          <t>17/03/2026</t>
        </is>
      </c>
      <c r="K3226" s="10" t="inlineStr">
        <is>
          <t>N/A</t>
        </is>
      </c>
      <c r="L3226" s="10" t="inlineStr">
        <is>
          <t>Quản Lý Dự Án, Đầu Tư Dự Án Xây Dựng, End to End Delivery, Business Operations, Tiếng Anh lưu loát</t>
        </is>
      </c>
      <c r="M3226" s="10" t="inlineStr">
        <is>
          <t>Bonus, Healthcare Plan, Training</t>
        </is>
      </c>
      <c r="N3226" s="11">
        <f>HYPERLINK("https://www.vietnamworks.com/project-manager-set-up-n-global-expansion--2014007-jv","Xem chi tiết")</f>
        <v/>
      </c>
      <c r="O3226" s="10" t="n"/>
    </row>
    <row r="3227">
      <c r="B3227" s="7" t="n">
        <v>3225</v>
      </c>
      <c r="C3227" t="inlineStr">
        <is>
          <t>Kỹ Sư Kỹ Thuật An Toàn</t>
        </is>
      </c>
      <c r="D3227" t="inlineStr">
        <is>
          <t>SEI Electronic Components (Vietnam), Ltd.</t>
        </is>
      </c>
      <c r="E3227" t="inlineStr">
        <is>
          <t>Thương lượng</t>
        </is>
      </c>
      <c r="F3227" t="inlineStr">
        <is>
          <t>Hà Nội</t>
        </is>
      </c>
      <c r="G3227" t="inlineStr">
        <is>
          <t>Nhân viên</t>
        </is>
      </c>
      <c r="H3227" t="inlineStr">
        <is>
          <t>25/02/2026</t>
        </is>
      </c>
      <c r="I3227" t="inlineStr">
        <is>
          <t>27/03/2026</t>
        </is>
      </c>
      <c r="J3227" t="inlineStr">
        <is>
          <t>17/03/2026</t>
        </is>
      </c>
      <c r="K3227" t="inlineStr">
        <is>
          <t>N/A</t>
        </is>
      </c>
      <c r="L3227" t="inlineStr">
        <is>
          <t>Đánh Giá An Toàn Điện, Kỹ Thuật Điện Tử, Quản Lý An Toàn, Giám Sát An Toàn, Safety Control</t>
        </is>
      </c>
      <c r="M3227" t="inlineStr">
        <is>
          <t>Bonus, Transportation, Others</t>
        </is>
      </c>
      <c r="N3227" s="8">
        <f>HYPERLINK("https://www.vietnamworks.com/ky-su-ky-thuat-an-toan--2014017-jv","Xem chi tiết")</f>
        <v/>
      </c>
    </row>
    <row r="3228">
      <c r="B3228" s="9" t="n">
        <v>3226</v>
      </c>
      <c r="C3228" s="10" t="inlineStr">
        <is>
          <t>Trưởng Phòng Kinh Doanh (Mảng Công Viên - Vui Chơi Giải Trí)</t>
        </is>
      </c>
      <c r="D3228" s="10" t="inlineStr">
        <is>
          <t>Công Ty Cổ Phần BB Group</t>
        </is>
      </c>
      <c r="E3228" s="10" t="inlineStr">
        <is>
          <t>Thương lượng</t>
        </is>
      </c>
      <c r="F3228" s="10" t="inlineStr">
        <is>
          <t>Hồ Chí Minh</t>
        </is>
      </c>
      <c r="G3228" s="10" t="inlineStr">
        <is>
          <t>Trưởng phòng</t>
        </is>
      </c>
      <c r="H3228" s="10" t="inlineStr">
        <is>
          <t>25/02/2026</t>
        </is>
      </c>
      <c r="I3228" s="10" t="inlineStr">
        <is>
          <t>27/03/2026</t>
        </is>
      </c>
      <c r="J3228" s="10" t="inlineStr">
        <is>
          <t>17/03/2026</t>
        </is>
      </c>
      <c r="K3228" s="10" t="inlineStr">
        <is>
          <t>N/A</t>
        </is>
      </c>
      <c r="L3228" s="10" t="inlineStr">
        <is>
          <t>Kinh Doanh, Quản Lý Nhân Sự, Phân Tích Thị Trường, Giao Tiếp Đàm Phán, Tư Duy Linh Hoạt</t>
        </is>
      </c>
      <c r="M3228" s="10" t="inlineStr">
        <is>
          <t>Bonus, Healthcare Plan, Others</t>
        </is>
      </c>
      <c r="N3228" s="11">
        <f>HYPERLINK("https://www.vietnamworks.com/truong-phong-kinh-doanh-mang-cong-vien-vui-choi-giai-tri-2014011-jv","Xem chi tiết")</f>
        <v/>
      </c>
      <c r="O3228" s="10" t="n"/>
    </row>
    <row r="3229">
      <c r="B3229" s="7" t="n">
        <v>3227</v>
      </c>
      <c r="C3229" t="inlineStr">
        <is>
          <t>Trưởng Phòng Trải Nghiệm Khách Hàng</t>
        </is>
      </c>
      <c r="D3229" t="inlineStr">
        <is>
          <t>CÔNG TY TNHH GIP GROUP</t>
        </is>
      </c>
      <c r="E3229" t="inlineStr">
        <is>
          <t>Từ 50tr ₫/tháng</t>
        </is>
      </c>
      <c r="F3229" t="inlineStr">
        <is>
          <t>Hà Nội</t>
        </is>
      </c>
      <c r="G3229" t="inlineStr">
        <is>
          <t>Trưởng phòng</t>
        </is>
      </c>
      <c r="H3229" t="inlineStr">
        <is>
          <t>25/02/2026</t>
        </is>
      </c>
      <c r="I3229" t="inlineStr">
        <is>
          <t>27/03/2026</t>
        </is>
      </c>
      <c r="J3229" t="inlineStr">
        <is>
          <t>17/03/2026</t>
        </is>
      </c>
      <c r="K3229" t="inlineStr">
        <is>
          <t>N/A</t>
        </is>
      </c>
      <c r="L3229" t="inlineStr">
        <is>
          <t>Quản Trị Đội Ngũ, Quản Trị Khách Hàng</t>
        </is>
      </c>
      <c r="M3229" t="inlineStr">
        <is>
          <t>Bonus, Healthcare Plan, Paid Leave, Training, Travel Opportunities, Others</t>
        </is>
      </c>
      <c r="N3229" s="8">
        <f>HYPERLINK("https://www.vietnamworks.com/truong-phong-trai-nghiem-khach-hang-2014010-jv","Xem chi tiết")</f>
        <v/>
      </c>
    </row>
    <row r="3230">
      <c r="B3230" s="9" t="n">
        <v>3228</v>
      </c>
      <c r="C3230" s="10" t="inlineStr">
        <is>
          <t>Portfolio Manager, Equity</t>
        </is>
      </c>
      <c r="D3230" s="10" t="inlineStr">
        <is>
          <t>UOB Asset Management (Vietnam)</t>
        </is>
      </c>
      <c r="E3230" s="10" t="inlineStr">
        <is>
          <t>Thương lượng</t>
        </is>
      </c>
      <c r="F3230" s="10" t="inlineStr">
        <is>
          <t>Hồ Chí Minh</t>
        </is>
      </c>
      <c r="G3230" s="10" t="inlineStr">
        <is>
          <t>Trưởng phòng</t>
        </is>
      </c>
      <c r="H3230" s="10" t="inlineStr">
        <is>
          <t>25/02/2026</t>
        </is>
      </c>
      <c r="I3230" s="10" t="inlineStr">
        <is>
          <t>27/03/2026</t>
        </is>
      </c>
      <c r="J3230" s="10" t="inlineStr">
        <is>
          <t>17/03/2026</t>
        </is>
      </c>
      <c r="K3230" s="10" t="inlineStr">
        <is>
          <t>N/A</t>
        </is>
      </c>
      <c r="L3230" s="10" t="inlineStr">
        <is>
          <t>Corporate Law, Financial Services, Portfolio Management, Equity Research, CFA</t>
        </is>
      </c>
      <c r="M3230" s="10" t="inlineStr">
        <is>
          <t>Bonus, Healthcare Plan, Training</t>
        </is>
      </c>
      <c r="N3230" s="11">
        <f>HYPERLINK("https://www.vietnamworks.com/portfolio-manager-equity--2014019-jv","Xem chi tiết")</f>
        <v/>
      </c>
      <c r="O3230" s="10" t="n"/>
    </row>
    <row r="3231">
      <c r="B3231" s="7" t="n">
        <v>3229</v>
      </c>
      <c r="C3231" t="inlineStr">
        <is>
          <t>Kỹ Sư Nghiên Cứu &amp; Phát Triển R&amp;D (Process Engineer)</t>
        </is>
      </c>
      <c r="D3231" t="inlineStr">
        <is>
          <t>SEI Electronic Components (Vietnam), Ltd.</t>
        </is>
      </c>
      <c r="E3231" t="inlineStr">
        <is>
          <t>Thương lượng</t>
        </is>
      </c>
      <c r="F3231" t="inlineStr">
        <is>
          <t>Hà Nội</t>
        </is>
      </c>
      <c r="G3231" t="inlineStr">
        <is>
          <t>Nhân viên</t>
        </is>
      </c>
      <c r="H3231" t="inlineStr">
        <is>
          <t>25/02/2026</t>
        </is>
      </c>
      <c r="I3231" t="inlineStr">
        <is>
          <t>27/03/2026</t>
        </is>
      </c>
      <c r="J3231" t="inlineStr">
        <is>
          <t>17/03/2026</t>
        </is>
      </c>
      <c r="K3231" t="inlineStr">
        <is>
          <t>N/A</t>
        </is>
      </c>
      <c r="L3231" t="inlineStr">
        <is>
          <t>Nghiên Cứu Sản Phẩm, Phát Triển Sản Phẩm, Product Development, Kỹ Thuật Hoá Học, Process Improvement</t>
        </is>
      </c>
      <c r="M3231" t="inlineStr">
        <is>
          <t>Bonus, Transportation, Others</t>
        </is>
      </c>
      <c r="N3231" s="8">
        <f>HYPERLINK("https://www.vietnamworks.com/ky-su-nghien-cuu-phat-trien-r-d-process-engineer--2014013-jv","Xem chi tiết")</f>
        <v/>
      </c>
    </row>
    <row r="3232">
      <c r="B3232" s="9" t="n">
        <v>3230</v>
      </c>
      <c r="C3232" s="10" t="inlineStr">
        <is>
          <t>Trưởng Phòng Kế Toán Kiêm Tư Vấn Tài Chính</t>
        </is>
      </c>
      <c r="D3232" s="10" t="inlineStr">
        <is>
          <t>Công Ty TNHH SPS Việt Nam</t>
        </is>
      </c>
      <c r="E3232" s="10" t="inlineStr">
        <is>
          <t>25tr-40tr ₫/tháng</t>
        </is>
      </c>
      <c r="F3232" s="10" t="inlineStr">
        <is>
          <t>Hồ Chí Minh</t>
        </is>
      </c>
      <c r="G3232" s="10" t="inlineStr">
        <is>
          <t>Trưởng phòng</t>
        </is>
      </c>
      <c r="H3232" s="10" t="inlineStr">
        <is>
          <t>25/02/2026</t>
        </is>
      </c>
      <c r="I3232" s="10" t="inlineStr">
        <is>
          <t>27/03/2026</t>
        </is>
      </c>
      <c r="J3232" s="10" t="inlineStr">
        <is>
          <t>17/03/2026</t>
        </is>
      </c>
      <c r="K3232" s="10" t="inlineStr">
        <is>
          <t>N/A</t>
        </is>
      </c>
      <c r="L3232" s="10" t="inlineStr">
        <is>
          <t>Quản Lý Kế Toán, Phân Tích Tài Chính, Kiểm Soát Nội Bộ, CPA, Pháp Luật</t>
        </is>
      </c>
      <c r="M3232" s="10" t="inlineStr">
        <is>
          <t>Bonus, Healthcare Plan, Training, Travel Opportunities, Others</t>
        </is>
      </c>
      <c r="N3232" s="11">
        <f>HYPERLINK("https://www.vietnamworks.com/truong-phong-ke-toan-kiem-tu-van-tai-chinh-2014022-jv","Xem chi tiết")</f>
        <v/>
      </c>
      <c r="O3232" s="10" t="n"/>
    </row>
    <row r="3233">
      <c r="B3233" s="7" t="n">
        <v>3231</v>
      </c>
      <c r="C3233" t="inlineStr">
        <is>
          <t>Giám Sát Bán Hàng Kênh GT Khu Vực Ninh Bình</t>
        </is>
      </c>
      <c r="D3233" t="inlineStr">
        <is>
          <t>Công Ty Cổ Phần Thực Phẩm Hữu Nghị</t>
        </is>
      </c>
      <c r="E3233" t="inlineStr">
        <is>
          <t>$$ 700-1,000 /tháng</t>
        </is>
      </c>
      <c r="F3233" t="inlineStr">
        <is>
          <t>Ninh Bình</t>
        </is>
      </c>
      <c r="G3233" t="inlineStr">
        <is>
          <t>Nhân viên</t>
        </is>
      </c>
      <c r="H3233" t="inlineStr">
        <is>
          <t>25/02/2026</t>
        </is>
      </c>
      <c r="I3233" t="inlineStr">
        <is>
          <t>27/03/2026</t>
        </is>
      </c>
      <c r="J3233" t="inlineStr">
        <is>
          <t>17/03/2026</t>
        </is>
      </c>
      <c r="K3233" t="inlineStr">
        <is>
          <t>N/A</t>
        </is>
      </c>
      <c r="L3233" t="inlineStr">
        <is>
          <t>Kinh Doanh, Hàng Tiêu Dùng, FMCG, Giám Sát Bán Hàng, Quản Lý Đội Nhóm</t>
        </is>
      </c>
      <c r="M3233" t="inlineStr">
        <is>
          <t>Bonus, Transportation, Canteen</t>
        </is>
      </c>
      <c r="N3233" s="8">
        <f>HYPERLINK("https://www.vietnamworks.com/giam-sat-ban-hang-kenh-gt-khu-vuc-ninh-binh--2014020-jv","Xem chi tiết")</f>
        <v/>
      </c>
    </row>
    <row r="3234">
      <c r="B3234" s="9" t="n">
        <v>3232</v>
      </c>
      <c r="C3234" s="10" t="inlineStr">
        <is>
          <t>Senior Demand Analyst</t>
        </is>
      </c>
      <c r="D3234" s="10" t="inlineStr">
        <is>
          <t>Công Ty Cổ Phần Vàng Bạc Đá Quý Phú Nhuận (PNJ)</t>
        </is>
      </c>
      <c r="E3234" s="10" t="inlineStr">
        <is>
          <t>Thương lượng</t>
        </is>
      </c>
      <c r="F3234" s="10" t="inlineStr">
        <is>
          <t>Hồ Chí Minh</t>
        </is>
      </c>
      <c r="G3234" s="10" t="inlineStr">
        <is>
          <t>Nhân viên</t>
        </is>
      </c>
      <c r="H3234" s="10" t="inlineStr">
        <is>
          <t>25/02/2026</t>
        </is>
      </c>
      <c r="I3234" s="10" t="inlineStr">
        <is>
          <t>27/03/2026</t>
        </is>
      </c>
      <c r="J3234" s="10" t="inlineStr">
        <is>
          <t>17/03/2026</t>
        </is>
      </c>
      <c r="K3234" s="10" t="inlineStr">
        <is>
          <t>N/A</t>
        </is>
      </c>
      <c r="L3234" s="10" t="inlineStr">
        <is>
          <t>Communication, Data Management, Market Analysis, Power BI, SQL</t>
        </is>
      </c>
      <c r="M3234" s="10" t="inlineStr">
        <is>
          <t>Bonus</t>
        </is>
      </c>
      <c r="N3234" s="11">
        <f>HYPERLINK("https://www.vietnamworks.com/senior-demand-analyst-2014024-jv","Xem chi tiết")</f>
        <v/>
      </c>
      <c r="O3234" s="10" t="n"/>
    </row>
    <row r="3235">
      <c r="B3235" s="7" t="n">
        <v>3233</v>
      </c>
      <c r="C3235" t="inlineStr">
        <is>
          <t>Kế Toán Tổng Hợp</t>
        </is>
      </c>
      <c r="D3235" t="inlineStr">
        <is>
          <t>Công ty cổ phần xây dựng bất động sản Việt Nam</t>
        </is>
      </c>
      <c r="E3235" t="inlineStr">
        <is>
          <t>Thương lượng</t>
        </is>
      </c>
      <c r="F3235" t="inlineStr">
        <is>
          <t>Hà Nội</t>
        </is>
      </c>
      <c r="G3235" t="inlineStr">
        <is>
          <t>Nhân viên</t>
        </is>
      </c>
      <c r="H3235" t="inlineStr">
        <is>
          <t>25/02/2026</t>
        </is>
      </c>
      <c r="I3235" t="inlineStr">
        <is>
          <t>27/03/2026</t>
        </is>
      </c>
      <c r="J3235" t="inlineStr">
        <is>
          <t>17/03/2026</t>
        </is>
      </c>
      <c r="K3235" t="inlineStr">
        <is>
          <t>N/A</t>
        </is>
      </c>
      <c r="L3235" t="inlineStr">
        <is>
          <t>Báo Cáo Tài Chính, Phần Mềm Kế Toán, Quyết Toán Thuế, Theo Dõi Công Nợ, Chứng Từ Kế Toán</t>
        </is>
      </c>
      <c r="M3235" t="inlineStr">
        <is>
          <t>Bonus, Healthcare Plan, Others</t>
        </is>
      </c>
      <c r="N3235" s="8">
        <f>HYPERLINK("https://www.vietnamworks.com/ke-toan-tong-hop-2014046-jv","Xem chi tiết")</f>
        <v/>
      </c>
    </row>
    <row r="3236">
      <c r="B3236" s="9" t="n">
        <v>3234</v>
      </c>
      <c r="C3236" s="10" t="inlineStr">
        <is>
          <t>Nhân Viên Kinh Doanh Logistics</t>
        </is>
      </c>
      <c r="D3236" s="10" t="inlineStr">
        <is>
          <t>Thami Corporation</t>
        </is>
      </c>
      <c r="E3236" s="10" t="inlineStr">
        <is>
          <t>$$ 320-5,000 /tháng</t>
        </is>
      </c>
      <c r="F3236" s="10" t="inlineStr">
        <is>
          <t>Hồ Chí Minh, Đồng Nai, Bình Dương</t>
        </is>
      </c>
      <c r="G3236" s="10" t="inlineStr">
        <is>
          <t>Nhân viên</t>
        </is>
      </c>
      <c r="H3236" s="10" t="inlineStr">
        <is>
          <t>25/02/2026</t>
        </is>
      </c>
      <c r="I3236" s="10" t="inlineStr">
        <is>
          <t>27/03/2026</t>
        </is>
      </c>
      <c r="J3236" s="10" t="inlineStr">
        <is>
          <t>17/03/2026</t>
        </is>
      </c>
      <c r="K3236" s="10" t="inlineStr">
        <is>
          <t>N/A</t>
        </is>
      </c>
      <c r="L3236" s="10" t="inlineStr">
        <is>
          <t>Bán Hàng, Tìm Kiếm Khách Hàng, Xuất Nhập Khẩu, Logistics, Kinh Doanh</t>
        </is>
      </c>
      <c r="M3236" s="10" t="inlineStr">
        <is>
          <t>Bonus, Healthcare Plan, Paid Leave</t>
        </is>
      </c>
      <c r="N3236" s="11">
        <f>HYPERLINK("https://www.vietnamworks.com/nhan-vien-kinh-doanh-logistics--2014031-jv","Xem chi tiết")</f>
        <v/>
      </c>
      <c r="O3236" s="10" t="n"/>
    </row>
    <row r="3237">
      <c r="B3237" s="7" t="n">
        <v>3235</v>
      </c>
      <c r="C3237" t="inlineStr">
        <is>
          <t>Nhân Viên Kế Toán</t>
        </is>
      </c>
      <c r="D3237" t="inlineStr">
        <is>
          <t>Công Ty TNHH Dược Kim Đô</t>
        </is>
      </c>
      <c r="E3237" t="inlineStr">
        <is>
          <t>Thương lượng</t>
        </is>
      </c>
      <c r="F3237" t="inlineStr">
        <is>
          <t>Hồ Chí Minh</t>
        </is>
      </c>
      <c r="G3237" t="inlineStr">
        <is>
          <t>Nhân viên</t>
        </is>
      </c>
      <c r="H3237" t="inlineStr">
        <is>
          <t>25/02/2026</t>
        </is>
      </c>
      <c r="I3237" t="inlineStr">
        <is>
          <t>27/03/2026</t>
        </is>
      </c>
      <c r="J3237" t="inlineStr">
        <is>
          <t>17/03/2026</t>
        </is>
      </c>
      <c r="K3237" t="inlineStr">
        <is>
          <t>N/A</t>
        </is>
      </c>
      <c r="L3237" t="inlineStr">
        <is>
          <t>Nhập Liệu, Thống Kê, Kiểm Kê Kho Hàng, Kiểm Soát Hàng Tồn, Trung Thực</t>
        </is>
      </c>
      <c r="M3237" t="inlineStr">
        <is>
          <t>Training, Others</t>
        </is>
      </c>
      <c r="N3237" s="8">
        <f>HYPERLINK("https://www.vietnamworks.com/nhan-vien-ke-toan-2014032-jv","Xem chi tiết")</f>
        <v/>
      </c>
    </row>
    <row r="3238">
      <c r="B3238" s="9" t="n">
        <v>3236</v>
      </c>
      <c r="C3238" s="10" t="inlineStr">
        <is>
          <t>Kỹ Sư Thiết Kế Kết Cấu Bao Che Và Bóc Tách Khối Lượng (15 – 17 Triệu + Thưởng Theo Hiệu Quả Dự Án + Chế Độ Khác)</t>
        </is>
      </c>
      <c r="D3238" s="10" t="inlineStr">
        <is>
          <t>Công Ty CP Việt Hưng Phát</t>
        </is>
      </c>
      <c r="E3238" s="10" t="inlineStr">
        <is>
          <t>Thương lượng</t>
        </is>
      </c>
      <c r="F3238" s="10" t="inlineStr">
        <is>
          <t>Hà Nội</t>
        </is>
      </c>
      <c r="G3238" s="10" t="inlineStr">
        <is>
          <t>Nhân viên</t>
        </is>
      </c>
      <c r="H3238" s="10" t="inlineStr">
        <is>
          <t>25/02/2026</t>
        </is>
      </c>
      <c r="I3238" s="10" t="inlineStr">
        <is>
          <t>27/03/2026</t>
        </is>
      </c>
      <c r="J3238" s="10" t="inlineStr">
        <is>
          <t>17/03/2026</t>
        </is>
      </c>
      <c r="K3238" s="10" t="inlineStr">
        <is>
          <t>N/A</t>
        </is>
      </c>
      <c r="L3238" s="10" t="inlineStr">
        <is>
          <t>AutoCAD, Thiết Kế Xây Dựng, Quản Lý Dự Án, Dự Toán, Triển Khai Bản Vẽ</t>
        </is>
      </c>
      <c r="M3238" s="10" t="inlineStr">
        <is>
          <t>Bonus, Healthcare Plan, Training, Others</t>
        </is>
      </c>
      <c r="N3238" s="11">
        <f>HYPERLINK("https://www.vietnamworks.com/ky-su-thiet-ke-ket-cau-bao-che-va-boc-tach-khoi-luong-15-17-trieu-thuong-theo-hieu-qua-du-an-che-do-khac-2014025-jv","Xem chi tiết")</f>
        <v/>
      </c>
      <c r="O3238" s="10" t="n"/>
    </row>
    <row r="3239">
      <c r="B3239" s="7" t="n">
        <v>3237</v>
      </c>
      <c r="C3239" t="inlineStr">
        <is>
          <t>Chuyên Viên Hợp Đồng - Đấu Thầu</t>
        </is>
      </c>
      <c r="D3239" t="inlineStr">
        <is>
          <t>Tổng Công Ty Phát Điện 3 - EVNGENCO3</t>
        </is>
      </c>
      <c r="E3239" t="inlineStr">
        <is>
          <t>Thương lượng</t>
        </is>
      </c>
      <c r="F3239" t="inlineStr">
        <is>
          <t>Hồ Chí Minh</t>
        </is>
      </c>
      <c r="G3239" t="inlineStr">
        <is>
          <t>Nhân viên</t>
        </is>
      </c>
      <c r="H3239" t="inlineStr">
        <is>
          <t>25/02/2026</t>
        </is>
      </c>
      <c r="I3239" t="inlineStr">
        <is>
          <t>27/03/2026</t>
        </is>
      </c>
      <c r="J3239" t="inlineStr">
        <is>
          <t>17/03/2026</t>
        </is>
      </c>
      <c r="K3239" t="inlineStr">
        <is>
          <t>N/A</t>
        </is>
      </c>
      <c r="L3239" t="inlineStr">
        <is>
          <t>Chuẩn Bị Hồ Sơ Đấu Thầu, Soạn Thảo Hợp Đồng, Tiếng Anh, Luật, Khai Báo Hải Quan</t>
        </is>
      </c>
      <c r="M3239" t="inlineStr">
        <is>
          <t>Bonus, Training, Others</t>
        </is>
      </c>
      <c r="N3239" s="8">
        <f>HYPERLINK("https://www.vietnamworks.com/chuyen-vien-hop-dong-dau-thau--2014026-jv","Xem chi tiết")</f>
        <v/>
      </c>
    </row>
    <row r="3240">
      <c r="B3240" s="9" t="n">
        <v>3238</v>
      </c>
      <c r="C3240" s="10" t="inlineStr">
        <is>
          <t>Technical Designer</t>
        </is>
      </c>
      <c r="D3240" s="10" t="inlineStr">
        <is>
          <t>CÔNG TY TNHH GLOBAL POONGIN VINA</t>
        </is>
      </c>
      <c r="E3240" s="10" t="inlineStr">
        <is>
          <t>Thương lượng</t>
        </is>
      </c>
      <c r="F3240" s="10" t="inlineStr">
        <is>
          <t>Hồ Chí Minh, Hải Phòng</t>
        </is>
      </c>
      <c r="G3240" s="10" t="inlineStr">
        <is>
          <t>Nhân viên</t>
        </is>
      </c>
      <c r="H3240" s="10" t="inlineStr">
        <is>
          <t>25/02/2026</t>
        </is>
      </c>
      <c r="I3240" s="10" t="inlineStr">
        <is>
          <t>27/03/2026</t>
        </is>
      </c>
      <c r="J3240" s="10" t="inlineStr">
        <is>
          <t>17/03/2026</t>
        </is>
      </c>
      <c r="K3240" s="10" t="inlineStr">
        <is>
          <t>N/A</t>
        </is>
      </c>
      <c r="L3240" s="10" t="inlineStr">
        <is>
          <t>Technical Design, Garment Technical Design, Optitex, Garment Fitting, Garment</t>
        </is>
      </c>
      <c r="M3240" s="10" t="inlineStr">
        <is>
          <t>Bonus, Healthcare Plan, Canteen</t>
        </is>
      </c>
      <c r="N3240" s="11">
        <f>HYPERLINK("https://www.vietnamworks.com/technical-designer--2014050-jv","Xem chi tiết")</f>
        <v/>
      </c>
      <c r="O3240" s="10" t="n"/>
    </row>
    <row r="3241">
      <c r="B3241" s="7" t="n">
        <v>3239</v>
      </c>
      <c r="C3241" t="inlineStr">
        <is>
          <t>Trưởng Ban Quản Lý Dự Án</t>
        </is>
      </c>
      <c r="D3241" t="inlineStr">
        <is>
          <t>Công ty cổ phần xây dựng bất động sản Việt Nam</t>
        </is>
      </c>
      <c r="E3241" t="inlineStr">
        <is>
          <t>Thương lượng</t>
        </is>
      </c>
      <c r="F3241" t="inlineStr">
        <is>
          <t>Thái Nguyên</t>
        </is>
      </c>
      <c r="G3241" t="inlineStr">
        <is>
          <t>Trưởng phòng</t>
        </is>
      </c>
      <c r="H3241" t="inlineStr">
        <is>
          <t>25/02/2026</t>
        </is>
      </c>
      <c r="I3241" t="inlineStr">
        <is>
          <t>27/03/2026</t>
        </is>
      </c>
      <c r="J3241" t="inlineStr">
        <is>
          <t>17/03/2026</t>
        </is>
      </c>
      <c r="K3241" t="inlineStr">
        <is>
          <t>N/A</t>
        </is>
      </c>
      <c r="L3241" t="inlineStr">
        <is>
          <t>Kiểm Soát Hợp Đồng, Pháp Lý Dự Án, Quản Lý Dự Án, Quản Lý Ngân Sách, Quản Lý Rủi Ro</t>
        </is>
      </c>
      <c r="M3241" t="inlineStr">
        <is>
          <t>Bonus, Healthcare Plan, Team Activities, Others</t>
        </is>
      </c>
      <c r="N3241" s="8">
        <f>HYPERLINK("https://www.vietnamworks.com/truong-ban-quan-ly-du-an-2014048-jv","Xem chi tiết")</f>
        <v/>
      </c>
    </row>
    <row r="3242">
      <c r="B3242" s="9" t="n">
        <v>3240</v>
      </c>
      <c r="C3242" s="10" t="inlineStr">
        <is>
          <t>Nhân Viên Phòng Nhân Sự, Hội Sở Chính</t>
        </is>
      </c>
      <c r="D3242" s="10" t="inlineStr">
        <is>
          <t>Public Bank Vietnam Ltd</t>
        </is>
      </c>
      <c r="E3242" s="10" t="inlineStr">
        <is>
          <t>$$ 490-600 /tháng</t>
        </is>
      </c>
      <c r="F3242" s="10" t="inlineStr">
        <is>
          <t>Hà Nội</t>
        </is>
      </c>
      <c r="G3242" s="10" t="inlineStr">
        <is>
          <t>Nhân viên</t>
        </is>
      </c>
      <c r="H3242" s="10" t="inlineStr">
        <is>
          <t>25/02/2026</t>
        </is>
      </c>
      <c r="I3242" s="10" t="inlineStr">
        <is>
          <t>27/03/2026</t>
        </is>
      </c>
      <c r="J3242" s="10" t="inlineStr">
        <is>
          <t>17/03/2026</t>
        </is>
      </c>
      <c r="K3242" s="10" t="inlineStr">
        <is>
          <t>N/A</t>
        </is>
      </c>
      <c r="L3242" s="10" t="inlineStr">
        <is>
          <t>Tuyển Dụng, Quản Trị Nhân Lực, Lập Kế Hoạch, Nhân Sự, Quản Lý Thông Tin Nhân Sự</t>
        </is>
      </c>
      <c r="M3242" s="10" t="inlineStr">
        <is>
          <t>Bonus, Training</t>
        </is>
      </c>
      <c r="N3242" s="11">
        <f>HYPERLINK("https://www.vietnamworks.com/nhan-vien-phong-nhan-su-hoi-so-chinh-2-1-1--2014043-jv","Xem chi tiết")</f>
        <v/>
      </c>
      <c r="O3242" s="10" t="n"/>
    </row>
    <row r="3243">
      <c r="B3243" s="7" t="n">
        <v>3241</v>
      </c>
      <c r="C3243" t="inlineStr">
        <is>
          <t>Nhân Viên Đào Tạo &amp; Phát Triển Nhân Tài (HCM)</t>
        </is>
      </c>
      <c r="D3243" t="inlineStr">
        <is>
          <t>Sunjin Vina Co., Ltd</t>
        </is>
      </c>
      <c r="E3243" t="inlineStr">
        <is>
          <t>$$ 500-700 /tháng</t>
        </is>
      </c>
      <c r="F3243" t="inlineStr">
        <is>
          <t>Hồ Chí Minh</t>
        </is>
      </c>
      <c r="G3243" t="inlineStr">
        <is>
          <t>Nhân viên</t>
        </is>
      </c>
      <c r="H3243" t="inlineStr">
        <is>
          <t>25/02/2026</t>
        </is>
      </c>
      <c r="I3243" t="inlineStr">
        <is>
          <t>27/03/2026</t>
        </is>
      </c>
      <c r="J3243" t="inlineStr">
        <is>
          <t>17/03/2026</t>
        </is>
      </c>
      <c r="K3243" t="inlineStr">
        <is>
          <t>N/A</t>
        </is>
      </c>
      <c r="L3243" t="inlineStr">
        <is>
          <t>Truyền Thông Nội Bộ, Training, Tiếng Anh, Nhân Sự, Human Resources</t>
        </is>
      </c>
      <c r="M3243" t="inlineStr">
        <is>
          <t>Laptop, Transportation, Others</t>
        </is>
      </c>
      <c r="N3243" s="8">
        <f>HYPERLINK("https://www.vietnamworks.com/nhan-vien-dao-tao-phat-trien-nhan-tai-hcm-2014044-jv","Xem chi tiết")</f>
        <v/>
      </c>
    </row>
    <row r="3244">
      <c r="B3244" s="9" t="n">
        <v>3242</v>
      </c>
      <c r="C3244" s="10" t="inlineStr">
        <is>
          <t>Chuyên Viên Kho Vật Tư</t>
        </is>
      </c>
      <c r="D3244" s="10" t="inlineStr">
        <is>
          <t>Tổng Công Ty Phát Điện 3 - EVNGENCO3</t>
        </is>
      </c>
      <c r="E3244" s="10" t="inlineStr">
        <is>
          <t>Thương lượng</t>
        </is>
      </c>
      <c r="F3244" s="10" t="inlineStr">
        <is>
          <t>Bà Rịa - Vũng Tàu</t>
        </is>
      </c>
      <c r="G3244" s="10" t="inlineStr">
        <is>
          <t>Nhân viên</t>
        </is>
      </c>
      <c r="H3244" s="10" t="inlineStr">
        <is>
          <t>25/02/2026</t>
        </is>
      </c>
      <c r="I3244" s="10" t="inlineStr">
        <is>
          <t>27/03/2026</t>
        </is>
      </c>
      <c r="J3244" s="10" t="inlineStr">
        <is>
          <t>17/03/2026</t>
        </is>
      </c>
      <c r="K3244" s="10" t="inlineStr">
        <is>
          <t>N/A</t>
        </is>
      </c>
      <c r="L3244" s="10" t="inlineStr">
        <is>
          <t>Warehouse Management, Quản Lý Kho, Quản Lý Kho Vật Tư, thủ kho, Theo Dõi Tồn Kho</t>
        </is>
      </c>
      <c r="M3244" s="10" t="inlineStr">
        <is>
          <t>Bonus, Training, Others</t>
        </is>
      </c>
      <c r="N3244" s="11">
        <f>HYPERLINK("https://www.vietnamworks.com/chuyen-vien-kho-vat-tu-2014029-jv","Xem chi tiết")</f>
        <v/>
      </c>
      <c r="O3244" s="10" t="n"/>
    </row>
    <row r="3245">
      <c r="B3245" s="7" t="n">
        <v>3243</v>
      </c>
      <c r="C3245" t="inlineStr">
        <is>
          <t>Nhân Viên Phụ Kho</t>
        </is>
      </c>
      <c r="D3245" t="inlineStr">
        <is>
          <t>Tổng Công Ty Phát Điện 3 - EVNGENCO3</t>
        </is>
      </c>
      <c r="E3245" t="inlineStr">
        <is>
          <t>Thương lượng</t>
        </is>
      </c>
      <c r="F3245" t="inlineStr">
        <is>
          <t>Bà Rịa - Vũng Tàu</t>
        </is>
      </c>
      <c r="G3245" t="inlineStr">
        <is>
          <t>Nhân viên</t>
        </is>
      </c>
      <c r="H3245" t="inlineStr">
        <is>
          <t>25/02/2026</t>
        </is>
      </c>
      <c r="I3245" t="inlineStr">
        <is>
          <t>27/03/2026</t>
        </is>
      </c>
      <c r="J3245" t="inlineStr">
        <is>
          <t>17/03/2026</t>
        </is>
      </c>
      <c r="K3245" t="inlineStr">
        <is>
          <t>N/A</t>
        </is>
      </c>
      <c r="L3245" t="inlineStr">
        <is>
          <t>Warehouse Management, thủ kho, Phân Loại Hàng Hóa, Thủ Tục Nhập Hàng, Xử Lý Công Việc</t>
        </is>
      </c>
      <c r="M3245" t="inlineStr">
        <is>
          <t>Bonus, Training, Others</t>
        </is>
      </c>
      <c r="N3245" s="8">
        <f>HYPERLINK("https://www.vietnamworks.com/nhan-vien-phu-kho--2014033-jv","Xem chi tiết")</f>
        <v/>
      </c>
    </row>
    <row r="3246">
      <c r="B3246" s="9" t="n">
        <v>3244</v>
      </c>
      <c r="C3246" s="10" t="inlineStr">
        <is>
          <t>Chỉ Huy Trưởng Quản Lý Dự Án Thi Công Xây Dựng</t>
        </is>
      </c>
      <c r="D3246" s="10" t="inlineStr">
        <is>
          <t>Công ty cổ phần xây dựng bất động sản Việt Nam</t>
        </is>
      </c>
      <c r="E3246" s="10" t="inlineStr">
        <is>
          <t>Thương lượng</t>
        </is>
      </c>
      <c r="F3246" s="10" t="inlineStr">
        <is>
          <t>Thái Nguyên</t>
        </is>
      </c>
      <c r="G3246" s="10" t="inlineStr">
        <is>
          <t>Trưởng phòng</t>
        </is>
      </c>
      <c r="H3246" s="10" t="inlineStr">
        <is>
          <t>25/02/2026</t>
        </is>
      </c>
      <c r="I3246" s="10" t="inlineStr">
        <is>
          <t>27/03/2026</t>
        </is>
      </c>
      <c r="J3246" s="10" t="inlineStr">
        <is>
          <t>17/03/2026</t>
        </is>
      </c>
      <c r="K3246" s="10" t="inlineStr">
        <is>
          <t>N/A</t>
        </is>
      </c>
      <c r="L3246" s="10" t="inlineStr">
        <is>
          <t>Ms Project, Quản Lý An Toàn, Quản Lý Chất Lượng, Quản Lý Chi Phí, Quản Lý Dự Án</t>
        </is>
      </c>
      <c r="M3246" s="10" t="inlineStr">
        <is>
          <t>Bonus, Healthcare Plan, Paid Leave, Team Activities, Others</t>
        </is>
      </c>
      <c r="N3246" s="11">
        <f>HYPERLINK("https://www.vietnamworks.com/chi-huy-truong-quan-ly-du-an-thi-cong-xay-dung-2014034-jv","Xem chi tiết")</f>
        <v/>
      </c>
      <c r="O3246" s="10" t="n"/>
    </row>
    <row r="3247">
      <c r="B3247" s="7" t="n">
        <v>3245</v>
      </c>
      <c r="C3247" t="inlineStr">
        <is>
          <t>Chuyên Viên Chăm Sóc Khách Hàng | Customer Service Executive - English Speaking</t>
        </is>
      </c>
      <c r="D3247" t="inlineStr">
        <is>
          <t>Công ty Cổ phần Long Hậu</t>
        </is>
      </c>
      <c r="E3247" t="inlineStr">
        <is>
          <t>$$ 800-1,200 /tháng</t>
        </is>
      </c>
      <c r="F3247" t="inlineStr">
        <is>
          <t>Tây Ninh, Hồ Chí Minh</t>
        </is>
      </c>
      <c r="G3247" t="inlineStr">
        <is>
          <t>Nhân viên</t>
        </is>
      </c>
      <c r="H3247" t="inlineStr">
        <is>
          <t>25/02/2026</t>
        </is>
      </c>
      <c r="I3247" t="inlineStr">
        <is>
          <t>27/03/2026</t>
        </is>
      </c>
      <c r="J3247" t="inlineStr">
        <is>
          <t>17/03/2026</t>
        </is>
      </c>
      <c r="K3247" t="inlineStr">
        <is>
          <t>N/A</t>
        </is>
      </c>
      <c r="L3247" t="inlineStr">
        <is>
          <t>Quản Trị Kinh Doanh, Kinh Tế, Đối Ngoại, Ngoại ngữ, Giải quyết vấn đề</t>
        </is>
      </c>
      <c r="M3247" t="inlineStr">
        <is>
          <t>Bonus, Healthcare Plan, Training, Travel Opportunities, Transportation</t>
        </is>
      </c>
      <c r="N3247" s="8">
        <f>HYPERLINK("https://www.vietnamworks.com/chuyen-vien-cham-soc-khach-hang-customer-service-executive-english-speaking-2014045-jv","Xem chi tiết")</f>
        <v/>
      </c>
    </row>
    <row r="3248">
      <c r="B3248" s="9" t="n">
        <v>3246</v>
      </c>
      <c r="C3248" s="10" t="inlineStr">
        <is>
          <t>Chuyên Viên Kế Toán Thanh Toán Công Nợ</t>
        </is>
      </c>
      <c r="D3248" s="10" t="inlineStr">
        <is>
          <t>Tổng Công Ty Phát Điện 3 - EVNGENCO3</t>
        </is>
      </c>
      <c r="E3248" s="10" t="inlineStr">
        <is>
          <t>Thương lượng</t>
        </is>
      </c>
      <c r="F3248" s="10" t="inlineStr">
        <is>
          <t>Hồ Chí Minh</t>
        </is>
      </c>
      <c r="G3248" s="10" t="inlineStr">
        <is>
          <t>Nhân viên</t>
        </is>
      </c>
      <c r="H3248" s="10" t="inlineStr">
        <is>
          <t>25/02/2026</t>
        </is>
      </c>
      <c r="I3248" s="10" t="inlineStr">
        <is>
          <t>27/03/2026</t>
        </is>
      </c>
      <c r="J3248" s="10" t="inlineStr">
        <is>
          <t>17/03/2026</t>
        </is>
      </c>
      <c r="K3248" s="10" t="inlineStr">
        <is>
          <t>N/A</t>
        </is>
      </c>
      <c r="L3248" s="10" t="inlineStr">
        <is>
          <t>Phần Mềm Kế Toán, Excel, Thanh Toán Công Nợ, Accounts Payable, Tiếng Anh</t>
        </is>
      </c>
      <c r="M3248" s="10" t="inlineStr">
        <is>
          <t>Bonus, Training, Others</t>
        </is>
      </c>
      <c r="N3248" s="11">
        <f>HYPERLINK("https://www.vietnamworks.com/chuyen-vien-ke-toan-thanh-toan-cong-no--2014051-jv","Xem chi tiết")</f>
        <v/>
      </c>
      <c r="O3248" s="10" t="n"/>
    </row>
    <row r="3249">
      <c r="B3249" s="7" t="n">
        <v>3247</v>
      </c>
      <c r="C3249" t="inlineStr">
        <is>
          <t>Chuyên Viên Xây Dựng Cơ Bản Dự Toán</t>
        </is>
      </c>
      <c r="D3249" t="inlineStr">
        <is>
          <t>Tổng Công Ty Phát Điện 3 - EVNGENCO3</t>
        </is>
      </c>
      <c r="E3249" t="inlineStr">
        <is>
          <t>Thương lượng</t>
        </is>
      </c>
      <c r="F3249" t="inlineStr">
        <is>
          <t>Hồ Chí Minh</t>
        </is>
      </c>
      <c r="G3249" t="inlineStr">
        <is>
          <t>Nhân viên</t>
        </is>
      </c>
      <c r="H3249" t="inlineStr">
        <is>
          <t>25/02/2026</t>
        </is>
      </c>
      <c r="I3249" t="inlineStr">
        <is>
          <t>27/03/2026</t>
        </is>
      </c>
      <c r="J3249" t="inlineStr">
        <is>
          <t>17/03/2026</t>
        </is>
      </c>
      <c r="K3249" t="inlineStr">
        <is>
          <t>N/A</t>
        </is>
      </c>
      <c r="L3249" t="inlineStr">
        <is>
          <t>Lập Dự Toán, Bóc Tách Khối Lượng, Luật Xây Dựng, G8 Estimating Software, AutoCAD Tool</t>
        </is>
      </c>
      <c r="M3249" t="inlineStr">
        <is>
          <t>Bonus, Training, Others</t>
        </is>
      </c>
      <c r="N3249" s="8">
        <f>HYPERLINK("https://www.vietnamworks.com/chuyen-vien-xay-dung-co-ban-du-toan-2014040-jv","Xem chi tiết")</f>
        <v/>
      </c>
    </row>
    <row r="3250">
      <c r="B3250" s="9" t="n">
        <v>3248</v>
      </c>
      <c r="C3250" s="10" t="inlineStr">
        <is>
          <t>Chuyên Viên Công Nghệ Thông Tin</t>
        </is>
      </c>
      <c r="D3250" s="10" t="inlineStr">
        <is>
          <t>Tổng Công Ty Phát Điện 3 - EVNGENCO3</t>
        </is>
      </c>
      <c r="E3250" s="10" t="inlineStr">
        <is>
          <t>Thương lượng</t>
        </is>
      </c>
      <c r="F3250" s="10" t="inlineStr">
        <is>
          <t>Hồ Chí Minh</t>
        </is>
      </c>
      <c r="G3250" s="10" t="inlineStr">
        <is>
          <t>Nhân viên</t>
        </is>
      </c>
      <c r="H3250" s="10" t="inlineStr">
        <is>
          <t>25/02/2026</t>
        </is>
      </c>
      <c r="I3250" s="10" t="inlineStr">
        <is>
          <t>27/03/2026</t>
        </is>
      </c>
      <c r="J3250" s="10" t="inlineStr">
        <is>
          <t>17/03/2026</t>
        </is>
      </c>
      <c r="K3250" s="10" t="inlineStr">
        <is>
          <t>N/A</t>
        </is>
      </c>
      <c r="L3250" s="10" t="inlineStr">
        <is>
          <t>IT System Administration, Công Nghệ Thông Tin, Tiếng Anh, Java, Big Data</t>
        </is>
      </c>
      <c r="M3250" s="10" t="inlineStr">
        <is>
          <t>Bonus, Training, Others</t>
        </is>
      </c>
      <c r="N3250" s="11">
        <f>HYPERLINK("https://www.vietnamworks.com/chuyen-vien-cong-nghe-thong-tin--2014047-jv","Xem chi tiết")</f>
        <v/>
      </c>
      <c r="O3250" s="10" t="n"/>
    </row>
    <row r="3251">
      <c r="B3251" s="7" t="n">
        <v>3249</v>
      </c>
      <c r="C3251" t="inlineStr">
        <is>
          <t>Chủ Trì Kết Cấu</t>
        </is>
      </c>
      <c r="D3251" t="inlineStr">
        <is>
          <t>BIM Group</t>
        </is>
      </c>
      <c r="E3251" t="inlineStr">
        <is>
          <t>Thương lượng</t>
        </is>
      </c>
      <c r="F3251" t="inlineStr">
        <is>
          <t>Hà Nội</t>
        </is>
      </c>
      <c r="G3251" t="inlineStr">
        <is>
          <t>Nhân viên</t>
        </is>
      </c>
      <c r="H3251" t="inlineStr">
        <is>
          <t>25/02/2026</t>
        </is>
      </c>
      <c r="I3251" t="inlineStr">
        <is>
          <t>27/03/2026</t>
        </is>
      </c>
      <c r="J3251" t="inlineStr">
        <is>
          <t>17/03/2026</t>
        </is>
      </c>
      <c r="K3251" t="inlineStr">
        <is>
          <t>N/A</t>
        </is>
      </c>
      <c r="L3251" t="inlineStr">
        <is>
          <t>Kết cấu, Thiết Kế Kết Cấu, Kết Cấu Công Trình, Chủ Trì Kết Cấu, Kết Cấu Dự Ứng Lực Căng Sau</t>
        </is>
      </c>
      <c r="M3251" t="inlineStr">
        <is>
          <t>Bonus, Healthcare Plan, Training</t>
        </is>
      </c>
      <c r="N3251" s="8">
        <f>HYPERLINK("https://www.vietnamworks.com/chu-tri-ket-cau--2014049-jv","Xem chi tiết")</f>
        <v/>
      </c>
    </row>
    <row r="3252">
      <c r="B3252" s="9" t="n">
        <v>3250</v>
      </c>
      <c r="C3252" s="10" t="inlineStr">
        <is>
          <t>Giám Sát Pháp Lý Doanh Nghiệp/ Corporate Legal Supervisor</t>
        </is>
      </c>
      <c r="D3252" s="10" t="inlineStr">
        <is>
          <t>Công ty TNHH TM DV Tân Hiệp Phát</t>
        </is>
      </c>
      <c r="E3252" s="10" t="inlineStr">
        <is>
          <t>Thương lượng</t>
        </is>
      </c>
      <c r="F3252" s="10" t="inlineStr">
        <is>
          <t>Hồ Chí Minh</t>
        </is>
      </c>
      <c r="G3252" s="10" t="inlineStr">
        <is>
          <t>Nhân viên</t>
        </is>
      </c>
      <c r="H3252" s="10" t="inlineStr">
        <is>
          <t>25/02/2026</t>
        </is>
      </c>
      <c r="I3252" s="10" t="inlineStr">
        <is>
          <t>27/03/2026</t>
        </is>
      </c>
      <c r="J3252" s="10" t="inlineStr">
        <is>
          <t>17/03/2026</t>
        </is>
      </c>
      <c r="K3252" s="10" t="inlineStr">
        <is>
          <t>N/A</t>
        </is>
      </c>
      <c r="L3252" s="10" t="inlineStr">
        <is>
          <t>Legal, Legal &amp; Compliance, Law</t>
        </is>
      </c>
      <c r="M3252" s="10" t="inlineStr">
        <is>
          <t>Bonus, Healthcare Plan, Canteen</t>
        </is>
      </c>
      <c r="N3252" s="11">
        <f>HYPERLINK("https://www.vietnamworks.com/giam-sat-phap-ly-doanh-nghiep-corporate-legal-supervisor-2014027-jv","Xem chi tiết")</f>
        <v/>
      </c>
      <c r="O3252" s="10" t="n"/>
    </row>
    <row r="3253">
      <c r="B3253" s="7" t="n">
        <v>3251</v>
      </c>
      <c r="C3253" t="inlineStr">
        <is>
          <t>Manager/ Associate Director, Governance, Risk &amp; Compliance (Risk Consulting line)</t>
        </is>
      </c>
      <c r="D3253" t="inlineStr">
        <is>
          <t>KPMG Việt Nam</t>
        </is>
      </c>
      <c r="E3253" t="inlineStr">
        <is>
          <t>Thương lượng</t>
        </is>
      </c>
      <c r="F3253" t="inlineStr">
        <is>
          <t>Hồ Chí Minh</t>
        </is>
      </c>
      <c r="G3253" t="inlineStr">
        <is>
          <t>Trưởng phòng</t>
        </is>
      </c>
      <c r="H3253" t="inlineStr">
        <is>
          <t>25/02/2026</t>
        </is>
      </c>
      <c r="I3253" t="inlineStr">
        <is>
          <t>27/03/2026</t>
        </is>
      </c>
      <c r="J3253" t="inlineStr">
        <is>
          <t>17/03/2026</t>
        </is>
      </c>
      <c r="K3253" t="inlineStr">
        <is>
          <t>N/A</t>
        </is>
      </c>
      <c r="L3253" t="inlineStr">
        <is>
          <t>Audit, Audit Process, Internal Audit, Internal Control, Risk Assessment</t>
        </is>
      </c>
      <c r="M3253" t="inlineStr">
        <is>
          <t>Bonus, Healthcare Plan, Training</t>
        </is>
      </c>
      <c r="N3253" s="8">
        <f>HYPERLINK("https://www.vietnamworks.com/manager-associate-director-governance-risk-and-compliance-risk-consulting-line-2014052-jv","Xem chi tiết")</f>
        <v/>
      </c>
    </row>
    <row r="3254">
      <c r="B3254" s="9" t="n">
        <v>3252</v>
      </c>
      <c r="C3254" s="10" t="inlineStr">
        <is>
          <t>Executive, Sales &amp; Marketing</t>
        </is>
      </c>
      <c r="D3254" s="10" t="inlineStr">
        <is>
          <t>DKSH Vietnam Co., Ltd.</t>
        </is>
      </c>
      <c r="E3254" s="10" t="inlineStr">
        <is>
          <t>Thương lượng</t>
        </is>
      </c>
      <c r="F3254" s="10" t="inlineStr">
        <is>
          <t>Hồ Chí Minh</t>
        </is>
      </c>
      <c r="G3254" s="10" t="inlineStr">
        <is>
          <t>Nhân viên</t>
        </is>
      </c>
      <c r="H3254" s="10" t="inlineStr">
        <is>
          <t>25/02/2026</t>
        </is>
      </c>
      <c r="I3254" s="10" t="inlineStr">
        <is>
          <t>27/03/2026</t>
        </is>
      </c>
      <c r="J3254" s="10" t="inlineStr">
        <is>
          <t>17/03/2026</t>
        </is>
      </c>
      <c r="K3254" s="10" t="inlineStr">
        <is>
          <t>N/A</t>
        </is>
      </c>
      <c r="L3254" s="10" t="inlineStr">
        <is>
          <t>Marketing, Operations support, Sale Support, Business Support, Trade</t>
        </is>
      </c>
      <c r="M3254" s="10" t="inlineStr">
        <is>
          <t>Bonus, Healthcare Plan, Training</t>
        </is>
      </c>
      <c r="N3254" s="11">
        <f>HYPERLINK("https://www.vietnamworks.com/executive-sales-marketing--2014064-jv","Xem chi tiết")</f>
        <v/>
      </c>
      <c r="O3254" s="10" t="n"/>
    </row>
    <row r="3255">
      <c r="B3255" s="7" t="n">
        <v>3253</v>
      </c>
      <c r="C3255" t="inlineStr">
        <is>
          <t>EHS Engineer</t>
        </is>
      </c>
      <c r="D3255" t="inlineStr">
        <is>
          <t>Công Ty TNHH WGR Industries</t>
        </is>
      </c>
      <c r="E3255" t="inlineStr">
        <is>
          <t>Thương lượng</t>
        </is>
      </c>
      <c r="F3255" t="inlineStr">
        <is>
          <t>Gia Lai, Bình Định</t>
        </is>
      </c>
      <c r="G3255" t="inlineStr">
        <is>
          <t>Nhân viên</t>
        </is>
      </c>
      <c r="H3255" t="inlineStr">
        <is>
          <t>25/02/2026</t>
        </is>
      </c>
      <c r="I3255" t="inlineStr">
        <is>
          <t>27/03/2026</t>
        </is>
      </c>
      <c r="J3255" t="inlineStr">
        <is>
          <t>17/03/2026</t>
        </is>
      </c>
      <c r="K3255" t="inlineStr">
        <is>
          <t>N/A</t>
        </is>
      </c>
      <c r="L3255" t="inlineStr">
        <is>
          <t>Archival Management, Environmental Management, Occupational Health\r\r, Safety Inspection, Safety Procedures</t>
        </is>
      </c>
      <c r="M3255" t="inlineStr">
        <is>
          <t>Healthcare Plan, Transportation</t>
        </is>
      </c>
      <c r="N3255" s="8">
        <f>HYPERLINK("https://www.vietnamworks.com/ehs-engineer-2014057-jv","Xem chi tiết")</f>
        <v/>
      </c>
    </row>
    <row r="3256">
      <c r="B3256" s="9" t="n">
        <v>3254</v>
      </c>
      <c r="C3256" s="10" t="inlineStr">
        <is>
          <t>IT Developer (Up to 2000$)</t>
        </is>
      </c>
      <c r="D3256" s="10" t="inlineStr">
        <is>
          <t>TECHVICO CO., LTD</t>
        </is>
      </c>
      <c r="E3256" s="10" t="inlineStr">
        <is>
          <t>$$ 1,500-2,000 /tháng</t>
        </is>
      </c>
      <c r="F3256" s="10" t="inlineStr">
        <is>
          <t>Hà Nội</t>
        </is>
      </c>
      <c r="G3256" s="10" t="inlineStr">
        <is>
          <t>Nhân viên</t>
        </is>
      </c>
      <c r="H3256" s="10" t="inlineStr">
        <is>
          <t>25/02/2026</t>
        </is>
      </c>
      <c r="I3256" s="10" t="inlineStr">
        <is>
          <t>27/03/2026</t>
        </is>
      </c>
      <c r="J3256" s="10" t="inlineStr">
        <is>
          <t>17/03/2026</t>
        </is>
      </c>
      <c r="K3256" s="10" t="inlineStr">
        <is>
          <t>N/A</t>
        </is>
      </c>
      <c r="L3256" s="10" t="inlineStr">
        <is>
          <t>Angular, FastAPI</t>
        </is>
      </c>
      <c r="M3256" s="10" t="inlineStr">
        <is>
          <t>Bonus, Training, Others</t>
        </is>
      </c>
      <c r="N3256" s="11">
        <f>HYPERLINK("https://www.vietnamworks.com/it-developer-up-to-2000--2014075-jv","Xem chi tiết")</f>
        <v/>
      </c>
      <c r="O3256" s="10" t="n"/>
    </row>
    <row r="3257">
      <c r="B3257" s="7" t="n">
        <v>3255</v>
      </c>
      <c r="C3257" t="inlineStr">
        <is>
          <t>Sale Admin</t>
        </is>
      </c>
      <c r="D3257" t="inlineStr">
        <is>
          <t>Công Ty Cổ Phần Thép và Vật Tư Xây Dựng</t>
        </is>
      </c>
      <c r="E3257" t="inlineStr">
        <is>
          <t>12tr-20tr ₫/tháng</t>
        </is>
      </c>
      <c r="F3257" t="inlineStr">
        <is>
          <t>Hà Nội</t>
        </is>
      </c>
      <c r="G3257" t="inlineStr">
        <is>
          <t>Nhân viên</t>
        </is>
      </c>
      <c r="H3257" t="inlineStr">
        <is>
          <t>25/02/2026</t>
        </is>
      </c>
      <c r="I3257" t="inlineStr">
        <is>
          <t>27/03/2026</t>
        </is>
      </c>
      <c r="J3257" t="inlineStr">
        <is>
          <t>17/03/2026</t>
        </is>
      </c>
      <c r="K3257" t="inlineStr">
        <is>
          <t>N/A</t>
        </is>
      </c>
      <c r="L3257" t="inlineStr">
        <is>
          <t>Thương Mại Điện Tử, Tin Học Văn Phòng, Theo Dõi Tồn Kho, Hỗ Trợ Kinh Doanh, Soạn Thảo Hợp Đồng</t>
        </is>
      </c>
      <c r="M3257" t="inlineStr">
        <is>
          <t>Bonus, Healthcare Plan, Travel Opportunities, Canteen, Others</t>
        </is>
      </c>
      <c r="N3257" s="8">
        <f>HYPERLINK("https://www.vietnamworks.com/sale-admin-2014074-jv","Xem chi tiết")</f>
        <v/>
      </c>
    </row>
    <row r="3258">
      <c r="B3258" s="9" t="n">
        <v>3256</v>
      </c>
      <c r="C3258" s="10" t="inlineStr">
        <is>
          <t>Giám Đốc Hỗ Trợ Kinh Doanh Tiếng Trung</t>
        </is>
      </c>
      <c r="D3258" s="10" t="inlineStr">
        <is>
          <t>CÔNG TY TNHH HORIZON CONSTRUCTION DEVELOPMENT OVERSEAS (VIỆT NAM)</t>
        </is>
      </c>
      <c r="E3258" s="10" t="inlineStr">
        <is>
          <t>Tới 50tr ₫/tháng</t>
        </is>
      </c>
      <c r="F3258" s="10" t="inlineStr">
        <is>
          <t>Hà Nội</t>
        </is>
      </c>
      <c r="G3258" s="10" t="inlineStr">
        <is>
          <t>Giám Đốc và Cấp Cao Hơn</t>
        </is>
      </c>
      <c r="H3258" s="10" t="inlineStr">
        <is>
          <t>25/02/2026</t>
        </is>
      </c>
      <c r="I3258" s="10" t="inlineStr">
        <is>
          <t>27/03/2026</t>
        </is>
      </c>
      <c r="J3258" s="10" t="inlineStr">
        <is>
          <t>17/03/2026</t>
        </is>
      </c>
      <c r="K3258" s="10" t="inlineStr">
        <is>
          <t>N/A</t>
        </is>
      </c>
      <c r="L3258" s="10" t="inlineStr">
        <is>
          <t>Quản Trị Kinh Doanh, Tài Chính, Quản Lý Doanh Nghiệp, Tiếng Trung, Hỗ Trợ Kinh Doanh</t>
        </is>
      </c>
      <c r="M3258" s="10" t="inlineStr">
        <is>
          <t>Bonus, Healthcare Plan, Training</t>
        </is>
      </c>
      <c r="N3258" s="11">
        <f>HYPERLINK("https://www.vietnamworks.com/giam-doc-ho-tro-kinh-doanh-tieng-trung-2014054-jv","Xem chi tiết")</f>
        <v/>
      </c>
      <c r="O3258" s="10" t="n"/>
    </row>
    <row r="3259">
      <c r="B3259" s="7" t="n">
        <v>3257</v>
      </c>
      <c r="C3259" t="inlineStr">
        <is>
          <t>Kế Toán Công Nợ - TP. Hà Nội</t>
        </is>
      </c>
      <c r="D3259" t="inlineStr">
        <is>
          <t>Thami Corporation</t>
        </is>
      </c>
      <c r="E3259" t="inlineStr">
        <is>
          <t>$$ 400-500 /tháng</t>
        </is>
      </c>
      <c r="F3259" t="inlineStr">
        <is>
          <t>Hà Nội</t>
        </is>
      </c>
      <c r="G3259" t="inlineStr">
        <is>
          <t>Nhân viên</t>
        </is>
      </c>
      <c r="H3259" t="inlineStr">
        <is>
          <t>25/02/2026</t>
        </is>
      </c>
      <c r="I3259" t="inlineStr">
        <is>
          <t>27/03/2026</t>
        </is>
      </c>
      <c r="J3259" t="inlineStr">
        <is>
          <t>17/03/2026</t>
        </is>
      </c>
      <c r="K3259" t="inlineStr">
        <is>
          <t>N/A</t>
        </is>
      </c>
      <c r="L3259" t="inlineStr">
        <is>
          <t>Theo Dõi Công Nợ, Quản Lý Chứng Từ, Lưu Trữ Hồ Sơ, Báo Cáo Công Nợ, Tiếng Anh</t>
        </is>
      </c>
      <c r="M3259" t="inlineStr">
        <is>
          <t>Bonus, Healthcare Plan, Paid Leave</t>
        </is>
      </c>
      <c r="N3259" s="8">
        <f>HYPERLINK("https://www.vietnamworks.com/ke-toan-cong-no-tp-ha-noi--2014053-jv","Xem chi tiết")</f>
        <v/>
      </c>
    </row>
    <row r="3260">
      <c r="B3260" s="9" t="n">
        <v>3258</v>
      </c>
      <c r="C3260" s="10" t="inlineStr">
        <is>
          <t>Sales Executive Industry and Specialty</t>
        </is>
      </c>
      <c r="D3260" s="10" t="inlineStr">
        <is>
          <t>Công Ty TNHH Dầu Nhớt FUCHS Việt Nam</t>
        </is>
      </c>
      <c r="E3260" s="10" t="inlineStr">
        <is>
          <t>Thương lượng</t>
        </is>
      </c>
      <c r="F3260" s="10" t="inlineStr">
        <is>
          <t>Hồ Chí Minh</t>
        </is>
      </c>
      <c r="G3260" s="10" t="inlineStr">
        <is>
          <t>Nhân viên</t>
        </is>
      </c>
      <c r="H3260" s="10" t="inlineStr">
        <is>
          <t>25/02/2026</t>
        </is>
      </c>
      <c r="I3260" s="10" t="inlineStr">
        <is>
          <t>27/03/2026</t>
        </is>
      </c>
      <c r="J3260" s="10" t="inlineStr">
        <is>
          <t>17/03/2026</t>
        </is>
      </c>
      <c r="K3260" s="10" t="inlineStr">
        <is>
          <t>N/A</t>
        </is>
      </c>
      <c r="L3260" s="10" t="inlineStr">
        <is>
          <t>Technical skill, Sales B2B / B2C, Communication  Effective Skill, Problem Solving, Persuasion Skills</t>
        </is>
      </c>
      <c r="M3260" s="10" t="inlineStr">
        <is>
          <t>Bonus, Healthcare Plan, Paid Leave</t>
        </is>
      </c>
      <c r="N3260" s="11">
        <f>HYPERLINK("https://www.vietnamworks.com/sales-executive-industry-and-specialty-2014062-jv","Xem chi tiết")</f>
        <v/>
      </c>
      <c r="O3260" s="10" t="n"/>
    </row>
    <row r="3261">
      <c r="B3261" s="7" t="n">
        <v>3259</v>
      </c>
      <c r="C3261" t="inlineStr">
        <is>
          <t>Trade Marketing Team Leader</t>
        </is>
      </c>
      <c r="D3261" t="inlineStr">
        <is>
          <t>7-Eleven Vietnam</t>
        </is>
      </c>
      <c r="E3261" t="inlineStr">
        <is>
          <t>Thương lượng</t>
        </is>
      </c>
      <c r="F3261" t="inlineStr">
        <is>
          <t>Hồ Chí Minh</t>
        </is>
      </c>
      <c r="G3261" t="inlineStr">
        <is>
          <t>Nhân viên</t>
        </is>
      </c>
      <c r="H3261" t="inlineStr">
        <is>
          <t>25/02/2026</t>
        </is>
      </c>
      <c r="I3261" t="inlineStr">
        <is>
          <t>27/03/2026</t>
        </is>
      </c>
      <c r="J3261" t="inlineStr">
        <is>
          <t>17/03/2026</t>
        </is>
      </c>
      <c r="K3261" t="inlineStr">
        <is>
          <t>N/A</t>
        </is>
      </c>
      <c r="L3261" t="inlineStr">
        <is>
          <t>Marketing Activation, Trade Marketing</t>
        </is>
      </c>
      <c r="M3261" t="inlineStr">
        <is>
          <t>Bonus, Healthcare Plan, Paid Leave</t>
        </is>
      </c>
      <c r="N3261" s="8">
        <f>HYPERLINK("https://www.vietnamworks.com/trade-marketing-team-leader-2014061-jv","Xem chi tiết")</f>
        <v/>
      </c>
    </row>
    <row r="3262">
      <c r="B3262" s="9" t="n">
        <v>3260</v>
      </c>
      <c r="C3262" s="10" t="inlineStr">
        <is>
          <t>Nhân Viên Giao Nhận Hàng</t>
        </is>
      </c>
      <c r="D3262" s="10" t="inlineStr">
        <is>
          <t>Công Ty Cổ Phần Thép và Vật Tư Xây Dựng</t>
        </is>
      </c>
      <c r="E3262" s="10" t="inlineStr">
        <is>
          <t>12tr-15tr ₫/tháng</t>
        </is>
      </c>
      <c r="F3262" s="10" t="inlineStr">
        <is>
          <t>Hà Nội</t>
        </is>
      </c>
      <c r="G3262" s="10" t="inlineStr">
        <is>
          <t>Nhân viên</t>
        </is>
      </c>
      <c r="H3262" s="10" t="inlineStr">
        <is>
          <t>25/02/2026</t>
        </is>
      </c>
      <c r="I3262" s="10" t="inlineStr">
        <is>
          <t>27/03/2026</t>
        </is>
      </c>
      <c r="J3262" s="10" t="inlineStr">
        <is>
          <t>17/03/2026</t>
        </is>
      </c>
      <c r="K3262" s="10" t="inlineStr">
        <is>
          <t>N/A</t>
        </is>
      </c>
      <c r="L3262" s="10" t="inlineStr">
        <is>
          <t>Giao Nhận Hàng Hóa, Xây Dựng, Báo Cáo Bán Hàng, Vận Tải Hàng Hóa, Cầu Đường</t>
        </is>
      </c>
      <c r="M3262" s="10" t="inlineStr">
        <is>
          <t>Bonus, Healthcare Plan, Travel Opportunities, Canteen, Others</t>
        </is>
      </c>
      <c r="N3262" s="11">
        <f>HYPERLINK("https://www.vietnamworks.com/nhan-vien-giao-nhan-hang-2014080-jv","Xem chi tiết")</f>
        <v/>
      </c>
      <c r="O3262" s="10" t="n"/>
    </row>
    <row r="3263">
      <c r="B3263" s="7" t="n">
        <v>3261</v>
      </c>
      <c r="C3263" t="inlineStr">
        <is>
          <t>Chuyên Viên Pháp Chế - Quản Trị</t>
        </is>
      </c>
      <c r="D3263" t="inlineStr">
        <is>
          <t>Tổng Công Ty Phát Điện 3 - EVNGENCO3</t>
        </is>
      </c>
      <c r="E3263" t="inlineStr">
        <is>
          <t>Thương lượng</t>
        </is>
      </c>
      <c r="F3263" t="inlineStr">
        <is>
          <t>Hồ Chí Minh</t>
        </is>
      </c>
      <c r="G3263" t="inlineStr">
        <is>
          <t>Nhân viên</t>
        </is>
      </c>
      <c r="H3263" t="inlineStr">
        <is>
          <t>25/02/2026</t>
        </is>
      </c>
      <c r="I3263" t="inlineStr">
        <is>
          <t>27/03/2026</t>
        </is>
      </c>
      <c r="J3263" t="inlineStr">
        <is>
          <t>17/03/2026</t>
        </is>
      </c>
      <c r="K3263" t="inlineStr">
        <is>
          <t>N/A</t>
        </is>
      </c>
      <c r="L3263" t="inlineStr">
        <is>
          <t>Kiến Thức Về Đấu Thầu, Pháp Chế, Soạn Thảo Văn Bản, Pháp Chế Doanh Nghiệp, Vì tính văn phòng</t>
        </is>
      </c>
      <c r="M3263" t="inlineStr">
        <is>
          <t>Bonus, Training, Others</t>
        </is>
      </c>
      <c r="N3263" s="8">
        <f>HYPERLINK("https://www.vietnamworks.com/chuyen-vien-phap-che-quan-tri-2014055-jv","Xem chi tiết")</f>
        <v/>
      </c>
    </row>
    <row r="3264">
      <c r="B3264" s="9" t="n">
        <v>3262</v>
      </c>
      <c r="C3264" s="10" t="inlineStr">
        <is>
          <t>Sourcing Specialist (Mandatory Chinese, English Prefered)</t>
        </is>
      </c>
      <c r="D3264" s="10" t="inlineStr">
        <is>
          <t>VPDD NINGBO PARAMONT CREATIVE DIGITAL TECHNOLOGY TẠI VIỆT NAM</t>
        </is>
      </c>
      <c r="E3264" s="10" t="inlineStr">
        <is>
          <t>Thương lượng</t>
        </is>
      </c>
      <c r="F3264" s="10" t="inlineStr">
        <is>
          <t>Hồ Chí Minh</t>
        </is>
      </c>
      <c r="G3264" s="10" t="inlineStr">
        <is>
          <t>Nhân viên</t>
        </is>
      </c>
      <c r="H3264" s="10" t="inlineStr">
        <is>
          <t>25/02/2026</t>
        </is>
      </c>
      <c r="I3264" s="10" t="inlineStr">
        <is>
          <t>27/03/2026</t>
        </is>
      </c>
      <c r="J3264" s="10" t="inlineStr">
        <is>
          <t>17/03/2026</t>
        </is>
      </c>
      <c r="K3264" s="10" t="inlineStr">
        <is>
          <t>N/A</t>
        </is>
      </c>
      <c r="L3264" s="10" t="inlineStr">
        <is>
          <t>Merchandising</t>
        </is>
      </c>
      <c r="M3264" s="10" t="inlineStr">
        <is>
          <t>Bonus, Paid Leave, Travel Opportunities</t>
        </is>
      </c>
      <c r="N3264" s="11">
        <f>HYPERLINK("https://www.vietnamworks.com/sourcing-specialist-mandatory-chinese-english-prefered-2014077-jv","Xem chi tiết")</f>
        <v/>
      </c>
      <c r="O3264" s="10" t="n"/>
    </row>
    <row r="3265">
      <c r="B3265" s="7" t="n">
        <v>3263</v>
      </c>
      <c r="C3265" t="inlineStr">
        <is>
          <t>Sales Executive - Nhân Viên Kinh Doanh Robot Di Động Tự Hành (AMR)</t>
        </is>
      </c>
      <c r="D3265" t="inlineStr">
        <is>
          <t>TECHVICO CO., LTD</t>
        </is>
      </c>
      <c r="E3265" t="inlineStr">
        <is>
          <t>Thương lượng</t>
        </is>
      </c>
      <c r="F3265" t="inlineStr">
        <is>
          <t>Hà Nội</t>
        </is>
      </c>
      <c r="G3265" t="inlineStr">
        <is>
          <t>Nhân viên</t>
        </is>
      </c>
      <c r="H3265" t="inlineStr">
        <is>
          <t>25/02/2026</t>
        </is>
      </c>
      <c r="I3265" t="inlineStr">
        <is>
          <t>27/03/2026</t>
        </is>
      </c>
      <c r="J3265" t="inlineStr">
        <is>
          <t>17/03/2026</t>
        </is>
      </c>
      <c r="K3265" t="inlineStr">
        <is>
          <t>N/A</t>
        </is>
      </c>
      <c r="L3265" t="inlineStr">
        <is>
          <t>B2B Sales, Kinh Doanh B2B, Robotic System Simulation, Robotics, Sales Consultant</t>
        </is>
      </c>
      <c r="M3265" t="inlineStr">
        <is>
          <t>Bonus, Training, Others</t>
        </is>
      </c>
      <c r="N3265" s="8">
        <f>HYPERLINK("https://www.vietnamworks.com/sales-executive-nhan-vien-kinh-doanh-robot-di-djong-tu-hanh-amr-2014071-jv","Xem chi tiết")</f>
        <v/>
      </c>
    </row>
    <row r="3266">
      <c r="B3266" s="9" t="n">
        <v>3264</v>
      </c>
      <c r="C3266" s="10" t="inlineStr">
        <is>
          <t>Phó Giám Đốc Chi Nhánh (KHCN) - Ban Giám Đốc, CN. An Giang (CN26.21)</t>
        </is>
      </c>
      <c r="D3266" s="10" t="inlineStr">
        <is>
          <t>NGÂN HÀNG TMCP QUÂN ĐỘI – MBBANK</t>
        </is>
      </c>
      <c r="E3266" s="10" t="inlineStr">
        <is>
          <t>Thương lượng</t>
        </is>
      </c>
      <c r="F3266" s="10" t="inlineStr">
        <is>
          <t>An Giang</t>
        </is>
      </c>
      <c r="G3266" s="10" t="inlineStr">
        <is>
          <t>Trưởng phòng</t>
        </is>
      </c>
      <c r="H3266" s="10" t="inlineStr">
        <is>
          <t>25/02/2026</t>
        </is>
      </c>
      <c r="I3266" s="10" t="inlineStr">
        <is>
          <t>27/03/2026</t>
        </is>
      </c>
      <c r="J3266" s="10" t="inlineStr">
        <is>
          <t>17/03/2026</t>
        </is>
      </c>
      <c r="K3266" s="10" t="inlineStr">
        <is>
          <t>N/A</t>
        </is>
      </c>
      <c r="L3266" s="10" t="inlineStr">
        <is>
          <t>Retail banking, Competitive Analysis, Micro, TOIEC</t>
        </is>
      </c>
      <c r="M3266" s="10" t="inlineStr">
        <is>
          <t>Bonus, Healthcare Plan, Paid Leave, Training, Team Activities, Vouchers, Others</t>
        </is>
      </c>
      <c r="N3266" s="11">
        <f>HYPERLINK("https://www.vietnamworks.com/pho-giam-djoc-chi-nhanh-khcn-ban-giam-djoc-cn-an-giang-cn26-21-2014073-jv","Xem chi tiết")</f>
        <v/>
      </c>
      <c r="O3266" s="10" t="n"/>
    </row>
    <row r="3267">
      <c r="B3267" s="7" t="n">
        <v>3265</v>
      </c>
      <c r="C3267" t="inlineStr">
        <is>
          <t>Chuyên Viên Quản Lý Công Nợ</t>
        </is>
      </c>
      <c r="D3267" t="inlineStr">
        <is>
          <t>Công Ty Cổ Phần Tập Đoàn Masterise</t>
        </is>
      </c>
      <c r="E3267" t="inlineStr">
        <is>
          <t>Thương lượng</t>
        </is>
      </c>
      <c r="F3267" t="inlineStr">
        <is>
          <t>Hà Nội</t>
        </is>
      </c>
      <c r="G3267" t="inlineStr">
        <is>
          <t>Mới Tốt Nghiệp</t>
        </is>
      </c>
      <c r="H3267" t="inlineStr">
        <is>
          <t>25/02/2026</t>
        </is>
      </c>
      <c r="I3267" t="inlineStr">
        <is>
          <t>27/03/2026</t>
        </is>
      </c>
      <c r="J3267" t="inlineStr">
        <is>
          <t>17/03/2026</t>
        </is>
      </c>
      <c r="K3267" t="inlineStr">
        <is>
          <t>N/A</t>
        </is>
      </c>
      <c r="L3267" t="inlineStr">
        <is>
          <t>Bất Động Sản, Ngân hàng, Quản Lý Công Nợ, Tài Chính Kế Toán, Nghiệp Vụ Ngân Hàng</t>
        </is>
      </c>
      <c r="M3267" t="inlineStr">
        <is>
          <t>Bonus, Healthcare Plan, Laptop</t>
        </is>
      </c>
      <c r="N3267" s="8">
        <f>HYPERLINK("https://www.vietnamworks.com/chuyen-vien-quan-ly-cong-no-2014078-jv","Xem chi tiết")</f>
        <v/>
      </c>
    </row>
    <row r="3268">
      <c r="B3268" s="9" t="n">
        <v>3266</v>
      </c>
      <c r="C3268" s="10" t="inlineStr">
        <is>
          <t>QHSE Assistant Manager (Quality &amp; HSE)</t>
        </is>
      </c>
      <c r="D3268" s="10" t="inlineStr">
        <is>
          <t>Công Ty TNHH Oerlikon Balzers Coating Việt Nam</t>
        </is>
      </c>
      <c r="E3268" s="10" t="inlineStr">
        <is>
          <t>Thương lượng</t>
        </is>
      </c>
      <c r="F3268" s="10" t="inlineStr">
        <is>
          <t>Bắc Ninh</t>
        </is>
      </c>
      <c r="G3268" s="10" t="inlineStr">
        <is>
          <t>Nhân viên</t>
        </is>
      </c>
      <c r="H3268" s="10" t="inlineStr">
        <is>
          <t>25/02/2026</t>
        </is>
      </c>
      <c r="I3268" s="10" t="inlineStr">
        <is>
          <t>27/03/2026</t>
        </is>
      </c>
      <c r="J3268" s="10" t="inlineStr">
        <is>
          <t>17/03/2026</t>
        </is>
      </c>
      <c r="K3268" s="10" t="inlineStr">
        <is>
          <t>N/A</t>
        </is>
      </c>
      <c r="L3268" s="10" t="inlineStr">
        <is>
          <t>QMS, Leadership, HSE, Ms Office Skills, English</t>
        </is>
      </c>
      <c r="M3268" s="10" t="inlineStr">
        <is>
          <t>Bonus, Healthcare Plan, Paid Leave</t>
        </is>
      </c>
      <c r="N3268" s="11">
        <f>HYPERLINK("https://www.vietnamworks.com/qhse-assistant-manager-quality-hse--2014058-jv","Xem chi tiết")</f>
        <v/>
      </c>
      <c r="O3268" s="10" t="n"/>
    </row>
    <row r="3269">
      <c r="B3269" s="7" t="n">
        <v>3267</v>
      </c>
      <c r="C3269" t="inlineStr">
        <is>
          <t>Nhân Viên Kinh Doanh Logistics</t>
        </is>
      </c>
      <c r="D3269" t="inlineStr">
        <is>
          <t>Bee Logistics Corporation</t>
        </is>
      </c>
      <c r="E3269" t="inlineStr">
        <is>
          <t>7tr-15tr ₫/tháng</t>
        </is>
      </c>
      <c r="F3269" t="inlineStr">
        <is>
          <t>Hà Nam, Hưng Yên, Hà Tĩnh</t>
        </is>
      </c>
      <c r="G3269" t="inlineStr">
        <is>
          <t>Nhân viên</t>
        </is>
      </c>
      <c r="H3269" t="inlineStr">
        <is>
          <t>25/02/2026</t>
        </is>
      </c>
      <c r="I3269" t="inlineStr">
        <is>
          <t>27/03/2026</t>
        </is>
      </c>
      <c r="J3269" t="inlineStr">
        <is>
          <t>17/03/2026</t>
        </is>
      </c>
      <c r="K3269" t="inlineStr">
        <is>
          <t>N/A</t>
        </is>
      </c>
      <c r="L3269" t="inlineStr">
        <is>
          <t>Customer Experience Management, Negotiation Skills, Office Software, Shipping Logistics, Teamwork</t>
        </is>
      </c>
      <c r="M3269" t="inlineStr">
        <is>
          <t>Bonus, Healthcare Plan, Awards, Others</t>
        </is>
      </c>
      <c r="N3269" s="8">
        <f>HYPERLINK("https://www.vietnamworks.com/nhan-vien-kinh-doanh-logistics-2014069-jv","Xem chi tiết")</f>
        <v/>
      </c>
    </row>
    <row r="3270">
      <c r="B3270" s="9" t="n">
        <v>3268</v>
      </c>
      <c r="C3270" s="10" t="inlineStr">
        <is>
          <t>Head of Marketing</t>
        </is>
      </c>
      <c r="D3270" s="10" t="inlineStr">
        <is>
          <t>TECHVICO CO., LTD</t>
        </is>
      </c>
      <c r="E3270" s="10" t="inlineStr">
        <is>
          <t>Thương lượng</t>
        </is>
      </c>
      <c r="F3270" s="10" t="inlineStr">
        <is>
          <t>Hà Nội</t>
        </is>
      </c>
      <c r="G3270" s="10" t="inlineStr">
        <is>
          <t>Trưởng phòng</t>
        </is>
      </c>
      <c r="H3270" s="10" t="inlineStr">
        <is>
          <t>25/02/2026</t>
        </is>
      </c>
      <c r="I3270" s="10" t="inlineStr">
        <is>
          <t>27/03/2026</t>
        </is>
      </c>
      <c r="J3270" s="10" t="inlineStr">
        <is>
          <t>17/03/2026</t>
        </is>
      </c>
      <c r="K3270" s="10" t="inlineStr">
        <is>
          <t>N/A</t>
        </is>
      </c>
      <c r="L3270" s="10" t="inlineStr">
        <is>
          <t>Communication Skills, English, Marketing, Marketing Campaigns, Sales</t>
        </is>
      </c>
      <c r="M3270" s="10" t="inlineStr">
        <is>
          <t>Bonus, Training, Others</t>
        </is>
      </c>
      <c r="N3270" s="11">
        <f>HYPERLINK("https://www.vietnamworks.com/head-of-marketing-2014081-jv","Xem chi tiết")</f>
        <v/>
      </c>
      <c r="O3270" s="10" t="n"/>
    </row>
    <row r="3271">
      <c r="B3271" s="7" t="n">
        <v>3269</v>
      </c>
      <c r="C3271" t="inlineStr">
        <is>
          <t>HR Manager</t>
        </is>
      </c>
      <c r="D3271" t="inlineStr">
        <is>
          <t>Shin Yeong Project Management Company Limited</t>
        </is>
      </c>
      <c r="E3271" t="inlineStr">
        <is>
          <t>Thương lượng</t>
        </is>
      </c>
      <c r="F3271" t="inlineStr">
        <is>
          <t>Hồ Chí Minh</t>
        </is>
      </c>
      <c r="G3271" t="inlineStr">
        <is>
          <t>Trưởng phòng</t>
        </is>
      </c>
      <c r="H3271" t="inlineStr">
        <is>
          <t>25/02/2026</t>
        </is>
      </c>
      <c r="I3271" t="inlineStr">
        <is>
          <t>27/03/2026</t>
        </is>
      </c>
      <c r="J3271" t="inlineStr">
        <is>
          <t>17/03/2026</t>
        </is>
      </c>
      <c r="K3271" t="inlineStr">
        <is>
          <t>N/A</t>
        </is>
      </c>
      <c r="L3271" t="inlineStr">
        <is>
          <t>Vietnam Labor Laws, Strategic Planning, Interpersonal skills, HRM, Quản Trị Nhân Sự</t>
        </is>
      </c>
      <c r="M3271" t="inlineStr">
        <is>
          <t>Bonus, Travel Opportunities, Others</t>
        </is>
      </c>
      <c r="N3271" s="8">
        <f>HYPERLINK("https://www.vietnamworks.com/hr-manager-2014076-jv","Xem chi tiết")</f>
        <v/>
      </c>
    </row>
    <row r="3272">
      <c r="B3272" s="9" t="n">
        <v>3270</v>
      </c>
      <c r="C3272" s="10" t="inlineStr">
        <is>
          <t>Nhân Viên Kế Toán</t>
        </is>
      </c>
      <c r="D3272" s="10" t="inlineStr">
        <is>
          <t>Công Ty Cổ Phần Thép và Vật Tư Xây Dựng</t>
        </is>
      </c>
      <c r="E3272" s="10" t="inlineStr">
        <is>
          <t>12tr-20tr ₫/tháng</t>
        </is>
      </c>
      <c r="F3272" s="10" t="inlineStr">
        <is>
          <t>Hà Nội</t>
        </is>
      </c>
      <c r="G3272" s="10" t="inlineStr">
        <is>
          <t>Nhân viên</t>
        </is>
      </c>
      <c r="H3272" s="10" t="inlineStr">
        <is>
          <t>25/02/2026</t>
        </is>
      </c>
      <c r="I3272" s="10" t="inlineStr">
        <is>
          <t>27/03/2026</t>
        </is>
      </c>
      <c r="J3272" s="10" t="inlineStr">
        <is>
          <t>17/03/2026</t>
        </is>
      </c>
      <c r="K3272" s="10" t="inlineStr">
        <is>
          <t>N/A</t>
        </is>
      </c>
      <c r="L3272" s="10" t="inlineStr">
        <is>
          <t>Đối Chiếu Công Nợ, Tài Chính Kế Toán, Kê Khai Thuế, Giải Ngân, Báo Cáo Bán Hàng</t>
        </is>
      </c>
      <c r="M3272" s="10" t="inlineStr">
        <is>
          <t>Bonus, Healthcare Plan, Travel Opportunities, Canteen, Others</t>
        </is>
      </c>
      <c r="N3272" s="11">
        <f>HYPERLINK("https://www.vietnamworks.com/nhan-vien-ke-toan-2014060-jv","Xem chi tiết")</f>
        <v/>
      </c>
      <c r="O3272" s="10" t="n"/>
    </row>
    <row r="3273">
      <c r="B3273" s="7" t="n">
        <v>3271</v>
      </c>
      <c r="C3273" t="inlineStr">
        <is>
          <t>Phó Giám Đốc Chi Nhánh (KHCN) - Ban Giám Đốc, CN. Đồng Tháp (CN26.20)</t>
        </is>
      </c>
      <c r="D3273" t="inlineStr">
        <is>
          <t>NGÂN HÀNG TMCP QUÂN ĐỘI – MBBANK</t>
        </is>
      </c>
      <c r="E3273" t="inlineStr">
        <is>
          <t>Thương lượng</t>
        </is>
      </c>
      <c r="F3273" t="inlineStr">
        <is>
          <t>Đồng Tháp</t>
        </is>
      </c>
      <c r="G3273" t="inlineStr">
        <is>
          <t>Trưởng phòng</t>
        </is>
      </c>
      <c r="H3273" t="inlineStr">
        <is>
          <t>25/02/2026</t>
        </is>
      </c>
      <c r="I3273" t="inlineStr">
        <is>
          <t>27/03/2026</t>
        </is>
      </c>
      <c r="J3273" t="inlineStr">
        <is>
          <t>17/03/2026</t>
        </is>
      </c>
      <c r="K3273" t="inlineStr">
        <is>
          <t>N/A</t>
        </is>
      </c>
      <c r="L3273" t="inlineStr">
        <is>
          <t>Retail banking, Micro, Competitive Analysis, TOEIC</t>
        </is>
      </c>
      <c r="M3273" t="inlineStr">
        <is>
          <t>Bonus, Healthcare Plan, Paid Leave, Training, Team Activities, Vouchers, Others</t>
        </is>
      </c>
      <c r="N3273" s="8">
        <f>HYPERLINK("https://www.vietnamworks.com/pho-giam-djoc-chi-nhanh-khcn-ban-giam-djoc-cn-djong-thap-cn26-20-2014068-jv","Xem chi tiết")</f>
        <v/>
      </c>
    </row>
    <row r="3274">
      <c r="B3274" s="9" t="n">
        <v>3272</v>
      </c>
      <c r="C3274" s="10" t="inlineStr">
        <is>
          <t>Nhân Viên Giám Sát MEP</t>
        </is>
      </c>
      <c r="D3274" s="10" t="inlineStr">
        <is>
          <t>Công Ty CP Xây Dựng Và Phát Triển Đô Thị Hoà Phát</t>
        </is>
      </c>
      <c r="E3274" s="10" t="inlineStr">
        <is>
          <t>Thương lượng</t>
        </is>
      </c>
      <c r="F3274" s="10" t="inlineStr">
        <is>
          <t>Hà Nội, Hưng Yên</t>
        </is>
      </c>
      <c r="G3274" s="10" t="inlineStr">
        <is>
          <t>Nhân viên</t>
        </is>
      </c>
      <c r="H3274" s="10" t="inlineStr">
        <is>
          <t>25/02/2026</t>
        </is>
      </c>
      <c r="I3274" s="10" t="inlineStr">
        <is>
          <t>27/03/2026</t>
        </is>
      </c>
      <c r="J3274" s="10" t="inlineStr">
        <is>
          <t>17/03/2026</t>
        </is>
      </c>
      <c r="K3274" s="10" t="inlineStr">
        <is>
          <t>N/A</t>
        </is>
      </c>
      <c r="L3274" s="10" t="inlineStr">
        <is>
          <t>AutoCAD Tool, Giám Sát Thi Công, Giao Tiếp, MEP Systems, Đọc Hiểu Bản Vẽ Kỹ Thuật</t>
        </is>
      </c>
      <c r="M3274" s="10" t="inlineStr">
        <is>
          <t>Bonus, Healthcare Plan, Travel Opportunities, Others</t>
        </is>
      </c>
      <c r="N3274" s="11">
        <f>HYPERLINK("https://www.vietnamworks.com/nhan-vien-giam-sat-mep-2014086-jv","Xem chi tiết")</f>
        <v/>
      </c>
      <c r="O3274" s="10" t="n"/>
    </row>
    <row r="3275">
      <c r="B3275" s="7" t="n">
        <v>3273</v>
      </c>
      <c r="C3275" t="inlineStr">
        <is>
          <t>Credit Post Management Officer/ Nhân Viên Quản Lý Sau Vay</t>
        </is>
      </c>
      <c r="D3275" t="inlineStr">
        <is>
          <t>Ngân Hàng TNHH MTV Woori Việt Nam</t>
        </is>
      </c>
      <c r="E3275" t="inlineStr">
        <is>
          <t>Thương lượng</t>
        </is>
      </c>
      <c r="F3275" t="inlineStr">
        <is>
          <t>Hà Nội</t>
        </is>
      </c>
      <c r="G3275" t="inlineStr">
        <is>
          <t>Nhân viên</t>
        </is>
      </c>
      <c r="H3275" t="inlineStr">
        <is>
          <t>25/02/2026</t>
        </is>
      </c>
      <c r="I3275" t="inlineStr">
        <is>
          <t>27/03/2026</t>
        </is>
      </c>
      <c r="J3275" t="inlineStr">
        <is>
          <t>17/03/2026</t>
        </is>
      </c>
      <c r="K3275" t="inlineStr">
        <is>
          <t>N/A</t>
        </is>
      </c>
      <c r="L3275" t="inlineStr">
        <is>
          <t>English Language Proficiency, Korean Speaking Skill, Legal Analysis, Logical Thinking, Microsoft Office</t>
        </is>
      </c>
      <c r="M3275" t="inlineStr">
        <is>
          <t>Healthcare Plan, Paid Leave, Training, Team Activities, Others</t>
        </is>
      </c>
      <c r="N3275" s="8">
        <f>HYPERLINK("https://www.vietnamworks.com/credit-post-management-officer-nhan-vien-quan-ly-sau-vay-2014087-jv","Xem chi tiết")</f>
        <v/>
      </c>
    </row>
    <row r="3276">
      <c r="B3276" s="9" t="n">
        <v>3274</v>
      </c>
      <c r="C3276" s="10" t="inlineStr">
        <is>
          <t>Chuyên Viên Cao Cấp Kiểm Toán Nội Bộ</t>
        </is>
      </c>
      <c r="D3276" s="10" t="inlineStr">
        <is>
          <t>Công Ty Cổ Phần Đầu Tư Và Kinh Doanh Nhà Khang Điền</t>
        </is>
      </c>
      <c r="E3276" s="10" t="inlineStr">
        <is>
          <t>Thương lượng</t>
        </is>
      </c>
      <c r="F3276" s="10" t="inlineStr">
        <is>
          <t>Hồ Chí Minh</t>
        </is>
      </c>
      <c r="G3276" s="10" t="inlineStr">
        <is>
          <t>Nhân viên</t>
        </is>
      </c>
      <c r="H3276" s="10" t="inlineStr">
        <is>
          <t>25/02/2026</t>
        </is>
      </c>
      <c r="I3276" s="10" t="inlineStr">
        <is>
          <t>27/03/2026</t>
        </is>
      </c>
      <c r="J3276" s="10" t="inlineStr">
        <is>
          <t>17/03/2026</t>
        </is>
      </c>
      <c r="K3276" s="10" t="inlineStr">
        <is>
          <t>N/A</t>
        </is>
      </c>
      <c r="L3276" s="10" t="inlineStr">
        <is>
          <t>Bất Động Sản, CPA, Kiểm Soát Nội Bộ, Kiểm toán, Kiểm Toán Nội Bộ</t>
        </is>
      </c>
      <c r="M3276" s="10" t="inlineStr">
        <is>
          <t>Bonus</t>
        </is>
      </c>
      <c r="N3276" s="11">
        <f>HYPERLINK("https://www.vietnamworks.com/chuyen-vien-cao-cap-kiem-toan-noi-bo-2014084-jv","Xem chi tiết")</f>
        <v/>
      </c>
      <c r="O3276" s="10" t="n"/>
    </row>
    <row r="3277">
      <c r="B3277" s="7" t="n">
        <v>3275</v>
      </c>
      <c r="C3277" t="inlineStr">
        <is>
          <t>Nhân Viên Khai Báo Hải Quan - Thu nhập upto 17M/tháng - Hà Nội/Hải Phòng/HCM/ Hưng Yên</t>
        </is>
      </c>
      <c r="D3277" t="inlineStr">
        <is>
          <t>Bee Logistics Corporation</t>
        </is>
      </c>
      <c r="E3277" t="inlineStr">
        <is>
          <t>10tr-16tr ₫/tháng</t>
        </is>
      </c>
      <c r="F3277" t="inlineStr">
        <is>
          <t>Hà Nội, Hồ Chí Minh, Hải Phòng</t>
        </is>
      </c>
      <c r="G3277" t="inlineStr">
        <is>
          <t>Nhân viên</t>
        </is>
      </c>
      <c r="H3277" t="inlineStr">
        <is>
          <t>25/02/2026</t>
        </is>
      </c>
      <c r="I3277" t="inlineStr">
        <is>
          <t>27/03/2026</t>
        </is>
      </c>
      <c r="J3277" t="inlineStr">
        <is>
          <t>17/03/2026</t>
        </is>
      </c>
      <c r="K3277" t="inlineStr">
        <is>
          <t>N/A</t>
        </is>
      </c>
      <c r="L3277" t="inlineStr">
        <is>
          <t>Giải Quyết Khiếu Nại, Khai Báo Hải Quan, Làm việc độc lập, Tư Vấn Khách Hàng, Xử Lý Thông Tin</t>
        </is>
      </c>
      <c r="M3277" t="inlineStr">
        <is>
          <t>Bonus, Healthcare Plan, Paid Leave, Travel Opportunities, Others</t>
        </is>
      </c>
      <c r="N3277" s="8">
        <f>HYPERLINK("https://www.vietnamworks.com/nhan-vien-khai-bao-hai-quan-thu-nhap-upto-17mthang-ha-noihai-phonghcm-hung-yen-2014085-jv","Xem chi tiết")</f>
        <v/>
      </c>
    </row>
    <row r="3278">
      <c r="B3278" s="9" t="n">
        <v>3276</v>
      </c>
      <c r="C3278" s="10" t="inlineStr">
        <is>
          <t>Kế Toán Tổng Hợp/kế Toán Thuế</t>
        </is>
      </c>
      <c r="D3278" s="10" t="inlineStr">
        <is>
          <t>Tasco Joint Stock Company</t>
        </is>
      </c>
      <c r="E3278" s="10" t="inlineStr">
        <is>
          <t>Thương lượng</t>
        </is>
      </c>
      <c r="F3278" s="10" t="inlineStr">
        <is>
          <t>Hà Nội</t>
        </is>
      </c>
      <c r="G3278" s="10" t="inlineStr">
        <is>
          <t>Nhân viên</t>
        </is>
      </c>
      <c r="H3278" s="10" t="inlineStr">
        <is>
          <t>25/02/2026</t>
        </is>
      </c>
      <c r="I3278" s="10" t="inlineStr">
        <is>
          <t>27/03/2026</t>
        </is>
      </c>
      <c r="J3278" s="10" t="inlineStr">
        <is>
          <t>17/03/2026</t>
        </is>
      </c>
      <c r="K3278" s="10" t="inlineStr">
        <is>
          <t>N/A</t>
        </is>
      </c>
      <c r="L3278" s="10" t="inlineStr">
        <is>
          <t>Kế Toán Tổng Hợp, Kế Toán, Chief Accountant Certificate</t>
        </is>
      </c>
      <c r="M3278" s="10" t="inlineStr">
        <is>
          <t>Bonus, Training, Team Activities</t>
        </is>
      </c>
      <c r="N3278" s="11">
        <f>HYPERLINK("https://www.vietnamworks.com/ke-toan-tong-hop-ke-toan-thue--2014091-jv","Xem chi tiết")</f>
        <v/>
      </c>
      <c r="O3278" s="10" t="n"/>
    </row>
    <row r="3279">
      <c r="B3279" s="7" t="n">
        <v>3277</v>
      </c>
      <c r="C3279" t="inlineStr">
        <is>
          <t>Kế Toán Công Nợ</t>
        </is>
      </c>
      <c r="D3279" t="inlineStr">
        <is>
          <t>Công Ty TNHH TM DV Du Lịch Ánh Sao Thiên</t>
        </is>
      </c>
      <c r="E3279" t="inlineStr">
        <is>
          <t>Thương lượng</t>
        </is>
      </c>
      <c r="F3279" t="inlineStr">
        <is>
          <t>Hồ Chí Minh</t>
        </is>
      </c>
      <c r="G3279" t="inlineStr">
        <is>
          <t>Nhân viên</t>
        </is>
      </c>
      <c r="H3279" t="inlineStr">
        <is>
          <t>25/02/2026</t>
        </is>
      </c>
      <c r="I3279" t="inlineStr">
        <is>
          <t>27/03/2026</t>
        </is>
      </c>
      <c r="J3279" t="inlineStr">
        <is>
          <t>17/03/2026</t>
        </is>
      </c>
      <c r="K3279" t="inlineStr">
        <is>
          <t>N/A</t>
        </is>
      </c>
      <c r="L3279" t="inlineStr">
        <is>
          <t>Kế Toán Công Nợ, MS Office, Phần Mềm Kế Toán, Quản Lý Công Nợ, Tiếng Anh</t>
        </is>
      </c>
      <c r="M3279" t="inlineStr">
        <is>
          <t>Bonus, Healthcare Plan, Training, Team Activities, Canteen, Others</t>
        </is>
      </c>
      <c r="N3279" s="8">
        <f>HYPERLINK("https://www.vietnamworks.com/ke-toan-cong-no-2014103-jv","Xem chi tiết")</f>
        <v/>
      </c>
    </row>
    <row r="3280">
      <c r="B3280" s="9" t="n">
        <v>3278</v>
      </c>
      <c r="C3280" s="10" t="inlineStr">
        <is>
          <t>Nhân Viên Kế Toán Thanh Toán; Nhân Viên Kế Toán Tổng Hợp; Phó Phòng Tài Chính Kế Toán</t>
        </is>
      </c>
      <c r="D3280" s="10" t="inlineStr">
        <is>
          <t>Công Ty CP Xây Dựng Và Phát Triển Đô Thị Hoà Phát</t>
        </is>
      </c>
      <c r="E3280" s="10" t="inlineStr">
        <is>
          <t>Thương lượng</t>
        </is>
      </c>
      <c r="F3280" s="10" t="inlineStr">
        <is>
          <t>Hà Nội</t>
        </is>
      </c>
      <c r="G3280" s="10" t="inlineStr">
        <is>
          <t>Nhân viên</t>
        </is>
      </c>
      <c r="H3280" s="10" t="inlineStr">
        <is>
          <t>25/02/2026</t>
        </is>
      </c>
      <c r="I3280" s="10" t="inlineStr">
        <is>
          <t>27/03/2026</t>
        </is>
      </c>
      <c r="J3280" s="10" t="inlineStr">
        <is>
          <t>17/03/2026</t>
        </is>
      </c>
      <c r="K3280" s="10" t="inlineStr">
        <is>
          <t>N/A</t>
        </is>
      </c>
      <c r="L3280" s="10" t="inlineStr">
        <is>
          <t>Kế Toán, Nghiệp Vụ Kế Toán, Phần Mềm Kế Toán, Quản Lý Công Nợ, Tin Học Văn Phòng</t>
        </is>
      </c>
      <c r="M3280" s="10" t="inlineStr">
        <is>
          <t>Healthcare Plan, Travel Opportunities, Others</t>
        </is>
      </c>
      <c r="N3280" s="11">
        <f>HYPERLINK("https://www.vietnamworks.com/nhan-vien-ke-toan-thanh-toan-nhan-vien-ke-toan-tong-hop-pho-phong-tai-chinh-ke-toan-2014089-jv","Xem chi tiết")</f>
        <v/>
      </c>
      <c r="O3280" s="10" t="n"/>
    </row>
    <row r="3281">
      <c r="B3281" s="7" t="n">
        <v>3279</v>
      </c>
      <c r="C3281" t="inlineStr">
        <is>
          <t>Nhân Viên Khai Báo Hải Quan</t>
        </is>
      </c>
      <c r="D3281" t="inlineStr">
        <is>
          <t>Công Ty TNHH Dịch Vụ Kho Vận ALS</t>
        </is>
      </c>
      <c r="E3281" t="inlineStr">
        <is>
          <t>$$ 500-1,000 /tháng</t>
        </is>
      </c>
      <c r="F3281" t="inlineStr">
        <is>
          <t>Hà Nội</t>
        </is>
      </c>
      <c r="G3281" t="inlineStr">
        <is>
          <t>Nhân viên</t>
        </is>
      </c>
      <c r="H3281" t="inlineStr">
        <is>
          <t>25/02/2026</t>
        </is>
      </c>
      <c r="I3281" t="inlineStr">
        <is>
          <t>27/03/2026</t>
        </is>
      </c>
      <c r="J3281" t="inlineStr">
        <is>
          <t>17/03/2026</t>
        </is>
      </c>
      <c r="K3281" t="inlineStr">
        <is>
          <t>N/A</t>
        </is>
      </c>
      <c r="L3281" t="inlineStr">
        <is>
          <t>ECUSS VNACCS, Khai Báo Hải Quan, Customs Clearance, Customs Broker, ECUS5</t>
        </is>
      </c>
      <c r="M3281" t="inlineStr">
        <is>
          <t>Bonus, Healthcare Plan, Paid Leave</t>
        </is>
      </c>
      <c r="N3281" s="8">
        <f>HYPERLINK("https://www.vietnamworks.com/nhan-vien-khai-bao-hai-quan--2014083-jv","Xem chi tiết")</f>
        <v/>
      </c>
    </row>
    <row r="3282">
      <c r="B3282" s="9" t="n">
        <v>3280</v>
      </c>
      <c r="C3282" s="10" t="inlineStr">
        <is>
          <t>Nhân Viên Kỹ Thuật Cây Xanh</t>
        </is>
      </c>
      <c r="D3282" s="10" t="inlineStr">
        <is>
          <t>Công Ty CP Xây Dựng Và Phát Triển Đô Thị Hoà Phát</t>
        </is>
      </c>
      <c r="E3282" s="10" t="inlineStr">
        <is>
          <t>Thương lượng</t>
        </is>
      </c>
      <c r="F3282" s="10" t="inlineStr">
        <is>
          <t>Hải Phòng, Hưng Yên, Bắc Giang</t>
        </is>
      </c>
      <c r="G3282" s="10" t="inlineStr">
        <is>
          <t>Nhân viên</t>
        </is>
      </c>
      <c r="H3282" s="10" t="inlineStr">
        <is>
          <t>25/02/2026</t>
        </is>
      </c>
      <c r="I3282" s="10" t="inlineStr">
        <is>
          <t>27/03/2026</t>
        </is>
      </c>
      <c r="J3282" s="10" t="inlineStr">
        <is>
          <t>17/03/2026</t>
        </is>
      </c>
      <c r="K3282" s="10" t="inlineStr">
        <is>
          <t>N/A</t>
        </is>
      </c>
      <c r="L3282" s="10" t="inlineStr">
        <is>
          <t>Autocad, Cảnh Quan Cây Xanh, Kiểm Tra Cây Trồng, Kỹ Thuật Cây Xanh, Làm việc nhóm</t>
        </is>
      </c>
      <c r="M3282" s="10" t="inlineStr">
        <is>
          <t>Bonus, Healthcare Plan, Travel Opportunities, Others</t>
        </is>
      </c>
      <c r="N3282" s="11">
        <f>HYPERLINK("https://www.vietnamworks.com/nhan-vien-ky-thuat-cay-xanh-2014092-jv","Xem chi tiết")</f>
        <v/>
      </c>
      <c r="O3282" s="10" t="n"/>
    </row>
    <row r="3283">
      <c r="B3283" s="7" t="n">
        <v>3281</v>
      </c>
      <c r="C3283" t="inlineStr">
        <is>
          <t>Senior Solution Analyst</t>
        </is>
      </c>
      <c r="D3283" t="inlineStr">
        <is>
          <t>DIGI-TEXX Vietnam</t>
        </is>
      </c>
      <c r="E3283" t="inlineStr">
        <is>
          <t>Thương lượng</t>
        </is>
      </c>
      <c r="F3283" t="inlineStr">
        <is>
          <t>Hồ Chí Minh</t>
        </is>
      </c>
      <c r="G3283" t="inlineStr">
        <is>
          <t>Nhân viên</t>
        </is>
      </c>
      <c r="H3283" t="inlineStr">
        <is>
          <t>25/02/2026</t>
        </is>
      </c>
      <c r="I3283" t="inlineStr">
        <is>
          <t>27/03/2026</t>
        </is>
      </c>
      <c r="J3283" t="inlineStr">
        <is>
          <t>17/03/2026</t>
        </is>
      </c>
      <c r="K3283" t="inlineStr">
        <is>
          <t>N/A</t>
        </is>
      </c>
      <c r="L3283" t="inlineStr">
        <is>
          <t>Apis, Client Facing, Project Management, Solution Design, Systems Architecture</t>
        </is>
      </c>
      <c r="M3283" t="inlineStr">
        <is>
          <t>Bonus, Healthcare Plan, Paid Leave, Training, Team Activities, Others</t>
        </is>
      </c>
      <c r="N3283" s="8">
        <f>HYPERLINK("https://www.vietnamworks.com/senior-solution-analyst--2014105-jv","Xem chi tiết")</f>
        <v/>
      </c>
    </row>
    <row r="3284">
      <c r="B3284" s="9" t="n">
        <v>3282</v>
      </c>
      <c r="C3284" s="10" t="inlineStr">
        <is>
          <t>Chuyên Gia Quan Hệ Báo Chí (Media Relations Specialist)</t>
        </is>
      </c>
      <c r="D3284" s="10" t="inlineStr">
        <is>
          <t>Vietnamworks' Client</t>
        </is>
      </c>
      <c r="E3284" s="10" t="inlineStr">
        <is>
          <t>Thương lượng</t>
        </is>
      </c>
      <c r="F3284" s="10" t="inlineStr">
        <is>
          <t>Hà Nội</t>
        </is>
      </c>
      <c r="G3284" s="10" t="inlineStr">
        <is>
          <t>Nhân viên</t>
        </is>
      </c>
      <c r="H3284" s="10" t="inlineStr">
        <is>
          <t>25/02/2026</t>
        </is>
      </c>
      <c r="I3284" s="10" t="inlineStr">
        <is>
          <t>27/03/2026</t>
        </is>
      </c>
      <c r="J3284" s="10" t="inlineStr">
        <is>
          <t>17/03/2026</t>
        </is>
      </c>
      <c r="K3284" s="10" t="inlineStr">
        <is>
          <t>N/A</t>
        </is>
      </c>
      <c r="L3284" s="10" t="inlineStr">
        <is>
          <t>Biên Tập Nội Dung, Quan Hệ Báo Chí, Viết lách tốt, Viết Nội Dung Quảng Cáo, Đối Ngoại Báo Chí</t>
        </is>
      </c>
      <c r="M3284" s="10" t="inlineStr">
        <is>
          <t>Bonus, Training</t>
        </is>
      </c>
      <c r="N3284" s="11">
        <f>HYPERLINK("https://www.vietnamworks.com/chuyen-gia-quan-he-bao-chi-media-relations-specialist-2014093-jv","Xem chi tiết")</f>
        <v/>
      </c>
      <c r="O3284" s="10" t="n"/>
    </row>
    <row r="3285">
      <c r="B3285" s="7" t="n">
        <v>3283</v>
      </c>
      <c r="C3285" t="inlineStr">
        <is>
          <t>Data Analyst</t>
        </is>
      </c>
      <c r="D3285" t="inlineStr">
        <is>
          <t>CÔNG TY CỔ PHẦN TẬP ĐOÀN Y KHOA SÀI GÒN</t>
        </is>
      </c>
      <c r="E3285" t="inlineStr">
        <is>
          <t>Thương lượng</t>
        </is>
      </c>
      <c r="F3285" t="inlineStr">
        <is>
          <t>Hồ Chí Minh</t>
        </is>
      </c>
      <c r="G3285" t="inlineStr">
        <is>
          <t>Nhân viên</t>
        </is>
      </c>
      <c r="H3285" t="inlineStr">
        <is>
          <t>25/02/2026</t>
        </is>
      </c>
      <c r="I3285" t="inlineStr">
        <is>
          <t>27/03/2026</t>
        </is>
      </c>
      <c r="J3285" t="inlineStr">
        <is>
          <t>17/03/2026</t>
        </is>
      </c>
      <c r="K3285" t="inlineStr">
        <is>
          <t>N/A</t>
        </is>
      </c>
      <c r="L3285" t="inlineStr">
        <is>
          <t>Data Modeling, Excel, Power BI, Sql Nâng Cao, Tỉ mỉ</t>
        </is>
      </c>
      <c r="M3285" t="inlineStr">
        <is>
          <t>Bonus, Healthcare Plan, Laptop</t>
        </is>
      </c>
      <c r="N3285" s="8">
        <f>HYPERLINK("https://www.vietnamworks.com/data-analyst-2014098-jv","Xem chi tiết")</f>
        <v/>
      </c>
    </row>
    <row r="3286">
      <c r="B3286" s="9" t="n">
        <v>3284</v>
      </c>
      <c r="C3286" s="10" t="inlineStr">
        <is>
          <t>Nhân Viên Kinh Doanh Vé Máy Bay</t>
        </is>
      </c>
      <c r="D3286" s="10" t="inlineStr">
        <is>
          <t>Công Ty TNHH TM DV Du Lịch Ánh Sao Thiên</t>
        </is>
      </c>
      <c r="E3286" s="10" t="inlineStr">
        <is>
          <t>Thương lượng</t>
        </is>
      </c>
      <c r="F3286" s="10" t="inlineStr">
        <is>
          <t>Hồ Chí Minh</t>
        </is>
      </c>
      <c r="G3286" s="10" t="inlineStr">
        <is>
          <t>Nhân viên</t>
        </is>
      </c>
      <c r="H3286" s="10" t="inlineStr">
        <is>
          <t>25/02/2026</t>
        </is>
      </c>
      <c r="I3286" s="10" t="inlineStr">
        <is>
          <t>27/03/2026</t>
        </is>
      </c>
      <c r="J3286" s="10" t="inlineStr">
        <is>
          <t>17/03/2026</t>
        </is>
      </c>
      <c r="K3286" s="10" t="inlineStr">
        <is>
          <t>N/A</t>
        </is>
      </c>
      <c r="L3286" s="10" t="inlineStr">
        <is>
          <t>Giao Tiếp Đàm Phán, Kinh Doanh Vé Máy Bay, Sales, Tìm Kiếm Khách Hàng, Xử Lý Tình Huống</t>
        </is>
      </c>
      <c r="M3286" s="10" t="inlineStr">
        <is>
          <t>Bonus, Healthcare Plan, Training, Team Activities, Canteen, Others</t>
        </is>
      </c>
      <c r="N3286" s="11">
        <f>HYPERLINK("https://www.vietnamworks.com/nhan-vien-kinh-doanh-ve-may-bay-2014106-jv","Xem chi tiết")</f>
        <v/>
      </c>
      <c r="O3286" s="10" t="n"/>
    </row>
    <row r="3287">
      <c r="B3287" s="7" t="n">
        <v>3285</v>
      </c>
      <c r="C3287" t="inlineStr">
        <is>
          <t>Legal Executive (Contractor)</t>
        </is>
      </c>
      <c r="D3287" t="inlineStr">
        <is>
          <t>Shiseido Cosmetics Vietnam CO., LTD</t>
        </is>
      </c>
      <c r="E3287" t="inlineStr">
        <is>
          <t>Thương lượng</t>
        </is>
      </c>
      <c r="F3287" t="inlineStr">
        <is>
          <t>Hồ Chí Minh</t>
        </is>
      </c>
      <c r="G3287" t="inlineStr">
        <is>
          <t>Nhân viên</t>
        </is>
      </c>
      <c r="H3287" t="inlineStr">
        <is>
          <t>25/02/2026</t>
        </is>
      </c>
      <c r="I3287" t="inlineStr">
        <is>
          <t>27/03/2026</t>
        </is>
      </c>
      <c r="J3287" t="inlineStr">
        <is>
          <t>17/03/2026</t>
        </is>
      </c>
      <c r="K3287" t="inlineStr">
        <is>
          <t>N/A</t>
        </is>
      </c>
      <c r="L3287" t="inlineStr">
        <is>
          <t>Contract Management, Legal Research, Regulatory Compliance, Risk Management</t>
        </is>
      </c>
      <c r="M3287" t="inlineStr">
        <is>
          <t>Bonus, Healthcare Plan, Laptop, Team Activities, Vouchers</t>
        </is>
      </c>
      <c r="N3287" s="8">
        <f>HYPERLINK("https://www.vietnamworks.com/legal-executive-contractor-2014099-jv","Xem chi tiết")</f>
        <v/>
      </c>
    </row>
    <row r="3288">
      <c r="B3288" s="9" t="n">
        <v>3286</v>
      </c>
      <c r="C3288" s="10" t="inlineStr">
        <is>
          <t>Nhân Viên Điều Hành Tour (Lương Cạnh Tranh + Thưởng)</t>
        </is>
      </c>
      <c r="D3288" s="10" t="inlineStr">
        <is>
          <t>Công Ty TNHH TM DV Du Lịch Ánh Sao Thiên</t>
        </is>
      </c>
      <c r="E3288" s="10" t="inlineStr">
        <is>
          <t>Thương lượng</t>
        </is>
      </c>
      <c r="F3288" s="10" t="inlineStr">
        <is>
          <t>Hồ Chí Minh</t>
        </is>
      </c>
      <c r="G3288" s="10" t="inlineStr">
        <is>
          <t>Nhân viên</t>
        </is>
      </c>
      <c r="H3288" s="10" t="inlineStr">
        <is>
          <t>25/02/2026</t>
        </is>
      </c>
      <c r="I3288" s="10" t="inlineStr">
        <is>
          <t>27/03/2026</t>
        </is>
      </c>
      <c r="J3288" s="10" t="inlineStr">
        <is>
          <t>17/03/2026</t>
        </is>
      </c>
      <c r="K3288" s="10" t="inlineStr">
        <is>
          <t>N/A</t>
        </is>
      </c>
      <c r="L3288" s="10" t="inlineStr">
        <is>
          <t>Giao Tiếp Đàm Phán, Tiếng Anh, Tiếng Nhật, Vi tính văn phòng, Điều Hành Tour</t>
        </is>
      </c>
      <c r="M3288" s="10" t="inlineStr">
        <is>
          <t>Bonus, Healthcare Plan, Training, Team Activities, Canteen, Others</t>
        </is>
      </c>
      <c r="N3288" s="11">
        <f>HYPERLINK("https://www.vietnamworks.com/nhan-vien-djieu-hanh-tour-luong-canh-tranh-thuong-2014112-jv","Xem chi tiết")</f>
        <v/>
      </c>
      <c r="O3288" s="10" t="n"/>
    </row>
    <row r="3289">
      <c r="B3289" s="7" t="n">
        <v>3287</v>
      </c>
      <c r="C3289" t="inlineStr">
        <is>
          <t>Nhân Viên Booker Vé Máy Bay</t>
        </is>
      </c>
      <c r="D3289" t="inlineStr">
        <is>
          <t>Công Ty TNHH TM DV Du Lịch Ánh Sao Thiên</t>
        </is>
      </c>
      <c r="E3289" t="inlineStr">
        <is>
          <t>Thương lượng</t>
        </is>
      </c>
      <c r="F3289" t="inlineStr">
        <is>
          <t>Hồ Chí Minh</t>
        </is>
      </c>
      <c r="G3289" t="inlineStr">
        <is>
          <t>Nhân viên</t>
        </is>
      </c>
      <c r="H3289" t="inlineStr">
        <is>
          <t>25/02/2026</t>
        </is>
      </c>
      <c r="I3289" t="inlineStr">
        <is>
          <t>27/03/2026</t>
        </is>
      </c>
      <c r="J3289" t="inlineStr">
        <is>
          <t>17/03/2026</t>
        </is>
      </c>
      <c r="K3289" t="inlineStr">
        <is>
          <t>N/A</t>
        </is>
      </c>
      <c r="L3289" t="inlineStr">
        <is>
          <t>Bán Vé Máy Bay, Tiếng Anh, Tiếng Hàn, Giao Tiếp Đàm Phán, Đặt Vé</t>
        </is>
      </c>
      <c r="M3289" t="inlineStr">
        <is>
          <t>Bonus, Healthcare Plan, Training, Team Activities, Canteen, Others</t>
        </is>
      </c>
      <c r="N3289" s="8">
        <f>HYPERLINK("https://www.vietnamworks.com/nhan-vien-booker-ve-may-bay-2014117-jv","Xem chi tiết")</f>
        <v/>
      </c>
    </row>
    <row r="3290">
      <c r="B3290" s="9" t="n">
        <v>3288</v>
      </c>
      <c r="C3290" s="10" t="inlineStr">
        <is>
          <t>Giám Đốc Phát Triển Dự Án (Kỹ Sư Chuyên Ngành Cấp Thoát Nước)</t>
        </is>
      </c>
      <c r="D3290" s="10" t="inlineStr">
        <is>
          <t>Tasco Joint Stock Company</t>
        </is>
      </c>
      <c r="E3290" s="10" t="inlineStr">
        <is>
          <t>Thương lượng</t>
        </is>
      </c>
      <c r="F3290" s="10" t="inlineStr">
        <is>
          <t>Hà Nội, Hồ Chí Minh</t>
        </is>
      </c>
      <c r="G3290" s="10" t="inlineStr">
        <is>
          <t>Giám Đốc và Cấp Cao Hơn</t>
        </is>
      </c>
      <c r="H3290" s="10" t="inlineStr">
        <is>
          <t>25/02/2026</t>
        </is>
      </c>
      <c r="I3290" s="10" t="inlineStr">
        <is>
          <t>27/03/2026</t>
        </is>
      </c>
      <c r="J3290" s="10" t="inlineStr">
        <is>
          <t>17/03/2026</t>
        </is>
      </c>
      <c r="K3290" s="10" t="inlineStr">
        <is>
          <t>N/A</t>
        </is>
      </c>
      <c r="L3290" s="10" t="inlineStr">
        <is>
          <t>Giao Tiếp, Kỹ Thuật Môi Trường, Phân Tích Tài Chính, Quản Lý Dự Án, Xử Lý Nước Thải</t>
        </is>
      </c>
      <c r="M3290" s="10" t="inlineStr">
        <is>
          <t>Bonus, Healthcare Plan, Training, Others</t>
        </is>
      </c>
      <c r="N3290" s="11">
        <f>HYPERLINK("https://www.vietnamworks.com/giam-djoc-phat-trien-du-an-ky-su-chuyen-nganh-cap-thoat-nuoc-2014114-jv","Xem chi tiết")</f>
        <v/>
      </c>
      <c r="O3290" s="10" t="n"/>
    </row>
    <row r="3291">
      <c r="B3291" s="7" t="n">
        <v>3289</v>
      </c>
      <c r="C3291" t="inlineStr">
        <is>
          <t>Nhân Viên Lập Kế Hoạch Sản Xuất (Không Yêu Cầu Kinh Nghiệm)</t>
        </is>
      </c>
      <c r="D3291" t="inlineStr">
        <is>
          <t>Công Ty TNHH Điện Tử UMC Việt Nam</t>
        </is>
      </c>
      <c r="E3291" t="inlineStr">
        <is>
          <t>$$ 400-550 /tháng</t>
        </is>
      </c>
      <c r="F3291" t="inlineStr">
        <is>
          <t>Bắc Ninh, Hải Phòng, Hưng Yên</t>
        </is>
      </c>
      <c r="G3291" t="inlineStr">
        <is>
          <t>Nhân viên</t>
        </is>
      </c>
      <c r="H3291" t="inlineStr">
        <is>
          <t>25/02/2026</t>
        </is>
      </c>
      <c r="I3291" t="inlineStr">
        <is>
          <t>27/03/2026</t>
        </is>
      </c>
      <c r="J3291" t="inlineStr">
        <is>
          <t>17/03/2026</t>
        </is>
      </c>
      <c r="K3291" t="inlineStr">
        <is>
          <t>N/A</t>
        </is>
      </c>
      <c r="L3291" t="inlineStr">
        <is>
          <t>Mua Hàng, Lập Kế Hoạch Sản Xuất, Làm Báo Cáo Nội Bộ</t>
        </is>
      </c>
      <c r="M3291" t="inlineStr">
        <is>
          <t>Bonus, Healthcare Plan</t>
        </is>
      </c>
      <c r="N3291" s="8">
        <f>HYPERLINK("https://www.vietnamworks.com/nhan-vien-lap-ke-hoach-san-xuat-khong-yeu-cau-kinh-nghiem-2014097-jv","Xem chi tiết")</f>
        <v/>
      </c>
    </row>
    <row r="3292">
      <c r="B3292" s="9" t="n">
        <v>3290</v>
      </c>
      <c r="C3292" s="10" t="inlineStr">
        <is>
          <t>Chuyên Viên Kế Toán</t>
        </is>
      </c>
      <c r="D3292" s="10" t="inlineStr">
        <is>
          <t>Tập Đoàn Ecopark</t>
        </is>
      </c>
      <c r="E3292" s="10" t="inlineStr">
        <is>
          <t>Thương lượng</t>
        </is>
      </c>
      <c r="F3292" s="10" t="inlineStr">
        <is>
          <t>Long An, Hồ Chí Minh</t>
        </is>
      </c>
      <c r="G3292" s="10" t="inlineStr">
        <is>
          <t>Nhân viên</t>
        </is>
      </c>
      <c r="H3292" s="10" t="inlineStr">
        <is>
          <t>25/02/2026</t>
        </is>
      </c>
      <c r="I3292" s="10" t="inlineStr">
        <is>
          <t>27/03/2026</t>
        </is>
      </c>
      <c r="J3292" s="10" t="inlineStr">
        <is>
          <t>17/03/2026</t>
        </is>
      </c>
      <c r="K3292" s="10" t="inlineStr">
        <is>
          <t>N/A</t>
        </is>
      </c>
      <c r="L3292" s="10" t="inlineStr">
        <is>
          <t>Tài Chính, Kế Toán, Phân Tích Da, Báo Cáo, Hóa Tổng Hợp</t>
        </is>
      </c>
      <c r="M3292" s="10" t="inlineStr">
        <is>
          <t>Bonus, Healthcare Plan, Team Activities, Transportation, Others</t>
        </is>
      </c>
      <c r="N3292" s="11">
        <f>HYPERLINK("https://www.vietnamworks.com/chuyen-vien-ke-toan-2014108-jv","Xem chi tiết")</f>
        <v/>
      </c>
      <c r="O3292" s="10" t="n"/>
    </row>
    <row r="3293">
      <c r="B3293" s="7" t="n">
        <v>3291</v>
      </c>
      <c r="C3293" t="inlineStr">
        <is>
          <t>Nhân Viên Đặt Phòng Khách Sạn</t>
        </is>
      </c>
      <c r="D3293" t="inlineStr">
        <is>
          <t>Công Ty TNHH TM DV Du Lịch Ánh Sao Thiên</t>
        </is>
      </c>
      <c r="E3293" t="inlineStr">
        <is>
          <t>Thương lượng</t>
        </is>
      </c>
      <c r="F3293" t="inlineStr">
        <is>
          <t>Hồ Chí Minh</t>
        </is>
      </c>
      <c r="G3293" t="inlineStr">
        <is>
          <t>Mới Tốt Nghiệp</t>
        </is>
      </c>
      <c r="H3293" t="inlineStr">
        <is>
          <t>25/02/2026</t>
        </is>
      </c>
      <c r="I3293" t="inlineStr">
        <is>
          <t>27/03/2026</t>
        </is>
      </c>
      <c r="J3293" t="inlineStr">
        <is>
          <t>17/03/2026</t>
        </is>
      </c>
      <c r="K3293" t="inlineStr">
        <is>
          <t>N/A</t>
        </is>
      </c>
      <c r="L3293" t="inlineStr">
        <is>
          <t>Booking, Giao Tiếp Đàm Phán, Tiếng Anh, Tin Học Văn Phòng, Tư Vấn Báo Giá</t>
        </is>
      </c>
      <c r="M3293" t="inlineStr">
        <is>
          <t>Bonus, Healthcare Plan, Training, Team Activities, Canteen, Others</t>
        </is>
      </c>
      <c r="N3293" s="8">
        <f>HYPERLINK("https://www.vietnamworks.com/nhan-vien-djat-phong-khach-san-2014115-jv","Xem chi tiết")</f>
        <v/>
      </c>
    </row>
    <row r="3294">
      <c r="B3294" s="9" t="n">
        <v>3292</v>
      </c>
      <c r="C3294" s="10" t="inlineStr">
        <is>
          <t>Trưởng Phòng Đầu Tư (IB, M&amp;A)</t>
        </is>
      </c>
      <c r="D3294" s="10" t="inlineStr">
        <is>
          <t>Tasco Joint Stock Company</t>
        </is>
      </c>
      <c r="E3294" s="10" t="inlineStr">
        <is>
          <t>Thương lượng</t>
        </is>
      </c>
      <c r="F3294" s="10" t="inlineStr">
        <is>
          <t>Hà Nội</t>
        </is>
      </c>
      <c r="G3294" s="10" t="inlineStr">
        <is>
          <t>Trưởng phòng</t>
        </is>
      </c>
      <c r="H3294" s="10" t="inlineStr">
        <is>
          <t>25/02/2026</t>
        </is>
      </c>
      <c r="I3294" s="10" t="inlineStr">
        <is>
          <t>27/03/2026</t>
        </is>
      </c>
      <c r="J3294" s="10" t="inlineStr">
        <is>
          <t>17/03/2026</t>
        </is>
      </c>
      <c r="K3294" s="10" t="inlineStr">
        <is>
          <t>N/A</t>
        </is>
      </c>
      <c r="L3294" s="10" t="inlineStr">
        <is>
          <t>Financial Modeling, Investment Management, M&amp;A, Negotiation Skills, Strategic Thinking</t>
        </is>
      </c>
      <c r="M3294" s="10" t="inlineStr">
        <is>
          <t>Bonus, Healthcare Plan, Others</t>
        </is>
      </c>
      <c r="N3294" s="11">
        <f>HYPERLINK("https://www.vietnamworks.com/truong-phong-djau-tu-ib-manda-2014124-jv","Xem chi tiết")</f>
        <v/>
      </c>
      <c r="O3294" s="10" t="n"/>
    </row>
    <row r="3295">
      <c r="B3295" s="7" t="n">
        <v>3293</v>
      </c>
      <c r="C3295" t="inlineStr">
        <is>
          <t>Tài Xế Cho Giám Đốc</t>
        </is>
      </c>
      <c r="D3295" t="inlineStr">
        <is>
          <t>Công Ty TNHH TM DV Du Lịch Ánh Sao Thiên</t>
        </is>
      </c>
      <c r="E3295" t="inlineStr">
        <is>
          <t>Thương lượng</t>
        </is>
      </c>
      <c r="F3295" t="inlineStr">
        <is>
          <t>Hồ Chí Minh</t>
        </is>
      </c>
      <c r="G3295" t="inlineStr">
        <is>
          <t>Nhân viên</t>
        </is>
      </c>
      <c r="H3295" t="inlineStr">
        <is>
          <t>25/02/2026</t>
        </is>
      </c>
      <c r="I3295" t="inlineStr">
        <is>
          <t>27/03/2026</t>
        </is>
      </c>
      <c r="J3295" t="inlineStr">
        <is>
          <t>17/03/2026</t>
        </is>
      </c>
      <c r="K3295" t="inlineStr">
        <is>
          <t>N/A</t>
        </is>
      </c>
      <c r="L3295" t="inlineStr">
        <is>
          <t>Bằng Lái Xe B2, Lái Xe, Luật Giao Thông, Lịch Sự Và Trung Thực, Có Trách Nhiệm Cao</t>
        </is>
      </c>
      <c r="M3295" t="inlineStr">
        <is>
          <t>Bonus, Healthcare Plan, Training, Team Activities, Canteen, Others</t>
        </is>
      </c>
      <c r="N3295" s="8">
        <f>HYPERLINK("https://www.vietnamworks.com/tai-xe-cho-giam-djoc-2014120-jv","Xem chi tiết")</f>
        <v/>
      </c>
    </row>
    <row r="3296">
      <c r="B3296" s="9" t="n">
        <v>3294</v>
      </c>
      <c r="C3296" s="10" t="inlineStr">
        <is>
          <t>HRBP (Mạnh tuyển dụng)</t>
        </is>
      </c>
      <c r="D3296" s="10" t="inlineStr">
        <is>
          <t>Tasco Joint Stock Company</t>
        </is>
      </c>
      <c r="E3296" s="10" t="inlineStr">
        <is>
          <t>Thương lượng</t>
        </is>
      </c>
      <c r="F3296" s="10" t="inlineStr">
        <is>
          <t>Hà Nội</t>
        </is>
      </c>
      <c r="G3296" s="10" t="inlineStr">
        <is>
          <t>Nhân viên</t>
        </is>
      </c>
      <c r="H3296" s="10" t="inlineStr">
        <is>
          <t>25/02/2026</t>
        </is>
      </c>
      <c r="I3296" s="10" t="inlineStr">
        <is>
          <t>27/03/2026</t>
        </is>
      </c>
      <c r="J3296" s="10" t="inlineStr">
        <is>
          <t>17/03/2026</t>
        </is>
      </c>
      <c r="K3296" s="10" t="inlineStr">
        <is>
          <t>N/A</t>
        </is>
      </c>
      <c r="L3296" s="10" t="inlineStr">
        <is>
          <t>Headhunt, Làm Việc Nhóm, Sourcing Management, Tư Vấn, Tuyển Dụng</t>
        </is>
      </c>
      <c r="M3296" s="10" t="inlineStr">
        <is>
          <t>Bonus, Healthcare Plan, Others</t>
        </is>
      </c>
      <c r="N3296" s="11">
        <f>HYPERLINK("https://www.vietnamworks.com/hrbp-manh-tuyen-dung-2014132-jv","Xem chi tiết")</f>
        <v/>
      </c>
      <c r="O3296" s="10" t="n"/>
    </row>
    <row r="3297">
      <c r="B3297" s="7" t="n">
        <v>3295</v>
      </c>
      <c r="C3297" t="inlineStr">
        <is>
          <t>Area Sales Manager (An Giang)</t>
        </is>
      </c>
      <c r="D3297" t="inlineStr">
        <is>
          <t>Nestlé Vietnam LTD.</t>
        </is>
      </c>
      <c r="E3297" t="inlineStr">
        <is>
          <t>Thương lượng</t>
        </is>
      </c>
      <c r="F3297" t="inlineStr">
        <is>
          <t>An Giang</t>
        </is>
      </c>
      <c r="G3297" t="inlineStr">
        <is>
          <t>Trưởng phòng</t>
        </is>
      </c>
      <c r="H3297" t="inlineStr">
        <is>
          <t>27/08/2025</t>
        </is>
      </c>
      <c r="I3297" t="inlineStr">
        <is>
          <t>27/03/2026</t>
        </is>
      </c>
      <c r="J3297" t="inlineStr">
        <is>
          <t>17/03/2026</t>
        </is>
      </c>
      <c r="K3297" t="inlineStr">
        <is>
          <t>N/A</t>
        </is>
      </c>
      <c r="L3297" t="inlineStr">
        <is>
          <t>Sales Management, FMCG, Trade Marketing, Field Sales, Customer Service</t>
        </is>
      </c>
      <c r="M3297" t="inlineStr">
        <is>
          <t>Bonus, Healthcare Plan, Laptop</t>
        </is>
      </c>
      <c r="N3297" s="8">
        <f>HYPERLINK("https://www.vietnamworks.com/area-sales-manager-an-giang--1951444-jv","Xem chi tiết")</f>
        <v/>
      </c>
    </row>
    <row r="3298">
      <c r="B3298" s="9" t="n">
        <v>3296</v>
      </c>
      <c r="C3298" s="10" t="inlineStr">
        <is>
          <t>Personal / Office / Sales Assistant</t>
        </is>
      </c>
      <c r="D3298" s="10" t="inlineStr">
        <is>
          <t>Công Ty TNHH Deetwo</t>
        </is>
      </c>
      <c r="E3298" s="10" t="inlineStr">
        <is>
          <t>Thương lượng</t>
        </is>
      </c>
      <c r="F3298" s="10" t="inlineStr">
        <is>
          <t>Hồ Chí Minh</t>
        </is>
      </c>
      <c r="G3298" s="10" t="inlineStr">
        <is>
          <t>Nhân viên</t>
        </is>
      </c>
      <c r="H3298" s="10" t="inlineStr">
        <is>
          <t>25/02/2026</t>
        </is>
      </c>
      <c r="I3298" s="10" t="inlineStr">
        <is>
          <t>27/03/2026</t>
        </is>
      </c>
      <c r="J3298" s="10" t="inlineStr">
        <is>
          <t>17/03/2026</t>
        </is>
      </c>
      <c r="K3298" s="10" t="inlineStr">
        <is>
          <t>N/A</t>
        </is>
      </c>
      <c r="L3298" s="10" t="inlineStr">
        <is>
          <t>Bookkeeping, Reliability, Self-Motivated, Communications, Time Management</t>
        </is>
      </c>
      <c r="M3298" s="10" t="inlineStr">
        <is>
          <t>Training, Travel Opportunities</t>
        </is>
      </c>
      <c r="N3298" s="11">
        <f>HYPERLINK("https://www.vietnamworks.com/personal-office-sales-assistant-2014152-jv","Xem chi tiết")</f>
        <v/>
      </c>
      <c r="O3298" s="10" t="n"/>
    </row>
    <row r="3299">
      <c r="B3299" s="7" t="n">
        <v>3297</v>
      </c>
      <c r="C3299" t="inlineStr">
        <is>
          <t>Fresher Technical Support (English Fluent - IT Background - Up to 24M)</t>
        </is>
      </c>
      <c r="D3299" t="inlineStr">
        <is>
          <t>ITECHWX COMPANY LIMITED</t>
        </is>
      </c>
      <c r="E3299" t="inlineStr">
        <is>
          <t>Tới 24tr ₫/tháng</t>
        </is>
      </c>
      <c r="F3299" t="inlineStr">
        <is>
          <t>Hồ Chí Minh</t>
        </is>
      </c>
      <c r="G3299" t="inlineStr">
        <is>
          <t>Mới Tốt Nghiệp</t>
        </is>
      </c>
      <c r="H3299" t="inlineStr">
        <is>
          <t>25/02/2026</t>
        </is>
      </c>
      <c r="I3299" t="inlineStr">
        <is>
          <t>27/03/2026</t>
        </is>
      </c>
      <c r="J3299" t="inlineStr">
        <is>
          <t>17/03/2026</t>
        </is>
      </c>
      <c r="K3299" t="inlineStr">
        <is>
          <t>N/A</t>
        </is>
      </c>
      <c r="L3299" t="inlineStr">
        <is>
          <t>Microsoft Office 365, Technical Support, Customer Service, It Background, English Language Proficiency</t>
        </is>
      </c>
      <c r="M3299" t="inlineStr">
        <is>
          <t>Healthcare Plan, Paid Leave, Laptop, Team Activities, Others</t>
        </is>
      </c>
      <c r="N3299" s="8">
        <f>HYPERLINK("https://www.vietnamworks.com/fresher-technical-support-english-fluent-it-background-up-to-24m-2014125-jv","Xem chi tiết")</f>
        <v/>
      </c>
    </row>
    <row r="3300">
      <c r="B3300" s="9" t="n">
        <v>3298</v>
      </c>
      <c r="C3300" s="10" t="inlineStr">
        <is>
          <t>Import-Export Staff</t>
        </is>
      </c>
      <c r="D3300" s="10" t="inlineStr">
        <is>
          <t>LX Pantos Vietnam</t>
        </is>
      </c>
      <c r="E3300" s="10" t="inlineStr">
        <is>
          <t>Thương lượng</t>
        </is>
      </c>
      <c r="F3300" s="10" t="inlineStr">
        <is>
          <t>Hà Nội</t>
        </is>
      </c>
      <c r="G3300" s="10" t="inlineStr">
        <is>
          <t>Nhân viên</t>
        </is>
      </c>
      <c r="H3300" s="10" t="inlineStr">
        <is>
          <t>25/02/2026</t>
        </is>
      </c>
      <c r="I3300" s="10" t="inlineStr">
        <is>
          <t>27/03/2026</t>
        </is>
      </c>
      <c r="J3300" s="10" t="inlineStr">
        <is>
          <t>17/03/2026</t>
        </is>
      </c>
      <c r="K3300" s="10" t="inlineStr">
        <is>
          <t>N/A</t>
        </is>
      </c>
      <c r="L3300" s="10" t="inlineStr">
        <is>
          <t>Bill Of Lading, Documentation Handling, English proficiency, Freight</t>
        </is>
      </c>
      <c r="M3300" s="10" t="inlineStr">
        <is>
          <t>Bonus, Healthcare Plan, Training, Laptop</t>
        </is>
      </c>
      <c r="N3300" s="11">
        <f>HYPERLINK("https://www.vietnamworks.com/import-export-staff-2014126-jv","Xem chi tiết")</f>
        <v/>
      </c>
      <c r="O3300" s="10" t="n"/>
    </row>
    <row r="3301">
      <c r="B3301" s="7" t="n">
        <v>3299</v>
      </c>
      <c r="C3301" t="inlineStr">
        <is>
          <t>Junior Architect / Architect</t>
        </is>
      </c>
      <c r="D3301" t="inlineStr">
        <is>
          <t>Công Ty Cổ Phần Kiến Trúc Twog</t>
        </is>
      </c>
      <c r="E3301" t="inlineStr">
        <is>
          <t>Thương lượng</t>
        </is>
      </c>
      <c r="F3301" t="inlineStr">
        <is>
          <t>Hồ Chí Minh, Hà Nội</t>
        </is>
      </c>
      <c r="G3301" t="inlineStr">
        <is>
          <t>Nhân viên</t>
        </is>
      </c>
      <c r="H3301" t="inlineStr">
        <is>
          <t>25/02/2026</t>
        </is>
      </c>
      <c r="I3301" t="inlineStr">
        <is>
          <t>27/03/2026</t>
        </is>
      </c>
      <c r="J3301" t="inlineStr">
        <is>
          <t>17/03/2026</t>
        </is>
      </c>
      <c r="K3301" t="inlineStr">
        <is>
          <t>N/A</t>
        </is>
      </c>
      <c r="L3301" t="inlineStr">
        <is>
          <t>Architecture, Autocad, Design, Master Plan, Revit</t>
        </is>
      </c>
      <c r="M3301" t="inlineStr">
        <is>
          <t>Bonus, Training, Team Activities, Others</t>
        </is>
      </c>
      <c r="N3301" s="8">
        <f>HYPERLINK("https://www.vietnamworks.com/junior-architect-architect-2014144-jv","Xem chi tiết")</f>
        <v/>
      </c>
    </row>
    <row r="3302">
      <c r="B3302" s="9" t="n">
        <v>3300</v>
      </c>
      <c r="C3302" s="10" t="inlineStr">
        <is>
          <t>Kỹ Sư QS Thanh Quyết Toán Hồ Sơ - Làm Thanh Toán Cho Vingroup</t>
        </is>
      </c>
      <c r="D3302" s="10" t="inlineStr">
        <is>
          <t>CÔNG TY CỔ PHẦN KIẾN TRÚC VÀ CẢNH QUAN CÂY XANH QUYỀN THẮNG</t>
        </is>
      </c>
      <c r="E3302" s="10" t="inlineStr">
        <is>
          <t>20tr-25tr ₫/tháng</t>
        </is>
      </c>
      <c r="F3302" s="10" t="inlineStr">
        <is>
          <t>Hà Nội</t>
        </is>
      </c>
      <c r="G3302" s="10" t="inlineStr">
        <is>
          <t>Nhân viên</t>
        </is>
      </c>
      <c r="H3302" s="10" t="inlineStr">
        <is>
          <t>02/05/2025</t>
        </is>
      </c>
      <c r="I3302" s="10" t="inlineStr">
        <is>
          <t>28/03/2026</t>
        </is>
      </c>
      <c r="J3302" s="10" t="inlineStr">
        <is>
          <t>17/03/2026</t>
        </is>
      </c>
      <c r="K3302" s="10" t="inlineStr">
        <is>
          <t>N/A</t>
        </is>
      </c>
      <c r="L3302" s="10" t="inlineStr">
        <is>
          <t>AutoCAD, Chuẩn Bị Hồ Sơ Pháp Lý, Làm Hồ Sơ Thanh Quyết Toán, Lập Bản Vẽ Hoàn Công, QS</t>
        </is>
      </c>
      <c r="M3302" s="10" t="inlineStr">
        <is>
          <t>Bonus, Healthcare Plan, Paid Leave</t>
        </is>
      </c>
      <c r="N3302" s="11">
        <f>HYPERLINK("https://www.vietnamworks.com/ky-su-qs-thanh-quyet-toan-ho-so-lam-thanh-toan-cho-vingroup-1903814-jv","Xem chi tiết")</f>
        <v/>
      </c>
      <c r="O3302" s="10" t="n"/>
    </row>
    <row r="3303">
      <c r="B3303" s="7" t="n">
        <v>3301</v>
      </c>
      <c r="C3303" t="inlineStr">
        <is>
          <t>Kỹ Sư Tài Liệu Kỹ Thuật (Ô Tô)</t>
        </is>
      </c>
      <c r="D3303" t="inlineStr">
        <is>
          <t>VINFAST TRADING AND PRODUCTION JSC</t>
        </is>
      </c>
      <c r="E3303" t="inlineStr">
        <is>
          <t>Thương lượng</t>
        </is>
      </c>
      <c r="F3303" t="inlineStr">
        <is>
          <t>Hà Nội</t>
        </is>
      </c>
      <c r="G3303" t="inlineStr">
        <is>
          <t>Nhân viên</t>
        </is>
      </c>
      <c r="H3303" t="inlineStr">
        <is>
          <t>25/02/2026</t>
        </is>
      </c>
      <c r="I3303" t="inlineStr">
        <is>
          <t>27/03/2026</t>
        </is>
      </c>
      <c r="J3303" t="inlineStr">
        <is>
          <t>17/03/2026</t>
        </is>
      </c>
      <c r="K3303" t="inlineStr">
        <is>
          <t>N/A</t>
        </is>
      </c>
      <c r="L3303" t="inlineStr">
        <is>
          <t>After Sales Management, Automotive, Document Writing, English, Làm Tài Liệu Kỹ Thuật</t>
        </is>
      </c>
      <c r="M3303" t="inlineStr">
        <is>
          <t>Bonus, Healthcare Plan, Others</t>
        </is>
      </c>
      <c r="N3303" s="8">
        <f>HYPERLINK("https://www.vietnamworks.com/ky-su-tai-lieu-ky-thuat-o-to-2014141-jv","Xem chi tiết")</f>
        <v/>
      </c>
    </row>
    <row r="3304">
      <c r="B3304" s="9" t="n">
        <v>3302</v>
      </c>
      <c r="C3304" s="10" t="inlineStr">
        <is>
          <t>Kỹ Sư Hiện Trường</t>
        </is>
      </c>
      <c r="D3304" s="10" t="inlineStr">
        <is>
          <t>CÔNG TY CỔ PHẦN KIẾN TRÚC VÀ CẢNH QUAN CÂY XANH QUYỀN THẮNG</t>
        </is>
      </c>
      <c r="E3304" s="10" t="inlineStr">
        <is>
          <t>20tr-25tr ₫/tháng</t>
        </is>
      </c>
      <c r="F3304" s="10" t="inlineStr">
        <is>
          <t>Hà Nội, Hải Phòng, Quảng Ninh</t>
        </is>
      </c>
      <c r="G3304" s="10" t="inlineStr">
        <is>
          <t>Nhân viên</t>
        </is>
      </c>
      <c r="H3304" s="10" t="inlineStr">
        <is>
          <t>02/05/2025</t>
        </is>
      </c>
      <c r="I3304" s="10" t="inlineStr">
        <is>
          <t>28/03/2026</t>
        </is>
      </c>
      <c r="J3304" s="10" t="inlineStr">
        <is>
          <t>17/03/2026</t>
        </is>
      </c>
      <c r="K3304" s="10" t="inlineStr">
        <is>
          <t>N/A</t>
        </is>
      </c>
      <c r="L3304" s="10" t="inlineStr">
        <is>
          <t>Cây Xanh, Chỉ Đạo Thi Công, Kỹ Sư hiện trường, Lâm Nghiệp, Trồng cây</t>
        </is>
      </c>
      <c r="M3304" s="10" t="inlineStr">
        <is>
          <t>Bonus, Healthcare Plan, Paid Leave, Training, Vouchers</t>
        </is>
      </c>
      <c r="N3304" s="11">
        <f>HYPERLINK("https://www.vietnamworks.com/ky-su-hien-truong-1903813-jv","Xem chi tiết")</f>
        <v/>
      </c>
      <c r="O3304" s="10" t="n"/>
    </row>
    <row r="3305">
      <c r="B3305" s="7" t="n">
        <v>3303</v>
      </c>
      <c r="C3305" t="inlineStr">
        <is>
          <t>Kỹ Sư Chẩn Đoán Ô Tô</t>
        </is>
      </c>
      <c r="D3305" t="inlineStr">
        <is>
          <t>VINFAST TRADING AND PRODUCTION JSC</t>
        </is>
      </c>
      <c r="E3305" t="inlineStr">
        <is>
          <t>Thương lượng</t>
        </is>
      </c>
      <c r="F3305" t="inlineStr">
        <is>
          <t>Hà Nội</t>
        </is>
      </c>
      <c r="G3305" t="inlineStr">
        <is>
          <t>Nhân viên</t>
        </is>
      </c>
      <c r="H3305" t="inlineStr">
        <is>
          <t>25/02/2026</t>
        </is>
      </c>
      <c r="I3305" t="inlineStr">
        <is>
          <t>27/03/2026</t>
        </is>
      </c>
      <c r="J3305" t="inlineStr">
        <is>
          <t>17/03/2026</t>
        </is>
      </c>
      <c r="K3305" t="inlineStr">
        <is>
          <t>N/A</t>
        </is>
      </c>
      <c r="L3305" t="inlineStr">
        <is>
          <t>Machinery Diagnostics, After Sales Management, Automotive, Chẩn Đoán</t>
        </is>
      </c>
      <c r="M3305" t="inlineStr">
        <is>
          <t>Bonus, Healthcare Plan, Others</t>
        </is>
      </c>
      <c r="N3305" s="8">
        <f>HYPERLINK("https://www.vietnamworks.com/ky-su-chan-doan-o-to-2014140-jv","Xem chi tiết")</f>
        <v/>
      </c>
    </row>
    <row r="3306">
      <c r="B3306" s="9" t="n">
        <v>3304</v>
      </c>
      <c r="C3306" s="10" t="inlineStr">
        <is>
          <t>Trợ Lý - Thu Mua (Từ 23-30 Tuổi - Giới Tính: Nam)</t>
        </is>
      </c>
      <c r="D3306" s="10" t="inlineStr">
        <is>
          <t>Công Ty CP Nông Sản Xanh Minh Phong</t>
        </is>
      </c>
      <c r="E3306" s="10" t="inlineStr">
        <is>
          <t>Thương lượng</t>
        </is>
      </c>
      <c r="F3306" s="10" t="inlineStr">
        <is>
          <t>Hồ Chí Minh</t>
        </is>
      </c>
      <c r="G3306" s="10" t="inlineStr">
        <is>
          <t>Nhân viên</t>
        </is>
      </c>
      <c r="H3306" s="10" t="inlineStr">
        <is>
          <t>05/11/2025</t>
        </is>
      </c>
      <c r="I3306" s="10" t="inlineStr">
        <is>
          <t>28/03/2026</t>
        </is>
      </c>
      <c r="J3306" s="10" t="inlineStr">
        <is>
          <t>17/03/2026</t>
        </is>
      </c>
      <c r="K3306" s="10" t="inlineStr">
        <is>
          <t>N/A</t>
        </is>
      </c>
      <c r="L3306" s="10" t="inlineStr">
        <is>
          <t>Procurement, Thu Mua, Assistance, Thư ký, Trợ Lý</t>
        </is>
      </c>
      <c r="M3306" s="10" t="inlineStr">
        <is>
          <t>Bonus, Healthcare Plan, Paid Leave, Training</t>
        </is>
      </c>
      <c r="N3306" s="11">
        <f>HYPERLINK("https://www.vietnamworks.com/tro-ly-thu-mua-tu-23-30-tuoi-gioi-tinh-nam-1978426-jv","Xem chi tiết")</f>
        <v/>
      </c>
      <c r="O3306" s="10" t="n"/>
    </row>
    <row r="3307">
      <c r="B3307" s="7" t="n">
        <v>3305</v>
      </c>
      <c r="C3307" t="inlineStr">
        <is>
          <t>Graphics Re-Developer - Asia</t>
        </is>
      </c>
      <c r="D3307" t="inlineStr">
        <is>
          <t>Bell Sports (Asia) Limited</t>
        </is>
      </c>
      <c r="E3307" t="inlineStr">
        <is>
          <t>Thương lượng</t>
        </is>
      </c>
      <c r="F3307" t="inlineStr">
        <is>
          <t>Hồ Chí Minh</t>
        </is>
      </c>
      <c r="G3307" t="inlineStr">
        <is>
          <t>Nhân viên</t>
        </is>
      </c>
      <c r="H3307" t="inlineStr">
        <is>
          <t>29/12/2025</t>
        </is>
      </c>
      <c r="I3307" t="inlineStr">
        <is>
          <t>28/03/2026</t>
        </is>
      </c>
      <c r="J3307" t="inlineStr">
        <is>
          <t>17/03/2026</t>
        </is>
      </c>
      <c r="K3307" t="inlineStr">
        <is>
          <t>N/A</t>
        </is>
      </c>
      <c r="L3307" t="inlineStr">
        <is>
          <t>Graphics Re-Development, Project Management, Adobe Photoshop, Adobe Illustrator, Graphic Design</t>
        </is>
      </c>
      <c r="M3307" t="inlineStr">
        <is>
          <t>Bonus</t>
        </is>
      </c>
      <c r="N3307" s="8">
        <f>HYPERLINK("https://www.vietnamworks.com/graphics-re-developer-asia-1997271-jv","Xem chi tiết")</f>
        <v/>
      </c>
    </row>
    <row r="3308">
      <c r="B3308" s="9" t="n">
        <v>3306</v>
      </c>
      <c r="C3308" s="10" t="inlineStr">
        <is>
          <t>Accounting Manager Cum HR</t>
        </is>
      </c>
      <c r="D3308" s="10" t="inlineStr">
        <is>
          <t>Công Ty TNHH YLF (Vietnam)</t>
        </is>
      </c>
      <c r="E3308" s="10" t="inlineStr">
        <is>
          <t>38tr-45tr ₫/tháng</t>
        </is>
      </c>
      <c r="F3308" s="10" t="inlineStr">
        <is>
          <t>Long An, Hồ Chí Minh</t>
        </is>
      </c>
      <c r="G3308" s="10" t="inlineStr">
        <is>
          <t>Trưởng phòng</t>
        </is>
      </c>
      <c r="H3308" s="10" t="inlineStr">
        <is>
          <t>19/11/2025</t>
        </is>
      </c>
      <c r="I3308" s="10" t="inlineStr">
        <is>
          <t>28/03/2026</t>
        </is>
      </c>
      <c r="J3308" s="10" t="inlineStr">
        <is>
          <t>17/03/2026</t>
        </is>
      </c>
      <c r="K3308" s="10" t="inlineStr">
        <is>
          <t>N/A</t>
        </is>
      </c>
      <c r="L3308" s="10" t="inlineStr">
        <is>
          <t>Accounting Management, Employee Relation, Financial Statement, HR Policies</t>
        </is>
      </c>
      <c r="M3308" s="10" t="inlineStr">
        <is>
          <t>Paid Leave, Travel Opportunities</t>
        </is>
      </c>
      <c r="N3308" s="11">
        <f>HYPERLINK("https://www.vietnamworks.com/accounting-manager-cum-hr-1983438-jv","Xem chi tiết")</f>
        <v/>
      </c>
      <c r="O3308" s="10" t="n"/>
    </row>
    <row r="3309">
      <c r="B3309" s="7" t="n">
        <v>3307</v>
      </c>
      <c r="C3309" t="inlineStr">
        <is>
          <t>Chuyên Viên Cấp Cao Vận Hành Bảo Mật</t>
        </is>
      </c>
      <c r="D3309" t="inlineStr">
        <is>
          <t>Công ty Cổ phần Tập đoàn Bất động sản NK Properties</t>
        </is>
      </c>
      <c r="E3309" t="inlineStr">
        <is>
          <t>Thương lượng</t>
        </is>
      </c>
      <c r="F3309" t="inlineStr">
        <is>
          <t>Hồ Chí Minh</t>
        </is>
      </c>
      <c r="G3309" t="inlineStr">
        <is>
          <t>Nhân viên</t>
        </is>
      </c>
      <c r="H3309" t="inlineStr">
        <is>
          <t>25/02/2026</t>
        </is>
      </c>
      <c r="I3309" t="inlineStr">
        <is>
          <t>27/03/2026</t>
        </is>
      </c>
      <c r="J3309" t="inlineStr">
        <is>
          <t>17/03/2026</t>
        </is>
      </c>
      <c r="K3309" t="inlineStr">
        <is>
          <t>N/A</t>
        </is>
      </c>
      <c r="L3309" t="inlineStr">
        <is>
          <t>An Toàn Thông Tin, Bất Động Sản, Giải Pháp Bảo Mật, Giao Tiếp, Quản Lý Phân Tích</t>
        </is>
      </c>
      <c r="M3309" t="inlineStr">
        <is>
          <t>Bonus, Healthcare Plan, Paid Leave, Laptop, Travel Opportunities</t>
        </is>
      </c>
      <c r="N3309" s="8">
        <f>HYPERLINK("https://www.vietnamworks.com/chuyen-vien-cap-cao-van-hanh-bao-mat-2014138-jv","Xem chi tiết")</f>
        <v/>
      </c>
    </row>
    <row r="3310">
      <c r="B3310" s="9" t="n">
        <v>3308</v>
      </c>
      <c r="C3310" s="10" t="inlineStr">
        <is>
          <t>Kỹ Sư Xưởng Vụ - Tiếng Trung (Thu Nhập Hấp Dẫn - Đi Làm Sau Tết)</t>
        </is>
      </c>
      <c r="D3310" s="10" t="inlineStr">
        <is>
          <t>CÔNG TY TNHH PEGAVISION VIỆT NAM</t>
        </is>
      </c>
      <c r="E3310" s="10" t="inlineStr">
        <is>
          <t>$$ 500-600 /tháng</t>
        </is>
      </c>
      <c r="F3310" s="10" t="inlineStr">
        <is>
          <t>Thái Bình</t>
        </is>
      </c>
      <c r="G3310" s="10" t="inlineStr">
        <is>
          <t>Nhân viên</t>
        </is>
      </c>
      <c r="H3310" s="10" t="inlineStr">
        <is>
          <t>30/12/2025</t>
        </is>
      </c>
      <c r="I3310" s="10" t="inlineStr">
        <is>
          <t>28/03/2026</t>
        </is>
      </c>
      <c r="J3310" s="10" t="inlineStr">
        <is>
          <t>17/03/2026</t>
        </is>
      </c>
      <c r="K3310" s="10" t="inlineStr">
        <is>
          <t>N/A</t>
        </is>
      </c>
      <c r="L3310" s="10" t="inlineStr">
        <is>
          <t>Cơ Điện, Cơ Khí, Tiếng Trung Giao Tiếp, ISO, Vận Hành Nhà Máy</t>
        </is>
      </c>
      <c r="M3310" s="10" t="inlineStr">
        <is>
          <t>Bonus</t>
        </is>
      </c>
      <c r="N3310" s="11">
        <f>HYPERLINK("https://www.vietnamworks.com/ky-su-xuong-vu-tieng-trung-thu-nhap-hap-dan-di-lam-sau-tet-1997930-jv","Xem chi tiết")</f>
        <v/>
      </c>
      <c r="O3310" s="10" t="n"/>
    </row>
    <row r="3311">
      <c r="B3311" s="7" t="n">
        <v>3309</v>
      </c>
      <c r="C3311" t="inlineStr">
        <is>
          <t>Market Analyst</t>
        </is>
      </c>
      <c r="D3311" t="inlineStr">
        <is>
          <t>INSEE Vietnam</t>
        </is>
      </c>
      <c r="E3311" t="inlineStr">
        <is>
          <t>Thương lượng</t>
        </is>
      </c>
      <c r="F3311" t="inlineStr">
        <is>
          <t>Hồ Chí Minh</t>
        </is>
      </c>
      <c r="G3311" t="inlineStr">
        <is>
          <t>Nhân viên</t>
        </is>
      </c>
      <c r="H3311" t="inlineStr">
        <is>
          <t>25/02/2026</t>
        </is>
      </c>
      <c r="I3311" t="inlineStr">
        <is>
          <t>27/03/2026</t>
        </is>
      </c>
      <c r="J3311" t="inlineStr">
        <is>
          <t>17/03/2026</t>
        </is>
      </c>
      <c r="K3311" t="inlineStr">
        <is>
          <t>N/A</t>
        </is>
      </c>
      <c r="L3311" t="inlineStr">
        <is>
          <t>Market Analysis, Price Analysis, Excel, Power BI, Logical Analysis</t>
        </is>
      </c>
      <c r="M3311" t="inlineStr">
        <is>
          <t>Bonus, Healthcare Plan, Paid Leave</t>
        </is>
      </c>
      <c r="N3311" s="8">
        <f>HYPERLINK("https://www.vietnamworks.com/market-analyst--2014147-jv","Xem chi tiết")</f>
        <v/>
      </c>
    </row>
    <row r="3312">
      <c r="B3312" s="9" t="n">
        <v>3310</v>
      </c>
      <c r="C3312" s="10" t="inlineStr">
        <is>
          <t>Sales Representative - Northern - Water Heaters</t>
        </is>
      </c>
      <c r="D3312" s="10" t="inlineStr">
        <is>
          <t>Rheem Viet Nam LTD.</t>
        </is>
      </c>
      <c r="E3312" s="10" t="inlineStr">
        <is>
          <t>Thương lượng</t>
        </is>
      </c>
      <c r="F3312" s="10" t="inlineStr">
        <is>
          <t>Hà Nội</t>
        </is>
      </c>
      <c r="G3312" s="10" t="inlineStr">
        <is>
          <t>Nhân viên</t>
        </is>
      </c>
      <c r="H3312" s="10" t="inlineStr">
        <is>
          <t>29/12/2025</t>
        </is>
      </c>
      <c r="I3312" s="10" t="inlineStr">
        <is>
          <t>28/03/2026</t>
        </is>
      </c>
      <c r="J3312" s="10" t="inlineStr">
        <is>
          <t>17/03/2026</t>
        </is>
      </c>
      <c r="K3312" s="10" t="inlineStr">
        <is>
          <t>N/A</t>
        </is>
      </c>
      <c r="L3312" s="10" t="inlineStr">
        <is>
          <t>Sale Support, Sales Marketing</t>
        </is>
      </c>
      <c r="M3312" s="10" t="inlineStr">
        <is>
          <t>Bonus, Paid Leave, Training</t>
        </is>
      </c>
      <c r="N3312" s="11">
        <f>HYPERLINK("https://www.vietnamworks.com/sales-representative-northern-water-heaters-1997360-jv","Xem chi tiết")</f>
        <v/>
      </c>
      <c r="O3312" s="10" t="n"/>
    </row>
    <row r="3313">
      <c r="B3313" s="7" t="n">
        <v>3311</v>
      </c>
      <c r="C3313" t="inlineStr">
        <is>
          <t>Giám Đốc Quan Hệ Khách Hàng Ưu Tiên (Toàn Quốc)</t>
        </is>
      </c>
      <c r="D3313" t="inlineStr">
        <is>
          <t>Ngân Hàng TMCP Phương Đông ( OCB )</t>
        </is>
      </c>
      <c r="E3313" t="inlineStr">
        <is>
          <t>Thương lượng</t>
        </is>
      </c>
      <c r="F3313" t="inlineStr">
        <is>
          <t>Hồ Chí Minh</t>
        </is>
      </c>
      <c r="G3313" t="inlineStr">
        <is>
          <t>Giám Đốc và Cấp Cao Hơn</t>
        </is>
      </c>
      <c r="H3313" t="inlineStr">
        <is>
          <t>24/10/2025</t>
        </is>
      </c>
      <c r="I3313" t="inlineStr">
        <is>
          <t>28/03/2026</t>
        </is>
      </c>
      <c r="J3313" t="inlineStr">
        <is>
          <t>17/03/2026</t>
        </is>
      </c>
      <c r="K3313" t="inlineStr">
        <is>
          <t>N/A</t>
        </is>
      </c>
      <c r="L3313" t="inlineStr">
        <is>
          <t>Quản Lý Rủi Ro, Quan Hệ Khách Hàng, Quản Lý Khách Hàng Ưu Tiên, Quản Lý Danh Mục Khách Hàng, Tư Vấn Giải Pháp Tài Chính</t>
        </is>
      </c>
      <c r="M3313" t="inlineStr">
        <is>
          <t>Bonus, Healthcare Plan, Laptop</t>
        </is>
      </c>
      <c r="N3313" s="8">
        <f>HYPERLINK("https://www.vietnamworks.com/giam-doc-quan-he-khach-hang-uu-tien-toan-quoc-1973788-jv","Xem chi tiết")</f>
        <v/>
      </c>
    </row>
    <row r="3314">
      <c r="B3314" s="9" t="n">
        <v>3312</v>
      </c>
      <c r="C3314" s="10" t="inlineStr">
        <is>
          <t>Kỹ Sư QC - Tiếng Trung (Thu Nhập Hấp Dẫn - Có Thể Đi Làm Sau Tết)</t>
        </is>
      </c>
      <c r="D3314" s="10" t="inlineStr">
        <is>
          <t>CÔNG TY TNHH PEGAVISION VIỆT NAM</t>
        </is>
      </c>
      <c r="E3314" s="10" t="inlineStr">
        <is>
          <t>Thương lượng</t>
        </is>
      </c>
      <c r="F3314" s="10" t="inlineStr">
        <is>
          <t>Hưng Yên</t>
        </is>
      </c>
      <c r="G3314" s="10" t="inlineStr">
        <is>
          <t>Nhân viên</t>
        </is>
      </c>
      <c r="H3314" s="10" t="inlineStr">
        <is>
          <t>30/12/2025</t>
        </is>
      </c>
      <c r="I3314" s="10" t="inlineStr">
        <is>
          <t>28/03/2026</t>
        </is>
      </c>
      <c r="J3314" s="10" t="inlineStr">
        <is>
          <t>17/03/2026</t>
        </is>
      </c>
      <c r="K3314" s="10" t="inlineStr">
        <is>
          <t>N/A</t>
        </is>
      </c>
      <c r="L3314" s="10" t="inlineStr">
        <is>
          <t>Quản lý chất lượng, Giám Sát Sản Xuất, ISO 13485, Kỹ Thuật Công Nghiệp, Quality Control</t>
        </is>
      </c>
      <c r="M3314" s="10" t="inlineStr">
        <is>
          <t>Bonus</t>
        </is>
      </c>
      <c r="N3314" s="11">
        <f>HYPERLINK("https://www.vietnamworks.com/ky-su-qc-tieng-trung-thu-nhap-hap-dan-co-the-di-lam-sau-tet-1997938-jv","Xem chi tiết")</f>
        <v/>
      </c>
      <c r="O3314" s="10" t="n"/>
    </row>
    <row r="3315">
      <c r="B3315" s="7" t="n">
        <v>3313</v>
      </c>
      <c r="C3315" t="inlineStr">
        <is>
          <t>Project Architect Leader</t>
        </is>
      </c>
      <c r="D3315" t="inlineStr">
        <is>
          <t>KUME DESIGN ASIA CO.LTD</t>
        </is>
      </c>
      <c r="E3315" t="inlineStr">
        <is>
          <t>Thương lượng</t>
        </is>
      </c>
      <c r="F3315" t="inlineStr">
        <is>
          <t>Hồ Chí Minh</t>
        </is>
      </c>
      <c r="G3315" t="inlineStr">
        <is>
          <t>Nhân viên</t>
        </is>
      </c>
      <c r="H3315" t="inlineStr">
        <is>
          <t>31/12/2025</t>
        </is>
      </c>
      <c r="I3315" t="inlineStr">
        <is>
          <t>28/03/2026</t>
        </is>
      </c>
      <c r="J3315" t="inlineStr">
        <is>
          <t>17/03/2026</t>
        </is>
      </c>
      <c r="K3315" t="inlineStr">
        <is>
          <t>N/A</t>
        </is>
      </c>
      <c r="L3315" t="inlineStr">
        <is>
          <t>Revit, Project Management, BIM, Architectural Design, Kỹ sư thiết kế</t>
        </is>
      </c>
      <c r="M3315" t="inlineStr">
        <is>
          <t>Bonus, Healthcare Plan, Paid Leave</t>
        </is>
      </c>
      <c r="N3315" s="8">
        <f>HYPERLINK("https://www.vietnamworks.com/project-architect-leader-1998714-jv","Xem chi tiết")</f>
        <v/>
      </c>
    </row>
    <row r="3316">
      <c r="B3316" s="9" t="n">
        <v>3314</v>
      </c>
      <c r="C3316" s="10" t="inlineStr">
        <is>
          <t>Trưởng Phòng Thiết Kế Kiến Trúc Thu Nhập Upto 50 Triệu/ Tháng (Bao Gồm LCB +% Thiết Kế)</t>
        </is>
      </c>
      <c r="D3316" s="10" t="inlineStr">
        <is>
          <t>CÔNG TY TNHH KIẾN TRÚC VÀ XÂY DỰNG DECONS HOME</t>
        </is>
      </c>
      <c r="E3316" s="10" t="inlineStr">
        <is>
          <t>15tr-25tr ₫/tháng</t>
        </is>
      </c>
      <c r="F3316" s="10" t="inlineStr">
        <is>
          <t>Hà Nội</t>
        </is>
      </c>
      <c r="G3316" s="10" t="inlineStr">
        <is>
          <t>Trưởng phòng</t>
        </is>
      </c>
      <c r="H3316" s="10" t="inlineStr">
        <is>
          <t>31/12/2025</t>
        </is>
      </c>
      <c r="I3316" s="10" t="inlineStr">
        <is>
          <t>28/03/2026</t>
        </is>
      </c>
      <c r="J3316" s="10" t="inlineStr">
        <is>
          <t>17/03/2026</t>
        </is>
      </c>
      <c r="K3316" s="10" t="inlineStr">
        <is>
          <t>N/A</t>
        </is>
      </c>
      <c r="L3316" s="10" t="inlineStr">
        <is>
          <t>AutoCAD, Sketchup, Diễn Họa, trưởng phòng thiết kế, Kiến trúc</t>
        </is>
      </c>
      <c r="M3316" s="10" t="inlineStr">
        <is>
          <t>Bonus, Travel Opportunities, Others</t>
        </is>
      </c>
      <c r="N3316" s="11">
        <f>HYPERLINK("https://www.vietnamworks.com/truong-phong-thiet-ke-kien-truc-thu-nhap-upto-50-trieu-thang-bao-gom-lcb-thiet-ke-1998790-jv","Xem chi tiết")</f>
        <v/>
      </c>
      <c r="O3316" s="10" t="n"/>
    </row>
    <row r="3317">
      <c r="B3317" s="7" t="n">
        <v>3315</v>
      </c>
      <c r="C3317" t="inlineStr">
        <is>
          <t>Kiến Trúc Sư Thiết Kế – Nhà Xưởng &amp; Công Trình Công Nghiệp (Industrial Architect / Architectural Designer – Industrial Projects)</t>
        </is>
      </c>
      <c r="D3317" t="inlineStr">
        <is>
          <t>Công Ty TNHH Han Cco Vina</t>
        </is>
      </c>
      <c r="E3317" t="inlineStr">
        <is>
          <t>Thương lượng</t>
        </is>
      </c>
      <c r="F3317" t="inlineStr">
        <is>
          <t>Hà Nội</t>
        </is>
      </c>
      <c r="G3317" t="inlineStr">
        <is>
          <t>Nhân viên</t>
        </is>
      </c>
      <c r="H3317" t="inlineStr">
        <is>
          <t>31/12/2025</t>
        </is>
      </c>
      <c r="I3317" t="inlineStr">
        <is>
          <t>28/03/2026</t>
        </is>
      </c>
      <c r="J3317" t="inlineStr">
        <is>
          <t>17/03/2026</t>
        </is>
      </c>
      <c r="K3317" t="inlineStr">
        <is>
          <t>N/A</t>
        </is>
      </c>
      <c r="L3317" t="inlineStr">
        <is>
          <t>Thiết Kế Concept, Thiết Kế Nội Thất, Shop Drawing, AutoCAD, 3D Studio Max</t>
        </is>
      </c>
      <c r="M3317" t="inlineStr">
        <is>
          <t>Healthcare Plan, Paid Leave, Training</t>
        </is>
      </c>
      <c r="N3317" s="8">
        <f>HYPERLINK("https://www.vietnamworks.com/kien-truc-su-thiet-ke-nha-xuong-cong-trinh-cong-nghiep-industrial-architect-architectural-designer-industrial-projects-1998633-jv","Xem chi tiết")</f>
        <v/>
      </c>
    </row>
    <row r="3318">
      <c r="B3318" s="9" t="n">
        <v>3316</v>
      </c>
      <c r="C3318" s="10" t="inlineStr">
        <is>
          <t>Cán Bộ Dự Bị Bộ Phận Sản Xuất - Tiếng Trung (Thu Nhập Hấp Dẫn - Đi Làm Sau Tết)</t>
        </is>
      </c>
      <c r="D3318" s="10" t="inlineStr">
        <is>
          <t>CÔNG TY TNHH PEGAVISION VIỆT NAM</t>
        </is>
      </c>
      <c r="E3318" s="10" t="inlineStr">
        <is>
          <t>Thương lượng</t>
        </is>
      </c>
      <c r="F3318" s="10" t="inlineStr">
        <is>
          <t>Hưng Yên</t>
        </is>
      </c>
      <c r="G3318" s="10" t="inlineStr">
        <is>
          <t>Nhân viên</t>
        </is>
      </c>
      <c r="H3318" s="10" t="inlineStr">
        <is>
          <t>30/12/2025</t>
        </is>
      </c>
      <c r="I3318" s="10" t="inlineStr">
        <is>
          <t>28/03/2026</t>
        </is>
      </c>
      <c r="J3318" s="10" t="inlineStr">
        <is>
          <t>17/03/2026</t>
        </is>
      </c>
      <c r="K3318" s="10" t="inlineStr">
        <is>
          <t>N/A</t>
        </is>
      </c>
      <c r="L3318" s="10" t="inlineStr">
        <is>
          <t>Quản Lý Sản Xuất, Lập Kế Hoạch, Cải Tiến Quy Trình Sản Xuất, Kỹ Thuật Công Nghiệp, Điện</t>
        </is>
      </c>
      <c r="M3318" s="10" t="inlineStr">
        <is>
          <t>Bonus, Healthcare Plan, Paid Leave</t>
        </is>
      </c>
      <c r="N3318" s="11">
        <f>HYPERLINK("https://www.vietnamworks.com/can-bo-du-bi-bo-phan-san-xuat-tieng-trung-thu-nhap-hap-dan-di-lam-sau-tet-1997935-jv","Xem chi tiết")</f>
        <v/>
      </c>
      <c r="O3318" s="10" t="n"/>
    </row>
    <row r="3319">
      <c r="B3319" s="7" t="n">
        <v>3317</v>
      </c>
      <c r="C3319" t="inlineStr">
        <is>
          <t>Kỹ Sư Sản Xuất - Tiếng Trung (Thu Nhập Hấp Dẫn - Có Thể Đi Làm Sau Tết)</t>
        </is>
      </c>
      <c r="D3319" t="inlineStr">
        <is>
          <t>CÔNG TY TNHH PEGAVISION VIỆT NAM</t>
        </is>
      </c>
      <c r="E3319" t="inlineStr">
        <is>
          <t>Thương lượng</t>
        </is>
      </c>
      <c r="F3319" t="inlineStr">
        <is>
          <t>Hưng Yên</t>
        </is>
      </c>
      <c r="G3319" t="inlineStr">
        <is>
          <t>Nhân viên</t>
        </is>
      </c>
      <c r="H3319" t="inlineStr">
        <is>
          <t>30/12/2025</t>
        </is>
      </c>
      <c r="I3319" t="inlineStr">
        <is>
          <t>28/03/2026</t>
        </is>
      </c>
      <c r="J3319" t="inlineStr">
        <is>
          <t>17/03/2026</t>
        </is>
      </c>
      <c r="K3319" t="inlineStr">
        <is>
          <t>N/A</t>
        </is>
      </c>
      <c r="L3319" t="inlineStr">
        <is>
          <t>Giám Sát Sản Xuất, Lập Kế Hoạch, Kỹ Thuật Cơ Điện Tử, Quản Lý Công Nghiệp, Tiếng Trung</t>
        </is>
      </c>
      <c r="M3319" t="inlineStr">
        <is>
          <t>Bonus</t>
        </is>
      </c>
      <c r="N3319" s="8">
        <f>HYPERLINK("https://www.vietnamworks.com/ky-su-san-xuat-tieng-trung-thu-nhap-hap-dan-co-the-di-lam-sau-tet-1997932-jv","Xem chi tiết")</f>
        <v/>
      </c>
    </row>
    <row r="3320">
      <c r="B3320" s="9" t="n">
        <v>3318</v>
      </c>
      <c r="C3320" s="10" t="inlineStr">
        <is>
          <t>Chuyên Viên Kinh Doanh Nguyên Liệu Dược - Đi Làm Sau Tết Âm</t>
        </is>
      </c>
      <c r="D3320" s="10" t="inlineStr">
        <is>
          <t>Công Ty TNHH Đầu Tư Phát Triển Hải Đăng</t>
        </is>
      </c>
      <c r="E3320" s="10" t="inlineStr">
        <is>
          <t>Thương lượng</t>
        </is>
      </c>
      <c r="F3320" s="10" t="inlineStr">
        <is>
          <t>Hồ Chí Minh, Hà Nội</t>
        </is>
      </c>
      <c r="G3320" s="10" t="inlineStr">
        <is>
          <t>Nhân viên</t>
        </is>
      </c>
      <c r="H3320" s="10" t="inlineStr">
        <is>
          <t>31/12/2025</t>
        </is>
      </c>
      <c r="I3320" s="10" t="inlineStr">
        <is>
          <t>28/03/2026</t>
        </is>
      </c>
      <c r="J3320" s="10" t="inlineStr">
        <is>
          <t>17/03/2026</t>
        </is>
      </c>
      <c r="K3320" s="10" t="inlineStr">
        <is>
          <t>N/A</t>
        </is>
      </c>
      <c r="L3320" s="10" t="inlineStr">
        <is>
          <t>Phát Triển Thị Trường, Tư Vấn Kỹ Thuật, Đàm Phán Kinh Doanh, Dược, Khảo Sát Thị Trường</t>
        </is>
      </c>
      <c r="M3320" s="10" t="inlineStr">
        <is>
          <t>Bonus, Healthcare Plan, Paid Leave, Awards, Laptop, Team Activities, Others</t>
        </is>
      </c>
      <c r="N3320" s="11">
        <f>HYPERLINK("https://www.vietnamworks.com/chuyen-vien-kinh-doanh-nguyen-lieu-duoc-dji-lam-sau-tet-am-1998644-jv","Xem chi tiết")</f>
        <v/>
      </c>
      <c r="O3320" s="10" t="n"/>
    </row>
    <row r="3321">
      <c r="B3321" s="7" t="n">
        <v>3319</v>
      </c>
      <c r="C3321" t="inlineStr">
        <is>
          <t>AI Engineer</t>
        </is>
      </c>
      <c r="D3321" t="inlineStr">
        <is>
          <t>Công Ty TNHH Chứng Khoán ACB</t>
        </is>
      </c>
      <c r="E3321" t="inlineStr">
        <is>
          <t>Thương lượng</t>
        </is>
      </c>
      <c r="F3321" t="inlineStr">
        <is>
          <t>Hồ Chí Minh</t>
        </is>
      </c>
      <c r="G3321" t="inlineStr">
        <is>
          <t>Nhân viên</t>
        </is>
      </c>
      <c r="H3321" t="inlineStr">
        <is>
          <t>31/12/2025</t>
        </is>
      </c>
      <c r="I3321" t="inlineStr">
        <is>
          <t>28/03/2026</t>
        </is>
      </c>
      <c r="J3321" t="inlineStr">
        <is>
          <t>17/03/2026</t>
        </is>
      </c>
      <c r="K3321" t="inlineStr">
        <is>
          <t>N/A</t>
        </is>
      </c>
      <c r="L3321" t="inlineStr">
        <is>
          <t>AI Engineer, Deep Learning, Data Engineering, AI Agents, Machine Learning</t>
        </is>
      </c>
      <c r="M3321" t="inlineStr">
        <is>
          <t>Bonus, Healthcare Plan, Travel Opportunities</t>
        </is>
      </c>
      <c r="N3321" s="8">
        <f>HYPERLINK("https://www.vietnamworks.com/ai-engineer--1998825-jv","Xem chi tiết")</f>
        <v/>
      </c>
    </row>
    <row r="3322">
      <c r="B3322" s="9" t="n">
        <v>3320</v>
      </c>
      <c r="C3322" s="10" t="inlineStr">
        <is>
          <t>Kế Toán Trưởng - Tiếng Trung (Thu Nhập Upto 35M - Đi Làm Sau Tết)</t>
        </is>
      </c>
      <c r="D3322" s="10" t="inlineStr">
        <is>
          <t>CÔNG TY TNHH PEGAVISION VIỆT NAM</t>
        </is>
      </c>
      <c r="E3322" s="10" t="inlineStr">
        <is>
          <t>Thương lượng</t>
        </is>
      </c>
      <c r="F3322" s="10" t="inlineStr">
        <is>
          <t>Thái Bình</t>
        </is>
      </c>
      <c r="G3322" s="10" t="inlineStr">
        <is>
          <t>Trưởng phòng</t>
        </is>
      </c>
      <c r="H3322" s="10" t="inlineStr">
        <is>
          <t>30/12/2025</t>
        </is>
      </c>
      <c r="I3322" s="10" t="inlineStr">
        <is>
          <t>28/03/2026</t>
        </is>
      </c>
      <c r="J3322" s="10" t="inlineStr">
        <is>
          <t>17/03/2026</t>
        </is>
      </c>
      <c r="K3322" s="10" t="inlineStr">
        <is>
          <t>N/A</t>
        </is>
      </c>
      <c r="L3322" s="10" t="inlineStr">
        <is>
          <t>Báo Cáo Tài Chính, Lập Chứng Từ Kế Toán, Lập Kế Hoạch Tài Chính, Quản Lý Dòng Tiền, Tài Chính Kế Toán</t>
        </is>
      </c>
      <c r="M3322" s="10" t="inlineStr">
        <is>
          <t>Bonus</t>
        </is>
      </c>
      <c r="N3322" s="11">
        <f>HYPERLINK("https://www.vietnamworks.com/ke-toan-truong-tieng-trung-thu-nhap-upto-35m-di-lam-sau-tet-1998157-jv","Xem chi tiết")</f>
        <v/>
      </c>
      <c r="O3322" s="10" t="n"/>
    </row>
    <row r="3323">
      <c r="B3323" s="7" t="n">
        <v>3321</v>
      </c>
      <c r="C3323" t="inlineStr">
        <is>
          <t>Chuyên Viên Quy Hoạch và Quản Lý Hiệu Quả Nhân Sự</t>
        </is>
      </c>
      <c r="D3323" t="inlineStr">
        <is>
          <t>Công Ty TNHH Chứng Khoán ACB</t>
        </is>
      </c>
      <c r="E3323" t="inlineStr">
        <is>
          <t>Thương lượng</t>
        </is>
      </c>
      <c r="F3323" t="inlineStr">
        <is>
          <t>Hồ Chí Minh</t>
        </is>
      </c>
      <c r="G3323" t="inlineStr">
        <is>
          <t>Nhân viên</t>
        </is>
      </c>
      <c r="H3323" t="inlineStr">
        <is>
          <t>31/12/2025</t>
        </is>
      </c>
      <c r="I3323" t="inlineStr">
        <is>
          <t>28/03/2026</t>
        </is>
      </c>
      <c r="J3323" t="inlineStr">
        <is>
          <t>17/03/2026</t>
        </is>
      </c>
      <c r="K3323" t="inlineStr">
        <is>
          <t>N/A</t>
        </is>
      </c>
      <c r="L3323" t="inlineStr">
        <is>
          <t>Đánh Giá Nhân Sự, KPI, Kpi/Okr/Bsc Implementation, Performance Management, Balanced Scorecard</t>
        </is>
      </c>
      <c r="M3323" t="inlineStr">
        <is>
          <t>Bonus, Healthcare Plan, Travel Opportunities</t>
        </is>
      </c>
      <c r="N3323" s="8">
        <f>HYPERLINK("https://www.vietnamworks.com/chuyen-vien-quy-hoach-va-quan-ly-hieu-qua-nhan-su-1998807-jv","Xem chi tiết")</f>
        <v/>
      </c>
    </row>
    <row r="3324">
      <c r="B3324" s="9" t="n">
        <v>3322</v>
      </c>
      <c r="C3324" s="10" t="inlineStr">
        <is>
          <t>Giám Đốc Chi Nhánh</t>
        </is>
      </c>
      <c r="D3324" s="10" t="inlineStr">
        <is>
          <t>Vietnamworks' Client</t>
        </is>
      </c>
      <c r="E3324" s="10" t="inlineStr">
        <is>
          <t>Thương lượng</t>
        </is>
      </c>
      <c r="F3324" s="10" t="inlineStr">
        <is>
          <t>Hồ Chí Minh</t>
        </is>
      </c>
      <c r="G3324" s="10" t="inlineStr">
        <is>
          <t>Giám Đốc và Cấp Cao Hơn</t>
        </is>
      </c>
      <c r="H3324" s="10" t="inlineStr">
        <is>
          <t>31/12/2025</t>
        </is>
      </c>
      <c r="I3324" s="10" t="inlineStr">
        <is>
          <t>28/03/2026</t>
        </is>
      </c>
      <c r="J3324" s="10" t="inlineStr">
        <is>
          <t>17/03/2026</t>
        </is>
      </c>
      <c r="K3324" s="10" t="inlineStr">
        <is>
          <t>N/A</t>
        </is>
      </c>
      <c r="L3324" s="10" t="inlineStr">
        <is>
          <t>Sales manager, Brokerage, Branch Management, Phát triển kinh doanh &amp; Chiến lược bán hàng, Quản Lý Hiệu Suất</t>
        </is>
      </c>
      <c r="M3324" s="10" t="inlineStr">
        <is>
          <t>Bonus, Healthcare Plan, Travel Opportunities</t>
        </is>
      </c>
      <c r="N3324" s="11">
        <f>HYPERLINK("https://www.vietnamworks.com/giam-doc-chi-nhanh--1998847-jv","Xem chi tiết")</f>
        <v/>
      </c>
      <c r="O3324" s="10" t="n"/>
    </row>
    <row r="3325">
      <c r="B3325" s="7" t="n">
        <v>3323</v>
      </c>
      <c r="C3325" t="inlineStr">
        <is>
          <t>Trưởng Phòng HCNS - Tiếng Trung (Thu Nhập Upto 35M - Có Thể Đi Làm Sau Tết)</t>
        </is>
      </c>
      <c r="D3325" t="inlineStr">
        <is>
          <t>CÔNG TY TNHH PEGAVISION VIỆT NAM</t>
        </is>
      </c>
      <c r="E3325" t="inlineStr">
        <is>
          <t>Thương lượng</t>
        </is>
      </c>
      <c r="F3325" t="inlineStr">
        <is>
          <t>Thái Bình</t>
        </is>
      </c>
      <c r="G3325" t="inlineStr">
        <is>
          <t>Trưởng phòng</t>
        </is>
      </c>
      <c r="H3325" t="inlineStr">
        <is>
          <t>30/12/2025</t>
        </is>
      </c>
      <c r="I3325" t="inlineStr">
        <is>
          <t>28/03/2026</t>
        </is>
      </c>
      <c r="J3325" t="inlineStr">
        <is>
          <t>17/03/2026</t>
        </is>
      </c>
      <c r="K3325" t="inlineStr">
        <is>
          <t>N/A</t>
        </is>
      </c>
      <c r="L3325" t="inlineStr">
        <is>
          <t>Quản Trị Nhân Lực, Luật Lao Động, Đánh Giá Hiệu Suất Công Việc, Tiếng Trung, Tuyển Dụng</t>
        </is>
      </c>
      <c r="M3325" t="inlineStr">
        <is>
          <t>Bonus</t>
        </is>
      </c>
      <c r="N3325" s="8">
        <f>HYPERLINK("https://www.vietnamworks.com/truong-phong-hcns-tieng-trung-thu-nhap-upto-35m-co-the-di-lam-sau-tet-1997939-jv","Xem chi tiết")</f>
        <v/>
      </c>
    </row>
    <row r="3326">
      <c r="B3326" s="9" t="n">
        <v>3324</v>
      </c>
      <c r="C3326" s="10" t="inlineStr">
        <is>
          <t>Nhân Viên Kinh Doanh - Sales Thị Trường (Sản Phẩm Vật Liệu Nhựa Trang Trí Nội Thất)</t>
        </is>
      </c>
      <c r="D3326" s="10" t="inlineStr">
        <is>
          <t>Cty TNHH Sản Xuất Thương Mại Nhựa Đại Việt</t>
        </is>
      </c>
      <c r="E3326" s="10" t="inlineStr">
        <is>
          <t>15tr-30tr ₫/tháng</t>
        </is>
      </c>
      <c r="F3326" s="10" t="inlineStr">
        <is>
          <t>Hà Nội</t>
        </is>
      </c>
      <c r="G3326" s="10" t="inlineStr">
        <is>
          <t>Nhân viên</t>
        </is>
      </c>
      <c r="H3326" s="10" t="inlineStr">
        <is>
          <t>31/12/2025</t>
        </is>
      </c>
      <c r="I3326" s="10" t="inlineStr">
        <is>
          <t>28/03/2026</t>
        </is>
      </c>
      <c r="J3326" s="10" t="inlineStr">
        <is>
          <t>17/03/2026</t>
        </is>
      </c>
      <c r="K3326" s="10" t="inlineStr">
        <is>
          <t>N/A</t>
        </is>
      </c>
      <c r="L3326" s="10" t="inlineStr">
        <is>
          <t>Tìm Kiếm Khách Hàng, Phát Triển Kinh Doanh, Theo Dõi Đơn Hàng, Tư Vấn Giải Pháp, Đàm Phán</t>
        </is>
      </c>
      <c r="M3326" s="10" t="inlineStr">
        <is>
          <t>Bonus, Healthcare Plan, Others</t>
        </is>
      </c>
      <c r="N3326" s="11">
        <f>HYPERLINK("https://www.vietnamworks.com/nhan-vien-kinh-doanh-sales-thi-truong-san-pham-vat-lieu-nhua-trang-tri-noi-that-1998772-jv","Xem chi tiết")</f>
        <v/>
      </c>
      <c r="O3326" s="10" t="n"/>
    </row>
    <row r="3327">
      <c r="B3327" s="7" t="n">
        <v>3325</v>
      </c>
      <c r="C3327" t="inlineStr">
        <is>
          <t>Tổ Trưởng Kỹ Thuật - Tiếng Trung (Thu Nhập Cạnh Tranh - Có Thể Đi Làm Sau Tết)</t>
        </is>
      </c>
      <c r="D3327" t="inlineStr">
        <is>
          <t>CÔNG TY TNHH PEGAVISION VIỆT NAM</t>
        </is>
      </c>
      <c r="E3327" t="inlineStr">
        <is>
          <t>Thương lượng</t>
        </is>
      </c>
      <c r="F3327" t="inlineStr">
        <is>
          <t>Thái Bình</t>
        </is>
      </c>
      <c r="G3327" t="inlineStr">
        <is>
          <t>Nhân viên</t>
        </is>
      </c>
      <c r="H3327" t="inlineStr">
        <is>
          <t>30/12/2025</t>
        </is>
      </c>
      <c r="I3327" t="inlineStr">
        <is>
          <t>28/03/2026</t>
        </is>
      </c>
      <c r="J3327" t="inlineStr">
        <is>
          <t>17/03/2026</t>
        </is>
      </c>
      <c r="K3327" t="inlineStr">
        <is>
          <t>N/A</t>
        </is>
      </c>
      <c r="L3327" t="inlineStr">
        <is>
          <t>Quản Lý Đội Nhóm, Lập Kế Hoạch, Cơ Điện Tử, Tiếng Trung, Đào Tạo</t>
        </is>
      </c>
      <c r="M3327" t="inlineStr">
        <is>
          <t>Bonus</t>
        </is>
      </c>
      <c r="N3327" s="8">
        <f>HYPERLINK("https://www.vietnamworks.com/to-truong-ky-thuat-tieng-trung-thu-nhap-canh-tranh-co-the-di-lam-sau-tet-1998140-jv","Xem chi tiết")</f>
        <v/>
      </c>
    </row>
    <row r="3328">
      <c r="B3328" s="9" t="n">
        <v>3326</v>
      </c>
      <c r="C3328" s="10" t="inlineStr">
        <is>
          <t>Trưởng Phòng Kinh Doanh Ngành Hàng Tấm Ván Nhựa PVC (Vật Liệu Nhựa Nội Thất)</t>
        </is>
      </c>
      <c r="D3328" s="10" t="inlineStr">
        <is>
          <t>Cty TNHH Sản Xuất Thương Mại Nhựa Đại Việt</t>
        </is>
      </c>
      <c r="E3328" s="10" t="inlineStr">
        <is>
          <t>Thương lượng</t>
        </is>
      </c>
      <c r="F3328" s="10" t="inlineStr">
        <is>
          <t>Hà Nội</t>
        </is>
      </c>
      <c r="G3328" s="10" t="inlineStr">
        <is>
          <t>Trưởng phòng</t>
        </is>
      </c>
      <c r="H3328" s="10" t="inlineStr">
        <is>
          <t>31/12/2025</t>
        </is>
      </c>
      <c r="I3328" s="10" t="inlineStr">
        <is>
          <t>28/03/2026</t>
        </is>
      </c>
      <c r="J3328" s="10" t="inlineStr">
        <is>
          <t>17/03/2026</t>
        </is>
      </c>
      <c r="K3328" s="10" t="inlineStr">
        <is>
          <t>N/A</t>
        </is>
      </c>
      <c r="L3328" s="10" t="inlineStr">
        <is>
          <t>Lập Kế Hoạch, Quản Lý Đội Nhóm, Phân Tích Kinh Doanh, Đàm Phán, Kế Hoạch Kinh Doanh</t>
        </is>
      </c>
      <c r="M3328" s="10" t="inlineStr">
        <is>
          <t>Bonus, Healthcare Plan, Paid Leave, Laptop, Team Activities, Others</t>
        </is>
      </c>
      <c r="N3328" s="11">
        <f>HYPERLINK("https://www.vietnamworks.com/truong-phong-kinh-doanh-nganh-hang-tam-van-nhua-pvc-vat-lieu-nhua-noi-that-1998768-jv","Xem chi tiết")</f>
        <v/>
      </c>
      <c r="O3328" s="10" t="n"/>
    </row>
    <row r="3329">
      <c r="B3329" s="7" t="n">
        <v>3327</v>
      </c>
      <c r="C3329" t="inlineStr">
        <is>
          <t>Nhân Viên Kinh Doanh Sản Phẩm IT</t>
        </is>
      </c>
      <c r="D3329" t="inlineStr">
        <is>
          <t>Công Ty Cổ Phần Synnex FPT</t>
        </is>
      </c>
      <c r="E3329" t="inlineStr">
        <is>
          <t>Thương lượng</t>
        </is>
      </c>
      <c r="F3329" t="inlineStr">
        <is>
          <t>Hà Nội, Hồ Chí Minh</t>
        </is>
      </c>
      <c r="G3329" t="inlineStr">
        <is>
          <t>Nhân viên</t>
        </is>
      </c>
      <c r="H3329" t="inlineStr">
        <is>
          <t>30/12/2025</t>
        </is>
      </c>
      <c r="I3329" t="inlineStr">
        <is>
          <t>28/03/2026</t>
        </is>
      </c>
      <c r="J3329" t="inlineStr">
        <is>
          <t>17/03/2026</t>
        </is>
      </c>
      <c r="K3329" t="inlineStr">
        <is>
          <t>N/A</t>
        </is>
      </c>
      <c r="L3329" t="inlineStr">
        <is>
          <t>Phát Triển Đại Lý, Kinh Doanh, Bán Hàng, B2B Sales</t>
        </is>
      </c>
      <c r="M3329" t="inlineStr">
        <is>
          <t>Healthcare Plan</t>
        </is>
      </c>
      <c r="N3329" s="8">
        <f>HYPERLINK("https://www.vietnamworks.com/nhan-vien-kinh-doanh-san-pham-it--1998087-jv","Xem chi tiết")</f>
        <v/>
      </c>
    </row>
    <row r="3330">
      <c r="B3330" s="9" t="n">
        <v>3328</v>
      </c>
      <c r="C3330" s="10" t="inlineStr">
        <is>
          <t>Senior Consultant, People &amp; Change Consulting</t>
        </is>
      </c>
      <c r="D3330" s="10" t="inlineStr">
        <is>
          <t>KPMG Việt Nam</t>
        </is>
      </c>
      <c r="E3330" s="10" t="inlineStr">
        <is>
          <t>Thương lượng</t>
        </is>
      </c>
      <c r="F3330" s="10" t="inlineStr">
        <is>
          <t>Hồ Chí Minh</t>
        </is>
      </c>
      <c r="G3330" s="10" t="inlineStr">
        <is>
          <t>Nhân viên</t>
        </is>
      </c>
      <c r="H3330" s="10" t="inlineStr">
        <is>
          <t>31/12/2025</t>
        </is>
      </c>
      <c r="I3330" s="10" t="inlineStr">
        <is>
          <t>28/03/2026</t>
        </is>
      </c>
      <c r="J3330" s="10" t="inlineStr">
        <is>
          <t>17/03/2026</t>
        </is>
      </c>
      <c r="K3330" s="10" t="inlineStr">
        <is>
          <t>N/A</t>
        </is>
      </c>
      <c r="L3330" s="10" t="inlineStr">
        <is>
          <t>HR Consulting, Training, Organization Development, Total Reward Statement, Workforce Management</t>
        </is>
      </c>
      <c r="M3330" s="10" t="inlineStr">
        <is>
          <t>Bonus, Healthcare Plan, Training</t>
        </is>
      </c>
      <c r="N3330" s="11">
        <f>HYPERLINK("https://www.vietnamworks.com/senior-consultant-people-change-consulting--1998518-jv","Xem chi tiết")</f>
        <v/>
      </c>
      <c r="O3330" s="10" t="n"/>
    </row>
    <row r="3331">
      <c r="B3331" s="7" t="n">
        <v>3329</v>
      </c>
      <c r="C3331" t="inlineStr">
        <is>
          <t>Giám Đốc Tư Vấn Doanh Nghiệp</t>
        </is>
      </c>
      <c r="D3331" t="inlineStr">
        <is>
          <t>Công Ty TNHH Chứng Khoán ACB</t>
        </is>
      </c>
      <c r="E3331" t="inlineStr">
        <is>
          <t>Thương lượng</t>
        </is>
      </c>
      <c r="F3331" t="inlineStr">
        <is>
          <t>Hồ Chí Minh</t>
        </is>
      </c>
      <c r="G3331" t="inlineStr">
        <is>
          <t>Giám Đốc và Cấp Cao Hơn</t>
        </is>
      </c>
      <c r="H3331" t="inlineStr">
        <is>
          <t>31/12/2025</t>
        </is>
      </c>
      <c r="I3331" t="inlineStr">
        <is>
          <t>28/03/2026</t>
        </is>
      </c>
      <c r="J3331" t="inlineStr">
        <is>
          <t>17/03/2026</t>
        </is>
      </c>
      <c r="K3331" t="inlineStr">
        <is>
          <t>N/A</t>
        </is>
      </c>
      <c r="L3331" t="inlineStr">
        <is>
          <t>Corporate Finance &amp; Capital Raising, Investment Banking, Financial Advisory, Deal Structuring, M&amp;A Consulting</t>
        </is>
      </c>
      <c r="M3331" t="inlineStr">
        <is>
          <t>Bonus, Healthcare Plan, Travel Opportunities</t>
        </is>
      </c>
      <c r="N3331" s="8">
        <f>HYPERLINK("https://www.vietnamworks.com/giam-doc-tu-van-doanh-nghiep-1998960-jv","Xem chi tiết")</f>
        <v/>
      </c>
    </row>
    <row r="3332">
      <c r="B3332" s="9" t="n">
        <v>3330</v>
      </c>
      <c r="C3332" s="10" t="inlineStr">
        <is>
          <t>Kỹ Sư Thiết Kế Cơ Điện (MEP) – AutoCAD</t>
        </is>
      </c>
      <c r="D3332" s="10" t="inlineStr">
        <is>
          <t>Công Ty Cổ Phần Hà Yến</t>
        </is>
      </c>
      <c r="E3332" s="10" t="inlineStr">
        <is>
          <t>Thương lượng</t>
        </is>
      </c>
      <c r="F3332" s="10" t="inlineStr">
        <is>
          <t>Hà Nội</t>
        </is>
      </c>
      <c r="G3332" s="10" t="inlineStr">
        <is>
          <t>Trưởng phòng</t>
        </is>
      </c>
      <c r="H3332" s="10" t="inlineStr">
        <is>
          <t>31/12/2025</t>
        </is>
      </c>
      <c r="I3332" s="10" t="inlineStr">
        <is>
          <t>28/03/2026</t>
        </is>
      </c>
      <c r="J3332" s="10" t="inlineStr">
        <is>
          <t>17/03/2026</t>
        </is>
      </c>
      <c r="K3332" s="10" t="inlineStr">
        <is>
          <t>N/A</t>
        </is>
      </c>
      <c r="L3332" s="10" t="inlineStr">
        <is>
          <t>Cơ Khí, Kỹ Thuật, Thiết Kế Nội Thất, Xây Dựng, Auto CAD</t>
        </is>
      </c>
      <c r="M3332" s="10" t="inlineStr">
        <is>
          <t>Bonus, Healthcare Plan, Training</t>
        </is>
      </c>
      <c r="N3332" s="11">
        <f>HYPERLINK("https://www.vietnamworks.com/ky-su-thiet-ke-co-dien-mep-autocad-1998666-jv","Xem chi tiết")</f>
        <v/>
      </c>
      <c r="O3332" s="10" t="n"/>
    </row>
    <row r="3333">
      <c r="B3333" s="7" t="n">
        <v>3331</v>
      </c>
      <c r="C3333" t="inlineStr">
        <is>
          <t>Consultant, Accounting And Bookkeeping Services</t>
        </is>
      </c>
      <c r="D3333" t="inlineStr">
        <is>
          <t>KPMG Việt Nam</t>
        </is>
      </c>
      <c r="E3333" t="inlineStr">
        <is>
          <t>Thương lượng</t>
        </is>
      </c>
      <c r="F3333" t="inlineStr">
        <is>
          <t>Hồ Chí Minh</t>
        </is>
      </c>
      <c r="G3333" t="inlineStr">
        <is>
          <t>Mới Tốt Nghiệp</t>
        </is>
      </c>
      <c r="H3333" t="inlineStr">
        <is>
          <t>31/12/2025</t>
        </is>
      </c>
      <c r="I3333" t="inlineStr">
        <is>
          <t>28/03/2026</t>
        </is>
      </c>
      <c r="J3333" t="inlineStr">
        <is>
          <t>17/03/2026</t>
        </is>
      </c>
      <c r="K3333" t="inlineStr">
        <is>
          <t>N/A</t>
        </is>
      </c>
      <c r="L3333" t="inlineStr">
        <is>
          <t>Accounting, Bookkeeping, Communication, Financial Reporting, Microsoft Excel</t>
        </is>
      </c>
      <c r="M3333" t="inlineStr">
        <is>
          <t>Bonus, Healthcare Plan, Training, Mobile</t>
        </is>
      </c>
      <c r="N3333" s="8">
        <f>HYPERLINK("https://www.vietnamworks.com/consultant-accounting-and-bookkeeping-services-1998593-jv","Xem chi tiết")</f>
        <v/>
      </c>
    </row>
    <row r="3334">
      <c r="B3334" s="9" t="n">
        <v>3332</v>
      </c>
      <c r="C3334" s="10" t="inlineStr">
        <is>
          <t>Nhân Viên Hành Chính</t>
        </is>
      </c>
      <c r="D3334" s="10" t="inlineStr">
        <is>
          <t>iMarket Viet Nam Co., Ltd</t>
        </is>
      </c>
      <c r="E3334" s="10" t="inlineStr">
        <is>
          <t>Thương lượng</t>
        </is>
      </c>
      <c r="F3334" s="10" t="inlineStr">
        <is>
          <t>Phú Thọ, Hà Nội</t>
        </is>
      </c>
      <c r="G3334" s="10" t="inlineStr">
        <is>
          <t>Nhân viên</t>
        </is>
      </c>
      <c r="H3334" s="10" t="inlineStr">
        <is>
          <t>07/01/2026</t>
        </is>
      </c>
      <c r="I3334" s="10" t="inlineStr">
        <is>
          <t>28/03/2026</t>
        </is>
      </c>
      <c r="J3334" s="10" t="inlineStr">
        <is>
          <t>17/03/2026</t>
        </is>
      </c>
      <c r="K3334" s="10" t="inlineStr">
        <is>
          <t>N/A</t>
        </is>
      </c>
      <c r="L3334" s="10" t="inlineStr">
        <is>
          <t>Biên Dịch, Hành Chính, Quản Lý Hồ Sơ, Tiếng Anh, Tin Học Văn Phòng</t>
        </is>
      </c>
      <c r="M3334" s="10" t="inlineStr">
        <is>
          <t>Bonus, Healthcare Plan, Training, Awards, Team Activities, Transportation, Others</t>
        </is>
      </c>
      <c r="N3334" s="11">
        <f>HYPERLINK("https://www.vietnamworks.com/nhan-vien-hanh-chinh-2000195-jv","Xem chi tiết")</f>
        <v/>
      </c>
      <c r="O3334" s="10" t="n"/>
    </row>
    <row r="3335">
      <c r="B3335" s="7" t="n">
        <v>3333</v>
      </c>
      <c r="C3335" t="inlineStr">
        <is>
          <t>Senior Software Engineer/ Technical PM</t>
        </is>
      </c>
      <c r="D3335" t="inlineStr">
        <is>
          <t>Sumitomo Mitsui Banking Corporation (SMBC)</t>
        </is>
      </c>
      <c r="E3335" t="inlineStr">
        <is>
          <t>Thương lượng</t>
        </is>
      </c>
      <c r="F3335" t="inlineStr">
        <is>
          <t>Hà Nội</t>
        </is>
      </c>
      <c r="G3335" t="inlineStr">
        <is>
          <t>Nhân viên</t>
        </is>
      </c>
      <c r="H3335" t="inlineStr">
        <is>
          <t>07/01/2026</t>
        </is>
      </c>
      <c r="I3335" t="inlineStr">
        <is>
          <t>28/03/2026</t>
        </is>
      </c>
      <c r="J3335" t="inlineStr">
        <is>
          <t>17/03/2026</t>
        </is>
      </c>
      <c r="K3335" t="inlineStr">
        <is>
          <t>N/A</t>
        </is>
      </c>
      <c r="L3335" t="inlineStr">
        <is>
          <t>IT Solutions, MS SQL, Software Development Lifecycle</t>
        </is>
      </c>
      <c r="M3335" t="inlineStr">
        <is>
          <t>Team Activities, Others</t>
        </is>
      </c>
      <c r="N3335" s="8">
        <f>HYPERLINK("https://www.vietnamworks.com/senior-software-engineer-technical-pm-2000307-jv","Xem chi tiết")</f>
        <v/>
      </c>
    </row>
    <row r="3336">
      <c r="B3336" s="9" t="n">
        <v>3334</v>
      </c>
      <c r="C3336" s="10" t="inlineStr">
        <is>
          <t>Chuyên Viên Pháp Chế (Senior)</t>
        </is>
      </c>
      <c r="D3336" s="10" t="inlineStr">
        <is>
          <t>iMarket Viet Nam Co., Ltd</t>
        </is>
      </c>
      <c r="E3336" s="10" t="inlineStr">
        <is>
          <t>Thương lượng</t>
        </is>
      </c>
      <c r="F3336" s="10" t="inlineStr">
        <is>
          <t>Hà Nội, Phú Thọ</t>
        </is>
      </c>
      <c r="G3336" s="10" t="inlineStr">
        <is>
          <t>Nhân viên</t>
        </is>
      </c>
      <c r="H3336" s="10" t="inlineStr">
        <is>
          <t>07/01/2026</t>
        </is>
      </c>
      <c r="I3336" s="10" t="inlineStr">
        <is>
          <t>28/03/2026</t>
        </is>
      </c>
      <c r="J3336" s="10" t="inlineStr">
        <is>
          <t>17/03/2026</t>
        </is>
      </c>
      <c r="K3336" s="10" t="inlineStr">
        <is>
          <t>N/A</t>
        </is>
      </c>
      <c r="L3336" s="10" t="inlineStr">
        <is>
          <t>Luật Doanh Nghiệp, Luật Khoáng Sản, Luật Đầu Tư, Soạn Thảo Hợp Đồng, Tư Vấn Pháp Lý</t>
        </is>
      </c>
      <c r="M3336" s="10" t="inlineStr">
        <is>
          <t>Bonus, Healthcare Plan, Paid Leave, Training, Awards, Team Activities, Transportation, Others</t>
        </is>
      </c>
      <c r="N3336" s="11">
        <f>HYPERLINK("https://www.vietnamworks.com/chuyen-vien-phap-che-senior-2000194-jv","Xem chi tiết")</f>
        <v/>
      </c>
      <c r="O3336" s="10" t="n"/>
    </row>
    <row r="3337">
      <c r="B3337" s="7" t="n">
        <v>3335</v>
      </c>
      <c r="C3337" t="inlineStr">
        <is>
          <t>Executive Customer Care (Trainer)</t>
        </is>
      </c>
      <c r="D3337" t="inlineStr">
        <is>
          <t>DKSH Vietnam Co., Ltd.</t>
        </is>
      </c>
      <c r="E3337" t="inlineStr">
        <is>
          <t>Thương lượng</t>
        </is>
      </c>
      <c r="F3337" t="inlineStr">
        <is>
          <t>Hồ Chí Minh</t>
        </is>
      </c>
      <c r="G3337" t="inlineStr">
        <is>
          <t>Nhân viên</t>
        </is>
      </c>
      <c r="H3337" t="inlineStr">
        <is>
          <t>07/01/2026</t>
        </is>
      </c>
      <c r="I3337" t="inlineStr">
        <is>
          <t>28/03/2026</t>
        </is>
      </c>
      <c r="J3337" t="inlineStr">
        <is>
          <t>17/03/2026</t>
        </is>
      </c>
      <c r="K3337" t="inlineStr">
        <is>
          <t>N/A</t>
        </is>
      </c>
      <c r="L3337" t="inlineStr">
        <is>
          <t>Trainer, Giảng Dạy, Chăm Sóc Khách Hàng, Chăm Sóc Sức Khỏe, Training Skills</t>
        </is>
      </c>
      <c r="M3337" t="inlineStr">
        <is>
          <t>Bonus, Healthcare Plan, Training</t>
        </is>
      </c>
      <c r="N3337" s="8">
        <f>HYPERLINK("https://www.vietnamworks.com/executive-customer-care-trainer-2000461-jv","Xem chi tiết")</f>
        <v/>
      </c>
    </row>
    <row r="3338">
      <c r="B3338" s="9" t="n">
        <v>3336</v>
      </c>
      <c r="C3338" s="10" t="inlineStr">
        <is>
          <t>Phó Phòng Tài Chính Kế Toán [Có Thể Đi Làm Sau Tết]</t>
        </is>
      </c>
      <c r="D3338" s="10" t="inlineStr">
        <is>
          <t>Công ty cổ phần Hợp Nhất</t>
        </is>
      </c>
      <c r="E3338" s="10" t="inlineStr">
        <is>
          <t>Từ 20tr ₫/tháng</t>
        </is>
      </c>
      <c r="F3338" s="10" t="inlineStr">
        <is>
          <t>Bắc Ninh</t>
        </is>
      </c>
      <c r="G3338" s="10" t="inlineStr">
        <is>
          <t>Nhân viên</t>
        </is>
      </c>
      <c r="H3338" s="10" t="inlineStr">
        <is>
          <t>08/01/2026</t>
        </is>
      </c>
      <c r="I3338" s="10" t="inlineStr">
        <is>
          <t>28/03/2026</t>
        </is>
      </c>
      <c r="J3338" s="10" t="inlineStr">
        <is>
          <t>17/03/2026</t>
        </is>
      </c>
      <c r="K3338" s="10" t="inlineStr">
        <is>
          <t>N/A</t>
        </is>
      </c>
      <c r="L3338" s="10" t="inlineStr">
        <is>
          <t>Kế Toán, Báo Cáo Thuế, Kế Toán Tổng Hợp, Luật Thuế Doanh Nghiệp, Quản Lý Tài Chính</t>
        </is>
      </c>
      <c r="M3338" s="10" t="inlineStr">
        <is>
          <t>Bonus, Healthcare Plan, Others</t>
        </is>
      </c>
      <c r="N3338" s="11">
        <f>HYPERLINK("https://www.vietnamworks.com/pho-phong-tai-chinh-ke-toan-co-the-di-lam-sau-tet-2000483-jv","Xem chi tiết")</f>
        <v/>
      </c>
      <c r="O3338" s="10" t="n"/>
    </row>
    <row r="3339">
      <c r="B3339" s="7" t="n">
        <v>3337</v>
      </c>
      <c r="C3339" t="inlineStr">
        <is>
          <t>Microsoft Dynamics 365 F&amp;O Developer</t>
        </is>
      </c>
      <c r="D3339" t="inlineStr">
        <is>
          <t>KPMG Việt Nam</t>
        </is>
      </c>
      <c r="E3339" t="inlineStr">
        <is>
          <t>Thương lượng</t>
        </is>
      </c>
      <c r="F3339" t="inlineStr">
        <is>
          <t>Hồ Chí Minh</t>
        </is>
      </c>
      <c r="G3339" t="inlineStr">
        <is>
          <t>Nhân viên</t>
        </is>
      </c>
      <c r="H3339" t="inlineStr">
        <is>
          <t>05/01/2026</t>
        </is>
      </c>
      <c r="I3339" t="inlineStr">
        <is>
          <t>28/03/2026</t>
        </is>
      </c>
      <c r="J3339" t="inlineStr">
        <is>
          <t>17/03/2026</t>
        </is>
      </c>
      <c r="K3339" t="inlineStr">
        <is>
          <t>N/A</t>
        </is>
      </c>
      <c r="L3339" t="inlineStr">
        <is>
          <t>Azure DevOps, English/Vietnamese Communication, Microsoft Dynamics 365, OS Migration</t>
        </is>
      </c>
      <c r="M3339" t="inlineStr">
        <is>
          <t>Bonus, Healthcare Plan, Training, Mobile, Others</t>
        </is>
      </c>
      <c r="N3339" s="8">
        <f>HYPERLINK("https://www.vietnamworks.com/microsoft-dynamics-365-fando-developer-1999425-jv","Xem chi tiết")</f>
        <v/>
      </c>
    </row>
    <row r="3340">
      <c r="B3340" s="9" t="n">
        <v>3338</v>
      </c>
      <c r="C3340" s="10" t="inlineStr">
        <is>
          <t>Giám Đốc Ban Quản Lý Xây Dựng</t>
        </is>
      </c>
      <c r="D3340" s="10" t="inlineStr">
        <is>
          <t>Công Ty Cổ Phần Vinhomes</t>
        </is>
      </c>
      <c r="E3340" s="10" t="inlineStr">
        <is>
          <t>Thương lượng</t>
        </is>
      </c>
      <c r="F3340" s="10" t="inlineStr">
        <is>
          <t>Hà Nội, Hồ Chí Minh</t>
        </is>
      </c>
      <c r="G3340" s="10" t="inlineStr">
        <is>
          <t>Trưởng phòng</t>
        </is>
      </c>
      <c r="H3340" s="10" t="inlineStr">
        <is>
          <t>05/01/2026</t>
        </is>
      </c>
      <c r="I3340" s="10" t="inlineStr">
        <is>
          <t>28/03/2026</t>
        </is>
      </c>
      <c r="J3340" s="10" t="inlineStr">
        <is>
          <t>17/03/2026</t>
        </is>
      </c>
      <c r="K3340" s="10" t="inlineStr">
        <is>
          <t>N/A</t>
        </is>
      </c>
      <c r="L3340" s="10" t="inlineStr">
        <is>
          <t>Kiến Trúc Công Trình, Lãnh Đạo, Lập Kế Hoạch, Quản Lý Dự Án, Xây Dựng</t>
        </is>
      </c>
      <c r="M3340" s="10" t="inlineStr">
        <is>
          <t>Bonus, Healthcare Plan, Others</t>
        </is>
      </c>
      <c r="N3340" s="11">
        <f>HYPERLINK("https://www.vietnamworks.com/giam-djoc-ban-quan-ly-xay-dung-1999451-jv","Xem chi tiết")</f>
        <v/>
      </c>
      <c r="O3340" s="10" t="n"/>
    </row>
    <row r="3341">
      <c r="B3341" s="7" t="n">
        <v>3339</v>
      </c>
      <c r="C3341" t="inlineStr">
        <is>
          <t>Giám Sát Hiện Trường</t>
        </is>
      </c>
      <c r="D3341" t="inlineStr">
        <is>
          <t>Công ty CP Đầu Tư Kiến Trúc và Xây Dựng Trung Nguyên</t>
        </is>
      </c>
      <c r="E3341" t="inlineStr">
        <is>
          <t>18tr-25tr ₫/tháng</t>
        </is>
      </c>
      <c r="F3341" t="inlineStr">
        <is>
          <t>Hà Nội</t>
        </is>
      </c>
      <c r="G3341" t="inlineStr">
        <is>
          <t>Trưởng phòng</t>
        </is>
      </c>
      <c r="H3341" t="inlineStr">
        <is>
          <t>07/01/2026</t>
        </is>
      </c>
      <c r="I3341" t="inlineStr">
        <is>
          <t>28/03/2026</t>
        </is>
      </c>
      <c r="J3341" t="inlineStr">
        <is>
          <t>17/03/2026</t>
        </is>
      </c>
      <c r="K3341" t="inlineStr">
        <is>
          <t>N/A</t>
        </is>
      </c>
      <c r="L3341" t="inlineStr">
        <is>
          <t>Giám Sát Thi Công, Thi Công Nội Thất, Quản Lý Vật Tư Thiết Bị, Tiêu Chuẩn Kỹ Thuật, Đọc Hiểu Bản Vẽ</t>
        </is>
      </c>
      <c r="M3341" t="inlineStr">
        <is>
          <t>Bonus, Healthcare Plan, Paid Leave, Team Activities</t>
        </is>
      </c>
      <c r="N3341" s="8">
        <f>HYPERLINK("https://www.vietnamworks.com/giam-sat-hien-truong-2000062-jv","Xem chi tiết")</f>
        <v/>
      </c>
    </row>
    <row r="3342">
      <c r="B3342" s="9" t="n">
        <v>3340</v>
      </c>
      <c r="C3342" s="10" t="inlineStr">
        <is>
          <t>Tuyển Gấp - Kiến Trúc Sư và Kiến Trúc Sư Triển Khai (Sử Dụng Revit)</t>
        </is>
      </c>
      <c r="D3342" s="10" t="inlineStr">
        <is>
          <t>Highend Architecture JSC</t>
        </is>
      </c>
      <c r="E3342" s="10" t="inlineStr">
        <is>
          <t>$$ 700-1,000 /tháng</t>
        </is>
      </c>
      <c r="F3342" s="10" t="inlineStr">
        <is>
          <t>Hà Nội</t>
        </is>
      </c>
      <c r="G3342" s="10" t="inlineStr">
        <is>
          <t>Trưởng phòng</t>
        </is>
      </c>
      <c r="H3342" s="10" t="inlineStr">
        <is>
          <t>07/01/2026</t>
        </is>
      </c>
      <c r="I3342" s="10" t="inlineStr">
        <is>
          <t>28/03/2026</t>
        </is>
      </c>
      <c r="J3342" s="10" t="inlineStr">
        <is>
          <t>17/03/2026</t>
        </is>
      </c>
      <c r="K3342" s="10" t="inlineStr">
        <is>
          <t>N/A</t>
        </is>
      </c>
      <c r="L3342" s="10" t="inlineStr">
        <is>
          <t>Xây Dựng Dân Dụng, Revit, AutoCAD, Triển Khai Kiến Trúc, Kiến Trúc Sư</t>
        </is>
      </c>
      <c r="M3342" s="10" t="inlineStr">
        <is>
          <t>Bonus, Healthcare Plan, Others</t>
        </is>
      </c>
      <c r="N3342" s="11">
        <f>HYPERLINK("https://www.vietnamworks.com/tuyen-gap-kien-truc-su-va-kien-truc-su-trien-khai-su-dung-revit-2000205-jv","Xem chi tiết")</f>
        <v/>
      </c>
      <c r="O3342" s="10" t="n"/>
    </row>
    <row r="3343">
      <c r="B3343" s="7" t="n">
        <v>3341</v>
      </c>
      <c r="C3343" t="inlineStr">
        <is>
          <t>Cán Bộ Quỹ Hội Sở - Khối Vận Hành</t>
        </is>
      </c>
      <c r="D3343" t="inlineStr">
        <is>
          <t>Ngân hàng TMCP Tiên Phong (TPBank)</t>
        </is>
      </c>
      <c r="E3343" t="inlineStr">
        <is>
          <t>Thương lượng</t>
        </is>
      </c>
      <c r="F3343" t="inlineStr">
        <is>
          <t>Hồ Chí Minh, Hà Nội</t>
        </is>
      </c>
      <c r="G3343" t="inlineStr">
        <is>
          <t>Nhân viên</t>
        </is>
      </c>
      <c r="H3343" t="inlineStr">
        <is>
          <t>07/01/2026</t>
        </is>
      </c>
      <c r="I3343" t="inlineStr">
        <is>
          <t>28/03/2026</t>
        </is>
      </c>
      <c r="J3343" t="inlineStr">
        <is>
          <t>17/03/2026</t>
        </is>
      </c>
      <c r="K3343" t="inlineStr">
        <is>
          <t>N/A</t>
        </is>
      </c>
      <c r="L3343" t="inlineStr">
        <is>
          <t>Quản Lý Kho Quỹ, Nhận Diện Rủi Ro, Giải Trình Ngân Hàng, Fund Management, Tài Chính Ngân Hàng</t>
        </is>
      </c>
      <c r="M3343" t="inlineStr">
        <is>
          <t>Bonus, Awards, Others</t>
        </is>
      </c>
      <c r="N3343" s="8">
        <f>HYPERLINK("https://www.vietnamworks.com/can-bo-quy-hoi-so-khoi-van-hanh-2000451-jv","Xem chi tiết")</f>
        <v/>
      </c>
    </row>
    <row r="3344">
      <c r="B3344" s="9" t="n">
        <v>3342</v>
      </c>
      <c r="C3344" s="10" t="inlineStr">
        <is>
          <t>Kiểm Tra Viên Cao Cấp Kiểm Soát Nội Bộ Và Tuân Thủ Tín Dụng</t>
        </is>
      </c>
      <c r="D3344" s="10" t="inlineStr">
        <is>
          <t>Ngân hàng TMCP Tiên Phong (TPBank)</t>
        </is>
      </c>
      <c r="E3344" s="10" t="inlineStr">
        <is>
          <t>Thương lượng</t>
        </is>
      </c>
      <c r="F3344" s="10" t="inlineStr">
        <is>
          <t>Hà Nội</t>
        </is>
      </c>
      <c r="G3344" s="10" t="inlineStr">
        <is>
          <t>Nhân viên</t>
        </is>
      </c>
      <c r="H3344" s="10" t="inlineStr">
        <is>
          <t>07/01/2026</t>
        </is>
      </c>
      <c r="I3344" s="10" t="inlineStr">
        <is>
          <t>28/03/2026</t>
        </is>
      </c>
      <c r="J3344" s="10" t="inlineStr">
        <is>
          <t>17/03/2026</t>
        </is>
      </c>
      <c r="K3344" s="10" t="inlineStr">
        <is>
          <t>N/A</t>
        </is>
      </c>
      <c r="L3344" s="10" t="inlineStr">
        <is>
          <t>Kế Toán, Tài Chính Ngân Hàng, Phân Tích Thông Tin, Quản Trị Rủi Ro, Giao Tiếp</t>
        </is>
      </c>
      <c r="M3344" s="10" t="inlineStr">
        <is>
          <t>Bonus, Healthcare Plan, Paid Leave, Training, Awards, Mobile, Transportation, Others</t>
        </is>
      </c>
      <c r="N3344" s="11">
        <f>HYPERLINK("https://www.vietnamworks.com/kiem-tra-vien-cao-cap-kiem-soat-noi-bo-va-tuan-thu-tin-dung-2000092-jv","Xem chi tiết")</f>
        <v/>
      </c>
      <c r="O3344" s="10" t="n"/>
    </row>
    <row r="3345">
      <c r="B3345" s="7" t="n">
        <v>3343</v>
      </c>
      <c r="C3345" t="inlineStr">
        <is>
          <t>Trưởng Phòng Phát Triển Dự Án Đào Tạo B2B</t>
        </is>
      </c>
      <c r="D3345" t="inlineStr">
        <is>
          <t>Công ty Cổ phần Dịch vụ và tư vấn đầu tư VCI</t>
        </is>
      </c>
      <c r="E3345" t="inlineStr">
        <is>
          <t>30tr-50tr ₫/tháng</t>
        </is>
      </c>
      <c r="F3345" t="inlineStr">
        <is>
          <t>Hà Nội</t>
        </is>
      </c>
      <c r="G3345" t="inlineStr">
        <is>
          <t>Trưởng phòng</t>
        </is>
      </c>
      <c r="H3345" t="inlineStr">
        <is>
          <t>07/01/2026</t>
        </is>
      </c>
      <c r="I3345" t="inlineStr">
        <is>
          <t>28/03/2026</t>
        </is>
      </c>
      <c r="J3345" t="inlineStr">
        <is>
          <t>17/03/2026</t>
        </is>
      </c>
      <c r="K3345" t="inlineStr">
        <is>
          <t>N/A</t>
        </is>
      </c>
      <c r="L3345" t="inlineStr">
        <is>
          <t>Đào Tạo, Lập Kế Hoạch Đào Tạo, Training, Training Strategy, Đào Tạo Nhân Sự</t>
        </is>
      </c>
      <c r="M3345" t="inlineStr">
        <is>
          <t>Bonus, Healthcare Plan, Paid Leave, Training, Travel Opportunities, Others</t>
        </is>
      </c>
      <c r="N3345" s="8">
        <f>HYPERLINK("https://www.vietnamworks.com/truong-phong-phat-trien-du-an-dao-tao-b2b-2000227-jv","Xem chi tiết")</f>
        <v/>
      </c>
    </row>
    <row r="3346">
      <c r="B3346" s="9" t="n">
        <v>3344</v>
      </c>
      <c r="C3346" s="10" t="inlineStr">
        <is>
          <t>Chuyên Viên Pháp Lý Và Phát Triển Khách Hàng FDI</t>
        </is>
      </c>
      <c r="D3346" s="10" t="inlineStr">
        <is>
          <t>Công ty Cổ phần Dịch vụ và tư vấn đầu tư VCI</t>
        </is>
      </c>
      <c r="E3346" s="10" t="inlineStr">
        <is>
          <t>12tr-20tr ₫/tháng</t>
        </is>
      </c>
      <c r="F3346" s="10" t="inlineStr">
        <is>
          <t>Hà Nội</t>
        </is>
      </c>
      <c r="G3346" s="10" t="inlineStr">
        <is>
          <t>Nhân viên</t>
        </is>
      </c>
      <c r="H3346" s="10" t="inlineStr">
        <is>
          <t>07/01/2026</t>
        </is>
      </c>
      <c r="I3346" s="10" t="inlineStr">
        <is>
          <t>28/03/2026</t>
        </is>
      </c>
      <c r="J3346" s="10" t="inlineStr">
        <is>
          <t>17/03/2026</t>
        </is>
      </c>
      <c r="K3346" s="10" t="inlineStr">
        <is>
          <t>N/A</t>
        </is>
      </c>
      <c r="L3346" s="10" t="inlineStr">
        <is>
          <t>Tư Vấn Pháp Lý, Tư Vấn Đầu Tư, FDI Advisory, Pháp Chế Doanh Nghiệp, Tư Vấn Luật Doanh Nghệp</t>
        </is>
      </c>
      <c r="M3346" s="10" t="inlineStr">
        <is>
          <t>Bonus, Training, Travel Opportunities</t>
        </is>
      </c>
      <c r="N3346" s="11">
        <f>HYPERLINK("https://www.vietnamworks.com/chuyen-vien-phap-ly-va-phat-trien-khach-hang-fdi-2000238-jv","Xem chi tiết")</f>
        <v/>
      </c>
      <c r="O3346" s="10" t="n"/>
    </row>
    <row r="3347">
      <c r="B3347" s="7" t="n">
        <v>3345</v>
      </c>
      <c r="C3347" t="inlineStr">
        <is>
          <t>Development Engineer (Kỹ Sư Phát Triển Sản Phẩm)</t>
        </is>
      </c>
      <c r="D3347" t="inlineStr">
        <is>
          <t>Công Ty TNHH LG Display Việt Nam Hải Phòng</t>
        </is>
      </c>
      <c r="E3347" t="inlineStr">
        <is>
          <t>Thương lượng</t>
        </is>
      </c>
      <c r="F3347" t="inlineStr">
        <is>
          <t>Hải Phòng</t>
        </is>
      </c>
      <c r="G3347" t="inlineStr">
        <is>
          <t>Mới Tốt Nghiệp</t>
        </is>
      </c>
      <c r="H3347" t="inlineStr">
        <is>
          <t>07/01/2026</t>
        </is>
      </c>
      <c r="I3347" t="inlineStr">
        <is>
          <t>28/03/2026</t>
        </is>
      </c>
      <c r="J3347" t="inlineStr">
        <is>
          <t>17/03/2026</t>
        </is>
      </c>
      <c r="K3347" t="inlineStr">
        <is>
          <t>N/A</t>
        </is>
      </c>
      <c r="L3347" t="inlineStr">
        <is>
          <t>Analytical Skills, Failure Analysis, Circuit Board, Product Development, Electrochemistry</t>
        </is>
      </c>
      <c r="M3347" t="inlineStr">
        <is>
          <t>Bonus, Transportation, Others</t>
        </is>
      </c>
      <c r="N3347" s="8">
        <f>HYPERLINK("https://www.vietnamworks.com/development-engineer-ky-su-phat-trien-san-pham-2000295-jv","Xem chi tiết")</f>
        <v/>
      </c>
    </row>
    <row r="3348">
      <c r="B3348" s="9" t="n">
        <v>3346</v>
      </c>
      <c r="C3348" s="10" t="inlineStr">
        <is>
          <t>International CFO Advisor (Upto 6000$)</t>
        </is>
      </c>
      <c r="D3348" s="10" t="inlineStr">
        <is>
          <t>Tập Đoàn APEC (APEC GROUP)</t>
        </is>
      </c>
      <c r="E3348" s="10" t="inlineStr">
        <is>
          <t>$$ 3,000-6,000 /tháng</t>
        </is>
      </c>
      <c r="F3348" s="10" t="inlineStr">
        <is>
          <t>Hà Nội</t>
        </is>
      </c>
      <c r="G3348" s="10" t="inlineStr">
        <is>
          <t>Giám Đốc và Cấp Cao Hơn</t>
        </is>
      </c>
      <c r="H3348" s="10" t="inlineStr">
        <is>
          <t>08/01/2026</t>
        </is>
      </c>
      <c r="I3348" s="10" t="inlineStr">
        <is>
          <t>28/03/2026</t>
        </is>
      </c>
      <c r="J3348" s="10" t="inlineStr">
        <is>
          <t>17/03/2026</t>
        </is>
      </c>
      <c r="K3348" s="10" t="inlineStr">
        <is>
          <t>N/A</t>
        </is>
      </c>
      <c r="L3348" s="10" t="inlineStr">
        <is>
          <t>Venture Capital, Project Finance, Fundamental Finance Management, Fundraising, Fund Control</t>
        </is>
      </c>
      <c r="M3348" s="10" t="inlineStr">
        <is>
          <t>Bonus, Travel Opportunities, Others</t>
        </is>
      </c>
      <c r="N3348" s="11">
        <f>HYPERLINK("https://www.vietnamworks.com/international-cfo-advisor-upto-6000-2000631-jv","Xem chi tiết")</f>
        <v/>
      </c>
      <c r="O3348" s="10" t="n"/>
    </row>
    <row r="3349">
      <c r="B3349" s="7" t="n">
        <v>3347</v>
      </c>
      <c r="C3349" t="inlineStr">
        <is>
          <t>Chuyên Gia Pháp Lý Quản Trị và Phi Tín Dụng - Khối Pháp Chế và Tuân Thủ</t>
        </is>
      </c>
      <c r="D3349" t="inlineStr">
        <is>
          <t>Ngân Hàng TMCP Đại Chúng Việt Nam</t>
        </is>
      </c>
      <c r="E3349" t="inlineStr">
        <is>
          <t>$$ 1,000-1,500 /tháng</t>
        </is>
      </c>
      <c r="F3349" t="inlineStr">
        <is>
          <t>Hà Nội</t>
        </is>
      </c>
      <c r="G3349" t="inlineStr">
        <is>
          <t>Nhân viên</t>
        </is>
      </c>
      <c r="H3349" t="inlineStr">
        <is>
          <t>08/01/2026</t>
        </is>
      </c>
      <c r="I3349" t="inlineStr">
        <is>
          <t>28/03/2026</t>
        </is>
      </c>
      <c r="J3349" t="inlineStr">
        <is>
          <t>17/03/2026</t>
        </is>
      </c>
      <c r="K3349" t="inlineStr">
        <is>
          <t>N/A</t>
        </is>
      </c>
      <c r="L3349" t="inlineStr">
        <is>
          <t>Ngân hàng, Pháp Chế, Pháp Lý, Pháp Lý Doanh Nghiệp</t>
        </is>
      </c>
      <c r="M3349" t="inlineStr">
        <is>
          <t>Bonus, Healthcare Plan, Canteen</t>
        </is>
      </c>
      <c r="N3349" s="8">
        <f>HYPERLINK("https://www.vietnamworks.com/chuyen-gia-phap-ly-quan-tri-va-phi-tin-dung-khoi-phap-che-va-tuan-thu-2000527-jv","Xem chi tiết")</f>
        <v/>
      </c>
    </row>
    <row r="3350">
      <c r="B3350" s="9" t="n">
        <v>3348</v>
      </c>
      <c r="C3350" s="10" t="inlineStr">
        <is>
          <t>(Seojin - Texon) Trưởng Nhóm Xuất Nhập Khẩu</t>
        </is>
      </c>
      <c r="D3350" s="10" t="inlineStr">
        <is>
          <t>Công ty TNHH Seojin Auto</t>
        </is>
      </c>
      <c r="E3350" s="10" t="inlineStr">
        <is>
          <t>$$ 700-1,000 /tháng</t>
        </is>
      </c>
      <c r="F3350" s="10" t="inlineStr">
        <is>
          <t>Bắc Ninh, Hà Nội</t>
        </is>
      </c>
      <c r="G3350" s="10" t="inlineStr">
        <is>
          <t>Nhân viên</t>
        </is>
      </c>
      <c r="H3350" s="10" t="inlineStr">
        <is>
          <t>07/01/2026</t>
        </is>
      </c>
      <c r="I3350" s="10" t="inlineStr">
        <is>
          <t>28/03/2026</t>
        </is>
      </c>
      <c r="J3350" s="10" t="inlineStr">
        <is>
          <t>17/03/2026</t>
        </is>
      </c>
      <c r="K3350" s="10" t="inlineStr">
        <is>
          <t>N/A</t>
        </is>
      </c>
      <c r="L3350" s="10" t="inlineStr">
        <is>
          <t>Xuất Nhập Khẩu, Logistics, Hải Quan, Thương Mại Quốc Tế, Tiếng Anh</t>
        </is>
      </c>
      <c r="M3350" s="10" t="inlineStr">
        <is>
          <t>Paid Leave, Transportation, Canteen</t>
        </is>
      </c>
      <c r="N3350" s="11">
        <f>HYPERLINK("https://www.vietnamworks.com/seojin-texon-truong-nhom-xuat-nhap-khau--2000335-jv","Xem chi tiết")</f>
        <v/>
      </c>
      <c r="O3350" s="10" t="n"/>
    </row>
    <row r="3351">
      <c r="B3351" s="7" t="n">
        <v>3349</v>
      </c>
      <c r="C3351" t="inlineStr">
        <is>
          <t>Kỹ Sư Cơ Khí</t>
        </is>
      </c>
      <c r="D3351" t="inlineStr">
        <is>
          <t>Công Ty TNHH Thủ Công Mỹ Nghệ Và Nội Thất Ngọc Sơn</t>
        </is>
      </c>
      <c r="E3351" t="inlineStr">
        <is>
          <t>Thương lượng</t>
        </is>
      </c>
      <c r="F3351" t="inlineStr">
        <is>
          <t>Hà Nam</t>
        </is>
      </c>
      <c r="G3351" t="inlineStr">
        <is>
          <t>Nhân viên</t>
        </is>
      </c>
      <c r="H3351" t="inlineStr">
        <is>
          <t>02/01/2026</t>
        </is>
      </c>
      <c r="I3351" t="inlineStr">
        <is>
          <t>28/03/2026</t>
        </is>
      </c>
      <c r="J3351" t="inlineStr">
        <is>
          <t>17/03/2026</t>
        </is>
      </c>
      <c r="K3351" t="inlineStr">
        <is>
          <t>N/A</t>
        </is>
      </c>
      <c r="L3351" t="inlineStr">
        <is>
          <t>Cơ Khí Chế Tạo, AutoCAD, 3D, Cơ Khí, Gia Công Cơ Khí</t>
        </is>
      </c>
      <c r="M3351" t="inlineStr">
        <is>
          <t>Bonus, Healthcare Plan, Transportation</t>
        </is>
      </c>
      <c r="N3351" s="8">
        <f>HYPERLINK("https://www.vietnamworks.com/ky-su-co-khi--1999085-jv","Xem chi tiết")</f>
        <v/>
      </c>
    </row>
    <row r="3352">
      <c r="B3352" s="9" t="n">
        <v>3350</v>
      </c>
      <c r="C3352" s="10" t="inlineStr">
        <is>
          <t>Sales Admin - Nhân Viên Quản Lý Đơn Hàng (7 Months Contract)</t>
        </is>
      </c>
      <c r="D3352" s="10" t="inlineStr">
        <is>
          <t>iMarket Viet Nam Co., Ltd</t>
        </is>
      </c>
      <c r="E3352" s="10" t="inlineStr">
        <is>
          <t>Thương lượng</t>
        </is>
      </c>
      <c r="F3352" s="10" t="inlineStr">
        <is>
          <t>Hà Nội</t>
        </is>
      </c>
      <c r="G3352" s="10" t="inlineStr">
        <is>
          <t>Nhân viên</t>
        </is>
      </c>
      <c r="H3352" s="10" t="inlineStr">
        <is>
          <t>07/01/2026</t>
        </is>
      </c>
      <c r="I3352" s="10" t="inlineStr">
        <is>
          <t>28/03/2026</t>
        </is>
      </c>
      <c r="J3352" s="10" t="inlineStr">
        <is>
          <t>17/03/2026</t>
        </is>
      </c>
      <c r="K3352" s="10" t="inlineStr">
        <is>
          <t>N/A</t>
        </is>
      </c>
      <c r="L3352" s="10" t="inlineStr">
        <is>
          <t>B2B, B2C, Ecommerce Background, Sales Admin, Sales Support</t>
        </is>
      </c>
      <c r="M3352" s="10" t="inlineStr">
        <is>
          <t>Bonus, Healthcare Plan, Paid Leave, Training, Team Activities, Others</t>
        </is>
      </c>
      <c r="N3352" s="11">
        <f>HYPERLINK("https://www.vietnamworks.com/sales-admin-nhan-vien-quan-ly-don-hang-7-months-contract-2000198-jv","Xem chi tiết")</f>
        <v/>
      </c>
      <c r="O3352" s="10" t="n"/>
    </row>
    <row r="3353">
      <c r="B3353" s="7" t="n">
        <v>3351</v>
      </c>
      <c r="C3353" t="inlineStr">
        <is>
          <t>Nhân Viên Phiên Dịch Tiếng Trung</t>
        </is>
      </c>
      <c r="D3353" t="inlineStr">
        <is>
          <t>Công ty TNHH Novel Dyeing &amp; Printing VN</t>
        </is>
      </c>
      <c r="E3353" t="inlineStr">
        <is>
          <t>$$ 400-700 /tháng</t>
        </is>
      </c>
      <c r="F3353" t="inlineStr">
        <is>
          <t>Nam Định, Ninh Bình, Hà Nam</t>
        </is>
      </c>
      <c r="G3353" t="inlineStr">
        <is>
          <t>Mới Tốt Nghiệp</t>
        </is>
      </c>
      <c r="H3353" t="inlineStr">
        <is>
          <t>07/01/2026</t>
        </is>
      </c>
      <c r="I3353" t="inlineStr">
        <is>
          <t>28/03/2026</t>
        </is>
      </c>
      <c r="J3353" t="inlineStr">
        <is>
          <t>17/03/2026</t>
        </is>
      </c>
      <c r="K3353" t="inlineStr">
        <is>
          <t>N/A</t>
        </is>
      </c>
      <c r="L3353" t="inlineStr">
        <is>
          <t>Tiếng Trung, Phiên Dịch, Biên Phiên Dịch Tiếng Trung</t>
        </is>
      </c>
      <c r="M3353" t="inlineStr">
        <is>
          <t>Healthcare Plan, Paid Leave, Transportation</t>
        </is>
      </c>
      <c r="N3353" s="8">
        <f>HYPERLINK("https://www.vietnamworks.com/nhan-vien-phien-dich-tieng-trung--2000220-jv","Xem chi tiết")</f>
        <v/>
      </c>
    </row>
    <row r="3354">
      <c r="B3354" s="9" t="n">
        <v>3352</v>
      </c>
      <c r="C3354" s="10" t="inlineStr">
        <is>
          <t>Ecommerce Senior Associate</t>
        </is>
      </c>
      <c r="D3354" s="10" t="inlineStr">
        <is>
          <t>Văn Phòng Phú Thái Group</t>
        </is>
      </c>
      <c r="E3354" s="10" t="inlineStr">
        <is>
          <t>Thương lượng</t>
        </is>
      </c>
      <c r="F3354" s="10" t="inlineStr">
        <is>
          <t>Hà Nội</t>
        </is>
      </c>
      <c r="G3354" s="10" t="inlineStr">
        <is>
          <t>Nhân viên</t>
        </is>
      </c>
      <c r="H3354" s="10" t="inlineStr">
        <is>
          <t>08/01/2026</t>
        </is>
      </c>
      <c r="I3354" s="10" t="inlineStr">
        <is>
          <t>28/03/2026</t>
        </is>
      </c>
      <c r="J3354" s="10" t="inlineStr">
        <is>
          <t>17/03/2026</t>
        </is>
      </c>
      <c r="K3354" s="10" t="inlineStr">
        <is>
          <t>N/A</t>
        </is>
      </c>
      <c r="L3354" s="10" t="inlineStr">
        <is>
          <t>Digital Marketing, FMCG, E-Commerce, Performance Marketing, Online Sales &amp; Customer Support</t>
        </is>
      </c>
      <c r="M3354" s="10" t="inlineStr">
        <is>
          <t>Bonus, Healthcare Plan</t>
        </is>
      </c>
      <c r="N3354" s="11">
        <f>HYPERLINK("https://www.vietnamworks.com/ecommerce-senior-associate-2000661-jv","Xem chi tiết")</f>
        <v/>
      </c>
      <c r="O3354" s="10" t="n"/>
    </row>
    <row r="3355">
      <c r="B3355" s="7" t="n">
        <v>3353</v>
      </c>
      <c r="C3355" t="inlineStr">
        <is>
          <t>Purchasing</t>
        </is>
      </c>
      <c r="D3355" t="inlineStr">
        <is>
          <t>Công ty TNHH Jion Vina</t>
        </is>
      </c>
      <c r="E3355" t="inlineStr">
        <is>
          <t>15tr-20tr ₫/tháng</t>
        </is>
      </c>
      <c r="F3355" t="inlineStr">
        <is>
          <t>Hồ Chí Minh</t>
        </is>
      </c>
      <c r="G3355" t="inlineStr">
        <is>
          <t>Nhân viên</t>
        </is>
      </c>
      <c r="H3355" t="inlineStr">
        <is>
          <t>08/01/2026</t>
        </is>
      </c>
      <c r="I3355" t="inlineStr">
        <is>
          <t>28/03/2026</t>
        </is>
      </c>
      <c r="J3355" t="inlineStr">
        <is>
          <t>17/03/2026</t>
        </is>
      </c>
      <c r="K3355" t="inlineStr">
        <is>
          <t>N/A</t>
        </is>
      </c>
      <c r="L3355" t="inlineStr">
        <is>
          <t>Cost Management, MS Excel, Process Improvement, Procurement, Supply Chain</t>
        </is>
      </c>
      <c r="M3355" t="inlineStr">
        <is>
          <t>Bonus, Healthcare Plan, Others</t>
        </is>
      </c>
      <c r="N3355" s="8">
        <f>HYPERLINK("https://www.vietnamworks.com/purchasing-2000692-jv","Xem chi tiết")</f>
        <v/>
      </c>
    </row>
    <row r="3356">
      <c r="B3356" s="9" t="n">
        <v>3354</v>
      </c>
      <c r="C3356" s="10" t="inlineStr">
        <is>
          <t>Sourcing &amp; Pricing Supervisor</t>
        </is>
      </c>
      <c r="D3356" s="10" t="inlineStr">
        <is>
          <t>VIETNAM ALLLINK - TNR INTERNATIONAL LOGISTICS COMPANY LIMITED</t>
        </is>
      </c>
      <c r="E3356" s="10" t="inlineStr">
        <is>
          <t>25tr-30tr ₫/tháng</t>
        </is>
      </c>
      <c r="F3356" s="10" t="inlineStr">
        <is>
          <t>Hồ Chí Minh</t>
        </is>
      </c>
      <c r="G3356" s="10" t="inlineStr">
        <is>
          <t>Nhân viên</t>
        </is>
      </c>
      <c r="H3356" s="10" t="inlineStr">
        <is>
          <t>09/01/2026</t>
        </is>
      </c>
      <c r="I3356" s="10" t="inlineStr">
        <is>
          <t>28/03/2026</t>
        </is>
      </c>
      <c r="J3356" s="10" t="inlineStr">
        <is>
          <t>17/03/2026</t>
        </is>
      </c>
      <c r="K3356" s="10" t="inlineStr">
        <is>
          <t>N/A</t>
        </is>
      </c>
      <c r="L3356" s="10" t="inlineStr">
        <is>
          <t>Market Analysis, Negotiation Skills, Supplier Management, Cost Control, Management</t>
        </is>
      </c>
      <c r="M3356" s="10" t="inlineStr">
        <is>
          <t>Bonus, Healthcare Plan, Paid Leave, Training, Others</t>
        </is>
      </c>
      <c r="N3356" s="11">
        <f>HYPERLINK("https://www.vietnamworks.com/sourcing-and-pricing-supervisor-2001132-jv","Xem chi tiết")</f>
        <v/>
      </c>
      <c r="O3356" s="10" t="n"/>
    </row>
    <row r="3357">
      <c r="B3357" s="7" t="n">
        <v>3355</v>
      </c>
      <c r="C3357" t="inlineStr">
        <is>
          <t>Chuyên Viên Bảo Hành (Điện Lạnh Hoặc Bếp &amp; Gia Dụng)</t>
        </is>
      </c>
      <c r="D3357" t="inlineStr">
        <is>
          <t>Công ty Cổ phần Tập đoàn Nagakawa</t>
        </is>
      </c>
      <c r="E3357" t="inlineStr">
        <is>
          <t>$$ 500-700 /tháng</t>
        </is>
      </c>
      <c r="F3357" t="inlineStr">
        <is>
          <t>Hà Nội</t>
        </is>
      </c>
      <c r="G3357" t="inlineStr">
        <is>
          <t>Nhân viên</t>
        </is>
      </c>
      <c r="H3357" t="inlineStr">
        <is>
          <t>09/01/2026</t>
        </is>
      </c>
      <c r="I3357" t="inlineStr">
        <is>
          <t>28/03/2026</t>
        </is>
      </c>
      <c r="J3357" t="inlineStr">
        <is>
          <t>17/03/2026</t>
        </is>
      </c>
      <c r="K3357" t="inlineStr">
        <is>
          <t>N/A</t>
        </is>
      </c>
      <c r="L3357" t="inlineStr">
        <is>
          <t>Kỹ Thuật Điện Lạnh, Kỹ Thuật Điện Tử, Điều Hòa Nhiệt Lạnh, Bảo Hành Điều Hòa, Bảo Trì Điện Lạnh</t>
        </is>
      </c>
      <c r="M3357" t="inlineStr">
        <is>
          <t>Healthcare Plan, Travel Opportunities, Others</t>
        </is>
      </c>
      <c r="N3357" s="8">
        <f>HYPERLINK("https://www.vietnamworks.com/chuyen-vien-bao-hanh-dien-lanh-hoac-bep-gia-dung-2001065-jv","Xem chi tiết")</f>
        <v/>
      </c>
    </row>
    <row r="3358">
      <c r="B3358" s="9" t="n">
        <v>3356</v>
      </c>
      <c r="C3358" s="10" t="inlineStr">
        <is>
          <t>Master Data Management (MDM) Specialist</t>
        </is>
      </c>
      <c r="D3358" s="10" t="inlineStr">
        <is>
          <t>Anheuser- Busch Inbev (AB Inbev)</t>
        </is>
      </c>
      <c r="E3358" s="10" t="inlineStr">
        <is>
          <t>Thương lượng</t>
        </is>
      </c>
      <c r="F3358" s="10" t="inlineStr">
        <is>
          <t>Hồ Chí Minh</t>
        </is>
      </c>
      <c r="G3358" s="10" t="inlineStr">
        <is>
          <t>Nhân viên</t>
        </is>
      </c>
      <c r="H3358" s="10" t="inlineStr">
        <is>
          <t>08/01/2026</t>
        </is>
      </c>
      <c r="I3358" s="10" t="inlineStr">
        <is>
          <t>28/03/2026</t>
        </is>
      </c>
      <c r="J3358" s="10" t="inlineStr">
        <is>
          <t>17/03/2026</t>
        </is>
      </c>
      <c r="K3358" s="10" t="inlineStr">
        <is>
          <t>N/A</t>
        </is>
      </c>
      <c r="L3358" s="10" t="inlineStr">
        <is>
          <t>Excel Proficiency, Master Data Management, Problem-solving, SAP, Strategy Mapping</t>
        </is>
      </c>
      <c r="M3358" s="10" t="inlineStr">
        <is>
          <t>Bonus, Paid Leave, Training</t>
        </is>
      </c>
      <c r="N3358" s="11">
        <f>HYPERLINK("https://www.vietnamworks.com/master-data-management-mdm-specialist-2000961-jv","Xem chi tiết")</f>
        <v/>
      </c>
      <c r="O3358" s="10" t="n"/>
    </row>
    <row r="3359">
      <c r="B3359" s="7" t="n">
        <v>3357</v>
      </c>
      <c r="C3359" t="inlineStr">
        <is>
          <t>Giám Đốc Trung Tâm Trải Nghiệm Giáo Dục Steam</t>
        </is>
      </c>
      <c r="D3359" t="inlineStr">
        <is>
          <t>Tập Đoàn APEC (APEC GROUP)</t>
        </is>
      </c>
      <c r="E3359" t="inlineStr">
        <is>
          <t>$$ 1,000-1,600 /tháng</t>
        </is>
      </c>
      <c r="F3359" t="inlineStr">
        <is>
          <t>Bắc Giang</t>
        </is>
      </c>
      <c r="G3359" t="inlineStr">
        <is>
          <t>Trưởng phòng</t>
        </is>
      </c>
      <c r="H3359" t="inlineStr">
        <is>
          <t>08/01/2026</t>
        </is>
      </c>
      <c r="I3359" t="inlineStr">
        <is>
          <t>28/03/2026</t>
        </is>
      </c>
      <c r="J3359" t="inlineStr">
        <is>
          <t>17/03/2026</t>
        </is>
      </c>
      <c r="K3359" t="inlineStr">
        <is>
          <t>N/A</t>
        </is>
      </c>
      <c r="L3359" t="inlineStr">
        <is>
          <t>Quản Lý Kinh Doanh, Quản Lý Vận Hành, Phát Triển Khách Hàng, Kỹ năng Lãnh đạo, Kỹ năng quản lý nhân sự</t>
        </is>
      </c>
      <c r="M3359" t="inlineStr">
        <is>
          <t>Bonus, Travel Opportunities, Others</t>
        </is>
      </c>
      <c r="N3359" s="8">
        <f>HYPERLINK("https://www.vietnamworks.com/giam-doc-trung-tam-trai-nghiem-giao-duc-steam-2000728-jv","Xem chi tiết")</f>
        <v/>
      </c>
    </row>
    <row r="3360">
      <c r="B3360" s="9" t="n">
        <v>3358</v>
      </c>
      <c r="C3360" s="10" t="inlineStr">
        <is>
          <t>Chuyên Viên Kinh Doanh Dịch Vụ Bảo Hành</t>
        </is>
      </c>
      <c r="D3360" s="10" t="inlineStr">
        <is>
          <t>Công ty Cổ phần Tập đoàn Nagakawa</t>
        </is>
      </c>
      <c r="E3360" s="10" t="inlineStr">
        <is>
          <t>Thương lượng</t>
        </is>
      </c>
      <c r="F3360" s="10" t="inlineStr">
        <is>
          <t>Hà Nội</t>
        </is>
      </c>
      <c r="G3360" s="10" t="inlineStr">
        <is>
          <t>Nhân viên</t>
        </is>
      </c>
      <c r="H3360" s="10" t="inlineStr">
        <is>
          <t>09/01/2026</t>
        </is>
      </c>
      <c r="I3360" s="10" t="inlineStr">
        <is>
          <t>28/03/2026</t>
        </is>
      </c>
      <c r="J3360" s="10" t="inlineStr">
        <is>
          <t>17/03/2026</t>
        </is>
      </c>
      <c r="K3360" s="10" t="inlineStr">
        <is>
          <t>N/A</t>
        </is>
      </c>
      <c r="L3360" s="10" t="inlineStr">
        <is>
          <t>Bảo Hành, Kinh Doanh Hàng Kỹ Thuật, Bán Hàng Kỹ Thuật, Kinh Doanh, Bán Hàng Dịch Vụ</t>
        </is>
      </c>
      <c r="M3360" s="10" t="inlineStr">
        <is>
          <t>Healthcare Plan, Travel Opportunities, Others</t>
        </is>
      </c>
      <c r="N3360" s="11">
        <f>HYPERLINK("https://www.vietnamworks.com/chuyen-vien-kinh-doanh-dich-vu-bao-hanh--2001089-jv","Xem chi tiết")</f>
        <v/>
      </c>
      <c r="O3360" s="10" t="n"/>
    </row>
    <row r="3361">
      <c r="B3361" s="7" t="n">
        <v>3359</v>
      </c>
      <c r="C3361" t="inlineStr">
        <is>
          <t>Product Sales Engineer</t>
        </is>
      </c>
      <c r="D3361" t="inlineStr">
        <is>
          <t>Yokogawa Vietnam Company Limited</t>
        </is>
      </c>
      <c r="E3361" t="inlineStr">
        <is>
          <t>Thương lượng</t>
        </is>
      </c>
      <c r="F3361" t="inlineStr">
        <is>
          <t>Hồ Chí Minh</t>
        </is>
      </c>
      <c r="G3361" t="inlineStr">
        <is>
          <t>Nhân viên</t>
        </is>
      </c>
      <c r="H3361" t="inlineStr">
        <is>
          <t>08/01/2026</t>
        </is>
      </c>
      <c r="I3361" t="inlineStr">
        <is>
          <t>28/03/2026</t>
        </is>
      </c>
      <c r="J3361" t="inlineStr">
        <is>
          <t>17/03/2026</t>
        </is>
      </c>
      <c r="K3361" t="inlineStr">
        <is>
          <t>N/A</t>
        </is>
      </c>
      <c r="L3361" t="inlineStr">
        <is>
          <t>Electronics, Electrical Engineering, Cơ Khí, Bán Hàng Kỹ Thuật, Automation</t>
        </is>
      </c>
      <c r="M3361" t="inlineStr">
        <is>
          <t>Bonus, Healthcare Plan, Travel Opportunities</t>
        </is>
      </c>
      <c r="N3361" s="8">
        <f>HYPERLINK("https://www.vietnamworks.com/product-sales-engineer--2000639-jv","Xem chi tiết")</f>
        <v/>
      </c>
    </row>
    <row r="3362">
      <c r="B3362" s="9" t="n">
        <v>3360</v>
      </c>
      <c r="C3362" s="10" t="inlineStr">
        <is>
          <t>Nhân Viên Kết Cấu (Công Trình, Cầu Hầm)</t>
        </is>
      </c>
      <c r="D3362" s="10" t="inlineStr">
        <is>
          <t>Công Ty Cổ Phần Vinhomes</t>
        </is>
      </c>
      <c r="E3362" s="10" t="inlineStr">
        <is>
          <t>Thương lượng</t>
        </is>
      </c>
      <c r="F3362" s="10" t="inlineStr">
        <is>
          <t>Hà Nội</t>
        </is>
      </c>
      <c r="G3362" s="10" t="inlineStr">
        <is>
          <t>Nhân viên</t>
        </is>
      </c>
      <c r="H3362" s="10" t="inlineStr">
        <is>
          <t>10/01/2026</t>
        </is>
      </c>
      <c r="I3362" s="10" t="inlineStr">
        <is>
          <t>28/03/2026</t>
        </is>
      </c>
      <c r="J3362" s="10" t="inlineStr">
        <is>
          <t>17/03/2026</t>
        </is>
      </c>
      <c r="K3362" s="10" t="inlineStr">
        <is>
          <t>N/A</t>
        </is>
      </c>
      <c r="L3362" s="10" t="inlineStr">
        <is>
          <t>Auto Cad, Kiến Trúc - Xây dựng, Revit</t>
        </is>
      </c>
      <c r="M3362" s="10" t="inlineStr">
        <is>
          <t>Healthcare Plan, Paid Leave, Laptop, Others</t>
        </is>
      </c>
      <c r="N3362" s="11">
        <f>HYPERLINK("https://www.vietnamworks.com/nhan-vien-ket-cau-cong-trinh-cau-ham-2001202-jv","Xem chi tiết")</f>
        <v/>
      </c>
      <c r="O3362" s="10" t="n"/>
    </row>
    <row r="3363">
      <c r="B3363" s="7" t="n">
        <v>3361</v>
      </c>
      <c r="C3363" t="inlineStr">
        <is>
          <t>Chuyên Viên Hỗ Trợ Công Nghệ Thông Tin (IT Helpdesk)</t>
        </is>
      </c>
      <c r="D3363" t="inlineStr">
        <is>
          <t>Công ty Cổ phần Phân phối và Kinh doanh Ô tô Việt Nam</t>
        </is>
      </c>
      <c r="E3363" t="inlineStr">
        <is>
          <t>Thương lượng</t>
        </is>
      </c>
      <c r="F3363" t="inlineStr">
        <is>
          <t>Hà Nội</t>
        </is>
      </c>
      <c r="G3363" t="inlineStr">
        <is>
          <t>Nhân viên</t>
        </is>
      </c>
      <c r="H3363" t="inlineStr">
        <is>
          <t>08/01/2026</t>
        </is>
      </c>
      <c r="I3363" t="inlineStr">
        <is>
          <t>28/03/2026</t>
        </is>
      </c>
      <c r="J3363" t="inlineStr">
        <is>
          <t>17/03/2026</t>
        </is>
      </c>
      <c r="K3363" t="inlineStr">
        <is>
          <t>N/A</t>
        </is>
      </c>
      <c r="L3363" t="inlineStr">
        <is>
          <t>Quản Trị Hệ Thống CNTT, Triển Khai Dự Án, Quản Lý Văn Phòng, Nhiệt tình</t>
        </is>
      </c>
      <c r="M3363" t="inlineStr">
        <is>
          <t>Bonus, Healthcare Plan, Training, Others</t>
        </is>
      </c>
      <c r="N3363" s="8">
        <f>HYPERLINK("https://www.vietnamworks.com/chuyen-vien-ho-tro-cong-nghe-thong-tin-it-helpdesk-2000833-jv","Xem chi tiết")</f>
        <v/>
      </c>
    </row>
    <row r="3364">
      <c r="B3364" s="9" t="n">
        <v>3362</v>
      </c>
      <c r="C3364" s="10" t="inlineStr">
        <is>
          <t>Chuyên Viên Marketing (Trade Marketing - Kênh Đại Lý)</t>
        </is>
      </c>
      <c r="D3364" s="10" t="inlineStr">
        <is>
          <t>Công ty Cổ phần Phân phối và Kinh doanh Ô tô Việt Nam</t>
        </is>
      </c>
      <c r="E3364" s="10" t="inlineStr">
        <is>
          <t>Thương lượng</t>
        </is>
      </c>
      <c r="F3364" s="10" t="inlineStr">
        <is>
          <t>Hà Nội</t>
        </is>
      </c>
      <c r="G3364" s="10" t="inlineStr">
        <is>
          <t>Nhân viên</t>
        </is>
      </c>
      <c r="H3364" s="10" t="inlineStr">
        <is>
          <t>09/01/2026</t>
        </is>
      </c>
      <c r="I3364" s="10" t="inlineStr">
        <is>
          <t>28/03/2026</t>
        </is>
      </c>
      <c r="J3364" s="10" t="inlineStr">
        <is>
          <t>17/03/2026</t>
        </is>
      </c>
      <c r="K3364" s="10" t="inlineStr">
        <is>
          <t>N/A</t>
        </is>
      </c>
      <c r="L3364" s="10" t="inlineStr">
        <is>
          <t>Trade Marketing, Digital Marketing, Báo Cáo, Đi công tác</t>
        </is>
      </c>
      <c r="M3364" s="10" t="inlineStr">
        <is>
          <t>Bonus, Healthcare Plan, Others</t>
        </is>
      </c>
      <c r="N3364" s="11">
        <f>HYPERLINK("https://www.vietnamworks.com/chuyen-vien-marketing-trade-marketing-kenh-dai-ly-2001112-jv","Xem chi tiết")</f>
        <v/>
      </c>
      <c r="O3364" s="10" t="n"/>
    </row>
    <row r="3365">
      <c r="B3365" s="7" t="n">
        <v>3363</v>
      </c>
      <c r="C3365" t="inlineStr">
        <is>
          <t>Legal Manager - Trưởng phòng Pháp chế</t>
        </is>
      </c>
      <c r="D3365" t="inlineStr">
        <is>
          <t>Lotte Shopping Plaza Vietnam</t>
        </is>
      </c>
      <c r="E3365" t="inlineStr">
        <is>
          <t>Thương lượng</t>
        </is>
      </c>
      <c r="F3365" t="inlineStr">
        <is>
          <t>Hà Nội</t>
        </is>
      </c>
      <c r="G3365" t="inlineStr">
        <is>
          <t>Trưởng phòng</t>
        </is>
      </c>
      <c r="H3365" t="inlineStr">
        <is>
          <t>08/01/2026</t>
        </is>
      </c>
      <c r="I3365" t="inlineStr">
        <is>
          <t>28/03/2026</t>
        </is>
      </c>
      <c r="J3365" t="inlineStr">
        <is>
          <t>17/03/2026</t>
        </is>
      </c>
      <c r="K3365" t="inlineStr">
        <is>
          <t>N/A</t>
        </is>
      </c>
      <c r="L3365" t="inlineStr">
        <is>
          <t>Commercial Law, Contract Management, Investment Law, Legal Analysis, Risk Assessment</t>
        </is>
      </c>
      <c r="M3365" t="inlineStr">
        <is>
          <t>Bonus, Healthcare Plan, Paid Leave, Training, Team Activities, Transportation, Canteen, Others</t>
        </is>
      </c>
      <c r="N3365" s="8">
        <f>HYPERLINK("https://www.vietnamworks.com/legal-manager-truong-phong-phap-che-2000928-jv","Xem chi tiết")</f>
        <v/>
      </c>
    </row>
    <row r="3366">
      <c r="B3366" s="9" t="n">
        <v>3364</v>
      </c>
      <c r="C3366" s="10" t="inlineStr">
        <is>
          <t>HR Officer (Legal Background)</t>
        </is>
      </c>
      <c r="D3366" s="10" t="inlineStr">
        <is>
          <t>Nghi Son Refinery And Petrochemical LLC – Vietnam</t>
        </is>
      </c>
      <c r="E3366" s="10" t="inlineStr">
        <is>
          <t>Thương lượng</t>
        </is>
      </c>
      <c r="F3366" s="10" t="inlineStr">
        <is>
          <t>Thanh Hóa</t>
        </is>
      </c>
      <c r="G3366" s="10" t="inlineStr">
        <is>
          <t>Nhân viên</t>
        </is>
      </c>
      <c r="H3366" s="10" t="inlineStr">
        <is>
          <t>08/01/2026</t>
        </is>
      </c>
      <c r="I3366" s="10" t="inlineStr">
        <is>
          <t>28/03/2026</t>
        </is>
      </c>
      <c r="J3366" s="10" t="inlineStr">
        <is>
          <t>17/03/2026</t>
        </is>
      </c>
      <c r="K3366" s="10" t="inlineStr">
        <is>
          <t>N/A</t>
        </is>
      </c>
      <c r="L3366" s="10" t="inlineStr">
        <is>
          <t>Organize Event, Labor Law, Employee Engagement, Communication English, Problem Solving</t>
        </is>
      </c>
      <c r="M3366" s="10" t="inlineStr">
        <is>
          <t>Healthcare Plan, Transportation, Others</t>
        </is>
      </c>
      <c r="N3366" s="11">
        <f>HYPERLINK("https://www.vietnamworks.com/hr-officer-legal-background-2000785-jv","Xem chi tiết")</f>
        <v/>
      </c>
      <c r="O3366" s="10" t="n"/>
    </row>
    <row r="3367">
      <c r="B3367" s="7" t="n">
        <v>3365</v>
      </c>
      <c r="C3367" t="inlineStr">
        <is>
          <t>Chuyên Viên Kế Toán Tổng Hợp</t>
        </is>
      </c>
      <c r="D3367" t="inlineStr">
        <is>
          <t>Công ty Cổ phần Phân phối và Kinh doanh Ô tô Việt Nam</t>
        </is>
      </c>
      <c r="E3367" t="inlineStr">
        <is>
          <t>Thương lượng</t>
        </is>
      </c>
      <c r="F3367" t="inlineStr">
        <is>
          <t>Hà Nội</t>
        </is>
      </c>
      <c r="G3367" t="inlineStr">
        <is>
          <t>Nhân viên</t>
        </is>
      </c>
      <c r="H3367" t="inlineStr">
        <is>
          <t>09/01/2026</t>
        </is>
      </c>
      <c r="I3367" t="inlineStr">
        <is>
          <t>28/03/2026</t>
        </is>
      </c>
      <c r="J3367" t="inlineStr">
        <is>
          <t>17/03/2026</t>
        </is>
      </c>
      <c r="K3367" t="inlineStr">
        <is>
          <t>N/A</t>
        </is>
      </c>
      <c r="L3367" t="inlineStr">
        <is>
          <t>Kế Toán Tổng Hợp, Kiểm Toán, Báo Cáo Tài Chính, Kế Toán, Tài Chính</t>
        </is>
      </c>
      <c r="M3367" t="inlineStr">
        <is>
          <t>Bonus, Healthcare Plan, Others</t>
        </is>
      </c>
      <c r="N3367" s="8">
        <f>HYPERLINK("https://www.vietnamworks.com/chuyen-vien-ke-toan-tong-hop--2001135-jv","Xem chi tiết")</f>
        <v/>
      </c>
    </row>
    <row r="3368">
      <c r="B3368" s="9" t="n">
        <v>3366</v>
      </c>
      <c r="C3368" s="10" t="inlineStr">
        <is>
          <t>Trưởng Ban Quản Lý Tòa Nhà Kiêm Kỹ Sư Trưởng</t>
        </is>
      </c>
      <c r="D3368" s="10" t="inlineStr">
        <is>
          <t>Vietnamworks' Client</t>
        </is>
      </c>
      <c r="E3368" s="10" t="inlineStr">
        <is>
          <t>Thương lượng</t>
        </is>
      </c>
      <c r="F3368" s="10" t="inlineStr">
        <is>
          <t>Bình Dương</t>
        </is>
      </c>
      <c r="G3368" s="10" t="inlineStr">
        <is>
          <t>Trưởng phòng</t>
        </is>
      </c>
      <c r="H3368" s="10" t="inlineStr">
        <is>
          <t>10/01/2026</t>
        </is>
      </c>
      <c r="I3368" s="10" t="inlineStr">
        <is>
          <t>28/03/2026</t>
        </is>
      </c>
      <c r="J3368" s="10" t="inlineStr">
        <is>
          <t>17/03/2026</t>
        </is>
      </c>
      <c r="K3368" s="10" t="inlineStr">
        <is>
          <t>N/A</t>
        </is>
      </c>
      <c r="L3368" s="10" t="inlineStr">
        <is>
          <t>Giao Tiếp Tiếng Anh, Kỹ năng giao tiếp, Kỹ Thuật Cơ Khí, Quản Lý Vận Hành, Vận Hành Chung Cư</t>
        </is>
      </c>
      <c r="M3368" s="10" t="inlineStr">
        <is>
          <t>Bonus, Healthcare Plan, Others</t>
        </is>
      </c>
      <c r="N3368" s="11">
        <f>HYPERLINK("https://www.vietnamworks.com/truong-ban-quan-ly-toa-nha-kiem-ky-su-truong-2001229-jv","Xem chi tiết")</f>
        <v/>
      </c>
      <c r="O3368" s="10" t="n"/>
    </row>
    <row r="3369">
      <c r="B3369" s="7" t="n">
        <v>3367</v>
      </c>
      <c r="C3369" t="inlineStr">
        <is>
          <t>Chuyên Viên Tuyển Dụng (Talent Acquisition Specialist)</t>
        </is>
      </c>
      <c r="D3369" t="inlineStr">
        <is>
          <t>Công ty Cổ phần Vinhomes</t>
        </is>
      </c>
      <c r="E3369" t="inlineStr">
        <is>
          <t>Thương lượng</t>
        </is>
      </c>
      <c r="F3369" t="inlineStr">
        <is>
          <t>Hà Nội</t>
        </is>
      </c>
      <c r="G3369" t="inlineStr">
        <is>
          <t>Nhân viên</t>
        </is>
      </c>
      <c r="H3369" t="inlineStr">
        <is>
          <t>11/01/2026</t>
        </is>
      </c>
      <c r="I3369" t="inlineStr">
        <is>
          <t>28/03/2026</t>
        </is>
      </c>
      <c r="J3369" t="inlineStr">
        <is>
          <t>17/03/2026</t>
        </is>
      </c>
      <c r="K3369" t="inlineStr">
        <is>
          <t>N/A</t>
        </is>
      </c>
      <c r="L3369" t="inlineStr">
        <is>
          <t>Tuyển Dụng Nhân Sự, Talent Acquisition, Recruitment, Tuyển Dụng, Nhân Sự</t>
        </is>
      </c>
      <c r="M3369" t="inlineStr">
        <is>
          <t>Bonus, Healthcare Plan, Training</t>
        </is>
      </c>
      <c r="N3369" s="8">
        <f>HYPERLINK("https://www.vietnamworks.com/chuyen-vien-tuyen-dung-talent-acquisition-specialist--2001272-jv","Xem chi tiết")</f>
        <v/>
      </c>
    </row>
    <row r="3370">
      <c r="B3370" s="9" t="n">
        <v>3368</v>
      </c>
      <c r="C3370" s="10" t="inlineStr">
        <is>
          <t>Nhân Viên Quy Hoạch</t>
        </is>
      </c>
      <c r="D3370" s="10" t="inlineStr">
        <is>
          <t>Công Ty Cổ Phần Vinhomes</t>
        </is>
      </c>
      <c r="E3370" s="10" t="inlineStr">
        <is>
          <t>$$ 2,000-2,500 /tháng</t>
        </is>
      </c>
      <c r="F3370" s="10" t="inlineStr">
        <is>
          <t>Hà Nội</t>
        </is>
      </c>
      <c r="G3370" s="10" t="inlineStr">
        <is>
          <t>Nhân viên</t>
        </is>
      </c>
      <c r="H3370" s="10" t="inlineStr">
        <is>
          <t>10/01/2026</t>
        </is>
      </c>
      <c r="I3370" s="10" t="inlineStr">
        <is>
          <t>28/03/2026</t>
        </is>
      </c>
      <c r="J3370" s="10" t="inlineStr">
        <is>
          <t>17/03/2026</t>
        </is>
      </c>
      <c r="K3370" s="10" t="inlineStr">
        <is>
          <t>N/A</t>
        </is>
      </c>
      <c r="L3370" s="10" t="inlineStr">
        <is>
          <t>Autocad, Civil 3D, Quy Hoạch Hạ Tầng Kỹ Thuật, Thiết Kế Quy Hoạch</t>
        </is>
      </c>
      <c r="M3370" s="10" t="inlineStr">
        <is>
          <t>Bonus, Healthcare Plan, Others</t>
        </is>
      </c>
      <c r="N3370" s="11">
        <f>HYPERLINK("https://www.vietnamworks.com/nhan-vien-quy-hoach-2001200-jv","Xem chi tiết")</f>
        <v/>
      </c>
      <c r="O3370" s="10" t="n"/>
    </row>
    <row r="3371">
      <c r="B3371" s="7" t="n">
        <v>3369</v>
      </c>
      <c r="C3371" t="inlineStr">
        <is>
          <t xml:space="preserve">CHUYÊN VIÊN TUYỂN DỤNG </t>
        </is>
      </c>
      <c r="D3371" t="inlineStr">
        <is>
          <t>Công Ty Cổ Phần Karawindows</t>
        </is>
      </c>
      <c r="E3371" t="inlineStr">
        <is>
          <t>15tr-20tr ₫/tháng</t>
        </is>
      </c>
      <c r="F3371" t="inlineStr">
        <is>
          <t>Hà Nội</t>
        </is>
      </c>
      <c r="G3371" t="inlineStr">
        <is>
          <t>Nhân viên</t>
        </is>
      </c>
      <c r="H3371" t="inlineStr">
        <is>
          <t>09/01/2026</t>
        </is>
      </c>
      <c r="I3371" t="inlineStr">
        <is>
          <t>28/03/2026</t>
        </is>
      </c>
      <c r="J3371" t="inlineStr">
        <is>
          <t>17/03/2026</t>
        </is>
      </c>
      <c r="K3371" t="inlineStr">
        <is>
          <t>N/A</t>
        </is>
      </c>
      <c r="L3371" t="inlineStr">
        <is>
          <t>Giao Tiếp, Luật Lao Động, Quản Trị Nhân Sự, Tin Học Văn Phòng, Tuyển Dụng</t>
        </is>
      </c>
      <c r="M3371" t="inlineStr">
        <is>
          <t>Bonus, Healthcare Plan, Team Activities, Others</t>
        </is>
      </c>
      <c r="N3371" s="8">
        <f>HYPERLINK("https://www.vietnamworks.com/chuyen-vien-tuyen-dung-2001060-jv","Xem chi tiết")</f>
        <v/>
      </c>
    </row>
    <row r="3372">
      <c r="B3372" s="9" t="n">
        <v>3370</v>
      </c>
      <c r="C3372" s="10" t="inlineStr">
        <is>
          <t>Junior Import CS &amp; Documentation Executive | Fluent Chinese (Written &amp; Spoken) Prefered</t>
        </is>
      </c>
      <c r="D3372" s="10" t="inlineStr">
        <is>
          <t>Công Ty TNHH Quản Lý Chuỗi Cung Ứng New Glory Milkyway Huayun</t>
        </is>
      </c>
      <c r="E3372" s="10" t="inlineStr">
        <is>
          <t>$$ 700-900 /tháng</t>
        </is>
      </c>
      <c r="F3372" s="10" t="inlineStr">
        <is>
          <t>Hà Nội</t>
        </is>
      </c>
      <c r="G3372" s="10" t="inlineStr">
        <is>
          <t>Nhân viên</t>
        </is>
      </c>
      <c r="H3372" s="10" t="inlineStr">
        <is>
          <t>27/01/2026</t>
        </is>
      </c>
      <c r="I3372" s="10" t="inlineStr">
        <is>
          <t>28/03/2026</t>
        </is>
      </c>
      <c r="J3372" s="10" t="inlineStr">
        <is>
          <t>17/03/2026</t>
        </is>
      </c>
      <c r="K3372" s="10" t="inlineStr">
        <is>
          <t>N/A</t>
        </is>
      </c>
      <c r="L3372" s="10" t="inlineStr">
        <is>
          <t>Internal Report, Freight Forwarding, Shipment Tracking, Import-Export Documents, Documentation Control</t>
        </is>
      </c>
      <c r="M3372" s="10" t="inlineStr">
        <is>
          <t>Bonus, Healthcare Plan, Awards</t>
        </is>
      </c>
      <c r="N3372" s="11">
        <f>HYPERLINK("https://www.vietnamworks.com/junior-import-cs-documentation-executive-fluent-chinese-written-spoken-prefered-2006967-jv","Xem chi tiết")</f>
        <v/>
      </c>
      <c r="O3372" s="10" t="n"/>
    </row>
    <row r="3373">
      <c r="B3373" s="7" t="n">
        <v>3371</v>
      </c>
      <c r="C3373" t="inlineStr">
        <is>
          <t>Nhân Viên Kinh Doanh (Sales Executive) Xuất Nhập Khẩu</t>
        </is>
      </c>
      <c r="D3373" t="inlineStr">
        <is>
          <t>New Island Co,. LTD</t>
        </is>
      </c>
      <c r="E3373" t="inlineStr">
        <is>
          <t>Thương lượng</t>
        </is>
      </c>
      <c r="F3373" t="inlineStr">
        <is>
          <t>Hồ Chí Minh</t>
        </is>
      </c>
      <c r="G3373" t="inlineStr">
        <is>
          <t>Nhân viên</t>
        </is>
      </c>
      <c r="H3373" t="inlineStr">
        <is>
          <t>02/02/2026</t>
        </is>
      </c>
      <c r="I3373" t="inlineStr">
        <is>
          <t>28/03/2026</t>
        </is>
      </c>
      <c r="J3373" t="inlineStr">
        <is>
          <t>17/03/2026</t>
        </is>
      </c>
      <c r="K3373" t="inlineStr">
        <is>
          <t>N/A</t>
        </is>
      </c>
      <c r="L3373" t="inlineStr">
        <is>
          <t>Chăm Sóc Khách Hàng, Nghiên Cứu Thị Trường, Phát Triển Kinh Doanh, Tìm Kiếm Khách Hàng, Tư Vấn Kinh Doanh</t>
        </is>
      </c>
      <c r="M3373" t="inlineStr">
        <is>
          <t>Bonus, Healthcare Plan, Training, Team Activities, Others</t>
        </is>
      </c>
      <c r="N3373" s="8">
        <f>HYPERLINK("https://www.vietnamworks.com/nhan-vien-kinh-doanh-sales-executive-xuat-nhap-khau-2009032-jv","Xem chi tiết")</f>
        <v/>
      </c>
    </row>
    <row r="3374">
      <c r="B3374" s="9" t="n">
        <v>3372</v>
      </c>
      <c r="C3374" s="10" t="inlineStr">
        <is>
          <t>Senior Technical Architect – Remote (Full-Time Freelancer)</t>
        </is>
      </c>
      <c r="D3374" s="10" t="inlineStr">
        <is>
          <t>Ryan Tsen Architects</t>
        </is>
      </c>
      <c r="E3374" s="10" t="inlineStr">
        <is>
          <t>Tới $ 1,800 /tháng</t>
        </is>
      </c>
      <c r="F3374" s="10" t="inlineStr">
        <is>
          <t>Hà Nội, Đà Nẵng, Hồ Chí Minh</t>
        </is>
      </c>
      <c r="G3374" s="10" t="inlineStr">
        <is>
          <t>Nhân viên</t>
        </is>
      </c>
      <c r="H3374" s="10" t="inlineStr">
        <is>
          <t>04/02/2026</t>
        </is>
      </c>
      <c r="I3374" s="10" t="inlineStr">
        <is>
          <t>28/03/2026</t>
        </is>
      </c>
      <c r="J3374" s="10" t="inlineStr">
        <is>
          <t>17/03/2026</t>
        </is>
      </c>
      <c r="K3374" s="10" t="inlineStr">
        <is>
          <t>N/A</t>
        </is>
      </c>
      <c r="L3374" s="10" t="inlineStr">
        <is>
          <t>Architecture Documentation, Communication, ISO Standards, Revit, Ncc Compliance</t>
        </is>
      </c>
      <c r="M3374" s="10" t="inlineStr">
        <is>
          <t>Others</t>
        </is>
      </c>
      <c r="N3374" s="11">
        <f>HYPERLINK("https://www.vietnamworks.com/senior-technical-architect-remote-full-time-freelancer-2009708-jv","Xem chi tiết")</f>
        <v/>
      </c>
      <c r="O3374" s="10" t="n"/>
    </row>
    <row r="3375">
      <c r="B3375" s="7" t="n">
        <v>3373</v>
      </c>
      <c r="C3375" t="inlineStr">
        <is>
          <t>[REMOTE] AI/LLM Engineer</t>
        </is>
      </c>
      <c r="D3375" t="inlineStr">
        <is>
          <t>Devwire LTD</t>
        </is>
      </c>
      <c r="E3375" t="inlineStr">
        <is>
          <t>$$ 1,800-3,000 /tháng</t>
        </is>
      </c>
      <c r="F3375" t="inlineStr">
        <is>
          <t>Đà Nẵng</t>
        </is>
      </c>
      <c r="G3375" t="inlineStr">
        <is>
          <t>Nhân viên</t>
        </is>
      </c>
      <c r="H3375" t="inlineStr">
        <is>
          <t>10/02/2026</t>
        </is>
      </c>
      <c r="I3375" t="inlineStr">
        <is>
          <t>28/03/2026</t>
        </is>
      </c>
      <c r="J3375" t="inlineStr">
        <is>
          <t>17/03/2026</t>
        </is>
      </c>
      <c r="K3375" t="inlineStr">
        <is>
          <t>N/A</t>
        </is>
      </c>
      <c r="L3375" t="inlineStr">
        <is>
          <t>Data Pipeline, Friendly Communication, LMS, Python Development, Web Scraping</t>
        </is>
      </c>
      <c r="M3375" t="inlineStr">
        <is>
          <t>Bonus, Paid Leave, Travel Opportunities</t>
        </is>
      </c>
      <c r="N3375" s="8">
        <f>HYPERLINK("https://www.vietnamworks.com/remote-aillm-engineer-2011018-jv","Xem chi tiết")</f>
        <v/>
      </c>
    </row>
    <row r="3376">
      <c r="B3376" s="9" t="n">
        <v>3374</v>
      </c>
      <c r="C3376" s="10" t="inlineStr">
        <is>
          <t>Kế Toán Tổng Hợp (Đi Làm Ngay)</t>
        </is>
      </c>
      <c r="D3376" s="10" t="inlineStr">
        <is>
          <t>CÔNG TY TNHH AU SUNSHINE</t>
        </is>
      </c>
      <c r="E3376" s="10" t="inlineStr">
        <is>
          <t>Thương lượng</t>
        </is>
      </c>
      <c r="F3376" s="10" t="inlineStr">
        <is>
          <t>Hồ Chí Minh</t>
        </is>
      </c>
      <c r="G3376" s="10" t="inlineStr">
        <is>
          <t>Nhân viên</t>
        </is>
      </c>
      <c r="H3376" s="10" t="inlineStr">
        <is>
          <t>09/02/2026</t>
        </is>
      </c>
      <c r="I3376" s="10" t="inlineStr">
        <is>
          <t>28/03/2026</t>
        </is>
      </c>
      <c r="J3376" s="10" t="inlineStr">
        <is>
          <t>17/03/2026</t>
        </is>
      </c>
      <c r="K3376" s="10" t="inlineStr">
        <is>
          <t>N/A</t>
        </is>
      </c>
      <c r="L3376" s="10" t="inlineStr">
        <is>
          <t>Hạch Toán, Luật Thuế, Phần Mềm Kế Toán, Quản Lý Kho, Chứng Từ Kế Toán</t>
        </is>
      </c>
      <c r="M3376" s="10" t="inlineStr">
        <is>
          <t>Bonus, Healthcare Plan, Awards, Others</t>
        </is>
      </c>
      <c r="N3376" s="11">
        <f>HYPERLINK("https://www.vietnamworks.com/ke-toan-tong-hop-di-lam-ngay--2010990-jv","Xem chi tiết")</f>
        <v/>
      </c>
      <c r="O3376" s="10" t="n"/>
    </row>
    <row r="3377">
      <c r="B3377" s="7" t="n">
        <v>3375</v>
      </c>
      <c r="C3377" t="inlineStr">
        <is>
          <t>Trưởng Phòng Sản Xuất | Production Manager</t>
        </is>
      </c>
      <c r="D3377" t="inlineStr">
        <is>
          <t>CÔNG TY TNHH R STAR</t>
        </is>
      </c>
      <c r="E3377" t="inlineStr">
        <is>
          <t>25tr-35tr ₫/tháng</t>
        </is>
      </c>
      <c r="F3377" t="inlineStr">
        <is>
          <t>Hồ Chí Minh</t>
        </is>
      </c>
      <c r="G3377" t="inlineStr">
        <is>
          <t>Trưởng phòng</t>
        </is>
      </c>
      <c r="H3377" t="inlineStr">
        <is>
          <t>04/02/2026</t>
        </is>
      </c>
      <c r="I3377" t="inlineStr">
        <is>
          <t>28/03/2026</t>
        </is>
      </c>
      <c r="J3377" t="inlineStr">
        <is>
          <t>17/03/2026</t>
        </is>
      </c>
      <c r="K3377" t="inlineStr">
        <is>
          <t>N/A</t>
        </is>
      </c>
      <c r="L3377" t="inlineStr">
        <is>
          <t>Cơ Khí, Kiểm Soát Chất Lượng, Lập Kế Hoạch Sản Xuất, Quản Lý Sản Xuất, Manufacturing Production Processes</t>
        </is>
      </c>
      <c r="M3377" t="inlineStr">
        <is>
          <t>Bonus, Team Activities, Others</t>
        </is>
      </c>
      <c r="N3377" s="8">
        <f>HYPERLINK("https://www.vietnamworks.com/truong-phong-san-xuat-production-manager--2009842-jv","Xem chi tiết")</f>
        <v/>
      </c>
    </row>
    <row r="3378">
      <c r="B3378" s="9" t="n">
        <v>3376</v>
      </c>
      <c r="C3378" s="10" t="inlineStr">
        <is>
          <t>Kế Toán Trưởng | Chief Accountant</t>
        </is>
      </c>
      <c r="D3378" s="10" t="inlineStr">
        <is>
          <t>CÔNG TY TNHH R STAR</t>
        </is>
      </c>
      <c r="E3378" s="10" t="inlineStr">
        <is>
          <t>25tr-35tr ₫/tháng</t>
        </is>
      </c>
      <c r="F3378" s="10" t="inlineStr">
        <is>
          <t>Hồ Chí Minh</t>
        </is>
      </c>
      <c r="G3378" s="10" t="inlineStr">
        <is>
          <t>Trưởng phòng</t>
        </is>
      </c>
      <c r="H3378" s="10" t="inlineStr">
        <is>
          <t>04/02/2026</t>
        </is>
      </c>
      <c r="I3378" s="10" t="inlineStr">
        <is>
          <t>28/03/2026</t>
        </is>
      </c>
      <c r="J3378" s="10" t="inlineStr">
        <is>
          <t>17/03/2026</t>
        </is>
      </c>
      <c r="K3378" s="10" t="inlineStr">
        <is>
          <t>N/A</t>
        </is>
      </c>
      <c r="L3378" s="10" t="inlineStr">
        <is>
          <t>Báo Cáo Tài Chính, Quản Lý Chi Phí, Kế Toán Tổng Hợp, Tài Chính Kế Toán, Kế Toán Nội Bộ</t>
        </is>
      </c>
      <c r="M3378" s="10" t="inlineStr">
        <is>
          <t>Bonus, Team Activities, Others</t>
        </is>
      </c>
      <c r="N3378" s="11">
        <f>HYPERLINK("https://www.vietnamworks.com/ke-toan-truong-chief-accountant--2009841-jv","Xem chi tiết")</f>
        <v/>
      </c>
      <c r="O3378" s="10" t="n"/>
    </row>
    <row r="3379">
      <c r="B3379" s="7" t="n">
        <v>3377</v>
      </c>
      <c r="C3379" t="inlineStr">
        <is>
          <t>QC/QA</t>
        </is>
      </c>
      <c r="D3379" t="inlineStr">
        <is>
          <t>Mayzon</t>
        </is>
      </c>
      <c r="E3379" t="inlineStr">
        <is>
          <t>Từ $ 800 /tháng</t>
        </is>
      </c>
      <c r="F3379" t="inlineStr">
        <is>
          <t>Hà Nội</t>
        </is>
      </c>
      <c r="G3379" t="inlineStr">
        <is>
          <t>Mới Tốt Nghiệp</t>
        </is>
      </c>
      <c r="H3379" t="inlineStr">
        <is>
          <t>09/02/2026</t>
        </is>
      </c>
      <c r="I3379" t="inlineStr">
        <is>
          <t>28/03/2026</t>
        </is>
      </c>
      <c r="J3379" t="inlineStr">
        <is>
          <t>17/03/2026</t>
        </is>
      </c>
      <c r="K3379" t="inlineStr">
        <is>
          <t>N/A</t>
        </is>
      </c>
      <c r="L3379" t="inlineStr">
        <is>
          <t>Quality Control, Quality Assurance, Product Development, Quality Inspection, Reporting</t>
        </is>
      </c>
      <c r="M3379" t="inlineStr">
        <is>
          <t>Bonus, Training</t>
        </is>
      </c>
      <c r="N3379" s="8">
        <f>HYPERLINK("https://www.vietnamworks.com/qc-qa-9--2010948-jv","Xem chi tiết")</f>
        <v/>
      </c>
    </row>
    <row r="3380">
      <c r="B3380" s="9" t="n">
        <v>3378</v>
      </c>
      <c r="C3380" s="10" t="inlineStr">
        <is>
          <t>[Urgent] Service Engineer</t>
        </is>
      </c>
      <c r="D3380" s="10" t="inlineStr">
        <is>
          <t>Melchers Vietnam</t>
        </is>
      </c>
      <c r="E3380" s="10" t="inlineStr">
        <is>
          <t>Thương lượng</t>
        </is>
      </c>
      <c r="F3380" s="10" t="inlineStr">
        <is>
          <t>Bắc Giang</t>
        </is>
      </c>
      <c r="G3380" s="10" t="inlineStr">
        <is>
          <t>Nhân viên</t>
        </is>
      </c>
      <c r="H3380" s="10" t="inlineStr">
        <is>
          <t>10/02/2026</t>
        </is>
      </c>
      <c r="I3380" s="10" t="inlineStr">
        <is>
          <t>28/03/2026</t>
        </is>
      </c>
      <c r="J3380" s="10" t="inlineStr">
        <is>
          <t>17/03/2026</t>
        </is>
      </c>
      <c r="K3380" s="10" t="inlineStr">
        <is>
          <t>N/A</t>
        </is>
      </c>
      <c r="L3380" s="10" t="inlineStr">
        <is>
          <t>X-Ray, Machine Maintenance, Interpersonal Communication, Mechanical</t>
        </is>
      </c>
      <c r="M3380" s="10" t="inlineStr">
        <is>
          <t>Bonus, Healthcare Plan, Transportation</t>
        </is>
      </c>
      <c r="N3380" s="11">
        <f>HYPERLINK("https://www.vietnamworks.com/urgent-service-engineer--2011105-jv","Xem chi tiết")</f>
        <v/>
      </c>
      <c r="O3380" s="10" t="n"/>
    </row>
    <row r="3381">
      <c r="B3381" s="7" t="n">
        <v>3379</v>
      </c>
      <c r="C3381" t="inlineStr">
        <is>
          <t>Business Development Manager (Lương Cơ Bản Từ 35 Triệu)</t>
        </is>
      </c>
      <c r="D3381" t="inlineStr">
        <is>
          <t>CÔNG TY CỔ PHẦN UDATA</t>
        </is>
      </c>
      <c r="E3381" t="inlineStr">
        <is>
          <t>Từ 35tr ₫/tháng</t>
        </is>
      </c>
      <c r="F3381" t="inlineStr">
        <is>
          <t>Hà Nội, Hồ Chí Minh, Đà Nẵng</t>
        </is>
      </c>
      <c r="G3381" t="inlineStr">
        <is>
          <t>Trưởng phòng</t>
        </is>
      </c>
      <c r="H3381" t="inlineStr">
        <is>
          <t>09/02/2026</t>
        </is>
      </c>
      <c r="I3381" t="inlineStr">
        <is>
          <t>28/03/2026</t>
        </is>
      </c>
      <c r="J3381" t="inlineStr">
        <is>
          <t>17/03/2026</t>
        </is>
      </c>
      <c r="K3381" t="inlineStr">
        <is>
          <t>N/A</t>
        </is>
      </c>
      <c r="L3381" t="inlineStr">
        <is>
          <t>Business Development, Sales B2B, Strategy Selling, Negotiation, Team Management</t>
        </is>
      </c>
      <c r="M3381" t="inlineStr">
        <is>
          <t>Bonus, Training, Team Activities</t>
        </is>
      </c>
      <c r="N3381" s="8">
        <f>HYPERLINK("https://www.vietnamworks.com/business-development-manager-luong-co-ban-tu-35-trieu-2010871-jv","Xem chi tiết")</f>
        <v/>
      </c>
    </row>
    <row r="3382">
      <c r="B3382" s="9" t="n">
        <v>3380</v>
      </c>
      <c r="C3382" s="10" t="inlineStr">
        <is>
          <t>Sales Executive - EV Charging Solutions</t>
        </is>
      </c>
      <c r="D3382" s="10" t="inlineStr">
        <is>
          <t>CHARGECORE PTE. LTD.</t>
        </is>
      </c>
      <c r="E3382" s="10" t="inlineStr">
        <is>
          <t>$$ 1,000-1,500 /tháng</t>
        </is>
      </c>
      <c r="F3382" s="10" t="inlineStr">
        <is>
          <t>Hà Nội, Hồ Chí Minh</t>
        </is>
      </c>
      <c r="G3382" s="10" t="inlineStr">
        <is>
          <t>Nhân viên</t>
        </is>
      </c>
      <c r="H3382" s="10" t="inlineStr">
        <is>
          <t>03/02/2026</t>
        </is>
      </c>
      <c r="I3382" s="10" t="inlineStr">
        <is>
          <t>28/03/2026</t>
        </is>
      </c>
      <c r="J3382" s="10" t="inlineStr">
        <is>
          <t>17/03/2026</t>
        </is>
      </c>
      <c r="K3382" s="10" t="inlineStr">
        <is>
          <t>N/A</t>
        </is>
      </c>
      <c r="L3382" s="10" t="inlineStr">
        <is>
          <t>Technical Sales, Customer Engagement, Business Development, Electrical Engineering, Interpersonal skills</t>
        </is>
      </c>
      <c r="M3382" s="10" t="inlineStr">
        <is>
          <t>Bonus, Paid Leave, Laptop</t>
        </is>
      </c>
      <c r="N3382" s="11">
        <f>HYPERLINK("https://www.vietnamworks.com/sales-executive-ev-charging-solutions--2009463-jv","Xem chi tiết")</f>
        <v/>
      </c>
      <c r="O3382" s="10" t="n"/>
    </row>
    <row r="3383">
      <c r="B3383" s="7" t="n">
        <v>3381</v>
      </c>
      <c r="C3383" t="inlineStr">
        <is>
          <t>Head Of Marketing (Lương Cứng Từ 35 Triệu)</t>
        </is>
      </c>
      <c r="D3383" t="inlineStr">
        <is>
          <t>CÔNG TY CỔ PHẦN UDATA</t>
        </is>
      </c>
      <c r="E3383" t="inlineStr">
        <is>
          <t>Từ 35tr ₫/tháng</t>
        </is>
      </c>
      <c r="F3383" t="inlineStr">
        <is>
          <t>Hà Nội</t>
        </is>
      </c>
      <c r="G3383" t="inlineStr">
        <is>
          <t>Giám Đốc và Cấp Cao Hơn</t>
        </is>
      </c>
      <c r="H3383" t="inlineStr">
        <is>
          <t>09/02/2026</t>
        </is>
      </c>
      <c r="I3383" t="inlineStr">
        <is>
          <t>28/03/2026</t>
        </is>
      </c>
      <c r="J3383" t="inlineStr">
        <is>
          <t>17/03/2026</t>
        </is>
      </c>
      <c r="K3383" t="inlineStr">
        <is>
          <t>N/A</t>
        </is>
      </c>
      <c r="L3383" t="inlineStr">
        <is>
          <t>Lãnh Đạo, Quản Lý Ngân Sách, Marketing Trực Tiếp, Phân tích dữ liệu, Tiếng Anh</t>
        </is>
      </c>
      <c r="M3383" t="inlineStr">
        <is>
          <t>Bonus, Training, Team Activities</t>
        </is>
      </c>
      <c r="N3383" s="8">
        <f>HYPERLINK("https://www.vietnamworks.com/head-of-marketing-luong-cung-tu-35-trieu-2010875-jv","Xem chi tiết")</f>
        <v/>
      </c>
    </row>
    <row r="3384">
      <c r="B3384" s="9" t="n">
        <v>3382</v>
      </c>
      <c r="C3384" s="10" t="inlineStr">
        <is>
          <t>Head of Sales &amp; Marketing Operations</t>
        </is>
      </c>
      <c r="D3384" s="10" t="inlineStr">
        <is>
          <t>Vietnamworks' Client</t>
        </is>
      </c>
      <c r="E3384" s="10" t="inlineStr">
        <is>
          <t>$$ 2,000-3,000 /tháng</t>
        </is>
      </c>
      <c r="F3384" s="10" t="inlineStr">
        <is>
          <t>Hồ Chí Minh</t>
        </is>
      </c>
      <c r="G3384" s="10" t="inlineStr">
        <is>
          <t>Giám Đốc và Cấp Cao Hơn</t>
        </is>
      </c>
      <c r="H3384" s="10" t="inlineStr">
        <is>
          <t>10/02/2026</t>
        </is>
      </c>
      <c r="I3384" s="10" t="inlineStr">
        <is>
          <t>28/03/2026</t>
        </is>
      </c>
      <c r="J3384" s="10" t="inlineStr">
        <is>
          <t>17/03/2026</t>
        </is>
      </c>
      <c r="K3384" s="10" t="inlineStr">
        <is>
          <t>N/A</t>
        </is>
      </c>
      <c r="L3384" s="10" t="inlineStr">
        <is>
          <t>Sales Strategy, Digital Marketing, CRM System, Team Management, Analytical Thinking</t>
        </is>
      </c>
      <c r="M3384" s="10" t="inlineStr">
        <is>
          <t>Bonus, Training, Others</t>
        </is>
      </c>
      <c r="N3384" s="11">
        <f>HYPERLINK("https://www.vietnamworks.com/head-of-sales-and-marketing-operations-2011207-jv","Xem chi tiết")</f>
        <v/>
      </c>
      <c r="O3384" s="10" t="n"/>
    </row>
    <row r="3385">
      <c r="B3385" s="7" t="n">
        <v>3383</v>
      </c>
      <c r="C3385" t="inlineStr">
        <is>
          <t>Logistics Documentation &amp; Operations Supervisor, Lương $1000~</t>
        </is>
      </c>
      <c r="D3385" t="inlineStr">
        <is>
          <t>Vietnamworks' Client</t>
        </is>
      </c>
      <c r="E3385" t="inlineStr">
        <is>
          <t>$$ 1,000-1,500 /tháng</t>
        </is>
      </c>
      <c r="F3385" t="inlineStr">
        <is>
          <t>Hồ Chí Minh</t>
        </is>
      </c>
      <c r="G3385" t="inlineStr">
        <is>
          <t>Nhân viên</t>
        </is>
      </c>
      <c r="H3385" t="inlineStr">
        <is>
          <t>10/02/2026</t>
        </is>
      </c>
      <c r="I3385" t="inlineStr">
        <is>
          <t>28/03/2026</t>
        </is>
      </c>
      <c r="J3385" t="inlineStr">
        <is>
          <t>17/03/2026</t>
        </is>
      </c>
      <c r="K3385" t="inlineStr">
        <is>
          <t>N/A</t>
        </is>
      </c>
      <c r="L3385" t="inlineStr">
        <is>
          <t>Customer Experience Management, Logistics, Documentation Skills</t>
        </is>
      </c>
      <c r="M3385" t="inlineStr">
        <is>
          <t>Bonus, Healthcare Plan, Training, Mobile</t>
        </is>
      </c>
      <c r="N3385" s="8">
        <f>HYPERLINK("https://www.vietnamworks.com/logistics-documentation-and-operations-supervisor-luong-dollar1000-2011230-jv","Xem chi tiết")</f>
        <v/>
      </c>
    </row>
    <row r="3386">
      <c r="B3386" s="9" t="n">
        <v>3384</v>
      </c>
      <c r="C3386" s="10" t="inlineStr">
        <is>
          <t>Business Development Staff</t>
        </is>
      </c>
      <c r="D3386" s="10" t="inlineStr">
        <is>
          <t>Shina Vietnam Co., Ltd.</t>
        </is>
      </c>
      <c r="E3386" s="10" t="inlineStr">
        <is>
          <t>$$ 700-1,000 /tháng</t>
        </is>
      </c>
      <c r="F3386" s="10" t="inlineStr">
        <is>
          <t>Hồ Chí Minh</t>
        </is>
      </c>
      <c r="G3386" s="10" t="inlineStr">
        <is>
          <t>Nhân viên</t>
        </is>
      </c>
      <c r="H3386" s="10" t="inlineStr">
        <is>
          <t>06/02/2026</t>
        </is>
      </c>
      <c r="I3386" s="10" t="inlineStr">
        <is>
          <t>28/03/2026</t>
        </is>
      </c>
      <c r="J3386" s="10" t="inlineStr">
        <is>
          <t>17/03/2026</t>
        </is>
      </c>
      <c r="K3386" s="10" t="inlineStr">
        <is>
          <t>N/A</t>
        </is>
      </c>
      <c r="L3386" s="10" t="inlineStr">
        <is>
          <t>Business Development, Market Research, Chemical Product, Sales Strategy, Sales Planning</t>
        </is>
      </c>
      <c r="M3386" s="10" t="inlineStr">
        <is>
          <t>Bonus, Healthcare Plan, Awards, Others</t>
        </is>
      </c>
      <c r="N3386" s="11">
        <f>HYPERLINK("https://www.vietnamworks.com/business-development-staff--2010294-jv","Xem chi tiết")</f>
        <v/>
      </c>
      <c r="O3386" s="10" t="n"/>
    </row>
    <row r="3387">
      <c r="B3387" s="7" t="n">
        <v>3385</v>
      </c>
      <c r="C3387" t="inlineStr">
        <is>
          <t>Country HRBP</t>
        </is>
      </c>
      <c r="D3387" t="inlineStr">
        <is>
          <t>VĂN PHÒNG ĐẠI ĐIỆN DAHUA TECHNOLOGY (HK) LIMITED TẠI THÀNH PHỐ HỒ CHÍ MINH</t>
        </is>
      </c>
      <c r="E3387" t="inlineStr">
        <is>
          <t>$$ 800-1,500 /tháng</t>
        </is>
      </c>
      <c r="F3387" t="inlineStr">
        <is>
          <t>Hồ Chí Minh</t>
        </is>
      </c>
      <c r="G3387" t="inlineStr">
        <is>
          <t>Nhân viên</t>
        </is>
      </c>
      <c r="H3387" t="inlineStr">
        <is>
          <t>04/02/2026</t>
        </is>
      </c>
      <c r="I3387" t="inlineStr">
        <is>
          <t>28/03/2026</t>
        </is>
      </c>
      <c r="J3387" t="inlineStr">
        <is>
          <t>17/03/2026</t>
        </is>
      </c>
      <c r="K3387" t="inlineStr">
        <is>
          <t>N/A</t>
        </is>
      </c>
      <c r="L3387" t="inlineStr">
        <is>
          <t>Human Resources Management, HRBP, HR Admin, Learning &amp; Development, English</t>
        </is>
      </c>
      <c r="M3387" t="inlineStr">
        <is>
          <t>Bonus, Healthcare Plan, Paid Leave</t>
        </is>
      </c>
      <c r="N3387" s="8">
        <f>HYPERLINK("https://www.vietnamworks.com/country-hrbp-2009791-jv","Xem chi tiết")</f>
        <v/>
      </c>
    </row>
    <row r="3388">
      <c r="B3388" s="9" t="n">
        <v>3386</v>
      </c>
      <c r="C3388" s="10" t="inlineStr">
        <is>
          <t>Mechanical Engineer</t>
        </is>
      </c>
      <c r="D3388" s="10" t="inlineStr">
        <is>
          <t>Delfortgroup/ Wattens Vietnam CO., Ltd</t>
        </is>
      </c>
      <c r="E3388" s="10" t="inlineStr">
        <is>
          <t>Thương lượng</t>
        </is>
      </c>
      <c r="F3388" s="10" t="inlineStr">
        <is>
          <t>Bình Dương</t>
        </is>
      </c>
      <c r="G3388" s="10" t="inlineStr">
        <is>
          <t>Nhân viên</t>
        </is>
      </c>
      <c r="H3388" s="10" t="inlineStr">
        <is>
          <t>06/02/2026</t>
        </is>
      </c>
      <c r="I3388" s="10" t="inlineStr">
        <is>
          <t>28/03/2026</t>
        </is>
      </c>
      <c r="J3388" s="10" t="inlineStr">
        <is>
          <t>17/03/2026</t>
        </is>
      </c>
      <c r="K3388" s="10" t="inlineStr">
        <is>
          <t>N/A</t>
        </is>
      </c>
      <c r="L3388" s="10" t="inlineStr">
        <is>
          <t>English, Mechatronic, Mechanical Processing, Mechanical Drawing, Technical Support</t>
        </is>
      </c>
      <c r="M3388" s="10" t="inlineStr">
        <is>
          <t>Bonus, Healthcare Plan, Transportation</t>
        </is>
      </c>
      <c r="N3388" s="11">
        <f>HYPERLINK("https://www.vietnamworks.com/mechanical-engineer--2010430-jv","Xem chi tiết")</f>
        <v/>
      </c>
      <c r="O3388" s="10" t="n"/>
    </row>
    <row r="3389">
      <c r="B3389" s="7" t="n">
        <v>3387</v>
      </c>
      <c r="C3389" t="inlineStr">
        <is>
          <t>Merchandiser - Team Lead/Manager (US Market, English required)</t>
        </is>
      </c>
      <c r="D3389" t="inlineStr">
        <is>
          <t>Crossian Việt Nam</t>
        </is>
      </c>
      <c r="E3389" t="inlineStr">
        <is>
          <t>Thương lượng</t>
        </is>
      </c>
      <c r="F3389" t="inlineStr">
        <is>
          <t>Hà Nội</t>
        </is>
      </c>
      <c r="G3389" t="inlineStr">
        <is>
          <t>Nhân viên</t>
        </is>
      </c>
      <c r="H3389" t="inlineStr">
        <is>
          <t>10/02/2026</t>
        </is>
      </c>
      <c r="I3389" t="inlineStr">
        <is>
          <t>28/03/2026</t>
        </is>
      </c>
      <c r="J3389" t="inlineStr">
        <is>
          <t>17/03/2026</t>
        </is>
      </c>
      <c r="K3389" t="inlineStr">
        <is>
          <t>N/A</t>
        </is>
      </c>
      <c r="L3389" t="inlineStr">
        <is>
          <t>Supply Chain, Bulk Production, Merchandising, Quản Lý Đơn Hàng, Sourcing</t>
        </is>
      </c>
      <c r="M3389" t="inlineStr">
        <is>
          <t>Bonus, Healthcare Plan, Paid Leave, Training, Team Activities, Others</t>
        </is>
      </c>
      <c r="N3389" s="8">
        <f>HYPERLINK("https://www.vietnamworks.com/merchandiser-team-leadmanager-us-market-english-required-2011119-jv","Xem chi tiết")</f>
        <v/>
      </c>
    </row>
    <row r="3390">
      <c r="B3390" s="9" t="n">
        <v>3388</v>
      </c>
      <c r="C3390" s="10" t="inlineStr">
        <is>
          <t>Director, Project Marketing</t>
        </is>
      </c>
      <c r="D3390" s="10" t="inlineStr">
        <is>
          <t>Công Ty Cổ Phần Đầu Tư Nam Long</t>
        </is>
      </c>
      <c r="E3390" s="10" t="inlineStr">
        <is>
          <t>Thương lượng</t>
        </is>
      </c>
      <c r="F3390" s="10" t="inlineStr">
        <is>
          <t>Hồ Chí Minh</t>
        </is>
      </c>
      <c r="G3390" s="10" t="inlineStr">
        <is>
          <t>Giám Đốc và Cấp Cao Hơn</t>
        </is>
      </c>
      <c r="H3390" s="10" t="inlineStr">
        <is>
          <t>10/02/2026</t>
        </is>
      </c>
      <c r="I3390" s="10" t="inlineStr">
        <is>
          <t>28/03/2026</t>
        </is>
      </c>
      <c r="J3390" s="10" t="inlineStr">
        <is>
          <t>17/03/2026</t>
        </is>
      </c>
      <c r="K3390" s="10" t="inlineStr">
        <is>
          <t>N/A</t>
        </is>
      </c>
      <c r="L3390" s="10" t="inlineStr">
        <is>
          <t>Truyền Thông, Brand Strategies, Marketing Planning, Event Marketing, Chiến Lược Thương Hiệu</t>
        </is>
      </c>
      <c r="M3390" s="10" t="inlineStr">
        <is>
          <t>Bonus, Healthcare Plan, Paid Leave</t>
        </is>
      </c>
      <c r="N3390" s="11">
        <f>HYPERLINK("https://www.vietnamworks.com/director-project-marketing-2011239-jv","Xem chi tiết")</f>
        <v/>
      </c>
      <c r="O3390" s="10" t="n"/>
    </row>
    <row r="3391">
      <c r="B3391" s="7" t="n">
        <v>3389</v>
      </c>
      <c r="C3391" t="inlineStr">
        <is>
          <t>Chuyên Viên Kế Toán</t>
        </is>
      </c>
      <c r="D3391" t="inlineStr">
        <is>
          <t>Công Ty Cổ Phần Prowtech International Vina</t>
        </is>
      </c>
      <c r="E3391" t="inlineStr">
        <is>
          <t>Thương lượng</t>
        </is>
      </c>
      <c r="F3391" t="inlineStr">
        <is>
          <t>Hồ Chí Minh</t>
        </is>
      </c>
      <c r="G3391" t="inlineStr">
        <is>
          <t>Nhân viên</t>
        </is>
      </c>
      <c r="H3391" t="inlineStr">
        <is>
          <t>10/02/2026</t>
        </is>
      </c>
      <c r="I3391" t="inlineStr">
        <is>
          <t>28/03/2026</t>
        </is>
      </c>
      <c r="J3391" t="inlineStr">
        <is>
          <t>17/03/2026</t>
        </is>
      </c>
      <c r="K3391" t="inlineStr">
        <is>
          <t>N/A</t>
        </is>
      </c>
      <c r="L3391" t="inlineStr">
        <is>
          <t>Phần Mềm Kế Toán, Theo Dõi Công Nợ, Hạch Toán, Đối Chiếu Số Liệu, Kiểm Tra Chứng Từ</t>
        </is>
      </c>
      <c r="M3391" t="inlineStr">
        <is>
          <t>Bonus, Team Activities, Others</t>
        </is>
      </c>
      <c r="N3391" s="8">
        <f>HYPERLINK("https://www.vietnamworks.com/chuyen-vien-ke-toan--2011046-jv","Xem chi tiết")</f>
        <v/>
      </c>
    </row>
    <row r="3392">
      <c r="B3392" s="9" t="n">
        <v>3390</v>
      </c>
      <c r="C3392" s="10" t="inlineStr">
        <is>
          <t>Sales Engineer</t>
        </is>
      </c>
      <c r="D3392" s="10" t="inlineStr">
        <is>
          <t>PAC COMPONENTS PTE LTD</t>
        </is>
      </c>
      <c r="E3392" s="10" t="inlineStr">
        <is>
          <t>$$ 607-1,187 /tháng</t>
        </is>
      </c>
      <c r="F3392" s="10" t="inlineStr">
        <is>
          <t>Hồ Chí Minh, Hà Nội</t>
        </is>
      </c>
      <c r="G3392" s="10" t="inlineStr">
        <is>
          <t>N/A</t>
        </is>
      </c>
      <c r="H3392" s="10" t="inlineStr">
        <is>
          <t>10/02/2026</t>
        </is>
      </c>
      <c r="I3392" s="10" t="inlineStr">
        <is>
          <t>28/03/2026</t>
        </is>
      </c>
      <c r="J3392" s="10" t="inlineStr">
        <is>
          <t>17/03/2026</t>
        </is>
      </c>
      <c r="K3392" s="10" t="inlineStr">
        <is>
          <t>N/A</t>
        </is>
      </c>
      <c r="L3392" s="10" t="inlineStr">
        <is>
          <t>Communication Skills, Customer Service, Microsoft Office, Sales Experience, SugarCRM</t>
        </is>
      </c>
      <c r="M3392" s="10" t="inlineStr">
        <is>
          <t>Others</t>
        </is>
      </c>
      <c r="N3392" s="11">
        <f>HYPERLINK("https://www.vietnamworks.com/sales-engineer-2011066-jv","Xem chi tiết")</f>
        <v/>
      </c>
      <c r="O3392" s="10" t="n"/>
    </row>
    <row r="3393">
      <c r="B3393" s="7" t="n">
        <v>3391</v>
      </c>
      <c r="C3393" t="inlineStr">
        <is>
          <t>Kỹ Thuật Viên CAD Ô Tô – Làm Việc Thứ 2–6 – Có Cơ Hội Onsite Nhật</t>
        </is>
      </c>
      <c r="D3393" t="inlineStr">
        <is>
          <t>Usol Vietnam Co., Ltd</t>
        </is>
      </c>
      <c r="E3393" t="inlineStr">
        <is>
          <t>Thương lượng</t>
        </is>
      </c>
      <c r="F3393" t="inlineStr">
        <is>
          <t>Hồ Chí Minh</t>
        </is>
      </c>
      <c r="G3393" t="inlineStr">
        <is>
          <t>Mới Tốt Nghiệp</t>
        </is>
      </c>
      <c r="H3393" t="inlineStr">
        <is>
          <t>09/02/2026</t>
        </is>
      </c>
      <c r="I3393" t="inlineStr">
        <is>
          <t>28/03/2026</t>
        </is>
      </c>
      <c r="J3393" t="inlineStr">
        <is>
          <t>17/03/2026</t>
        </is>
      </c>
      <c r="K3393" t="inlineStr">
        <is>
          <t>N/A</t>
        </is>
      </c>
      <c r="L3393" t="inlineStr">
        <is>
          <t>CAD, CATIA, Japanese Speaking, Data Processing, Không Yêu Cầu Kinh Nghiệm</t>
        </is>
      </c>
      <c r="M3393" t="inlineStr">
        <is>
          <t>Bonus, Healthcare Plan, Paid Leave, Training, Team Activities, Others</t>
        </is>
      </c>
      <c r="N3393" s="8">
        <f>HYPERLINK("https://www.vietnamworks.com/ky-thuat-vien-cad-o-to-lam-viec-thu-2-6-co-co-hoi-onsite-nhat-2011000-jv","Xem chi tiết")</f>
        <v/>
      </c>
    </row>
    <row r="3394">
      <c r="B3394" s="9" t="n">
        <v>3392</v>
      </c>
      <c r="C3394" s="10" t="inlineStr">
        <is>
          <t>Thư Ký Bộ Phận RDD</t>
        </is>
      </c>
      <c r="D3394" s="10" t="inlineStr">
        <is>
          <t>Công Ty TNHH May Tinh Lợi</t>
        </is>
      </c>
      <c r="E3394" s="10" t="inlineStr">
        <is>
          <t>11tr-13tr ₫/tháng</t>
        </is>
      </c>
      <c r="F3394" s="10" t="inlineStr">
        <is>
          <t>Hải Phòng, Hải Dương</t>
        </is>
      </c>
      <c r="G3394" s="10" t="inlineStr">
        <is>
          <t>Nhân viên</t>
        </is>
      </c>
      <c r="H3394" s="10" t="inlineStr">
        <is>
          <t>10/02/2026</t>
        </is>
      </c>
      <c r="I3394" s="10" t="inlineStr">
        <is>
          <t>28/03/2026</t>
        </is>
      </c>
      <c r="J3394" s="10" t="inlineStr">
        <is>
          <t>17/03/2026</t>
        </is>
      </c>
      <c r="K3394" s="10" t="inlineStr">
        <is>
          <t>N/A</t>
        </is>
      </c>
      <c r="L3394" s="10" t="inlineStr">
        <is>
          <t>Hành Chính Thư Ký, Nghiên Cứu Phát Triển, Nghiệp Vụ Thư Ký, Phân Tích Tài Liệu, Thư Ký</t>
        </is>
      </c>
      <c r="M3394" s="10" t="inlineStr">
        <is>
          <t>Bonus, Healthcare Plan, Paid Leave, Training, Transportation, Others</t>
        </is>
      </c>
      <c r="N3394" s="11">
        <f>HYPERLINK("https://www.vietnamworks.com/thu-ky-bo-phan-rdd-2011267-jv","Xem chi tiết")</f>
        <v/>
      </c>
      <c r="O3394" s="10" t="n"/>
    </row>
    <row r="3395">
      <c r="B3395" s="7" t="n">
        <v>3393</v>
      </c>
      <c r="C3395" t="inlineStr">
        <is>
          <t>Import - Export Officer</t>
        </is>
      </c>
      <c r="D3395" t="inlineStr">
        <is>
          <t>Công Ty TNHH May Tinh Lợi</t>
        </is>
      </c>
      <c r="E3395" t="inlineStr">
        <is>
          <t>Thương lượng</t>
        </is>
      </c>
      <c r="F3395" t="inlineStr">
        <is>
          <t>Hải Phòng, Hải Dương</t>
        </is>
      </c>
      <c r="G3395" t="inlineStr">
        <is>
          <t>Nhân viên</t>
        </is>
      </c>
      <c r="H3395" t="inlineStr">
        <is>
          <t>10/02/2026</t>
        </is>
      </c>
      <c r="I3395" t="inlineStr">
        <is>
          <t>28/03/2026</t>
        </is>
      </c>
      <c r="J3395" t="inlineStr">
        <is>
          <t>17/03/2026</t>
        </is>
      </c>
      <c r="K3395" t="inlineStr">
        <is>
          <t>N/A</t>
        </is>
      </c>
      <c r="L3395" t="inlineStr">
        <is>
          <t>Customs Declaration, English, Garment, International Trade, Xuất Nhập Khẩu</t>
        </is>
      </c>
      <c r="M3395" t="inlineStr">
        <is>
          <t>Bonus, Healthcare Plan, Paid Leave, Training, Transportation, Others</t>
        </is>
      </c>
      <c r="N3395" s="8">
        <f>HYPERLINK("https://www.vietnamworks.com/import-export-officer-2011269-jv","Xem chi tiết")</f>
        <v/>
      </c>
    </row>
    <row r="3396">
      <c r="B3396" s="9" t="n">
        <v>3394</v>
      </c>
      <c r="C3396" s="10" t="inlineStr">
        <is>
          <t>Maintenance Engineer</t>
        </is>
      </c>
      <c r="D3396" s="10" t="inlineStr">
        <is>
          <t>Công ty TNHH Magnetec Vietnam</t>
        </is>
      </c>
      <c r="E3396" s="10" t="inlineStr">
        <is>
          <t>Thương lượng</t>
        </is>
      </c>
      <c r="F3396" s="10" t="inlineStr">
        <is>
          <t>Hải Phòng</t>
        </is>
      </c>
      <c r="G3396" s="10" t="inlineStr">
        <is>
          <t>Nhân viên</t>
        </is>
      </c>
      <c r="H3396" s="10" t="inlineStr">
        <is>
          <t>11/02/2026</t>
        </is>
      </c>
      <c r="I3396" s="10" t="inlineStr">
        <is>
          <t>28/03/2026</t>
        </is>
      </c>
      <c r="J3396" s="10" t="inlineStr">
        <is>
          <t>17/03/2026</t>
        </is>
      </c>
      <c r="K3396" s="10" t="inlineStr">
        <is>
          <t>N/A</t>
        </is>
      </c>
      <c r="L3396" s="10" t="inlineStr">
        <is>
          <t>Maintenance, Bảo Trì, Bảo Dưỡng, Tự Động Hóa, Điện, điều khiển, tự động hóa</t>
        </is>
      </c>
      <c r="M3396" s="10" t="inlineStr">
        <is>
          <t>Healthcare Plan, Paid Leave, Others</t>
        </is>
      </c>
      <c r="N3396" s="11">
        <f>HYPERLINK("https://www.vietnamworks.com/maintenance-engineer--2011293-jv","Xem chi tiết")</f>
        <v/>
      </c>
      <c r="O3396" s="10" t="n"/>
    </row>
    <row r="3397">
      <c r="B3397" s="7" t="n">
        <v>3395</v>
      </c>
      <c r="C3397" t="inlineStr">
        <is>
          <t>Nhân Viên Phòng Hành Chính Nhân Sự Phụ Trách An Toàn, Pccc</t>
        </is>
      </c>
      <c r="D3397" t="inlineStr">
        <is>
          <t>Dorco Vina Co., Ltd</t>
        </is>
      </c>
      <c r="E3397" t="inlineStr">
        <is>
          <t>$$ 400-600 /tháng</t>
        </is>
      </c>
      <c r="F3397" t="inlineStr">
        <is>
          <t>Hưng Yên</t>
        </is>
      </c>
      <c r="G3397" t="inlineStr">
        <is>
          <t>Nhân viên</t>
        </is>
      </c>
      <c r="H3397" t="inlineStr">
        <is>
          <t>11/02/2026</t>
        </is>
      </c>
      <c r="I3397" t="inlineStr">
        <is>
          <t>28/03/2026</t>
        </is>
      </c>
      <c r="J3397" t="inlineStr">
        <is>
          <t>17/03/2026</t>
        </is>
      </c>
      <c r="K3397" t="inlineStr">
        <is>
          <t>N/A</t>
        </is>
      </c>
      <c r="L3397" t="inlineStr">
        <is>
          <t>Autocad, Teamwork</t>
        </is>
      </c>
      <c r="M3397" t="inlineStr">
        <is>
          <t>Bonus, Healthcare Plan, Training, Others</t>
        </is>
      </c>
      <c r="N3397" s="8">
        <f>HYPERLINK("https://www.vietnamworks.com/nhan-vien-phong-hanh-chinh-nhan-su-phu-trach-an-toan-pccc-2011288-jv","Xem chi tiết")</f>
        <v/>
      </c>
    </row>
    <row r="3398">
      <c r="B3398" s="9" t="n">
        <v>3396</v>
      </c>
      <c r="C3398" s="10" t="inlineStr">
        <is>
          <t>Kế Toán Trưởng (Làm Việc Tại Đông Hưng, Thái Bình)</t>
        </is>
      </c>
      <c r="D3398" s="10" t="inlineStr">
        <is>
          <t>Tập đoàn VINASEED</t>
        </is>
      </c>
      <c r="E3398" s="10" t="inlineStr">
        <is>
          <t>Thương lượng</t>
        </is>
      </c>
      <c r="F3398" s="10" t="inlineStr">
        <is>
          <t>Thái Bình</t>
        </is>
      </c>
      <c r="G3398" s="10" t="inlineStr">
        <is>
          <t>Trưởng phòng</t>
        </is>
      </c>
      <c r="H3398" s="10" t="inlineStr">
        <is>
          <t>10/02/2026</t>
        </is>
      </c>
      <c r="I3398" s="10" t="inlineStr">
        <is>
          <t>28/03/2026</t>
        </is>
      </c>
      <c r="J3398" s="10" t="inlineStr">
        <is>
          <t>17/03/2026</t>
        </is>
      </c>
      <c r="K3398" s="10" t="inlineStr">
        <is>
          <t>N/A</t>
        </is>
      </c>
      <c r="L3398" s="10" t="inlineStr">
        <is>
          <t>MS Excel, Chief Accounting, Kiểm Soát Tồn Kho, Quản Lý Công Nợ, Thuế</t>
        </is>
      </c>
      <c r="M3398" s="10" t="inlineStr">
        <is>
          <t>Bonus, Healthcare Plan, Training, Others</t>
        </is>
      </c>
      <c r="N3398" s="11">
        <f>HYPERLINK("https://www.vietnamworks.com/ke-toan-truong-lam-viec-tai-djong-hung-thai-binh-2011265-jv","Xem chi tiết")</f>
        <v/>
      </c>
      <c r="O3398" s="10" t="n"/>
    </row>
    <row r="3399">
      <c r="B3399" s="7" t="n">
        <v>3397</v>
      </c>
      <c r="C3399" t="inlineStr">
        <is>
          <t>Nhân Viên Hành Chính Nhân Sự (Tiếng Trung)</t>
        </is>
      </c>
      <c r="D3399" t="inlineStr">
        <is>
          <t>CÔNG TY TNHH QUẢN LÝ DỊCH VỤ ĂN UỐNG HƯNG THỊNH</t>
        </is>
      </c>
      <c r="E3399" t="inlineStr">
        <is>
          <t>18tr-25tr ₫/tháng</t>
        </is>
      </c>
      <c r="F3399" t="inlineStr">
        <is>
          <t>Hồ Chí Minh</t>
        </is>
      </c>
      <c r="G3399" t="inlineStr">
        <is>
          <t>Mới Tốt Nghiệp</t>
        </is>
      </c>
      <c r="H3399" t="inlineStr">
        <is>
          <t>11/02/2026</t>
        </is>
      </c>
      <c r="I3399" t="inlineStr">
        <is>
          <t>28/03/2026</t>
        </is>
      </c>
      <c r="J3399" t="inlineStr">
        <is>
          <t>17/03/2026</t>
        </is>
      </c>
      <c r="K3399" t="inlineStr">
        <is>
          <t>N/A</t>
        </is>
      </c>
      <c r="L3399" t="inlineStr">
        <is>
          <t>Nhân Sự, Tiếng Trung, HCNS, HSK5, HR &amp; Admin</t>
        </is>
      </c>
      <c r="M3399" t="inlineStr">
        <is>
          <t>Paid Leave, Team Activities, Others</t>
        </is>
      </c>
      <c r="N3399" s="8">
        <f>HYPERLINK("https://www.vietnamworks.com/nhan-vien-hanh-chinh-nhan-su-tieng-trung-2011300-jv","Xem chi tiết")</f>
        <v/>
      </c>
    </row>
    <row r="3400">
      <c r="B3400" s="9" t="n">
        <v>3398</v>
      </c>
      <c r="C3400" s="10" t="inlineStr">
        <is>
          <t>Finance Manager</t>
        </is>
      </c>
      <c r="D3400" s="10" t="inlineStr">
        <is>
          <t>Công ty TNHH R-Pac Việt Nam</t>
        </is>
      </c>
      <c r="E3400" s="10" t="inlineStr">
        <is>
          <t>Thương lượng</t>
        </is>
      </c>
      <c r="F3400" s="10" t="inlineStr">
        <is>
          <t>Bình Dương</t>
        </is>
      </c>
      <c r="G3400" s="10" t="inlineStr">
        <is>
          <t>Trưởng phòng</t>
        </is>
      </c>
      <c r="H3400" s="10" t="inlineStr">
        <is>
          <t>11/02/2026</t>
        </is>
      </c>
      <c r="I3400" s="10" t="inlineStr">
        <is>
          <t>28/03/2026</t>
        </is>
      </c>
      <c r="J3400" s="10" t="inlineStr">
        <is>
          <t>17/03/2026</t>
        </is>
      </c>
      <c r="K3400" s="10" t="inlineStr">
        <is>
          <t>N/A</t>
        </is>
      </c>
      <c r="L3400" s="10" t="inlineStr">
        <is>
          <t>Cost Control, Finance Accounting, Finance Management</t>
        </is>
      </c>
      <c r="M3400" s="10" t="inlineStr">
        <is>
          <t>Healthcare Plan, Travel Opportunities, Others</t>
        </is>
      </c>
      <c r="N3400" s="11">
        <f>HYPERLINK("https://www.vietnamworks.com/finance-manager-2011286-jv","Xem chi tiết")</f>
        <v/>
      </c>
      <c r="O3400" s="10" t="n"/>
    </row>
    <row r="3401">
      <c r="B3401" s="7" t="n">
        <v>3399</v>
      </c>
      <c r="C3401" t="inlineStr">
        <is>
          <t>3D Visualization &amp; Content Designer (Marketing-Focused)</t>
        </is>
      </c>
      <c r="D3401" t="inlineStr">
        <is>
          <t>LR-TEK</t>
        </is>
      </c>
      <c r="E3401" t="inlineStr">
        <is>
          <t>Thương lượng</t>
        </is>
      </c>
      <c r="F3401" t="inlineStr">
        <is>
          <t>Hồ Chí Minh</t>
        </is>
      </c>
      <c r="G3401" t="inlineStr">
        <is>
          <t>Nhân viên</t>
        </is>
      </c>
      <c r="H3401" t="inlineStr">
        <is>
          <t>11/02/2026</t>
        </is>
      </c>
      <c r="I3401" t="inlineStr">
        <is>
          <t>28/03/2026</t>
        </is>
      </c>
      <c r="J3401" t="inlineStr">
        <is>
          <t>17/03/2026</t>
        </is>
      </c>
      <c r="K3401" t="inlineStr">
        <is>
          <t>N/A</t>
        </is>
      </c>
      <c r="L3401" t="inlineStr">
        <is>
          <t>3D Visualization, Color Renderings, Technical Drawing, Adobe Creative Suite, Technical Design</t>
        </is>
      </c>
      <c r="M3401" t="inlineStr">
        <is>
          <t>Bonus, Others</t>
        </is>
      </c>
      <c r="N3401" s="8">
        <f>HYPERLINK("https://www.vietnamworks.com/3d-visualization-and-content-designer-marketing-focused-2011294-jv","Xem chi tiết")</f>
        <v/>
      </c>
    </row>
    <row r="3402">
      <c r="B3402" s="9" t="n">
        <v>3400</v>
      </c>
      <c r="C3402" s="10" t="inlineStr">
        <is>
          <t>Architect - Kiến Trúc Sư</t>
        </is>
      </c>
      <c r="D3402" s="10" t="inlineStr">
        <is>
          <t>BYG Projects (Vietnam) Ltd.</t>
        </is>
      </c>
      <c r="E3402" s="10" t="inlineStr">
        <is>
          <t>Thương lượng</t>
        </is>
      </c>
      <c r="F3402" s="10" t="inlineStr">
        <is>
          <t>Hồ Chí Minh</t>
        </is>
      </c>
      <c r="G3402" s="10" t="inlineStr">
        <is>
          <t>Nhân viên</t>
        </is>
      </c>
      <c r="H3402" s="10" t="inlineStr">
        <is>
          <t>11/02/2026</t>
        </is>
      </c>
      <c r="I3402" s="10" t="inlineStr">
        <is>
          <t>28/03/2026</t>
        </is>
      </c>
      <c r="J3402" s="10" t="inlineStr">
        <is>
          <t>17/03/2026</t>
        </is>
      </c>
      <c r="K3402" s="10" t="inlineStr">
        <is>
          <t>N/A</t>
        </is>
      </c>
      <c r="L3402" s="10" t="inlineStr">
        <is>
          <t>AutoCAD, Architect, Revit, Revit Architect</t>
        </is>
      </c>
      <c r="M3402" s="10" t="inlineStr">
        <is>
          <t>Bonus, Healthcare Plan, Training, Travel Opportunities, Others</t>
        </is>
      </c>
      <c r="N3402" s="11">
        <f>HYPERLINK("https://www.vietnamworks.com/architect-kien-truc-su-2011307-jv","Xem chi tiết")</f>
        <v/>
      </c>
      <c r="O3402" s="10" t="n"/>
    </row>
    <row r="3403">
      <c r="B3403" s="7" t="n">
        <v>3401</v>
      </c>
      <c r="C3403" t="inlineStr">
        <is>
          <t>Quality Engineer</t>
        </is>
      </c>
      <c r="D3403" t="inlineStr">
        <is>
          <t>Công ty TNHH Magnetec Vietnam</t>
        </is>
      </c>
      <c r="E3403" t="inlineStr">
        <is>
          <t>Thương lượng</t>
        </is>
      </c>
      <c r="F3403" t="inlineStr">
        <is>
          <t>Hải Phòng</t>
        </is>
      </c>
      <c r="G3403" t="inlineStr">
        <is>
          <t>Nhân viên</t>
        </is>
      </c>
      <c r="H3403" t="inlineStr">
        <is>
          <t>11/02/2026</t>
        </is>
      </c>
      <c r="I3403" t="inlineStr">
        <is>
          <t>28/03/2026</t>
        </is>
      </c>
      <c r="J3403" t="inlineStr">
        <is>
          <t>17/03/2026</t>
        </is>
      </c>
      <c r="K3403" t="inlineStr">
        <is>
          <t>N/A</t>
        </is>
      </c>
      <c r="L3403" t="inlineStr">
        <is>
          <t>Quality Control, Quality Management, Quality Assurance, QA, QC</t>
        </is>
      </c>
      <c r="M3403" t="inlineStr">
        <is>
          <t>Healthcare Plan, Paid Leave, Others</t>
        </is>
      </c>
      <c r="N3403" s="8">
        <f>HYPERLINK("https://www.vietnamworks.com/quality-engineer--2011291-jv","Xem chi tiết")</f>
        <v/>
      </c>
    </row>
    <row r="3404">
      <c r="B3404" s="9" t="n">
        <v>3402</v>
      </c>
      <c r="C3404" s="10" t="inlineStr">
        <is>
          <t>Process Engineer (10 Postions - Working in Hai Phong)</t>
        </is>
      </c>
      <c r="D3404" s="10" t="inlineStr">
        <is>
          <t>VINFAST TRADING AND PRODUCTION JSC</t>
        </is>
      </c>
      <c r="E3404" s="10" t="inlineStr">
        <is>
          <t>Thương lượng</t>
        </is>
      </c>
      <c r="F3404" s="10" t="inlineStr">
        <is>
          <t>Hải Phòng, Hải Dương, Hà Nội</t>
        </is>
      </c>
      <c r="G3404" s="10" t="inlineStr">
        <is>
          <t>Nhân viên</t>
        </is>
      </c>
      <c r="H3404" s="10" t="inlineStr">
        <is>
          <t>11/02/2026</t>
        </is>
      </c>
      <c r="I3404" s="10" t="inlineStr">
        <is>
          <t>28/03/2026</t>
        </is>
      </c>
      <c r="J3404" s="10" t="inlineStr">
        <is>
          <t>17/03/2026</t>
        </is>
      </c>
      <c r="K3404" s="10" t="inlineStr">
        <is>
          <t>N/A</t>
        </is>
      </c>
      <c r="L3404" s="10" t="inlineStr">
        <is>
          <t>SAP QM, Automotive</t>
        </is>
      </c>
      <c r="M3404" s="10" t="inlineStr">
        <is>
          <t>Bonus, Healthcare Plan, Others</t>
        </is>
      </c>
      <c r="N3404" s="11">
        <f>HYPERLINK("https://www.vietnamworks.com/process-engineer-10-postions-working-in-hai-phong--2011290-jv","Xem chi tiết")</f>
        <v/>
      </c>
      <c r="O3404" s="10" t="n"/>
    </row>
    <row r="3405">
      <c r="B3405" s="7" t="n">
        <v>3403</v>
      </c>
      <c r="C3405" t="inlineStr">
        <is>
          <t>Quality Engineer (Working in Ha Tinh)</t>
        </is>
      </c>
      <c r="D3405" t="inlineStr">
        <is>
          <t>VINFAST TRADING AND PRODUCTION JSC</t>
        </is>
      </c>
      <c r="E3405" t="inlineStr">
        <is>
          <t>$$ 800-1,500 /tháng</t>
        </is>
      </c>
      <c r="F3405" t="inlineStr">
        <is>
          <t>Hà Tĩnh</t>
        </is>
      </c>
      <c r="G3405" t="inlineStr">
        <is>
          <t>Nhân viên</t>
        </is>
      </c>
      <c r="H3405" t="inlineStr">
        <is>
          <t>11/02/2026</t>
        </is>
      </c>
      <c r="I3405" t="inlineStr">
        <is>
          <t>28/03/2026</t>
        </is>
      </c>
      <c r="J3405" t="inlineStr">
        <is>
          <t>17/03/2026</t>
        </is>
      </c>
      <c r="K3405" t="inlineStr">
        <is>
          <t>N/A</t>
        </is>
      </c>
      <c r="L3405" t="inlineStr">
        <is>
          <t>English Fluency, Geometric Design And Tolerance, Lean Manufacturing, Statistical Quality Control, Supplier Quality Management</t>
        </is>
      </c>
      <c r="M3405" t="inlineStr">
        <is>
          <t>Bonus, Healthcare Plan, Others</t>
        </is>
      </c>
      <c r="N3405" s="8">
        <f>HYPERLINK("https://www.vietnamworks.com/quality-engineer-working-in-ha-tinh-2011301-jv","Xem chi tiết")</f>
        <v/>
      </c>
    </row>
    <row r="3406">
      <c r="B3406" s="9" t="n">
        <v>3404</v>
      </c>
      <c r="C3406" s="10" t="inlineStr">
        <is>
          <t>Chuyên Gia Đấu Thầu MEPF (MEPF Tendering Expert)</t>
        </is>
      </c>
      <c r="D3406" s="10" t="inlineStr">
        <is>
          <t>Công Ty Cổ Phần Tập Đoàn Masterise</t>
        </is>
      </c>
      <c r="E3406" s="10" t="inlineStr">
        <is>
          <t>Thương lượng</t>
        </is>
      </c>
      <c r="F3406" s="10" t="inlineStr">
        <is>
          <t>Hà Nội</t>
        </is>
      </c>
      <c r="G3406" s="10" t="inlineStr">
        <is>
          <t>Nhân viên</t>
        </is>
      </c>
      <c r="H3406" s="10" t="inlineStr">
        <is>
          <t>11/02/2026</t>
        </is>
      </c>
      <c r="I3406" s="10" t="inlineStr">
        <is>
          <t>28/03/2026</t>
        </is>
      </c>
      <c r="J3406" s="10" t="inlineStr">
        <is>
          <t>17/03/2026</t>
        </is>
      </c>
      <c r="K3406" s="10" t="inlineStr">
        <is>
          <t>N/A</t>
        </is>
      </c>
      <c r="L3406" s="10" t="inlineStr">
        <is>
          <t>Kinh Tế Xây Dựng, Cơ Điện, Auto Cad, MEPF, Đấu Thầu</t>
        </is>
      </c>
      <c r="M3406" s="10" t="inlineStr">
        <is>
          <t>Bonus, Healthcare Plan, Laptop</t>
        </is>
      </c>
      <c r="N3406" s="11">
        <f>HYPERLINK("https://www.vietnamworks.com/chuyen-gia-djau-thau-mepf-mepf-tendering-expert-2011298-jv","Xem chi tiết")</f>
        <v/>
      </c>
      <c r="O3406" s="10" t="n"/>
    </row>
    <row r="3407">
      <c r="B3407" s="7" t="n">
        <v>3405</v>
      </c>
      <c r="C3407" t="inlineStr">
        <is>
          <t>Contracting Specialist</t>
        </is>
      </c>
      <c r="D3407" t="inlineStr">
        <is>
          <t>Damen Song Cam Shipyard (Dscs)</t>
        </is>
      </c>
      <c r="E3407" t="inlineStr">
        <is>
          <t>Thương lượng</t>
        </is>
      </c>
      <c r="F3407" t="inlineStr">
        <is>
          <t>Hải Phòng</t>
        </is>
      </c>
      <c r="G3407" t="inlineStr">
        <is>
          <t>Nhân viên</t>
        </is>
      </c>
      <c r="H3407" t="inlineStr">
        <is>
          <t>11/02/2026</t>
        </is>
      </c>
      <c r="I3407" t="inlineStr">
        <is>
          <t>28/03/2026</t>
        </is>
      </c>
      <c r="J3407" t="inlineStr">
        <is>
          <t>17/03/2026</t>
        </is>
      </c>
      <c r="K3407" t="inlineStr">
        <is>
          <t>N/A</t>
        </is>
      </c>
      <c r="L3407" t="inlineStr">
        <is>
          <t>Contract Management, Analytical Skills, Data Management, Reporting, Document Management</t>
        </is>
      </c>
      <c r="M3407" t="inlineStr">
        <is>
          <t>Bonus, Healthcare Plan, Training</t>
        </is>
      </c>
      <c r="N3407" s="8">
        <f>HYPERLINK("https://www.vietnamworks.com/contracting-specialist-2011296-jv","Xem chi tiết")</f>
        <v/>
      </c>
    </row>
    <row r="3408">
      <c r="B3408" s="9" t="n">
        <v>3406</v>
      </c>
      <c r="C3408" s="10" t="inlineStr">
        <is>
          <t xml:space="preserve">Supplier Quality Engineer (Mechanical Parts) </t>
        </is>
      </c>
      <c r="D3408" s="10" t="inlineStr">
        <is>
          <t>VINFAST TRADING AND PRODUCTION JSC</t>
        </is>
      </c>
      <c r="E3408" s="10" t="inlineStr">
        <is>
          <t>$$ 800-1,500 /tháng</t>
        </is>
      </c>
      <c r="F3408" s="10" t="inlineStr">
        <is>
          <t>Hải Phòng</t>
        </is>
      </c>
      <c r="G3408" s="10" t="inlineStr">
        <is>
          <t>Nhân viên</t>
        </is>
      </c>
      <c r="H3408" s="10" t="inlineStr">
        <is>
          <t>11/02/2026</t>
        </is>
      </c>
      <c r="I3408" s="10" t="inlineStr">
        <is>
          <t>28/03/2026</t>
        </is>
      </c>
      <c r="J3408" s="10" t="inlineStr">
        <is>
          <t>17/03/2026</t>
        </is>
      </c>
      <c r="K3408" s="10" t="inlineStr">
        <is>
          <t>N/A</t>
        </is>
      </c>
      <c r="L3408" s="10" t="inlineStr">
        <is>
          <t>APQP, Automobile Quality System, Communication, Problem-solving, Supplier Assessment</t>
        </is>
      </c>
      <c r="M3408" s="10" t="inlineStr">
        <is>
          <t>Bonus, Healthcare Plan, Travel Opportunities</t>
        </is>
      </c>
      <c r="N3408" s="11">
        <f>HYPERLINK("https://www.vietnamworks.com/supplier-quality-engineer-mechanical-parts-2011297-jv","Xem chi tiết")</f>
        <v/>
      </c>
      <c r="O3408" s="10" t="n"/>
    </row>
    <row r="3409">
      <c r="B3409" s="7" t="n">
        <v>3407</v>
      </c>
      <c r="C3409" t="inlineStr">
        <is>
          <t>Chuyên Viên Cao Cấp Quản Lý Dự Án</t>
        </is>
      </c>
      <c r="D3409" t="inlineStr">
        <is>
          <t>Công Ty Cổ Phần Chứng Khoán SSI</t>
        </is>
      </c>
      <c r="E3409" t="inlineStr">
        <is>
          <t>Thương lượng</t>
        </is>
      </c>
      <c r="F3409" t="inlineStr">
        <is>
          <t>Hà Nội</t>
        </is>
      </c>
      <c r="G3409" t="inlineStr">
        <is>
          <t>Nhân viên</t>
        </is>
      </c>
      <c r="H3409" t="inlineStr">
        <is>
          <t>11/02/2026</t>
        </is>
      </c>
      <c r="I3409" t="inlineStr">
        <is>
          <t>28/03/2026</t>
        </is>
      </c>
      <c r="J3409" t="inlineStr">
        <is>
          <t>17/03/2026</t>
        </is>
      </c>
      <c r="K3409" t="inlineStr">
        <is>
          <t>N/A</t>
        </is>
      </c>
      <c r="L3409" t="inlineStr">
        <is>
          <t>Agile, Multitasking, Project magement, Stakeholder Mangement, Waterfall Project Management</t>
        </is>
      </c>
      <c r="M3409" t="inlineStr">
        <is>
          <t>Bonus, Healthcare Plan, Paid Leave, Training</t>
        </is>
      </c>
      <c r="N3409" s="8">
        <f>HYPERLINK("https://www.vietnamworks.com/chuyen-vien-cao-cap-quan-ly-du-an-2011295-jv","Xem chi tiết")</f>
        <v/>
      </c>
    </row>
    <row r="3410">
      <c r="B3410" s="9" t="n">
        <v>3408</v>
      </c>
      <c r="C3410" s="10" t="inlineStr">
        <is>
          <t>Business Development Manager/ Trưởng Phòng Phát Triển Kinh Doanh</t>
        </is>
      </c>
      <c r="D3410" s="10" t="inlineStr">
        <is>
          <t>Công Ty TNHH 4M Thành Viên Việt Nam</t>
        </is>
      </c>
      <c r="E3410" s="10" t="inlineStr">
        <is>
          <t>Từ 2,000 ₫/tháng</t>
        </is>
      </c>
      <c r="F3410" s="10" t="inlineStr">
        <is>
          <t>Hà Nội</t>
        </is>
      </c>
      <c r="G3410" s="10" t="inlineStr">
        <is>
          <t>Trưởng phòng</t>
        </is>
      </c>
      <c r="H3410" s="10" t="inlineStr">
        <is>
          <t>11/02/2026</t>
        </is>
      </c>
      <c r="I3410" s="10" t="inlineStr">
        <is>
          <t>28/03/2026</t>
        </is>
      </c>
      <c r="J3410" s="10" t="inlineStr">
        <is>
          <t>17/03/2026</t>
        </is>
      </c>
      <c r="K3410" s="10" t="inlineStr">
        <is>
          <t>N/A</t>
        </is>
      </c>
      <c r="L3410" s="10" t="inlineStr">
        <is>
          <t>Phát Triển Khách Hàng, Xây Dựng Mối Quan Hệ, Quản Lý Kinh Doanh, Tư Vấn Giám Sát, Lập Kế Hoạch Kinh Doanh</t>
        </is>
      </c>
      <c r="M3410" s="10" t="inlineStr">
        <is>
          <t>Bonus, Healthcare Plan, Awards</t>
        </is>
      </c>
      <c r="N3410" s="11">
        <f>HYPERLINK("https://www.vietnamworks.com/business-development-manager-truong-phong-phat-trien-kinh-doanh--2011299-jv","Xem chi tiết")</f>
        <v/>
      </c>
      <c r="O3410" s="10" t="n"/>
    </row>
    <row r="3411">
      <c r="B3411" s="7" t="n">
        <v>3409</v>
      </c>
      <c r="C3411" t="inlineStr">
        <is>
          <t>Trưởng Phòng Cung Ứng</t>
        </is>
      </c>
      <c r="D3411" t="inlineStr">
        <is>
          <t>Công Ty Cổ Phần Trang Trí Nội Thất Sen</t>
        </is>
      </c>
      <c r="E3411" t="inlineStr">
        <is>
          <t>Thương lượng</t>
        </is>
      </c>
      <c r="F3411" t="inlineStr">
        <is>
          <t>Hồ Chí Minh</t>
        </is>
      </c>
      <c r="G3411" t="inlineStr">
        <is>
          <t>Trưởng phòng</t>
        </is>
      </c>
      <c r="H3411" t="inlineStr">
        <is>
          <t>11/02/2026</t>
        </is>
      </c>
      <c r="I3411" t="inlineStr">
        <is>
          <t>28/03/2026</t>
        </is>
      </c>
      <c r="J3411" t="inlineStr">
        <is>
          <t>17/03/2026</t>
        </is>
      </c>
      <c r="K3411" t="inlineStr">
        <is>
          <t>N/A</t>
        </is>
      </c>
      <c r="L3411" t="inlineStr">
        <is>
          <t>Giao Tiếp Tiếng Anh, Nội Thất, Quản Lý Mua Hàng, Quản Lý Nhà Cung Cấp, Quản Lý Đơn Hàng</t>
        </is>
      </c>
      <c r="M3411" t="inlineStr">
        <is>
          <t>Bonus, Healthcare Plan, Team Activities</t>
        </is>
      </c>
      <c r="N3411" s="8">
        <f>HYPERLINK("https://www.vietnamworks.com/truong-phong-cung-ung-2011304-jv","Xem chi tiết")</f>
        <v/>
      </c>
    </row>
    <row r="3412">
      <c r="B3412" s="9" t="n">
        <v>3410</v>
      </c>
      <c r="C3412" s="10" t="inlineStr">
        <is>
          <t>Giám Đốc Nhân Sự</t>
        </is>
      </c>
      <c r="D3412" s="10" t="inlineStr">
        <is>
          <t>Công Ty Cổ Phần Trang Trí Nội Thất Sen</t>
        </is>
      </c>
      <c r="E3412" s="10" t="inlineStr">
        <is>
          <t>Thương lượng</t>
        </is>
      </c>
      <c r="F3412" s="10" t="inlineStr">
        <is>
          <t>Hồ Chí Minh</t>
        </is>
      </c>
      <c r="G3412" s="10" t="inlineStr">
        <is>
          <t>Giám Đốc và Cấp Cao Hơn</t>
        </is>
      </c>
      <c r="H3412" s="10" t="inlineStr">
        <is>
          <t>11/02/2026</t>
        </is>
      </c>
      <c r="I3412" s="10" t="inlineStr">
        <is>
          <t>28/03/2026</t>
        </is>
      </c>
      <c r="J3412" s="10" t="inlineStr">
        <is>
          <t>17/03/2026</t>
        </is>
      </c>
      <c r="K3412" s="10" t="inlineStr">
        <is>
          <t>N/A</t>
        </is>
      </c>
      <c r="L3412" s="10" t="inlineStr">
        <is>
          <t>HR, Lãnh Đạo, Luật Lao Động, Tuyển Dụng, Xây Dựng Chiến Lược</t>
        </is>
      </c>
      <c r="M3412" s="10" t="inlineStr">
        <is>
          <t>Bonus, Healthcare Plan, Training, Travel Opportunities, Team Activities</t>
        </is>
      </c>
      <c r="N3412" s="11">
        <f>HYPERLINK("https://www.vietnamworks.com/giam-djoc-nhan-su-2011306-jv","Xem chi tiết")</f>
        <v/>
      </c>
      <c r="O3412" s="10" t="n"/>
    </row>
    <row r="3413">
      <c r="B3413" s="7" t="n">
        <v>3411</v>
      </c>
      <c r="C3413" t="inlineStr">
        <is>
          <t>Giám Sát Siêu Thị (MT Supervisor)</t>
        </is>
      </c>
      <c r="D3413" t="inlineStr">
        <is>
          <t>Công Ty Cổ Phần Sữa Việt Nam (Vinamilk)</t>
        </is>
      </c>
      <c r="E3413" t="inlineStr">
        <is>
          <t>Thương lượng</t>
        </is>
      </c>
      <c r="F3413" t="inlineStr">
        <is>
          <t>Hà Nội, Hồ Chí Minh</t>
        </is>
      </c>
      <c r="G3413" t="inlineStr">
        <is>
          <t>Trưởng phòng</t>
        </is>
      </c>
      <c r="H3413" t="inlineStr">
        <is>
          <t>11/02/2026</t>
        </is>
      </c>
      <c r="I3413" t="inlineStr">
        <is>
          <t>28/03/2026</t>
        </is>
      </c>
      <c r="J3413" t="inlineStr">
        <is>
          <t>17/03/2026</t>
        </is>
      </c>
      <c r="K3413" t="inlineStr">
        <is>
          <t>N/A</t>
        </is>
      </c>
      <c r="L3413" t="inlineStr">
        <is>
          <t>Modern Trade Planning, Merchandise Management</t>
        </is>
      </c>
      <c r="M3413" t="inlineStr">
        <is>
          <t>Bonus, Healthcare Plan, Paid Leave</t>
        </is>
      </c>
      <c r="N3413" s="8">
        <f>HYPERLINK("https://www.vietnamworks.com/giam-sat-sieu-thi-mt-supervisor--2011302-jv","Xem chi tiết")</f>
        <v/>
      </c>
    </row>
    <row r="3414">
      <c r="B3414" s="9" t="n">
        <v>3412</v>
      </c>
      <c r="C3414" s="10" t="inlineStr">
        <is>
          <t>Kế Toán Tổng Hợp (Ưu Tiên Biết Tiếng Trung)</t>
        </is>
      </c>
      <c r="D3414" s="10" t="inlineStr">
        <is>
          <t>CÔNG TY TNHH QUẢN LÝ DỊCH VỤ ĂN UỐNG HƯNG THỊNH</t>
        </is>
      </c>
      <c r="E3414" s="10" t="inlineStr">
        <is>
          <t>18tr-25tr ₫/tháng</t>
        </is>
      </c>
      <c r="F3414" s="10" t="inlineStr">
        <is>
          <t>Hồ Chí Minh</t>
        </is>
      </c>
      <c r="G3414" s="10" t="inlineStr">
        <is>
          <t>Nhân viên</t>
        </is>
      </c>
      <c r="H3414" s="10" t="inlineStr">
        <is>
          <t>11/02/2026</t>
        </is>
      </c>
      <c r="I3414" s="10" t="inlineStr">
        <is>
          <t>28/03/2026</t>
        </is>
      </c>
      <c r="J3414" s="10" t="inlineStr">
        <is>
          <t>17/03/2026</t>
        </is>
      </c>
      <c r="K3414" s="10" t="inlineStr">
        <is>
          <t>N/A</t>
        </is>
      </c>
      <c r="L3414" s="10" t="inlineStr">
        <is>
          <t>Kế Toán, FnB, General Accountant, Excel, Kế Toán Tổng Hợp</t>
        </is>
      </c>
      <c r="M3414" s="10" t="inlineStr">
        <is>
          <t>Bonus, Healthcare Plan, Team Activities, Others</t>
        </is>
      </c>
      <c r="N3414" s="11">
        <f>HYPERLINK("https://www.vietnamworks.com/ke-toan-tong-hop-uu-tien-biet-tieng-trung-2011319-jv","Xem chi tiết")</f>
        <v/>
      </c>
      <c r="O3414" s="10" t="n"/>
    </row>
    <row r="3415">
      <c r="B3415" s="7" t="n">
        <v>3413</v>
      </c>
      <c r="C3415" t="inlineStr">
        <is>
          <t>Billing Associate | Global Clear Career Path</t>
        </is>
      </c>
      <c r="D3415" t="inlineStr">
        <is>
          <t>First Trust ACPA Vietnam CO., LTD</t>
        </is>
      </c>
      <c r="E3415" t="inlineStr">
        <is>
          <t>Thương lượng</t>
        </is>
      </c>
      <c r="F3415" t="inlineStr">
        <is>
          <t>Hà Nội</t>
        </is>
      </c>
      <c r="G3415" t="inlineStr">
        <is>
          <t>Mới Tốt Nghiệp</t>
        </is>
      </c>
      <c r="H3415" t="inlineStr">
        <is>
          <t>11/02/2026</t>
        </is>
      </c>
      <c r="I3415" t="inlineStr">
        <is>
          <t>28/03/2026</t>
        </is>
      </c>
      <c r="J3415" t="inlineStr">
        <is>
          <t>17/03/2026</t>
        </is>
      </c>
      <c r="K3415" t="inlineStr">
        <is>
          <t>N/A</t>
        </is>
      </c>
      <c r="L3415" t="inlineStr">
        <is>
          <t>Accounting, Analytical Skills, Attention To Detail, English proficiency, Microsoft Excel</t>
        </is>
      </c>
      <c r="M3415" t="inlineStr">
        <is>
          <t>Bonus, Paid Leave, Team Activities</t>
        </is>
      </c>
      <c r="N3415" s="8">
        <f>HYPERLINK("https://www.vietnamworks.com/billing-associate-or-global-clear-career-path-2011315-jv","Xem chi tiết")</f>
        <v/>
      </c>
    </row>
    <row r="3416">
      <c r="B3416" s="9" t="n">
        <v>3414</v>
      </c>
      <c r="C3416" s="10" t="inlineStr">
        <is>
          <t>Trưởng Bộ Phận Quản Lý Vật Tư (Xây Dựng)</t>
        </is>
      </c>
      <c r="D3416" s="10" t="inlineStr">
        <is>
          <t>Công ty CPPT &amp; ĐT Xây dựng VinCons</t>
        </is>
      </c>
      <c r="E3416" s="10" t="inlineStr">
        <is>
          <t>Thương lượng</t>
        </is>
      </c>
      <c r="F3416" s="10" t="inlineStr">
        <is>
          <t>Hưng Yên</t>
        </is>
      </c>
      <c r="G3416" s="10" t="inlineStr">
        <is>
          <t>Trưởng phòng</t>
        </is>
      </c>
      <c r="H3416" s="10" t="inlineStr">
        <is>
          <t>11/02/2026</t>
        </is>
      </c>
      <c r="I3416" s="10" t="inlineStr">
        <is>
          <t>28/03/2026</t>
        </is>
      </c>
      <c r="J3416" s="10" t="inlineStr">
        <is>
          <t>17/03/2026</t>
        </is>
      </c>
      <c r="K3416" s="10" t="inlineStr">
        <is>
          <t>N/A</t>
        </is>
      </c>
      <c r="L3416" s="10" t="inlineStr">
        <is>
          <t>Vật Tư Thiết Bị, Cung Ứng Vật Tư Xây Dựng, Mua Hàng, Xây Dựng, Xây Dựng Dân Dụng</t>
        </is>
      </c>
      <c r="M3416" s="10" t="inlineStr">
        <is>
          <t>Bonus, Training, Transportation</t>
        </is>
      </c>
      <c r="N3416" s="11">
        <f>HYPERLINK("https://www.vietnamworks.com/truong-bo-phan-quan-ly-vat-tu-xay-dung-2011318-jv","Xem chi tiết")</f>
        <v/>
      </c>
      <c r="O3416" s="10" t="n"/>
    </row>
    <row r="3417">
      <c r="B3417" s="7" t="n">
        <v>3415</v>
      </c>
      <c r="C3417" t="inlineStr">
        <is>
          <t>Chuyên Viên Kế Toán Tổng Hợp</t>
        </is>
      </c>
      <c r="D3417" t="inlineStr">
        <is>
          <t>Công Ty Cổ phần TAJ Việt Nam</t>
        </is>
      </c>
      <c r="E3417" t="inlineStr">
        <is>
          <t>16tr-21tr ₫/tháng</t>
        </is>
      </c>
      <c r="F3417" t="inlineStr">
        <is>
          <t>Hà Nội</t>
        </is>
      </c>
      <c r="G3417" t="inlineStr">
        <is>
          <t>Nhân viên</t>
        </is>
      </c>
      <c r="H3417" t="inlineStr">
        <is>
          <t>11/02/2026</t>
        </is>
      </c>
      <c r="I3417" t="inlineStr">
        <is>
          <t>28/03/2026</t>
        </is>
      </c>
      <c r="J3417" t="inlineStr">
        <is>
          <t>17/03/2026</t>
        </is>
      </c>
      <c r="K3417" t="inlineStr">
        <is>
          <t>N/A</t>
        </is>
      </c>
      <c r="L3417" t="inlineStr">
        <is>
          <t>Misa, Báo Cáo Tài Chính, Kiểm toán, Phân Tích Số Liệu, Quyết Toán Thuế</t>
        </is>
      </c>
      <c r="M3417" t="inlineStr">
        <is>
          <t>Bonus, Healthcare Plan, Paid Leave, Training, Others</t>
        </is>
      </c>
      <c r="N3417" s="8">
        <f>HYPERLINK("https://www.vietnamworks.com/chuyen-vien-ke-toan-tong-hop-2011317-jv","Xem chi tiết")</f>
        <v/>
      </c>
    </row>
    <row r="3418">
      <c r="B3418" s="9" t="n">
        <v>3416</v>
      </c>
      <c r="C3418" s="10" t="inlineStr">
        <is>
          <t>Chuyên Viên Cao Cấp Nguồn Vốn</t>
        </is>
      </c>
      <c r="D3418" s="10" t="inlineStr">
        <is>
          <t>Công Ty Cổ Phần Chứng Khoán Dầu Khí (Psi)</t>
        </is>
      </c>
      <c r="E3418" s="10" t="inlineStr">
        <is>
          <t>Thương lượng</t>
        </is>
      </c>
      <c r="F3418" s="10" t="inlineStr">
        <is>
          <t>Hà Nội</t>
        </is>
      </c>
      <c r="G3418" s="10" t="inlineStr">
        <is>
          <t>Nhân viên</t>
        </is>
      </c>
      <c r="H3418" s="10" t="inlineStr">
        <is>
          <t>11/02/2026</t>
        </is>
      </c>
      <c r="I3418" s="10" t="inlineStr">
        <is>
          <t>28/03/2026</t>
        </is>
      </c>
      <c r="J3418" s="10" t="inlineStr">
        <is>
          <t>17/03/2026</t>
        </is>
      </c>
      <c r="K3418" s="10" t="inlineStr">
        <is>
          <t>N/A</t>
        </is>
      </c>
      <c r="L3418" s="10" t="inlineStr">
        <is>
          <t>Tài Chính, Chứng Khoán Đầu Tư, Quản Lý Nguồn Vốn, Quản Trị Nguồn Vốn, Đầu Tư</t>
        </is>
      </c>
      <c r="M3418" s="10" t="inlineStr">
        <is>
          <t>Bonus, Healthcare Plan, Paid Leave, Training, Others</t>
        </is>
      </c>
      <c r="N3418" s="11">
        <f>HYPERLINK("https://www.vietnamworks.com/chuyen-vien-cao-cap-nguon-von-2011328-jv","Xem chi tiết")</f>
        <v/>
      </c>
      <c r="O3418" s="10" t="n"/>
    </row>
    <row r="3419">
      <c r="B3419" s="7" t="n">
        <v>3417</v>
      </c>
      <c r="C3419" t="inlineStr">
        <is>
          <t>Project Sales (Electrical Field)</t>
        </is>
      </c>
      <c r="D3419" t="inlineStr">
        <is>
          <t>LS Electric Viet Nam LTD.</t>
        </is>
      </c>
      <c r="E3419" t="inlineStr">
        <is>
          <t>Thương lượng</t>
        </is>
      </c>
      <c r="F3419" t="inlineStr">
        <is>
          <t>Hồ Chí Minh</t>
        </is>
      </c>
      <c r="G3419" t="inlineStr">
        <is>
          <t>Nhân viên</t>
        </is>
      </c>
      <c r="H3419" t="inlineStr">
        <is>
          <t>11/02/2026</t>
        </is>
      </c>
      <c r="I3419" t="inlineStr">
        <is>
          <t>28/03/2026</t>
        </is>
      </c>
      <c r="J3419" t="inlineStr">
        <is>
          <t>17/03/2026</t>
        </is>
      </c>
      <c r="K3419" t="inlineStr">
        <is>
          <t>N/A</t>
        </is>
      </c>
      <c r="L3419" t="inlineStr">
        <is>
          <t>Electrical, Interpersonal Skills, Sales Development, Technical Commercial</t>
        </is>
      </c>
      <c r="M3419" t="inlineStr">
        <is>
          <t>Bonus, Healthcare Plan, Paid Leave, Others</t>
        </is>
      </c>
      <c r="N3419" s="8">
        <f>HYPERLINK("https://www.vietnamworks.com/project-sales-electrical-field-2011333-jv","Xem chi tiết")</f>
        <v/>
      </c>
    </row>
    <row r="3420">
      <c r="B3420" s="9" t="n">
        <v>3418</v>
      </c>
      <c r="C3420" s="10" t="inlineStr">
        <is>
          <t>Product Policy Executive</t>
        </is>
      </c>
      <c r="D3420" s="10" t="inlineStr">
        <is>
          <t>Shinhan Vietnam Finance Company Limited</t>
        </is>
      </c>
      <c r="E3420" s="10" t="inlineStr">
        <is>
          <t>Thương lượng</t>
        </is>
      </c>
      <c r="F3420" s="10" t="inlineStr">
        <is>
          <t>Hồ Chí Minh</t>
        </is>
      </c>
      <c r="G3420" s="10" t="inlineStr">
        <is>
          <t>Nhân viên</t>
        </is>
      </c>
      <c r="H3420" s="10" t="inlineStr">
        <is>
          <t>11/02/2026</t>
        </is>
      </c>
      <c r="I3420" s="10" t="inlineStr">
        <is>
          <t>28/03/2026</t>
        </is>
      </c>
      <c r="J3420" s="10" t="inlineStr">
        <is>
          <t>17/03/2026</t>
        </is>
      </c>
      <c r="K3420" s="10" t="inlineStr">
        <is>
          <t>N/A</t>
        </is>
      </c>
      <c r="L3420" s="10" t="inlineStr">
        <is>
          <t>Product Policy, Product Innovation, Product Planning, Product Testing, Finance &amp; Banking</t>
        </is>
      </c>
      <c r="M3420" s="10" t="inlineStr">
        <is>
          <t>Bonus, Healthcare Plan, Paid Leave</t>
        </is>
      </c>
      <c r="N3420" s="11">
        <f>HYPERLINK("https://www.vietnamworks.com/product-policy-executive--2011327-jv","Xem chi tiết")</f>
        <v/>
      </c>
      <c r="O3420" s="10" t="n"/>
    </row>
    <row r="3421">
      <c r="B3421" s="7" t="n">
        <v>3419</v>
      </c>
      <c r="C3421" t="inlineStr">
        <is>
          <t>Kỹ Sư Kinh Doanh và Dịch Vụ Kỹ Thuật (Sales &amp; Service Engineer) - Lương Cơ Bản Từ 12 Triệu + Thưởng Theo Doanh Số</t>
        </is>
      </c>
      <c r="D3421" t="inlineStr">
        <is>
          <t>Công Ty TNHH Thương Mại Và Giải Pháp Tự Động Hóa Việt Nam (Vatcom Co.,ltd)</t>
        </is>
      </c>
      <c r="E3421" t="inlineStr">
        <is>
          <t>12tr-15tr ₫/tháng</t>
        </is>
      </c>
      <c r="F3421" t="inlineStr">
        <is>
          <t>Hà Nội</t>
        </is>
      </c>
      <c r="G3421" t="inlineStr">
        <is>
          <t>Nhân viên</t>
        </is>
      </c>
      <c r="H3421" t="inlineStr">
        <is>
          <t>11/02/2026</t>
        </is>
      </c>
      <c r="I3421" t="inlineStr">
        <is>
          <t>28/03/2026</t>
        </is>
      </c>
      <c r="J3421" t="inlineStr">
        <is>
          <t>17/03/2026</t>
        </is>
      </c>
      <c r="K3421" t="inlineStr">
        <is>
          <t>N/A</t>
        </is>
      </c>
      <c r="L3421" t="inlineStr">
        <is>
          <t>Thiết Bị Đo Lường, Tư Vấn Bán Hàng, Field Instrument Maintenance, Field Services, Site Commissioning</t>
        </is>
      </c>
      <c r="M3421" t="inlineStr">
        <is>
          <t>Bonus, Healthcare Plan, Training, Laptop, Others</t>
        </is>
      </c>
      <c r="N3421" s="8">
        <f>HYPERLINK("https://www.vietnamworks.com/ky-su-kinh-doanh-va-dich-vu-ky-thuat-sales-and-service-engineer-luong-co-ban-tu-12-trieu-thuong-theo-doanh-so-2011308-jv","Xem chi tiết")</f>
        <v/>
      </c>
    </row>
    <row r="3422">
      <c r="B3422" s="9" t="n">
        <v>3420</v>
      </c>
      <c r="C3422" s="10" t="inlineStr">
        <is>
          <t>Senior Telesales Team Leader (Lương Upto $3,000)</t>
        </is>
      </c>
      <c r="D3422" s="10" t="inlineStr">
        <is>
          <t>CÔNG TY TNHH HELLOWORLD ONLINE EDUCATION VIETNAM</t>
        </is>
      </c>
      <c r="E3422" s="10" t="inlineStr">
        <is>
          <t>$$ 1,200-3,000 /tháng</t>
        </is>
      </c>
      <c r="F3422" s="10" t="inlineStr">
        <is>
          <t>Hồ Chí Minh</t>
        </is>
      </c>
      <c r="G3422" s="10" t="inlineStr">
        <is>
          <t>Nhân viên</t>
        </is>
      </c>
      <c r="H3422" s="10" t="inlineStr">
        <is>
          <t>11/02/2026</t>
        </is>
      </c>
      <c r="I3422" s="10" t="inlineStr">
        <is>
          <t>28/03/2026</t>
        </is>
      </c>
      <c r="J3422" s="10" t="inlineStr">
        <is>
          <t>17/03/2026</t>
        </is>
      </c>
      <c r="K3422" s="10" t="inlineStr">
        <is>
          <t>N/A</t>
        </is>
      </c>
      <c r="L3422" s="10" t="inlineStr">
        <is>
          <t>Quản Lý Kinh Doanh, Tư Vấn Tuyển Sinh, Tư Vấn Giáo Dục, sales giáo dục, Education Sales</t>
        </is>
      </c>
      <c r="M3422" s="10" t="inlineStr">
        <is>
          <t>Paid Leave, Training, Awards, Laptop, Team Activities, Others</t>
        </is>
      </c>
      <c r="N3422" s="11">
        <f>HYPERLINK("https://www.vietnamworks.com/senior-telesales-team-leader-luong-upto-3-000-2011310-jv","Xem chi tiết")</f>
        <v/>
      </c>
      <c r="O3422" s="10" t="n"/>
    </row>
    <row r="3423">
      <c r="B3423" s="7" t="n">
        <v>3421</v>
      </c>
      <c r="C3423" t="inlineStr">
        <is>
          <t>Nhân Viên Kỹ Thuật</t>
        </is>
      </c>
      <c r="D3423" t="inlineStr">
        <is>
          <t>Công Ty Cổ Phần Nước Sạch Hà Nam</t>
        </is>
      </c>
      <c r="E3423" t="inlineStr">
        <is>
          <t>11tr-15tr ₫/tháng</t>
        </is>
      </c>
      <c r="F3423" t="inlineStr">
        <is>
          <t>Hà Nội, Hà Nam</t>
        </is>
      </c>
      <c r="G3423" t="inlineStr">
        <is>
          <t>Nhân viên</t>
        </is>
      </c>
      <c r="H3423" t="inlineStr">
        <is>
          <t>11/02/2026</t>
        </is>
      </c>
      <c r="I3423" t="inlineStr">
        <is>
          <t>28/03/2026</t>
        </is>
      </c>
      <c r="J3423" t="inlineStr">
        <is>
          <t>17/03/2026</t>
        </is>
      </c>
      <c r="K3423" t="inlineStr">
        <is>
          <t>N/A</t>
        </is>
      </c>
      <c r="L3423" t="inlineStr">
        <is>
          <t>AutoCAD, Giám Sát Thi Công, Kỹ Thuật Xây Dựng, Lập Dự Toán, Nghiệm Thu Xây Dựng</t>
        </is>
      </c>
      <c r="M3423" t="inlineStr">
        <is>
          <t>Bonus, Healthcare Plan, Training</t>
        </is>
      </c>
      <c r="N3423" s="8">
        <f>HYPERLINK("https://www.vietnamworks.com/nhan-vien-ky-thuat-2011329-jv","Xem chi tiết")</f>
        <v/>
      </c>
    </row>
    <row r="3424">
      <c r="B3424" s="9" t="n">
        <v>3422</v>
      </c>
      <c r="C3424" s="10" t="inlineStr">
        <is>
          <t>Trưởng Nhóm Đào Tạo</t>
        </is>
      </c>
      <c r="D3424" s="10" t="inlineStr">
        <is>
          <t>Công Ty Cổ Phần Trang Trí Nội Thất Sen</t>
        </is>
      </c>
      <c r="E3424" s="10" t="inlineStr">
        <is>
          <t>Thương lượng</t>
        </is>
      </c>
      <c r="F3424" s="10" t="inlineStr">
        <is>
          <t>Hồ Chí Minh</t>
        </is>
      </c>
      <c r="G3424" s="10" t="inlineStr">
        <is>
          <t>Trưởng phòng</t>
        </is>
      </c>
      <c r="H3424" s="10" t="inlineStr">
        <is>
          <t>11/02/2026</t>
        </is>
      </c>
      <c r="I3424" s="10" t="inlineStr">
        <is>
          <t>28/03/2026</t>
        </is>
      </c>
      <c r="J3424" s="10" t="inlineStr">
        <is>
          <t>17/03/2026</t>
        </is>
      </c>
      <c r="K3424" s="10" t="inlineStr">
        <is>
          <t>N/A</t>
        </is>
      </c>
      <c r="L3424" s="10" t="inlineStr">
        <is>
          <t>Lập Kế Hoạch Đào Tạo, Soạn Thảo Bài Giảng, Thuyết Trình, Truyền Cảm Hứng, Đào Tạo Nội Bộ</t>
        </is>
      </c>
      <c r="M3424" s="10" t="inlineStr">
        <is>
          <t>Bonus, Healthcare Plan, Training, Travel Opportunities, Team Activities</t>
        </is>
      </c>
      <c r="N3424" s="11">
        <f>HYPERLINK("https://www.vietnamworks.com/truong-nhom-djao-tao-2011309-jv","Xem chi tiết")</f>
        <v/>
      </c>
      <c r="O3424" s="10" t="n"/>
    </row>
    <row r="3425">
      <c r="B3425" s="7" t="n">
        <v>3423</v>
      </c>
      <c r="C3425" t="inlineStr">
        <is>
          <t>Trợ Lý Tư Vấn Phần Mềm ERP</t>
        </is>
      </c>
      <c r="D3425" t="inlineStr">
        <is>
          <t>Yonyou Network Technology Co., Ltd</t>
        </is>
      </c>
      <c r="E3425" t="inlineStr">
        <is>
          <t>15tr-25tr ₫/tháng</t>
        </is>
      </c>
      <c r="F3425" t="inlineStr">
        <is>
          <t>Hồ Chí Minh</t>
        </is>
      </c>
      <c r="G3425" t="inlineStr">
        <is>
          <t>Nhân viên</t>
        </is>
      </c>
      <c r="H3425" t="inlineStr">
        <is>
          <t>11/02/2026</t>
        </is>
      </c>
      <c r="I3425" t="inlineStr">
        <is>
          <t>28/03/2026</t>
        </is>
      </c>
      <c r="J3425" t="inlineStr">
        <is>
          <t>17/03/2026</t>
        </is>
      </c>
      <c r="K3425" t="inlineStr">
        <is>
          <t>N/A</t>
        </is>
      </c>
      <c r="L3425" t="inlineStr">
        <is>
          <t>Accounting, ERP Systems, Human Resources, SQL, Teamwork</t>
        </is>
      </c>
      <c r="M3425" t="inlineStr">
        <is>
          <t>Healthcare Plan, Team Activities, Canteen, Others</t>
        </is>
      </c>
      <c r="N3425" s="8">
        <f>HYPERLINK("https://www.vietnamworks.com/tro-ly-tu-van-phan-mem-erp-2011331-jv","Xem chi tiết")</f>
        <v/>
      </c>
    </row>
    <row r="3426">
      <c r="B3426" s="9" t="n">
        <v>3424</v>
      </c>
      <c r="C3426" s="10" t="inlineStr">
        <is>
          <t>Associate Business Development (HCMC and Hanoi)</t>
        </is>
      </c>
      <c r="D3426" s="10" t="inlineStr">
        <is>
          <t>CLO Virtual Fashion</t>
        </is>
      </c>
      <c r="E3426" s="10" t="inlineStr">
        <is>
          <t>Thương lượng</t>
        </is>
      </c>
      <c r="F3426" s="10" t="inlineStr">
        <is>
          <t>Hà Nội, Hồ Chí Minh</t>
        </is>
      </c>
      <c r="G3426" s="10" t="inlineStr">
        <is>
          <t>Nhân viên</t>
        </is>
      </c>
      <c r="H3426" s="10" t="inlineStr">
        <is>
          <t>11/02/2026</t>
        </is>
      </c>
      <c r="I3426" s="10" t="inlineStr">
        <is>
          <t>28/03/2026</t>
        </is>
      </c>
      <c r="J3426" s="10" t="inlineStr">
        <is>
          <t>17/03/2026</t>
        </is>
      </c>
      <c r="K3426" s="10" t="inlineStr">
        <is>
          <t>N/A</t>
        </is>
      </c>
      <c r="L3426" s="10" t="inlineStr">
        <is>
          <t>Business Development, Apparel, Fashion, Marketing, Technology</t>
        </is>
      </c>
      <c r="M3426" s="10" t="inlineStr">
        <is>
          <t>Bonus, Healthcare Plan, Paid Leave, Laptop, Team Activities, Others</t>
        </is>
      </c>
      <c r="N3426" s="11">
        <f>HYPERLINK("https://www.vietnamworks.com/associate-business-development-hcmc-and-hanoi-2011320-jv","Xem chi tiết")</f>
        <v/>
      </c>
      <c r="O3426" s="10" t="n"/>
    </row>
    <row r="3427">
      <c r="B3427" s="7" t="n">
        <v>3425</v>
      </c>
      <c r="C3427" t="inlineStr">
        <is>
          <t>Trưởng Nhóm Kiểm Soát Nội Bộ</t>
        </is>
      </c>
      <c r="D3427" t="inlineStr">
        <is>
          <t>EuP Group</t>
        </is>
      </c>
      <c r="E3427" t="inlineStr">
        <is>
          <t>30tr-35tr ₫/tháng</t>
        </is>
      </c>
      <c r="F3427" t="inlineStr">
        <is>
          <t>Hà Nội</t>
        </is>
      </c>
      <c r="G3427" t="inlineStr">
        <is>
          <t>Nhân viên</t>
        </is>
      </c>
      <c r="H3427" t="inlineStr">
        <is>
          <t>11/02/2026</t>
        </is>
      </c>
      <c r="I3427" t="inlineStr">
        <is>
          <t>28/03/2026</t>
        </is>
      </c>
      <c r="J3427" t="inlineStr">
        <is>
          <t>17/03/2026</t>
        </is>
      </c>
      <c r="K3427" t="inlineStr">
        <is>
          <t>N/A</t>
        </is>
      </c>
      <c r="L3427" t="inlineStr">
        <is>
          <t>Kiểm Soát Nội Bộ, Tài Chính, Kiểm Toán Nội Bộ, Báo Cáo Tài Chính, Audit Process</t>
        </is>
      </c>
      <c r="M3427" t="inlineStr">
        <is>
          <t>Bonus, Healthcare Plan, Paid Leave</t>
        </is>
      </c>
      <c r="N3427" s="8">
        <f>HYPERLINK("https://www.vietnamworks.com/truong-nhom-kiem-soat-noi-bo--2011323-jv","Xem chi tiết")</f>
        <v/>
      </c>
    </row>
    <row r="3428">
      <c r="B3428" s="9" t="n">
        <v>3426</v>
      </c>
      <c r="C3428" s="10" t="inlineStr">
        <is>
          <t>[Ho Chi Minh] Airport Customer Service Representative</t>
        </is>
      </c>
      <c r="D3428" s="10" t="inlineStr">
        <is>
          <t>Ticket Office Of STARLUX Airlines Co., Ltd. in Ho Chi Minh City</t>
        </is>
      </c>
      <c r="E3428" s="10" t="inlineStr">
        <is>
          <t>Thương lượng</t>
        </is>
      </c>
      <c r="F3428" s="10" t="inlineStr">
        <is>
          <t>Hồ Chí Minh</t>
        </is>
      </c>
      <c r="G3428" s="10" t="inlineStr">
        <is>
          <t>Nhân viên</t>
        </is>
      </c>
      <c r="H3428" s="10" t="inlineStr">
        <is>
          <t>11/02/2026</t>
        </is>
      </c>
      <c r="I3428" s="10" t="inlineStr">
        <is>
          <t>28/03/2026</t>
        </is>
      </c>
      <c r="J3428" s="10" t="inlineStr">
        <is>
          <t>17/03/2026</t>
        </is>
      </c>
      <c r="K3428" s="10" t="inlineStr">
        <is>
          <t>N/A</t>
        </is>
      </c>
      <c r="L3428" s="10" t="inlineStr">
        <is>
          <t>Airport Management, Aviation Experience, Customer Care, Customer Support, Ground Operation</t>
        </is>
      </c>
      <c r="M3428" s="10" t="inlineStr">
        <is>
          <t>Paid Leave, Training, Travel Opportunities</t>
        </is>
      </c>
      <c r="N3428" s="11">
        <f>HYPERLINK("https://www.vietnamworks.com/ho-chi-minh-airport-customer-service-representative-2011324-jv","Xem chi tiết")</f>
        <v/>
      </c>
      <c r="O3428" s="10" t="n"/>
    </row>
    <row r="3429">
      <c r="B3429" s="7" t="n">
        <v>3427</v>
      </c>
      <c r="C3429" t="inlineStr">
        <is>
          <t>Trưởng Phòng Sản Xuất &amp; Quản Lý Vận Hành</t>
        </is>
      </c>
      <c r="D3429" t="inlineStr">
        <is>
          <t>Công Ty Cổ Phần Sản Xuất TLG Việt Nam</t>
        </is>
      </c>
      <c r="E3429" t="inlineStr">
        <is>
          <t>Thương lượng</t>
        </is>
      </c>
      <c r="F3429" t="inlineStr">
        <is>
          <t>Thái Bình</t>
        </is>
      </c>
      <c r="G3429" t="inlineStr">
        <is>
          <t>Trưởng phòng</t>
        </is>
      </c>
      <c r="H3429" t="inlineStr">
        <is>
          <t>11/02/2026</t>
        </is>
      </c>
      <c r="I3429" t="inlineStr">
        <is>
          <t>28/03/2026</t>
        </is>
      </c>
      <c r="J3429" t="inlineStr">
        <is>
          <t>17/03/2026</t>
        </is>
      </c>
      <c r="K3429" t="inlineStr">
        <is>
          <t>N/A</t>
        </is>
      </c>
      <c r="L3429" t="inlineStr">
        <is>
          <t>An Toàn Sức Khỏe Môi Trường, Kiểm Soát Chất Lượng, Lập Kế Hoạch Sản Xuất, Quản Lý Sản Xuất, Sản Xuất Sơn</t>
        </is>
      </c>
      <c r="M3429" t="inlineStr">
        <is>
          <t>Others</t>
        </is>
      </c>
      <c r="N3429" s="8">
        <f>HYPERLINK("https://www.vietnamworks.com/truong-phong-san-xuat-and-quan-ly-van-hanh-2011312-jv","Xem chi tiết")</f>
        <v/>
      </c>
    </row>
    <row r="3430">
      <c r="B3430" s="9" t="n">
        <v>3428</v>
      </c>
      <c r="C3430" s="10" t="inlineStr">
        <is>
          <t>Quality Management Assistant cum Engineering Admin</t>
        </is>
      </c>
      <c r="D3430" s="10" t="inlineStr">
        <is>
          <t>Yokogawa Vietnam Company Limited</t>
        </is>
      </c>
      <c r="E3430" s="10" t="inlineStr">
        <is>
          <t>Thương lượng</t>
        </is>
      </c>
      <c r="F3430" s="10" t="inlineStr">
        <is>
          <t>Hà Nội</t>
        </is>
      </c>
      <c r="G3430" s="10" t="inlineStr">
        <is>
          <t>Nhân viên</t>
        </is>
      </c>
      <c r="H3430" s="10" t="inlineStr">
        <is>
          <t>11/02/2026</t>
        </is>
      </c>
      <c r="I3430" s="10" t="inlineStr">
        <is>
          <t>28/03/2026</t>
        </is>
      </c>
      <c r="J3430" s="10" t="inlineStr">
        <is>
          <t>17/03/2026</t>
        </is>
      </c>
      <c r="K3430" s="10" t="inlineStr">
        <is>
          <t>N/A</t>
        </is>
      </c>
      <c r="L3430" s="10" t="inlineStr">
        <is>
          <t>Quality Management, ISO, ISO 9001, Quản Lý Chất Lượng, Kỹ Thuật</t>
        </is>
      </c>
      <c r="M3430" s="10" t="inlineStr">
        <is>
          <t>Bonus, Healthcare Plan, Travel Opportunities</t>
        </is>
      </c>
      <c r="N3430" s="11">
        <f>HYPERLINK("https://www.vietnamworks.com/quality-management-assistant-cum-engineering-admin-2011325-jv","Xem chi tiết")</f>
        <v/>
      </c>
      <c r="O3430" s="10" t="n"/>
    </row>
    <row r="3431">
      <c r="B3431" s="7" t="n">
        <v>3429</v>
      </c>
      <c r="C3431" t="inlineStr">
        <is>
          <t>Kế Toán Thuế / Kế Toán Tổng Hợp</t>
        </is>
      </c>
      <c r="D3431" t="inlineStr">
        <is>
          <t>CÔNG TY TNHH MTV TÍN NHA</t>
        </is>
      </c>
      <c r="E3431" t="inlineStr">
        <is>
          <t>11tr-15tr ₫/tháng</t>
        </is>
      </c>
      <c r="F3431" t="inlineStr">
        <is>
          <t>Hồ Chí Minh</t>
        </is>
      </c>
      <c r="G3431" t="inlineStr">
        <is>
          <t>Nhân viên</t>
        </is>
      </c>
      <c r="H3431" t="inlineStr">
        <is>
          <t>11/02/2026</t>
        </is>
      </c>
      <c r="I3431" t="inlineStr">
        <is>
          <t>28/03/2026</t>
        </is>
      </c>
      <c r="J3431" t="inlineStr">
        <is>
          <t>17/03/2026</t>
        </is>
      </c>
      <c r="K3431" t="inlineStr">
        <is>
          <t>N/A</t>
        </is>
      </c>
      <c r="L3431" t="inlineStr">
        <is>
          <t>Kế Toán Thuế, Kế Toán Tổng Hợp, Khai Báo Thuế, Thuế, Kế Toán</t>
        </is>
      </c>
      <c r="M3431" t="inlineStr">
        <is>
          <t>Bonus, Healthcare Plan, Paid Leave, Mobile, Travel Opportunities, Others</t>
        </is>
      </c>
      <c r="N3431" s="8">
        <f>HYPERLINK("https://www.vietnamworks.com/ke-toan-thue-ke-toan-tong-hop--2011321-jv","Xem chi tiết")</f>
        <v/>
      </c>
    </row>
    <row r="3432">
      <c r="B3432" s="9" t="n">
        <v>3430</v>
      </c>
      <c r="C3432" s="10" t="inlineStr">
        <is>
          <t>Key Account Manager (Modern Trade Planning)</t>
        </is>
      </c>
      <c r="D3432" s="10" t="inlineStr">
        <is>
          <t>Vietnamworks' Client</t>
        </is>
      </c>
      <c r="E3432" s="10" t="inlineStr">
        <is>
          <t>Thương lượng</t>
        </is>
      </c>
      <c r="F3432" s="10" t="inlineStr">
        <is>
          <t>Hồ Chí Minh</t>
        </is>
      </c>
      <c r="G3432" s="10" t="inlineStr">
        <is>
          <t>Trưởng phòng</t>
        </is>
      </c>
      <c r="H3432" s="10" t="inlineStr">
        <is>
          <t>11/02/2026</t>
        </is>
      </c>
      <c r="I3432" s="10" t="inlineStr">
        <is>
          <t>28/03/2026</t>
        </is>
      </c>
      <c r="J3432" s="10" t="inlineStr">
        <is>
          <t>17/03/2026</t>
        </is>
      </c>
      <c r="K3432" s="10" t="inlineStr">
        <is>
          <t>N/A</t>
        </is>
      </c>
      <c r="L3432" s="10" t="inlineStr">
        <is>
          <t>Modern Trade Planning, Relationship Building, Trade Marketing, Key Account Management, Key Account Development</t>
        </is>
      </c>
      <c r="M3432" s="10" t="inlineStr">
        <is>
          <t>Bonus, Healthcare Plan, Laptop</t>
        </is>
      </c>
      <c r="N3432" s="11">
        <f>HYPERLINK("https://www.vietnamworks.com/key-account-manager-modern-trade-planning--2011311-jv","Xem chi tiết")</f>
        <v/>
      </c>
      <c r="O3432" s="10" t="n"/>
    </row>
    <row r="3433">
      <c r="B3433" s="7" t="n">
        <v>3431</v>
      </c>
      <c r="C3433" t="inlineStr">
        <is>
          <t>[TP.HCM] Nhân Viên Kinh Doanh Quốc Tế (Lương, Thưởng Và Phúc Lợi Tốt, Giới Tính Nữ)</t>
        </is>
      </c>
      <c r="D3433" t="inlineStr">
        <is>
          <t>Mekong Seafood Connection</t>
        </is>
      </c>
      <c r="E3433" t="inlineStr">
        <is>
          <t>$$ 350-1,500 /tháng</t>
        </is>
      </c>
      <c r="F3433" t="inlineStr">
        <is>
          <t>Hồ Chí Minh</t>
        </is>
      </c>
      <c r="G3433" t="inlineStr">
        <is>
          <t>Mới Tốt Nghiệp</t>
        </is>
      </c>
      <c r="H3433" t="inlineStr">
        <is>
          <t>11/02/2026</t>
        </is>
      </c>
      <c r="I3433" t="inlineStr">
        <is>
          <t>28/03/2026</t>
        </is>
      </c>
      <c r="J3433" t="inlineStr">
        <is>
          <t>17/03/2026</t>
        </is>
      </c>
      <c r="K3433" t="inlineStr">
        <is>
          <t>N/A</t>
        </is>
      </c>
      <c r="L3433" t="inlineStr">
        <is>
          <t>Tiếng Anh, Kinh Doanh Quốc Tế, Tìm Kiếm Khách Hàng, Kinh Doanh Xuất Nhập Khẩu, Sales &amp; Business Development</t>
        </is>
      </c>
      <c r="M3433" t="inlineStr">
        <is>
          <t>Bonus, Paid Leave, Training, Travel Opportunities, Team Activities, Others</t>
        </is>
      </c>
      <c r="N3433" s="8">
        <f>HYPERLINK("https://www.vietnamworks.com/tp-hcm-nhan-vien-kinh-doanh-quoc-te-luong-thuong-va-phuc-loi-tot-gioi-tinh-nu-2011322-jv","Xem chi tiết")</f>
        <v/>
      </c>
    </row>
    <row r="3434">
      <c r="B3434" s="9" t="n">
        <v>3432</v>
      </c>
      <c r="C3434" s="10" t="inlineStr">
        <is>
          <t>Process Engineer</t>
        </is>
      </c>
      <c r="D3434" s="10" t="inlineStr">
        <is>
          <t>CÔNG TY TNHH AJAX SYSTEMS VIỆT NAM</t>
        </is>
      </c>
      <c r="E3434" s="10" t="inlineStr">
        <is>
          <t>Thương lượng</t>
        </is>
      </c>
      <c r="F3434" s="10" t="inlineStr">
        <is>
          <t>Hưng Yên, Hà Nội, Hải Dương</t>
        </is>
      </c>
      <c r="G3434" s="10" t="inlineStr">
        <is>
          <t>Nhân viên</t>
        </is>
      </c>
      <c r="H3434" s="10" t="inlineStr">
        <is>
          <t>11/02/2026</t>
        </is>
      </c>
      <c r="I3434" s="10" t="inlineStr">
        <is>
          <t>28/03/2026</t>
        </is>
      </c>
      <c r="J3434" s="10" t="inlineStr">
        <is>
          <t>17/03/2026</t>
        </is>
      </c>
      <c r="K3434" s="10" t="inlineStr">
        <is>
          <t>N/A</t>
        </is>
      </c>
      <c r="L3434" s="10" t="inlineStr">
        <is>
          <t>Production Process, Process Engineer, Automation, Process SMT, Process Control</t>
        </is>
      </c>
      <c r="M3434" s="10" t="inlineStr">
        <is>
          <t>Bonus, Laptop, Transportation</t>
        </is>
      </c>
      <c r="N3434" s="11">
        <f>HYPERLINK("https://www.vietnamworks.com/process-engineer--2011337-jv","Xem chi tiết")</f>
        <v/>
      </c>
      <c r="O3434" s="10" t="n"/>
    </row>
    <row r="3435">
      <c r="B3435" s="7" t="n">
        <v>3433</v>
      </c>
      <c r="C3435" t="inlineStr">
        <is>
          <t>Kỹ Sư Thủy Lực – Điện</t>
        </is>
      </c>
      <c r="D3435" t="inlineStr">
        <is>
          <t>Palfinger Marine Vietnam Co., Ltd</t>
        </is>
      </c>
      <c r="E3435" t="inlineStr">
        <is>
          <t>Tới 30tr ₫/tháng</t>
        </is>
      </c>
      <c r="F3435" t="inlineStr">
        <is>
          <t>Hưng Yên</t>
        </is>
      </c>
      <c r="G3435" t="inlineStr">
        <is>
          <t>Nhân viên</t>
        </is>
      </c>
      <c r="H3435" t="inlineStr">
        <is>
          <t>11/02/2026</t>
        </is>
      </c>
      <c r="I3435" t="inlineStr">
        <is>
          <t>28/03/2026</t>
        </is>
      </c>
      <c r="J3435" t="inlineStr">
        <is>
          <t>17/03/2026</t>
        </is>
      </c>
      <c r="K3435" t="inlineStr">
        <is>
          <t>N/A</t>
        </is>
      </c>
      <c r="L3435" t="inlineStr">
        <is>
          <t>Đọc Bản Vẽ Kỹ Thuật, Thủy Lực, Cơ Điện, EPLAN, Solid Edge</t>
        </is>
      </c>
      <c r="M3435" t="inlineStr">
        <is>
          <t>Bonus, Healthcare Plan, Training, Transportation, Others</t>
        </is>
      </c>
      <c r="N3435" s="8">
        <f>HYPERLINK("https://www.vietnamworks.com/ky-su-thuy-luc-djien-2011354-jv","Xem chi tiết")</f>
        <v/>
      </c>
    </row>
    <row r="3436">
      <c r="B3436" s="9" t="n">
        <v>3434</v>
      </c>
      <c r="C3436" s="10" t="inlineStr">
        <is>
          <t>03 Nhân Viên Quản Lý Chất Lượng Chi Tiết Ban Đầu</t>
        </is>
      </c>
      <c r="D3436" s="10" t="inlineStr">
        <is>
          <t>Yamaha Motor Vietnam</t>
        </is>
      </c>
      <c r="E3436" s="10" t="inlineStr">
        <is>
          <t>Thương lượng</t>
        </is>
      </c>
      <c r="F3436" s="10" t="inlineStr">
        <is>
          <t>Hà Nội</t>
        </is>
      </c>
      <c r="G3436" s="10" t="inlineStr">
        <is>
          <t>Nhân viên</t>
        </is>
      </c>
      <c r="H3436" s="10" t="inlineStr">
        <is>
          <t>11/02/2026</t>
        </is>
      </c>
      <c r="I3436" s="10" t="inlineStr">
        <is>
          <t>28/03/2026</t>
        </is>
      </c>
      <c r="J3436" s="10" t="inlineStr">
        <is>
          <t>17/03/2026</t>
        </is>
      </c>
      <c r="K3436" s="10" t="inlineStr">
        <is>
          <t>N/A</t>
        </is>
      </c>
      <c r="L3436" s="10" t="inlineStr">
        <is>
          <t>Kiểm Tra Chất Lượng, Kinh Nghiệm Qc/Qa, Tiếng Anh, Cơ Khí, Cơ Khí Chế Tạo Ôtô</t>
        </is>
      </c>
      <c r="M3436" s="10" t="inlineStr">
        <is>
          <t>Bonus, Healthcare Plan, Training, Travel Opportunities, Team Activities, Transportation, Others</t>
        </is>
      </c>
      <c r="N3436" s="11">
        <f>HYPERLINK("https://www.vietnamworks.com/03-nhan-vien-quan-ly-chat-luong-chi-tiet-ban-dau--2011335-jv","Xem chi tiết")</f>
        <v/>
      </c>
      <c r="O3436" s="10" t="n"/>
    </row>
    <row r="3437">
      <c r="B3437" s="7" t="n">
        <v>3435</v>
      </c>
      <c r="C3437" t="inlineStr">
        <is>
          <t>Trưởng Phòng Kế Hoạch Ngân Sách (Có Thể Đi Làm Sau Tết)</t>
        </is>
      </c>
      <c r="D3437" t="inlineStr">
        <is>
          <t>VSD Holdings</t>
        </is>
      </c>
      <c r="E3437" t="inlineStr">
        <is>
          <t>Thương lượng</t>
        </is>
      </c>
      <c r="F3437" t="inlineStr">
        <is>
          <t>Hà Nội</t>
        </is>
      </c>
      <c r="G3437" t="inlineStr">
        <is>
          <t>Trưởng phòng</t>
        </is>
      </c>
      <c r="H3437" t="inlineStr">
        <is>
          <t>11/02/2026</t>
        </is>
      </c>
      <c r="I3437" t="inlineStr">
        <is>
          <t>28/03/2026</t>
        </is>
      </c>
      <c r="J3437" t="inlineStr">
        <is>
          <t>17/03/2026</t>
        </is>
      </c>
      <c r="K3437" t="inlineStr">
        <is>
          <t>N/A</t>
        </is>
      </c>
      <c r="L3437" t="inlineStr">
        <is>
          <t>Báo Cáo Tài Chính, Kế toán Quản trị, Phân Tích Tài Chính, Phân Tích Đầu Tư, Quản Lý Ngân Sách</t>
        </is>
      </c>
      <c r="M3437" t="inlineStr">
        <is>
          <t>Others</t>
        </is>
      </c>
      <c r="N3437" s="8">
        <f>HYPERLINK("https://www.vietnamworks.com/truong-phong-ke-hoach-ngan-sach-co-the-dji-lam-sau-tet-2011340-jv","Xem chi tiết")</f>
        <v/>
      </c>
    </row>
    <row r="3438">
      <c r="B3438" s="9" t="n">
        <v>3436</v>
      </c>
      <c r="C3438" s="10" t="inlineStr">
        <is>
          <t>Trưởng Nhóm Nhân Sự</t>
        </is>
      </c>
      <c r="D3438" s="10" t="inlineStr">
        <is>
          <t>Công ty CPPT &amp; ĐT Xây dựng VinCons</t>
        </is>
      </c>
      <c r="E3438" s="10" t="inlineStr">
        <is>
          <t>Thương lượng</t>
        </is>
      </c>
      <c r="F3438" s="10" t="inlineStr">
        <is>
          <t>Hà Nội</t>
        </is>
      </c>
      <c r="G3438" s="10" t="inlineStr">
        <is>
          <t>Nhân viên</t>
        </is>
      </c>
      <c r="H3438" s="10" t="inlineStr">
        <is>
          <t>11/02/2026</t>
        </is>
      </c>
      <c r="I3438" s="10" t="inlineStr">
        <is>
          <t>28/03/2026</t>
        </is>
      </c>
      <c r="J3438" s="10" t="inlineStr">
        <is>
          <t>17/03/2026</t>
        </is>
      </c>
      <c r="K3438" s="10" t="inlineStr">
        <is>
          <t>N/A</t>
        </is>
      </c>
      <c r="L3438" s="10" t="inlineStr">
        <is>
          <t>C&amp;B, Payroll</t>
        </is>
      </c>
      <c r="M3438" s="10" t="inlineStr">
        <is>
          <t>Bonus, Training, Transportation</t>
        </is>
      </c>
      <c r="N3438" s="11">
        <f>HYPERLINK("https://www.vietnamworks.com/truong-nhom-nhan-su--2011343-jv","Xem chi tiết")</f>
        <v/>
      </c>
      <c r="O3438" s="10" t="n"/>
    </row>
    <row r="3439">
      <c r="B3439" s="7" t="n">
        <v>3437</v>
      </c>
      <c r="C3439" t="inlineStr">
        <is>
          <t>Head of Partnership Development Department</t>
        </is>
      </c>
      <c r="D3439" t="inlineStr">
        <is>
          <t>Shinhan Vietnam Finance Company Limited</t>
        </is>
      </c>
      <c r="E3439" t="inlineStr">
        <is>
          <t>Thương lượng</t>
        </is>
      </c>
      <c r="F3439" t="inlineStr">
        <is>
          <t>Hồ Chí Minh</t>
        </is>
      </c>
      <c r="G3439" t="inlineStr">
        <is>
          <t>Trưởng phòng</t>
        </is>
      </c>
      <c r="H3439" t="inlineStr">
        <is>
          <t>11/02/2026</t>
        </is>
      </c>
      <c r="I3439" t="inlineStr">
        <is>
          <t>28/03/2026</t>
        </is>
      </c>
      <c r="J3439" t="inlineStr">
        <is>
          <t>17/03/2026</t>
        </is>
      </c>
      <c r="K3439" t="inlineStr">
        <is>
          <t>N/A</t>
        </is>
      </c>
      <c r="L3439" t="inlineStr">
        <is>
          <t>Partnership Development, Product Policy, Partnership Management, Consumer Finance, Banking</t>
        </is>
      </c>
      <c r="M3439" t="inlineStr">
        <is>
          <t>Bonus, Healthcare Plan, Paid Leave</t>
        </is>
      </c>
      <c r="N3439" s="8">
        <f>HYPERLINK("https://www.vietnamworks.com/head-of-partnership-development-department--2011334-jv","Xem chi tiết")</f>
        <v/>
      </c>
    </row>
    <row r="3440">
      <c r="B3440" s="9" t="n">
        <v>3438</v>
      </c>
      <c r="C3440" s="10" t="inlineStr">
        <is>
          <t>Chuyên Viên Mua Hàng (Lâm Đồng/ Thanh Hóa)</t>
        </is>
      </c>
      <c r="D3440" s="10" t="inlineStr">
        <is>
          <t>Công Ty Cổ Phần Tập Đoàn TH</t>
        </is>
      </c>
      <c r="E3440" s="10" t="inlineStr">
        <is>
          <t>Thương lượng</t>
        </is>
      </c>
      <c r="F3440" s="10" t="inlineStr">
        <is>
          <t>Thanh Hóa, Lâm Đồng</t>
        </is>
      </c>
      <c r="G3440" s="10" t="inlineStr">
        <is>
          <t>Nhân viên</t>
        </is>
      </c>
      <c r="H3440" s="10" t="inlineStr">
        <is>
          <t>11/02/2026</t>
        </is>
      </c>
      <c r="I3440" s="10" t="inlineStr">
        <is>
          <t>28/03/2026</t>
        </is>
      </c>
      <c r="J3440" s="10" t="inlineStr">
        <is>
          <t>17/03/2026</t>
        </is>
      </c>
      <c r="K3440" s="10" t="inlineStr">
        <is>
          <t>N/A</t>
        </is>
      </c>
      <c r="L3440" s="10" t="inlineStr">
        <is>
          <t>Phân Tích Tài Chính, Financial Analysis, Financial Planning</t>
        </is>
      </c>
      <c r="M3440" s="10" t="inlineStr">
        <is>
          <t>Healthcare Plan</t>
        </is>
      </c>
      <c r="N3440" s="11">
        <f>HYPERLINK("https://www.vietnamworks.com/chuyen-vien-mua-hang-lam-dong-thanh-hoa--2011339-jv","Xem chi tiết")</f>
        <v/>
      </c>
      <c r="O3440" s="10" t="n"/>
    </row>
    <row r="3441">
      <c r="B3441" s="7" t="n">
        <v>3439</v>
      </c>
      <c r="C3441" t="inlineStr">
        <is>
          <t>Maintenance Engineer</t>
        </is>
      </c>
      <c r="D3441" t="inlineStr">
        <is>
          <t>CÔNG TY TNHH AJAX SYSTEMS VIỆT NAM</t>
        </is>
      </c>
      <c r="E3441" t="inlineStr">
        <is>
          <t>Thương lượng</t>
        </is>
      </c>
      <c r="F3441" t="inlineStr">
        <is>
          <t>Hưng Yên, Hà Nội, Hải Dương</t>
        </is>
      </c>
      <c r="G3441" t="inlineStr">
        <is>
          <t>Nhân viên</t>
        </is>
      </c>
      <c r="H3441" t="inlineStr">
        <is>
          <t>11/02/2026</t>
        </is>
      </c>
      <c r="I3441" t="inlineStr">
        <is>
          <t>28/03/2026</t>
        </is>
      </c>
      <c r="J3441" t="inlineStr">
        <is>
          <t>17/03/2026</t>
        </is>
      </c>
      <c r="K3441" t="inlineStr">
        <is>
          <t>N/A</t>
        </is>
      </c>
      <c r="L3441" t="inlineStr">
        <is>
          <t>PLC, Electrical, Maintenance, Electronics, CNC Machine</t>
        </is>
      </c>
      <c r="M3441" t="inlineStr">
        <is>
          <t>Bonus, Laptop, Transportation</t>
        </is>
      </c>
      <c r="N3441" s="8">
        <f>HYPERLINK("https://www.vietnamworks.com/maintenance-engineer--2011342-jv","Xem chi tiết")</f>
        <v/>
      </c>
    </row>
    <row r="3442">
      <c r="B3442" s="9" t="n">
        <v>3440</v>
      </c>
      <c r="C3442" s="10" t="inlineStr">
        <is>
          <t>[Hexogon VN] Kĩ Sư Lập Trình Unity, Unreal, Python</t>
        </is>
      </c>
      <c r="D3442" s="10" t="inlineStr">
        <is>
          <t>CÔNG TY TNHH HEXOGON VIỆT NAM</t>
        </is>
      </c>
      <c r="E3442" s="10" t="inlineStr">
        <is>
          <t>Tới 20tr ₫/tháng</t>
        </is>
      </c>
      <c r="F3442" s="10" t="inlineStr">
        <is>
          <t>Hà Nội</t>
        </is>
      </c>
      <c r="G3442" s="10" t="inlineStr">
        <is>
          <t>Thực tập sinh/Sinh viên</t>
        </is>
      </c>
      <c r="H3442" s="10" t="inlineStr">
        <is>
          <t>11/02/2026</t>
        </is>
      </c>
      <c r="I3442" s="10" t="inlineStr">
        <is>
          <t>28/03/2026</t>
        </is>
      </c>
      <c r="J3442" s="10" t="inlineStr">
        <is>
          <t>17/03/2026</t>
        </is>
      </c>
      <c r="K3442" s="10" t="inlineStr">
        <is>
          <t>N/A</t>
        </is>
      </c>
      <c r="L3442" s="10" t="inlineStr">
        <is>
          <t>Altium Designer, Python Programming, C#, MATLAB, Unity</t>
        </is>
      </c>
      <c r="M3442" s="10" t="inlineStr">
        <is>
          <t>Bonus, Healthcare Plan, Others</t>
        </is>
      </c>
      <c r="N3442" s="11">
        <f>HYPERLINK("https://www.vietnamworks.com/hexogon-vn-ki-su-lap-trinh-unity-unreal-python-2011347-jv","Xem chi tiết")</f>
        <v/>
      </c>
      <c r="O3442" s="10" t="n"/>
    </row>
    <row r="3443">
      <c r="B3443" s="7" t="n">
        <v>3441</v>
      </c>
      <c r="C3443" t="inlineStr">
        <is>
          <t>Chuyên Viên Tuyển Dụng/ Recruitment Specialist/ Talent Acquisition Specialist</t>
        </is>
      </c>
      <c r="D3443" t="inlineStr">
        <is>
          <t>Công Ty Cổ Phần Phương Tiện Điện Thông Minh Selex</t>
        </is>
      </c>
      <c r="E3443" t="inlineStr">
        <is>
          <t>$$ 800-1,000 /tháng</t>
        </is>
      </c>
      <c r="F3443" t="inlineStr">
        <is>
          <t>Hà Nội</t>
        </is>
      </c>
      <c r="G3443" t="inlineStr">
        <is>
          <t>Nhân viên</t>
        </is>
      </c>
      <c r="H3443" t="inlineStr">
        <is>
          <t>11/02/2026</t>
        </is>
      </c>
      <c r="I3443" t="inlineStr">
        <is>
          <t>28/03/2026</t>
        </is>
      </c>
      <c r="J3443" t="inlineStr">
        <is>
          <t>17/03/2026</t>
        </is>
      </c>
      <c r="K3443" t="inlineStr">
        <is>
          <t>N/A</t>
        </is>
      </c>
      <c r="L3443" t="inlineStr">
        <is>
          <t>Tuyển Dụng Nhân Sự, Chiến Lược Tuyển Dụng, Recruitment Management, Talent Acquisition, Nhân Sự Tổng Hợp</t>
        </is>
      </c>
      <c r="M3443" t="inlineStr">
        <is>
          <t>Bonus, Awards, Others</t>
        </is>
      </c>
      <c r="N3443" s="8">
        <f>HYPERLINK("https://www.vietnamworks.com/chuyen-vien-tuyen-dung-recruitment-specialist-talent-acquisition-specialist-2011336-jv","Xem chi tiết")</f>
        <v/>
      </c>
    </row>
    <row r="3444">
      <c r="B3444" s="9" t="n">
        <v>3442</v>
      </c>
      <c r="C3444" s="10" t="inlineStr">
        <is>
          <t>Trưởng Phòng Khai Thác</t>
        </is>
      </c>
      <c r="D3444" s="10" t="inlineStr">
        <is>
          <t>Công ty CP Liên Doanh Cảng Quốc tế Mỹ Thủy</t>
        </is>
      </c>
      <c r="E3444" s="10" t="inlineStr">
        <is>
          <t>35tr-45tr ₫/tháng</t>
        </is>
      </c>
      <c r="F3444" s="10" t="inlineStr">
        <is>
          <t>Đà Nẵng, Hồ Chí Minh, Nghệ An</t>
        </is>
      </c>
      <c r="G3444" s="10" t="inlineStr">
        <is>
          <t>Trưởng phòng</t>
        </is>
      </c>
      <c r="H3444" s="10" t="inlineStr">
        <is>
          <t>11/02/2026</t>
        </is>
      </c>
      <c r="I3444" s="10" t="inlineStr">
        <is>
          <t>28/03/2026</t>
        </is>
      </c>
      <c r="J3444" s="10" t="inlineStr">
        <is>
          <t>17/03/2026</t>
        </is>
      </c>
      <c r="K3444" s="10" t="inlineStr">
        <is>
          <t>N/A</t>
        </is>
      </c>
      <c r="L3444" s="10" t="inlineStr">
        <is>
          <t>Quản Lý Khai Thác Cảng, Tiếng Anh Giao Tiếp, ISPS, Logistics Operation, Nghiệp Vụ Cảng</t>
        </is>
      </c>
      <c r="M3444" s="10" t="inlineStr">
        <is>
          <t>Bonus, Healthcare Plan</t>
        </is>
      </c>
      <c r="N3444" s="11">
        <f>HYPERLINK("https://www.vietnamworks.com/truong-phong-khai-thac-2011345-jv","Xem chi tiết")</f>
        <v/>
      </c>
      <c r="O3444" s="10" t="n"/>
    </row>
    <row r="3445">
      <c r="B3445" s="7" t="n">
        <v>3443</v>
      </c>
      <c r="C3445" t="inlineStr">
        <is>
          <t>Nhân Viên Bán Hàng Xuất Khẩu - Sales Logistics</t>
        </is>
      </c>
      <c r="D3445" t="inlineStr">
        <is>
          <t>INOUE Rubber Vietnam CO., LTD.</t>
        </is>
      </c>
      <c r="E3445" t="inlineStr">
        <is>
          <t>Thương lượng</t>
        </is>
      </c>
      <c r="F3445" t="inlineStr">
        <is>
          <t>Hà Nội</t>
        </is>
      </c>
      <c r="G3445" t="inlineStr">
        <is>
          <t>Nhân viên</t>
        </is>
      </c>
      <c r="H3445" t="inlineStr">
        <is>
          <t>11/02/2026</t>
        </is>
      </c>
      <c r="I3445" t="inlineStr">
        <is>
          <t>28/03/2026</t>
        </is>
      </c>
      <c r="J3445" t="inlineStr">
        <is>
          <t>17/03/2026</t>
        </is>
      </c>
      <c r="K3445" t="inlineStr">
        <is>
          <t>N/A</t>
        </is>
      </c>
      <c r="L3445" t="inlineStr">
        <is>
          <t>Xuất Nhập Khẩu, Tìm Kiếm Khách Hàng, Export Sales, Giao Tiếp, Microsoft Offices</t>
        </is>
      </c>
      <c r="M3445" t="inlineStr">
        <is>
          <t>Training, Awards, Team Activities</t>
        </is>
      </c>
      <c r="N3445" s="8">
        <f>HYPERLINK("https://www.vietnamworks.com/nhan-vien-ban-hang-xuat-khau-sales-logistics-2011353-jv","Xem chi tiết")</f>
        <v/>
      </c>
    </row>
    <row r="3446">
      <c r="B3446" s="9" t="n">
        <v>3444</v>
      </c>
      <c r="C3446" s="10" t="inlineStr">
        <is>
          <t>Experienced Revit Architects | Kiến Trúc Sư Revit</t>
        </is>
      </c>
      <c r="D3446" s="10" t="inlineStr">
        <is>
          <t>WA Projects Limited</t>
        </is>
      </c>
      <c r="E3446" s="10" t="inlineStr">
        <is>
          <t>Thương lượng</t>
        </is>
      </c>
      <c r="F3446" s="10" t="inlineStr">
        <is>
          <t>Hồ Chí Minh</t>
        </is>
      </c>
      <c r="G3446" s="10" t="inlineStr">
        <is>
          <t>Nhân viên</t>
        </is>
      </c>
      <c r="H3446" s="10" t="inlineStr">
        <is>
          <t>11/02/2026</t>
        </is>
      </c>
      <c r="I3446" s="10" t="inlineStr">
        <is>
          <t>28/03/2026</t>
        </is>
      </c>
      <c r="J3446" s="10" t="inlineStr">
        <is>
          <t>17/03/2026</t>
        </is>
      </c>
      <c r="K3446" s="10" t="inlineStr">
        <is>
          <t>N/A</t>
        </is>
      </c>
      <c r="L3446" s="10" t="inlineStr">
        <is>
          <t>AutoCAD, 3D Studio Max, Revit, Sketchup, Autodesk</t>
        </is>
      </c>
      <c r="M3446" s="10" t="inlineStr">
        <is>
          <t>Bonus, Paid Leave, Travel Opportunities</t>
        </is>
      </c>
      <c r="N3446" s="11">
        <f>HYPERLINK("https://www.vietnamworks.com/experienced-revit-architects-kien-truc-su-revit--2011350-jv","Xem chi tiết")</f>
        <v/>
      </c>
      <c r="O3446" s="10" t="n"/>
    </row>
    <row r="3447">
      <c r="B3447" s="7" t="n">
        <v>3445</v>
      </c>
      <c r="C3447" t="inlineStr">
        <is>
          <t>Kỹ Sư Phần Mềm Nhúng MCU</t>
        </is>
      </c>
      <c r="D3447" t="inlineStr">
        <is>
          <t>Công Ty Cổ Phần Kỹ Thuật Temas</t>
        </is>
      </c>
      <c r="E3447" t="inlineStr">
        <is>
          <t>$$ 600-1,200 /tháng</t>
        </is>
      </c>
      <c r="F3447" t="inlineStr">
        <is>
          <t>Hà Nội</t>
        </is>
      </c>
      <c r="G3447" t="inlineStr">
        <is>
          <t>Nhân viên</t>
        </is>
      </c>
      <c r="H3447" t="inlineStr">
        <is>
          <t>11/02/2026</t>
        </is>
      </c>
      <c r="I3447" t="inlineStr">
        <is>
          <t>28/03/2026</t>
        </is>
      </c>
      <c r="J3447" t="inlineStr">
        <is>
          <t>17/03/2026</t>
        </is>
      </c>
      <c r="K3447" t="inlineStr">
        <is>
          <t>N/A</t>
        </is>
      </c>
      <c r="L3447" t="inlineStr">
        <is>
          <t>Lập Trình Nhúng, MCU, Lập trình C/C++, Motion Tracking, AGV</t>
        </is>
      </c>
      <c r="M3447" t="inlineStr">
        <is>
          <t>Bonus, Training, Others</t>
        </is>
      </c>
      <c r="N3447" s="8">
        <f>HYPERLINK("https://www.vietnamworks.com/ky-su-phan-mem-nhung-mcu-2011351-jv","Xem chi tiết")</f>
        <v/>
      </c>
    </row>
    <row r="3448">
      <c r="B3448" s="9" t="n">
        <v>3446</v>
      </c>
      <c r="C3448" s="10" t="inlineStr">
        <is>
          <t>Kỹ Sư Quản Lý Chất Lượng - DA Thi Công Cọc Khoan Nhồi</t>
        </is>
      </c>
      <c r="D3448" s="10" t="inlineStr">
        <is>
          <t>Công Ty Cổ Phần Cọc Và Xây Dựng FECON</t>
        </is>
      </c>
      <c r="E3448" s="10" t="inlineStr">
        <is>
          <t>18tr-25tr ₫/tháng</t>
        </is>
      </c>
      <c r="F3448" s="10" t="inlineStr">
        <is>
          <t>Kiên Giang, Hải Phòng, Hà Nội</t>
        </is>
      </c>
      <c r="G3448" s="10" t="inlineStr">
        <is>
          <t>Nhân viên</t>
        </is>
      </c>
      <c r="H3448" s="10" t="inlineStr">
        <is>
          <t>11/02/2026</t>
        </is>
      </c>
      <c r="I3448" s="10" t="inlineStr">
        <is>
          <t>28/03/2026</t>
        </is>
      </c>
      <c r="J3448" s="10" t="inlineStr">
        <is>
          <t>17/03/2026</t>
        </is>
      </c>
      <c r="K3448" s="10" t="inlineStr">
        <is>
          <t>N/A</t>
        </is>
      </c>
      <c r="L3448" s="10" t="inlineStr">
        <is>
          <t>Cọc Khoan Nhồi, Kỹ Sư Xây Dựng, Hồ Sơ Nội Nghiệp, Xây Dựng Cầu Đường, Cọc Nền Móng</t>
        </is>
      </c>
      <c r="M3448" s="10" t="inlineStr">
        <is>
          <t>Bonus, Healthcare Plan, Paid Leave</t>
        </is>
      </c>
      <c r="N3448" s="11">
        <f>HYPERLINK("https://www.vietnamworks.com/ky-su-quan-ly-chat-luong-da-thi-cong-coc-khoan-nhoi--2011357-jv","Xem chi tiết")</f>
        <v/>
      </c>
      <c r="O3448" s="10" t="n"/>
    </row>
    <row r="3449">
      <c r="B3449" s="7" t="n">
        <v>3447</v>
      </c>
      <c r="C3449" t="inlineStr">
        <is>
          <t>Trưởng/ Phó Phòng Mua Hàng - XNK</t>
        </is>
      </c>
      <c r="D3449" t="inlineStr">
        <is>
          <t>INOUE Rubber Vietnam CO., LTD.</t>
        </is>
      </c>
      <c r="E3449" t="inlineStr">
        <is>
          <t>Thương lượng</t>
        </is>
      </c>
      <c r="F3449" t="inlineStr">
        <is>
          <t>Hà Nội</t>
        </is>
      </c>
      <c r="G3449" t="inlineStr">
        <is>
          <t>Trưởng phòng</t>
        </is>
      </c>
      <c r="H3449" t="inlineStr">
        <is>
          <t>11/02/2026</t>
        </is>
      </c>
      <c r="I3449" t="inlineStr">
        <is>
          <t>28/03/2026</t>
        </is>
      </c>
      <c r="J3449" t="inlineStr">
        <is>
          <t>17/03/2026</t>
        </is>
      </c>
      <c r="K3449" t="inlineStr">
        <is>
          <t>N/A</t>
        </is>
      </c>
      <c r="L3449" t="inlineStr">
        <is>
          <t>Quản Lý Mua Hàng, Giao Tiếp, Mua Hàng, Microsoft Office, Lập Kế Hoạch Mua Hàng</t>
        </is>
      </c>
      <c r="M3449" t="inlineStr">
        <is>
          <t>Training, Awards, Team Activities</t>
        </is>
      </c>
      <c r="N3449" s="8">
        <f>HYPERLINK("https://www.vietnamworks.com/truong-pho-phong-mua-hang-xnk-2011348-jv","Xem chi tiết")</f>
        <v/>
      </c>
    </row>
    <row r="3450">
      <c r="B3450" s="9" t="n">
        <v>3448</v>
      </c>
      <c r="C3450" s="10" t="inlineStr">
        <is>
          <t>Revit Architects | Kiến Trúc Sư Revit</t>
        </is>
      </c>
      <c r="D3450" s="10" t="inlineStr">
        <is>
          <t>WA Projects Limited</t>
        </is>
      </c>
      <c r="E3450" s="10" t="inlineStr">
        <is>
          <t>Thương lượng</t>
        </is>
      </c>
      <c r="F3450" s="10" t="inlineStr">
        <is>
          <t>Hồ Chí Minh</t>
        </is>
      </c>
      <c r="G3450" s="10" t="inlineStr">
        <is>
          <t>Nhân viên</t>
        </is>
      </c>
      <c r="H3450" s="10" t="inlineStr">
        <is>
          <t>11/02/2026</t>
        </is>
      </c>
      <c r="I3450" s="10" t="inlineStr">
        <is>
          <t>28/03/2026</t>
        </is>
      </c>
      <c r="J3450" s="10" t="inlineStr">
        <is>
          <t>17/03/2026</t>
        </is>
      </c>
      <c r="K3450" s="10" t="inlineStr">
        <is>
          <t>N/A</t>
        </is>
      </c>
      <c r="L3450" s="10" t="inlineStr">
        <is>
          <t>AutoCAD, 3D Studio Max, Revit, Sketchup, ArchiCAD</t>
        </is>
      </c>
      <c r="M3450" s="10" t="inlineStr">
        <is>
          <t>Bonus, Paid Leave, Travel Opportunities</t>
        </is>
      </c>
      <c r="N3450" s="11">
        <f>HYPERLINK("https://www.vietnamworks.com/revit-architects-kien-truc-su-revit-4-1-2-1-1-1--2011349-jv","Xem chi tiết")</f>
        <v/>
      </c>
      <c r="O3450" s="10" t="n"/>
    </row>
    <row r="3451">
      <c r="B3451" s="7" t="n">
        <v>3449</v>
      </c>
      <c r="C3451" t="inlineStr">
        <is>
          <t>Kỹ Sư Phát Triển Nền Tảng, Hệ Thống</t>
        </is>
      </c>
      <c r="D3451" t="inlineStr">
        <is>
          <t>VIỆN PHÁT TRIỂN CHUYỂN ĐỔI XANH, CHUYỂN ĐỔI SỐ VIỆT NAM</t>
        </is>
      </c>
      <c r="E3451" t="inlineStr">
        <is>
          <t>Thương lượng</t>
        </is>
      </c>
      <c r="F3451" t="inlineStr">
        <is>
          <t>Hà Nội</t>
        </is>
      </c>
      <c r="G3451" t="inlineStr">
        <is>
          <t>Nhân viên</t>
        </is>
      </c>
      <c r="H3451" t="inlineStr">
        <is>
          <t>11/02/2026</t>
        </is>
      </c>
      <c r="I3451" t="inlineStr">
        <is>
          <t>28/03/2026</t>
        </is>
      </c>
      <c r="J3451" t="inlineStr">
        <is>
          <t>17/03/2026</t>
        </is>
      </c>
      <c r="K3451" t="inlineStr">
        <is>
          <t>N/A</t>
        </is>
      </c>
      <c r="L3451" t="inlineStr">
        <is>
          <t>AI, Khoa Học Máy Tính, Kỹ Thuật Phần Mềm</t>
        </is>
      </c>
      <c r="M3451" t="inlineStr">
        <is>
          <t>Bonus, Healthcare Plan</t>
        </is>
      </c>
      <c r="N3451" s="8">
        <f>HYPERLINK("https://www.vietnamworks.com/ky-su-phat-trien-nen-tang-he-thong-2011352-jv","Xem chi tiết")</f>
        <v/>
      </c>
    </row>
    <row r="3452">
      <c r="B3452" s="9" t="n">
        <v>3450</v>
      </c>
      <c r="C3452" s="10" t="inlineStr">
        <is>
          <t>Marketing Manager</t>
        </is>
      </c>
      <c r="D3452" s="10" t="inlineStr">
        <is>
          <t>Công Ty TNHH Ivy Global School Việt Nam</t>
        </is>
      </c>
      <c r="E3452" s="10" t="inlineStr">
        <is>
          <t>25tr-35tr ₫/tháng</t>
        </is>
      </c>
      <c r="F3452" s="10" t="inlineStr">
        <is>
          <t>Hồ Chí Minh</t>
        </is>
      </c>
      <c r="G3452" s="10" t="inlineStr">
        <is>
          <t>Trưởng phòng</t>
        </is>
      </c>
      <c r="H3452" s="10" t="inlineStr">
        <is>
          <t>11/02/2026</t>
        </is>
      </c>
      <c r="I3452" s="10" t="inlineStr">
        <is>
          <t>28/03/2026</t>
        </is>
      </c>
      <c r="J3452" s="10" t="inlineStr">
        <is>
          <t>17/03/2026</t>
        </is>
      </c>
      <c r="K3452" s="10" t="inlineStr">
        <is>
          <t>N/A</t>
        </is>
      </c>
      <c r="L3452" s="10" t="inlineStr">
        <is>
          <t>Brand Development, Digital Marketing, Marketing Development, Marketing Strategy, Truyền Thông</t>
        </is>
      </c>
      <c r="M3452" s="10" t="inlineStr">
        <is>
          <t>Bonus, Training, Laptop</t>
        </is>
      </c>
      <c r="N3452" s="11">
        <f>HYPERLINK("https://www.vietnamworks.com/marketing-manager-2011355-jv","Xem chi tiết")</f>
        <v/>
      </c>
      <c r="O3452" s="10" t="n"/>
    </row>
    <row r="3453">
      <c r="B3453" s="7" t="n">
        <v>3451</v>
      </c>
      <c r="C3453" t="inlineStr">
        <is>
          <t>Nhân Viên Kiểm Hàng Đại Diện Vendor (Vendor Inspector) Ngành May Mặc</t>
        </is>
      </c>
      <c r="D3453" t="inlineStr">
        <is>
          <t>Công ty TNHH Bando Vina</t>
        </is>
      </c>
      <c r="E3453" t="inlineStr">
        <is>
          <t>Từ 20tr ₫/tháng</t>
        </is>
      </c>
      <c r="F3453" t="inlineStr">
        <is>
          <t>Tây Ninh</t>
        </is>
      </c>
      <c r="G3453" t="inlineStr">
        <is>
          <t>Nhân viên</t>
        </is>
      </c>
      <c r="H3453" t="inlineStr">
        <is>
          <t>11/02/2026</t>
        </is>
      </c>
      <c r="I3453" t="inlineStr">
        <is>
          <t>28/03/2026</t>
        </is>
      </c>
      <c r="J3453" t="inlineStr">
        <is>
          <t>17/03/2026</t>
        </is>
      </c>
      <c r="K3453" t="inlineStr">
        <is>
          <t>N/A</t>
        </is>
      </c>
      <c r="L3453" t="inlineStr">
        <is>
          <t>Quản Lý Chất Lượng, Vendor Assessment, Vendor Development, Vendor Management, Đảm Bảo Chất Lượng</t>
        </is>
      </c>
      <c r="M3453" t="inlineStr">
        <is>
          <t>Bonus, Healthcare Plan, Paid Leave, Laptop, Travel Opportunities, Team Activities, Others</t>
        </is>
      </c>
      <c r="N3453" s="8">
        <f>HYPERLINK("https://www.vietnamworks.com/nhan-vien-kiem-hang-djai-dien-vendor-vendor-inspector-nganh-may-mac-2011356-jv","Xem chi tiết")</f>
        <v/>
      </c>
    </row>
    <row r="3454">
      <c r="B3454" s="9" t="n">
        <v>3452</v>
      </c>
      <c r="C3454" s="10" t="inlineStr">
        <is>
          <t>人事行政 HRGA Mandarin Speaker)</t>
        </is>
      </c>
      <c r="D3454" s="10" t="inlineStr">
        <is>
          <t>AI-CHA FOOD VIET NAM CO.,LTD</t>
        </is>
      </c>
      <c r="E3454" s="10" t="inlineStr">
        <is>
          <t>$$ 600-1,000 /tháng</t>
        </is>
      </c>
      <c r="F3454" s="10" t="inlineStr">
        <is>
          <t>Hồ Chí Minh</t>
        </is>
      </c>
      <c r="G3454" s="10" t="inlineStr">
        <is>
          <t>Nhân viên</t>
        </is>
      </c>
      <c r="H3454" s="10" t="inlineStr">
        <is>
          <t>11/02/2026</t>
        </is>
      </c>
      <c r="I3454" s="10" t="inlineStr">
        <is>
          <t>28/03/2026</t>
        </is>
      </c>
      <c r="J3454" s="10" t="inlineStr">
        <is>
          <t>17/03/2026</t>
        </is>
      </c>
      <c r="K3454" s="10" t="inlineStr">
        <is>
          <t>N/A</t>
        </is>
      </c>
      <c r="L3454" s="10" t="inlineStr">
        <is>
          <t>Coordination Teamwork, Training, Communications, Team Work, Chinese Language</t>
        </is>
      </c>
      <c r="M3454" s="10" t="inlineStr">
        <is>
          <t>Others</t>
        </is>
      </c>
      <c r="N3454" s="11">
        <f>HYPERLINK("https://www.vietnamworks.com/chan-hrga-mandarin-speaker-2011358-jv","Xem chi tiết")</f>
        <v/>
      </c>
      <c r="O3454" s="10" t="n"/>
    </row>
    <row r="3455">
      <c r="B3455" s="7" t="n">
        <v>3453</v>
      </c>
      <c r="C3455" t="inlineStr">
        <is>
          <t>Nhân Viên Lấy Mẫu, Vệ Sinh Dụng Cụ Thử Nghiệm Tại Nhà Máy Sản Xuất Dược Phẩm CNC Hataphar</t>
        </is>
      </c>
      <c r="D3455" t="inlineStr">
        <is>
          <t>Công ty Cổ phần Dược phẩm Hà Tây</t>
        </is>
      </c>
      <c r="E3455" t="inlineStr">
        <is>
          <t>Thương lượng</t>
        </is>
      </c>
      <c r="F3455" t="inlineStr">
        <is>
          <t>Hà Nội</t>
        </is>
      </c>
      <c r="G3455" t="inlineStr">
        <is>
          <t>Mới Tốt Nghiệp</t>
        </is>
      </c>
      <c r="H3455" t="inlineStr">
        <is>
          <t>11/02/2026</t>
        </is>
      </c>
      <c r="I3455" t="inlineStr">
        <is>
          <t>28/03/2026</t>
        </is>
      </c>
      <c r="J3455" t="inlineStr">
        <is>
          <t>17/03/2026</t>
        </is>
      </c>
      <c r="K3455" t="inlineStr">
        <is>
          <t>N/A</t>
        </is>
      </c>
      <c r="L3455" t="inlineStr">
        <is>
          <t>Thiết Bị Thử Nghiệm, Ghi Chép Nhiệt Độ, Kiểm Tra Vi Sinh, Lấy Mẫu Vật Liệu, Vệ Sinh Thiết Bị</t>
        </is>
      </c>
      <c r="M3455" t="inlineStr">
        <is>
          <t>Bonus, Healthcare Plan, Paid Leave, Training, Team Activities, Others</t>
        </is>
      </c>
      <c r="N3455" s="8">
        <f>HYPERLINK("https://www.vietnamworks.com/nhan-vien-lay-mau-ve-sinh-dung-cu-thu-nghiem-tai-nha-may-san-xuat-duoc-pham-cnc-hataphar-2011383-jv","Xem chi tiết")</f>
        <v/>
      </c>
    </row>
    <row r="3456">
      <c r="B3456" s="9" t="n">
        <v>3454</v>
      </c>
      <c r="C3456" s="10" t="inlineStr">
        <is>
          <t>Nhân Viên Kinh Doanh (Lĩnh Vực Nhựa)</t>
        </is>
      </c>
      <c r="D3456" s="10" t="inlineStr">
        <is>
          <t>GC MARKETING SOLUTIONS VIETNAM CO.,LTD</t>
        </is>
      </c>
      <c r="E3456" s="10" t="inlineStr">
        <is>
          <t>Thương lượng</t>
        </is>
      </c>
      <c r="F3456" s="10" t="inlineStr">
        <is>
          <t>Hồ Chí Minh</t>
        </is>
      </c>
      <c r="G3456" s="10" t="inlineStr">
        <is>
          <t>Nhân viên</t>
        </is>
      </c>
      <c r="H3456" s="10" t="inlineStr">
        <is>
          <t>11/02/2026</t>
        </is>
      </c>
      <c r="I3456" s="10" t="inlineStr">
        <is>
          <t>28/03/2026</t>
        </is>
      </c>
      <c r="J3456" s="10" t="inlineStr">
        <is>
          <t>17/03/2026</t>
        </is>
      </c>
      <c r="K3456" s="10" t="inlineStr">
        <is>
          <t>N/A</t>
        </is>
      </c>
      <c r="L3456" s="10" t="inlineStr">
        <is>
          <t>English, Business Development, Relationship Maintaining, Sales Planning, Sales Strategy</t>
        </is>
      </c>
      <c r="M3456" s="10" t="inlineStr">
        <is>
          <t>Bonus, Healthcare Plan, Paid Leave, Travel Opportunities</t>
        </is>
      </c>
      <c r="N3456" s="11">
        <f>HYPERLINK("https://www.vietnamworks.com/nhan-vien-kinh-doanh-linh-vuc-nhua-2011360-jv","Xem chi tiết")</f>
        <v/>
      </c>
      <c r="O3456" s="10" t="n"/>
    </row>
    <row r="3457">
      <c r="B3457" s="7" t="n">
        <v>3455</v>
      </c>
      <c r="C3457" t="inlineStr">
        <is>
          <t>Nhân Viên Kinh Doanh (Thuê Ngoài) Sản Phẩm Máy POS _ Sales Representative (Outsourced) EDC Sales</t>
        </is>
      </c>
      <c r="D3457" t="inlineStr">
        <is>
          <t>KASIKORNBANK PUBLIC COMPANY LIMITED</t>
        </is>
      </c>
      <c r="E3457" t="inlineStr">
        <is>
          <t>Thương lượng</t>
        </is>
      </c>
      <c r="F3457" t="inlineStr">
        <is>
          <t>Hồ Chí Minh</t>
        </is>
      </c>
      <c r="G3457" t="inlineStr">
        <is>
          <t>Nhân viên</t>
        </is>
      </c>
      <c r="H3457" t="inlineStr">
        <is>
          <t>11/02/2026</t>
        </is>
      </c>
      <c r="I3457" t="inlineStr">
        <is>
          <t>28/03/2026</t>
        </is>
      </c>
      <c r="J3457" t="inlineStr">
        <is>
          <t>17/03/2026</t>
        </is>
      </c>
      <c r="K3457" t="inlineStr">
        <is>
          <t>N/A</t>
        </is>
      </c>
      <c r="L3457" t="inlineStr">
        <is>
          <t>Tài Chính Ngân Hàng, Bán Lẻ, Tiêu Dùng Nhanh, Kinh Doanh, Sales</t>
        </is>
      </c>
      <c r="M3457" t="inlineStr">
        <is>
          <t>Bonus, Paid Leave, Others</t>
        </is>
      </c>
      <c r="N3457" s="8">
        <f>HYPERLINK("https://www.vietnamworks.com/nhan-vien-kinh-doanh-thue-ngoai-san-pham-may-pos-sales-representative-outsourced-edc-sales-2011359-jv","Xem chi tiết")</f>
        <v/>
      </c>
    </row>
    <row r="3458">
      <c r="B3458" s="9" t="n">
        <v>3456</v>
      </c>
      <c r="C3458" s="10" t="inlineStr">
        <is>
          <t>Photographer</t>
        </is>
      </c>
      <c r="D3458" s="10" t="inlineStr">
        <is>
          <t>Living Spaces</t>
        </is>
      </c>
      <c r="E3458" s="10" t="inlineStr">
        <is>
          <t>Thương lượng</t>
        </is>
      </c>
      <c r="F3458" s="10" t="inlineStr">
        <is>
          <t>Hồ Chí Minh</t>
        </is>
      </c>
      <c r="G3458" s="10" t="inlineStr">
        <is>
          <t>Nhân viên</t>
        </is>
      </c>
      <c r="H3458" s="10" t="inlineStr">
        <is>
          <t>11/02/2026</t>
        </is>
      </c>
      <c r="I3458" s="10" t="inlineStr">
        <is>
          <t>28/03/2026</t>
        </is>
      </c>
      <c r="J3458" s="10" t="inlineStr">
        <is>
          <t>17/03/2026</t>
        </is>
      </c>
      <c r="K3458" s="10" t="inlineStr">
        <is>
          <t>N/A</t>
        </is>
      </c>
      <c r="L3458" s="10" t="inlineStr">
        <is>
          <t>Nhiếp Ảnh, Chụp Ảnh, Chụp Ảnh Nội Thất, DSLR Cameras, Mirrorless Cameras</t>
        </is>
      </c>
      <c r="M3458" s="10" t="inlineStr">
        <is>
          <t>Others</t>
        </is>
      </c>
      <c r="N3458" s="11">
        <f>HYPERLINK("https://www.vietnamworks.com/photographer-2011372-jv","Xem chi tiết")</f>
        <v/>
      </c>
      <c r="O3458" s="10" t="n"/>
    </row>
    <row r="3459">
      <c r="B3459" s="7" t="n">
        <v>3457</v>
      </c>
      <c r="C3459" t="inlineStr">
        <is>
          <t>Kỹ Sư Thiết Kế Xuồng</t>
        </is>
      </c>
      <c r="D3459" t="inlineStr">
        <is>
          <t>Palfinger Marine Vietnam Co., Ltd</t>
        </is>
      </c>
      <c r="E3459" t="inlineStr">
        <is>
          <t>Tới 30tr ₫/tháng</t>
        </is>
      </c>
      <c r="F3459" t="inlineStr">
        <is>
          <t>Hưng Yên</t>
        </is>
      </c>
      <c r="G3459" t="inlineStr">
        <is>
          <t>Nhân viên</t>
        </is>
      </c>
      <c r="H3459" t="inlineStr">
        <is>
          <t>11/02/2026</t>
        </is>
      </c>
      <c r="I3459" t="inlineStr">
        <is>
          <t>28/03/2026</t>
        </is>
      </c>
      <c r="J3459" t="inlineStr">
        <is>
          <t>17/03/2026</t>
        </is>
      </c>
      <c r="K3459" t="inlineStr">
        <is>
          <t>N/A</t>
        </is>
      </c>
      <c r="L3459" t="inlineStr">
        <is>
          <t>CAD, Cơ Khí, Công Nghệ Đóng Tàu, Solid Edge, Thiết Kế Đóng Tàu</t>
        </is>
      </c>
      <c r="M3459" t="inlineStr">
        <is>
          <t>Bonus, Healthcare Plan, Training, Transportation, Others</t>
        </is>
      </c>
      <c r="N3459" s="8">
        <f>HYPERLINK("https://www.vietnamworks.com/ky-su-thiet-ke-xuong-2011363-jv","Xem chi tiết")</f>
        <v/>
      </c>
    </row>
    <row r="3460">
      <c r="B3460" s="9" t="n">
        <v>3458</v>
      </c>
      <c r="C3460" s="10" t="inlineStr">
        <is>
          <t>Graphic Designer (Full-Time)</t>
        </is>
      </c>
      <c r="D3460" s="10" t="inlineStr">
        <is>
          <t>SNOW VIỆT NAM</t>
        </is>
      </c>
      <c r="E3460" s="10" t="inlineStr">
        <is>
          <t>13tr-15tr ₫/tháng</t>
        </is>
      </c>
      <c r="F3460" s="10" t="inlineStr">
        <is>
          <t>Hồ Chí Minh</t>
        </is>
      </c>
      <c r="G3460" s="10" t="inlineStr">
        <is>
          <t>Mới Tốt Nghiệp</t>
        </is>
      </c>
      <c r="H3460" s="10" t="inlineStr">
        <is>
          <t>11/02/2026</t>
        </is>
      </c>
      <c r="I3460" s="10" t="inlineStr">
        <is>
          <t>28/03/2026</t>
        </is>
      </c>
      <c r="J3460" s="10" t="inlineStr">
        <is>
          <t>17/03/2026</t>
        </is>
      </c>
      <c r="K3460" s="10" t="inlineStr">
        <is>
          <t>N/A</t>
        </is>
      </c>
      <c r="L3460" s="10" t="inlineStr">
        <is>
          <t>Adobe Photoshop, Adobe After Effects, Graphic Design, Adobe Illustator, Marketing Design</t>
        </is>
      </c>
      <c r="M3460" s="10" t="inlineStr">
        <is>
          <t>Bonus, Healthcare Plan, Paid Leave, Laptop, Team Activities, Others</t>
        </is>
      </c>
      <c r="N3460" s="11">
        <f>HYPERLINK("https://www.vietnamworks.com/graphic-designer-full-time-2011376-jv","Xem chi tiết")</f>
        <v/>
      </c>
      <c r="O3460" s="10" t="n"/>
    </row>
    <row r="3461">
      <c r="B3461" s="7" t="n">
        <v>3459</v>
      </c>
      <c r="C3461" t="inlineStr">
        <is>
          <t>[Full-Time]Business Teacher</t>
        </is>
      </c>
      <c r="D3461" t="inlineStr">
        <is>
          <t>Scotch Australian Grammar School (AGS)</t>
        </is>
      </c>
      <c r="E3461" t="inlineStr">
        <is>
          <t>Thương lượng</t>
        </is>
      </c>
      <c r="F3461" t="inlineStr">
        <is>
          <t>Hồ Chí Minh</t>
        </is>
      </c>
      <c r="G3461" t="inlineStr">
        <is>
          <t>Nhân viên</t>
        </is>
      </c>
      <c r="H3461" t="inlineStr">
        <is>
          <t>11/02/2026</t>
        </is>
      </c>
      <c r="I3461" t="inlineStr">
        <is>
          <t>28/03/2026</t>
        </is>
      </c>
      <c r="J3461" t="inlineStr">
        <is>
          <t>17/03/2026</t>
        </is>
      </c>
      <c r="K3461" t="inlineStr">
        <is>
          <t>N/A</t>
        </is>
      </c>
      <c r="L3461" t="inlineStr">
        <is>
          <t>English, Admission Control, Giảng Dạy, Teaching Management, Teaching Business English</t>
        </is>
      </c>
      <c r="M3461" t="inlineStr">
        <is>
          <t>Bonus, Training, Others</t>
        </is>
      </c>
      <c r="N3461" s="8">
        <f>HYPERLINK("https://www.vietnamworks.com/full-time-business-teacher-2011365-jv","Xem chi tiết")</f>
        <v/>
      </c>
    </row>
    <row r="3462">
      <c r="B3462" s="9" t="n">
        <v>3460</v>
      </c>
      <c r="C3462" s="10" t="inlineStr">
        <is>
          <t>Chuyên Viên Đối Tác Nhân Sự (HRBP) - Thành thạo Tiếng Anh</t>
        </is>
      </c>
      <c r="D3462" s="10" t="inlineStr">
        <is>
          <t>Công Ty TNHH Điện Tử Meiko Việt Nam (MKVC)</t>
        </is>
      </c>
      <c r="E3462" s="10" t="inlineStr">
        <is>
          <t>Thương lượng</t>
        </is>
      </c>
      <c r="F3462" s="10" t="inlineStr">
        <is>
          <t>Hà Nội</t>
        </is>
      </c>
      <c r="G3462" s="10" t="inlineStr">
        <is>
          <t>Nhân viên</t>
        </is>
      </c>
      <c r="H3462" s="10" t="inlineStr">
        <is>
          <t>11/02/2026</t>
        </is>
      </c>
      <c r="I3462" s="10" t="inlineStr">
        <is>
          <t>28/03/2026</t>
        </is>
      </c>
      <c r="J3462" s="10" t="inlineStr">
        <is>
          <t>17/03/2026</t>
        </is>
      </c>
      <c r="K3462" s="10" t="inlineStr">
        <is>
          <t>N/A</t>
        </is>
      </c>
      <c r="L3462" s="10" t="inlineStr">
        <is>
          <t>HRBP, Phân Tích Chiến Lược, Phân Tích Dữ Liệu, Quản Trị Nhân Lực, Tiếng Anh</t>
        </is>
      </c>
      <c r="M3462" s="10" t="inlineStr">
        <is>
          <t>Healthcare Plan, Paid Leave, Training, Transportation, Others</t>
        </is>
      </c>
      <c r="N3462" s="11">
        <f>HYPERLINK("https://www.vietnamworks.com/chuyen-vien-doi-tac-nhan-su-hrbp-thanh-thao-tieng-anh-2011378-jv","Xem chi tiết")</f>
        <v/>
      </c>
      <c r="O3462" s="10" t="n"/>
    </row>
    <row r="3463">
      <c r="B3463" s="7" t="n">
        <v>3461</v>
      </c>
      <c r="C3463" t="inlineStr">
        <is>
          <t>Team Lead, Business Operation</t>
        </is>
      </c>
      <c r="D3463" t="inlineStr">
        <is>
          <t>NAB Innovation Centre Vietnam</t>
        </is>
      </c>
      <c r="E3463" t="inlineStr">
        <is>
          <t>Thương lượng</t>
        </is>
      </c>
      <c r="F3463" t="inlineStr">
        <is>
          <t>Hồ Chí Minh</t>
        </is>
      </c>
      <c r="G3463" t="inlineStr">
        <is>
          <t>Trưởng phòng</t>
        </is>
      </c>
      <c r="H3463" t="inlineStr">
        <is>
          <t>11/02/2026</t>
        </is>
      </c>
      <c r="I3463" t="inlineStr">
        <is>
          <t>28/03/2026</t>
        </is>
      </c>
      <c r="J3463" t="inlineStr">
        <is>
          <t>17/03/2026</t>
        </is>
      </c>
      <c r="K3463" t="inlineStr">
        <is>
          <t>N/A</t>
        </is>
      </c>
      <c r="L3463" t="inlineStr">
        <is>
          <t>Leadership Skills, Financial service leadership, Banking experience, Process and change execution</t>
        </is>
      </c>
      <c r="M3463" t="inlineStr">
        <is>
          <t>Bonus, Healthcare Plan, Team Activities</t>
        </is>
      </c>
      <c r="N3463" s="8">
        <f>HYPERLINK("https://www.vietnamworks.com/team-lead-business-operation-2011380-jv","Xem chi tiết")</f>
        <v/>
      </c>
    </row>
    <row r="3464">
      <c r="B3464" s="9" t="n">
        <v>3462</v>
      </c>
      <c r="C3464" s="10" t="inlineStr">
        <is>
          <t>[Stradivarius] - Store Supervisor</t>
        </is>
      </c>
      <c r="D3464" s="10" t="inlineStr">
        <is>
          <t>Mitra Adiperkasa Vietnam Limited</t>
        </is>
      </c>
      <c r="E3464" s="10" t="inlineStr">
        <is>
          <t>Thương lượng</t>
        </is>
      </c>
      <c r="F3464" s="10" t="inlineStr">
        <is>
          <t>Hồ Chí Minh</t>
        </is>
      </c>
      <c r="G3464" s="10" t="inlineStr">
        <is>
          <t>Mới Tốt Nghiệp</t>
        </is>
      </c>
      <c r="H3464" s="10" t="inlineStr">
        <is>
          <t>11/02/2026</t>
        </is>
      </c>
      <c r="I3464" s="10" t="inlineStr">
        <is>
          <t>28/03/2026</t>
        </is>
      </c>
      <c r="J3464" s="10" t="inlineStr">
        <is>
          <t>17/03/2026</t>
        </is>
      </c>
      <c r="K3464" s="10" t="inlineStr">
        <is>
          <t>N/A</t>
        </is>
      </c>
      <c r="L3464" s="10" t="inlineStr">
        <is>
          <t>Customer Service, Sales Management, Store Management, Store Operations, Team Management</t>
        </is>
      </c>
      <c r="M3464" s="10" t="inlineStr">
        <is>
          <t>Bonus, Healthcare Plan, Paid Leave, Training, Others</t>
        </is>
      </c>
      <c r="N3464" s="11">
        <f>HYPERLINK("https://www.vietnamworks.com/stradivarius-store-supervisor-2011364-jv","Xem chi tiết")</f>
        <v/>
      </c>
      <c r="O3464" s="10" t="n"/>
    </row>
    <row r="3465">
      <c r="B3465" s="7" t="n">
        <v>3463</v>
      </c>
      <c r="C3465" t="inlineStr">
        <is>
          <t>Chuyên Viên Cao Cấp/Giám Đốc Quản Lý Khách Hàng Ưu Tiên</t>
        </is>
      </c>
      <c r="D3465" t="inlineStr">
        <is>
          <t>VIB - CN Liễu Giai</t>
        </is>
      </c>
      <c r="E3465" t="inlineStr">
        <is>
          <t>20tr-80tr ₫/tháng</t>
        </is>
      </c>
      <c r="F3465" t="inlineStr">
        <is>
          <t>Hà Nội</t>
        </is>
      </c>
      <c r="G3465" t="inlineStr">
        <is>
          <t>Nhân viên</t>
        </is>
      </c>
      <c r="H3465" t="inlineStr">
        <is>
          <t>11/02/2026</t>
        </is>
      </c>
      <c r="I3465" t="inlineStr">
        <is>
          <t>28/03/2026</t>
        </is>
      </c>
      <c r="J3465" t="inlineStr">
        <is>
          <t>17/03/2026</t>
        </is>
      </c>
      <c r="K3465" t="inlineStr">
        <is>
          <t>N/A</t>
        </is>
      </c>
      <c r="L3465" t="inlineStr">
        <is>
          <t>Giải Quyết Vấn Đề, Giải Trình Ngân Hàng, Giao Tiếp Tiếng Anh, Quản Trị Khách Hàng, Tư Vấn Tài Chính</t>
        </is>
      </c>
      <c r="M3465" t="inlineStr">
        <is>
          <t>Training, Team Activities, Others</t>
        </is>
      </c>
      <c r="N3465" s="8">
        <f>HYPERLINK("https://www.vietnamworks.com/chuyen-vien-cao-capgiam-djoc-quan-ly-khach-hang-uu-tien-2011374-jv","Xem chi tiết")</f>
        <v/>
      </c>
    </row>
    <row r="3466">
      <c r="B3466" s="9" t="n">
        <v>3464</v>
      </c>
      <c r="C3466" s="10" t="inlineStr">
        <is>
          <t>Manager, Investor Relations</t>
        </is>
      </c>
      <c r="D3466" s="10" t="inlineStr">
        <is>
          <t>Công Ty Cổ Phần Đầu Tư Nam Long</t>
        </is>
      </c>
      <c r="E3466" s="10" t="inlineStr">
        <is>
          <t>$$ 1,000-1,500 /tháng</t>
        </is>
      </c>
      <c r="F3466" s="10" t="inlineStr">
        <is>
          <t>Hồ Chí Minh</t>
        </is>
      </c>
      <c r="G3466" s="10" t="inlineStr">
        <is>
          <t>Trưởng phòng</t>
        </is>
      </c>
      <c r="H3466" s="10" t="inlineStr">
        <is>
          <t>11/02/2026</t>
        </is>
      </c>
      <c r="I3466" s="10" t="inlineStr">
        <is>
          <t>28/03/2026</t>
        </is>
      </c>
      <c r="J3466" s="10" t="inlineStr">
        <is>
          <t>17/03/2026</t>
        </is>
      </c>
      <c r="K3466" s="10" t="inlineStr">
        <is>
          <t>N/A</t>
        </is>
      </c>
      <c r="L3466" s="10" t="inlineStr">
        <is>
          <t>Investor Relations, Bất Động Sản, Investment, AGM, Annual Report</t>
        </is>
      </c>
      <c r="M3466" s="10" t="inlineStr">
        <is>
          <t>Bonus, Healthcare Plan, Paid Leave</t>
        </is>
      </c>
      <c r="N3466" s="11">
        <f>HYPERLINK("https://www.vietnamworks.com/manager-investor-relations-2011379-jv","Xem chi tiết")</f>
        <v/>
      </c>
      <c r="O3466" s="10" t="n"/>
    </row>
    <row r="3467">
      <c r="B3467" s="7" t="n">
        <v>3465</v>
      </c>
      <c r="C3467" t="inlineStr">
        <is>
          <t>Cán Bộ Kế Toán (Tài Chính &amp; Ngân Sách)/ Accounting Officer (Finance &amp; Budget)</t>
        </is>
      </c>
      <c r="D3467" t="inlineStr">
        <is>
          <t>Diana Unicharm JSC</t>
        </is>
      </c>
      <c r="E3467" t="inlineStr">
        <is>
          <t>15tr-20tr ₫/tháng</t>
        </is>
      </c>
      <c r="F3467" t="inlineStr">
        <is>
          <t>Hà Nội</t>
        </is>
      </c>
      <c r="G3467" t="inlineStr">
        <is>
          <t>Nhân viên</t>
        </is>
      </c>
      <c r="H3467" t="inlineStr">
        <is>
          <t>11/02/2026</t>
        </is>
      </c>
      <c r="I3467" t="inlineStr">
        <is>
          <t>28/03/2026</t>
        </is>
      </c>
      <c r="J3467" t="inlineStr">
        <is>
          <t>17/03/2026</t>
        </is>
      </c>
      <c r="K3467" t="inlineStr">
        <is>
          <t>N/A</t>
        </is>
      </c>
      <c r="L3467" t="inlineStr">
        <is>
          <t>Kiểm Soát Chi Phí, Tài Chính Kế Toán, Kế Toán Kiểm Soát, Kế Toán Thanh Toán</t>
        </is>
      </c>
      <c r="M3467" t="inlineStr">
        <is>
          <t>Bonus, Healthcare Plan, Paid Leave, Training, Travel Opportunities, Team Activities, Canteen</t>
        </is>
      </c>
      <c r="N3467" s="8">
        <f>HYPERLINK("https://www.vietnamworks.com/can-bo-ke-toan-tai-chinh-and-ngan-sach-accounting-officer-finance-and-budget-2011370-jv","Xem chi tiết")</f>
        <v/>
      </c>
    </row>
    <row r="3468">
      <c r="B3468" s="9" t="n">
        <v>3466</v>
      </c>
      <c r="C3468" s="10" t="inlineStr">
        <is>
          <t>Sales Manager Nam Long Adc</t>
        </is>
      </c>
      <c r="D3468" s="10" t="inlineStr">
        <is>
          <t>Công Ty Cổ Phần Đầu Tư Nam Long</t>
        </is>
      </c>
      <c r="E3468" s="10" t="inlineStr">
        <is>
          <t>$$ 1,000-1,500 /tháng</t>
        </is>
      </c>
      <c r="F3468" s="10" t="inlineStr">
        <is>
          <t>Hải Phòng</t>
        </is>
      </c>
      <c r="G3468" s="10" t="inlineStr">
        <is>
          <t>Trưởng phòng</t>
        </is>
      </c>
      <c r="H3468" s="10" t="inlineStr">
        <is>
          <t>11/02/2026</t>
        </is>
      </c>
      <c r="I3468" s="10" t="inlineStr">
        <is>
          <t>28/03/2026</t>
        </is>
      </c>
      <c r="J3468" s="10" t="inlineStr">
        <is>
          <t>17/03/2026</t>
        </is>
      </c>
      <c r="K3468" s="10" t="inlineStr">
        <is>
          <t>N/A</t>
        </is>
      </c>
      <c r="L3468" s="10" t="inlineStr">
        <is>
          <t>Sales B2C, Real Estate Strategic, Bán hàng, Bất Động Sản, Pricing Management</t>
        </is>
      </c>
      <c r="M3468" s="10" t="inlineStr">
        <is>
          <t>Bonus, Healthcare Plan, Paid Leave</t>
        </is>
      </c>
      <c r="N3468" s="11">
        <f>HYPERLINK("https://www.vietnamworks.com/sales-manager-nam-long-adc-2011381-jv","Xem chi tiết")</f>
        <v/>
      </c>
      <c r="O3468" s="10" t="n"/>
    </row>
    <row r="3469">
      <c r="B3469" s="7" t="n">
        <v>3467</v>
      </c>
      <c r="C3469" t="inlineStr">
        <is>
          <t>Chuyên Viên Đào Tạo</t>
        </is>
      </c>
      <c r="D3469" t="inlineStr">
        <is>
          <t>Công ty TNHH MTV Nhà xuất bản Giáo dục Việt Nam</t>
        </is>
      </c>
      <c r="E3469" t="inlineStr">
        <is>
          <t>Thương lượng</t>
        </is>
      </c>
      <c r="F3469" t="inlineStr">
        <is>
          <t>Hà Nội</t>
        </is>
      </c>
      <c r="G3469" t="inlineStr">
        <is>
          <t>Nhân viên</t>
        </is>
      </c>
      <c r="H3469" t="inlineStr">
        <is>
          <t>11/02/2026</t>
        </is>
      </c>
      <c r="I3469" t="inlineStr">
        <is>
          <t>28/03/2026</t>
        </is>
      </c>
      <c r="J3469" t="inlineStr">
        <is>
          <t>17/03/2026</t>
        </is>
      </c>
      <c r="K3469" t="inlineStr">
        <is>
          <t>N/A</t>
        </is>
      </c>
      <c r="L3469" t="inlineStr">
        <is>
          <t>Quản Lý Dữ Liệu, Soạn Tài Liệu Đào Tạo, Soạn Thảo Văn Bản, Xây Dựng Kế Hoạch, Đào Tạo Nội Bộ</t>
        </is>
      </c>
      <c r="M3469" t="inlineStr">
        <is>
          <t>Healthcare Plan, Paid Leave, Awards, Team Activities</t>
        </is>
      </c>
      <c r="N3469" s="8">
        <f>HYPERLINK("https://www.vietnamworks.com/chuyen-vien-djao-tao-2011373-jv","Xem chi tiết")</f>
        <v/>
      </c>
    </row>
    <row r="3470">
      <c r="B3470" s="9" t="n">
        <v>3468</v>
      </c>
      <c r="C3470" s="10" t="inlineStr">
        <is>
          <t>Quản Lý/ Chuyên Viên Cao Cấp Kiểm Soát Tài Sản Toàn Cầu</t>
        </is>
      </c>
      <c r="D3470" s="10" t="inlineStr">
        <is>
          <t>GSM</t>
        </is>
      </c>
      <c r="E3470" s="10" t="inlineStr">
        <is>
          <t>$$ 1,000-2,000 /tháng</t>
        </is>
      </c>
      <c r="F3470" s="10" t="inlineStr">
        <is>
          <t>Quốc tế, Hà Nội</t>
        </is>
      </c>
      <c r="G3470" s="10" t="inlineStr">
        <is>
          <t>Nhân viên</t>
        </is>
      </c>
      <c r="H3470" s="10" t="inlineStr">
        <is>
          <t>11/02/2026</t>
        </is>
      </c>
      <c r="I3470" s="10" t="inlineStr">
        <is>
          <t>28/03/2026</t>
        </is>
      </c>
      <c r="J3470" s="10" t="inlineStr">
        <is>
          <t>17/03/2026</t>
        </is>
      </c>
      <c r="K3470" s="10" t="inlineStr">
        <is>
          <t>N/A</t>
        </is>
      </c>
      <c r="L3470" s="10" t="inlineStr">
        <is>
          <t>Kế toán, Kiểm toán, logistic, Kỹ thuật ô tô, Vận tải - giao nhận</t>
        </is>
      </c>
      <c r="M3470" s="10" t="inlineStr">
        <is>
          <t>Bonus, Healthcare Plan, Training</t>
        </is>
      </c>
      <c r="N3470" s="11">
        <f>HYPERLINK("https://www.vietnamworks.com/quan-ly-chuyen-vien-cao-cap-kiem-soat-tai-san-toan-cau--2011366-jv","Xem chi tiết")</f>
        <v/>
      </c>
      <c r="O3470" s="10" t="n"/>
    </row>
    <row r="3471">
      <c r="B3471" s="7" t="n">
        <v>3469</v>
      </c>
      <c r="C3471" t="inlineStr">
        <is>
          <t>[Part-Time] Business Teacher</t>
        </is>
      </c>
      <c r="D3471" t="inlineStr">
        <is>
          <t>Scotch Australian Grammar School (AGS)</t>
        </is>
      </c>
      <c r="E3471" t="inlineStr">
        <is>
          <t>Thương lượng</t>
        </is>
      </c>
      <c r="F3471" t="inlineStr">
        <is>
          <t>Hồ Chí Minh</t>
        </is>
      </c>
      <c r="G3471" t="inlineStr">
        <is>
          <t>Nhân viên</t>
        </is>
      </c>
      <c r="H3471" t="inlineStr">
        <is>
          <t>11/02/2026</t>
        </is>
      </c>
      <c r="I3471" t="inlineStr">
        <is>
          <t>28/03/2026</t>
        </is>
      </c>
      <c r="J3471" t="inlineStr">
        <is>
          <t>17/03/2026</t>
        </is>
      </c>
      <c r="K3471" t="inlineStr">
        <is>
          <t>N/A</t>
        </is>
      </c>
      <c r="L3471" t="inlineStr">
        <is>
          <t>English, Admission Control, Teaching Business English, Training, Coaching</t>
        </is>
      </c>
      <c r="M3471" t="inlineStr">
        <is>
          <t>Bonus, Training, Others</t>
        </is>
      </c>
      <c r="N3471" s="8">
        <f>HYPERLINK("https://www.vietnamworks.com/part-time-business-teacher-2011368-jv","Xem chi tiết")</f>
        <v/>
      </c>
    </row>
    <row r="3472">
      <c r="B3472" s="9" t="n">
        <v>3470</v>
      </c>
      <c r="C3472" s="10" t="inlineStr">
        <is>
          <t>Kiểm Nghiệm Viên Hóa Lý, IPC Tại Nhà Máy Sản Xuất Dược Phẩm CNC Hataphar</t>
        </is>
      </c>
      <c r="D3472" s="10" t="inlineStr">
        <is>
          <t>Công ty Cổ phần Dược phẩm Hà Tây</t>
        </is>
      </c>
      <c r="E3472" s="10" t="inlineStr">
        <is>
          <t>Thương lượng</t>
        </is>
      </c>
      <c r="F3472" s="10" t="inlineStr">
        <is>
          <t>Hà Nội</t>
        </is>
      </c>
      <c r="G3472" s="10" t="inlineStr">
        <is>
          <t>Mới Tốt Nghiệp</t>
        </is>
      </c>
      <c r="H3472" s="10" t="inlineStr">
        <is>
          <t>11/02/2026</t>
        </is>
      </c>
      <c r="I3472" s="10" t="inlineStr">
        <is>
          <t>28/03/2026</t>
        </is>
      </c>
      <c r="J3472" s="10" t="inlineStr">
        <is>
          <t>17/03/2026</t>
        </is>
      </c>
      <c r="K3472" s="10" t="inlineStr">
        <is>
          <t>N/A</t>
        </is>
      </c>
      <c r="L3472" s="10" t="inlineStr">
        <is>
          <t>Phân Tích Hóa Lý, Vận Hành Thiết Bị, Kiểm Soát Sản Xuất, IPC, Kiểm Nghiệm Dược</t>
        </is>
      </c>
      <c r="M3472" s="10" t="inlineStr">
        <is>
          <t>Bonus, Healthcare Plan, Paid Leave, Training, Team Activities, Others</t>
        </is>
      </c>
      <c r="N3472" s="11">
        <f>HYPERLINK("https://www.vietnamworks.com/kiem-nghiem-vien-hoa-ly-ipc-tai-nha-may-san-xuat-duoc-pham-cnc-hataphar-2011382-jv","Xem chi tiết")</f>
        <v/>
      </c>
      <c r="O3472" s="10" t="n"/>
    </row>
    <row r="3473">
      <c r="B3473" s="7" t="n">
        <v>3471</v>
      </c>
      <c r="C3473" t="inlineStr">
        <is>
          <t>[Zara, Pull &amp; Bear] - Visual Commercial Supervisor</t>
        </is>
      </c>
      <c r="D3473" t="inlineStr">
        <is>
          <t>Mitra Adiperkasa Vietnam Limited</t>
        </is>
      </c>
      <c r="E3473" t="inlineStr">
        <is>
          <t>Thương lượng</t>
        </is>
      </c>
      <c r="F3473" t="inlineStr">
        <is>
          <t>Hồ Chí Minh, Hà Nội</t>
        </is>
      </c>
      <c r="G3473" t="inlineStr">
        <is>
          <t>Mới Tốt Nghiệp</t>
        </is>
      </c>
      <c r="H3473" t="inlineStr">
        <is>
          <t>11/02/2026</t>
        </is>
      </c>
      <c r="I3473" t="inlineStr">
        <is>
          <t>28/03/2026</t>
        </is>
      </c>
      <c r="J3473" t="inlineStr">
        <is>
          <t>17/03/2026</t>
        </is>
      </c>
      <c r="K3473" t="inlineStr">
        <is>
          <t>N/A</t>
        </is>
      </c>
      <c r="L3473" t="inlineStr">
        <is>
          <t>Sales Management, Customer Service, Creative Thinking, Market Trends, Visual Management</t>
        </is>
      </c>
      <c r="M3473" t="inlineStr">
        <is>
          <t>Bonus, Healthcare Plan, Paid Leave, Training, Others</t>
        </is>
      </c>
      <c r="N3473" s="8">
        <f>HYPERLINK("https://www.vietnamworks.com/zara-pull-and-bear-visual-commercial-supervisor-2011361-jv","Xem chi tiết")</f>
        <v/>
      </c>
    </row>
    <row r="3474">
      <c r="B3474" s="9" t="n">
        <v>3472</v>
      </c>
      <c r="C3474" s="10" t="inlineStr">
        <is>
          <t>Kế Toán Tổng Hợp</t>
        </is>
      </c>
      <c r="D3474" s="10" t="inlineStr">
        <is>
          <t>CÔNG TY TNHH HEXOGON VIỆT NAM</t>
        </is>
      </c>
      <c r="E3474" s="10" t="inlineStr">
        <is>
          <t>12tr-15tr ₫/tháng</t>
        </is>
      </c>
      <c r="F3474" s="10" t="inlineStr">
        <is>
          <t>Hà Nội</t>
        </is>
      </c>
      <c r="G3474" s="10" t="inlineStr">
        <is>
          <t>Nhân viên</t>
        </is>
      </c>
      <c r="H3474" s="10" t="inlineStr">
        <is>
          <t>11/02/2026</t>
        </is>
      </c>
      <c r="I3474" s="10" t="inlineStr">
        <is>
          <t>28/03/2026</t>
        </is>
      </c>
      <c r="J3474" s="10" t="inlineStr">
        <is>
          <t>17/03/2026</t>
        </is>
      </c>
      <c r="K3474" s="10" t="inlineStr">
        <is>
          <t>N/A</t>
        </is>
      </c>
      <c r="L3474" s="10" t="inlineStr">
        <is>
          <t>Kế toán &amp; Tài chính, Báo Cáo Tài Chính, Hạch Toán, Thuế, Tài Chính</t>
        </is>
      </c>
      <c r="M3474" s="10" t="inlineStr">
        <is>
          <t>Bonus, Healthcare Plan, Paid Leave, Training, Laptop, Others</t>
        </is>
      </c>
      <c r="N3474" s="11">
        <f>HYPERLINK("https://www.vietnamworks.com/ke-toan-tong-hop-2011389-jv","Xem chi tiết")</f>
        <v/>
      </c>
      <c r="O3474" s="10" t="n"/>
    </row>
    <row r="3475">
      <c r="B3475" s="7" t="n">
        <v>3473</v>
      </c>
      <c r="C3475" t="inlineStr">
        <is>
          <t>Customer Service Engineer (Chinese Speaking)</t>
        </is>
      </c>
      <c r="D3475" t="inlineStr">
        <is>
          <t>Panasonic Vietnam Co.,LTD</t>
        </is>
      </c>
      <c r="E3475" t="inlineStr">
        <is>
          <t>Thương lượng</t>
        </is>
      </c>
      <c r="F3475" t="inlineStr">
        <is>
          <t>Hà Nội</t>
        </is>
      </c>
      <c r="G3475" t="inlineStr">
        <is>
          <t>Nhân viên</t>
        </is>
      </c>
      <c r="H3475" t="inlineStr">
        <is>
          <t>11/02/2026</t>
        </is>
      </c>
      <c r="I3475" t="inlineStr">
        <is>
          <t>28/03/2026</t>
        </is>
      </c>
      <c r="J3475" t="inlineStr">
        <is>
          <t>17/03/2026</t>
        </is>
      </c>
      <c r="K3475" t="inlineStr">
        <is>
          <t>N/A</t>
        </is>
      </c>
      <c r="L3475" t="inlineStr">
        <is>
          <t>Electrical, SMT Equipment, Mechanical, English, Chinese</t>
        </is>
      </c>
      <c r="M3475" t="inlineStr">
        <is>
          <t>Bonus, Training, Transportation</t>
        </is>
      </c>
      <c r="N3475" s="8">
        <f>HYPERLINK("https://www.vietnamworks.com/customer-service-engineer-chinese-speaking--2011386-jv","Xem chi tiết")</f>
        <v/>
      </c>
    </row>
    <row r="3476">
      <c r="B3476" s="9" t="n">
        <v>3474</v>
      </c>
      <c r="C3476" s="10" t="inlineStr">
        <is>
          <t>Office Admin And Cashier</t>
        </is>
      </c>
      <c r="D3476" s="10" t="inlineStr">
        <is>
          <t>SINOYOUTH ENTERPRISE (HK) LIMITED</t>
        </is>
      </c>
      <c r="E3476" s="10" t="inlineStr">
        <is>
          <t>Thương lượng</t>
        </is>
      </c>
      <c r="F3476" s="10" t="inlineStr">
        <is>
          <t>Hồ Chí Minh</t>
        </is>
      </c>
      <c r="G3476" s="10" t="inlineStr">
        <is>
          <t>Nhân viên</t>
        </is>
      </c>
      <c r="H3476" s="10" t="inlineStr">
        <is>
          <t>11/02/2026</t>
        </is>
      </c>
      <c r="I3476" s="10" t="inlineStr">
        <is>
          <t>28/03/2026</t>
        </is>
      </c>
      <c r="J3476" s="10" t="inlineStr">
        <is>
          <t>17/03/2026</t>
        </is>
      </c>
      <c r="K3476" s="10" t="inlineStr">
        <is>
          <t>N/A</t>
        </is>
      </c>
      <c r="L3476" s="10" t="inlineStr">
        <is>
          <t>Cashier Skill, Communication, Contract Management, HR Supports, Office Administration</t>
        </is>
      </c>
      <c r="M3476" s="10" t="inlineStr">
        <is>
          <t>Paid Leave, Others</t>
        </is>
      </c>
      <c r="N3476" s="11">
        <f>HYPERLINK("https://www.vietnamworks.com/office-admin-and-cashier-2011400-jv","Xem chi tiết")</f>
        <v/>
      </c>
      <c r="O3476" s="10" t="n"/>
    </row>
    <row r="3477">
      <c r="B3477" s="7" t="n">
        <v>3475</v>
      </c>
      <c r="C3477" t="inlineStr">
        <is>
          <t>Trình Dược Viên Kênh Bệnh Viện (ETC) - Ngành Hàng Dinh Dưỡng - Khu Vực Thanh Hóa/ Hậu Giang/ Kiên Giang/ Long An</t>
        </is>
      </c>
      <c r="D3477" t="inlineStr">
        <is>
          <t>Abbott</t>
        </is>
      </c>
      <c r="E3477" t="inlineStr">
        <is>
          <t>Thương lượng</t>
        </is>
      </c>
      <c r="F3477" t="inlineStr">
        <is>
          <t>Hà Nội</t>
        </is>
      </c>
      <c r="G3477" t="inlineStr">
        <is>
          <t>Nhân viên</t>
        </is>
      </c>
      <c r="H3477" t="inlineStr">
        <is>
          <t>11/02/2026</t>
        </is>
      </c>
      <c r="I3477" t="inlineStr">
        <is>
          <t>28/03/2026</t>
        </is>
      </c>
      <c r="J3477" t="inlineStr">
        <is>
          <t>17/03/2026</t>
        </is>
      </c>
      <c r="K3477" t="inlineStr">
        <is>
          <t>N/A</t>
        </is>
      </c>
      <c r="L3477" t="inlineStr">
        <is>
          <t>Sales, Tư vấn dinh dưỡng, Trình dược viên ETC, Kinh Doanh, Giao Tiếp</t>
        </is>
      </c>
      <c r="M3477" t="inlineStr">
        <is>
          <t>Bonus, Healthcare Plan, Training</t>
        </is>
      </c>
      <c r="N3477" s="8">
        <f>HYPERLINK("https://www.vietnamworks.com/trinh-duoc-vien-kenh-benh-vien-etc-nganh-hang-dinh-duong-khu-vuc-thanh-hoa-hau-giang-kien-giang-long-an-2011404-jv","Xem chi tiết")</f>
        <v/>
      </c>
    </row>
    <row r="3478">
      <c r="B3478" s="9" t="n">
        <v>3476</v>
      </c>
      <c r="C3478" s="10" t="inlineStr">
        <is>
          <t>Kiến Trúc Sư Của Chủ Đầu Tư</t>
        </is>
      </c>
      <c r="D3478" s="10" t="inlineStr">
        <is>
          <t>Công Ty TNHH Minh Giang</t>
        </is>
      </c>
      <c r="E3478" s="10" t="inlineStr">
        <is>
          <t>Thương lượng</t>
        </is>
      </c>
      <c r="F3478" s="10" t="inlineStr">
        <is>
          <t>Hà Nội</t>
        </is>
      </c>
      <c r="G3478" s="10" t="inlineStr">
        <is>
          <t>Nhân viên</t>
        </is>
      </c>
      <c r="H3478" s="10" t="inlineStr">
        <is>
          <t>11/02/2026</t>
        </is>
      </c>
      <c r="I3478" s="10" t="inlineStr">
        <is>
          <t>28/03/2026</t>
        </is>
      </c>
      <c r="J3478" s="10" t="inlineStr">
        <is>
          <t>17/03/2026</t>
        </is>
      </c>
      <c r="K3478" s="10" t="inlineStr">
        <is>
          <t>N/A</t>
        </is>
      </c>
      <c r="L3478" s="10" t="inlineStr">
        <is>
          <t>AutoCAD, Kinh Tế Xây Dựng, Quản Lý Dự Án, Đấu Thầu, Kiến Trúc Công Trình</t>
        </is>
      </c>
      <c r="M3478" s="10" t="inlineStr">
        <is>
          <t>Bonus, Healthcare Plan, Paid Leave, Training, Travel Opportunities, Others</t>
        </is>
      </c>
      <c r="N3478" s="11">
        <f>HYPERLINK("https://www.vietnamworks.com/kien-truc-su-cua-chu-djau-tu-2011394-jv","Xem chi tiết")</f>
        <v/>
      </c>
      <c r="O3478" s="10" t="n"/>
    </row>
    <row r="3479">
      <c r="B3479" s="7" t="n">
        <v>3477</v>
      </c>
      <c r="C3479" t="inlineStr">
        <is>
          <t>[Tuyển Gấp] Kỹ Sư Điện - Lương Upto 18Tr</t>
        </is>
      </c>
      <c r="D3479" t="inlineStr">
        <is>
          <t>Công Ty Cổ Phần Quản Lý Vận Hành Xử Lý Nước Thải Việt Nam</t>
        </is>
      </c>
      <c r="E3479" t="inlineStr">
        <is>
          <t>$$ 500-700 /tháng</t>
        </is>
      </c>
      <c r="F3479" t="inlineStr">
        <is>
          <t>Hà Nội</t>
        </is>
      </c>
      <c r="G3479" t="inlineStr">
        <is>
          <t>Nhân viên</t>
        </is>
      </c>
      <c r="H3479" t="inlineStr">
        <is>
          <t>11/02/2026</t>
        </is>
      </c>
      <c r="I3479" t="inlineStr">
        <is>
          <t>28/03/2026</t>
        </is>
      </c>
      <c r="J3479" t="inlineStr">
        <is>
          <t>17/03/2026</t>
        </is>
      </c>
      <c r="K3479" t="inlineStr">
        <is>
          <t>N/A</t>
        </is>
      </c>
      <c r="L3479" t="inlineStr">
        <is>
          <t>Kỹ Thuật Điện, Điện Công Nghiệp, Hệ Thống Điện, Cơ Điện Tự Động</t>
        </is>
      </c>
      <c r="M3479" t="inlineStr">
        <is>
          <t>Bonus, Healthcare Plan, Travel Opportunities</t>
        </is>
      </c>
      <c r="N3479" s="8">
        <f>HYPERLINK("https://www.vietnamworks.com/tuyen-gap-ky-su-dien-luong-upto-18tr--2011392-jv","Xem chi tiết")</f>
        <v/>
      </c>
    </row>
    <row r="3480">
      <c r="B3480" s="9" t="n">
        <v>3478</v>
      </c>
      <c r="C3480" s="10" t="inlineStr">
        <is>
          <t>Senior Creative Designer (English)</t>
        </is>
      </c>
      <c r="D3480" s="10" t="inlineStr">
        <is>
          <t>Vietnamworks' Client</t>
        </is>
      </c>
      <c r="E3480" s="10" t="inlineStr">
        <is>
          <t>Thương lượng</t>
        </is>
      </c>
      <c r="F3480" s="10" t="inlineStr">
        <is>
          <t>Hồ Chí Minh</t>
        </is>
      </c>
      <c r="G3480" s="10" t="inlineStr">
        <is>
          <t>Nhân viên</t>
        </is>
      </c>
      <c r="H3480" s="10" t="inlineStr">
        <is>
          <t>11/02/2026</t>
        </is>
      </c>
      <c r="I3480" s="10" t="inlineStr">
        <is>
          <t>28/03/2026</t>
        </is>
      </c>
      <c r="J3480" s="10" t="inlineStr">
        <is>
          <t>17/03/2026</t>
        </is>
      </c>
      <c r="K3480" s="10" t="inlineStr">
        <is>
          <t>N/A</t>
        </is>
      </c>
      <c r="L3480" s="10" t="inlineStr">
        <is>
          <t>Advertising, Creative, English Fluency, Social Media Marketing, Video Editing</t>
        </is>
      </c>
      <c r="M3480" s="10" t="inlineStr">
        <is>
          <t>Bonus, Healthcare Plan, Laptop, Others</t>
        </is>
      </c>
      <c r="N3480" s="11">
        <f>HYPERLINK("https://www.vietnamworks.com/senior-creative-designer-english-2011406-jv","Xem chi tiết")</f>
        <v/>
      </c>
      <c r="O3480" s="10" t="n"/>
    </row>
    <row r="3481">
      <c r="B3481" s="7" t="n">
        <v>3479</v>
      </c>
      <c r="C3481" t="inlineStr">
        <is>
          <t>Merchandiser (Flat Knit / Sweater)</t>
        </is>
      </c>
      <c r="D3481" t="inlineStr">
        <is>
          <t>The Representative Office of Otto International (Vietnam) LTD.</t>
        </is>
      </c>
      <c r="E3481" t="inlineStr">
        <is>
          <t>Thương lượng</t>
        </is>
      </c>
      <c r="F3481" t="inlineStr">
        <is>
          <t>Hồ Chí Minh</t>
        </is>
      </c>
      <c r="G3481" t="inlineStr">
        <is>
          <t>Nhân viên</t>
        </is>
      </c>
      <c r="H3481" t="inlineStr">
        <is>
          <t>11/02/2026</t>
        </is>
      </c>
      <c r="I3481" t="inlineStr">
        <is>
          <t>28/03/2026</t>
        </is>
      </c>
      <c r="J3481" t="inlineStr">
        <is>
          <t>17/03/2026</t>
        </is>
      </c>
      <c r="K3481" t="inlineStr">
        <is>
          <t>N/A</t>
        </is>
      </c>
      <c r="L3481" t="inlineStr">
        <is>
          <t>Merchandising, Sweaters Merchandising, Merchandiser, Merchandise Sourcing, Merchandise Garment</t>
        </is>
      </c>
      <c r="M3481" t="inlineStr">
        <is>
          <t>Bonus, Healthcare Plan, Others</t>
        </is>
      </c>
      <c r="N3481" s="8">
        <f>HYPERLINK("https://www.vietnamworks.com/merchandiser-flat-knit-sweater-2011397-jv","Xem chi tiết")</f>
        <v/>
      </c>
    </row>
    <row r="3482">
      <c r="B3482" s="9" t="n">
        <v>3480</v>
      </c>
      <c r="C3482" s="10" t="inlineStr">
        <is>
          <t>Trưởng Phòng Phát Triển Kinh Doanh &amp; Khách Hàng Trọng Điểm (Ô Tô – B2B)</t>
        </is>
      </c>
      <c r="D3482" s="10" t="inlineStr">
        <is>
          <t>Công Ty Cổ Phần Sơn Ôtô Achison</t>
        </is>
      </c>
      <c r="E3482" s="10" t="inlineStr">
        <is>
          <t>Thương lượng</t>
        </is>
      </c>
      <c r="F3482" s="10" t="inlineStr">
        <is>
          <t>Hồ Chí Minh</t>
        </is>
      </c>
      <c r="G3482" s="10" t="inlineStr">
        <is>
          <t>Trưởng phòng</t>
        </is>
      </c>
      <c r="H3482" s="10" t="inlineStr">
        <is>
          <t>11/02/2026</t>
        </is>
      </c>
      <c r="I3482" s="10" t="inlineStr">
        <is>
          <t>28/03/2026</t>
        </is>
      </c>
      <c r="J3482" s="10" t="inlineStr">
        <is>
          <t>17/03/2026</t>
        </is>
      </c>
      <c r="K3482" s="10" t="inlineStr">
        <is>
          <t>N/A</t>
        </is>
      </c>
      <c r="L3482" s="10" t="inlineStr">
        <is>
          <t>Lập Kế Hoạch Kinh Doanh, Quản Trị Khách Hàng, Sơn Ô Tô, Business Development Management, Quản lý Kinh doanh &amp; Bán Hàng</t>
        </is>
      </c>
      <c r="M3482" s="10" t="inlineStr">
        <is>
          <t>Bonus, Training, Awards, Others</t>
        </is>
      </c>
      <c r="N3482" s="11">
        <f>HYPERLINK("https://www.vietnamworks.com/truong-phong-phat-trien-kinh-doanh-and-khach-hang-trong-djiem-o-to-b2b-2011388-jv","Xem chi tiết")</f>
        <v/>
      </c>
      <c r="O3482" s="10" t="n"/>
    </row>
    <row r="3483">
      <c r="B3483" s="7" t="n">
        <v>3481</v>
      </c>
      <c r="C3483" t="inlineStr">
        <is>
          <t>Nhân Viên Phát Triển Logistics</t>
        </is>
      </c>
      <c r="D3483" t="inlineStr">
        <is>
          <t>Công Ty TNHH Cảng Quốc Tế Tân Cảng - Cái Mép</t>
        </is>
      </c>
      <c r="E3483" t="inlineStr">
        <is>
          <t>$$ 500-1,000 /tháng</t>
        </is>
      </c>
      <c r="F3483" t="inlineStr">
        <is>
          <t>Bà Rịa - Vũng Tàu</t>
        </is>
      </c>
      <c r="G3483" t="inlineStr">
        <is>
          <t>Nhân viên</t>
        </is>
      </c>
      <c r="H3483" t="inlineStr">
        <is>
          <t>11/02/2026</t>
        </is>
      </c>
      <c r="I3483" t="inlineStr">
        <is>
          <t>28/03/2026</t>
        </is>
      </c>
      <c r="J3483" t="inlineStr">
        <is>
          <t>17/03/2026</t>
        </is>
      </c>
      <c r="K3483" t="inlineStr">
        <is>
          <t>N/A</t>
        </is>
      </c>
      <c r="L3483" t="inlineStr">
        <is>
          <t>Business Development, Phân Tích Báo Cáo, Tiếng Anh lưu loát, Quản Lý Khai Thác Cảng, Logistic Quốc Tế</t>
        </is>
      </c>
      <c r="M3483" t="inlineStr">
        <is>
          <t>Bonus, Healthcare Plan, Team Activities</t>
        </is>
      </c>
      <c r="N3483" s="8">
        <f>HYPERLINK("https://www.vietnamworks.com/nhan-vien-phat-trien-logistics-2011412-jv","Xem chi tiết")</f>
        <v/>
      </c>
    </row>
    <row r="3484">
      <c r="B3484" s="9" t="n">
        <v>3482</v>
      </c>
      <c r="C3484" s="10" t="inlineStr">
        <is>
          <t>System Analyst/ Senior System Analyst</t>
        </is>
      </c>
      <c r="D3484" s="10" t="inlineStr">
        <is>
          <t>Raffles Medical Group</t>
        </is>
      </c>
      <c r="E3484" s="10" t="inlineStr">
        <is>
          <t>45tr-50tr ₫/tháng</t>
        </is>
      </c>
      <c r="F3484" s="10" t="inlineStr">
        <is>
          <t>Hồ Chí Minh</t>
        </is>
      </c>
      <c r="G3484" s="10" t="inlineStr">
        <is>
          <t>Nhân viên</t>
        </is>
      </c>
      <c r="H3484" s="10" t="inlineStr">
        <is>
          <t>11/02/2026</t>
        </is>
      </c>
      <c r="I3484" s="10" t="inlineStr">
        <is>
          <t>28/03/2026</t>
        </is>
      </c>
      <c r="J3484" s="10" t="inlineStr">
        <is>
          <t>17/03/2026</t>
        </is>
      </c>
      <c r="K3484" s="10" t="inlineStr">
        <is>
          <t>N/A</t>
        </is>
      </c>
      <c r="L3484" s="10" t="inlineStr">
        <is>
          <t>C#, .Net, ASP.Net, SQL, WPF</t>
        </is>
      </c>
      <c r="M3484" s="10" t="inlineStr">
        <is>
          <t>Bonus, Healthcare Plan</t>
        </is>
      </c>
      <c r="N3484" s="11">
        <f>HYPERLINK("https://www.vietnamworks.com/system-analyst-senior-system-analyst--2011399-jv","Xem chi tiết")</f>
        <v/>
      </c>
      <c r="O3484" s="10" t="n"/>
    </row>
    <row r="3485">
      <c r="B3485" s="7" t="n">
        <v>3483</v>
      </c>
      <c r="C3485" t="inlineStr">
        <is>
          <t>Chemicals Sales Representative - PVC Sales Executive</t>
        </is>
      </c>
      <c r="D3485" t="inlineStr">
        <is>
          <t>Công ty TNHH Hóa chất AGC Việt Nam / AGC Chemicals Vietnam Co., Ltd.</t>
        </is>
      </c>
      <c r="E3485" t="inlineStr">
        <is>
          <t>Thương lượng</t>
        </is>
      </c>
      <c r="F3485" t="inlineStr">
        <is>
          <t>Hồ Chí Minh, Bà Rịa - Vũng Tàu</t>
        </is>
      </c>
      <c r="G3485" t="inlineStr">
        <is>
          <t>Nhân viên</t>
        </is>
      </c>
      <c r="H3485" t="inlineStr">
        <is>
          <t>11/02/2026</t>
        </is>
      </c>
      <c r="I3485" t="inlineStr">
        <is>
          <t>28/03/2026</t>
        </is>
      </c>
      <c r="J3485" t="inlineStr">
        <is>
          <t>17/03/2026</t>
        </is>
      </c>
      <c r="K3485" t="inlineStr">
        <is>
          <t>N/A</t>
        </is>
      </c>
      <c r="L3485" t="inlineStr">
        <is>
          <t>Industrial Materials, PVC, Chemical Sales, B2B Sales</t>
        </is>
      </c>
      <c r="M3485" t="inlineStr">
        <is>
          <t>Bonus, Healthcare Plan</t>
        </is>
      </c>
      <c r="N3485" s="8">
        <f>HYPERLINK("https://www.vietnamworks.com/chemicals-sales-representative-pvc-sales-executive-2011385-jv","Xem chi tiết")</f>
        <v/>
      </c>
    </row>
    <row r="3486">
      <c r="B3486" s="9" t="n">
        <v>3484</v>
      </c>
      <c r="C3486" s="10" t="inlineStr">
        <is>
          <t>Quản Lý Xưởng</t>
        </is>
      </c>
      <c r="D3486" s="10" t="inlineStr">
        <is>
          <t>A Oi Concept</t>
        </is>
      </c>
      <c r="E3486" s="10" t="inlineStr">
        <is>
          <t>30tr-35tr ₫/tháng</t>
        </is>
      </c>
      <c r="F3486" s="10" t="inlineStr">
        <is>
          <t>Hồ Chí Minh</t>
        </is>
      </c>
      <c r="G3486" s="10" t="inlineStr">
        <is>
          <t>Nhân viên</t>
        </is>
      </c>
      <c r="H3486" s="10" t="inlineStr">
        <is>
          <t>11/02/2026</t>
        </is>
      </c>
      <c r="I3486" s="10" t="inlineStr">
        <is>
          <t>28/03/2026</t>
        </is>
      </c>
      <c r="J3486" s="10" t="inlineStr">
        <is>
          <t>17/03/2026</t>
        </is>
      </c>
      <c r="K3486" s="10" t="inlineStr">
        <is>
          <t>N/A</t>
        </is>
      </c>
      <c r="L3486" s="10" t="inlineStr">
        <is>
          <t>Gerber, Kế Hoạch Sản Xuất, May Mặc, Quản Lý Kho, Quản Lý Xưởng May</t>
        </is>
      </c>
      <c r="M3486" s="10" t="inlineStr">
        <is>
          <t>Bonus, Healthcare Plan, Paid Leave, Team Activities, Others</t>
        </is>
      </c>
      <c r="N3486" s="11">
        <f>HYPERLINK("https://www.vietnamworks.com/quan-ly-xuong-2011409-jv","Xem chi tiết")</f>
        <v/>
      </c>
      <c r="O3486" s="10" t="n"/>
    </row>
    <row r="3487">
      <c r="B3487" s="7" t="n">
        <v>3485</v>
      </c>
      <c r="C3487" t="inlineStr">
        <is>
          <t>Lead, Business Operation</t>
        </is>
      </c>
      <c r="D3487" t="inlineStr">
        <is>
          <t>NAB Innovation Centre Vietnam</t>
        </is>
      </c>
      <c r="E3487" t="inlineStr">
        <is>
          <t>Thương lượng</t>
        </is>
      </c>
      <c r="F3487" t="inlineStr">
        <is>
          <t>Hồ Chí Minh</t>
        </is>
      </c>
      <c r="G3487" t="inlineStr">
        <is>
          <t>Trưởng phòng</t>
        </is>
      </c>
      <c r="H3487" t="inlineStr">
        <is>
          <t>11/02/2026</t>
        </is>
      </c>
      <c r="I3487" t="inlineStr">
        <is>
          <t>28/03/2026</t>
        </is>
      </c>
      <c r="J3487" t="inlineStr">
        <is>
          <t>17/03/2026</t>
        </is>
      </c>
      <c r="K3487" t="inlineStr">
        <is>
          <t>N/A</t>
        </is>
      </c>
      <c r="L3487" t="inlineStr">
        <is>
          <t>Communication Skills, Leadership, Banking, Process Workflow</t>
        </is>
      </c>
      <c r="M3487" t="inlineStr">
        <is>
          <t>Bonus, Healthcare Plan, Team Activities</t>
        </is>
      </c>
      <c r="N3487" s="8">
        <f>HYPERLINK("https://www.vietnamworks.com/lead-business-operation-2011401-jv","Xem chi tiết")</f>
        <v/>
      </c>
    </row>
    <row r="3488">
      <c r="B3488" s="9" t="n">
        <v>3486</v>
      </c>
      <c r="C3488" s="10" t="inlineStr">
        <is>
          <t>Trưởng Phòng Hành Chính Nhân Sự</t>
        </is>
      </c>
      <c r="D3488" s="10" t="inlineStr">
        <is>
          <t>CÔNG TY CỔ PHẦN ĐẦU TƯ MÁY XÂY DỰNG HẢI ÂU</t>
        </is>
      </c>
      <c r="E3488" s="10" t="inlineStr">
        <is>
          <t>20tr-30tr ₫/tháng</t>
        </is>
      </c>
      <c r="F3488" s="10" t="inlineStr">
        <is>
          <t>Hà Nội</t>
        </is>
      </c>
      <c r="G3488" s="10" t="inlineStr">
        <is>
          <t>Trưởng phòng</t>
        </is>
      </c>
      <c r="H3488" s="10" t="inlineStr">
        <is>
          <t>11/02/2026</t>
        </is>
      </c>
      <c r="I3488" s="10" t="inlineStr">
        <is>
          <t>28/03/2026</t>
        </is>
      </c>
      <c r="J3488" s="10" t="inlineStr">
        <is>
          <t>17/03/2026</t>
        </is>
      </c>
      <c r="K3488" s="10" t="inlineStr">
        <is>
          <t>N/A</t>
        </is>
      </c>
      <c r="L3488" s="10" t="inlineStr">
        <is>
          <t>Quản Trị Nhân Sự, Quản Lý Hành Chính, Nhân Sự, Hành Chính Nhân Sự, Văn hoá doanh nghiệp</t>
        </is>
      </c>
      <c r="M3488" s="10" t="inlineStr">
        <is>
          <t>Bonus, Healthcare Plan, Paid Leave, Training, Awards, Team Activities</t>
        </is>
      </c>
      <c r="N3488" s="11">
        <f>HYPERLINK("https://www.vietnamworks.com/truong-phong-hanh-chinh-nhan-su-2011387-jv","Xem chi tiết")</f>
        <v/>
      </c>
      <c r="O3488" s="10" t="n"/>
    </row>
    <row r="3489">
      <c r="B3489" s="7" t="n">
        <v>3487</v>
      </c>
      <c r="C3489" t="inlineStr">
        <is>
          <t>SAP ABAP Technical Consultant</t>
        </is>
      </c>
      <c r="D3489" t="inlineStr">
        <is>
          <t>FPT Software</t>
        </is>
      </c>
      <c r="E3489" t="inlineStr">
        <is>
          <t>Thương lượng</t>
        </is>
      </c>
      <c r="F3489" t="inlineStr">
        <is>
          <t>Hồ Chí Minh, Hà Nội, Đà Nẵng</t>
        </is>
      </c>
      <c r="G3489" t="inlineStr">
        <is>
          <t>Nhân viên</t>
        </is>
      </c>
      <c r="H3489" t="inlineStr">
        <is>
          <t>11/02/2026</t>
        </is>
      </c>
      <c r="I3489" t="inlineStr">
        <is>
          <t>28/03/2026</t>
        </is>
      </c>
      <c r="J3489" t="inlineStr">
        <is>
          <t>17/03/2026</t>
        </is>
      </c>
      <c r="K3489" t="inlineStr">
        <is>
          <t>N/A</t>
        </is>
      </c>
      <c r="L3489" t="inlineStr">
        <is>
          <t>SAP ABAP Development, OData Service, SAP BTP, ALV, Devops Tools</t>
        </is>
      </c>
      <c r="M3489" t="inlineStr">
        <is>
          <t>Bonus</t>
        </is>
      </c>
      <c r="N3489" s="8">
        <f>HYPERLINK("https://www.vietnamworks.com/sap-abap-technical-consultant--2011410-jv","Xem chi tiết")</f>
        <v/>
      </c>
    </row>
    <row r="3490">
      <c r="B3490" s="9" t="n">
        <v>3488</v>
      </c>
      <c r="C3490" s="10" t="inlineStr">
        <is>
          <t>Sales leader</t>
        </is>
      </c>
      <c r="D3490" s="10" t="inlineStr">
        <is>
          <t>Công Ty Merchize</t>
        </is>
      </c>
      <c r="E3490" s="10" t="inlineStr">
        <is>
          <t>$$ 500-2,000 /tháng</t>
        </is>
      </c>
      <c r="F3490" s="10" t="inlineStr">
        <is>
          <t>Hà Nội</t>
        </is>
      </c>
      <c r="G3490" s="10" t="inlineStr">
        <is>
          <t>Nhân viên</t>
        </is>
      </c>
      <c r="H3490" s="10" t="inlineStr">
        <is>
          <t>11/02/2026</t>
        </is>
      </c>
      <c r="I3490" s="10" t="inlineStr">
        <is>
          <t>28/03/2026</t>
        </is>
      </c>
      <c r="J3490" s="10" t="inlineStr">
        <is>
          <t>17/03/2026</t>
        </is>
      </c>
      <c r="K3490" s="10" t="inlineStr">
        <is>
          <t>N/A</t>
        </is>
      </c>
      <c r="L3490" s="10" t="inlineStr">
        <is>
          <t>Communication, Customer Experience Management, Digital Marketing, Sales Development, Team Management</t>
        </is>
      </c>
      <c r="M3490" s="10" t="inlineStr">
        <is>
          <t>Healthcare Plan, Team Activities, Others</t>
        </is>
      </c>
      <c r="N3490" s="11">
        <f>HYPERLINK("https://www.vietnamworks.com/sales-leader-2011413-jv","Xem chi tiết")</f>
        <v/>
      </c>
      <c r="O3490" s="10" t="n"/>
    </row>
    <row r="3491">
      <c r="B3491" s="7" t="n">
        <v>3489</v>
      </c>
      <c r="C3491" t="inlineStr">
        <is>
          <t>Nhân Viên Sales Tư Vấn Du Học Úc - Đãi Ngộ Hấp Dẫn</t>
        </is>
      </c>
      <c r="D3491" t="inlineStr">
        <is>
          <t>Công Ty TNHH MyAusVisa Định Cư - Du Học Úc</t>
        </is>
      </c>
      <c r="E3491" t="inlineStr">
        <is>
          <t>Thương lượng</t>
        </is>
      </c>
      <c r="F3491" t="inlineStr">
        <is>
          <t>Hà Nội</t>
        </is>
      </c>
      <c r="G3491" t="inlineStr">
        <is>
          <t>Nhân viên</t>
        </is>
      </c>
      <c r="H3491" t="inlineStr">
        <is>
          <t>11/02/2026</t>
        </is>
      </c>
      <c r="I3491" t="inlineStr">
        <is>
          <t>28/03/2026</t>
        </is>
      </c>
      <c r="J3491" t="inlineStr">
        <is>
          <t>17/03/2026</t>
        </is>
      </c>
      <c r="K3491" t="inlineStr">
        <is>
          <t>N/A</t>
        </is>
      </c>
      <c r="L3491" t="inlineStr">
        <is>
          <t>English, Hồ Sơ Du Học, Chăm Sóc Khách Hàng, Giao Tiếp, Tư Vấn Du Học</t>
        </is>
      </c>
      <c r="M3491" t="inlineStr">
        <is>
          <t>Bonus, Paid Leave, Others</t>
        </is>
      </c>
      <c r="N3491" s="8">
        <f>HYPERLINK("https://www.vietnamworks.com/nhan-vien-sales-tu-van-du-hoc-uc-dai-ngo-hap-dan-2011416-jv","Xem chi tiết")</f>
        <v/>
      </c>
    </row>
    <row r="3492">
      <c r="B3492" s="9" t="n">
        <v>3490</v>
      </c>
      <c r="C3492" s="10" t="inlineStr">
        <is>
          <t>Nhân Viên Biên Phiên Dịch Tiếng Trung</t>
        </is>
      </c>
      <c r="D3492" s="10" t="inlineStr">
        <is>
          <t>Công ty CP Giải pháp Công nghệ HẠNH MINH – HMSTECH</t>
        </is>
      </c>
      <c r="E3492" s="10" t="inlineStr">
        <is>
          <t>30tr-35tr ₫/tháng</t>
        </is>
      </c>
      <c r="F3492" s="10" t="inlineStr">
        <is>
          <t>Hà Nội</t>
        </is>
      </c>
      <c r="G3492" s="10" t="inlineStr">
        <is>
          <t>Nhân viên</t>
        </is>
      </c>
      <c r="H3492" s="10" t="inlineStr">
        <is>
          <t>11/02/2026</t>
        </is>
      </c>
      <c r="I3492" s="10" t="inlineStr">
        <is>
          <t>28/03/2026</t>
        </is>
      </c>
      <c r="J3492" s="10" t="inlineStr">
        <is>
          <t>17/03/2026</t>
        </is>
      </c>
      <c r="K3492" s="10" t="inlineStr">
        <is>
          <t>N/A</t>
        </is>
      </c>
      <c r="L3492" s="10" t="inlineStr">
        <is>
          <t>Tin Học Văn Phòng, Giao Dịch Với Đối Tác, Biên Phiên Dịch, Tiếng Anh Thành Thạo, Tìm Kiếm Sản Phẩm Mới</t>
        </is>
      </c>
      <c r="M3492" s="10" t="inlineStr">
        <is>
          <t>Bonus, Healthcare Plan, Training, Awards, Travel Opportunities, Others</t>
        </is>
      </c>
      <c r="N3492" s="11">
        <f>HYPERLINK("https://www.vietnamworks.com/nhan-vien-bien-phien-dich-tieng-trung-2011417-jv","Xem chi tiết")</f>
        <v/>
      </c>
      <c r="O3492" s="10" t="n"/>
    </row>
    <row r="3493">
      <c r="B3493" s="7" t="n">
        <v>3491</v>
      </c>
      <c r="C3493" t="inlineStr">
        <is>
          <t>Nhân Viên Kinh Doanh (Fintech / CNTT / Cloud)</t>
        </is>
      </c>
      <c r="D3493" t="inlineStr">
        <is>
          <t>Công ty CP Giải pháp Công nghệ HẠNH MINH – HMSTECH</t>
        </is>
      </c>
      <c r="E3493" t="inlineStr">
        <is>
          <t>25tr-30tr ₫/tháng</t>
        </is>
      </c>
      <c r="F3493" t="inlineStr">
        <is>
          <t>Hà Nội</t>
        </is>
      </c>
      <c r="G3493" t="inlineStr">
        <is>
          <t>Nhân viên</t>
        </is>
      </c>
      <c r="H3493" t="inlineStr">
        <is>
          <t>11/02/2026</t>
        </is>
      </c>
      <c r="I3493" t="inlineStr">
        <is>
          <t>28/03/2026</t>
        </is>
      </c>
      <c r="J3493" t="inlineStr">
        <is>
          <t>17/03/2026</t>
        </is>
      </c>
      <c r="K3493" t="inlineStr">
        <is>
          <t>N/A</t>
        </is>
      </c>
      <c r="L3493" t="inlineStr">
        <is>
          <t>Kinh Doanh B2B, ICT Solutions, Fintech, Tiếng Anh, Tiếng Trung</t>
        </is>
      </c>
      <c r="M3493" t="inlineStr">
        <is>
          <t>Bonus, Healthcare Plan, Training, Awards, Travel Opportunities, Others</t>
        </is>
      </c>
      <c r="N3493" s="8">
        <f>HYPERLINK("https://www.vietnamworks.com/nhan-vien-kinh-doanh-fintech-cntt-cloud-2011415-jv","Xem chi tiết")</f>
        <v/>
      </c>
    </row>
    <row r="3494">
      <c r="B3494" s="9" t="n">
        <v>3492</v>
      </c>
      <c r="C3494" s="10" t="inlineStr">
        <is>
          <t>Nhân Viên QA - Tiếng Anh</t>
        </is>
      </c>
      <c r="D3494" s="10" t="inlineStr">
        <is>
          <t>Công Ty TNHH Dreamtech Việt Nam</t>
        </is>
      </c>
      <c r="E3494" s="10" t="inlineStr">
        <is>
          <t>$$ 400-800 /tháng</t>
        </is>
      </c>
      <c r="F3494" s="10" t="inlineStr">
        <is>
          <t>Bắc Ninh</t>
        </is>
      </c>
      <c r="G3494" s="10" t="inlineStr">
        <is>
          <t>Nhân viên</t>
        </is>
      </c>
      <c r="H3494" s="10" t="inlineStr">
        <is>
          <t>11/02/2026</t>
        </is>
      </c>
      <c r="I3494" s="10" t="inlineStr">
        <is>
          <t>28/03/2026</t>
        </is>
      </c>
      <c r="J3494" s="10" t="inlineStr">
        <is>
          <t>17/03/2026</t>
        </is>
      </c>
      <c r="K3494" s="10" t="inlineStr">
        <is>
          <t>N/A</t>
        </is>
      </c>
      <c r="L3494" s="10" t="inlineStr">
        <is>
          <t>Tiếng Anh, QA, Qc</t>
        </is>
      </c>
      <c r="M3494" s="10" t="inlineStr">
        <is>
          <t>Bonus, Healthcare Plan, Canteen</t>
        </is>
      </c>
      <c r="N3494" s="11">
        <f>HYPERLINK("https://www.vietnamworks.com/nhan-vien-qa-tieng-anh--2011437-jv","Xem chi tiết")</f>
        <v/>
      </c>
      <c r="O3494" s="10" t="n"/>
    </row>
    <row r="3495">
      <c r="B3495" s="7" t="n">
        <v>3493</v>
      </c>
      <c r="C3495" t="inlineStr">
        <is>
          <t>Nhân Viên Kiểm Tra</t>
        </is>
      </c>
      <c r="D3495" t="inlineStr">
        <is>
          <t>Công Ty Cổ Phần Nước Sạch Hà Nam</t>
        </is>
      </c>
      <c r="E3495" t="inlineStr">
        <is>
          <t>10tr-15tr ₫/tháng</t>
        </is>
      </c>
      <c r="F3495" t="inlineStr">
        <is>
          <t>Hà Nội</t>
        </is>
      </c>
      <c r="G3495" t="inlineStr">
        <is>
          <t>Nhân viên</t>
        </is>
      </c>
      <c r="H3495" t="inlineStr">
        <is>
          <t>11/02/2026</t>
        </is>
      </c>
      <c r="I3495" t="inlineStr">
        <is>
          <t>28/03/2026</t>
        </is>
      </c>
      <c r="J3495" t="inlineStr">
        <is>
          <t>17/03/2026</t>
        </is>
      </c>
      <c r="K3495" t="inlineStr">
        <is>
          <t>N/A</t>
        </is>
      </c>
      <c r="L3495" t="inlineStr">
        <is>
          <t>An Toàn Lao Động, Cải Tiến, Kiểm Tra Thiết Bị, Sửa Chữa Hệ Thống</t>
        </is>
      </c>
      <c r="M3495" t="inlineStr">
        <is>
          <t>Bonus, Healthcare Plan, Training, Transportation, Others</t>
        </is>
      </c>
      <c r="N3495" s="8">
        <f>HYPERLINK("https://www.vietnamworks.com/nhan-vien-kiem-tra-2011438-jv","Xem chi tiết")</f>
        <v/>
      </c>
    </row>
    <row r="3496">
      <c r="B3496" s="9" t="n">
        <v>3494</v>
      </c>
      <c r="C3496" s="10" t="inlineStr">
        <is>
          <t>Kỹ Sư Giám Sát Thi Công/ Kỹ Sư Trắc Địa (Site Engineer/ Surveyor)</t>
        </is>
      </c>
      <c r="D3496" s="10" t="inlineStr">
        <is>
          <t>Chi Nhánh Công Ty TNHH Kỹ Thuật Xây Dựng Đồng Phong Việt Nam Tại Hà Nội</t>
        </is>
      </c>
      <c r="E3496" s="10" t="inlineStr">
        <is>
          <t>Thương lượng</t>
        </is>
      </c>
      <c r="F3496" s="10" t="inlineStr">
        <is>
          <t>Hà Nội, Hồ Chí Minh</t>
        </is>
      </c>
      <c r="G3496" s="10" t="inlineStr">
        <is>
          <t>Nhân viên</t>
        </is>
      </c>
      <c r="H3496" s="10" t="inlineStr">
        <is>
          <t>11/02/2026</t>
        </is>
      </c>
      <c r="I3496" s="10" t="inlineStr">
        <is>
          <t>28/03/2026</t>
        </is>
      </c>
      <c r="J3496" s="10" t="inlineStr">
        <is>
          <t>17/03/2026</t>
        </is>
      </c>
      <c r="K3496" s="10" t="inlineStr">
        <is>
          <t>N/A</t>
        </is>
      </c>
      <c r="L3496" s="10" t="inlineStr">
        <is>
          <t>Trắc Địa, AutoCAD, An Toàn Lao Động, Giám Sát Thi Công, Quản Lý Hồ Sơ Công Trường</t>
        </is>
      </c>
      <c r="M3496" s="10" t="inlineStr">
        <is>
          <t>Bonus, Healthcare Plan, Training, Travel Opportunities, Others</t>
        </is>
      </c>
      <c r="N3496" s="11">
        <f>HYPERLINK("https://www.vietnamworks.com/ky-su-giam-sat-thi-cong-ky-su-trac-djia-site-engineer-surveyor-2011419-jv","Xem chi tiết")</f>
        <v/>
      </c>
      <c r="O3496" s="10" t="n"/>
    </row>
    <row r="3497">
      <c r="B3497" s="7" t="n">
        <v>3495</v>
      </c>
      <c r="C3497" t="inlineStr">
        <is>
          <t>Tax, Treasury &amp; Internal Control Manager</t>
        </is>
      </c>
      <c r="D3497" t="inlineStr">
        <is>
          <t>Michael Page Vietnam</t>
        </is>
      </c>
      <c r="E3497" t="inlineStr">
        <is>
          <t>Thương lượng</t>
        </is>
      </c>
      <c r="F3497" t="inlineStr">
        <is>
          <t>Hồ Chí Minh</t>
        </is>
      </c>
      <c r="G3497" t="inlineStr">
        <is>
          <t>Nhân viên</t>
        </is>
      </c>
      <c r="H3497" t="inlineStr">
        <is>
          <t>11/02/2026</t>
        </is>
      </c>
      <c r="I3497" t="inlineStr">
        <is>
          <t>28/03/2026</t>
        </is>
      </c>
      <c r="J3497" t="inlineStr">
        <is>
          <t>17/03/2026</t>
        </is>
      </c>
      <c r="K3497" t="inlineStr">
        <is>
          <t>N/A</t>
        </is>
      </c>
      <c r="L3497" t="inlineStr">
        <is>
          <t>Treasury Financial Analyst, CPA, Accounting, Financial Control, Tax Legislation</t>
        </is>
      </c>
      <c r="M3497" t="inlineStr">
        <is>
          <t>Others</t>
        </is>
      </c>
      <c r="N3497" s="8">
        <f>HYPERLINK("https://www.vietnamworks.com/tax-treasury-amp-internal-control-manager-2011427-jv","Xem chi tiết")</f>
        <v/>
      </c>
    </row>
    <row r="3498">
      <c r="B3498" s="9" t="n">
        <v>3496</v>
      </c>
      <c r="C3498" s="10" t="inlineStr">
        <is>
          <t>Project Engineer</t>
        </is>
      </c>
      <c r="D3498" s="10" t="inlineStr">
        <is>
          <t>Tialoc Vietnam Company Limited</t>
        </is>
      </c>
      <c r="E3498" s="10" t="inlineStr">
        <is>
          <t>Thương lượng</t>
        </is>
      </c>
      <c r="F3498" s="10" t="inlineStr">
        <is>
          <t>Hồ Chí Minh</t>
        </is>
      </c>
      <c r="G3498" s="10" t="inlineStr">
        <is>
          <t>Nhân viên</t>
        </is>
      </c>
      <c r="H3498" s="10" t="inlineStr">
        <is>
          <t>11/02/2026</t>
        </is>
      </c>
      <c r="I3498" s="10" t="inlineStr">
        <is>
          <t>28/03/2026</t>
        </is>
      </c>
      <c r="J3498" s="10" t="inlineStr">
        <is>
          <t>17/03/2026</t>
        </is>
      </c>
      <c r="K3498" s="10" t="inlineStr">
        <is>
          <t>N/A</t>
        </is>
      </c>
      <c r="L3498" s="10" t="inlineStr">
        <is>
          <t>Project Management, Construction Supervision, Safety Compliance, Budget Management</t>
        </is>
      </c>
      <c r="M3498" s="10" t="inlineStr">
        <is>
          <t>Bonus, Healthcare Plan, Others</t>
        </is>
      </c>
      <c r="N3498" s="11">
        <f>HYPERLINK("https://www.vietnamworks.com/project-engineer-2011423-jv","Xem chi tiết")</f>
        <v/>
      </c>
      <c r="O3498" s="10" t="n"/>
    </row>
    <row r="3499">
      <c r="B3499" s="7" t="n">
        <v>3497</v>
      </c>
      <c r="C3499" t="inlineStr">
        <is>
          <t>Developer (Urgent)</t>
        </is>
      </c>
      <c r="D3499" t="inlineStr">
        <is>
          <t>BIP Systems Vietnam Co., Ltd</t>
        </is>
      </c>
      <c r="E3499" t="inlineStr">
        <is>
          <t>Thương lượng</t>
        </is>
      </c>
      <c r="F3499" t="inlineStr">
        <is>
          <t>Hà Nội</t>
        </is>
      </c>
      <c r="G3499" t="inlineStr">
        <is>
          <t>Nhân viên</t>
        </is>
      </c>
      <c r="H3499" t="inlineStr">
        <is>
          <t>11/02/2026</t>
        </is>
      </c>
      <c r="I3499" t="inlineStr">
        <is>
          <t>28/03/2026</t>
        </is>
      </c>
      <c r="J3499" t="inlineStr">
        <is>
          <t>17/03/2026</t>
        </is>
      </c>
      <c r="K3499" t="inlineStr">
        <is>
          <t>N/A</t>
        </is>
      </c>
      <c r="L3499" t="inlineStr">
        <is>
          <t>Back End Developer, Front End, PostgreSQL, Java</t>
        </is>
      </c>
      <c r="M3499" t="inlineStr">
        <is>
          <t>Bonus, Healthcare Plan, Travel Opportunities, Others</t>
        </is>
      </c>
      <c r="N3499" s="8">
        <f>HYPERLINK("https://www.vietnamworks.com/developer-urgent-2011420-jv","Xem chi tiết")</f>
        <v/>
      </c>
    </row>
    <row r="3500">
      <c r="B3500" s="9" t="n">
        <v>3498</v>
      </c>
      <c r="C3500" s="10" t="inlineStr">
        <is>
          <t>Giám Đốc Kinh Doanh (Chủ Đầu Tư BĐS)</t>
        </is>
      </c>
      <c r="D3500" s="10" t="inlineStr">
        <is>
          <t>Công Ty Cổ Phần Bất Động Sản Tập Đoàn Tân Á Đại Thành</t>
        </is>
      </c>
      <c r="E3500" s="10" t="inlineStr">
        <is>
          <t>Thương lượng</t>
        </is>
      </c>
      <c r="F3500" s="10" t="inlineStr">
        <is>
          <t>Hà Nội, Hồ Chí Minh</t>
        </is>
      </c>
      <c r="G3500" s="10" t="inlineStr">
        <is>
          <t>Giám Đốc và Cấp Cao Hơn</t>
        </is>
      </c>
      <c r="H3500" s="10" t="inlineStr">
        <is>
          <t>11/02/2026</t>
        </is>
      </c>
      <c r="I3500" s="10" t="inlineStr">
        <is>
          <t>28/03/2026</t>
        </is>
      </c>
      <c r="J3500" s="10" t="inlineStr">
        <is>
          <t>17/03/2026</t>
        </is>
      </c>
      <c r="K3500" s="10" t="inlineStr">
        <is>
          <t>N/A</t>
        </is>
      </c>
      <c r="L3500" s="10" t="inlineStr">
        <is>
          <t>Kinh Doanh, Bất Động Sản, Phát Triển Kinh Doanh, Quản Lý Điều Hành, Kinh Doanh Bất Động Sản</t>
        </is>
      </c>
      <c r="M3500" s="10" t="inlineStr">
        <is>
          <t>Bonus, Canteen, Vouchers</t>
        </is>
      </c>
      <c r="N3500" s="11">
        <f>HYPERLINK("https://www.vietnamworks.com/giam-doc-kinh-doanh-chu-dau-tu-bds--2011429-jv","Xem chi tiết")</f>
        <v/>
      </c>
      <c r="O3500" s="10" t="n"/>
    </row>
    <row r="3501">
      <c r="B3501" s="7" t="n">
        <v>3499</v>
      </c>
      <c r="C3501" t="inlineStr">
        <is>
          <t>Liquidation Specialist (Báo Cáo Quyết Toán Hải Quan/ Thanh Khoản)- Lương Upto 30Tr</t>
        </is>
      </c>
      <c r="D3501" t="inlineStr">
        <is>
          <t>Ken Logistics CO., LTD.</t>
        </is>
      </c>
      <c r="E3501" t="inlineStr">
        <is>
          <t>$$ 500-1,000 /tháng</t>
        </is>
      </c>
      <c r="F3501" t="inlineStr">
        <is>
          <t>Hà Nội</t>
        </is>
      </c>
      <c r="G3501" t="inlineStr">
        <is>
          <t>Nhân viên</t>
        </is>
      </c>
      <c r="H3501" t="inlineStr">
        <is>
          <t>11/02/2026</t>
        </is>
      </c>
      <c r="I3501" t="inlineStr">
        <is>
          <t>28/03/2026</t>
        </is>
      </c>
      <c r="J3501" t="inlineStr">
        <is>
          <t>17/03/2026</t>
        </is>
      </c>
      <c r="K3501" t="inlineStr">
        <is>
          <t>N/A</t>
        </is>
      </c>
      <c r="L3501" t="inlineStr">
        <is>
          <t>Advanced Excel, Customs Finalization Report</t>
        </is>
      </c>
      <c r="M3501" t="inlineStr">
        <is>
          <t>Bonus, Healthcare Plan, Paid Leave, Laptop, Others</t>
        </is>
      </c>
      <c r="N3501" s="8">
        <f>HYPERLINK("https://www.vietnamworks.com/liquidation-specialist-bao-cao-quyet-toan-hai-quan-thanh-khoan-luong-upto-30tr-2011433-jv","Xem chi tiết")</f>
        <v/>
      </c>
    </row>
    <row r="3502">
      <c r="B3502" s="9" t="n">
        <v>3500</v>
      </c>
      <c r="C3502" s="10" t="inlineStr">
        <is>
          <t>Phó Phòng Tài Chính Kế Toán</t>
        </is>
      </c>
      <c r="D3502" s="10" t="inlineStr">
        <is>
          <t>Công Ty Cổ Phần Nhôm Đô Thành</t>
        </is>
      </c>
      <c r="E3502" s="10" t="inlineStr">
        <is>
          <t>25tr-32tr ₫/tháng</t>
        </is>
      </c>
      <c r="F3502" s="10" t="inlineStr">
        <is>
          <t>Hà Nội</t>
        </is>
      </c>
      <c r="G3502" s="10" t="inlineStr">
        <is>
          <t>Trưởng phòng</t>
        </is>
      </c>
      <c r="H3502" s="10" t="inlineStr">
        <is>
          <t>11/02/2026</t>
        </is>
      </c>
      <c r="I3502" s="10" t="inlineStr">
        <is>
          <t>28/03/2026</t>
        </is>
      </c>
      <c r="J3502" s="10" t="inlineStr">
        <is>
          <t>17/03/2026</t>
        </is>
      </c>
      <c r="K3502" s="10" t="inlineStr">
        <is>
          <t>N/A</t>
        </is>
      </c>
      <c r="L3502" s="10" t="inlineStr">
        <is>
          <t>Kế Toán Thuế, Quản Lý Tài Chính, Báo Cáo Tài Chính, Kiểm Toán, Kỹ Năng Quản Lý</t>
        </is>
      </c>
      <c r="M3502" s="10" t="inlineStr">
        <is>
          <t>Bonus, Healthcare Plan, Training, Travel Opportunities, Transportation, Canteen, Others</t>
        </is>
      </c>
      <c r="N3502" s="11">
        <f>HYPERLINK("https://www.vietnamworks.com/pho-phong-tai-chinh-ke-toan-2011443-jv","Xem chi tiết")</f>
        <v/>
      </c>
      <c r="O3502" s="10" t="n"/>
    </row>
    <row r="3503">
      <c r="B3503" s="7" t="n">
        <v>3501</v>
      </c>
      <c r="C3503" t="inlineStr">
        <is>
          <t>Nhân Viên Logistics/ Xuất Nhập Khẩu</t>
        </is>
      </c>
      <c r="D3503" t="inlineStr">
        <is>
          <t>Molex Vietnam Co., Ltd.</t>
        </is>
      </c>
      <c r="E3503" t="inlineStr">
        <is>
          <t>Thương lượng</t>
        </is>
      </c>
      <c r="F3503" t="inlineStr">
        <is>
          <t>Hưng Yên, Hà Nội, Hải Dương</t>
        </is>
      </c>
      <c r="G3503" t="inlineStr">
        <is>
          <t>Nhân viên</t>
        </is>
      </c>
      <c r="H3503" t="inlineStr">
        <is>
          <t>11/02/2026</t>
        </is>
      </c>
      <c r="I3503" t="inlineStr">
        <is>
          <t>28/03/2026</t>
        </is>
      </c>
      <c r="J3503" t="inlineStr">
        <is>
          <t>17/03/2026</t>
        </is>
      </c>
      <c r="K3503" t="inlineStr">
        <is>
          <t>N/A</t>
        </is>
      </c>
      <c r="L3503" t="inlineStr">
        <is>
          <t>Giao Tiếp Tiếng Anh, Hệ Thống SAP, Luật Hải Quan, Luật Xuất Nhập Khẩu, Xây Dựng Quy Trình</t>
        </is>
      </c>
      <c r="M3503" t="inlineStr">
        <is>
          <t>Healthcare Plan, Paid Leave, Travel Opportunities, Transportation, Canteen</t>
        </is>
      </c>
      <c r="N3503" s="8">
        <f>HYPERLINK("https://www.vietnamworks.com/nhan-vien-logistics-xuat-nhap-khau-2011435-jv","Xem chi tiết")</f>
        <v/>
      </c>
    </row>
    <row r="3504">
      <c r="B3504" s="9" t="n">
        <v>3502</v>
      </c>
      <c r="C3504" s="10" t="inlineStr">
        <is>
          <t>Finance Manager</t>
        </is>
      </c>
      <c r="D3504" s="10" t="inlineStr">
        <is>
          <t>Vietnamworks' Client</t>
        </is>
      </c>
      <c r="E3504" s="10" t="inlineStr">
        <is>
          <t>Thương lượng</t>
        </is>
      </c>
      <c r="F3504" s="10" t="inlineStr">
        <is>
          <t>Hồ Chí Minh</t>
        </is>
      </c>
      <c r="G3504" s="10" t="inlineStr">
        <is>
          <t>Trưởng phòng</t>
        </is>
      </c>
      <c r="H3504" s="10" t="inlineStr">
        <is>
          <t>11/02/2026</t>
        </is>
      </c>
      <c r="I3504" s="10" t="inlineStr">
        <is>
          <t>28/03/2026</t>
        </is>
      </c>
      <c r="J3504" s="10" t="inlineStr">
        <is>
          <t>17/03/2026</t>
        </is>
      </c>
      <c r="K3504" s="10" t="inlineStr">
        <is>
          <t>N/A</t>
        </is>
      </c>
      <c r="L3504" s="10" t="inlineStr">
        <is>
          <t>Analytical Skills, ERP, Financial Reporting, MS Excel, Oracle Netsuite</t>
        </is>
      </c>
      <c r="M3504" s="10" t="inlineStr">
        <is>
          <t>Bonus, Healthcare Plan, Training, Laptop, Others</t>
        </is>
      </c>
      <c r="N3504" s="11">
        <f>HYPERLINK("https://www.vietnamworks.com/finance-manager-2011422-jv","Xem chi tiết")</f>
        <v/>
      </c>
      <c r="O3504" s="10" t="n"/>
    </row>
    <row r="3505">
      <c r="B3505" s="7" t="n">
        <v>3503</v>
      </c>
      <c r="C3505" t="inlineStr">
        <is>
          <t>HR Executive | Hành Chính Nhân Sự (Mảng C&amp;B)</t>
        </is>
      </c>
      <c r="D3505" t="inlineStr">
        <is>
          <t>Chi Nhánh Công Ty TNHH Lixil Việt Nam Tại Quảng Nam</t>
        </is>
      </c>
      <c r="E3505" t="inlineStr">
        <is>
          <t>Thương lượng</t>
        </is>
      </c>
      <c r="F3505" t="inlineStr">
        <is>
          <t>Đà Nẵng, Quảng Nam</t>
        </is>
      </c>
      <c r="G3505" t="inlineStr">
        <is>
          <t>Nhân viên</t>
        </is>
      </c>
      <c r="H3505" t="inlineStr">
        <is>
          <t>11/02/2026</t>
        </is>
      </c>
      <c r="I3505" t="inlineStr">
        <is>
          <t>28/03/2026</t>
        </is>
      </c>
      <c r="J3505" t="inlineStr">
        <is>
          <t>17/03/2026</t>
        </is>
      </c>
      <c r="K3505" t="inlineStr">
        <is>
          <t>N/A</t>
        </is>
      </c>
      <c r="L3505" t="inlineStr">
        <is>
          <t>HR Operation, Labor Law, Payroll Management, Nhân sự C&amp;B, Lương thưởng &amp; phúc lợi</t>
        </is>
      </c>
      <c r="M3505" t="inlineStr">
        <is>
          <t>Bonus, Healthcare Plan, Paid Leave, Training, Team Activities, Transportation, Others</t>
        </is>
      </c>
      <c r="N3505" s="8">
        <f>HYPERLINK("https://www.vietnamworks.com/hr-executive-hanh-chinh-nhan-su-mang-c-b-2011425-jv","Xem chi tiết")</f>
        <v/>
      </c>
    </row>
    <row r="3506">
      <c r="B3506" s="9" t="n">
        <v>3504</v>
      </c>
      <c r="C3506" s="10" t="inlineStr">
        <is>
          <t>Nhân Viên Phiên Dịch Tiếng Hàn Quốc</t>
        </is>
      </c>
      <c r="D3506" s="10" t="inlineStr">
        <is>
          <t>Công Ty TNHH Dreamtech Việt Nam</t>
        </is>
      </c>
      <c r="E3506" s="10" t="inlineStr">
        <is>
          <t>Tới $ 1,000 /tháng</t>
        </is>
      </c>
      <c r="F3506" s="10" t="inlineStr">
        <is>
          <t>Bắc Ninh</t>
        </is>
      </c>
      <c r="G3506" s="10" t="inlineStr">
        <is>
          <t>Nhân viên</t>
        </is>
      </c>
      <c r="H3506" s="10" t="inlineStr">
        <is>
          <t>11/02/2026</t>
        </is>
      </c>
      <c r="I3506" s="10" t="inlineStr">
        <is>
          <t>28/03/2026</t>
        </is>
      </c>
      <c r="J3506" s="10" t="inlineStr">
        <is>
          <t>17/03/2026</t>
        </is>
      </c>
      <c r="K3506" s="10" t="inlineStr">
        <is>
          <t>N/A</t>
        </is>
      </c>
      <c r="L3506" s="10" t="inlineStr">
        <is>
          <t>Translation, Tiếng Hàn, Biên Phiên Dịch, Excel, PowerPoint</t>
        </is>
      </c>
      <c r="M3506" s="10" t="inlineStr">
        <is>
          <t>Bonus, Healthcare Plan, Canteen</t>
        </is>
      </c>
      <c r="N3506" s="11">
        <f>HYPERLINK("https://www.vietnamworks.com/nhan-vien-phien-dich-tieng-han-quoc--2011445-jv","Xem chi tiết")</f>
        <v/>
      </c>
      <c r="O3506" s="10" t="n"/>
    </row>
    <row r="3507">
      <c r="B3507" s="7" t="n">
        <v>3505</v>
      </c>
      <c r="C3507" t="inlineStr">
        <is>
          <t>Sales Auditor (Field Execution Focus)</t>
        </is>
      </c>
      <c r="D3507" t="inlineStr">
        <is>
          <t>Saigon Beer - Alcohol - Beverage Corporation (Sabeco)</t>
        </is>
      </c>
      <c r="E3507" t="inlineStr">
        <is>
          <t>Thương lượng</t>
        </is>
      </c>
      <c r="F3507" t="inlineStr">
        <is>
          <t>Hồ Chí Minh</t>
        </is>
      </c>
      <c r="G3507" t="inlineStr">
        <is>
          <t>Nhân viên</t>
        </is>
      </c>
      <c r="H3507" t="inlineStr">
        <is>
          <t>11/02/2026</t>
        </is>
      </c>
      <c r="I3507" t="inlineStr">
        <is>
          <t>28/03/2026</t>
        </is>
      </c>
      <c r="J3507" t="inlineStr">
        <is>
          <t>17/03/2026</t>
        </is>
      </c>
      <c r="K3507" t="inlineStr">
        <is>
          <t>N/A</t>
        </is>
      </c>
      <c r="L3507" t="inlineStr">
        <is>
          <t>Analytical Skills, Communication, Field Sales, Retail Audit, Trade Marketing</t>
        </is>
      </c>
      <c r="M3507" t="inlineStr">
        <is>
          <t>Bonus, Healthcare Plan, Paid Leave, Travel Opportunities, Others</t>
        </is>
      </c>
      <c r="N3507" s="8">
        <f>HYPERLINK("https://www.vietnamworks.com/sales-auditor-field-execution-focus-2011447-jv","Xem chi tiết")</f>
        <v/>
      </c>
    </row>
    <row r="3508">
      <c r="B3508" s="9" t="n">
        <v>3506</v>
      </c>
      <c r="C3508" s="10" t="inlineStr">
        <is>
          <t>Marketing Communications &amp; Digital Marketing Manager</t>
        </is>
      </c>
      <c r="D3508" s="10" t="inlineStr">
        <is>
          <t>CÔNG TY TNHH GARMIN VIỆT NAM</t>
        </is>
      </c>
      <c r="E3508" s="10" t="inlineStr">
        <is>
          <t>Thương lượng</t>
        </is>
      </c>
      <c r="F3508" s="10" t="inlineStr">
        <is>
          <t>Hồ Chí Minh</t>
        </is>
      </c>
      <c r="G3508" s="10" t="inlineStr">
        <is>
          <t>Trưởng phòng</t>
        </is>
      </c>
      <c r="H3508" s="10" t="inlineStr">
        <is>
          <t>11/02/2026</t>
        </is>
      </c>
      <c r="I3508" s="10" t="inlineStr">
        <is>
          <t>28/03/2026</t>
        </is>
      </c>
      <c r="J3508" s="10" t="inlineStr">
        <is>
          <t>17/03/2026</t>
        </is>
      </c>
      <c r="K3508" s="10" t="inlineStr">
        <is>
          <t>N/A</t>
        </is>
      </c>
      <c r="L3508" s="10" t="inlineStr">
        <is>
          <t>Integrated Marketing Communication, Team Management, Digital Strategy, Agency Management, Brand Communication</t>
        </is>
      </c>
      <c r="M3508" s="10" t="inlineStr">
        <is>
          <t>Bonus, Healthcare Plan, Team Activities</t>
        </is>
      </c>
      <c r="N3508" s="11">
        <f>HYPERLINK("https://www.vietnamworks.com/marketing-communications-and-digital-marketing-manager-2011424-jv","Xem chi tiết")</f>
        <v/>
      </c>
      <c r="O3508" s="10" t="n"/>
    </row>
    <row r="3509">
      <c r="B3509" s="7" t="n">
        <v>3507</v>
      </c>
      <c r="C3509" t="inlineStr">
        <is>
          <t>Nhân Viên Kỹ Thuật</t>
        </is>
      </c>
      <c r="D3509" t="inlineStr">
        <is>
          <t>CÔNG TY TRÁCH NHIỆM HỮU HẠN OOKSAN VINA</t>
        </is>
      </c>
      <c r="E3509" t="inlineStr">
        <is>
          <t>Từ 15tr ₫/tháng</t>
        </is>
      </c>
      <c r="F3509" t="inlineStr">
        <is>
          <t>Đồng Nai</t>
        </is>
      </c>
      <c r="G3509" t="inlineStr">
        <is>
          <t>Nhân viên</t>
        </is>
      </c>
      <c r="H3509" t="inlineStr">
        <is>
          <t>11/02/2026</t>
        </is>
      </c>
      <c r="I3509" t="inlineStr">
        <is>
          <t>28/03/2026</t>
        </is>
      </c>
      <c r="J3509" t="inlineStr">
        <is>
          <t>17/03/2026</t>
        </is>
      </c>
      <c r="K3509" t="inlineStr">
        <is>
          <t>N/A</t>
        </is>
      </c>
      <c r="L3509" t="inlineStr">
        <is>
          <t>Tiếng Anh, Kỹ Thuật, Autocad, Bóc Tách Bản Vẽ Chi Tiết, Shop Drawing</t>
        </is>
      </c>
      <c r="M3509" t="inlineStr">
        <is>
          <t>Paid Leave, Travel Opportunities, Others</t>
        </is>
      </c>
      <c r="N3509" s="8">
        <f>HYPERLINK("https://www.vietnamworks.com/nhan-vien-ky-thuat-2011418-jv","Xem chi tiết")</f>
        <v/>
      </c>
    </row>
    <row r="3510">
      <c r="B3510" s="9" t="n">
        <v>3508</v>
      </c>
      <c r="C3510" s="10" t="inlineStr">
        <is>
          <t>Sales Executive (Area Sales Management) – HCM &amp; HN</t>
        </is>
      </c>
      <c r="D3510" s="10" t="inlineStr">
        <is>
          <t>Bridgestone Tire Sales Vietnam LLC</t>
        </is>
      </c>
      <c r="E3510" s="10" t="inlineStr">
        <is>
          <t>Thương lượng</t>
        </is>
      </c>
      <c r="F3510" s="10" t="inlineStr">
        <is>
          <t>Hà Nội, Hồ Chí Minh</t>
        </is>
      </c>
      <c r="G3510" s="10" t="inlineStr">
        <is>
          <t>Nhân viên</t>
        </is>
      </c>
      <c r="H3510" s="10" t="inlineStr">
        <is>
          <t>11/02/2026</t>
        </is>
      </c>
      <c r="I3510" s="10" t="inlineStr">
        <is>
          <t>28/03/2026</t>
        </is>
      </c>
      <c r="J3510" s="10" t="inlineStr">
        <is>
          <t>17/03/2026</t>
        </is>
      </c>
      <c r="K3510" s="10" t="inlineStr">
        <is>
          <t>N/A</t>
        </is>
      </c>
      <c r="L3510" s="10" t="inlineStr">
        <is>
          <t>Dealer Management, Technical Sales, B2B, Automotive Sales, B2C</t>
        </is>
      </c>
      <c r="M3510" s="10" t="inlineStr">
        <is>
          <t>Bonus, Training, Laptop, Travel Opportunities, Team Activities</t>
        </is>
      </c>
      <c r="N3510" s="11">
        <f>HYPERLINK("https://www.vietnamworks.com/sales-executive-area-sales-management-hcm-and-hn-2011444-jv","Xem chi tiết")</f>
        <v/>
      </c>
      <c r="O3510" s="10" t="n"/>
    </row>
    <row r="3511">
      <c r="B3511" s="7" t="n">
        <v>3509</v>
      </c>
      <c r="C3511" t="inlineStr">
        <is>
          <t>Information Security Engineer - IT Department</t>
        </is>
      </c>
      <c r="D3511" t="inlineStr">
        <is>
          <t>Mizuho Bank, Ltd.</t>
        </is>
      </c>
      <c r="E3511" t="inlineStr">
        <is>
          <t>Thương lượng</t>
        </is>
      </c>
      <c r="F3511" t="inlineStr">
        <is>
          <t>Hà Nội</t>
        </is>
      </c>
      <c r="G3511" t="inlineStr">
        <is>
          <t>Nhân viên</t>
        </is>
      </c>
      <c r="H3511" t="inlineStr">
        <is>
          <t>11/02/2026</t>
        </is>
      </c>
      <c r="I3511" t="inlineStr">
        <is>
          <t>28/03/2026</t>
        </is>
      </c>
      <c r="J3511" t="inlineStr">
        <is>
          <t>17/03/2026</t>
        </is>
      </c>
      <c r="K3511" t="inlineStr">
        <is>
          <t>N/A</t>
        </is>
      </c>
      <c r="L3511" t="inlineStr">
        <is>
          <t>Analytical Skills, Banking Finance, Cybersecurity, Risk Management, Security Infrastructure</t>
        </is>
      </c>
      <c r="M3511" t="inlineStr">
        <is>
          <t>Bonus, Healthcare Plan, Paid Leave, Others</t>
        </is>
      </c>
      <c r="N3511" s="8">
        <f>HYPERLINK("https://www.vietnamworks.com/information-security-engineer-it-department-2011440-jv","Xem chi tiết")</f>
        <v/>
      </c>
    </row>
    <row r="3512">
      <c r="B3512" s="9" t="n">
        <v>3510</v>
      </c>
      <c r="C3512" s="10" t="inlineStr">
        <is>
          <t>Kế Toán Trưởng - Bất Động Sản</t>
        </is>
      </c>
      <c r="D3512" s="10" t="inlineStr">
        <is>
          <t>Vietnamworks' Client</t>
        </is>
      </c>
      <c r="E3512" s="10" t="inlineStr">
        <is>
          <t>Thương lượng</t>
        </is>
      </c>
      <c r="F3512" s="10" t="inlineStr">
        <is>
          <t>Bình Dương</t>
        </is>
      </c>
      <c r="G3512" s="10" t="inlineStr">
        <is>
          <t>Trưởng phòng</t>
        </is>
      </c>
      <c r="H3512" s="10" t="inlineStr">
        <is>
          <t>11/02/2026</t>
        </is>
      </c>
      <c r="I3512" s="10" t="inlineStr">
        <is>
          <t>28/03/2026</t>
        </is>
      </c>
      <c r="J3512" s="10" t="inlineStr">
        <is>
          <t>17/03/2026</t>
        </is>
      </c>
      <c r="K3512" s="10" t="inlineStr">
        <is>
          <t>N/A</t>
        </is>
      </c>
      <c r="L3512" s="10" t="inlineStr">
        <is>
          <t>Quản Lý Kế Toán, Kiểm Toán, Kế Toán, Chief Accountant Certificate, Accounting</t>
        </is>
      </c>
      <c r="M3512" s="10" t="inlineStr">
        <is>
          <t>Bonus, Healthcare Plan, Canteen</t>
        </is>
      </c>
      <c r="N3512" s="11">
        <f>HYPERLINK("https://www.vietnamworks.com/ke-toan-truong-bat-dong-san--2011430-jv","Xem chi tiết")</f>
        <v/>
      </c>
      <c r="O3512" s="10" t="n"/>
    </row>
    <row r="3513">
      <c r="B3513" s="7" t="n">
        <v>3511</v>
      </c>
      <c r="C3513" t="inlineStr">
        <is>
          <t>GA-HR Staff</t>
        </is>
      </c>
      <c r="D3513" t="inlineStr">
        <is>
          <t>Công Ty TNHH Standard Units Supply Việt Nam</t>
        </is>
      </c>
      <c r="E3513" t="inlineStr">
        <is>
          <t>9tr-10tr ₫/tháng</t>
        </is>
      </c>
      <c r="F3513" t="inlineStr">
        <is>
          <t>Hải Phòng</t>
        </is>
      </c>
      <c r="G3513" t="inlineStr">
        <is>
          <t>Nhân viên</t>
        </is>
      </c>
      <c r="H3513" t="inlineStr">
        <is>
          <t>11/02/2026</t>
        </is>
      </c>
      <c r="I3513" t="inlineStr">
        <is>
          <t>28/03/2026</t>
        </is>
      </c>
      <c r="J3513" t="inlineStr">
        <is>
          <t>17/03/2026</t>
        </is>
      </c>
      <c r="K3513" t="inlineStr">
        <is>
          <t>N/A</t>
        </is>
      </c>
      <c r="L3513" t="inlineStr">
        <is>
          <t>Business Administration, Effective Communication, Human Resources, Office Administration, Self-Studying</t>
        </is>
      </c>
      <c r="M3513" t="inlineStr">
        <is>
          <t>Bonus, Healthcare Plan, Team Activities, Canteen, Others</t>
        </is>
      </c>
      <c r="N3513" s="8">
        <f>HYPERLINK("https://www.vietnamworks.com/ga-hr-staff-2011442-jv","Xem chi tiết")</f>
        <v/>
      </c>
    </row>
    <row r="3514">
      <c r="B3514" s="9" t="n">
        <v>3512</v>
      </c>
      <c r="C3514" s="10" t="inlineStr">
        <is>
          <t>Kỹ Sư Thiết Kế</t>
        </is>
      </c>
      <c r="D3514" s="10" t="inlineStr">
        <is>
          <t>Công ty TNHH Y- Tec Việt Nam</t>
        </is>
      </c>
      <c r="E3514" s="10" t="inlineStr">
        <is>
          <t>Thương lượng</t>
        </is>
      </c>
      <c r="F3514" s="10" t="inlineStr">
        <is>
          <t>Hải Phòng</t>
        </is>
      </c>
      <c r="G3514" s="10" t="inlineStr">
        <is>
          <t>Nhân viên</t>
        </is>
      </c>
      <c r="H3514" s="10" t="inlineStr">
        <is>
          <t>11/02/2026</t>
        </is>
      </c>
      <c r="I3514" s="10" t="inlineStr">
        <is>
          <t>28/03/2026</t>
        </is>
      </c>
      <c r="J3514" s="10" t="inlineStr">
        <is>
          <t>17/03/2026</t>
        </is>
      </c>
      <c r="K3514" s="10" t="inlineStr">
        <is>
          <t>N/A</t>
        </is>
      </c>
      <c r="L3514" s="10" t="inlineStr">
        <is>
          <t>CAD Drawings, CAD modeling, Mechanical Drawing, Mechanical Product Design</t>
        </is>
      </c>
      <c r="M3514" s="10" t="inlineStr">
        <is>
          <t>Bonus, Healthcare Plan, Paid Leave, Training, Laptop, Travel Opportunities, Team Activities, Transportation, Canteen</t>
        </is>
      </c>
      <c r="N3514" s="11">
        <f>HYPERLINK("https://www.vietnamworks.com/ky-su-thiet-ke-2011460-jv","Xem chi tiết")</f>
        <v/>
      </c>
      <c r="O3514" s="10" t="n"/>
    </row>
    <row r="3515">
      <c r="B3515" s="7" t="n">
        <v>3513</v>
      </c>
      <c r="C3515" t="inlineStr">
        <is>
          <t>Chuyên Viên Kế Toán</t>
        </is>
      </c>
      <c r="D3515" t="inlineStr">
        <is>
          <t>Pinetree Securities Corporation - A Member of Hanwha Investment &amp; Securities Co. Ltd. Korea</t>
        </is>
      </c>
      <c r="E3515" t="inlineStr">
        <is>
          <t>Thương lượng</t>
        </is>
      </c>
      <c r="F3515" t="inlineStr">
        <is>
          <t>Hà Nội</t>
        </is>
      </c>
      <c r="G3515" t="inlineStr">
        <is>
          <t>Nhân viên</t>
        </is>
      </c>
      <c r="H3515" t="inlineStr">
        <is>
          <t>11/02/2026</t>
        </is>
      </c>
      <c r="I3515" t="inlineStr">
        <is>
          <t>28/03/2026</t>
        </is>
      </c>
      <c r="J3515" t="inlineStr">
        <is>
          <t>17/03/2026</t>
        </is>
      </c>
      <c r="K3515" t="inlineStr">
        <is>
          <t>N/A</t>
        </is>
      </c>
      <c r="L3515" t="inlineStr">
        <is>
          <t>Kế Toán, Tài Chính, Chứng Khoán Phái Sinh, Kế Toán Nội Bộ, Kế Toán Thanh Toán</t>
        </is>
      </c>
      <c r="M3515" t="inlineStr">
        <is>
          <t>Bonus, Healthcare Plan, Training</t>
        </is>
      </c>
      <c r="N3515" s="8">
        <f>HYPERLINK("https://www.vietnamworks.com/chuyen-vien-ke-toan-2011449-jv","Xem chi tiết")</f>
        <v/>
      </c>
    </row>
    <row r="3516">
      <c r="B3516" s="9" t="n">
        <v>3514</v>
      </c>
      <c r="C3516" s="10" t="inlineStr">
        <is>
          <t>Kế Toán Hành Chính/ Administrative Accountant (Cầu Giấy, Hà Nội)</t>
        </is>
      </c>
      <c r="D3516" s="10" t="inlineStr">
        <is>
          <t>Woo Agency</t>
        </is>
      </c>
      <c r="E3516" s="10" t="inlineStr">
        <is>
          <t>20tr-25tr ₫/tháng</t>
        </is>
      </c>
      <c r="F3516" s="10" t="inlineStr">
        <is>
          <t>Hà Nội</t>
        </is>
      </c>
      <c r="G3516" s="10" t="inlineStr">
        <is>
          <t>Nhân viên</t>
        </is>
      </c>
      <c r="H3516" s="10" t="inlineStr">
        <is>
          <t>11/02/2026</t>
        </is>
      </c>
      <c r="I3516" s="10" t="inlineStr">
        <is>
          <t>28/03/2026</t>
        </is>
      </c>
      <c r="J3516" s="10" t="inlineStr">
        <is>
          <t>17/03/2026</t>
        </is>
      </c>
      <c r="K3516" s="10" t="inlineStr">
        <is>
          <t>N/A</t>
        </is>
      </c>
      <c r="L3516" s="10" t="inlineStr">
        <is>
          <t>Administration, Administrative, Accounting, Tax Law, VAS</t>
        </is>
      </c>
      <c r="M3516" s="10" t="inlineStr">
        <is>
          <t>Healthcare Plan, Paid Leave, Others</t>
        </is>
      </c>
      <c r="N3516" s="11">
        <f>HYPERLINK("https://www.vietnamworks.com/ke-toan-hanh-chinh-administrative-accountant-cau-giay-ha-noi-2011451-jv","Xem chi tiết")</f>
        <v/>
      </c>
      <c r="O3516" s="10" t="n"/>
    </row>
    <row r="3517">
      <c r="B3517" s="7" t="n">
        <v>3515</v>
      </c>
      <c r="C3517" t="inlineStr">
        <is>
          <t>Công Nhân May Mặc</t>
        </is>
      </c>
      <c r="D3517" t="inlineStr">
        <is>
          <t>Công ty TNHH Bando Vina</t>
        </is>
      </c>
      <c r="E3517" t="inlineStr">
        <is>
          <t>Thương lượng</t>
        </is>
      </c>
      <c r="F3517" t="inlineStr">
        <is>
          <t>Tây Ninh</t>
        </is>
      </c>
      <c r="G3517" t="inlineStr">
        <is>
          <t>Mới Tốt Nghiệp</t>
        </is>
      </c>
      <c r="H3517" t="inlineStr">
        <is>
          <t>11/02/2026</t>
        </is>
      </c>
      <c r="I3517" t="inlineStr">
        <is>
          <t>28/03/2026</t>
        </is>
      </c>
      <c r="J3517" t="inlineStr">
        <is>
          <t>17/03/2026</t>
        </is>
      </c>
      <c r="K3517" t="inlineStr">
        <is>
          <t>N/A</t>
        </is>
      </c>
      <c r="L3517" t="inlineStr">
        <is>
          <t>May Mặc, Cắt Chỉ, Kiểm Kê Hàng Hóa, Kỹ Thuật Chuyền May</t>
        </is>
      </c>
      <c r="M3517" t="inlineStr">
        <is>
          <t>Bonus, Healthcare Plan, Team Activities, Transportation, Canteen, Others</t>
        </is>
      </c>
      <c r="N3517" s="8">
        <f>HYPERLINK("https://www.vietnamworks.com/cong-nhan-may-mac-2011461-jv","Xem chi tiết")</f>
        <v/>
      </c>
    </row>
    <row r="3518">
      <c r="B3518" s="9" t="n">
        <v>3516</v>
      </c>
      <c r="C3518" s="10" t="inlineStr">
        <is>
          <t>Quản Lý Kế Hoạch</t>
        </is>
      </c>
      <c r="D3518" s="10" t="inlineStr">
        <is>
          <t>GSM</t>
        </is>
      </c>
      <c r="E3518" s="10" t="inlineStr">
        <is>
          <t>$$ 1,000-2,000 /tháng</t>
        </is>
      </c>
      <c r="F3518" s="10" t="inlineStr">
        <is>
          <t>Hà Nội</t>
        </is>
      </c>
      <c r="G3518" s="10" t="inlineStr">
        <is>
          <t>Nhân viên</t>
        </is>
      </c>
      <c r="H3518" s="10" t="inlineStr">
        <is>
          <t>11/02/2026</t>
        </is>
      </c>
      <c r="I3518" s="10" t="inlineStr">
        <is>
          <t>28/03/2026</t>
        </is>
      </c>
      <c r="J3518" s="10" t="inlineStr">
        <is>
          <t>17/03/2026</t>
        </is>
      </c>
      <c r="K3518" s="10" t="inlineStr">
        <is>
          <t>N/A</t>
        </is>
      </c>
      <c r="L3518" s="10" t="inlineStr">
        <is>
          <t>Design Planning, Business Planning, Tài Chính Doanh Nghiệp, Quản Lý Tài Chính, Kế Hoạch Sản Xuất</t>
        </is>
      </c>
      <c r="M3518" s="10" t="inlineStr">
        <is>
          <t>Bonus, Healthcare Plan, Transportation</t>
        </is>
      </c>
      <c r="N3518" s="11">
        <f>HYPERLINK("https://www.vietnamworks.com/quan-ly-ke-hoach--2011464-jv","Xem chi tiết")</f>
        <v/>
      </c>
      <c r="O3518" s="10" t="n"/>
    </row>
    <row r="3519">
      <c r="B3519" s="7" t="n">
        <v>3517</v>
      </c>
      <c r="C3519" t="inlineStr">
        <is>
          <t>Project Manager (Quản Lý Dự Án)</t>
        </is>
      </c>
      <c r="D3519" t="inlineStr">
        <is>
          <t>GRACE INTERIORS</t>
        </is>
      </c>
      <c r="E3519" t="inlineStr">
        <is>
          <t>Thương lượng</t>
        </is>
      </c>
      <c r="F3519" t="inlineStr">
        <is>
          <t>Hồ Chí Minh</t>
        </is>
      </c>
      <c r="G3519" t="inlineStr">
        <is>
          <t>Trưởng phòng</t>
        </is>
      </c>
      <c r="H3519" t="inlineStr">
        <is>
          <t>11/02/2026</t>
        </is>
      </c>
      <c r="I3519" t="inlineStr">
        <is>
          <t>28/03/2026</t>
        </is>
      </c>
      <c r="J3519" t="inlineStr">
        <is>
          <t>17/03/2026</t>
        </is>
      </c>
      <c r="K3519" t="inlineStr">
        <is>
          <t>N/A</t>
        </is>
      </c>
      <c r="L3519" t="inlineStr">
        <is>
          <t>Bóc Tách Khối Lượng, Nội Thất, Triển Khai Thầu Phụ, Quản Lý Dự Án, Thi Công Nội Thất</t>
        </is>
      </c>
      <c r="M3519" t="inlineStr">
        <is>
          <t>Bonus, Healthcare Plan, Travel Opportunities, Team Activities</t>
        </is>
      </c>
      <c r="N3519" s="8">
        <f>HYPERLINK("https://www.vietnamworks.com/project-manager-quan-ly-du-an-2011476-jv","Xem chi tiết")</f>
        <v/>
      </c>
    </row>
    <row r="3520">
      <c r="B3520" s="9" t="n">
        <v>3518</v>
      </c>
      <c r="C3520" s="10" t="inlineStr">
        <is>
          <t>HR Specialist (Location: Bình Dương)</t>
        </is>
      </c>
      <c r="D3520" s="10" t="inlineStr">
        <is>
          <t>CÔNG TY TNHH MAXIDI VIỆT NAM</t>
        </is>
      </c>
      <c r="E3520" s="10" t="inlineStr">
        <is>
          <t>Thương lượng</t>
        </is>
      </c>
      <c r="F3520" s="10" t="inlineStr">
        <is>
          <t>Bình Dương, Hồ Chí Minh</t>
        </is>
      </c>
      <c r="G3520" s="10" t="inlineStr">
        <is>
          <t>Nhân viên</t>
        </is>
      </c>
      <c r="H3520" s="10" t="inlineStr">
        <is>
          <t>11/02/2026</t>
        </is>
      </c>
      <c r="I3520" s="10" t="inlineStr">
        <is>
          <t>28/03/2026</t>
        </is>
      </c>
      <c r="J3520" s="10" t="inlineStr">
        <is>
          <t>17/03/2026</t>
        </is>
      </c>
      <c r="K3520" s="10" t="inlineStr">
        <is>
          <t>N/A</t>
        </is>
      </c>
      <c r="L3520" s="10" t="inlineStr">
        <is>
          <t>Recruitment, Microsoft Office, English Communication, HR Law, Mass Recruitment</t>
        </is>
      </c>
      <c r="M3520" s="10" t="inlineStr">
        <is>
          <t>Bonus, Paid Leave</t>
        </is>
      </c>
      <c r="N3520" s="11">
        <f>HYPERLINK("https://www.vietnamworks.com/hr-specialist-location-binh-duong-2011452-jv","Xem chi tiết")</f>
        <v/>
      </c>
      <c r="O3520" s="10" t="n"/>
    </row>
    <row r="3521">
      <c r="B3521" s="7" t="n">
        <v>3519</v>
      </c>
      <c r="C3521" t="inlineStr">
        <is>
          <t>Production Staff - Nhân Viên Sản Xuất - Tiếng Anh Khá (Có Xe Đưa Đón Từ Công Ty Tới Hà Nội, Hưng Yên; Hải Dương)</t>
        </is>
      </c>
      <c r="D3521" t="inlineStr">
        <is>
          <t>NIKKISO VIETNAM, INC.</t>
        </is>
      </c>
      <c r="E3521" t="inlineStr">
        <is>
          <t>Thương lượng</t>
        </is>
      </c>
      <c r="F3521" t="inlineStr">
        <is>
          <t>Hưng Yên</t>
        </is>
      </c>
      <c r="G3521" t="inlineStr">
        <is>
          <t>Nhân viên</t>
        </is>
      </c>
      <c r="H3521" t="inlineStr">
        <is>
          <t>11/02/2026</t>
        </is>
      </c>
      <c r="I3521" t="inlineStr">
        <is>
          <t>28/03/2026</t>
        </is>
      </c>
      <c r="J3521" t="inlineStr">
        <is>
          <t>17/03/2026</t>
        </is>
      </c>
      <c r="K3521" t="inlineStr">
        <is>
          <t>N/A</t>
        </is>
      </c>
      <c r="L3521" t="inlineStr">
        <is>
          <t>Production Planning, Quality Assurance, General Communication English, Statistical Learning, Teamwork</t>
        </is>
      </c>
      <c r="M3521" t="inlineStr">
        <is>
          <t>Bonus, Healthcare Plan, Paid Leave, Awards, Transportation, Others</t>
        </is>
      </c>
      <c r="N3521" s="8">
        <f>HYPERLINK("https://www.vietnamworks.com/production-staff-nhan-vien-san-xuat-tieng-anh-kha-co-xe-djua-djon-tu-cong-ty-toi-ha-noi-hung-yen-hai-duong-2011458-jv","Xem chi tiết")</f>
        <v/>
      </c>
    </row>
    <row r="3522">
      <c r="B3522" s="9" t="n">
        <v>3520</v>
      </c>
      <c r="C3522" s="10" t="inlineStr">
        <is>
          <t>Senior Technical Delivery Specialist</t>
        </is>
      </c>
      <c r="D3522" s="10" t="inlineStr">
        <is>
          <t>Công Ty Cổ Phần Phúc Long Heritage</t>
        </is>
      </c>
      <c r="E3522" s="10" t="inlineStr">
        <is>
          <t>Thương lượng</t>
        </is>
      </c>
      <c r="F3522" s="10" t="inlineStr">
        <is>
          <t>Hồ Chí Minh</t>
        </is>
      </c>
      <c r="G3522" s="10" t="inlineStr">
        <is>
          <t>Nhân viên</t>
        </is>
      </c>
      <c r="H3522" s="10" t="inlineStr">
        <is>
          <t>11/02/2026</t>
        </is>
      </c>
      <c r="I3522" s="10" t="inlineStr">
        <is>
          <t>28/03/2026</t>
        </is>
      </c>
      <c r="J3522" s="10" t="inlineStr">
        <is>
          <t>17/03/2026</t>
        </is>
      </c>
      <c r="K3522" s="10" t="inlineStr">
        <is>
          <t>N/A</t>
        </is>
      </c>
      <c r="L3522" s="10" t="inlineStr">
        <is>
          <t>Coding (Python, C, Javascript), REST APIs</t>
        </is>
      </c>
      <c r="M3522" s="10" t="inlineStr">
        <is>
          <t>Others</t>
        </is>
      </c>
      <c r="N3522" s="11">
        <f>HYPERLINK("https://www.vietnamworks.com/senior-technical-delivery-specialist-2011450-jv","Xem chi tiết")</f>
        <v/>
      </c>
      <c r="O3522" s="10" t="n"/>
    </row>
    <row r="3523">
      <c r="B3523" s="7" t="n">
        <v>3521</v>
      </c>
      <c r="C3523" t="inlineStr">
        <is>
          <t>Marketing Coordinator</t>
        </is>
      </c>
      <c r="D3523" t="inlineStr">
        <is>
          <t>Tech Data APAC</t>
        </is>
      </c>
      <c r="E3523" t="inlineStr">
        <is>
          <t>Thương lượng</t>
        </is>
      </c>
      <c r="F3523" t="inlineStr">
        <is>
          <t>Hồ Chí Minh</t>
        </is>
      </c>
      <c r="G3523" t="inlineStr">
        <is>
          <t>Nhân viên</t>
        </is>
      </c>
      <c r="H3523" t="inlineStr">
        <is>
          <t>11/02/2026</t>
        </is>
      </c>
      <c r="I3523" t="inlineStr">
        <is>
          <t>28/03/2026</t>
        </is>
      </c>
      <c r="J3523" t="inlineStr">
        <is>
          <t>17/03/2026</t>
        </is>
      </c>
      <c r="K3523" t="inlineStr">
        <is>
          <t>N/A</t>
        </is>
      </c>
      <c r="L3523" t="inlineStr">
        <is>
          <t>Planning Marketing, Organizational skills, Communication Skills, Microsoft Office, Teamwork</t>
        </is>
      </c>
      <c r="M3523" t="inlineStr">
        <is>
          <t>Others</t>
        </is>
      </c>
      <c r="N3523" s="8">
        <f>HYPERLINK("https://www.vietnamworks.com/marketing-coordinator-2011463-jv","Xem chi tiết")</f>
        <v/>
      </c>
    </row>
    <row r="3524">
      <c r="B3524" s="9" t="n">
        <v>3522</v>
      </c>
      <c r="C3524" s="10" t="inlineStr">
        <is>
          <t>Kế Toán Công Nợ</t>
        </is>
      </c>
      <c r="D3524" s="10" t="inlineStr">
        <is>
          <t>Thien Minh Group</t>
        </is>
      </c>
      <c r="E3524" s="10" t="inlineStr">
        <is>
          <t>10tr-12tr ₫/tháng</t>
        </is>
      </c>
      <c r="F3524" s="10" t="inlineStr">
        <is>
          <t>Hà Nội</t>
        </is>
      </c>
      <c r="G3524" s="10" t="inlineStr">
        <is>
          <t>Nhân viên</t>
        </is>
      </c>
      <c r="H3524" s="10" t="inlineStr">
        <is>
          <t>11/02/2026</t>
        </is>
      </c>
      <c r="I3524" s="10" t="inlineStr">
        <is>
          <t>28/03/2026</t>
        </is>
      </c>
      <c r="J3524" s="10" t="inlineStr">
        <is>
          <t>17/03/2026</t>
        </is>
      </c>
      <c r="K3524" s="10" t="inlineStr">
        <is>
          <t>N/A</t>
        </is>
      </c>
      <c r="L3524" s="10" t="inlineStr">
        <is>
          <t>Kế Toán Công Nợ, Kế toán, Tiếng Anh đọc hiểu cơ bản, Tiếng  Anh Giao Tiếp</t>
        </is>
      </c>
      <c r="M3524" s="10" t="inlineStr">
        <is>
          <t>Bonus, Paid Leave, Vouchers</t>
        </is>
      </c>
      <c r="N3524" s="11">
        <f>HYPERLINK("https://www.vietnamworks.com/ke-toan-cong-no--2011475-jv","Xem chi tiết")</f>
        <v/>
      </c>
      <c r="O3524" s="10" t="n"/>
    </row>
    <row r="3525">
      <c r="B3525" s="7" t="n">
        <v>3523</v>
      </c>
      <c r="C3525" t="inlineStr">
        <is>
          <t>[Tuyển Gấp] Thiết Kế 3D (Lương 20 - 30 Triệu/tháng)</t>
        </is>
      </c>
      <c r="D3525" t="inlineStr">
        <is>
          <t>MDA E&amp;C Co.,ltd</t>
        </is>
      </c>
      <c r="E3525" t="inlineStr">
        <is>
          <t>20tr-30tr ₫/tháng</t>
        </is>
      </c>
      <c r="F3525" t="inlineStr">
        <is>
          <t>Hà Nội</t>
        </is>
      </c>
      <c r="G3525" t="inlineStr">
        <is>
          <t>Nhân viên</t>
        </is>
      </c>
      <c r="H3525" t="inlineStr">
        <is>
          <t>11/02/2026</t>
        </is>
      </c>
      <c r="I3525" t="inlineStr">
        <is>
          <t>28/03/2026</t>
        </is>
      </c>
      <c r="J3525" t="inlineStr">
        <is>
          <t>17/03/2026</t>
        </is>
      </c>
      <c r="K3525" t="inlineStr">
        <is>
          <t>N/A</t>
        </is>
      </c>
      <c r="L3525" t="inlineStr">
        <is>
          <t>Thiết Kế 3D, Auto Cad, Skech Up, 3D Max, Xây Dựng</t>
        </is>
      </c>
      <c r="M3525" t="inlineStr">
        <is>
          <t>Bonus, Healthcare Plan, Paid Leave, Others</t>
        </is>
      </c>
      <c r="N3525" s="8">
        <f>HYPERLINK("https://www.vietnamworks.com/tuyen-gap-thiet-ke-3d-luong-20-30-trieu-thang-2011469-jv","Xem chi tiết")</f>
        <v/>
      </c>
    </row>
    <row r="3526">
      <c r="B3526" s="9" t="n">
        <v>3524</v>
      </c>
      <c r="C3526" s="10" t="inlineStr">
        <is>
          <t>Kỹ Sư Quản Lý Chất Lượng QC-QA Engineer (Lương 25-30 Triệu) - Làm Việc Tại Thái Nguyên</t>
        </is>
      </c>
      <c r="D3526" s="10" t="inlineStr">
        <is>
          <t>MDA E&amp;C Co.,ltd</t>
        </is>
      </c>
      <c r="E3526" s="10" t="inlineStr">
        <is>
          <t>25tr-30tr ₫/tháng</t>
        </is>
      </c>
      <c r="F3526" s="10" t="inlineStr">
        <is>
          <t>Thái Nguyên, Hà Nội, Bắc Giang</t>
        </is>
      </c>
      <c r="G3526" s="10" t="inlineStr">
        <is>
          <t>Nhân viên</t>
        </is>
      </c>
      <c r="H3526" s="10" t="inlineStr">
        <is>
          <t>11/02/2026</t>
        </is>
      </c>
      <c r="I3526" s="10" t="inlineStr">
        <is>
          <t>28/03/2026</t>
        </is>
      </c>
      <c r="J3526" s="10" t="inlineStr">
        <is>
          <t>17/03/2026</t>
        </is>
      </c>
      <c r="K3526" s="10" t="inlineStr">
        <is>
          <t>N/A</t>
        </is>
      </c>
      <c r="L3526" s="10" t="inlineStr">
        <is>
          <t>Lập Trình AutoCAD, Giám Sát Hiện Trường, Quality Control, Site Inspection, Xây Dựng Dân Dụng</t>
        </is>
      </c>
      <c r="M3526" s="10" t="inlineStr">
        <is>
          <t>Bonus, Paid Leave, Mobile, Others</t>
        </is>
      </c>
      <c r="N3526" s="11">
        <f>HYPERLINK("https://www.vietnamworks.com/ky-su-quan-ly-chat-luong-qc-qa-engineer-luong-25-30-trieu-lam-viec-tai-thai-nguyen-2011467-jv","Xem chi tiết")</f>
        <v/>
      </c>
      <c r="O3526" s="10" t="n"/>
    </row>
    <row r="3527">
      <c r="B3527" s="7" t="n">
        <v>3525</v>
      </c>
      <c r="C3527" t="inlineStr">
        <is>
          <t>Kỹ Sư Truyền Dẫn</t>
        </is>
      </c>
      <c r="D3527" t="inlineStr">
        <is>
          <t>Tập Đoàn APEC (APEC GROUP)</t>
        </is>
      </c>
      <c r="E3527" t="inlineStr">
        <is>
          <t>$$ 800-1,200 /tháng</t>
        </is>
      </c>
      <c r="F3527" t="inlineStr">
        <is>
          <t>Hà Nội</t>
        </is>
      </c>
      <c r="G3527" t="inlineStr">
        <is>
          <t>Nhân viên</t>
        </is>
      </c>
      <c r="H3527" t="inlineStr">
        <is>
          <t>11/02/2026</t>
        </is>
      </c>
      <c r="I3527" t="inlineStr">
        <is>
          <t>28/03/2026</t>
        </is>
      </c>
      <c r="J3527" t="inlineStr">
        <is>
          <t>17/03/2026</t>
        </is>
      </c>
      <c r="K3527" t="inlineStr">
        <is>
          <t>N/A</t>
        </is>
      </c>
      <c r="L3527" t="inlineStr">
        <is>
          <t>Thiết Kế Truyền Dẫn, Truyền Dẫn Quang, Telecommunications, Điện Tử Viễn Thông, Xử Lý Sự Cố</t>
        </is>
      </c>
      <c r="M3527" t="inlineStr">
        <is>
          <t>Bonus, Travel Opportunities, Others</t>
        </is>
      </c>
      <c r="N3527" s="8">
        <f>HYPERLINK("https://www.vietnamworks.com/ky-su-truyen-dan--2011470-jv","Xem chi tiết")</f>
        <v/>
      </c>
    </row>
    <row r="3528">
      <c r="B3528" s="9" t="n">
        <v>3526</v>
      </c>
      <c r="C3528" s="10" t="inlineStr">
        <is>
          <t>Giám Đốc Kinh Doanh Vùng Khu Vực Hồ Chí Minh</t>
        </is>
      </c>
      <c r="D3528" s="10" t="inlineStr">
        <is>
          <t>Công Ty Cổ Phần BB Group</t>
        </is>
      </c>
      <c r="E3528" s="10" t="inlineStr">
        <is>
          <t>Thương lượng</t>
        </is>
      </c>
      <c r="F3528" s="10" t="inlineStr">
        <is>
          <t>Hồ Chí Minh</t>
        </is>
      </c>
      <c r="G3528" s="10" t="inlineStr">
        <is>
          <t>Giám Đốc và Cấp Cao Hơn</t>
        </is>
      </c>
      <c r="H3528" s="10" t="inlineStr">
        <is>
          <t>11/02/2026</t>
        </is>
      </c>
      <c r="I3528" s="10" t="inlineStr">
        <is>
          <t>28/03/2026</t>
        </is>
      </c>
      <c r="J3528" s="10" t="inlineStr">
        <is>
          <t>17/03/2026</t>
        </is>
      </c>
      <c r="K3528" s="10" t="inlineStr">
        <is>
          <t>N/A</t>
        </is>
      </c>
      <c r="L3528" s="10" t="inlineStr">
        <is>
          <t>Quản Trị Kinh Doanh, Kinh Doanh Hàng Tiêu Dùng, Quản Lý Nhân Sự, Lập Kế Hoạch, Vận Hành Kinh Doanh</t>
        </is>
      </c>
      <c r="M3528" s="10" t="inlineStr">
        <is>
          <t>Bonus, Healthcare Plan, Others</t>
        </is>
      </c>
      <c r="N3528" s="11">
        <f>HYPERLINK("https://www.vietnamworks.com/giam-djoc-kinh-doanh-vung-khu-vuc-ho-chi-minh-2011473-jv","Xem chi tiết")</f>
        <v/>
      </c>
      <c r="O3528" s="10" t="n"/>
    </row>
    <row r="3529">
      <c r="B3529" s="7" t="n">
        <v>3527</v>
      </c>
      <c r="C3529" t="inlineStr">
        <is>
          <t>Cambridge International Teacher (Math / Science/english) (Expat Only) / Lương 50-70 Triệu VND/ Tháng</t>
        </is>
      </c>
      <c r="D3529" t="inlineStr">
        <is>
          <t>Tiểu học Nguyễn Siêu</t>
        </is>
      </c>
      <c r="E3529" t="inlineStr">
        <is>
          <t>50tr-70tr ₫/tháng</t>
        </is>
      </c>
      <c r="F3529" t="inlineStr">
        <is>
          <t>Hà Nội</t>
        </is>
      </c>
      <c r="G3529" t="inlineStr">
        <is>
          <t>Nhân viên</t>
        </is>
      </c>
      <c r="H3529" t="inlineStr">
        <is>
          <t>11/02/2026</t>
        </is>
      </c>
      <c r="I3529" t="inlineStr">
        <is>
          <t>28/03/2026</t>
        </is>
      </c>
      <c r="J3529" t="inlineStr">
        <is>
          <t>17/03/2026</t>
        </is>
      </c>
      <c r="K3529" t="inlineStr">
        <is>
          <t>N/A</t>
        </is>
      </c>
      <c r="L3529" t="inlineStr">
        <is>
          <t>Teaching English, Teaching Mathematics, Teaching, Classroom Management, Expat</t>
        </is>
      </c>
      <c r="M3529" t="inlineStr">
        <is>
          <t>Bonus, Paid Leave, Training, Travel Opportunities, Vouchers, Others</t>
        </is>
      </c>
      <c r="N3529" s="8">
        <f>HYPERLINK("https://www.vietnamworks.com/cambridge-international-teacher-math-science-english-expat-only-luong-50-70-trieu-vnd-thang-2011448-jv","Xem chi tiết")</f>
        <v/>
      </c>
    </row>
    <row r="3530">
      <c r="B3530" s="9" t="n">
        <v>3528</v>
      </c>
      <c r="C3530" s="10" t="inlineStr">
        <is>
          <t>Trưởng Phòng Đầu Tư Và IPO</t>
        </is>
      </c>
      <c r="D3530" s="10" t="inlineStr">
        <is>
          <t>Công Ty Cổ Phần Tập Đoàn Meey Land</t>
        </is>
      </c>
      <c r="E3530" s="10" t="inlineStr">
        <is>
          <t>Thương lượng</t>
        </is>
      </c>
      <c r="F3530" s="10" t="inlineStr">
        <is>
          <t>Hà Nội</t>
        </is>
      </c>
      <c r="G3530" s="10" t="inlineStr">
        <is>
          <t>Trưởng phòng</t>
        </is>
      </c>
      <c r="H3530" s="10" t="inlineStr">
        <is>
          <t>11/02/2026</t>
        </is>
      </c>
      <c r="I3530" s="10" t="inlineStr">
        <is>
          <t>28/03/2026</t>
        </is>
      </c>
      <c r="J3530" s="10" t="inlineStr">
        <is>
          <t>17/03/2026</t>
        </is>
      </c>
      <c r="K3530" s="10" t="inlineStr">
        <is>
          <t>N/A</t>
        </is>
      </c>
      <c r="L3530" s="10" t="inlineStr">
        <is>
          <t>Investment Analyst, IPO, Quản Lý Quỹ Đầu Tư, Tài Chính Đầu Tư, Venture Capital</t>
        </is>
      </c>
      <c r="M3530" s="10" t="inlineStr">
        <is>
          <t>Bonus, Healthcare Plan, Paid Leave, Training, Team Activities, Others</t>
        </is>
      </c>
      <c r="N3530" s="11">
        <f>HYPERLINK("https://www.vietnamworks.com/truong-phong-djau-tu-va-ipo-2011472-jv","Xem chi tiết")</f>
        <v/>
      </c>
      <c r="O3530" s="10" t="n"/>
    </row>
    <row r="3531">
      <c r="B3531" s="7" t="n">
        <v>3529</v>
      </c>
      <c r="C3531" t="inlineStr">
        <is>
          <t>Chủ Trì Hạ Tầng Đô Thị / Kiến Trúc Sư Hạ Tầng Đô Thị</t>
        </is>
      </c>
      <c r="D3531" t="inlineStr">
        <is>
          <t>Công Ty cổ phần R&amp;D Quy hoạch</t>
        </is>
      </c>
      <c r="E3531" t="inlineStr">
        <is>
          <t>Thương lượng</t>
        </is>
      </c>
      <c r="F3531" t="inlineStr">
        <is>
          <t>Hà Nội</t>
        </is>
      </c>
      <c r="G3531" t="inlineStr">
        <is>
          <t>Nhân viên</t>
        </is>
      </c>
      <c r="H3531" t="inlineStr">
        <is>
          <t>11/02/2026</t>
        </is>
      </c>
      <c r="I3531" t="inlineStr">
        <is>
          <t>28/03/2026</t>
        </is>
      </c>
      <c r="J3531" t="inlineStr">
        <is>
          <t>17/03/2026</t>
        </is>
      </c>
      <c r="K3531" t="inlineStr">
        <is>
          <t>N/A</t>
        </is>
      </c>
      <c r="L3531" t="inlineStr">
        <is>
          <t>Auto Cad, 3D Max, Hạ Tầng Đô Thị, kiến trúc sư chủ trì, Quy hoạch</t>
        </is>
      </c>
      <c r="M3531" t="inlineStr">
        <is>
          <t>Bonus, Healthcare Plan, Training, Travel Opportunities, Team Activities, Others</t>
        </is>
      </c>
      <c r="N3531" s="8">
        <f>HYPERLINK("https://www.vietnamworks.com/chu-tri-ha-tang-do-thi-kien-truc-su-ha-tang-do-thi-2011468-jv","Xem chi tiết")</f>
        <v/>
      </c>
    </row>
    <row r="3532">
      <c r="B3532" s="9" t="n">
        <v>3530</v>
      </c>
      <c r="C3532" s="10" t="inlineStr">
        <is>
          <t>[Remote] Influencer Marketer | KOC Booking (Senior/Team Lead)</t>
        </is>
      </c>
      <c r="D3532" s="10" t="inlineStr">
        <is>
          <t>PICKDI CORP</t>
        </is>
      </c>
      <c r="E3532" s="10" t="inlineStr">
        <is>
          <t>22tr-26tr ₫/tháng</t>
        </is>
      </c>
      <c r="F3532" s="10" t="inlineStr">
        <is>
          <t>Hồ Chí Minh, Quốc tế, Hà Nội</t>
        </is>
      </c>
      <c r="G3532" s="10" t="inlineStr">
        <is>
          <t>Nhân viên</t>
        </is>
      </c>
      <c r="H3532" s="10" t="inlineStr">
        <is>
          <t>11/02/2026</t>
        </is>
      </c>
      <c r="I3532" s="10" t="inlineStr">
        <is>
          <t>28/03/2026</t>
        </is>
      </c>
      <c r="J3532" s="10" t="inlineStr">
        <is>
          <t>17/03/2026</t>
        </is>
      </c>
      <c r="K3532" s="10" t="inlineStr">
        <is>
          <t>N/A</t>
        </is>
      </c>
      <c r="L3532" s="10" t="inlineStr">
        <is>
          <t>Influencer &amp; KOL Management, Influencer Marketing, Kol/Koc Booking, Social Media Marketing, Marketing Lead</t>
        </is>
      </c>
      <c r="M3532" s="10" t="inlineStr">
        <is>
          <t>Others</t>
        </is>
      </c>
      <c r="N3532" s="11">
        <f>HYPERLINK("https://www.vietnamworks.com/remote-influencer-marketer-or-koc-booking-seniorteam-lead-2011480-jv","Xem chi tiết")</f>
        <v/>
      </c>
      <c r="O3532" s="10" t="n"/>
    </row>
    <row r="3533">
      <c r="B3533" s="7" t="n">
        <v>3531</v>
      </c>
      <c r="C3533" t="inlineStr">
        <is>
          <t>Import&amp;Export Leader</t>
        </is>
      </c>
      <c r="D3533" t="inlineStr">
        <is>
          <t>Công Ty TNHH Standard Units Supply Việt Nam</t>
        </is>
      </c>
      <c r="E3533" t="inlineStr">
        <is>
          <t>15tr-20tr ₫/tháng</t>
        </is>
      </c>
      <c r="F3533" t="inlineStr">
        <is>
          <t>Hải Phòng</t>
        </is>
      </c>
      <c r="G3533" t="inlineStr">
        <is>
          <t>Nhân viên</t>
        </is>
      </c>
      <c r="H3533" t="inlineStr">
        <is>
          <t>11/02/2026</t>
        </is>
      </c>
      <c r="I3533" t="inlineStr">
        <is>
          <t>28/03/2026</t>
        </is>
      </c>
      <c r="J3533" t="inlineStr">
        <is>
          <t>17/03/2026</t>
        </is>
      </c>
      <c r="K3533" t="inlineStr">
        <is>
          <t>N/A</t>
        </is>
      </c>
      <c r="L3533" t="inlineStr">
        <is>
          <t>Communication Skills, Customs Regulation, Import-Export Procedure, Logistics, Team Management</t>
        </is>
      </c>
      <c r="M3533" t="inlineStr">
        <is>
          <t>Bonus, Healthcare Plan, Team Activities, Canteen, Others</t>
        </is>
      </c>
      <c r="N3533" s="8">
        <f>HYPERLINK("https://www.vietnamworks.com/importandexport-leader-2011474-jv","Xem chi tiết")</f>
        <v/>
      </c>
    </row>
    <row r="3534">
      <c r="B3534" s="9" t="n">
        <v>3532</v>
      </c>
      <c r="C3534" s="10" t="inlineStr">
        <is>
          <t>Nhân Viên Kinh Doanh Lĩnh Vực: Xử Lý Nước Thải.</t>
        </is>
      </c>
      <c r="D3534" s="10" t="inlineStr">
        <is>
          <t>Công Ty TNHH Thai Seng Việt Nam</t>
        </is>
      </c>
      <c r="E3534" s="10" t="inlineStr">
        <is>
          <t>11tr-16tr ₫/tháng</t>
        </is>
      </c>
      <c r="F3534" s="10" t="inlineStr">
        <is>
          <t>Hồ Chí Minh</t>
        </is>
      </c>
      <c r="G3534" s="10" t="inlineStr">
        <is>
          <t>Nhân viên</t>
        </is>
      </c>
      <c r="H3534" s="10" t="inlineStr">
        <is>
          <t>11/02/2026</t>
        </is>
      </c>
      <c r="I3534" s="10" t="inlineStr">
        <is>
          <t>28/03/2026</t>
        </is>
      </c>
      <c r="J3534" s="10" t="inlineStr">
        <is>
          <t>17/03/2026</t>
        </is>
      </c>
      <c r="K3534" s="10" t="inlineStr">
        <is>
          <t>N/A</t>
        </is>
      </c>
      <c r="L3534" s="10" t="inlineStr">
        <is>
          <t>Chăm Sóc Khách Hàng, Tìm Kiếm Khách Hàng, Nghiên Cứu Thị Trường, Tư Vấn Kỹ Thuật, Phát Triển Khách Hàng</t>
        </is>
      </c>
      <c r="M3534" s="10" t="inlineStr">
        <is>
          <t>Travel Opportunities</t>
        </is>
      </c>
      <c r="N3534" s="11">
        <f>HYPERLINK("https://www.vietnamworks.com/nhan-vien-kinh-doanh-linh-vuc-xu-ly-nuoc-thai-2011485-jv","Xem chi tiết")</f>
        <v/>
      </c>
      <c r="O3534" s="10" t="n"/>
    </row>
    <row r="3535">
      <c r="B3535" s="7" t="n">
        <v>3533</v>
      </c>
      <c r="C3535" t="inlineStr">
        <is>
          <t>Nhân Viên Kinh Doanh Lĩnh Vực: Máy Móc Thiết Bị Xây Dựng</t>
        </is>
      </c>
      <c r="D3535" t="inlineStr">
        <is>
          <t>Công Ty TNHH Thai Seng Việt Nam</t>
        </is>
      </c>
      <c r="E3535" t="inlineStr">
        <is>
          <t>11tr-16tr ₫/tháng</t>
        </is>
      </c>
      <c r="F3535" t="inlineStr">
        <is>
          <t>Hồ Chí Minh</t>
        </is>
      </c>
      <c r="G3535" t="inlineStr">
        <is>
          <t>Nhân viên</t>
        </is>
      </c>
      <c r="H3535" t="inlineStr">
        <is>
          <t>11/02/2026</t>
        </is>
      </c>
      <c r="I3535" t="inlineStr">
        <is>
          <t>28/03/2026</t>
        </is>
      </c>
      <c r="J3535" t="inlineStr">
        <is>
          <t>17/03/2026</t>
        </is>
      </c>
      <c r="K3535" t="inlineStr">
        <is>
          <t>N/A</t>
        </is>
      </c>
      <c r="L3535" t="inlineStr">
        <is>
          <t>Chăm Sóc Khách Hàng, Tìm Kiếm Khách Hàng, Nghiên Cứu Thị Trường, Tư Vấn Kỹ Thuật, Phát Triển Khách Hàng</t>
        </is>
      </c>
      <c r="M3535" t="inlineStr">
        <is>
          <t>Travel Opportunities</t>
        </is>
      </c>
      <c r="N3535" s="8">
        <f>HYPERLINK("https://www.vietnamworks.com/nhan-vien-kinh-doanh-linh-vuc-may-moc-thiet-bi-xay-dung-2011484-jv","Xem chi tiết")</f>
        <v/>
      </c>
    </row>
    <row r="3536">
      <c r="B3536" s="9" t="n">
        <v>3534</v>
      </c>
      <c r="C3536" s="10" t="inlineStr">
        <is>
          <t>Senior Finance Manager - Leading Manufacturing Company</t>
        </is>
      </c>
      <c r="D3536" s="10" t="inlineStr">
        <is>
          <t>Michael Page Vietnam</t>
        </is>
      </c>
      <c r="E3536" s="10" t="inlineStr">
        <is>
          <t>Thương lượng</t>
        </is>
      </c>
      <c r="F3536" s="10" t="inlineStr">
        <is>
          <t>Bình Dương</t>
        </is>
      </c>
      <c r="G3536" s="10" t="inlineStr">
        <is>
          <t>Trưởng phòng</t>
        </is>
      </c>
      <c r="H3536" s="10" t="inlineStr">
        <is>
          <t>11/02/2026</t>
        </is>
      </c>
      <c r="I3536" s="10" t="inlineStr">
        <is>
          <t>28/03/2026</t>
        </is>
      </c>
      <c r="J3536" s="10" t="inlineStr">
        <is>
          <t>17/03/2026</t>
        </is>
      </c>
      <c r="K3536" s="10" t="inlineStr">
        <is>
          <t>N/A</t>
        </is>
      </c>
      <c r="L3536" s="10" t="inlineStr">
        <is>
          <t>Accounting, Finance, Finance Management, CPA, Financial Analysis</t>
        </is>
      </c>
      <c r="M3536" s="10" t="inlineStr">
        <is>
          <t>Bonus, Healthcare Plan, Transportation</t>
        </is>
      </c>
      <c r="N3536" s="11">
        <f>HYPERLINK("https://www.vietnamworks.com/senior-finance-manager-leading-manufacturing-company-2011482-jv","Xem chi tiết")</f>
        <v/>
      </c>
      <c r="O3536" s="10" t="n"/>
    </row>
    <row r="3537">
      <c r="B3537" s="7" t="n">
        <v>3535</v>
      </c>
      <c r="C3537" t="inlineStr">
        <is>
          <t>.NET Development Engineer (Biết Tiếng Anh hoặc Tiếng Trung Cơ Bản)</t>
        </is>
      </c>
      <c r="D3537" t="inlineStr">
        <is>
          <t>CÔNG TY TNHH SOONEST EXPRESS (VIETNAM)</t>
        </is>
      </c>
      <c r="E3537" t="inlineStr">
        <is>
          <t>Thương lượng</t>
        </is>
      </c>
      <c r="F3537" t="inlineStr">
        <is>
          <t>Hà Nội</t>
        </is>
      </c>
      <c r="G3537" t="inlineStr">
        <is>
          <t>Nhân viên</t>
        </is>
      </c>
      <c r="H3537" t="inlineStr">
        <is>
          <t>11/02/2026</t>
        </is>
      </c>
      <c r="I3537" t="inlineStr">
        <is>
          <t>28/03/2026</t>
        </is>
      </c>
      <c r="J3537" t="inlineStr">
        <is>
          <t>17/03/2026</t>
        </is>
      </c>
      <c r="K3537" t="inlineStr">
        <is>
          <t>N/A</t>
        </is>
      </c>
      <c r="L3537" t="inlineStr">
        <is>
          <t>.Net, JavaScript, jQuery, SQL, Tiếng Trung</t>
        </is>
      </c>
      <c r="M3537" t="inlineStr">
        <is>
          <t>Bonus, Healthcare Plan, Paid Leave, Others</t>
        </is>
      </c>
      <c r="N3537" s="8">
        <f>HYPERLINK("https://www.vietnamworks.com/net-development-engineer-biet-tieng-anh-hoac-tieng-trung-co-ban-2011494-jv","Xem chi tiết")</f>
        <v/>
      </c>
    </row>
    <row r="3538">
      <c r="B3538" s="9" t="n">
        <v>3536</v>
      </c>
      <c r="C3538" s="10" t="inlineStr">
        <is>
          <t>Kiến Trúc Sư Quản Lý Kiến Trúc</t>
        </is>
      </c>
      <c r="D3538" s="10" t="inlineStr">
        <is>
          <t>CÔNG TY CỔ PHẦN TƯ VẤN VÀ THIẾT KẾ D&amp;B</t>
        </is>
      </c>
      <c r="E3538" s="10" t="inlineStr">
        <is>
          <t>Thương lượng</t>
        </is>
      </c>
      <c r="F3538" s="10" t="inlineStr">
        <is>
          <t>Hồ Chí Minh</t>
        </is>
      </c>
      <c r="G3538" s="10" t="inlineStr">
        <is>
          <t>Nhân viên</t>
        </is>
      </c>
      <c r="H3538" s="10" t="inlineStr">
        <is>
          <t>11/02/2026</t>
        </is>
      </c>
      <c r="I3538" s="10" t="inlineStr">
        <is>
          <t>28/03/2026</t>
        </is>
      </c>
      <c r="J3538" s="10" t="inlineStr">
        <is>
          <t>17/03/2026</t>
        </is>
      </c>
      <c r="K3538" s="10" t="inlineStr">
        <is>
          <t>N/A</t>
        </is>
      </c>
      <c r="L3538" s="10" t="inlineStr">
        <is>
          <t>Quản Lý Thiết Kế Kết Cấu, Kiến Trúc Công Trình, AutoCAD, Revit, Thiết Kế Kiến Trúc</t>
        </is>
      </c>
      <c r="M3538" s="10" t="inlineStr">
        <is>
          <t>Bonus, Healthcare Plan, Training, Travel Opportunities, Others</t>
        </is>
      </c>
      <c r="N3538" s="11">
        <f>HYPERLINK("https://www.vietnamworks.com/kien-truc-su-quan-ly-kien-truc-2011483-jv","Xem chi tiết")</f>
        <v/>
      </c>
      <c r="O3538" s="10" t="n"/>
    </row>
    <row r="3539">
      <c r="B3539" s="7" t="n">
        <v>3537</v>
      </c>
      <c r="C3539" t="inlineStr">
        <is>
          <t>[Tuyển Gấp] HR Manager/ Trưởng Phòng HCNS (Yêu Cầu Tiếng Trung) - Mức Lương Đảm Bảo Cao Hơn Thị Trường</t>
        </is>
      </c>
      <c r="D3539" t="inlineStr">
        <is>
          <t>Công Ty TNHH Bodor Laser Việt Nam</t>
        </is>
      </c>
      <c r="E3539" t="inlineStr">
        <is>
          <t>Tới 30tr ₫/tháng</t>
        </is>
      </c>
      <c r="F3539" t="inlineStr">
        <is>
          <t>Hồ Chí Minh</t>
        </is>
      </c>
      <c r="G3539" t="inlineStr">
        <is>
          <t>Trưởng phòng</t>
        </is>
      </c>
      <c r="H3539" t="inlineStr">
        <is>
          <t>11/02/2026</t>
        </is>
      </c>
      <c r="I3539" t="inlineStr">
        <is>
          <t>28/03/2026</t>
        </is>
      </c>
      <c r="J3539" t="inlineStr">
        <is>
          <t>17/03/2026</t>
        </is>
      </c>
      <c r="K3539" t="inlineStr">
        <is>
          <t>N/A</t>
        </is>
      </c>
      <c r="L3539" t="inlineStr">
        <is>
          <t>Giao Tiếp, Chăm Sóc Khách Hàng, Kinh Doanh Thiết Bị Máy Móc, Máy Cắt Laser, Tìm Kiếm Khách Hàng</t>
        </is>
      </c>
      <c r="M3539" t="inlineStr">
        <is>
          <t>Bonus, Healthcare Plan, Training, Others</t>
        </is>
      </c>
      <c r="N3539" s="8">
        <f>HYPERLINK("https://www.vietnamworks.com/tuyen-gap-hr-manager-truong-phong-hcns-yeu-cau-tieng-trung-muc-luong-dam-bao-cao-hon-thi-truong-2011492-jv","Xem chi tiết")</f>
        <v/>
      </c>
    </row>
    <row r="3540">
      <c r="B3540" s="9" t="n">
        <v>3538</v>
      </c>
      <c r="C3540" s="10" t="inlineStr">
        <is>
          <t>Information Security Team Lead - IT Department</t>
        </is>
      </c>
      <c r="D3540" s="10" t="inlineStr">
        <is>
          <t>Mizuho Bank, Ltd.</t>
        </is>
      </c>
      <c r="E3540" s="10" t="inlineStr">
        <is>
          <t>Thương lượng</t>
        </is>
      </c>
      <c r="F3540" s="10" t="inlineStr">
        <is>
          <t>Hà Nội</t>
        </is>
      </c>
      <c r="G3540" s="10" t="inlineStr">
        <is>
          <t>Nhân viên</t>
        </is>
      </c>
      <c r="H3540" s="10" t="inlineStr">
        <is>
          <t>11/02/2026</t>
        </is>
      </c>
      <c r="I3540" s="10" t="inlineStr">
        <is>
          <t>28/03/2026</t>
        </is>
      </c>
      <c r="J3540" s="10" t="inlineStr">
        <is>
          <t>17/03/2026</t>
        </is>
      </c>
      <c r="K3540" s="10" t="inlineStr">
        <is>
          <t>N/A</t>
        </is>
      </c>
      <c r="L3540" s="10" t="inlineStr">
        <is>
          <t>Analytical Skills, Banking Finance, Cybersecurity, Risk Management, Security Management</t>
        </is>
      </c>
      <c r="M3540" s="10" t="inlineStr">
        <is>
          <t>Bonus, Healthcare Plan, Paid Leave, Others</t>
        </is>
      </c>
      <c r="N3540" s="11">
        <f>HYPERLINK("https://www.vietnamworks.com/information-security-team-lead-it-department-2011481-jv","Xem chi tiết")</f>
        <v/>
      </c>
      <c r="O3540" s="10" t="n"/>
    </row>
    <row r="3541">
      <c r="B3541" s="7" t="n">
        <v>3539</v>
      </c>
      <c r="C3541" t="inlineStr">
        <is>
          <t>DevOps Engineer</t>
        </is>
      </c>
      <c r="D3541" t="inlineStr">
        <is>
          <t>FPT Software</t>
        </is>
      </c>
      <c r="E3541" t="inlineStr">
        <is>
          <t>Thương lượng</t>
        </is>
      </c>
      <c r="F3541" t="inlineStr">
        <is>
          <t>Đà Nẵng</t>
        </is>
      </c>
      <c r="G3541" t="inlineStr">
        <is>
          <t>Nhân viên</t>
        </is>
      </c>
      <c r="H3541" t="inlineStr">
        <is>
          <t>11/02/2026</t>
        </is>
      </c>
      <c r="I3541" t="inlineStr">
        <is>
          <t>28/03/2026</t>
        </is>
      </c>
      <c r="J3541" t="inlineStr">
        <is>
          <t>17/03/2026</t>
        </is>
      </c>
      <c r="K3541" t="inlineStr">
        <is>
          <t>N/A</t>
        </is>
      </c>
      <c r="L3541" t="inlineStr">
        <is>
          <t>Azure Cloud, GitHub, Virtual Machines, Azure services, CI/CD</t>
        </is>
      </c>
      <c r="M3541" t="inlineStr">
        <is>
          <t>Bonus, Healthcare Plan, Paid Leave, Training, Awards, Others</t>
        </is>
      </c>
      <c r="N3541" s="8">
        <f>HYPERLINK("https://www.vietnamworks.com/devops-engineer-2011489-jv","Xem chi tiết")</f>
        <v/>
      </c>
    </row>
    <row r="3542">
      <c r="B3542" s="9" t="n">
        <v>3540</v>
      </c>
      <c r="C3542" s="10" t="inlineStr">
        <is>
          <t>Quản Lý Chất Lượng</t>
        </is>
      </c>
      <c r="D3542" s="10" t="inlineStr">
        <is>
          <t>Công Ty TNHH Cellmech International VINA</t>
        </is>
      </c>
      <c r="E3542" s="10" t="inlineStr">
        <is>
          <t>Thương lượng</t>
        </is>
      </c>
      <c r="F3542" s="10" t="inlineStr">
        <is>
          <t>Vĩnh Phúc</t>
        </is>
      </c>
      <c r="G3542" s="10" t="inlineStr">
        <is>
          <t>Nhân viên</t>
        </is>
      </c>
      <c r="H3542" s="10" t="inlineStr">
        <is>
          <t>11/02/2026</t>
        </is>
      </c>
      <c r="I3542" s="10" t="inlineStr">
        <is>
          <t>28/03/2026</t>
        </is>
      </c>
      <c r="J3542" s="10" t="inlineStr">
        <is>
          <t>17/03/2026</t>
        </is>
      </c>
      <c r="K3542" s="10" t="inlineStr">
        <is>
          <t>N/A</t>
        </is>
      </c>
      <c r="L3542" s="10" t="inlineStr">
        <is>
          <t>Sản xuất, Tiếng Anh, Giám Sát, Quản Lý Chất Lượng, Tiếng Hàn</t>
        </is>
      </c>
      <c r="M3542" s="10" t="inlineStr">
        <is>
          <t>Bonus, Healthcare Plan, Others</t>
        </is>
      </c>
      <c r="N3542" s="11">
        <f>HYPERLINK("https://www.vietnamworks.com/quan-ly-chat-luong--2011502-jv","Xem chi tiết")</f>
        <v/>
      </c>
      <c r="O3542" s="10" t="n"/>
    </row>
    <row r="3543">
      <c r="B3543" s="7" t="n">
        <v>3541</v>
      </c>
      <c r="C3543" t="inlineStr">
        <is>
          <t>Qc Manager</t>
        </is>
      </c>
      <c r="D3543" t="inlineStr">
        <is>
          <t>LTP Vietnam., Co Ltd</t>
        </is>
      </c>
      <c r="E3543" t="inlineStr">
        <is>
          <t>$$ 1,500-2,000 /tháng</t>
        </is>
      </c>
      <c r="F3543" t="inlineStr">
        <is>
          <t>Hồ Chí Minh</t>
        </is>
      </c>
      <c r="G3543" t="inlineStr">
        <is>
          <t>Trưởng phòng</t>
        </is>
      </c>
      <c r="H3543" t="inlineStr">
        <is>
          <t>11/02/2026</t>
        </is>
      </c>
      <c r="I3543" t="inlineStr">
        <is>
          <t>28/03/2026</t>
        </is>
      </c>
      <c r="J3543" t="inlineStr">
        <is>
          <t>17/03/2026</t>
        </is>
      </c>
      <c r="K3543" t="inlineStr">
        <is>
          <t>N/A</t>
        </is>
      </c>
      <c r="L3543" t="inlineStr">
        <is>
          <t>Communication, Garment Manufacturing Knowledge, Problem-solving, Quality Control Management, Team Management</t>
        </is>
      </c>
      <c r="M3543" t="inlineStr">
        <is>
          <t>Bonus, Healthcare Plan, Paid Leave</t>
        </is>
      </c>
      <c r="N3543" s="8">
        <f>HYPERLINK("https://www.vietnamworks.com/qc-manager-2011508-jv","Xem chi tiết")</f>
        <v/>
      </c>
    </row>
    <row r="3544">
      <c r="B3544" s="9" t="n">
        <v>3542</v>
      </c>
      <c r="C3544" s="10" t="inlineStr">
        <is>
          <t>Accounting Leader</t>
        </is>
      </c>
      <c r="D3544" s="10" t="inlineStr">
        <is>
          <t>Công Ty TNHH Standard Units Supply Việt Nam</t>
        </is>
      </c>
      <c r="E3544" s="10" t="inlineStr">
        <is>
          <t>18tr-23tr ₫/tháng</t>
        </is>
      </c>
      <c r="F3544" s="10" t="inlineStr">
        <is>
          <t>Hải Phòng</t>
        </is>
      </c>
      <c r="G3544" s="10" t="inlineStr">
        <is>
          <t>Nhân viên</t>
        </is>
      </c>
      <c r="H3544" s="10" t="inlineStr">
        <is>
          <t>11/02/2026</t>
        </is>
      </c>
      <c r="I3544" s="10" t="inlineStr">
        <is>
          <t>28/03/2026</t>
        </is>
      </c>
      <c r="J3544" s="10" t="inlineStr">
        <is>
          <t>17/03/2026</t>
        </is>
      </c>
      <c r="K3544" s="10" t="inlineStr">
        <is>
          <t>N/A</t>
        </is>
      </c>
      <c r="L3544" s="10" t="inlineStr">
        <is>
          <t>Accounting, Communication, Financial Management, Leadership, Tax Compliance</t>
        </is>
      </c>
      <c r="M3544" s="10" t="inlineStr">
        <is>
          <t>Bonus, Healthcare Plan, Team Activities, Canteen, Others</t>
        </is>
      </c>
      <c r="N3544" s="11">
        <f>HYPERLINK("https://www.vietnamworks.com/accounting-leader-2011496-jv","Xem chi tiết")</f>
        <v/>
      </c>
      <c r="O3544" s="10" t="n"/>
    </row>
    <row r="3545">
      <c r="B3545" s="7" t="n">
        <v>3543</v>
      </c>
      <c r="C3545" t="inlineStr">
        <is>
          <t>Phó Giám Đốc Chi Nhánh: Nghệ An, Thanh Hoá, Thái Nguyên</t>
        </is>
      </c>
      <c r="D3545" t="inlineStr">
        <is>
          <t>Ngân Hàng Thương Mại Cổ Phần Bảo Việt</t>
        </is>
      </c>
      <c r="E3545" t="inlineStr">
        <is>
          <t>Thương lượng</t>
        </is>
      </c>
      <c r="F3545" t="inlineStr">
        <is>
          <t>Thanh Hóa, Thái Nguyên, Nghệ An</t>
        </is>
      </c>
      <c r="G3545" t="inlineStr">
        <is>
          <t>Giám Đốc và Cấp Cao Hơn</t>
        </is>
      </c>
      <c r="H3545" t="inlineStr">
        <is>
          <t>11/02/2026</t>
        </is>
      </c>
      <c r="I3545" t="inlineStr">
        <is>
          <t>28/03/2026</t>
        </is>
      </c>
      <c r="J3545" t="inlineStr">
        <is>
          <t>17/03/2026</t>
        </is>
      </c>
      <c r="K3545" t="inlineStr">
        <is>
          <t>N/A</t>
        </is>
      </c>
      <c r="L3545" t="inlineStr">
        <is>
          <t>Tài Chính Ngân Hàng, Kế Hoạch Kinh Doanh, Tín Dụng Ngân Hàng, Quản Lý Kinh Doanh, Quản Lý Nhân Sự</t>
        </is>
      </c>
      <c r="M3545" t="inlineStr">
        <is>
          <t>Bonus, Healthcare Plan, Travel Opportunities</t>
        </is>
      </c>
      <c r="N3545" s="8">
        <f>HYPERLINK("https://www.vietnamworks.com/pho-giam-doc-chi-nhanh-nghe-an-thanh-hoa-thai-nguyen-2011509-jv","Xem chi tiết")</f>
        <v/>
      </c>
    </row>
    <row r="3546">
      <c r="B3546" s="9" t="n">
        <v>3544</v>
      </c>
      <c r="C3546" s="10" t="inlineStr">
        <is>
          <t>Giám Đốc Chương Trình</t>
        </is>
      </c>
      <c r="D3546" s="10" t="inlineStr">
        <is>
          <t>Văn phòng đại diện Tổ chức OneSky tại Việt Nam</t>
        </is>
      </c>
      <c r="E3546" s="10" t="inlineStr">
        <is>
          <t>Thương lượng</t>
        </is>
      </c>
      <c r="F3546" s="10" t="inlineStr">
        <is>
          <t>Đà Nẵng</t>
        </is>
      </c>
      <c r="G3546" s="10" t="inlineStr">
        <is>
          <t>Giám Đốc và Cấp Cao Hơn</t>
        </is>
      </c>
      <c r="H3546" s="10" t="inlineStr">
        <is>
          <t>11/02/2026</t>
        </is>
      </c>
      <c r="I3546" s="10" t="inlineStr">
        <is>
          <t>28/03/2026</t>
        </is>
      </c>
      <c r="J3546" s="10" t="inlineStr">
        <is>
          <t>17/03/2026</t>
        </is>
      </c>
      <c r="K3546" s="10" t="inlineStr">
        <is>
          <t>N/A</t>
        </is>
      </c>
      <c r="L3546" s="10" t="inlineStr">
        <is>
          <t>Giảng Dạy Ngành Mầm Non, Education, Giảng Dạy Mầm Non, Giáo Dục, Training</t>
        </is>
      </c>
      <c r="M3546" s="10" t="inlineStr">
        <is>
          <t>Bonus, Healthcare Plan, Team Activities</t>
        </is>
      </c>
      <c r="N3546" s="11">
        <f>HYPERLINK("https://www.vietnamworks.com/giam-doc-chuong-trinh-2011501-jv","Xem chi tiết")</f>
        <v/>
      </c>
      <c r="O3546" s="10" t="n"/>
    </row>
    <row r="3547">
      <c r="B3547" s="7" t="n">
        <v>3545</v>
      </c>
      <c r="C3547" t="inlineStr">
        <is>
          <t>Trưởng nhóm Kinh Doanh (Area Sales Manager)</t>
        </is>
      </c>
      <c r="D3547" t="inlineStr">
        <is>
          <t>NHÀ MÁY SẢN XUẤT DƯỢC PHẨM GMP EU LONG HẬU- CHI NHÁNH CÔNG TY CỔ PHẦN DƯỢC PHẨM 3/2</t>
        </is>
      </c>
      <c r="E3547" t="inlineStr">
        <is>
          <t>Từ 14tr ₫/tháng</t>
        </is>
      </c>
      <c r="F3547" t="inlineStr">
        <is>
          <t>Hồ Chí Minh</t>
        </is>
      </c>
      <c r="G3547" t="inlineStr">
        <is>
          <t>Nhân viên</t>
        </is>
      </c>
      <c r="H3547" t="inlineStr">
        <is>
          <t>11/02/2026</t>
        </is>
      </c>
      <c r="I3547" t="inlineStr">
        <is>
          <t>28/03/2026</t>
        </is>
      </c>
      <c r="J3547" t="inlineStr">
        <is>
          <t>17/03/2026</t>
        </is>
      </c>
      <c r="K3547" t="inlineStr">
        <is>
          <t>N/A</t>
        </is>
      </c>
      <c r="L3547" t="inlineStr">
        <is>
          <t>Giao Tiếp Chủ Động, Kỹ năng giao tiếp, Kỹ năng lập kế hoạch, Kỹ năng tổ chức, Lãnh Đạo</t>
        </is>
      </c>
      <c r="M3547" t="inlineStr">
        <is>
          <t>Bonus, Healthcare Plan, Training, Others</t>
        </is>
      </c>
      <c r="N3547" s="8">
        <f>HYPERLINK("https://www.vietnamworks.com/truong-nhom-kinh-doanh-area-sales-manager-2011516-jv","Xem chi tiết")</f>
        <v/>
      </c>
    </row>
    <row r="3548">
      <c r="B3548" s="9" t="n">
        <v>3546</v>
      </c>
      <c r="C3548" s="10" t="inlineStr">
        <is>
          <t>Price Management Officer (Chinese Speaking)</t>
        </is>
      </c>
      <c r="D3548" s="10" t="inlineStr">
        <is>
          <t>Công Ty TNHH Coats Footwear Việt Nam</t>
        </is>
      </c>
      <c r="E3548" s="10" t="inlineStr">
        <is>
          <t>Thương lượng</t>
        </is>
      </c>
      <c r="F3548" s="10" t="inlineStr">
        <is>
          <t>Hồ Chí Minh</t>
        </is>
      </c>
      <c r="G3548" s="10" t="inlineStr">
        <is>
          <t>Nhân viên</t>
        </is>
      </c>
      <c r="H3548" s="10" t="inlineStr">
        <is>
          <t>11/02/2026</t>
        </is>
      </c>
      <c r="I3548" s="10" t="inlineStr">
        <is>
          <t>28/03/2026</t>
        </is>
      </c>
      <c r="J3548" s="10" t="inlineStr">
        <is>
          <t>17/03/2026</t>
        </is>
      </c>
      <c r="K3548" s="10" t="inlineStr">
        <is>
          <t>N/A</t>
        </is>
      </c>
      <c r="L3548" s="10" t="inlineStr">
        <is>
          <t>Product Pricing, Costing, Analytical Skills, Price Analysis, Reporting</t>
        </is>
      </c>
      <c r="M3548" s="10" t="inlineStr">
        <is>
          <t>Bonus, Healthcare Plan, Others</t>
        </is>
      </c>
      <c r="N3548" s="11">
        <f>HYPERLINK("https://www.vietnamworks.com/price-management-officer-chinese-speaking-2011504-jv","Xem chi tiết")</f>
        <v/>
      </c>
      <c r="O3548" s="10" t="n"/>
    </row>
    <row r="3549">
      <c r="B3549" s="7" t="n">
        <v>3547</v>
      </c>
      <c r="C3549" t="inlineStr">
        <is>
          <t>Office Operations Manager</t>
        </is>
      </c>
      <c r="D3549" t="inlineStr">
        <is>
          <t>CÔNG TY TNHH IONIAGA VIỆT NAM</t>
        </is>
      </c>
      <c r="E3549" t="inlineStr">
        <is>
          <t>Thương lượng</t>
        </is>
      </c>
      <c r="F3549" t="inlineStr">
        <is>
          <t>Hồ Chí Minh</t>
        </is>
      </c>
      <c r="G3549" t="inlineStr">
        <is>
          <t>Trưởng phòng</t>
        </is>
      </c>
      <c r="H3549" t="inlineStr">
        <is>
          <t>11/02/2026</t>
        </is>
      </c>
      <c r="I3549" t="inlineStr">
        <is>
          <t>28/03/2026</t>
        </is>
      </c>
      <c r="J3549" t="inlineStr">
        <is>
          <t>17/03/2026</t>
        </is>
      </c>
      <c r="K3549" t="inlineStr">
        <is>
          <t>N/A</t>
        </is>
      </c>
      <c r="L3549" t="inlineStr">
        <is>
          <t>Leadership, Communication, Lập Ngân Sách, Kiểm Soát Hoạt Động</t>
        </is>
      </c>
      <c r="M3549" t="inlineStr">
        <is>
          <t>Bonus, Paid Leave, Laptop</t>
        </is>
      </c>
      <c r="N3549" s="8">
        <f>HYPERLINK("https://www.vietnamworks.com/office-operations-manager--2011505-jv","Xem chi tiết")</f>
        <v/>
      </c>
    </row>
    <row r="3550">
      <c r="B3550" s="9" t="n">
        <v>3548</v>
      </c>
      <c r="C3550" s="10" t="inlineStr">
        <is>
          <t>Quản Lý Đào Tạo</t>
        </is>
      </c>
      <c r="D3550" s="10" t="inlineStr">
        <is>
          <t>Công Ty Cổ Phần Vinpearl</t>
        </is>
      </c>
      <c r="E3550" s="10" t="inlineStr">
        <is>
          <t>Thương lượng</t>
        </is>
      </c>
      <c r="F3550" s="10" t="inlineStr">
        <is>
          <t>Hà Nội</t>
        </is>
      </c>
      <c r="G3550" s="10" t="inlineStr">
        <is>
          <t>Nhân viên</t>
        </is>
      </c>
      <c r="H3550" s="10" t="inlineStr">
        <is>
          <t>11/02/2026</t>
        </is>
      </c>
      <c r="I3550" s="10" t="inlineStr">
        <is>
          <t>28/03/2026</t>
        </is>
      </c>
      <c r="J3550" s="10" t="inlineStr">
        <is>
          <t>17/03/2026</t>
        </is>
      </c>
      <c r="K3550" s="10" t="inlineStr">
        <is>
          <t>N/A</t>
        </is>
      </c>
      <c r="L3550" s="10" t="inlineStr">
        <is>
          <t>Quản Lý Đào Tạo, Tổ Chức Sự Kiện, Đào Tạo Nguồn Nhân Lực, Đào Tạo Nội Bộ, Đào Tạo và Phát Triển</t>
        </is>
      </c>
      <c r="M3550" s="10" t="inlineStr">
        <is>
          <t>Bonus, Healthcare Plan, Training, Travel Opportunities, Others</t>
        </is>
      </c>
      <c r="N3550" s="11">
        <f>HYPERLINK("https://www.vietnamworks.com/quan-ly-djao-tao-2011507-jv","Xem chi tiết")</f>
        <v/>
      </c>
      <c r="O3550" s="10" t="n"/>
    </row>
    <row r="3551">
      <c r="B3551" s="7" t="n">
        <v>3549</v>
      </c>
      <c r="C3551" t="inlineStr">
        <is>
          <t>Foxconn Fii Tuyển Gấp Kỹ Sư Trí Tuệ Nhân Tạo AI</t>
        </is>
      </c>
      <c r="D3551" t="inlineStr">
        <is>
          <t>Công ty TNHH Công nghệ Chính xác FUYU</t>
        </is>
      </c>
      <c r="E3551" t="inlineStr">
        <is>
          <t>$$ 700-1,300 /tháng</t>
        </is>
      </c>
      <c r="F3551" t="inlineStr">
        <is>
          <t>Bắc Giang, Bắc Ninh</t>
        </is>
      </c>
      <c r="G3551" t="inlineStr">
        <is>
          <t>Nhân viên</t>
        </is>
      </c>
      <c r="H3551" t="inlineStr">
        <is>
          <t>11/02/2026</t>
        </is>
      </c>
      <c r="I3551" t="inlineStr">
        <is>
          <t>28/03/2026</t>
        </is>
      </c>
      <c r="J3551" t="inlineStr">
        <is>
          <t>17/03/2026</t>
        </is>
      </c>
      <c r="K3551" t="inlineStr">
        <is>
          <t>N/A</t>
        </is>
      </c>
      <c r="L3551" t="inlineStr">
        <is>
          <t>AI Vision, Machine Learning, Deep Learning, OpenCV, English</t>
        </is>
      </c>
      <c r="M3551" t="inlineStr">
        <is>
          <t>Bonus, Healthcare Plan, Training</t>
        </is>
      </c>
      <c r="N3551" s="8">
        <f>HYPERLINK("https://www.vietnamworks.com/foxconn-fii-tuyen-gap-ky-su-tri-tue-nhan-tao-ai--2011517-jv","Xem chi tiết")</f>
        <v/>
      </c>
    </row>
    <row r="3552">
      <c r="B3552" s="9" t="n">
        <v>3550</v>
      </c>
      <c r="C3552" s="10" t="inlineStr">
        <is>
          <t>Kĩ Sư Giám Sát PCCC</t>
        </is>
      </c>
      <c r="D3552" s="10" t="inlineStr">
        <is>
          <t>Japan Construction Management Corporation</t>
        </is>
      </c>
      <c r="E3552" s="10" t="inlineStr">
        <is>
          <t>Thương lượng</t>
        </is>
      </c>
      <c r="F3552" s="10" t="inlineStr">
        <is>
          <t>Hà Nội, Hải Phòng, Hưng Yên</t>
        </is>
      </c>
      <c r="G3552" s="10" t="inlineStr">
        <is>
          <t>Nhân viên</t>
        </is>
      </c>
      <c r="H3552" s="10" t="inlineStr">
        <is>
          <t>11/02/2026</t>
        </is>
      </c>
      <c r="I3552" s="10" t="inlineStr">
        <is>
          <t>28/03/2026</t>
        </is>
      </c>
      <c r="J3552" s="10" t="inlineStr">
        <is>
          <t>17/03/2026</t>
        </is>
      </c>
      <c r="K3552" s="10" t="inlineStr">
        <is>
          <t>N/A</t>
        </is>
      </c>
      <c r="L3552" s="10" t="inlineStr">
        <is>
          <t>Quản Lý Thi Công Hệ Thống PCCC, Đọc Hiểu Bản Vẽ, Lập Trình AutoCAD, Bóc Tách Khối Lượng, Phòng Cháy Chữa Cháy</t>
        </is>
      </c>
      <c r="M3552" s="10" t="inlineStr">
        <is>
          <t>Bonus, Healthcare Plan, Paid Leave, Others</t>
        </is>
      </c>
      <c r="N3552" s="11">
        <f>HYPERLINK("https://www.vietnamworks.com/ki-su-giam-sat-pccc-2011518-jv","Xem chi tiết")</f>
        <v/>
      </c>
      <c r="O3552" s="10" t="n"/>
    </row>
    <row r="3553">
      <c r="B3553" s="7" t="n">
        <v>3551</v>
      </c>
      <c r="C3553" t="inlineStr">
        <is>
          <t>C&amp;B Specialist (8 - Month contract)</t>
        </is>
      </c>
      <c r="D3553" t="inlineStr">
        <is>
          <t>Công Ty TNHH Ariston Việt Nam</t>
        </is>
      </c>
      <c r="E3553" t="inlineStr">
        <is>
          <t>Thương lượng</t>
        </is>
      </c>
      <c r="F3553" t="inlineStr">
        <is>
          <t>Bắc Ninh, Hà Nội</t>
        </is>
      </c>
      <c r="G3553" t="inlineStr">
        <is>
          <t>Nhân viên</t>
        </is>
      </c>
      <c r="H3553" t="inlineStr">
        <is>
          <t>11/02/2026</t>
        </is>
      </c>
      <c r="I3553" t="inlineStr">
        <is>
          <t>28/03/2026</t>
        </is>
      </c>
      <c r="J3553" t="inlineStr">
        <is>
          <t>17/03/2026</t>
        </is>
      </c>
      <c r="K3553" t="inlineStr">
        <is>
          <t>N/A</t>
        </is>
      </c>
      <c r="L3553" t="inlineStr">
        <is>
          <t>Payroll, HR Service, Compensation &amp; Benefits, Compensation, C&amp;B</t>
        </is>
      </c>
      <c r="M3553" t="inlineStr">
        <is>
          <t>Healthcare Plan, Team Activities, Canteen</t>
        </is>
      </c>
      <c r="N3553" s="8">
        <f>HYPERLINK("https://www.vietnamworks.com/c-b-specialist-8-month-contract--2011490-jv","Xem chi tiết")</f>
        <v/>
      </c>
    </row>
    <row r="3554">
      <c r="B3554" s="9" t="n">
        <v>3552</v>
      </c>
      <c r="C3554" s="10" t="inlineStr">
        <is>
          <t>Kỹ Sư Điện Mặt Trời</t>
        </is>
      </c>
      <c r="D3554" s="10" t="inlineStr">
        <is>
          <t>SmartSolar</t>
        </is>
      </c>
      <c r="E3554" s="10" t="inlineStr">
        <is>
          <t>Thương lượng</t>
        </is>
      </c>
      <c r="F3554" s="10" t="inlineStr">
        <is>
          <t>Hồ Chí Minh</t>
        </is>
      </c>
      <c r="G3554" s="10" t="inlineStr">
        <is>
          <t>Nhân viên</t>
        </is>
      </c>
      <c r="H3554" s="10" t="inlineStr">
        <is>
          <t>11/02/2026</t>
        </is>
      </c>
      <c r="I3554" s="10" t="inlineStr">
        <is>
          <t>28/03/2026</t>
        </is>
      </c>
      <c r="J3554" s="10" t="inlineStr">
        <is>
          <t>17/03/2026</t>
        </is>
      </c>
      <c r="K3554" s="10" t="inlineStr">
        <is>
          <t>N/A</t>
        </is>
      </c>
      <c r="L3554" s="10" t="inlineStr">
        <is>
          <t>Điện, Nghiên Cứu Năng Lượng Tái Tạo, Lắp Đặt Điện, Năng lượng điện mặt trời, Điện Mặt Trời</t>
        </is>
      </c>
      <c r="M3554" s="10" t="inlineStr">
        <is>
          <t>Bonus, Healthcare Plan, Training, Team Activities, Others</t>
        </is>
      </c>
      <c r="N3554" s="11">
        <f>HYPERLINK("https://www.vietnamworks.com/ky-su-djien-mat-troi-2011519-jv","Xem chi tiết")</f>
        <v/>
      </c>
      <c r="O3554" s="10" t="n"/>
    </row>
    <row r="3555">
      <c r="B3555" s="7" t="n">
        <v>3553</v>
      </c>
      <c r="C3555" t="inlineStr">
        <is>
          <t>Nhân Viên Xuất Nhập Khẩu</t>
        </is>
      </c>
      <c r="D3555" t="inlineStr">
        <is>
          <t>Doanh nghiệp chế xuất Nitori Việt Nam - CN Hồ Chí Minh</t>
        </is>
      </c>
      <c r="E3555" t="inlineStr">
        <is>
          <t>Thương lượng</t>
        </is>
      </c>
      <c r="F3555" t="inlineStr">
        <is>
          <t>Bà Rịa - Vũng Tàu</t>
        </is>
      </c>
      <c r="G3555" t="inlineStr">
        <is>
          <t>Nhân viên</t>
        </is>
      </c>
      <c r="H3555" t="inlineStr">
        <is>
          <t>11/02/2026</t>
        </is>
      </c>
      <c r="I3555" t="inlineStr">
        <is>
          <t>28/03/2026</t>
        </is>
      </c>
      <c r="J3555" t="inlineStr">
        <is>
          <t>17/03/2026</t>
        </is>
      </c>
      <c r="K3555" t="inlineStr">
        <is>
          <t>N/A</t>
        </is>
      </c>
      <c r="L3555" t="inlineStr">
        <is>
          <t>Xuất Nhập Khẩu, Kê Khai Hải Quan, Giao Tiếp Tiếng Anh, Shipping Lines, Tiếng Nhật</t>
        </is>
      </c>
      <c r="M3555" t="inlineStr">
        <is>
          <t>Bonus, Healthcare Plan, Transportation, Canteen, Others</t>
        </is>
      </c>
      <c r="N3555" s="8">
        <f>HYPERLINK("https://www.vietnamworks.com/nhan-vien-xuat-nhap-khau-2011499-jv","Xem chi tiết")</f>
        <v/>
      </c>
    </row>
    <row r="3556">
      <c r="B3556" s="9" t="n">
        <v>3554</v>
      </c>
      <c r="C3556" s="10" t="inlineStr">
        <is>
          <t>Kỹ Sư Công Nghệ Thông Tin (R_ITD2601)</t>
        </is>
      </c>
      <c r="D3556" s="10" t="inlineStr">
        <is>
          <t>Công Ty Ô Tô Toyota Việt Nam</t>
        </is>
      </c>
      <c r="E3556" s="10" t="inlineStr">
        <is>
          <t>Thương lượng</t>
        </is>
      </c>
      <c r="F3556" s="10" t="inlineStr">
        <is>
          <t>Phú Thọ</t>
        </is>
      </c>
      <c r="G3556" s="10" t="inlineStr">
        <is>
          <t>Nhân viên</t>
        </is>
      </c>
      <c r="H3556" s="10" t="inlineStr">
        <is>
          <t>11/02/2026</t>
        </is>
      </c>
      <c r="I3556" s="10" t="inlineStr">
        <is>
          <t>28/03/2026</t>
        </is>
      </c>
      <c r="J3556" s="10" t="inlineStr">
        <is>
          <t>17/03/2026</t>
        </is>
      </c>
      <c r="K3556" s="10" t="inlineStr">
        <is>
          <t>N/A</t>
        </is>
      </c>
      <c r="L3556" s="10" t="inlineStr">
        <is>
          <t>.NET, Agile, ASP.NET, SQL Server</t>
        </is>
      </c>
      <c r="M3556" s="10" t="inlineStr">
        <is>
          <t>Others</t>
        </is>
      </c>
      <c r="N3556" s="11">
        <f>HYPERLINK("https://www.vietnamworks.com/ky-su-cong-nghe-thong-tin-r-itd2601-2011523-jv","Xem chi tiết")</f>
        <v/>
      </c>
      <c r="O3556" s="10" t="n"/>
    </row>
    <row r="3557">
      <c r="B3557" s="7" t="n">
        <v>3555</v>
      </c>
      <c r="C3557" t="inlineStr">
        <is>
          <t>Chuyên Viên An Ninh An Toàn, Thanh Tra Tuyến (Cổ Loa, HN) - Lương Up to 15 Triệu</t>
        </is>
      </c>
      <c r="D3557" t="inlineStr">
        <is>
          <t>Công Ty TNHH Dịch Vụ Vận Tải Sinh Thái Vinbus</t>
        </is>
      </c>
      <c r="E3557" t="inlineStr">
        <is>
          <t>Thương lượng</t>
        </is>
      </c>
      <c r="F3557" t="inlineStr">
        <is>
          <t>Hà Nội</t>
        </is>
      </c>
      <c r="G3557" t="inlineStr">
        <is>
          <t>Nhân viên</t>
        </is>
      </c>
      <c r="H3557" t="inlineStr">
        <is>
          <t>11/02/2026</t>
        </is>
      </c>
      <c r="I3557" t="inlineStr">
        <is>
          <t>28/03/2026</t>
        </is>
      </c>
      <c r="J3557" t="inlineStr">
        <is>
          <t>17/03/2026</t>
        </is>
      </c>
      <c r="K3557" t="inlineStr">
        <is>
          <t>N/A</t>
        </is>
      </c>
      <c r="L3557" t="inlineStr">
        <is>
          <t>Vận Tải Đường Bộ, Nghiệp Vụ An Ninh, Thanh Tra Hoạt Động, Kiểm Soát An Toàn, Vận Tải</t>
        </is>
      </c>
      <c r="M3557" t="inlineStr">
        <is>
          <t>Healthcare Plan, Training, Laptop</t>
        </is>
      </c>
      <c r="N3557" s="8">
        <f>HYPERLINK("https://www.vietnamworks.com/chuyen-vien-an-ninh-an-toan-thanh-tra-tuyen-co-loa-hn-luong-up-to-15-trieu-2011510-jv","Xem chi tiết")</f>
        <v/>
      </c>
    </row>
    <row r="3558">
      <c r="B3558" s="9" t="n">
        <v>3556</v>
      </c>
      <c r="C3558" s="10" t="inlineStr">
        <is>
          <t>Chuyên gia/ Giám đốc Phát triển Kinh doanh - Phòng Ngân hàng đầu tư - Investment Banking Expert - Khối Khách hàng lớn (HO26.39)</t>
        </is>
      </c>
      <c r="D3558" s="10" t="inlineStr">
        <is>
          <t>NGÂN HÀNG TMCP QUÂN ĐỘI – MBBANK</t>
        </is>
      </c>
      <c r="E3558" s="10" t="inlineStr">
        <is>
          <t>Thương lượng</t>
        </is>
      </c>
      <c r="F3558" s="10" t="inlineStr">
        <is>
          <t>Hà Nội</t>
        </is>
      </c>
      <c r="G3558" s="10" t="inlineStr">
        <is>
          <t>Giám Đốc và Cấp Cao Hơn</t>
        </is>
      </c>
      <c r="H3558" s="10" t="inlineStr">
        <is>
          <t>11/02/2026</t>
        </is>
      </c>
      <c r="I3558" s="10" t="inlineStr">
        <is>
          <t>28/03/2026</t>
        </is>
      </c>
      <c r="J3558" s="10" t="inlineStr">
        <is>
          <t>17/03/2026</t>
        </is>
      </c>
      <c r="K3558" s="10" t="inlineStr">
        <is>
          <t>N/A</t>
        </is>
      </c>
      <c r="L3558" s="10" t="inlineStr">
        <is>
          <t>Banking, Corporate Bonds, Investment, Phát Triển Kinh Doanh</t>
        </is>
      </c>
      <c r="M3558" s="10" t="inlineStr">
        <is>
          <t>Bonus, Healthcare Plan, Paid Leave, Training, Awards, Team Activities, Vouchers, Others</t>
        </is>
      </c>
      <c r="N3558" s="11">
        <f>HYPERLINK("https://www.vietnamworks.com/chuyen-gia-giam-djoc-phat-trien-kinh-doanh-phong-ngan-hang-djau-tu-investment-banking-expert-khoi-khach-hang-lon-ho26-39-2011524-jv","Xem chi tiết")</f>
        <v/>
      </c>
      <c r="O3558" s="10" t="n"/>
    </row>
    <row r="3559">
      <c r="B3559" s="7" t="n">
        <v>3557</v>
      </c>
      <c r="C3559" t="inlineStr">
        <is>
          <t>Nhân Viên Phòng Kế Hoạch Sản Xuất (R_PCD2601)</t>
        </is>
      </c>
      <c r="D3559" t="inlineStr">
        <is>
          <t>Công Ty Ô Tô Toyota Việt Nam</t>
        </is>
      </c>
      <c r="E3559" t="inlineStr">
        <is>
          <t>Thương lượng</t>
        </is>
      </c>
      <c r="F3559" t="inlineStr">
        <is>
          <t>Phú Thọ</t>
        </is>
      </c>
      <c r="G3559" t="inlineStr">
        <is>
          <t>Nhân viên</t>
        </is>
      </c>
      <c r="H3559" t="inlineStr">
        <is>
          <t>11/02/2026</t>
        </is>
      </c>
      <c r="I3559" t="inlineStr">
        <is>
          <t>28/03/2026</t>
        </is>
      </c>
      <c r="J3559" t="inlineStr">
        <is>
          <t>17/03/2026</t>
        </is>
      </c>
      <c r="K3559" t="inlineStr">
        <is>
          <t>N/A</t>
        </is>
      </c>
      <c r="L3559" t="inlineStr">
        <is>
          <t>ERP, Kế Hoạch Sản Xuất, Power BI, Production Planning, Quản Lý Sản Xuất</t>
        </is>
      </c>
      <c r="M3559" t="inlineStr">
        <is>
          <t>Others</t>
        </is>
      </c>
      <c r="N3559" s="8">
        <f>HYPERLINK("https://www.vietnamworks.com/nhan-vien-phong-ke-hoach-san-xuat-r-pcd2601-2011521-jv","Xem chi tiết")</f>
        <v/>
      </c>
    </row>
    <row r="3560">
      <c r="B3560" s="9" t="n">
        <v>3558</v>
      </c>
      <c r="C3560" s="10" t="inlineStr">
        <is>
          <t>Chuyên Viên Ngân Hàng Đầu Tư - Investment Banking Specialist - Khối Khách Hàng Lớn (HO26.38)</t>
        </is>
      </c>
      <c r="D3560" s="10" t="inlineStr">
        <is>
          <t>NGÂN HÀNG TMCP QUÂN ĐỘI – MBBANK</t>
        </is>
      </c>
      <c r="E3560" s="10" t="inlineStr">
        <is>
          <t>Thương lượng</t>
        </is>
      </c>
      <c r="F3560" s="10" t="inlineStr">
        <is>
          <t>Hà Nội</t>
        </is>
      </c>
      <c r="G3560" s="10" t="inlineStr">
        <is>
          <t>Nhân viên</t>
        </is>
      </c>
      <c r="H3560" s="10" t="inlineStr">
        <is>
          <t>11/02/2026</t>
        </is>
      </c>
      <c r="I3560" s="10" t="inlineStr">
        <is>
          <t>28/03/2026</t>
        </is>
      </c>
      <c r="J3560" s="10" t="inlineStr">
        <is>
          <t>17/03/2026</t>
        </is>
      </c>
      <c r="K3560" s="10" t="inlineStr">
        <is>
          <t>N/A</t>
        </is>
      </c>
      <c r="L3560" s="10" t="inlineStr">
        <is>
          <t>Investment Banking, Quan Hệ Khách Hàng, Thẩm Định, Tín dụng, Corporate Bonds</t>
        </is>
      </c>
      <c r="M3560" s="10" t="inlineStr">
        <is>
          <t>Bonus, Healthcare Plan, Paid Leave, Training, Awards, Team Activities, Vouchers, Others</t>
        </is>
      </c>
      <c r="N3560" s="11">
        <f>HYPERLINK("https://www.vietnamworks.com/chuyen-vien-ngan-hang-djau-tu-investment-banking-specialist-khoi-khach-hang-lon-ho26-38-2011522-jv","Xem chi tiết")</f>
        <v/>
      </c>
      <c r="O3560" s="10" t="n"/>
    </row>
    <row r="3561">
      <c r="B3561" s="7" t="n">
        <v>3559</v>
      </c>
      <c r="C3561" t="inlineStr">
        <is>
          <t>Foxconn Fii Tuyển Gấp Nhân Viên Quản Lý Nguyên Vật Liệu MPM MC</t>
        </is>
      </c>
      <c r="D3561" t="inlineStr">
        <is>
          <t>Công ty TNHH Công nghệ Chính xác FUYU</t>
        </is>
      </c>
      <c r="E3561" t="inlineStr">
        <is>
          <t>$$ 500-1,200 /tháng</t>
        </is>
      </c>
      <c r="F3561" t="inlineStr">
        <is>
          <t>Bắc Ninh, Bắc Giang</t>
        </is>
      </c>
      <c r="G3561" t="inlineStr">
        <is>
          <t>Nhân viên</t>
        </is>
      </c>
      <c r="H3561" t="inlineStr">
        <is>
          <t>11/02/2026</t>
        </is>
      </c>
      <c r="I3561" t="inlineStr">
        <is>
          <t>28/03/2026</t>
        </is>
      </c>
      <c r="J3561" t="inlineStr">
        <is>
          <t>17/03/2026</t>
        </is>
      </c>
      <c r="K3561" t="inlineStr">
        <is>
          <t>N/A</t>
        </is>
      </c>
      <c r="L3561" t="inlineStr">
        <is>
          <t>Material Control, Chinese, Quản Lý Nguyên Liệu, Quản Lý Tồn Kho</t>
        </is>
      </c>
      <c r="M3561" t="inlineStr">
        <is>
          <t>Bonus, Healthcare Plan, Training</t>
        </is>
      </c>
      <c r="N3561" s="8">
        <f>HYPERLINK("https://www.vietnamworks.com/foxconn-fii-tuyen-gap-nhan-vien-quan-ly-nguyen-vat-lieu-mpm-mc-2011541-jv","Xem chi tiết")</f>
        <v/>
      </c>
    </row>
    <row r="3562">
      <c r="B3562" s="9" t="n">
        <v>3560</v>
      </c>
      <c r="C3562" s="10" t="inlineStr">
        <is>
          <t>Nhân Viên Ban Quan Hệ Khách Hàng &amp; Dịch Vụ Kỹ Thuật (R_CRS2602)</t>
        </is>
      </c>
      <c r="D3562" s="10" t="inlineStr">
        <is>
          <t>Công Ty Ô Tô Toyota Việt Nam</t>
        </is>
      </c>
      <c r="E3562" s="10" t="inlineStr">
        <is>
          <t>Thương lượng</t>
        </is>
      </c>
      <c r="F3562" s="10" t="inlineStr">
        <is>
          <t>Hà Nội</t>
        </is>
      </c>
      <c r="G3562" s="10" t="inlineStr">
        <is>
          <t>Mới Tốt Nghiệp</t>
        </is>
      </c>
      <c r="H3562" s="10" t="inlineStr">
        <is>
          <t>11/02/2026</t>
        </is>
      </c>
      <c r="I3562" s="10" t="inlineStr">
        <is>
          <t>28/03/2026</t>
        </is>
      </c>
      <c r="J3562" s="10" t="inlineStr">
        <is>
          <t>17/03/2026</t>
        </is>
      </c>
      <c r="K3562" s="10" t="inlineStr">
        <is>
          <t>N/A</t>
        </is>
      </c>
      <c r="L3562" s="10" t="inlineStr">
        <is>
          <t>Excel, Giải Quyết Vấn Đề, Phân Tích Dữ Liệu, Tiếng Anh Toeic 550, Tư Duy Logic</t>
        </is>
      </c>
      <c r="M3562" s="10" t="inlineStr">
        <is>
          <t>Team Activities, Others</t>
        </is>
      </c>
      <c r="N3562" s="11">
        <f>HYPERLINK("https://www.vietnamworks.com/nhan-vien-ban-quan-he-khach-hang-and-dich-vu-ky-thuat-r_crs2602-2011539-jv","Xem chi tiết")</f>
        <v/>
      </c>
      <c r="O3562" s="10" t="n"/>
    </row>
    <row r="3563">
      <c r="B3563" s="7" t="n">
        <v>3561</v>
      </c>
      <c r="C3563" t="inlineStr">
        <is>
          <t>Chuyên viên Phát triển Kinh doanh Khách hàng lớn - Large Corporate Business Development Specialist - Khối Khách hàng lớn (HO26.44)</t>
        </is>
      </c>
      <c r="D3563" t="inlineStr">
        <is>
          <t>NGÂN HÀNG TMCP QUÂN ĐỘI – MBBANK</t>
        </is>
      </c>
      <c r="E3563" t="inlineStr">
        <is>
          <t>Thương lượng</t>
        </is>
      </c>
      <c r="F3563" t="inlineStr">
        <is>
          <t>Hà Nội</t>
        </is>
      </c>
      <c r="G3563" t="inlineStr">
        <is>
          <t>Nhân viên</t>
        </is>
      </c>
      <c r="H3563" t="inlineStr">
        <is>
          <t>11/02/2026</t>
        </is>
      </c>
      <c r="I3563" t="inlineStr">
        <is>
          <t>28/03/2026</t>
        </is>
      </c>
      <c r="J3563" t="inlineStr">
        <is>
          <t>17/03/2026</t>
        </is>
      </c>
      <c r="K3563" t="inlineStr">
        <is>
          <t>N/A</t>
        </is>
      </c>
      <c r="L3563" t="inlineStr">
        <is>
          <t>Business Development, Large Corporate, Quan Hệ Khách Hàng, Thẩm Định, Thúc Đẩy Bán</t>
        </is>
      </c>
      <c r="M3563" t="inlineStr">
        <is>
          <t>Bonus, Healthcare Plan, Paid Leave, Training, Awards, Team Activities, Vouchers, Others</t>
        </is>
      </c>
      <c r="N3563" s="8">
        <f>HYPERLINK("https://www.vietnamworks.com/chuyen-vien-phat-trien-kinh-doanh-khach-hang-lon-large-corporate-business-development-specialist-khoi-khach-hang-lon-ho26-44-2011543-jv","Xem chi tiết")</f>
        <v/>
      </c>
    </row>
    <row r="3564">
      <c r="B3564" s="9" t="n">
        <v>3562</v>
      </c>
      <c r="C3564" s="10" t="inlineStr">
        <is>
          <t>Kế Toán Tổng Hợp</t>
        </is>
      </c>
      <c r="D3564" s="10" t="inlineStr">
        <is>
          <t>CÔNG TY TNHH ĐIỆN TỬ FOXLINK ĐÀ NẴNG</t>
        </is>
      </c>
      <c r="E3564" s="10" t="inlineStr">
        <is>
          <t>Thương lượng</t>
        </is>
      </c>
      <c r="F3564" s="10" t="inlineStr">
        <is>
          <t>Đà Nẵng</t>
        </is>
      </c>
      <c r="G3564" s="10" t="inlineStr">
        <is>
          <t>Nhân viên</t>
        </is>
      </c>
      <c r="H3564" s="10" t="inlineStr">
        <is>
          <t>11/02/2026</t>
        </is>
      </c>
      <c r="I3564" s="10" t="inlineStr">
        <is>
          <t>28/03/2026</t>
        </is>
      </c>
      <c r="J3564" s="10" t="inlineStr">
        <is>
          <t>17/03/2026</t>
        </is>
      </c>
      <c r="K3564" s="10" t="inlineStr">
        <is>
          <t>N/A</t>
        </is>
      </c>
      <c r="L3564" s="10" t="inlineStr">
        <is>
          <t>Kế Toán, Tài Chính, Tiếng Trung Giao Tiếp, Hạch Toán, Quản Lý Phân Bổ Ngân Sách</t>
        </is>
      </c>
      <c r="M3564" s="10" t="inlineStr">
        <is>
          <t>Bonus, Healthcare Plan, Paid Leave, Training, Others</t>
        </is>
      </c>
      <c r="N3564" s="11">
        <f>HYPERLINK("https://www.vietnamworks.com/ke-toan-tong-hop-2011545-jv","Xem chi tiết")</f>
        <v/>
      </c>
      <c r="O3564" s="10" t="n"/>
    </row>
    <row r="3565">
      <c r="B3565" s="7" t="n">
        <v>3563</v>
      </c>
      <c r="C3565" t="inlineStr">
        <is>
          <t>Marketing Manager</t>
        </is>
      </c>
      <c r="D3565" t="inlineStr">
        <is>
          <t>Công Ty TNHH Space T</t>
        </is>
      </c>
      <c r="E3565" t="inlineStr">
        <is>
          <t>$$ 1,000-1,500 /tháng</t>
        </is>
      </c>
      <c r="F3565" t="inlineStr">
        <is>
          <t>Hồ Chí Minh</t>
        </is>
      </c>
      <c r="G3565" t="inlineStr">
        <is>
          <t>Trưởng phòng</t>
        </is>
      </c>
      <c r="H3565" t="inlineStr">
        <is>
          <t>11/02/2026</t>
        </is>
      </c>
      <c r="I3565" t="inlineStr">
        <is>
          <t>28/03/2026</t>
        </is>
      </c>
      <c r="J3565" t="inlineStr">
        <is>
          <t>17/03/2026</t>
        </is>
      </c>
      <c r="K3565" t="inlineStr">
        <is>
          <t>N/A</t>
        </is>
      </c>
      <c r="L3565" t="inlineStr">
        <is>
          <t>Communication Skills, Content Creation, Digital Advertising, Performance Marketing, SEO strategy</t>
        </is>
      </c>
      <c r="M3565" t="inlineStr">
        <is>
          <t>Bonus, Training, Team Activities, Others</t>
        </is>
      </c>
      <c r="N3565" s="8">
        <f>HYPERLINK("https://www.vietnamworks.com/marketing-manager-2011520-jv","Xem chi tiết")</f>
        <v/>
      </c>
    </row>
    <row r="3566">
      <c r="B3566" s="9" t="n">
        <v>3564</v>
      </c>
      <c r="C3566" s="10" t="inlineStr">
        <is>
          <t>Head of Transport</t>
        </is>
      </c>
      <c r="D3566" s="10" t="inlineStr">
        <is>
          <t>DHL Supply Chain</t>
        </is>
      </c>
      <c r="E3566" s="10" t="inlineStr">
        <is>
          <t>Thương lượng</t>
        </is>
      </c>
      <c r="F3566" s="10" t="inlineStr">
        <is>
          <t>Hồ Chí Minh</t>
        </is>
      </c>
      <c r="G3566" s="10" t="inlineStr">
        <is>
          <t>Giám Đốc và Cấp Cao Hơn</t>
        </is>
      </c>
      <c r="H3566" s="10" t="inlineStr">
        <is>
          <t>11/02/2026</t>
        </is>
      </c>
      <c r="I3566" s="10" t="inlineStr">
        <is>
          <t>28/03/2026</t>
        </is>
      </c>
      <c r="J3566" s="10" t="inlineStr">
        <is>
          <t>17/03/2026</t>
        </is>
      </c>
      <c r="K3566" s="10" t="inlineStr">
        <is>
          <t>N/A</t>
        </is>
      </c>
      <c r="L3566" s="10" t="inlineStr">
        <is>
          <t>Logistics, Transportation, Fleet Management, Subcontractor Management, Transportation Operations</t>
        </is>
      </c>
      <c r="M3566" s="10" t="inlineStr">
        <is>
          <t>Bonus, Training, Others</t>
        </is>
      </c>
      <c r="N3566" s="11">
        <f>HYPERLINK("https://www.vietnamworks.com/head-of-transport--2011525-jv","Xem chi tiết")</f>
        <v/>
      </c>
      <c r="O3566" s="10" t="n"/>
    </row>
    <row r="3567">
      <c r="B3567" s="7" t="n">
        <v>3565</v>
      </c>
      <c r="C3567" t="inlineStr">
        <is>
          <t>Trưởng Bộ Phận Khách Hàng Cá Nhân - Hải Phòng, Hà Nội</t>
        </is>
      </c>
      <c r="D3567" t="inlineStr">
        <is>
          <t>Ngân Hàng TMCP Việt Nam Thương Tín (Vietbank)</t>
        </is>
      </c>
      <c r="E3567" t="inlineStr">
        <is>
          <t>$$ 700-1,500 /tháng</t>
        </is>
      </c>
      <c r="F3567" t="inlineStr">
        <is>
          <t>Hà Nội, Hải Phòng</t>
        </is>
      </c>
      <c r="G3567" t="inlineStr">
        <is>
          <t>Trưởng phòng</t>
        </is>
      </c>
      <c r="H3567" t="inlineStr">
        <is>
          <t>11/02/2026</t>
        </is>
      </c>
      <c r="I3567" t="inlineStr">
        <is>
          <t>28/03/2026</t>
        </is>
      </c>
      <c r="J3567" t="inlineStr">
        <is>
          <t>17/03/2026</t>
        </is>
      </c>
      <c r="K3567" t="inlineStr">
        <is>
          <t>N/A</t>
        </is>
      </c>
      <c r="L3567" t="inlineStr">
        <is>
          <t>Tín Dụng Doanh Nghiệp, Tài Chính Ngân Hàng, Quan Hệ Khách Hàng, Giao Tiếp, Bán Hàng</t>
        </is>
      </c>
      <c r="M3567" t="inlineStr">
        <is>
          <t>Bonus, Healthcare Plan, Training</t>
        </is>
      </c>
      <c r="N3567" s="8">
        <f>HYPERLINK("https://www.vietnamworks.com/truong-bo-phan-khach-hang-ca-nhan-hai-phong-ha-noi-2011534-jv","Xem chi tiết")</f>
        <v/>
      </c>
    </row>
    <row r="3568">
      <c r="B3568" s="9" t="n">
        <v>3566</v>
      </c>
      <c r="C3568" s="10" t="inlineStr">
        <is>
          <t>Primary Retail Specialist (Pharmacy Chains)</t>
        </is>
      </c>
      <c r="D3568" s="10" t="inlineStr">
        <is>
          <t>CÔNG TY TNHH DAIICHI SANKYO VIỆT NAM</t>
        </is>
      </c>
      <c r="E3568" s="10" t="inlineStr">
        <is>
          <t>Thương lượng</t>
        </is>
      </c>
      <c r="F3568" s="10" t="inlineStr">
        <is>
          <t>Hồ Chí Minh</t>
        </is>
      </c>
      <c r="G3568" s="10" t="inlineStr">
        <is>
          <t>Nhân viên</t>
        </is>
      </c>
      <c r="H3568" s="10" t="inlineStr">
        <is>
          <t>11/02/2026</t>
        </is>
      </c>
      <c r="I3568" s="10" t="inlineStr">
        <is>
          <t>28/03/2026</t>
        </is>
      </c>
      <c r="J3568" s="10" t="inlineStr">
        <is>
          <t>17/03/2026</t>
        </is>
      </c>
      <c r="K3568" s="10" t="inlineStr">
        <is>
          <t>N/A</t>
        </is>
      </c>
      <c r="L3568" s="10" t="inlineStr">
        <is>
          <t>Dược, Pharmaceutical Research, Pharmacy, Retail Sales</t>
        </is>
      </c>
      <c r="M3568" s="10" t="inlineStr">
        <is>
          <t>Bonus, Healthcare Plan</t>
        </is>
      </c>
      <c r="N3568" s="11">
        <f>HYPERLINK("https://www.vietnamworks.com/primary-retail-specialist-pharmacy-chains-2011526-jv","Xem chi tiết")</f>
        <v/>
      </c>
      <c r="O3568" s="10" t="n"/>
    </row>
    <row r="3569">
      <c r="B3569" s="7" t="n">
        <v>3567</v>
      </c>
      <c r="C3569" t="inlineStr">
        <is>
          <t>[Tuyển Gấp] Kỹ Thuật Viên Bảo Trì Điện</t>
        </is>
      </c>
      <c r="D3569" t="inlineStr">
        <is>
          <t>T&amp;J Green Energy Co. Ltd</t>
        </is>
      </c>
      <c r="E3569" t="inlineStr">
        <is>
          <t>Thương lượng</t>
        </is>
      </c>
      <c r="F3569" t="inlineStr">
        <is>
          <t>Hà Nội, Bắc Ninh</t>
        </is>
      </c>
      <c r="G3569" t="inlineStr">
        <is>
          <t>Nhân viên</t>
        </is>
      </c>
      <c r="H3569" t="inlineStr">
        <is>
          <t>11/02/2026</t>
        </is>
      </c>
      <c r="I3569" t="inlineStr">
        <is>
          <t>28/03/2026</t>
        </is>
      </c>
      <c r="J3569" t="inlineStr">
        <is>
          <t>17/03/2026</t>
        </is>
      </c>
      <c r="K3569" t="inlineStr">
        <is>
          <t>N/A</t>
        </is>
      </c>
      <c r="L3569" t="inlineStr">
        <is>
          <t>Bảo Trì Nhà Máy, Xử Lý Sự Cố, Sửa Chữa Thiết Bị, An Toàn Điện, Thiết Bị Đo Lường</t>
        </is>
      </c>
      <c r="M3569" t="inlineStr">
        <is>
          <t>Bonus, Paid Leave, Transportation</t>
        </is>
      </c>
      <c r="N3569" s="8">
        <f>HYPERLINK("https://www.vietnamworks.com/tuyen-gap-ky-thuat-vien-bao-tri-dien-2011544-jv","Xem chi tiết")</f>
        <v/>
      </c>
    </row>
    <row r="3570">
      <c r="B3570" s="9" t="n">
        <v>3568</v>
      </c>
      <c r="C3570" s="10" t="inlineStr">
        <is>
          <t>Accounting Associate (Junior Level)</t>
        </is>
      </c>
      <c r="D3570" s="10" t="inlineStr">
        <is>
          <t>Công Ty Cổ Phần 2R Việt Nam</t>
        </is>
      </c>
      <c r="E3570" s="10" t="inlineStr">
        <is>
          <t>13tr-15tr ₫/tháng</t>
        </is>
      </c>
      <c r="F3570" s="10" t="inlineStr">
        <is>
          <t>Hà Nội</t>
        </is>
      </c>
      <c r="G3570" s="10" t="inlineStr">
        <is>
          <t>Mới Tốt Nghiệp</t>
        </is>
      </c>
      <c r="H3570" s="10" t="inlineStr">
        <is>
          <t>11/02/2026</t>
        </is>
      </c>
      <c r="I3570" s="10" t="inlineStr">
        <is>
          <t>28/03/2026</t>
        </is>
      </c>
      <c r="J3570" s="10" t="inlineStr">
        <is>
          <t>17/03/2026</t>
        </is>
      </c>
      <c r="K3570" s="10" t="inlineStr">
        <is>
          <t>N/A</t>
        </is>
      </c>
      <c r="L3570" s="10" t="inlineStr">
        <is>
          <t>Accounting, Auditing, Finance, English</t>
        </is>
      </c>
      <c r="M3570" s="10" t="inlineStr">
        <is>
          <t>Bonus, Healthcare Plan, Others</t>
        </is>
      </c>
      <c r="N3570" s="11">
        <f>HYPERLINK("https://www.vietnamworks.com/accounting-associate-junior-level-2011537-jv","Xem chi tiết")</f>
        <v/>
      </c>
      <c r="O3570" s="10" t="n"/>
    </row>
    <row r="3571">
      <c r="B3571" s="7" t="n">
        <v>3569</v>
      </c>
      <c r="C3571" t="inlineStr">
        <is>
          <t>Nhân Viên Quản Lý Dự Án (Project Management Staff / PM Staff)</t>
        </is>
      </c>
      <c r="D3571" t="inlineStr">
        <is>
          <t>CÔNG TY TNHH ĐIỆN TỬ FOXLINK ĐÀ NẴNG</t>
        </is>
      </c>
      <c r="E3571" t="inlineStr">
        <is>
          <t>Thương lượng</t>
        </is>
      </c>
      <c r="F3571" t="inlineStr">
        <is>
          <t>Đà Nẵng</t>
        </is>
      </c>
      <c r="G3571" t="inlineStr">
        <is>
          <t>Nhân viên</t>
        </is>
      </c>
      <c r="H3571" t="inlineStr">
        <is>
          <t>11/02/2026</t>
        </is>
      </c>
      <c r="I3571" t="inlineStr">
        <is>
          <t>28/03/2026</t>
        </is>
      </c>
      <c r="J3571" t="inlineStr">
        <is>
          <t>17/03/2026</t>
        </is>
      </c>
      <c r="K3571" t="inlineStr">
        <is>
          <t>N/A</t>
        </is>
      </c>
      <c r="L3571" t="inlineStr">
        <is>
          <t>Quản Lý Dự Án, Tiếng Trung, Tiếng Anh, Giao Tiếp Đàm Phán, Xử Lý Vấn Đề</t>
        </is>
      </c>
      <c r="M3571" t="inlineStr">
        <is>
          <t>Bonus, Training, Others</t>
        </is>
      </c>
      <c r="N3571" s="8">
        <f>HYPERLINK("https://www.vietnamworks.com/nhan-vien-quan-ly-du-an-project-management-staff-pm-staff-2011527-jv","Xem chi tiết")</f>
        <v/>
      </c>
    </row>
    <row r="3572">
      <c r="B3572" s="9" t="n">
        <v>3570</v>
      </c>
      <c r="C3572" s="10" t="inlineStr">
        <is>
          <t>Interior Designer</t>
        </is>
      </c>
      <c r="D3572" s="10" t="inlineStr">
        <is>
          <t>Công Ty TNHH Space T</t>
        </is>
      </c>
      <c r="E3572" s="10" t="inlineStr">
        <is>
          <t>$$ 1,000-1,500 /tháng</t>
        </is>
      </c>
      <c r="F3572" s="10" t="inlineStr">
        <is>
          <t>Hồ Chí Minh</t>
        </is>
      </c>
      <c r="G3572" s="10" t="inlineStr">
        <is>
          <t>Nhân viên</t>
        </is>
      </c>
      <c r="H3572" s="10" t="inlineStr">
        <is>
          <t>11/02/2026</t>
        </is>
      </c>
      <c r="I3572" s="10" t="inlineStr">
        <is>
          <t>28/03/2026</t>
        </is>
      </c>
      <c r="J3572" s="10" t="inlineStr">
        <is>
          <t>17/03/2026</t>
        </is>
      </c>
      <c r="K3572" s="10" t="inlineStr">
        <is>
          <t>N/A</t>
        </is>
      </c>
      <c r="L3572" s="10" t="inlineStr">
        <is>
          <t>3D Max, Autocad, Communication Skills, Interior Design, Sketchup</t>
        </is>
      </c>
      <c r="M3572" s="10" t="inlineStr">
        <is>
          <t>Bonus, Training, Team Activities, Others</t>
        </is>
      </c>
      <c r="N3572" s="11">
        <f>HYPERLINK("https://www.vietnamworks.com/interior-designer-2011535-jv","Xem chi tiết")</f>
        <v/>
      </c>
      <c r="O3572" s="10" t="n"/>
    </row>
    <row r="3573">
      <c r="B3573" s="7" t="n">
        <v>3571</v>
      </c>
      <c r="C3573" t="inlineStr">
        <is>
          <t>HR Generalist</t>
        </is>
      </c>
      <c r="D3573" t="inlineStr">
        <is>
          <t>Công Ty TNHH Space T</t>
        </is>
      </c>
      <c r="E3573" t="inlineStr">
        <is>
          <t>$$ 500-1,000 /tháng</t>
        </is>
      </c>
      <c r="F3573" t="inlineStr">
        <is>
          <t>Hồ Chí Minh</t>
        </is>
      </c>
      <c r="G3573" t="inlineStr">
        <is>
          <t>Nhân viên</t>
        </is>
      </c>
      <c r="H3573" t="inlineStr">
        <is>
          <t>11/02/2026</t>
        </is>
      </c>
      <c r="I3573" t="inlineStr">
        <is>
          <t>28/03/2026</t>
        </is>
      </c>
      <c r="J3573" t="inlineStr">
        <is>
          <t>17/03/2026</t>
        </is>
      </c>
      <c r="K3573" t="inlineStr">
        <is>
          <t>N/A</t>
        </is>
      </c>
      <c r="L3573" t="inlineStr">
        <is>
          <t>Compensation &amp; Benefits, Employee Relations, HR &amp; Admin Management, HR Policy Execution, Talent Acquisition</t>
        </is>
      </c>
      <c r="M3573" t="inlineStr">
        <is>
          <t>Bonus, Training, Team Activities, Others</t>
        </is>
      </c>
      <c r="N3573" s="8">
        <f>HYPERLINK("https://www.vietnamworks.com/hr-generalist-2011530-jv","Xem chi tiết")</f>
        <v/>
      </c>
    </row>
    <row r="3574">
      <c r="B3574" s="9" t="n">
        <v>3572</v>
      </c>
      <c r="C3574" s="10" t="inlineStr">
        <is>
          <t>Chuyên viên mảng Quy trình Kinh doanh - Business Process Specialist - Khối Khách hàng lớn (HO26.42)</t>
        </is>
      </c>
      <c r="D3574" s="10" t="inlineStr">
        <is>
          <t>NGÂN HÀNG TMCP QUÂN ĐỘI – MBBANK</t>
        </is>
      </c>
      <c r="E3574" s="10" t="inlineStr">
        <is>
          <t>Thương lượng</t>
        </is>
      </c>
      <c r="F3574" s="10" t="inlineStr">
        <is>
          <t>Hà Nội</t>
        </is>
      </c>
      <c r="G3574" s="10" t="inlineStr">
        <is>
          <t>Nhân viên</t>
        </is>
      </c>
      <c r="H3574" s="10" t="inlineStr">
        <is>
          <t>11/02/2026</t>
        </is>
      </c>
      <c r="I3574" s="10" t="inlineStr">
        <is>
          <t>28/03/2026</t>
        </is>
      </c>
      <c r="J3574" s="10" t="inlineStr">
        <is>
          <t>17/03/2026</t>
        </is>
      </c>
      <c r="K3574" s="10" t="inlineStr">
        <is>
          <t>N/A</t>
        </is>
      </c>
      <c r="L3574" s="10" t="inlineStr">
        <is>
          <t>BPM, Business Processes, CIB, Training, Xây Dựng Quy Trình</t>
        </is>
      </c>
      <c r="M3574" s="10" t="inlineStr">
        <is>
          <t>Bonus, Healthcare Plan, Paid Leave, Training, Awards, Team Activities, Vouchers, Others</t>
        </is>
      </c>
      <c r="N3574" s="11">
        <f>HYPERLINK("https://www.vietnamworks.com/chuyen-vien-mang-quy-trinh-kinh-doanh-business-process-specialist-khoi-khach-hang-lon-ho26-42-2011538-jv","Xem chi tiết")</f>
        <v/>
      </c>
      <c r="O3574" s="10" t="n"/>
    </row>
    <row r="3575">
      <c r="B3575" s="7" t="n">
        <v>3573</v>
      </c>
      <c r="C3575" t="inlineStr">
        <is>
          <t>Customer Service Specialist</t>
        </is>
      </c>
      <c r="D3575" t="inlineStr">
        <is>
          <t>DUBUIT INKS VIETNAM COMPANY LIMITED</t>
        </is>
      </c>
      <c r="E3575" t="inlineStr">
        <is>
          <t>$$ 500-500 /tháng</t>
        </is>
      </c>
      <c r="F3575" t="inlineStr">
        <is>
          <t>Đồng Nai</t>
        </is>
      </c>
      <c r="G3575" t="inlineStr">
        <is>
          <t>Nhân viên</t>
        </is>
      </c>
      <c r="H3575" t="inlineStr">
        <is>
          <t>11/02/2026</t>
        </is>
      </c>
      <c r="I3575" t="inlineStr">
        <is>
          <t>28/03/2026</t>
        </is>
      </c>
      <c r="J3575" t="inlineStr">
        <is>
          <t>17/03/2026</t>
        </is>
      </c>
      <c r="K3575" t="inlineStr">
        <is>
          <t>N/A</t>
        </is>
      </c>
      <c r="L3575" t="inlineStr">
        <is>
          <t>Inventory Management, Logistics Management, Warehouse Management, Import Management, Purchase Management</t>
        </is>
      </c>
      <c r="M3575" t="inlineStr">
        <is>
          <t>Bonus, Laptop, Canteen</t>
        </is>
      </c>
      <c r="N3575" s="8">
        <f>HYPERLINK("https://www.vietnamworks.com/customer-service-specialist-2011542-jv","Xem chi tiết")</f>
        <v/>
      </c>
    </row>
    <row r="3576">
      <c r="B3576" s="9" t="n">
        <v>3574</v>
      </c>
      <c r="C3576" s="10" t="inlineStr">
        <is>
          <t>Trưởng phòng Phát triển Kinh doanh - Business Development Manager - Khối Khách hàng lớn (HO26.43)</t>
        </is>
      </c>
      <c r="D3576" s="10" t="inlineStr">
        <is>
          <t>NGÂN HÀNG TMCP QUÂN ĐỘI – MBBANK</t>
        </is>
      </c>
      <c r="E3576" s="10" t="inlineStr">
        <is>
          <t>Thương lượng</t>
        </is>
      </c>
      <c r="F3576" s="10" t="inlineStr">
        <is>
          <t>Hà Nội</t>
        </is>
      </c>
      <c r="G3576" s="10" t="inlineStr">
        <is>
          <t>Trưởng phòng</t>
        </is>
      </c>
      <c r="H3576" s="10" t="inlineStr">
        <is>
          <t>11/02/2026</t>
        </is>
      </c>
      <c r="I3576" s="10" t="inlineStr">
        <is>
          <t>28/03/2026</t>
        </is>
      </c>
      <c r="J3576" s="10" t="inlineStr">
        <is>
          <t>17/03/2026</t>
        </is>
      </c>
      <c r="K3576" s="10" t="inlineStr">
        <is>
          <t>N/A</t>
        </is>
      </c>
      <c r="L3576" s="10" t="inlineStr">
        <is>
          <t>CIB, Business Development, Large Corporate, Product Design, Product Development</t>
        </is>
      </c>
      <c r="M3576" s="10" t="inlineStr">
        <is>
          <t>Bonus, Healthcare Plan, Paid Leave, Training, Awards, Team Activities, Vouchers, Others</t>
        </is>
      </c>
      <c r="N3576" s="11">
        <f>HYPERLINK("https://www.vietnamworks.com/truong-phong-phat-trien-kinh-doanh-business-development-manager-khoi-khach-hang-lon-ho26-43-2011540-jv","Xem chi tiết")</f>
        <v/>
      </c>
      <c r="O3576" s="10" t="n"/>
    </row>
    <row r="3577">
      <c r="B3577" s="7" t="n">
        <v>3575</v>
      </c>
      <c r="C3577" t="inlineStr">
        <is>
          <t>Chuyên viên thúc đẩy bán khách hàng lớn (phụ trách xây chính sách) - Large Corporate Sales Policy Specialist - Khối Khách hàng lớn (HO26.40)</t>
        </is>
      </c>
      <c r="D3577" t="inlineStr">
        <is>
          <t>NGÂN HÀNG TMCP QUÂN ĐỘI – MBBANK</t>
        </is>
      </c>
      <c r="E3577" t="inlineStr">
        <is>
          <t>Thương lượng</t>
        </is>
      </c>
      <c r="F3577" t="inlineStr">
        <is>
          <t>Hà Nội</t>
        </is>
      </c>
      <c r="G3577" t="inlineStr">
        <is>
          <t>Nhân viên</t>
        </is>
      </c>
      <c r="H3577" t="inlineStr">
        <is>
          <t>11/02/2026</t>
        </is>
      </c>
      <c r="I3577" t="inlineStr">
        <is>
          <t>28/03/2026</t>
        </is>
      </c>
      <c r="J3577" t="inlineStr">
        <is>
          <t>17/03/2026</t>
        </is>
      </c>
      <c r="K3577" t="inlineStr">
        <is>
          <t>N/A</t>
        </is>
      </c>
      <c r="L3577" t="inlineStr">
        <is>
          <t>Business Development, Customer Sales Force, Large Corporate Customer, Xây Dựng Chính Sách</t>
        </is>
      </c>
      <c r="M3577" t="inlineStr">
        <is>
          <t>Bonus, Healthcare Plan, Paid Leave, Training, Awards, Team Activities, Vouchers, Others</t>
        </is>
      </c>
      <c r="N3577" s="8">
        <f>HYPERLINK("https://www.vietnamworks.com/chuyen-vien-thuc-djay-ban-khach-hang-lon-phu-trach-xay-chinh-sach-large-corporate-sales-policy-specialist-khoi-khach-hang-lon-ho26-40-2011533-jv","Xem chi tiết")</f>
        <v/>
      </c>
    </row>
    <row r="3578">
      <c r="B3578" s="9" t="n">
        <v>3576</v>
      </c>
      <c r="C3578" s="10" t="inlineStr">
        <is>
          <t>Chuyên viên Phát triển kinh doanh SCF và chuyển đổi số - SCF and Digital Transformation Business Development Specialist - Khối Khách hàng lớn (HO26.41)</t>
        </is>
      </c>
      <c r="D3578" s="10" t="inlineStr">
        <is>
          <t>NGÂN HÀNG TMCP QUÂN ĐỘI – MBBANK</t>
        </is>
      </c>
      <c r="E3578" s="10" t="inlineStr">
        <is>
          <t>Thương lượng</t>
        </is>
      </c>
      <c r="F3578" s="10" t="inlineStr">
        <is>
          <t>Hà Nội</t>
        </is>
      </c>
      <c r="G3578" s="10" t="inlineStr">
        <is>
          <t>Nhân viên</t>
        </is>
      </c>
      <c r="H3578" s="10" t="inlineStr">
        <is>
          <t>11/02/2026</t>
        </is>
      </c>
      <c r="I3578" s="10" t="inlineStr">
        <is>
          <t>28/03/2026</t>
        </is>
      </c>
      <c r="J3578" s="10" t="inlineStr">
        <is>
          <t>17/03/2026</t>
        </is>
      </c>
      <c r="K3578" s="10" t="inlineStr">
        <is>
          <t>N/A</t>
        </is>
      </c>
      <c r="L3578" s="10" t="inlineStr">
        <is>
          <t>Digital Transformation Products, Khách Hàng Doanh Nghiệp, Quan Hệ Khách Hàng, SCF, Supply Chain Finance</t>
        </is>
      </c>
      <c r="M3578" s="10" t="inlineStr">
        <is>
          <t>Bonus, Healthcare Plan, Paid Leave, Training, Awards, Team Activities, Vouchers, Others</t>
        </is>
      </c>
      <c r="N3578" s="11">
        <f>HYPERLINK("https://www.vietnamworks.com/chuyen-vien-phat-trien-kinh-doanh-scf-va-chuyen-djoi-so-scf-and-digital-transformation-business-development-specialist-khoi-khach-hang-lon-ho26-41-2011536-jv","Xem chi tiết")</f>
        <v/>
      </c>
      <c r="O3578" s="10" t="n"/>
    </row>
    <row r="3579">
      <c r="B3579" s="7" t="n">
        <v>3577</v>
      </c>
      <c r="C3579" t="inlineStr">
        <is>
          <t>Kỹ Sư PC (PC Engineer - Tự Động Hóa)</t>
        </is>
      </c>
      <c r="D3579" t="inlineStr">
        <is>
          <t>Công ty TNHH Poongsan System Vina</t>
        </is>
      </c>
      <c r="E3579" t="inlineStr">
        <is>
          <t>Thương lượng</t>
        </is>
      </c>
      <c r="F3579" t="inlineStr">
        <is>
          <t>Hải Dương, Hưng Yên, Hải Phòng</t>
        </is>
      </c>
      <c r="G3579" t="inlineStr">
        <is>
          <t>Nhân viên</t>
        </is>
      </c>
      <c r="H3579" t="inlineStr">
        <is>
          <t>11/02/2026</t>
        </is>
      </c>
      <c r="I3579" t="inlineStr">
        <is>
          <t>28/03/2026</t>
        </is>
      </c>
      <c r="J3579" t="inlineStr">
        <is>
          <t>17/03/2026</t>
        </is>
      </c>
      <c r="K3579" t="inlineStr">
        <is>
          <t>N/A</t>
        </is>
      </c>
      <c r="L3579" t="inlineStr">
        <is>
          <t>Lập Trình PC, PC Engineering, PC Programming, HMI SCADA, Tự Động Hóa</t>
        </is>
      </c>
      <c r="M3579" t="inlineStr">
        <is>
          <t>Bonus, Healthcare Plan, Paid Leave, Training, Others</t>
        </is>
      </c>
      <c r="N3579" s="8">
        <f>HYPERLINK("https://www.vietnamworks.com/ky-su-pc-pc-engineer-tu-djong-hoa-2011550-jv","Xem chi tiết")</f>
        <v/>
      </c>
    </row>
    <row r="3580">
      <c r="B3580" s="9" t="n">
        <v>3578</v>
      </c>
      <c r="C3580" s="10" t="inlineStr">
        <is>
          <t>Kỹ Thuật Viên (Điện, Cơ Khí)</t>
        </is>
      </c>
      <c r="D3580" s="10" t="inlineStr">
        <is>
          <t>Công ty TNHH Poongsan System Vina</t>
        </is>
      </c>
      <c r="E3580" s="10" t="inlineStr">
        <is>
          <t>Thương lượng</t>
        </is>
      </c>
      <c r="F3580" s="10" t="inlineStr">
        <is>
          <t>Hải Dương, Hải Phòng, Hưng Yên</t>
        </is>
      </c>
      <c r="G3580" s="10" t="inlineStr">
        <is>
          <t>Nhân viên</t>
        </is>
      </c>
      <c r="H3580" s="10" t="inlineStr">
        <is>
          <t>11/02/2026</t>
        </is>
      </c>
      <c r="I3580" s="10" t="inlineStr">
        <is>
          <t>28/03/2026</t>
        </is>
      </c>
      <c r="J3580" s="10" t="inlineStr">
        <is>
          <t>17/03/2026</t>
        </is>
      </c>
      <c r="K3580" s="10" t="inlineStr">
        <is>
          <t>N/A</t>
        </is>
      </c>
      <c r="L3580" s="10" t="inlineStr">
        <is>
          <t>Cơ Khí, Điện, Engineering, Engineering Technician, Kỹ Thuật</t>
        </is>
      </c>
      <c r="M3580" s="10" t="inlineStr">
        <is>
          <t>Bonus, Healthcare Plan, Paid Leave, Training, Team Activities, Others</t>
        </is>
      </c>
      <c r="N3580" s="11">
        <f>HYPERLINK("https://www.vietnamworks.com/ky-thuat-vien-djien-co-khi-2011553-jv","Xem chi tiết")</f>
        <v/>
      </c>
      <c r="O3580" s="10" t="n"/>
    </row>
    <row r="3581">
      <c r="B3581" s="7" t="n">
        <v>3579</v>
      </c>
      <c r="C3581" t="inlineStr">
        <is>
          <t>Giám Sát Kho Toàn Miền Bắc</t>
        </is>
      </c>
      <c r="D3581" t="inlineStr">
        <is>
          <t>Công Ty TNHH Dịch Vụ Ăn Uống Ba Sao</t>
        </is>
      </c>
      <c r="E3581" t="inlineStr">
        <is>
          <t>11tr-13tr ₫/tháng</t>
        </is>
      </c>
      <c r="F3581" t="inlineStr">
        <is>
          <t>Hải Phòng, Bắc Giang, Ninh Bình</t>
        </is>
      </c>
      <c r="G3581" t="inlineStr">
        <is>
          <t>Nhân viên</t>
        </is>
      </c>
      <c r="H3581" t="inlineStr">
        <is>
          <t>11/02/2026</t>
        </is>
      </c>
      <c r="I3581" t="inlineStr">
        <is>
          <t>28/03/2026</t>
        </is>
      </c>
      <c r="J3581" t="inlineStr">
        <is>
          <t>17/03/2026</t>
        </is>
      </c>
      <c r="K3581" t="inlineStr">
        <is>
          <t>N/A</t>
        </is>
      </c>
      <c r="L3581" t="inlineStr">
        <is>
          <t>Giao Tiếp Chủ Động, Kỹ năng giao tiếp, Lập Kế Hoạch, Quản Lý Kho</t>
        </is>
      </c>
      <c r="M3581" t="inlineStr">
        <is>
          <t>Bonus, Healthcare Plan</t>
        </is>
      </c>
      <c r="N3581" s="8">
        <f>HYPERLINK("https://www.vietnamworks.com/giam-sat-kho-toan-mien-bac-2011555-jv","Xem chi tiết")</f>
        <v/>
      </c>
    </row>
    <row r="3582">
      <c r="B3582" s="9" t="n">
        <v>3580</v>
      </c>
      <c r="C3582" s="10" t="inlineStr">
        <is>
          <t>Chuyên Viên Quản Trị Rủi Ro Và Tuân Thủ (Risk and Compliance Officer)</t>
        </is>
      </c>
      <c r="D3582" s="10" t="inlineStr">
        <is>
          <t>FPT Software</t>
        </is>
      </c>
      <c r="E3582" s="10" t="inlineStr">
        <is>
          <t>Thương lượng</t>
        </is>
      </c>
      <c r="F3582" s="10" t="inlineStr">
        <is>
          <t>Hà Nội, Hồ Chí Minh, Đà Nẵng</t>
        </is>
      </c>
      <c r="G3582" s="10" t="inlineStr">
        <is>
          <t>Nhân viên</t>
        </is>
      </c>
      <c r="H3582" s="10" t="inlineStr">
        <is>
          <t>11/02/2026</t>
        </is>
      </c>
      <c r="I3582" s="10" t="inlineStr">
        <is>
          <t>28/03/2026</t>
        </is>
      </c>
      <c r="J3582" s="10" t="inlineStr">
        <is>
          <t>17/03/2026</t>
        </is>
      </c>
      <c r="K3582" s="10" t="inlineStr">
        <is>
          <t>N/A</t>
        </is>
      </c>
      <c r="L3582" s="10" t="inlineStr">
        <is>
          <t>Risk Assessment, ISO 9001, Microsoft Office, QA, Data Analysis Tools</t>
        </is>
      </c>
      <c r="M3582" s="10" t="inlineStr">
        <is>
          <t>Bonus, Awards, Travel Opportunities</t>
        </is>
      </c>
      <c r="N3582" s="11">
        <f>HYPERLINK("https://www.vietnamworks.com/chuyen-vien-quan-tri-rui-ro-va-tuan-thu-risk-and-compliance-officer-2011551-jv","Xem chi tiết")</f>
        <v/>
      </c>
      <c r="O3582" s="10" t="n"/>
    </row>
    <row r="3583">
      <c r="B3583" s="7" t="n">
        <v>3581</v>
      </c>
      <c r="C3583" t="inlineStr">
        <is>
          <t>Nhân Viên Đảm Bảo Chất Lượng (QS/QA/QC/QE)</t>
        </is>
      </c>
      <c r="D3583" t="inlineStr">
        <is>
          <t>CÔNG TY TNHH ĐIỆN TỬ FOXLINK ĐÀ NẴNG</t>
        </is>
      </c>
      <c r="E3583" t="inlineStr">
        <is>
          <t>Thương lượng</t>
        </is>
      </c>
      <c r="F3583" t="inlineStr">
        <is>
          <t>Đà Nẵng</t>
        </is>
      </c>
      <c r="G3583" t="inlineStr">
        <is>
          <t>Nhân viên</t>
        </is>
      </c>
      <c r="H3583" t="inlineStr">
        <is>
          <t>11/02/2026</t>
        </is>
      </c>
      <c r="I3583" t="inlineStr">
        <is>
          <t>28/03/2026</t>
        </is>
      </c>
      <c r="J3583" t="inlineStr">
        <is>
          <t>17/03/2026</t>
        </is>
      </c>
      <c r="K3583" t="inlineStr">
        <is>
          <t>N/A</t>
        </is>
      </c>
      <c r="L3583" t="inlineStr">
        <is>
          <t>Giám Sát Chất Lượng Sản Xuất, Kiểm Soát Chất Lượng, Phân Tích Lỗi, Quản Lý Chất Lượng, Tiếng Trung</t>
        </is>
      </c>
      <c r="M3583" t="inlineStr">
        <is>
          <t>Bonus, Healthcare Plan, Paid Leave, Training, Others</t>
        </is>
      </c>
      <c r="N3583" s="8">
        <f>HYPERLINK("https://www.vietnamworks.com/nhan-vien-djam-bao-chat-luong-qsqaqcqe-2011562-jv","Xem chi tiết")</f>
        <v/>
      </c>
    </row>
    <row r="3584">
      <c r="B3584" s="9" t="n">
        <v>3582</v>
      </c>
      <c r="C3584" s="10" t="inlineStr">
        <is>
          <t>Kỹ Sư Quy Trình &amp; Kiểm Tra (Process &amp; Test Engineer)</t>
        </is>
      </c>
      <c r="D3584" s="10" t="inlineStr">
        <is>
          <t>CÔNG TY TNHH ĐIỆN TỬ FOXLINK ĐÀ NẴNG</t>
        </is>
      </c>
      <c r="E3584" s="10" t="inlineStr">
        <is>
          <t>Thương lượng</t>
        </is>
      </c>
      <c r="F3584" s="10" t="inlineStr">
        <is>
          <t>Đà Nẵng</t>
        </is>
      </c>
      <c r="G3584" s="10" t="inlineStr">
        <is>
          <t>Nhân viên</t>
        </is>
      </c>
      <c r="H3584" s="10" t="inlineStr">
        <is>
          <t>11/02/2026</t>
        </is>
      </c>
      <c r="I3584" s="10" t="inlineStr">
        <is>
          <t>28/03/2026</t>
        </is>
      </c>
      <c r="J3584" s="10" t="inlineStr">
        <is>
          <t>17/03/2026</t>
        </is>
      </c>
      <c r="K3584" s="10" t="inlineStr">
        <is>
          <t>N/A</t>
        </is>
      </c>
      <c r="L3584" s="10" t="inlineStr">
        <is>
          <t>Cơ Khí Tự Động Hóa, Kiểm Tra Số Liệu, Mô Phỏng Phân Tích, Phân Tích Lỗi, Tiếng Trung</t>
        </is>
      </c>
      <c r="M3584" s="10" t="inlineStr">
        <is>
          <t>Bonus, Healthcare Plan, Paid Leave, Training, Others</t>
        </is>
      </c>
      <c r="N3584" s="11">
        <f>HYPERLINK("https://www.vietnamworks.com/ky-su-quy-trinh-and-kiem-tra-process-and-test-engineer-2011560-jv","Xem chi tiết")</f>
        <v/>
      </c>
      <c r="O3584" s="10" t="n"/>
    </row>
    <row r="3585">
      <c r="B3585" s="7" t="n">
        <v>3583</v>
      </c>
      <c r="C3585" t="inlineStr">
        <is>
          <t>Trợ Lý Sản Xuất</t>
        </is>
      </c>
      <c r="D3585" t="inlineStr">
        <is>
          <t>CÔNG TY TNHH ĐIỆN TỬ FOXLINK ĐÀ NẴNG</t>
        </is>
      </c>
      <c r="E3585" t="inlineStr">
        <is>
          <t>Thương lượng</t>
        </is>
      </c>
      <c r="F3585" t="inlineStr">
        <is>
          <t>Đà Nẵng</t>
        </is>
      </c>
      <c r="G3585" t="inlineStr">
        <is>
          <t>Nhân viên</t>
        </is>
      </c>
      <c r="H3585" t="inlineStr">
        <is>
          <t>11/02/2026</t>
        </is>
      </c>
      <c r="I3585" t="inlineStr">
        <is>
          <t>28/03/2026</t>
        </is>
      </c>
      <c r="J3585" t="inlineStr">
        <is>
          <t>17/03/2026</t>
        </is>
      </c>
      <c r="K3585" t="inlineStr">
        <is>
          <t>N/A</t>
        </is>
      </c>
      <c r="L3585" t="inlineStr">
        <is>
          <t>Giám Sát Tiến Độ, Kiểm Soát Chất Lượng, Lập Kế Hoạch Sản Xuất, Sản Xuất</t>
        </is>
      </c>
      <c r="M3585" t="inlineStr">
        <is>
          <t>Bonus, Healthcare Plan, Paid Leave, Training, Others</t>
        </is>
      </c>
      <c r="N3585" s="8">
        <f>HYPERLINK("https://www.vietnamworks.com/tro-ly-san-xuat-2011561-jv","Xem chi tiết")</f>
        <v/>
      </c>
    </row>
    <row r="3586">
      <c r="B3586" s="9" t="n">
        <v>3584</v>
      </c>
      <c r="C3586" s="10" t="inlineStr">
        <is>
          <t>Livestream Operator (English Or Chinese required)</t>
        </is>
      </c>
      <c r="D3586" s="10" t="inlineStr">
        <is>
          <t>CÔNG TY TNHH YAOYAO VIETNAM INFO TECH</t>
        </is>
      </c>
      <c r="E3586" s="10" t="inlineStr">
        <is>
          <t>$$ 1,000-1,600 /tháng</t>
        </is>
      </c>
      <c r="F3586" s="10" t="inlineStr">
        <is>
          <t>Hồ Chí Minh</t>
        </is>
      </c>
      <c r="G3586" s="10" t="inlineStr">
        <is>
          <t>Nhân viên</t>
        </is>
      </c>
      <c r="H3586" s="10" t="inlineStr">
        <is>
          <t>11/02/2026</t>
        </is>
      </c>
      <c r="I3586" s="10" t="inlineStr">
        <is>
          <t>28/03/2026</t>
        </is>
      </c>
      <c r="J3586" s="10" t="inlineStr">
        <is>
          <t>17/03/2026</t>
        </is>
      </c>
      <c r="K3586" s="10" t="inlineStr">
        <is>
          <t>N/A</t>
        </is>
      </c>
      <c r="L3586" s="10" t="inlineStr">
        <is>
          <t>Tiktok Analysis, Content Planning, Livestream, Livestream Management, Livestream Hosting</t>
        </is>
      </c>
      <c r="M3586" s="10" t="inlineStr">
        <is>
          <t>Laptop, Team Activities, Canteen</t>
        </is>
      </c>
      <c r="N3586" s="11">
        <f>HYPERLINK("https://www.vietnamworks.com/livestream-operator-english-or-chinese-required--2011559-jv","Xem chi tiết")</f>
        <v/>
      </c>
      <c r="O3586" s="10" t="n"/>
    </row>
    <row r="3587">
      <c r="B3587" s="7" t="n">
        <v>3585</v>
      </c>
      <c r="C3587" t="inlineStr">
        <is>
          <t>QA Manager (Entry-Level)</t>
        </is>
      </c>
      <c r="D3587" t="inlineStr">
        <is>
          <t>CÔNG TY TNHH YIC ONE</t>
        </is>
      </c>
      <c r="E3587" t="inlineStr">
        <is>
          <t>Thương lượng</t>
        </is>
      </c>
      <c r="F3587" t="inlineStr">
        <is>
          <t>Hà Nội</t>
        </is>
      </c>
      <c r="G3587" t="inlineStr">
        <is>
          <t>Nhân viên</t>
        </is>
      </c>
      <c r="H3587" t="inlineStr">
        <is>
          <t>11/02/2026</t>
        </is>
      </c>
      <c r="I3587" t="inlineStr">
        <is>
          <t>28/03/2026</t>
        </is>
      </c>
      <c r="J3587" t="inlineStr">
        <is>
          <t>17/03/2026</t>
        </is>
      </c>
      <c r="K3587" t="inlineStr">
        <is>
          <t>N/A</t>
        </is>
      </c>
      <c r="L3587" t="inlineStr">
        <is>
          <t>Quality Assurance Systems, Analytical Skills, English, Factory Production, Problem Solving</t>
        </is>
      </c>
      <c r="M3587" t="inlineStr">
        <is>
          <t>Bonus, Healthcare Plan, Paid Leave, Training, Laptop, Team Activities, Others</t>
        </is>
      </c>
      <c r="N3587" s="8">
        <f>HYPERLINK("https://www.vietnamworks.com/qa-manager-entry-level-2011563-jv","Xem chi tiết")</f>
        <v/>
      </c>
    </row>
    <row r="3588">
      <c r="B3588" s="9" t="n">
        <v>3586</v>
      </c>
      <c r="C3588" s="10" t="inlineStr">
        <is>
          <t>Head of Database Administration Section (Trưởng Bộ Phận Quản Trị Cơ Sở Dữ Liệu) Application Operation &amp; Support Department (Phòng Vận Hành &amp; Hỗ Trợ Ứng Dụng)</t>
        </is>
      </c>
      <c r="D3588" s="10" t="inlineStr">
        <is>
          <t>Ngân Hàng TNHH Indovina – Hội Sở</t>
        </is>
      </c>
      <c r="E3588" s="10" t="inlineStr">
        <is>
          <t>$$ 1,800-2,000 /tháng</t>
        </is>
      </c>
      <c r="F3588" s="10" t="inlineStr">
        <is>
          <t>Hồ Chí Minh</t>
        </is>
      </c>
      <c r="G3588" s="10" t="inlineStr">
        <is>
          <t>Nhân viên</t>
        </is>
      </c>
      <c r="H3588" s="10" t="inlineStr">
        <is>
          <t>11/02/2026</t>
        </is>
      </c>
      <c r="I3588" s="10" t="inlineStr">
        <is>
          <t>28/03/2026</t>
        </is>
      </c>
      <c r="J3588" s="10" t="inlineStr">
        <is>
          <t>17/03/2026</t>
        </is>
      </c>
      <c r="K3588" s="10" t="inlineStr">
        <is>
          <t>N/A</t>
        </is>
      </c>
      <c r="L3588" s="10" t="inlineStr">
        <is>
          <t>Database Administration, Oracle, UNIX systems, PostgreSQL</t>
        </is>
      </c>
      <c r="M3588" s="10" t="inlineStr">
        <is>
          <t>Bonus, Healthcare Plan, Training</t>
        </is>
      </c>
      <c r="N3588" s="11">
        <f>HYPERLINK("https://www.vietnamworks.com/head-of-database-administration-section-truong-bo-phan-quan-tri-co-so-du-lieu-application-operation-support-department-phong-van-hanh-ho-tro-ung-dung--2011574-jv","Xem chi tiết")</f>
        <v/>
      </c>
      <c r="O3588" s="10" t="n"/>
    </row>
    <row r="3589">
      <c r="B3589" s="7" t="n">
        <v>3587</v>
      </c>
      <c r="C3589" t="inlineStr">
        <is>
          <t>Trưởng Phòng Kinh Doanh Nhôm Thanh</t>
        </is>
      </c>
      <c r="D3589" t="inlineStr">
        <is>
          <t>Công Ty Cổ Phần Nhôm Đô Thành</t>
        </is>
      </c>
      <c r="E3589" t="inlineStr">
        <is>
          <t>35tr-55tr ₫/tháng</t>
        </is>
      </c>
      <c r="F3589" t="inlineStr">
        <is>
          <t>Hà Nội, Hải Dương</t>
        </is>
      </c>
      <c r="G3589" t="inlineStr">
        <is>
          <t>Trưởng phòng</t>
        </is>
      </c>
      <c r="H3589" t="inlineStr">
        <is>
          <t>11/02/2026</t>
        </is>
      </c>
      <c r="I3589" t="inlineStr">
        <is>
          <t>28/03/2026</t>
        </is>
      </c>
      <c r="J3589" t="inlineStr">
        <is>
          <t>17/03/2026</t>
        </is>
      </c>
      <c r="K3589" t="inlineStr">
        <is>
          <t>N/A</t>
        </is>
      </c>
      <c r="L3589" t="inlineStr">
        <is>
          <t>Đàm Phán, Phân Tích Kinh Doanh, Chăm Sóc Khách Hàng, Phát Triển Kinh Doanh, Tư Vấn Khách Hàng</t>
        </is>
      </c>
      <c r="M3589" t="inlineStr">
        <is>
          <t>Bonus, Healthcare Plan, Training, Travel Opportunities, Transportation, Others</t>
        </is>
      </c>
      <c r="N3589" s="8">
        <f>HYPERLINK("https://www.vietnamworks.com/truong-phong-kinh-doanh-nhom-thanh-2011558-jv","Xem chi tiết")</f>
        <v/>
      </c>
    </row>
    <row r="3590">
      <c r="B3590" s="9" t="n">
        <v>3588</v>
      </c>
      <c r="C3590" s="10" t="inlineStr">
        <is>
          <t>Kiến Trúc Sư Quản Lý Thiết Kế Kiến Trúc, Quy Hoạch</t>
        </is>
      </c>
      <c r="D3590" s="10" t="inlineStr">
        <is>
          <t>Công Ty Cổ Phần Việt Mỹ. Group</t>
        </is>
      </c>
      <c r="E3590" s="10" t="inlineStr">
        <is>
          <t>25tr-30tr ₫/tháng</t>
        </is>
      </c>
      <c r="F3590" s="10" t="inlineStr">
        <is>
          <t>Hà Nội</t>
        </is>
      </c>
      <c r="G3590" s="10" t="inlineStr">
        <is>
          <t>Nhân viên</t>
        </is>
      </c>
      <c r="H3590" s="10" t="inlineStr">
        <is>
          <t>11/02/2026</t>
        </is>
      </c>
      <c r="I3590" s="10" t="inlineStr">
        <is>
          <t>28/03/2026</t>
        </is>
      </c>
      <c r="J3590" s="10" t="inlineStr">
        <is>
          <t>17/03/2026</t>
        </is>
      </c>
      <c r="K3590" s="10" t="inlineStr">
        <is>
          <t>N/A</t>
        </is>
      </c>
      <c r="L3590" s="10" t="inlineStr">
        <is>
          <t>Thiết Kế Kiến Trúc, Quản Lý Thiết Kế Kết Cấu, Thiết Kế Thí Nghiệm, Phần Mềm Thiết Kế 3D, Quy hoạch</t>
        </is>
      </c>
      <c r="M3590" s="10" t="inlineStr">
        <is>
          <t>Bonus, Awards, Others</t>
        </is>
      </c>
      <c r="N3590" s="11">
        <f>HYPERLINK("https://www.vietnamworks.com/kien-truc-su-quan-ly-thiet-ke-kien-truc-quy-hoach-2011569-jv","Xem chi tiết")</f>
        <v/>
      </c>
      <c r="O3590" s="10" t="n"/>
    </row>
    <row r="3591">
      <c r="B3591" s="7" t="n">
        <v>3589</v>
      </c>
      <c r="C3591" t="inlineStr">
        <is>
          <t>Junior Software Developer</t>
        </is>
      </c>
      <c r="D3591" t="inlineStr">
        <is>
          <t>Danieli – Industrielle Beteiligung Co., Ltd</t>
        </is>
      </c>
      <c r="E3591" t="inlineStr">
        <is>
          <t>Thương lượng</t>
        </is>
      </c>
      <c r="F3591" t="inlineStr">
        <is>
          <t>Hồ Chí Minh</t>
        </is>
      </c>
      <c r="G3591" t="inlineStr">
        <is>
          <t>Mới Tốt Nghiệp</t>
        </is>
      </c>
      <c r="H3591" t="inlineStr">
        <is>
          <t>11/02/2026</t>
        </is>
      </c>
      <c r="I3591" t="inlineStr">
        <is>
          <t>28/03/2026</t>
        </is>
      </c>
      <c r="J3591" t="inlineStr">
        <is>
          <t>17/03/2026</t>
        </is>
      </c>
      <c r="K3591" t="inlineStr">
        <is>
          <t>N/A</t>
        </is>
      </c>
      <c r="L3591" t="inlineStr">
        <is>
          <t>Information Technology, Automation Engineer, Electronic Engineering, C#, Databases</t>
        </is>
      </c>
      <c r="M3591" t="inlineStr">
        <is>
          <t>Bonus, Healthcare Plan, Paid Leave, Team Activities, Canteen</t>
        </is>
      </c>
      <c r="N3591" s="8">
        <f>HYPERLINK("https://www.vietnamworks.com/junior-software-developer-2011568-jv","Xem chi tiết")</f>
        <v/>
      </c>
    </row>
    <row r="3592">
      <c r="B3592" s="9" t="n">
        <v>3590</v>
      </c>
      <c r="C3592" s="10" t="inlineStr">
        <is>
          <t>HSSE Site Supervisor</t>
        </is>
      </c>
      <c r="D3592" s="10" t="inlineStr">
        <is>
          <t>Maersk Vietnam Ltd.</t>
        </is>
      </c>
      <c r="E3592" s="10" t="inlineStr">
        <is>
          <t>Thương lượng</t>
        </is>
      </c>
      <c r="F3592" s="10" t="inlineStr">
        <is>
          <t>Đồng Nai</t>
        </is>
      </c>
      <c r="G3592" s="10" t="inlineStr">
        <is>
          <t>Nhân viên</t>
        </is>
      </c>
      <c r="H3592" s="10" t="inlineStr">
        <is>
          <t>11/02/2026</t>
        </is>
      </c>
      <c r="I3592" s="10" t="inlineStr">
        <is>
          <t>28/03/2026</t>
        </is>
      </c>
      <c r="J3592" s="10" t="inlineStr">
        <is>
          <t>17/03/2026</t>
        </is>
      </c>
      <c r="K3592" s="10" t="inlineStr">
        <is>
          <t>N/A</t>
        </is>
      </c>
      <c r="L3592" s="10" t="inlineStr">
        <is>
          <t>HSSE, Hsse Management, Nebosh International Safety Certificate, Audit C-Tpat, IOSH</t>
        </is>
      </c>
      <c r="M3592" s="10" t="inlineStr">
        <is>
          <t>Bonus, Healthcare Plan, Training</t>
        </is>
      </c>
      <c r="N3592" s="11">
        <f>HYPERLINK("https://www.vietnamworks.com/hsse-site-supervisor--2011572-jv","Xem chi tiết")</f>
        <v/>
      </c>
      <c r="O3592" s="10" t="n"/>
    </row>
    <row r="3593">
      <c r="B3593" s="7" t="n">
        <v>3591</v>
      </c>
      <c r="C3593" t="inlineStr">
        <is>
          <t>Kỹ Sư PLC (PLC Engineer)</t>
        </is>
      </c>
      <c r="D3593" t="inlineStr">
        <is>
          <t>Công ty TNHH Poongsan System Vina</t>
        </is>
      </c>
      <c r="E3593" t="inlineStr">
        <is>
          <t>Thương lượng</t>
        </is>
      </c>
      <c r="F3593" t="inlineStr">
        <is>
          <t>Hải Dương, Hưng Yên, Hải Phòng</t>
        </is>
      </c>
      <c r="G3593" t="inlineStr">
        <is>
          <t>Nhân viên</t>
        </is>
      </c>
      <c r="H3593" t="inlineStr">
        <is>
          <t>11/02/2026</t>
        </is>
      </c>
      <c r="I3593" t="inlineStr">
        <is>
          <t>28/03/2026</t>
        </is>
      </c>
      <c r="J3593" t="inlineStr">
        <is>
          <t>17/03/2026</t>
        </is>
      </c>
      <c r="K3593" t="inlineStr">
        <is>
          <t>N/A</t>
        </is>
      </c>
      <c r="L3593" t="inlineStr">
        <is>
          <t>PLC Programming, Lập Trình PLC, PLC, PLC control, PLC Engineering</t>
        </is>
      </c>
      <c r="M3593" t="inlineStr">
        <is>
          <t>Bonus, Healthcare Plan, Paid Leave, Training, Others</t>
        </is>
      </c>
      <c r="N3593" s="8">
        <f>HYPERLINK("https://www.vietnamworks.com/ky-su-plc-plc-engineer-2011548-jv","Xem chi tiết")</f>
        <v/>
      </c>
    </row>
    <row r="3594">
      <c r="B3594" s="9" t="n">
        <v>3592</v>
      </c>
      <c r="C3594" s="10" t="inlineStr">
        <is>
          <t>Nhân Viên Kinh Doanh (Tiếng Trung/hàn)</t>
        </is>
      </c>
      <c r="D3594" s="10" t="inlineStr">
        <is>
          <t>Công Ty TNHH Dịch Vụ Ăn Uống Ba Sao</t>
        </is>
      </c>
      <c r="E3594" s="10" t="inlineStr">
        <is>
          <t>15tr-25tr ₫/tháng</t>
        </is>
      </c>
      <c r="F3594" s="10" t="inlineStr">
        <is>
          <t>Hà Nội</t>
        </is>
      </c>
      <c r="G3594" s="10" t="inlineStr">
        <is>
          <t>Nhân viên</t>
        </is>
      </c>
      <c r="H3594" s="10" t="inlineStr">
        <is>
          <t>11/02/2026</t>
        </is>
      </c>
      <c r="I3594" s="10" t="inlineStr">
        <is>
          <t>28/03/2026</t>
        </is>
      </c>
      <c r="J3594" s="10" t="inlineStr">
        <is>
          <t>17/03/2026</t>
        </is>
      </c>
      <c r="K3594" s="10" t="inlineStr">
        <is>
          <t>N/A</t>
        </is>
      </c>
      <c r="L3594" s="10" t="inlineStr">
        <is>
          <t>Kinh Doanh, Kỹ năng giao tiếp, Sử dụng vi tính văn phòng</t>
        </is>
      </c>
      <c r="M3594" s="10" t="inlineStr">
        <is>
          <t>Bonus, Healthcare Plan</t>
        </is>
      </c>
      <c r="N3594" s="11">
        <f>HYPERLINK("https://www.vietnamworks.com/nhan-vien-kinh-doanh-tieng-trunghan-2011549-jv","Xem chi tiết")</f>
        <v/>
      </c>
      <c r="O3594" s="10" t="n"/>
    </row>
    <row r="3595">
      <c r="B3595" s="7" t="n">
        <v>3593</v>
      </c>
      <c r="C3595" t="inlineStr">
        <is>
          <t>Product Development (Overseas Market)</t>
        </is>
      </c>
      <c r="D3595" t="inlineStr">
        <is>
          <t>Orion Food Vina Co,. Ltd - Head Office</t>
        </is>
      </c>
      <c r="E3595" t="inlineStr">
        <is>
          <t>Thương lượng</t>
        </is>
      </c>
      <c r="F3595" t="inlineStr">
        <is>
          <t>Hồ Chí Minh</t>
        </is>
      </c>
      <c r="G3595" t="inlineStr">
        <is>
          <t>Nhân viên</t>
        </is>
      </c>
      <c r="H3595" t="inlineStr">
        <is>
          <t>11/02/2026</t>
        </is>
      </c>
      <c r="I3595" t="inlineStr">
        <is>
          <t>28/03/2026</t>
        </is>
      </c>
      <c r="J3595" t="inlineStr">
        <is>
          <t>17/03/2026</t>
        </is>
      </c>
      <c r="K3595" t="inlineStr">
        <is>
          <t>N/A</t>
        </is>
      </c>
      <c r="L3595" t="inlineStr">
        <is>
          <t>Product Development, Product Marketing, Trade Marketing, Export Sales, Packaging Designer</t>
        </is>
      </c>
      <c r="M3595" t="inlineStr">
        <is>
          <t>Bonus, Healthcare Plan, Team Activities</t>
        </is>
      </c>
      <c r="N3595" s="8">
        <f>HYPERLINK("https://www.vietnamworks.com/product-development-overseas-market-2011547-jv","Xem chi tiết")</f>
        <v/>
      </c>
    </row>
    <row r="3596">
      <c r="B3596" s="9" t="n">
        <v>3594</v>
      </c>
      <c r="C3596" s="10" t="inlineStr">
        <is>
          <t>Service Engineer (Kỹ Sư Dịch Vụ Kỹ Thuật)</t>
        </is>
      </c>
      <c r="D3596" s="10" t="inlineStr">
        <is>
          <t>Công Ty TNHH Goshu Kohsan (Việt Nam)</t>
        </is>
      </c>
      <c r="E3596" s="10" t="inlineStr">
        <is>
          <t>Thương lượng</t>
        </is>
      </c>
      <c r="F3596" s="10" t="inlineStr">
        <is>
          <t>Hà Nội</t>
        </is>
      </c>
      <c r="G3596" s="10" t="inlineStr">
        <is>
          <t>Nhân viên</t>
        </is>
      </c>
      <c r="H3596" s="10" t="inlineStr">
        <is>
          <t>11/02/2026</t>
        </is>
      </c>
      <c r="I3596" s="10" t="inlineStr">
        <is>
          <t>28/03/2026</t>
        </is>
      </c>
      <c r="J3596" s="10" t="inlineStr">
        <is>
          <t>17/03/2026</t>
        </is>
      </c>
      <c r="K3596" s="10" t="inlineStr">
        <is>
          <t>N/A</t>
        </is>
      </c>
      <c r="L3596" s="10" t="inlineStr">
        <is>
          <t>Sales experience, Communication, Chemical, Lập Báo Cáo Kỹ Thuật, Service Engineering</t>
        </is>
      </c>
      <c r="M3596" s="10" t="inlineStr">
        <is>
          <t>Bonus, Healthcare Plan, Paid Leave, Team Activities, Transportation, Others</t>
        </is>
      </c>
      <c r="N3596" s="11">
        <f>HYPERLINK("https://www.vietnamworks.com/service-engineer-ky-su-dich-vu-ky-thuat--2011546-jv","Xem chi tiết")</f>
        <v/>
      </c>
      <c r="O3596" s="10" t="n"/>
    </row>
    <row r="3597">
      <c r="B3597" s="7" t="n">
        <v>3595</v>
      </c>
      <c r="C3597" t="inlineStr">
        <is>
          <t>Assistant Manager, Key Account Management (Rubber)</t>
        </is>
      </c>
      <c r="D3597" t="inlineStr">
        <is>
          <t>DKSH Vietnam Co., Ltd.</t>
        </is>
      </c>
      <c r="E3597" t="inlineStr">
        <is>
          <t>Thương lượng</t>
        </is>
      </c>
      <c r="F3597" t="inlineStr">
        <is>
          <t>Hà Nội</t>
        </is>
      </c>
      <c r="G3597" t="inlineStr">
        <is>
          <t>Nhân viên</t>
        </is>
      </c>
      <c r="H3597" t="inlineStr">
        <is>
          <t>11/02/2026</t>
        </is>
      </c>
      <c r="I3597" t="inlineStr">
        <is>
          <t>28/03/2026</t>
        </is>
      </c>
      <c r="J3597" t="inlineStr">
        <is>
          <t>17/03/2026</t>
        </is>
      </c>
      <c r="K3597" t="inlineStr">
        <is>
          <t>N/A</t>
        </is>
      </c>
      <c r="L3597" t="inlineStr">
        <is>
          <t>Account Management, Analytical Skills, Business Development, Communication Skills, Problem-solving</t>
        </is>
      </c>
      <c r="M3597" t="inlineStr">
        <is>
          <t>Bonus</t>
        </is>
      </c>
      <c r="N3597" s="8">
        <f>HYPERLINK("https://www.vietnamworks.com/assistant-manager-key-account-management-rubber-2011567-jv","Xem chi tiết")</f>
        <v/>
      </c>
    </row>
    <row r="3598">
      <c r="B3598" s="9" t="n">
        <v>3596</v>
      </c>
      <c r="C3598" s="10" t="inlineStr">
        <is>
          <t>Senior Expert, Government Affairs (Techcom Life)</t>
        </is>
      </c>
      <c r="D3598" s="10" t="inlineStr">
        <is>
          <t>Techcombank</t>
        </is>
      </c>
      <c r="E3598" s="10" t="inlineStr">
        <is>
          <t>Thương lượng</t>
        </is>
      </c>
      <c r="F3598" s="10" t="inlineStr">
        <is>
          <t>Hà Nội</t>
        </is>
      </c>
      <c r="G3598" s="10" t="inlineStr">
        <is>
          <t>Nhân viên</t>
        </is>
      </c>
      <c r="H3598" s="10" t="inlineStr">
        <is>
          <t>11/02/2026</t>
        </is>
      </c>
      <c r="I3598" s="10" t="inlineStr">
        <is>
          <t>28/03/2026</t>
        </is>
      </c>
      <c r="J3598" s="10" t="inlineStr">
        <is>
          <t>17/03/2026</t>
        </is>
      </c>
      <c r="K3598" s="10" t="inlineStr">
        <is>
          <t>N/A</t>
        </is>
      </c>
      <c r="L3598" s="10" t="inlineStr">
        <is>
          <t>External relations skills, Legal &amp; Compliance, Auditing &amp; Accounting Knowledge, Ngoại giao, Communication Skills</t>
        </is>
      </c>
      <c r="M3598" s="10" t="inlineStr">
        <is>
          <t>Bonus, Training, Others</t>
        </is>
      </c>
      <c r="N3598" s="11">
        <f>HYPERLINK("https://www.vietnamworks.com/senior-expert-government-affairs-techcom-life--2011571-jv","Xem chi tiết")</f>
        <v/>
      </c>
      <c r="O3598" s="10" t="n"/>
    </row>
    <row r="3599">
      <c r="B3599" s="7" t="n">
        <v>3597</v>
      </c>
      <c r="C3599" t="inlineStr">
        <is>
          <t>Chuyên Gia Quản Lý Thiết Kế Hiện Trường</t>
        </is>
      </c>
      <c r="D3599" t="inlineStr">
        <is>
          <t>Công Ty Cổ Phần Tập Đoàn Masterise</t>
        </is>
      </c>
      <c r="E3599" t="inlineStr">
        <is>
          <t>Thương lượng</t>
        </is>
      </c>
      <c r="F3599" t="inlineStr">
        <is>
          <t>Hà Nội</t>
        </is>
      </c>
      <c r="G3599" t="inlineStr">
        <is>
          <t>Trưởng phòng</t>
        </is>
      </c>
      <c r="H3599" t="inlineStr">
        <is>
          <t>11/02/2026</t>
        </is>
      </c>
      <c r="I3599" t="inlineStr">
        <is>
          <t>28/03/2026</t>
        </is>
      </c>
      <c r="J3599" t="inlineStr">
        <is>
          <t>17/03/2026</t>
        </is>
      </c>
      <c r="K3599" t="inlineStr">
        <is>
          <t>N/A</t>
        </is>
      </c>
      <c r="L3599" t="inlineStr">
        <is>
          <t>Architectural Construction, Real Estate Projects, Shopdrawing, Site Design, Design Coordination</t>
        </is>
      </c>
      <c r="M3599" t="inlineStr">
        <is>
          <t>Bonus, Healthcare Plan, Laptop</t>
        </is>
      </c>
      <c r="N3599" s="8">
        <f>HYPERLINK("https://www.vietnamworks.com/chuyen-gia-quan-ly-thiet-ke-hien-truong-2011554-jv","Xem chi tiết")</f>
        <v/>
      </c>
    </row>
    <row r="3600">
      <c r="B3600" s="9" t="n">
        <v>3598</v>
      </c>
      <c r="C3600" s="10" t="inlineStr">
        <is>
          <t>Cabin Storage Management Executive</t>
        </is>
      </c>
      <c r="D3600" s="10" t="inlineStr">
        <is>
          <t>Công ty cổ phần Hàng không Hải Âu</t>
        </is>
      </c>
      <c r="E3600" s="10" t="inlineStr">
        <is>
          <t>Thương lượng</t>
        </is>
      </c>
      <c r="F3600" s="10" t="inlineStr">
        <is>
          <t>Hà Nội</t>
        </is>
      </c>
      <c r="G3600" s="10" t="inlineStr">
        <is>
          <t>Nhân viên</t>
        </is>
      </c>
      <c r="H3600" s="10" t="inlineStr">
        <is>
          <t>11/02/2026</t>
        </is>
      </c>
      <c r="I3600" s="10" t="inlineStr">
        <is>
          <t>28/03/2026</t>
        </is>
      </c>
      <c r="J3600" s="10" t="inlineStr">
        <is>
          <t>17/03/2026</t>
        </is>
      </c>
      <c r="K3600" s="10" t="inlineStr">
        <is>
          <t>N/A</t>
        </is>
      </c>
      <c r="L3600" s="10" t="inlineStr">
        <is>
          <t>Aviation, English Communication, Inventory Control, Microsoft Office, Warehouse Management</t>
        </is>
      </c>
      <c r="M3600" s="10" t="inlineStr">
        <is>
          <t>Others</t>
        </is>
      </c>
      <c r="N3600" s="11">
        <f>HYPERLINK("https://www.vietnamworks.com/cabin-storage-management-executive-2011577-jv","Xem chi tiết")</f>
        <v/>
      </c>
      <c r="O3600" s="10" t="n"/>
    </row>
    <row r="3601">
      <c r="B3601" s="7" t="n">
        <v>3599</v>
      </c>
      <c r="C3601" t="inlineStr">
        <is>
          <t>Accountant</t>
        </is>
      </c>
      <c r="D3601" t="inlineStr">
        <is>
          <t>Công ty cổ phần Hàng không Hải Âu</t>
        </is>
      </c>
      <c r="E3601" t="inlineStr">
        <is>
          <t>Thương lượng</t>
        </is>
      </c>
      <c r="F3601" t="inlineStr">
        <is>
          <t>Hà Nội</t>
        </is>
      </c>
      <c r="G3601" t="inlineStr">
        <is>
          <t>Nhân viên</t>
        </is>
      </c>
      <c r="H3601" t="inlineStr">
        <is>
          <t>11/02/2026</t>
        </is>
      </c>
      <c r="I3601" t="inlineStr">
        <is>
          <t>28/03/2026</t>
        </is>
      </c>
      <c r="J3601" t="inlineStr">
        <is>
          <t>17/03/2026</t>
        </is>
      </c>
      <c r="K3601" t="inlineStr">
        <is>
          <t>N/A</t>
        </is>
      </c>
      <c r="L3601" t="inlineStr">
        <is>
          <t>Accounting, English, MS Office, Tax Regulation, Tax Report</t>
        </is>
      </c>
      <c r="M3601" t="inlineStr">
        <is>
          <t>Others</t>
        </is>
      </c>
      <c r="N3601" s="8">
        <f>HYPERLINK("https://www.vietnamworks.com/accountant-2011578-jv","Xem chi tiết")</f>
        <v/>
      </c>
    </row>
    <row r="3602">
      <c r="B3602" s="9" t="n">
        <v>3600</v>
      </c>
      <c r="C3602" s="10" t="inlineStr">
        <is>
          <t>Nhân Viên Sale Du Lịch Nội Địa</t>
        </is>
      </c>
      <c r="D3602" s="10" t="inlineStr">
        <is>
          <t>Vietnamworks' Client</t>
        </is>
      </c>
      <c r="E3602" s="10" t="inlineStr">
        <is>
          <t>$$ 305-580 /tháng</t>
        </is>
      </c>
      <c r="F3602" s="10" t="inlineStr">
        <is>
          <t>Hà Nội</t>
        </is>
      </c>
      <c r="G3602" s="10" t="inlineStr">
        <is>
          <t>Nhân viên</t>
        </is>
      </c>
      <c r="H3602" s="10" t="inlineStr">
        <is>
          <t>11/02/2026</t>
        </is>
      </c>
      <c r="I3602" s="10" t="inlineStr">
        <is>
          <t>28/03/2026</t>
        </is>
      </c>
      <c r="J3602" s="10" t="inlineStr">
        <is>
          <t>17/03/2026</t>
        </is>
      </c>
      <c r="K3602" s="10" t="inlineStr">
        <is>
          <t>N/A</t>
        </is>
      </c>
      <c r="L3602" s="10" t="inlineStr">
        <is>
          <t>Kinh Doanh Lữ Hành, Kinh Doanh, Du Lịch Lữ Hành, Bán Hàng, Chăm Sóc Khách Hàng</t>
        </is>
      </c>
      <c r="M3602" s="10" t="inlineStr">
        <is>
          <t>Healthcare Plan, Training, Travel Opportunities</t>
        </is>
      </c>
      <c r="N3602" s="11">
        <f>HYPERLINK("https://www.vietnamworks.com/nhan-vien-sale-du-lich-noi-dia--2011589-jv","Xem chi tiết")</f>
        <v/>
      </c>
      <c r="O3602" s="10" t="n"/>
    </row>
    <row r="3603">
      <c r="B3603" s="7" t="n">
        <v>3601</v>
      </c>
      <c r="C3603" t="inlineStr">
        <is>
          <t>Chuyên Viên Mua Sắm</t>
        </is>
      </c>
      <c r="D3603" t="inlineStr">
        <is>
          <t>Công ty cổ phần Hàng không Hải Âu</t>
        </is>
      </c>
      <c r="E3603" t="inlineStr">
        <is>
          <t>Thương lượng</t>
        </is>
      </c>
      <c r="F3603" t="inlineStr">
        <is>
          <t>Hà Nội</t>
        </is>
      </c>
      <c r="G3603" t="inlineStr">
        <is>
          <t>Nhân viên</t>
        </is>
      </c>
      <c r="H3603" t="inlineStr">
        <is>
          <t>11/02/2026</t>
        </is>
      </c>
      <c r="I3603" t="inlineStr">
        <is>
          <t>28/03/2026</t>
        </is>
      </c>
      <c r="J3603" t="inlineStr">
        <is>
          <t>17/03/2026</t>
        </is>
      </c>
      <c r="K3603" t="inlineStr">
        <is>
          <t>N/A</t>
        </is>
      </c>
      <c r="L3603" t="inlineStr">
        <is>
          <t>Cung Ứng Vật Tư, English Communication, Logistics Management, Negotiation Skills, Supply Chain Management</t>
        </is>
      </c>
      <c r="M3603" t="inlineStr">
        <is>
          <t>Others</t>
        </is>
      </c>
      <c r="N3603" s="8">
        <f>HYPERLINK("https://www.vietnamworks.com/chuyen-vien-mua-sam--2011581-jv","Xem chi tiết")</f>
        <v/>
      </c>
    </row>
    <row r="3604">
      <c r="B3604" s="9" t="n">
        <v>3602</v>
      </c>
      <c r="C3604" s="10" t="inlineStr">
        <is>
          <t>HSSE Site Supervisor</t>
        </is>
      </c>
      <c r="D3604" s="10" t="inlineStr">
        <is>
          <t>Maersk Vietnam Ltd.</t>
        </is>
      </c>
      <c r="E3604" s="10" t="inlineStr">
        <is>
          <t>Thương lượng</t>
        </is>
      </c>
      <c r="F3604" s="10" t="inlineStr">
        <is>
          <t>Hải Phòng</t>
        </is>
      </c>
      <c r="G3604" s="10" t="inlineStr">
        <is>
          <t>Nhân viên</t>
        </is>
      </c>
      <c r="H3604" s="10" t="inlineStr">
        <is>
          <t>11/02/2026</t>
        </is>
      </c>
      <c r="I3604" s="10" t="inlineStr">
        <is>
          <t>28/03/2026</t>
        </is>
      </c>
      <c r="J3604" s="10" t="inlineStr">
        <is>
          <t>17/03/2026</t>
        </is>
      </c>
      <c r="K3604" s="10" t="inlineStr">
        <is>
          <t>N/A</t>
        </is>
      </c>
      <c r="L3604" s="10" t="inlineStr">
        <is>
          <t>HSSE, Hsse Management, Nebosh International Safety Certificate, Audit C-Tpat, IOSH</t>
        </is>
      </c>
      <c r="M3604" s="10" t="inlineStr">
        <is>
          <t>Bonus, Healthcare Plan, Training</t>
        </is>
      </c>
      <c r="N3604" s="11">
        <f>HYPERLINK("https://www.vietnamworks.com/hsse-site-supervisor--2011582-jv","Xem chi tiết")</f>
        <v/>
      </c>
      <c r="O3604" s="10" t="n"/>
    </row>
    <row r="3605">
      <c r="B3605" s="7" t="n">
        <v>3603</v>
      </c>
      <c r="C3605" t="inlineStr">
        <is>
          <t>Retail Product &amp; Ecommerce Development Specialist</t>
        </is>
      </c>
      <c r="D3605" t="inlineStr">
        <is>
          <t>Công Ty Cổ Phần Phúc Long Heritage</t>
        </is>
      </c>
      <c r="E3605" t="inlineStr">
        <is>
          <t>Thương lượng</t>
        </is>
      </c>
      <c r="F3605" t="inlineStr">
        <is>
          <t>Hồ Chí Minh</t>
        </is>
      </c>
      <c r="G3605" t="inlineStr">
        <is>
          <t>Nhân viên</t>
        </is>
      </c>
      <c r="H3605" t="inlineStr">
        <is>
          <t>11/02/2026</t>
        </is>
      </c>
      <c r="I3605" t="inlineStr">
        <is>
          <t>28/03/2026</t>
        </is>
      </c>
      <c r="J3605" t="inlineStr">
        <is>
          <t>17/03/2026</t>
        </is>
      </c>
      <c r="K3605" t="inlineStr">
        <is>
          <t>N/A</t>
        </is>
      </c>
      <c r="L3605" t="inlineStr">
        <is>
          <t>E commerce, FnB, Marketing strategies, Product Development</t>
        </is>
      </c>
      <c r="M3605" t="inlineStr">
        <is>
          <t>Others</t>
        </is>
      </c>
      <c r="N3605" s="8">
        <f>HYPERLINK("https://www.vietnamworks.com/retail-product-and-ecommerce-development-specialist-2011583-jv","Xem chi tiết")</f>
        <v/>
      </c>
    </row>
    <row r="3606">
      <c r="B3606" s="9" t="n">
        <v>3604</v>
      </c>
      <c r="C3606" s="10" t="inlineStr">
        <is>
          <t>Aml/compliance Analyst (6-Month Contract)</t>
        </is>
      </c>
      <c r="D3606" s="10" t="inlineStr">
        <is>
          <t>Sun Life Vietnam (Sun Life)</t>
        </is>
      </c>
      <c r="E3606" s="10" t="inlineStr">
        <is>
          <t>Thương lượng</t>
        </is>
      </c>
      <c r="F3606" s="10" t="inlineStr">
        <is>
          <t>Hồ Chí Minh</t>
        </is>
      </c>
      <c r="G3606" s="10" t="inlineStr">
        <is>
          <t>Mới Tốt Nghiệp</t>
        </is>
      </c>
      <c r="H3606" s="10" t="inlineStr">
        <is>
          <t>11/02/2026</t>
        </is>
      </c>
      <c r="I3606" s="10" t="inlineStr">
        <is>
          <t>28/03/2026</t>
        </is>
      </c>
      <c r="J3606" s="10" t="inlineStr">
        <is>
          <t>17/03/2026</t>
        </is>
      </c>
      <c r="K3606" s="10" t="inlineStr">
        <is>
          <t>N/A</t>
        </is>
      </c>
      <c r="L3606" s="10" t="inlineStr">
        <is>
          <t>AML, Compliance, Law</t>
        </is>
      </c>
      <c r="M3606" s="10" t="inlineStr">
        <is>
          <t>Healthcare Plan, Team Activities, Others</t>
        </is>
      </c>
      <c r="N3606" s="11">
        <f>HYPERLINK("https://www.vietnamworks.com/aml-compliance-analyst-6-month-contract-2011587-jv","Xem chi tiết")</f>
        <v/>
      </c>
      <c r="O3606" s="10" t="n"/>
    </row>
    <row r="3607">
      <c r="B3607" s="7" t="n">
        <v>3605</v>
      </c>
      <c r="C3607" t="inlineStr">
        <is>
          <t>Thủ Kho Kiêm Kế Toán Kho</t>
        </is>
      </c>
      <c r="D3607" t="inlineStr">
        <is>
          <t>TẬP ĐOÀN HẢI SẢN HOÀNG GIA</t>
        </is>
      </c>
      <c r="E3607" t="inlineStr">
        <is>
          <t>Thương lượng</t>
        </is>
      </c>
      <c r="F3607" t="inlineStr">
        <is>
          <t>Hồ Chí Minh</t>
        </is>
      </c>
      <c r="G3607" t="inlineStr">
        <is>
          <t>Nhân viên</t>
        </is>
      </c>
      <c r="H3607" t="inlineStr">
        <is>
          <t>11/02/2026</t>
        </is>
      </c>
      <c r="I3607" t="inlineStr">
        <is>
          <t>28/03/2026</t>
        </is>
      </c>
      <c r="J3607" t="inlineStr">
        <is>
          <t>17/03/2026</t>
        </is>
      </c>
      <c r="K3607" t="inlineStr">
        <is>
          <t>N/A</t>
        </is>
      </c>
      <c r="L3607" t="inlineStr">
        <is>
          <t>Kiểm Soát Tài Liệu, Phối Hợp Tốt, Quản Lý Kho, Sử Dụng Excel, Trung Thực</t>
        </is>
      </c>
      <c r="M3607" t="inlineStr">
        <is>
          <t>Bonus, Healthcare Plan, Training, Others</t>
        </is>
      </c>
      <c r="N3607" s="8">
        <f>HYPERLINK("https://www.vietnamworks.com/thu-kho-kiem-ke-toan-kho-2011584-jv","Xem chi tiết")</f>
        <v/>
      </c>
    </row>
    <row r="3608">
      <c r="B3608" s="9" t="n">
        <v>3606</v>
      </c>
      <c r="C3608" s="10" t="inlineStr">
        <is>
          <t>Kỹ Sư QS - Đi Làm Ngay</t>
        </is>
      </c>
      <c r="D3608" s="10" t="inlineStr">
        <is>
          <t>CÔNG TY TNHH HAN IDD</t>
        </is>
      </c>
      <c r="E3608" s="10" t="inlineStr">
        <is>
          <t>20tr-30tr ₫/tháng</t>
        </is>
      </c>
      <c r="F3608" s="10" t="inlineStr">
        <is>
          <t>Hà Nội</t>
        </is>
      </c>
      <c r="G3608" s="10" t="inlineStr">
        <is>
          <t>Nhân viên</t>
        </is>
      </c>
      <c r="H3608" s="10" t="inlineStr">
        <is>
          <t>25/02/2026</t>
        </is>
      </c>
      <c r="I3608" s="10" t="inlineStr">
        <is>
          <t>28/03/2026</t>
        </is>
      </c>
      <c r="J3608" s="10" t="inlineStr">
        <is>
          <t>17/03/2026</t>
        </is>
      </c>
      <c r="K3608" s="10" t="inlineStr">
        <is>
          <t>N/A</t>
        </is>
      </c>
      <c r="L3608" s="10" t="inlineStr">
        <is>
          <t>Kỹ Sư Xây Dựng, Lập Dự Toán, Quản Lý Dự Án, Kiểm Soát Chất Lượng, QS</t>
        </is>
      </c>
      <c r="M3608" s="10" t="inlineStr">
        <is>
          <t>Healthcare Plan, Others</t>
        </is>
      </c>
      <c r="N3608" s="11">
        <f>HYPERLINK("https://www.vietnamworks.com/ky-su-qs-dji-lam-ngay-2013923-jv","Xem chi tiết")</f>
        <v/>
      </c>
      <c r="O3608" s="10" t="n"/>
    </row>
    <row r="3609">
      <c r="B3609" s="7" t="n">
        <v>3607</v>
      </c>
      <c r="C3609" t="inlineStr">
        <is>
          <t>Telephone Sales Support – Logistics Software</t>
        </is>
      </c>
      <c r="D3609" t="inlineStr">
        <is>
          <t>CÔNG TY TNHH FINHELP</t>
        </is>
      </c>
      <c r="E3609" t="inlineStr">
        <is>
          <t>$$ 300-500 /tháng</t>
        </is>
      </c>
      <c r="F3609" t="inlineStr">
        <is>
          <t>Hồ Chí Minh</t>
        </is>
      </c>
      <c r="G3609" t="inlineStr">
        <is>
          <t>Nhân viên</t>
        </is>
      </c>
      <c r="H3609" t="inlineStr">
        <is>
          <t>23/02/2026</t>
        </is>
      </c>
      <c r="I3609" t="inlineStr">
        <is>
          <t>28/03/2026</t>
        </is>
      </c>
      <c r="J3609" t="inlineStr">
        <is>
          <t>17/03/2026</t>
        </is>
      </c>
      <c r="K3609" t="inlineStr">
        <is>
          <t>N/A</t>
        </is>
      </c>
      <c r="L3609" t="inlineStr">
        <is>
          <t>CRM support, Sales Admin, B2B, Logistic, Sales Support</t>
        </is>
      </c>
      <c r="M3609" t="inlineStr">
        <is>
          <t>Bonus, Healthcare Plan, Paid Leave, Laptop, Others</t>
        </is>
      </c>
      <c r="N3609" s="8">
        <f>HYPERLINK("https://www.vietnamworks.com/telephone-sales-support-logistics-software-2012415-jv","Xem chi tiết")</f>
        <v/>
      </c>
    </row>
    <row r="3610">
      <c r="B3610" s="9" t="n">
        <v>3608</v>
      </c>
      <c r="C3610" s="10" t="inlineStr">
        <is>
          <t>CAD Operator</t>
        </is>
      </c>
      <c r="D3610" s="10" t="inlineStr">
        <is>
          <t>Sumitomo Mitsui Construction Co., Ltd.,</t>
        </is>
      </c>
      <c r="E3610" s="10" t="inlineStr">
        <is>
          <t>Thương lượng</t>
        </is>
      </c>
      <c r="F3610" s="10" t="inlineStr">
        <is>
          <t>Hà Nội</t>
        </is>
      </c>
      <c r="G3610" s="10" t="inlineStr">
        <is>
          <t>Nhân viên</t>
        </is>
      </c>
      <c r="H3610" s="10" t="inlineStr">
        <is>
          <t>24/02/2026</t>
        </is>
      </c>
      <c r="I3610" s="10" t="inlineStr">
        <is>
          <t>28/03/2026</t>
        </is>
      </c>
      <c r="J3610" s="10" t="inlineStr">
        <is>
          <t>17/03/2026</t>
        </is>
      </c>
      <c r="K3610" s="10" t="inlineStr">
        <is>
          <t>N/A</t>
        </is>
      </c>
      <c r="L3610" s="10" t="inlineStr">
        <is>
          <t>Autocad, Lumion, Photoshop, Sketchup, Triển Khai Bản Vẽ</t>
        </is>
      </c>
      <c r="M3610" s="10" t="inlineStr">
        <is>
          <t>Bonus, Healthcare Plan, Others</t>
        </is>
      </c>
      <c r="N3610" s="11">
        <f>HYPERLINK("https://www.vietnamworks.com/cad-operator-2013395-jv","Xem chi tiết")</f>
        <v/>
      </c>
      <c r="O3610" s="10" t="n"/>
    </row>
    <row r="3611">
      <c r="B3611" s="7" t="n">
        <v>3609</v>
      </c>
      <c r="C3611" t="inlineStr">
        <is>
          <t>Chuyên Viên Kinh Doanh Dự Án Vật Liệu Nội Thất (Project Sales Specialist - Lương Cứng Upto 30Tr)</t>
        </is>
      </c>
      <c r="D3611" t="inlineStr">
        <is>
          <t>Công Ty Cổ Phần Thương Mại AICA HPL</t>
        </is>
      </c>
      <c r="E3611" t="inlineStr">
        <is>
          <t>Từ 30tr ₫/tháng</t>
        </is>
      </c>
      <c r="F3611" t="inlineStr">
        <is>
          <t>Hồ Chí Minh, Hà Nội</t>
        </is>
      </c>
      <c r="G3611" t="inlineStr">
        <is>
          <t>Nhân viên</t>
        </is>
      </c>
      <c r="H3611" t="inlineStr">
        <is>
          <t>23/02/2026</t>
        </is>
      </c>
      <c r="I3611" t="inlineStr">
        <is>
          <t>28/03/2026</t>
        </is>
      </c>
      <c r="J3611" t="inlineStr">
        <is>
          <t>17/03/2026</t>
        </is>
      </c>
      <c r="K3611" t="inlineStr">
        <is>
          <t>N/A</t>
        </is>
      </c>
      <c r="L3611" t="inlineStr">
        <is>
          <t>Kinh Doanh Phát Triển Dự Án, Sales Development, Tin Học Văn Phòng, Tiếng Anh, Thuyết Trình</t>
        </is>
      </c>
      <c r="M3611" t="inlineStr">
        <is>
          <t>Bonus, Healthcare Plan, Paid Leave, Training, Awards, Travel Opportunities, Team Activities</t>
        </is>
      </c>
      <c r="N3611" s="8">
        <f>HYPERLINK("https://www.vietnamworks.com/chuyen-vien-kinh-doanh-du-an-vat-lieu-noi-that-project-sales-specialist-luong-cung-upto-30tr-2012616-jv","Xem chi tiết")</f>
        <v/>
      </c>
    </row>
    <row r="3612">
      <c r="B3612" s="9" t="n">
        <v>3610</v>
      </c>
      <c r="C3612" s="10" t="inlineStr">
        <is>
          <t>Kỹ Sư Hiện Trường - Đi Làm Ngay</t>
        </is>
      </c>
      <c r="D3612" s="10" t="inlineStr">
        <is>
          <t>CÔNG TY TNHH HAN IDD</t>
        </is>
      </c>
      <c r="E3612" s="10" t="inlineStr">
        <is>
          <t>20tr-30tr ₫/tháng</t>
        </is>
      </c>
      <c r="F3612" s="10" t="inlineStr">
        <is>
          <t>Hà Nội</t>
        </is>
      </c>
      <c r="G3612" s="10" t="inlineStr">
        <is>
          <t>Nhân viên</t>
        </is>
      </c>
      <c r="H3612" s="10" t="inlineStr">
        <is>
          <t>25/02/2026</t>
        </is>
      </c>
      <c r="I3612" s="10" t="inlineStr">
        <is>
          <t>28/03/2026</t>
        </is>
      </c>
      <c r="J3612" s="10" t="inlineStr">
        <is>
          <t>17/03/2026</t>
        </is>
      </c>
      <c r="K3612" s="10" t="inlineStr">
        <is>
          <t>N/A</t>
        </is>
      </c>
      <c r="L3612" s="10" t="inlineStr">
        <is>
          <t>Xây Dựng Dân Dụng, Giám Sát Thi Công, Hàng Vật Liệu Xây Dựng, Kỹ Thuật, Kỹ năng tổ chức</t>
        </is>
      </c>
      <c r="M3612" s="10" t="inlineStr">
        <is>
          <t>Healthcare Plan, Others</t>
        </is>
      </c>
      <c r="N3612" s="11">
        <f>HYPERLINK("https://www.vietnamworks.com/ky-su-hien-truong-dji-lam-ngay-2013918-jv","Xem chi tiết")</f>
        <v/>
      </c>
      <c r="O3612" s="10" t="n"/>
    </row>
    <row r="3613">
      <c r="B3613" s="7" t="n">
        <v>3611</v>
      </c>
      <c r="C3613" t="inlineStr">
        <is>
          <t>Kỹ Sư Thiết Kế Kết Cấu Công Trình Dân Dụng Và Công Nghiệp / Structural Engineer (Civil &amp; Industrial)</t>
        </is>
      </c>
      <c r="D3613" t="inlineStr">
        <is>
          <t>Sumitomo Mitsui Construction Co., Ltd.,</t>
        </is>
      </c>
      <c r="E3613" t="inlineStr">
        <is>
          <t>Thương lượng</t>
        </is>
      </c>
      <c r="F3613" t="inlineStr">
        <is>
          <t>Hà Nội</t>
        </is>
      </c>
      <c r="G3613" t="inlineStr">
        <is>
          <t>Nhân viên</t>
        </is>
      </c>
      <c r="H3613" t="inlineStr">
        <is>
          <t>24/02/2026</t>
        </is>
      </c>
      <c r="I3613" t="inlineStr">
        <is>
          <t>28/03/2026</t>
        </is>
      </c>
      <c r="J3613" t="inlineStr">
        <is>
          <t>17/03/2026</t>
        </is>
      </c>
      <c r="K3613" t="inlineStr">
        <is>
          <t>N/A</t>
        </is>
      </c>
      <c r="L3613" t="inlineStr">
        <is>
          <t>Autocad, Revit, Structural Analysis, Kết Cấu Công Trình, Shop Drawings</t>
        </is>
      </c>
      <c r="M3613" t="inlineStr">
        <is>
          <t>Bonus, Healthcare Plan, Others</t>
        </is>
      </c>
      <c r="N3613" s="8">
        <f>HYPERLINK("https://www.vietnamworks.com/ky-su-thiet-ke-ket-cau-cong-trinh-dan-dung-va-cong-nghiep-structural-engineer-civil-and-industrial-2013371-jv","Xem chi tiết")</f>
        <v/>
      </c>
    </row>
    <row r="3614">
      <c r="B3614" s="9" t="n">
        <v>3612</v>
      </c>
      <c r="C3614" s="10" t="inlineStr">
        <is>
          <t>Education Market Research &amp; Partnership Builder (Secondary Education In Germany)</t>
        </is>
      </c>
      <c r="D3614" s="10" t="inlineStr">
        <is>
          <t>GEP Education Group Ltd.</t>
        </is>
      </c>
      <c r="E3614" s="10" t="inlineStr">
        <is>
          <t>Thương lượng</t>
        </is>
      </c>
      <c r="F3614" s="10" t="inlineStr">
        <is>
          <t>Quốc tế</t>
        </is>
      </c>
      <c r="G3614" s="10" t="inlineStr">
        <is>
          <t>Nhân viên</t>
        </is>
      </c>
      <c r="H3614" s="10" t="inlineStr">
        <is>
          <t>23/02/2026</t>
        </is>
      </c>
      <c r="I3614" s="10" t="inlineStr">
        <is>
          <t>28/03/2026</t>
        </is>
      </c>
      <c r="J3614" s="10" t="inlineStr">
        <is>
          <t>17/03/2026</t>
        </is>
      </c>
      <c r="K3614" s="10" t="inlineStr">
        <is>
          <t>N/A</t>
        </is>
      </c>
      <c r="L3614" s="10" t="inlineStr">
        <is>
          <t>Business Development, Education Consulting, German, Market Research, Partnership Development</t>
        </is>
      </c>
      <c r="M3614" s="10" t="inlineStr">
        <is>
          <t>Others</t>
        </is>
      </c>
      <c r="N3614" s="11">
        <f>HYPERLINK("https://www.vietnamworks.com/education-market-research-and-partnership-builder-secondary-education-in-germany-2012563-jv","Xem chi tiết")</f>
        <v/>
      </c>
      <c r="O3614" s="10" t="n"/>
    </row>
    <row r="3615">
      <c r="B3615" s="7" t="n">
        <v>3613</v>
      </c>
      <c r="C3615" t="inlineStr">
        <is>
          <t>Academic Branding Specialist</t>
        </is>
      </c>
      <c r="D3615" t="inlineStr">
        <is>
          <t>Công Ty TNHH Giáo Dục Và Đào Tạo Vinacademy</t>
        </is>
      </c>
      <c r="E3615" t="inlineStr">
        <is>
          <t>Thương lượng</t>
        </is>
      </c>
      <c r="F3615" t="inlineStr">
        <is>
          <t>Hà Nội</t>
        </is>
      </c>
      <c r="G3615" t="inlineStr">
        <is>
          <t>Nhân viên</t>
        </is>
      </c>
      <c r="H3615" t="inlineStr">
        <is>
          <t>11/02/2026</t>
        </is>
      </c>
      <c r="I3615" t="inlineStr">
        <is>
          <t>28/03/2026</t>
        </is>
      </c>
      <c r="J3615" t="inlineStr">
        <is>
          <t>17/03/2026</t>
        </is>
      </c>
      <c r="K3615" t="inlineStr">
        <is>
          <t>N/A</t>
        </is>
      </c>
      <c r="L3615" t="inlineStr">
        <is>
          <t>Communication Skills, Content Creation, Corporate Branding, Digital Marketing, Media Relations</t>
        </is>
      </c>
      <c r="M3615" t="inlineStr">
        <is>
          <t>Others</t>
        </is>
      </c>
      <c r="N3615" s="8">
        <f>HYPERLINK("https://www.vietnamworks.com/academic-branding-specialist-2011586-jv","Xem chi tiết")</f>
        <v/>
      </c>
    </row>
    <row r="3616">
      <c r="B3616" s="9" t="n">
        <v>3614</v>
      </c>
      <c r="C3616" s="10" t="inlineStr">
        <is>
          <t>Kiến Trúc Sư (Từ 1 - 3 Năm Kinh Nghiệm) / Architect (1 - 3 Years Experience)</t>
        </is>
      </c>
      <c r="D3616" s="10" t="inlineStr">
        <is>
          <t>Sumitomo Mitsui Construction Co., Ltd.,</t>
        </is>
      </c>
      <c r="E3616" s="10" t="inlineStr">
        <is>
          <t>Thương lượng</t>
        </is>
      </c>
      <c r="F3616" s="10" t="inlineStr">
        <is>
          <t>Hà Nội</t>
        </is>
      </c>
      <c r="G3616" s="10" t="inlineStr">
        <is>
          <t>Nhân viên</t>
        </is>
      </c>
      <c r="H3616" s="10" t="inlineStr">
        <is>
          <t>24/02/2026</t>
        </is>
      </c>
      <c r="I3616" s="10" t="inlineStr">
        <is>
          <t>28/03/2026</t>
        </is>
      </c>
      <c r="J3616" s="10" t="inlineStr">
        <is>
          <t>17/03/2026</t>
        </is>
      </c>
      <c r="K3616" s="10" t="inlineStr">
        <is>
          <t>N/A</t>
        </is>
      </c>
      <c r="L3616" s="10" t="inlineStr">
        <is>
          <t>Autocad, Concept Design, Technical Drawing, Architectural Visualization, Landscape Design</t>
        </is>
      </c>
      <c r="M3616" s="10" t="inlineStr">
        <is>
          <t>Bonus, Healthcare Plan, Others</t>
        </is>
      </c>
      <c r="N3616" s="11">
        <f>HYPERLINK("https://www.vietnamworks.com/kien-truc-su-tu-1-3-nam-kinh-nghiem-architect-1-3-years-experience-2013385-jv","Xem chi tiết")</f>
        <v/>
      </c>
      <c r="O3616" s="10" t="n"/>
    </row>
    <row r="3617">
      <c r="B3617" s="7" t="n">
        <v>3615</v>
      </c>
      <c r="C3617" t="inlineStr">
        <is>
          <t>Senior Paralegal</t>
        </is>
      </c>
      <c r="D3617" t="inlineStr">
        <is>
          <t>Công Ty Luật TNHH Phước Và Các Cộng Sự (Phuoc &amp; Partners Law Firm)</t>
        </is>
      </c>
      <c r="E3617" t="inlineStr">
        <is>
          <t>Thương lượng</t>
        </is>
      </c>
      <c r="F3617" t="inlineStr">
        <is>
          <t>Hồ Chí Minh</t>
        </is>
      </c>
      <c r="G3617" t="inlineStr">
        <is>
          <t>Nhân viên</t>
        </is>
      </c>
      <c r="H3617" t="inlineStr">
        <is>
          <t>23/02/2026</t>
        </is>
      </c>
      <c r="I3617" t="inlineStr">
        <is>
          <t>28/03/2026</t>
        </is>
      </c>
      <c r="J3617" t="inlineStr">
        <is>
          <t>17/03/2026</t>
        </is>
      </c>
      <c r="K3617" t="inlineStr">
        <is>
          <t>N/A</t>
        </is>
      </c>
      <c r="L3617" t="inlineStr">
        <is>
          <t>Investment Law, Enterprise Law, Law Firms, Legal, Luật</t>
        </is>
      </c>
      <c r="M3617" t="inlineStr">
        <is>
          <t>Bonus, Healthcare Plan, Training</t>
        </is>
      </c>
      <c r="N3617" s="8">
        <f>HYPERLINK("https://www.vietnamworks.com/senior-paralegal--2012430-jv","Xem chi tiết")</f>
        <v/>
      </c>
    </row>
    <row r="3618">
      <c r="B3618" s="9" t="n">
        <v>3616</v>
      </c>
      <c r="C3618" s="10" t="inlineStr">
        <is>
          <t>Nhân Viên Đối Ngoại (Thời Vụ 6 Tháng)</t>
        </is>
      </c>
      <c r="D3618" s="10" t="inlineStr">
        <is>
          <t>Công Ty Cổ Phần Tập Đoàn TH</t>
        </is>
      </c>
      <c r="E3618" s="10" t="inlineStr">
        <is>
          <t>Thương lượng</t>
        </is>
      </c>
      <c r="F3618" s="10" t="inlineStr">
        <is>
          <t>Hà Nội</t>
        </is>
      </c>
      <c r="G3618" s="10" t="inlineStr">
        <is>
          <t>Nhân viên</t>
        </is>
      </c>
      <c r="H3618" s="10" t="inlineStr">
        <is>
          <t>25/02/2026</t>
        </is>
      </c>
      <c r="I3618" s="10" t="inlineStr">
        <is>
          <t>28/03/2026</t>
        </is>
      </c>
      <c r="J3618" s="10" t="inlineStr">
        <is>
          <t>17/03/2026</t>
        </is>
      </c>
      <c r="K3618" s="10" t="inlineStr">
        <is>
          <t>N/A</t>
        </is>
      </c>
      <c r="L3618" s="10" t="inlineStr">
        <is>
          <t>Communications, Corporate Affairs</t>
        </is>
      </c>
      <c r="M3618" s="10" t="inlineStr">
        <is>
          <t>Healthcare Plan</t>
        </is>
      </c>
      <c r="N3618" s="11">
        <f>HYPERLINK("https://www.vietnamworks.com/nhan-vien-doi-ngoai-thoi-vu-6-thang-2013794-jv","Xem chi tiết")</f>
        <v/>
      </c>
      <c r="O3618" s="10" t="n"/>
    </row>
    <row r="3619">
      <c r="B3619" s="7" t="n">
        <v>3617</v>
      </c>
      <c r="C3619" t="inlineStr">
        <is>
          <t>Trưởng Kinh Doanh Khu Vực - Area Sales Manager</t>
        </is>
      </c>
      <c r="D3619" t="inlineStr">
        <is>
          <t>CÔNG TY TNHH SƠN DURA VIỆT NAM</t>
        </is>
      </c>
      <c r="E3619" t="inlineStr">
        <is>
          <t>Từ 17tr ₫/tháng</t>
        </is>
      </c>
      <c r="F3619" t="inlineStr">
        <is>
          <t>Bắc Ninh, Hồ Chí Minh, ĐBSCL</t>
        </is>
      </c>
      <c r="G3619" t="inlineStr">
        <is>
          <t>Nhân viên</t>
        </is>
      </c>
      <c r="H3619" t="inlineStr">
        <is>
          <t>25/02/2026</t>
        </is>
      </c>
      <c r="I3619" t="inlineStr">
        <is>
          <t>28/03/2026</t>
        </is>
      </c>
      <c r="J3619" t="inlineStr">
        <is>
          <t>17/03/2026</t>
        </is>
      </c>
      <c r="K3619" t="inlineStr">
        <is>
          <t>N/A</t>
        </is>
      </c>
      <c r="L3619" t="inlineStr">
        <is>
          <t>Kiến Trúc Công Trình, Tư Vấn Giải Pháp, Vật liệu xây dựng, Sơn chống thấm, Sales Consultant</t>
        </is>
      </c>
      <c r="M3619" t="inlineStr">
        <is>
          <t>Bonus, Healthcare Plan, Training, Transportation, Others</t>
        </is>
      </c>
      <c r="N3619" s="8">
        <f>HYPERLINK("https://www.vietnamworks.com/truong-kinh-doanh-khu-vuc-area-sales-manager-2013929-jv","Xem chi tiết")</f>
        <v/>
      </c>
    </row>
    <row r="3620">
      <c r="B3620" s="9" t="n">
        <v>3618</v>
      </c>
      <c r="C3620" s="10" t="inlineStr">
        <is>
          <t>Korean IT Comtor</t>
        </is>
      </c>
      <c r="D3620" s="10" t="inlineStr">
        <is>
          <t>MAI &amp; PARTNERS.,LTD</t>
        </is>
      </c>
      <c r="E3620" s="10" t="inlineStr">
        <is>
          <t>$$ 1,000-1,500 /tháng</t>
        </is>
      </c>
      <c r="F3620" s="10" t="inlineStr">
        <is>
          <t>Hà Nội</t>
        </is>
      </c>
      <c r="G3620" s="10" t="inlineStr">
        <is>
          <t>Nhân viên</t>
        </is>
      </c>
      <c r="H3620" s="10" t="inlineStr">
        <is>
          <t>11/02/2026</t>
        </is>
      </c>
      <c r="I3620" s="10" t="inlineStr">
        <is>
          <t>28/03/2026</t>
        </is>
      </c>
      <c r="J3620" s="10" t="inlineStr">
        <is>
          <t>17/03/2026</t>
        </is>
      </c>
      <c r="K3620" s="10" t="inlineStr">
        <is>
          <t>N/A</t>
        </is>
      </c>
      <c r="L3620" s="10" t="inlineStr">
        <is>
          <t>Korean Language, IT Communications, Biên Phiên Dịch, Interpretation, Communication</t>
        </is>
      </c>
      <c r="M3620" s="10" t="inlineStr">
        <is>
          <t>Bonus, Training, Others</t>
        </is>
      </c>
      <c r="N3620" s="11">
        <f>HYPERLINK("https://www.vietnamworks.com/korean-it-comtor--2011585-jv","Xem chi tiết")</f>
        <v/>
      </c>
      <c r="O3620" s="10" t="n"/>
    </row>
    <row r="3621">
      <c r="B3621" s="7" t="n">
        <v>3619</v>
      </c>
      <c r="C3621" t="inlineStr">
        <is>
          <t>Quality Manager</t>
        </is>
      </c>
      <c r="D3621" t="inlineStr">
        <is>
          <t>Công Ty TNHH Sản Xuất Winfone Việt Nam</t>
        </is>
      </c>
      <c r="E3621" t="inlineStr">
        <is>
          <t>Thương lượng</t>
        </is>
      </c>
      <c r="F3621" t="inlineStr">
        <is>
          <t>Hồ Chí Minh, Long An</t>
        </is>
      </c>
      <c r="G3621" t="inlineStr">
        <is>
          <t>Trưởng phòng</t>
        </is>
      </c>
      <c r="H3621" t="inlineStr">
        <is>
          <t>25/02/2026</t>
        </is>
      </c>
      <c r="I3621" t="inlineStr">
        <is>
          <t>28/03/2026</t>
        </is>
      </c>
      <c r="J3621" t="inlineStr">
        <is>
          <t>17/03/2026</t>
        </is>
      </c>
      <c r="K3621" t="inlineStr">
        <is>
          <t>N/A</t>
        </is>
      </c>
      <c r="L3621" t="inlineStr">
        <is>
          <t>Quality Management, ISO9001 standards, Iway Compliance, Continuous Improvement, Customer audits</t>
        </is>
      </c>
      <c r="M3621" t="inlineStr">
        <is>
          <t>Bonus, Healthcare Plan, Paid Leave</t>
        </is>
      </c>
      <c r="N3621" s="8">
        <f>HYPERLINK("https://www.vietnamworks.com/quality-manager-2013942-jv","Xem chi tiết")</f>
        <v/>
      </c>
    </row>
    <row r="3622">
      <c r="B3622" s="9" t="n">
        <v>3620</v>
      </c>
      <c r="C3622" s="10" t="inlineStr">
        <is>
          <t>Hanoi Sales Executive (Shipping Line)</t>
        </is>
      </c>
      <c r="D3622" s="10" t="inlineStr">
        <is>
          <t>Công Ty TNHH CK Line (Việt Nam)</t>
        </is>
      </c>
      <c r="E3622" s="10" t="inlineStr">
        <is>
          <t>Thương lượng</t>
        </is>
      </c>
      <c r="F3622" s="10" t="inlineStr">
        <is>
          <t>Hà Nội</t>
        </is>
      </c>
      <c r="G3622" s="10" t="inlineStr">
        <is>
          <t>Nhân viên</t>
        </is>
      </c>
      <c r="H3622" s="10" t="inlineStr">
        <is>
          <t>25/02/2026</t>
        </is>
      </c>
      <c r="I3622" s="10" t="inlineStr">
        <is>
          <t>28/03/2026</t>
        </is>
      </c>
      <c r="J3622" s="10" t="inlineStr">
        <is>
          <t>17/03/2026</t>
        </is>
      </c>
      <c r="K3622" s="10" t="inlineStr">
        <is>
          <t>N/A</t>
        </is>
      </c>
      <c r="L3622" s="10" t="inlineStr">
        <is>
          <t>Sales, Customer Experience Management, Market Survey, Kinh Doanh, Logistic Forwarding</t>
        </is>
      </c>
      <c r="M3622" s="10" t="inlineStr">
        <is>
          <t>Bonus, Paid Leave, Travel Opportunities, Others</t>
        </is>
      </c>
      <c r="N3622" s="11">
        <f>HYPERLINK("https://www.vietnamworks.com/hanoi-sales-executive-shipping-line-2014094-jv","Xem chi tiết")</f>
        <v/>
      </c>
      <c r="O3622" s="10" t="n"/>
    </row>
    <row r="3623">
      <c r="B3623" s="7" t="n">
        <v>3621</v>
      </c>
      <c r="C3623" t="inlineStr">
        <is>
          <t>Bán Hàng Dự Án - Project Sales Executive</t>
        </is>
      </c>
      <c r="D3623" t="inlineStr">
        <is>
          <t>CÔNG TY TNHH SƠN DURA VIỆT NAM</t>
        </is>
      </c>
      <c r="E3623" t="inlineStr">
        <is>
          <t>Từ 17tr ₫/tháng</t>
        </is>
      </c>
      <c r="F3623" t="inlineStr">
        <is>
          <t>Hồ Chí Minh</t>
        </is>
      </c>
      <c r="G3623" t="inlineStr">
        <is>
          <t>Nhân viên</t>
        </is>
      </c>
      <c r="H3623" t="inlineStr">
        <is>
          <t>25/02/2026</t>
        </is>
      </c>
      <c r="I3623" t="inlineStr">
        <is>
          <t>28/03/2026</t>
        </is>
      </c>
      <c r="J3623" t="inlineStr">
        <is>
          <t>17/03/2026</t>
        </is>
      </c>
      <c r="K3623" t="inlineStr">
        <is>
          <t>N/A</t>
        </is>
      </c>
      <c r="L3623" t="inlineStr">
        <is>
          <t>Sales project management, Bán Hàng Dự Án, Vật liệu xây dựng, Sơn chống thấm, Sơn Nước Nội Thất</t>
        </is>
      </c>
      <c r="M3623" t="inlineStr">
        <is>
          <t>Bonus, Healthcare Plan, Training, Transportation, Others</t>
        </is>
      </c>
      <c r="N3623" s="8">
        <f>HYPERLINK("https://www.vietnamworks.com/ban-hang-du-an-project-sales-executive-2013941-jv","Xem chi tiết")</f>
        <v/>
      </c>
    </row>
    <row r="3624">
      <c r="B3624" s="9" t="n">
        <v>3622</v>
      </c>
      <c r="C3624" s="10" t="inlineStr">
        <is>
          <t>Chuyên Viên Tiếng Trung - HSK 6 (Được Đào Tạo Nghiệp Vụ Xuất Nhập Khẩu)</t>
        </is>
      </c>
      <c r="D3624" s="10" t="inlineStr">
        <is>
          <t>Công Ty Cổ Phần Thiết Bị Máy Công Trình Á Châu</t>
        </is>
      </c>
      <c r="E3624" s="10" t="inlineStr">
        <is>
          <t>20tr-25tr ₫/tháng</t>
        </is>
      </c>
      <c r="F3624" s="10" t="inlineStr">
        <is>
          <t>Hà Nội</t>
        </is>
      </c>
      <c r="G3624" s="10" t="inlineStr">
        <is>
          <t>Nhân viên</t>
        </is>
      </c>
      <c r="H3624" s="10" t="inlineStr">
        <is>
          <t>25/02/2026</t>
        </is>
      </c>
      <c r="I3624" s="10" t="inlineStr">
        <is>
          <t>28/03/2026</t>
        </is>
      </c>
      <c r="J3624" s="10" t="inlineStr">
        <is>
          <t>17/03/2026</t>
        </is>
      </c>
      <c r="K3624" s="10" t="inlineStr">
        <is>
          <t>N/A</t>
        </is>
      </c>
      <c r="L3624" s="10" t="inlineStr">
        <is>
          <t>Tiếng Trung, Logistic Quốc Tế, HSK 6, Xuất Nhập Khẩu &amp; Logistics, Supply Chain Logistics</t>
        </is>
      </c>
      <c r="M3624" s="10" t="inlineStr">
        <is>
          <t>Bonus, Healthcare Plan, Awards, Travel Opportunities, Others</t>
        </is>
      </c>
      <c r="N3624" s="11">
        <f>HYPERLINK("https://www.vietnamworks.com/chuyen-vien-tieng-trung-hsk-6-duoc-dao-tao-nghiep-vu-xuat-nhap-khau-2013980-jv","Xem chi tiết")</f>
        <v/>
      </c>
      <c r="O3624" s="10" t="n"/>
    </row>
    <row r="3625">
      <c r="B3625" s="7" t="n">
        <v>3623</v>
      </c>
      <c r="C3625" t="inlineStr">
        <is>
          <t>Sales and Business Development</t>
        </is>
      </c>
      <c r="D3625" t="inlineStr">
        <is>
          <t>Công Ty TNHH Sản Xuất Winfone Việt Nam</t>
        </is>
      </c>
      <c r="E3625" t="inlineStr">
        <is>
          <t>Thương lượng</t>
        </is>
      </c>
      <c r="F3625" t="inlineStr">
        <is>
          <t>Hồ Chí Minh, Long An</t>
        </is>
      </c>
      <c r="G3625" t="inlineStr">
        <is>
          <t>Nhân viên</t>
        </is>
      </c>
      <c r="H3625" t="inlineStr">
        <is>
          <t>25/02/2026</t>
        </is>
      </c>
      <c r="I3625" t="inlineStr">
        <is>
          <t>28/03/2026</t>
        </is>
      </c>
      <c r="J3625" t="inlineStr">
        <is>
          <t>17/03/2026</t>
        </is>
      </c>
      <c r="K3625" t="inlineStr">
        <is>
          <t>N/A</t>
        </is>
      </c>
      <c r="L3625" t="inlineStr">
        <is>
          <t>Business Development, Project Management, Customer Communication, Sales Strategy, English Fluency</t>
        </is>
      </c>
      <c r="M3625" t="inlineStr">
        <is>
          <t>Bonus, Healthcare Plan, Paid Leave</t>
        </is>
      </c>
      <c r="N3625" s="8">
        <f>HYPERLINK("https://www.vietnamworks.com/sales-and-business-development-2013953-jv","Xem chi tiết")</f>
        <v/>
      </c>
    </row>
    <row r="3626">
      <c r="B3626" s="9" t="n">
        <v>3624</v>
      </c>
      <c r="C3626" s="10" t="inlineStr">
        <is>
          <t>Kế Toán Trưởng</t>
        </is>
      </c>
      <c r="D3626" s="10" t="inlineStr">
        <is>
          <t>Công ty Cổ Phần Dược Phẩm HND</t>
        </is>
      </c>
      <c r="E3626" s="10" t="inlineStr">
        <is>
          <t>20tr-25tr ₫/tháng</t>
        </is>
      </c>
      <c r="F3626" s="10" t="inlineStr">
        <is>
          <t>Hà Nội</t>
        </is>
      </c>
      <c r="G3626" s="10" t="inlineStr">
        <is>
          <t>Trưởng phòng</t>
        </is>
      </c>
      <c r="H3626" s="10" t="inlineStr">
        <is>
          <t>25/02/2026</t>
        </is>
      </c>
      <c r="I3626" s="10" t="inlineStr">
        <is>
          <t>28/03/2026</t>
        </is>
      </c>
      <c r="J3626" s="10" t="inlineStr">
        <is>
          <t>17/03/2026</t>
        </is>
      </c>
      <c r="K3626" s="10" t="inlineStr">
        <is>
          <t>N/A</t>
        </is>
      </c>
      <c r="L3626" s="10" t="inlineStr">
        <is>
          <t>Giao Tiếp, Kế Toán, Phân Tích Tài Chính, Quản Lý Ngân Sách, Tài Chính</t>
        </is>
      </c>
      <c r="M3626" s="10" t="inlineStr">
        <is>
          <t>Healthcare Plan, Training, Team Activities, Others</t>
        </is>
      </c>
      <c r="N3626" s="11">
        <f>HYPERLINK("https://www.vietnamworks.com/ke-toan-truong-2013975-jv","Xem chi tiết")</f>
        <v/>
      </c>
      <c r="O3626" s="10" t="n"/>
    </row>
    <row r="3627">
      <c r="B3627" s="7" t="n">
        <v>3625</v>
      </c>
      <c r="C3627" t="inlineStr">
        <is>
          <t>Production Supervisor</t>
        </is>
      </c>
      <c r="D3627" t="inlineStr">
        <is>
          <t>Công Ty TNHH Amphenol Highspeed IO Technology Việt Nam</t>
        </is>
      </c>
      <c r="E3627" t="inlineStr">
        <is>
          <t>Thương lượng</t>
        </is>
      </c>
      <c r="F3627" t="inlineStr">
        <is>
          <t>Bắc Ninh</t>
        </is>
      </c>
      <c r="G3627" t="inlineStr">
        <is>
          <t>Trưởng phòng</t>
        </is>
      </c>
      <c r="H3627" t="inlineStr">
        <is>
          <t>25/02/2026</t>
        </is>
      </c>
      <c r="I3627" t="inlineStr">
        <is>
          <t>27/03/2026</t>
        </is>
      </c>
      <c r="J3627" t="inlineStr">
        <is>
          <t>17/03/2026</t>
        </is>
      </c>
      <c r="K3627" t="inlineStr">
        <is>
          <t>N/A</t>
        </is>
      </c>
      <c r="L3627" t="inlineStr">
        <is>
          <t>Electronics, Production</t>
        </is>
      </c>
      <c r="M3627" t="inlineStr">
        <is>
          <t>Bonus, Paid Leave, Training</t>
        </is>
      </c>
      <c r="N3627" s="8">
        <f>HYPERLINK("https://www.vietnamworks.com/production-supervisor--2014070-jv","Xem chi tiết")</f>
        <v/>
      </c>
    </row>
    <row r="3628">
      <c r="B3628" s="9" t="n">
        <v>3626</v>
      </c>
      <c r="C3628" s="10" t="inlineStr">
        <is>
          <t>Sales Assistant</t>
        </is>
      </c>
      <c r="D3628" s="10" t="inlineStr">
        <is>
          <t>Poetic Garden Furniture</t>
        </is>
      </c>
      <c r="E3628" s="10" t="inlineStr">
        <is>
          <t>Từ 16tr ₫/tháng</t>
        </is>
      </c>
      <c r="F3628" s="10" t="inlineStr">
        <is>
          <t>Hồ Chí Minh</t>
        </is>
      </c>
      <c r="G3628" s="10" t="inlineStr">
        <is>
          <t>Nhân viên</t>
        </is>
      </c>
      <c r="H3628" s="10" t="inlineStr">
        <is>
          <t>25/02/2026</t>
        </is>
      </c>
      <c r="I3628" s="10" t="inlineStr">
        <is>
          <t>28/03/2026</t>
        </is>
      </c>
      <c r="J3628" s="10" t="inlineStr">
        <is>
          <t>17/03/2026</t>
        </is>
      </c>
      <c r="K3628" s="10" t="inlineStr">
        <is>
          <t>N/A</t>
        </is>
      </c>
      <c r="L3628" s="10" t="inlineStr">
        <is>
          <t>Sales Development, Client Service Management, Interior Design, Customer Service, English Communication</t>
        </is>
      </c>
      <c r="M3628" s="10" t="inlineStr">
        <is>
          <t>Bonus, Training, Others</t>
        </is>
      </c>
      <c r="N3628" s="11">
        <f>HYPERLINK("https://www.vietnamworks.com/sales-assistant-2014090-jv","Xem chi tiết")</f>
        <v/>
      </c>
      <c r="O3628" s="10" t="n"/>
    </row>
    <row r="3629">
      <c r="B3629" s="7" t="n">
        <v>3627</v>
      </c>
      <c r="C3629" t="inlineStr">
        <is>
          <t>Trưởng Phòng Phân Tích (Khối Doanh Nghiệp Phi Tài Chính)</t>
        </is>
      </c>
      <c r="D3629" t="inlineStr">
        <is>
          <t>CÔNG TY CỔ PHẦN XẾP HẠNG TÍN NHIỆM THIÊN MINH</t>
        </is>
      </c>
      <c r="E3629" t="inlineStr">
        <is>
          <t>Thương lượng</t>
        </is>
      </c>
      <c r="F3629" t="inlineStr">
        <is>
          <t>Hà Nội</t>
        </is>
      </c>
      <c r="G3629" t="inlineStr">
        <is>
          <t>Trưởng phòng</t>
        </is>
      </c>
      <c r="H3629" t="inlineStr">
        <is>
          <t>25/02/2026</t>
        </is>
      </c>
      <c r="I3629" t="inlineStr">
        <is>
          <t>28/03/2026</t>
        </is>
      </c>
      <c r="J3629" t="inlineStr">
        <is>
          <t>17/03/2026</t>
        </is>
      </c>
      <c r="K3629" t="inlineStr">
        <is>
          <t>N/A</t>
        </is>
      </c>
      <c r="L3629" t="inlineStr">
        <is>
          <t>Phân Tích Tài Chính, Quản Lý Rủi Ro, Thẩm Định Tín Dụng, Tiếng Anh, Tài Chính Kế Toán</t>
        </is>
      </c>
      <c r="M3629" t="inlineStr">
        <is>
          <t>Bonus, Healthcare Plan, Travel Opportunities</t>
        </is>
      </c>
      <c r="N3629" s="8">
        <f>HYPERLINK("https://www.vietnamworks.com/truong-phong-phan-tich-khoi-doanh-nghiep-phi-tai-chinh-2013987-jv","Xem chi tiết")</f>
        <v/>
      </c>
    </row>
    <row r="3630">
      <c r="B3630" s="9" t="n">
        <v>3628</v>
      </c>
      <c r="C3630" s="10" t="inlineStr">
        <is>
          <t>Chuyên Viên Giao Dịch Thương Mại</t>
        </is>
      </c>
      <c r="D3630" s="10" t="inlineStr">
        <is>
          <t>Vietnamworks' Client</t>
        </is>
      </c>
      <c r="E3630" s="10" t="inlineStr">
        <is>
          <t>23tr-27tr ₫/tháng</t>
        </is>
      </c>
      <c r="F3630" s="10" t="inlineStr">
        <is>
          <t>Hà Nội</t>
        </is>
      </c>
      <c r="G3630" s="10" t="inlineStr">
        <is>
          <t>Nhân viên</t>
        </is>
      </c>
      <c r="H3630" s="10" t="inlineStr">
        <is>
          <t>25/02/2026</t>
        </is>
      </c>
      <c r="I3630" s="10" t="inlineStr">
        <is>
          <t>28/03/2026</t>
        </is>
      </c>
      <c r="J3630" s="10" t="inlineStr">
        <is>
          <t>17/03/2026</t>
        </is>
      </c>
      <c r="K3630" s="10" t="inlineStr">
        <is>
          <t>N/A</t>
        </is>
      </c>
      <c r="L3630" s="10" t="inlineStr">
        <is>
          <t>Tiếng Anh, Kinh Doanh Khoáng Sản, Quản Lý Hợp Đồng, Thương Mại Quốc Tế, Đấu Thầu</t>
        </is>
      </c>
      <c r="M3630" s="10" t="inlineStr">
        <is>
          <t>Bonus, Others</t>
        </is>
      </c>
      <c r="N3630" s="11">
        <f>HYPERLINK("https://www.vietnamworks.com/chuyen-vien-giao-dich-thuong-mai-2014072-jv","Xem chi tiết")</f>
        <v/>
      </c>
      <c r="O3630" s="10" t="n"/>
    </row>
    <row r="3631">
      <c r="B3631" s="7" t="n">
        <v>3629</v>
      </c>
      <c r="C3631" t="inlineStr">
        <is>
          <t>Owner Relations Officer</t>
        </is>
      </c>
      <c r="D3631" t="inlineStr">
        <is>
          <t>The Ocean Resort</t>
        </is>
      </c>
      <c r="E3631" t="inlineStr">
        <is>
          <t>Thương lượng</t>
        </is>
      </c>
      <c r="F3631" t="inlineStr">
        <is>
          <t>Đà Nẵng</t>
        </is>
      </c>
      <c r="G3631" t="inlineStr">
        <is>
          <t>Nhân viên</t>
        </is>
      </c>
      <c r="H3631" t="inlineStr">
        <is>
          <t>25/02/2026</t>
        </is>
      </c>
      <c r="I3631" t="inlineStr">
        <is>
          <t>28/03/2026</t>
        </is>
      </c>
      <c r="J3631" t="inlineStr">
        <is>
          <t>17/03/2026</t>
        </is>
      </c>
      <c r="K3631" t="inlineStr">
        <is>
          <t>N/A</t>
        </is>
      </c>
      <c r="L3631" t="inlineStr">
        <is>
          <t>Customer Service, Hotel Management, Guest Service, Owner Relation, Reservation</t>
        </is>
      </c>
      <c r="M3631" t="inlineStr">
        <is>
          <t>Bonus, Healthcare Plan, Paid Leave</t>
        </is>
      </c>
      <c r="N3631" s="8">
        <f>HYPERLINK("https://www.vietnamworks.com/owner-relations-officer--2014059-jv","Xem chi tiết")</f>
        <v/>
      </c>
    </row>
    <row r="3632">
      <c r="B3632" s="9" t="n">
        <v>3630</v>
      </c>
      <c r="C3632" s="10" t="inlineStr">
        <is>
          <t>Kỹ Sư Thiết Kế Hệ Thống Cấp Thoát Nước</t>
        </is>
      </c>
      <c r="D3632" s="10" t="inlineStr">
        <is>
          <t>PTA Asia Consultants Co., Ltd</t>
        </is>
      </c>
      <c r="E3632" s="10" t="inlineStr">
        <is>
          <t>Thương lượng</t>
        </is>
      </c>
      <c r="F3632" s="10" t="inlineStr">
        <is>
          <t>Hà Nội</t>
        </is>
      </c>
      <c r="G3632" s="10" t="inlineStr">
        <is>
          <t>Nhân viên</t>
        </is>
      </c>
      <c r="H3632" s="10" t="inlineStr">
        <is>
          <t>25/02/2026</t>
        </is>
      </c>
      <c r="I3632" s="10" t="inlineStr">
        <is>
          <t>28/03/2026</t>
        </is>
      </c>
      <c r="J3632" s="10" t="inlineStr">
        <is>
          <t>17/03/2026</t>
        </is>
      </c>
      <c r="K3632" s="10" t="inlineStr">
        <is>
          <t>N/A</t>
        </is>
      </c>
      <c r="L3632" s="10" t="inlineStr">
        <is>
          <t>AutoCAD, Bóc Tách Khối Lượng, Cấp Thoát Nước, Revit MEP, Thiết Kế Bản Vẽ</t>
        </is>
      </c>
      <c r="M3632" s="10" t="inlineStr">
        <is>
          <t>Bonus, Healthcare Plan, Paid Leave, Training</t>
        </is>
      </c>
      <c r="N3632" s="11">
        <f>HYPERLINK("https://www.vietnamworks.com/ky-su-thiet-ke-he-thong-cap-thoat-nuoc-2013986-jv","Xem chi tiết")</f>
        <v/>
      </c>
      <c r="O3632" s="10" t="n"/>
    </row>
    <row r="3633">
      <c r="B3633" s="7" t="n">
        <v>3631</v>
      </c>
      <c r="C3633" t="inlineStr">
        <is>
          <t>Nhân Viên Kỹ Thuật (Chấp Nhận Sinh Viên Mới Tốt Nghiệp)</t>
        </is>
      </c>
      <c r="D3633" t="inlineStr">
        <is>
          <t>CÔNG TY TNHH KỸ THUẬT MEV VIỆT NAM</t>
        </is>
      </c>
      <c r="E3633" t="inlineStr">
        <is>
          <t>11tr-18tr ₫/tháng</t>
        </is>
      </c>
      <c r="F3633" t="inlineStr">
        <is>
          <t>Hà Nội</t>
        </is>
      </c>
      <c r="G3633" t="inlineStr">
        <is>
          <t>Mới Tốt Nghiệp</t>
        </is>
      </c>
      <c r="H3633" t="inlineStr">
        <is>
          <t>25/02/2026</t>
        </is>
      </c>
      <c r="I3633" t="inlineStr">
        <is>
          <t>28/03/2026</t>
        </is>
      </c>
      <c r="J3633" t="inlineStr">
        <is>
          <t>17/03/2026</t>
        </is>
      </c>
      <c r="K3633" t="inlineStr">
        <is>
          <t>N/A</t>
        </is>
      </c>
      <c r="L3633" t="inlineStr">
        <is>
          <t>Kỹ Thuật Điện, Kỹ Thuật Điện Tử, Cơ Khí Chế Tạo Máy, Mechanical Maintenance, Engineering Technician</t>
        </is>
      </c>
      <c r="M3633" t="inlineStr">
        <is>
          <t>Bonus, Healthcare Plan, Training, Team Activities, Canteen, Others</t>
        </is>
      </c>
      <c r="N3633" s="8">
        <f>HYPERLINK("https://www.vietnamworks.com/nhan-vien-ky-thuat-chap-nhan-sinh-vien-moi-tot-nghiep-2014145-jv","Xem chi tiết")</f>
        <v/>
      </c>
    </row>
    <row r="3634">
      <c r="B3634" s="9" t="n">
        <v>3632</v>
      </c>
      <c r="C3634" s="10" t="inlineStr">
        <is>
          <t>Finish Winding Manager</t>
        </is>
      </c>
      <c r="D3634" s="10" t="inlineStr">
        <is>
          <t>Công Ty TNHH Chỉ May American &amp; Efird Việt Nam</t>
        </is>
      </c>
      <c r="E3634" s="10" t="inlineStr">
        <is>
          <t>Thương lượng</t>
        </is>
      </c>
      <c r="F3634" s="10" t="inlineStr">
        <is>
          <t>Đồng Nai</t>
        </is>
      </c>
      <c r="G3634" s="10" t="inlineStr">
        <is>
          <t>Trưởng phòng</t>
        </is>
      </c>
      <c r="H3634" s="10" t="inlineStr">
        <is>
          <t>26/02/2026</t>
        </is>
      </c>
      <c r="I3634" s="10" t="inlineStr">
        <is>
          <t>28/03/2026</t>
        </is>
      </c>
      <c r="J3634" s="10" t="inlineStr">
        <is>
          <t>17/03/2026</t>
        </is>
      </c>
      <c r="K3634" s="10" t="inlineStr">
        <is>
          <t>N/A</t>
        </is>
      </c>
      <c r="L3634" s="10" t="inlineStr">
        <is>
          <t>Communication Skills, Excel Proficiency, Interpersonal Communication, Pressure Tolerance, Workflow Management</t>
        </is>
      </c>
      <c r="M3634" s="10" t="inlineStr">
        <is>
          <t>Bonus, Healthcare Plan, Awards, Laptop, Travel Opportunities, Team Activities, Transportation, Canteen</t>
        </is>
      </c>
      <c r="N3634" s="11">
        <f>HYPERLINK("https://www.vietnamworks.com/finish-winding-manager-2014164-jv","Xem chi tiết")</f>
        <v/>
      </c>
      <c r="O3634" s="10" t="n"/>
    </row>
    <row r="3635">
      <c r="B3635" s="7" t="n">
        <v>3633</v>
      </c>
      <c r="C3635" t="inlineStr">
        <is>
          <t>Sale Executive / Nhân Viên Kinh Doanh</t>
        </is>
      </c>
      <c r="D3635" t="inlineStr">
        <is>
          <t>CÔNG TY TNHH JAY JAY VINA</t>
        </is>
      </c>
      <c r="E3635" t="inlineStr">
        <is>
          <t>Thương lượng</t>
        </is>
      </c>
      <c r="F3635" t="inlineStr">
        <is>
          <t>Hồ Chí Minh</t>
        </is>
      </c>
      <c r="G3635" t="inlineStr">
        <is>
          <t>Mới Tốt Nghiệp</t>
        </is>
      </c>
      <c r="H3635" t="inlineStr">
        <is>
          <t>25/02/2026</t>
        </is>
      </c>
      <c r="I3635" t="inlineStr">
        <is>
          <t>28/03/2026</t>
        </is>
      </c>
      <c r="J3635" t="inlineStr">
        <is>
          <t>17/03/2026</t>
        </is>
      </c>
      <c r="K3635" t="inlineStr">
        <is>
          <t>N/A</t>
        </is>
      </c>
      <c r="L3635" t="inlineStr">
        <is>
          <t>Market Research, English Communication, Sales Planning, Bán Hàng Dệt May, Chemical Engineering</t>
        </is>
      </c>
      <c r="M3635" t="inlineStr">
        <is>
          <t>Bonus, Healthcare Plan, Paid Leave, Awards, Others</t>
        </is>
      </c>
      <c r="N3635" s="8">
        <f>HYPERLINK("https://www.vietnamworks.com/sale-executive-nhan-vien-kinh-doanh-2014096-jv","Xem chi tiết")</f>
        <v/>
      </c>
    </row>
    <row r="3636">
      <c r="B3636" s="9" t="n">
        <v>3634</v>
      </c>
      <c r="C3636" s="10" t="inlineStr">
        <is>
          <t>Project Engineer - Kỹ Sư Dự Án</t>
        </is>
      </c>
      <c r="D3636" s="10" t="inlineStr">
        <is>
          <t>Lantro (Viet Nam) CO., LTD</t>
        </is>
      </c>
      <c r="E3636" s="10" t="inlineStr">
        <is>
          <t>Thương lượng</t>
        </is>
      </c>
      <c r="F3636" s="10" t="inlineStr">
        <is>
          <t>Hồ Chí Minh</t>
        </is>
      </c>
      <c r="G3636" s="10" t="inlineStr">
        <is>
          <t>Nhân viên</t>
        </is>
      </c>
      <c r="H3636" s="10" t="inlineStr">
        <is>
          <t>25/02/2026</t>
        </is>
      </c>
      <c r="I3636" s="10" t="inlineStr">
        <is>
          <t>28/03/2026</t>
        </is>
      </c>
      <c r="J3636" s="10" t="inlineStr">
        <is>
          <t>17/03/2026</t>
        </is>
      </c>
      <c r="K3636" s="10" t="inlineStr">
        <is>
          <t>N/A</t>
        </is>
      </c>
      <c r="L3636" s="10" t="inlineStr">
        <is>
          <t>Cable Network, An Ninh Mạng, IT Infrastructure, Server Administration, Tư Vấn Kỹ Thuật</t>
        </is>
      </c>
      <c r="M3636" s="10" t="inlineStr">
        <is>
          <t>Bonus, Healthcare Plan, Paid Leave, Training, Team Activities, Others</t>
        </is>
      </c>
      <c r="N3636" s="11">
        <f>HYPERLINK("https://www.vietnamworks.com/project-engineer-ky-su-du-an-2014102-jv","Xem chi tiết")</f>
        <v/>
      </c>
      <c r="O3636" s="10" t="n"/>
    </row>
    <row r="3637">
      <c r="B3637" s="7" t="n">
        <v>3635</v>
      </c>
      <c r="C3637" t="inlineStr">
        <is>
          <t>VIETNAMESE LANGUAGE TEACHER (Middle School &amp; Upper School)</t>
        </is>
      </c>
      <c r="D3637" t="inlineStr">
        <is>
          <t>Dwight School Hanoi</t>
        </is>
      </c>
      <c r="E3637" t="inlineStr">
        <is>
          <t>Thương lượng</t>
        </is>
      </c>
      <c r="F3637" t="inlineStr">
        <is>
          <t>Hà Nội</t>
        </is>
      </c>
      <c r="G3637" t="inlineStr">
        <is>
          <t>Nhân viên</t>
        </is>
      </c>
      <c r="H3637" t="inlineStr">
        <is>
          <t>26/02/2026</t>
        </is>
      </c>
      <c r="I3637" t="inlineStr">
        <is>
          <t>28/03/2026</t>
        </is>
      </c>
      <c r="J3637" t="inlineStr">
        <is>
          <t>17/03/2026</t>
        </is>
      </c>
      <c r="K3637" t="inlineStr">
        <is>
          <t>N/A</t>
        </is>
      </c>
      <c r="L3637" t="inlineStr">
        <is>
          <t>Curriculum Development, English Fluency, Ib Programme Experience, Teaching, Vietnamese fluency</t>
        </is>
      </c>
      <c r="M3637" t="inlineStr">
        <is>
          <t>Bonus, Healthcare Plan, Training</t>
        </is>
      </c>
      <c r="N3637" s="8">
        <f>HYPERLINK("https://www.vietnamworks.com/vietnamese-language-teacher-middle-school-and-upper-school-2014166-jv","Xem chi tiết")</f>
        <v/>
      </c>
    </row>
    <row r="3638">
      <c r="B3638" s="9" t="n">
        <v>3636</v>
      </c>
      <c r="C3638" s="10" t="inlineStr">
        <is>
          <t>Chuyên Viên Thu Hút Nhân Tài (Talent Acquisition Specialist)</t>
        </is>
      </c>
      <c r="D3638" s="10" t="inlineStr">
        <is>
          <t>Tập Đoàn Đất Xanh</t>
        </is>
      </c>
      <c r="E3638" s="10" t="inlineStr">
        <is>
          <t>Thương lượng</t>
        </is>
      </c>
      <c r="F3638" s="10" t="inlineStr">
        <is>
          <t>Hồ Chí Minh</t>
        </is>
      </c>
      <c r="G3638" s="10" t="inlineStr">
        <is>
          <t>Nhân viên</t>
        </is>
      </c>
      <c r="H3638" s="10" t="inlineStr">
        <is>
          <t>26/02/2026</t>
        </is>
      </c>
      <c r="I3638" s="10" t="inlineStr">
        <is>
          <t>28/03/2026</t>
        </is>
      </c>
      <c r="J3638" s="10" t="inlineStr">
        <is>
          <t>17/03/2026</t>
        </is>
      </c>
      <c r="K3638" s="10" t="inlineStr">
        <is>
          <t>N/A</t>
        </is>
      </c>
      <c r="L3638" s="10" t="inlineStr">
        <is>
          <t>Giao Tiếp, Phân Tích Tư Duy, Talent Acquisition, Tìm Kiếm Ứng Viên, Tuyển Dụng</t>
        </is>
      </c>
      <c r="M3638" s="10" t="inlineStr">
        <is>
          <t>Bonus, Healthcare Plan, Paid Leave, Training, Laptop, Travel Opportunities, Team Activities, Others</t>
        </is>
      </c>
      <c r="N3638" s="11">
        <f>HYPERLINK("https://www.vietnamworks.com/chuyen-vien-thu-hut-nhan-tai-talent-acquisition-specialist-2014167-jv","Xem chi tiết")</f>
        <v/>
      </c>
      <c r="O3638" s="10" t="n"/>
    </row>
    <row r="3639">
      <c r="B3639" s="7" t="n">
        <v>3637</v>
      </c>
      <c r="C3639" t="inlineStr">
        <is>
          <t>Chuyên Viên Chính Sách &amp; Tuân Thủ Nhân Sự - HR Compliance Specialist</t>
        </is>
      </c>
      <c r="D3639" t="inlineStr">
        <is>
          <t>Hyosung Vietnam Corp</t>
        </is>
      </c>
      <c r="E3639" t="inlineStr">
        <is>
          <t>Thương lượng</t>
        </is>
      </c>
      <c r="F3639" t="inlineStr">
        <is>
          <t>Đồng Nai</t>
        </is>
      </c>
      <c r="G3639" t="inlineStr">
        <is>
          <t>Nhân viên</t>
        </is>
      </c>
      <c r="H3639" t="inlineStr">
        <is>
          <t>26/02/2026</t>
        </is>
      </c>
      <c r="I3639" t="inlineStr">
        <is>
          <t>28/03/2026</t>
        </is>
      </c>
      <c r="J3639" t="inlineStr">
        <is>
          <t>17/03/2026</t>
        </is>
      </c>
      <c r="K3639" t="inlineStr">
        <is>
          <t>N/A</t>
        </is>
      </c>
      <c r="L3639" t="inlineStr">
        <is>
          <t>Compliance, HR, ISO Knowledge, Policy Administration</t>
        </is>
      </c>
      <c r="M3639" t="inlineStr">
        <is>
          <t>Bonus</t>
        </is>
      </c>
      <c r="N3639" s="8">
        <f>HYPERLINK("https://www.vietnamworks.com/chuyen-vien-chinh-sach-tuan-thu-nhan-su-hr-compliance-specialist--2014168-jv","Xem chi tiết")</f>
        <v/>
      </c>
    </row>
    <row r="3640">
      <c r="B3640" s="9" t="n">
        <v>3638</v>
      </c>
      <c r="C3640" s="10" t="inlineStr">
        <is>
          <t>Vendor Quality Inspector (Casegoods)</t>
        </is>
      </c>
      <c r="D3640" s="10" t="inlineStr">
        <is>
          <t>Article</t>
        </is>
      </c>
      <c r="E3640" s="10" t="inlineStr">
        <is>
          <t>29tr-39.6tr ₫/năm</t>
        </is>
      </c>
      <c r="F3640" s="10" t="inlineStr">
        <is>
          <t>Hồ Chí Minh</t>
        </is>
      </c>
      <c r="G3640" s="10" t="inlineStr">
        <is>
          <t>Nhân viên</t>
        </is>
      </c>
      <c r="H3640" s="10" t="inlineStr">
        <is>
          <t>26/02/2026</t>
        </is>
      </c>
      <c r="I3640" s="10" t="inlineStr">
        <is>
          <t>28/03/2026</t>
        </is>
      </c>
      <c r="J3640" s="10" t="inlineStr">
        <is>
          <t>17/03/2026</t>
        </is>
      </c>
      <c r="K3640" s="10" t="inlineStr">
        <is>
          <t>N/A</t>
        </is>
      </c>
      <c r="L3640" s="10" t="inlineStr">
        <is>
          <t>Attention To Detail, Furniture Design, Inspection, Problem-solving, Quality Control</t>
        </is>
      </c>
      <c r="M3640" s="10" t="inlineStr">
        <is>
          <t>Healthcare Plan, Paid Leave, Laptop, Others</t>
        </is>
      </c>
      <c r="N3640" s="11">
        <f>HYPERLINK("https://www.vietnamworks.com/vendor-quality-inspector-casegoods-2014161-jv","Xem chi tiết")</f>
        <v/>
      </c>
      <c r="O3640" s="10" t="n"/>
    </row>
    <row r="3641">
      <c r="B3641" s="7" t="n">
        <v>3639</v>
      </c>
      <c r="C3641" t="inlineStr">
        <is>
          <t>Sales Supervisor (Giám Sát Kinh Doanh)</t>
        </is>
      </c>
      <c r="D3641" t="inlineStr">
        <is>
          <t>Công ty CP Điện tử Viễn thông Bắc Á</t>
        </is>
      </c>
      <c r="E3641" t="inlineStr">
        <is>
          <t>20tr-40tr ₫/tháng</t>
        </is>
      </c>
      <c r="F3641" t="inlineStr">
        <is>
          <t>Hà Nội</t>
        </is>
      </c>
      <c r="G3641" t="inlineStr">
        <is>
          <t>Nhân viên</t>
        </is>
      </c>
      <c r="H3641" t="inlineStr">
        <is>
          <t>26/02/2026</t>
        </is>
      </c>
      <c r="I3641" t="inlineStr">
        <is>
          <t>28/03/2026</t>
        </is>
      </c>
      <c r="J3641" t="inlineStr">
        <is>
          <t>17/03/2026</t>
        </is>
      </c>
      <c r="K3641" t="inlineStr">
        <is>
          <t>N/A</t>
        </is>
      </c>
      <c r="L3641" t="inlineStr">
        <is>
          <t>Kỹ năng giao tiêp, Phân Tích Số Liệu, Đàm Phán, Phân tích dữ liệu, Gia Công Áp Lực</t>
        </is>
      </c>
      <c r="M3641" t="inlineStr">
        <is>
          <t>Bonus, Healthcare Plan, Others</t>
        </is>
      </c>
      <c r="N3641" s="8">
        <f>HYPERLINK("https://www.vietnamworks.com/sales-supervisor-giam-sat-kinh-doanh-2014171-jv","Xem chi tiết")</f>
        <v/>
      </c>
    </row>
    <row r="3642">
      <c r="B3642" s="9" t="n">
        <v>3640</v>
      </c>
      <c r="C3642" s="10" t="inlineStr">
        <is>
          <t>Ocean Customer Service and Operation Staff</t>
        </is>
      </c>
      <c r="D3642" s="10" t="inlineStr">
        <is>
          <t>Công Ty TNHH Kintetsu World Express Việt Nam</t>
        </is>
      </c>
      <c r="E3642" s="10" t="inlineStr">
        <is>
          <t>Thương lượng</t>
        </is>
      </c>
      <c r="F3642" s="10" t="inlineStr">
        <is>
          <t>Hồ Chí Minh</t>
        </is>
      </c>
      <c r="G3642" s="10" t="inlineStr">
        <is>
          <t>Nhân viên</t>
        </is>
      </c>
      <c r="H3642" s="10" t="inlineStr">
        <is>
          <t>26/02/2026</t>
        </is>
      </c>
      <c r="I3642" s="10" t="inlineStr">
        <is>
          <t>28/03/2026</t>
        </is>
      </c>
      <c r="J3642" s="10" t="inlineStr">
        <is>
          <t>17/03/2026</t>
        </is>
      </c>
      <c r="K3642" s="10" t="inlineStr">
        <is>
          <t>N/A</t>
        </is>
      </c>
      <c r="L3642" s="10" t="inlineStr">
        <is>
          <t>Sea Freight, Freight Forwarding, English, Logistics, Freight Booking</t>
        </is>
      </c>
      <c r="M3642" s="10" t="inlineStr">
        <is>
          <t>Bonus, Healthcare Plan, Others</t>
        </is>
      </c>
      <c r="N3642" s="11">
        <f>HYPERLINK("https://www.vietnamworks.com/ocean-customer-service-and-operation-staff-2014170-jv","Xem chi tiết")</f>
        <v/>
      </c>
      <c r="O3642" s="10" t="n"/>
    </row>
    <row r="3643">
      <c r="B3643" s="7" t="n">
        <v>3641</v>
      </c>
      <c r="C3643" t="inlineStr">
        <is>
          <t>Analyst I, Payroll (Time Keeping and Insurance Processing)</t>
        </is>
      </c>
      <c r="D3643" t="inlineStr">
        <is>
          <t>Công Ty TNHH Sản Xuất First Solar Việt Nam</t>
        </is>
      </c>
      <c r="E3643" t="inlineStr">
        <is>
          <t>Thương lượng</t>
        </is>
      </c>
      <c r="F3643" t="inlineStr">
        <is>
          <t>Hồ Chí Minh</t>
        </is>
      </c>
      <c r="G3643" t="inlineStr">
        <is>
          <t>Nhân viên</t>
        </is>
      </c>
      <c r="H3643" t="inlineStr">
        <is>
          <t>26/02/2026</t>
        </is>
      </c>
      <c r="I3643" t="inlineStr">
        <is>
          <t>28/03/2026</t>
        </is>
      </c>
      <c r="J3643" t="inlineStr">
        <is>
          <t>17/03/2026</t>
        </is>
      </c>
      <c r="K3643" t="inlineStr">
        <is>
          <t>N/A</t>
        </is>
      </c>
      <c r="L3643" t="inlineStr">
        <is>
          <t>Human Resources, Compensation &amp; Benefits Management, Timekeeping Expertise</t>
        </is>
      </c>
      <c r="M3643" t="inlineStr">
        <is>
          <t>Bonus, Transportation, Canteen</t>
        </is>
      </c>
      <c r="N3643" s="8">
        <f>HYPERLINK("https://www.vietnamworks.com/analyst-i-payroll-time-keeping-and-insurance-processing--2014169-jv","Xem chi tiết")</f>
        <v/>
      </c>
    </row>
    <row r="3644">
      <c r="B3644" s="9" t="n">
        <v>3642</v>
      </c>
      <c r="C3644" s="10" t="inlineStr">
        <is>
          <t>Nhân Viên Sourcing Logistics</t>
        </is>
      </c>
      <c r="D3644" s="10" t="inlineStr">
        <is>
          <t>VIFON</t>
        </is>
      </c>
      <c r="E3644" s="10" t="inlineStr">
        <is>
          <t>$$ 500-800 /tháng</t>
        </is>
      </c>
      <c r="F3644" s="10" t="inlineStr">
        <is>
          <t>Hồ Chí Minh</t>
        </is>
      </c>
      <c r="G3644" s="10" t="inlineStr">
        <is>
          <t>Nhân viên</t>
        </is>
      </c>
      <c r="H3644" s="10" t="inlineStr">
        <is>
          <t>26/02/2026</t>
        </is>
      </c>
      <c r="I3644" s="10" t="inlineStr">
        <is>
          <t>28/03/2026</t>
        </is>
      </c>
      <c r="J3644" s="10" t="inlineStr">
        <is>
          <t>17/03/2026</t>
        </is>
      </c>
      <c r="K3644" s="10" t="inlineStr">
        <is>
          <t>N/A</t>
        </is>
      </c>
      <c r="L3644" s="10" t="inlineStr">
        <is>
          <t>Thu Mua, Purchasing Logistics, Mua Hàng, Purchase Management, Procurement</t>
        </is>
      </c>
      <c r="M3644" s="10" t="inlineStr">
        <is>
          <t>Bonus, Healthcare Plan, Paid Leave</t>
        </is>
      </c>
      <c r="N3644" s="11">
        <f>HYPERLINK("https://www.vietnamworks.com/nhan-vien-sourcing-logistics--2014174-jv","Xem chi tiết")</f>
        <v/>
      </c>
      <c r="O3644" s="10" t="n"/>
    </row>
    <row r="3645">
      <c r="B3645" s="7" t="n">
        <v>3643</v>
      </c>
      <c r="C3645" t="inlineStr">
        <is>
          <t>Assistaint Manager Marketing &amp; Sales Kỹ Thuật</t>
        </is>
      </c>
      <c r="D3645" t="inlineStr">
        <is>
          <t>Công Ty TNHH Suncall Technology Việt Nam</t>
        </is>
      </c>
      <c r="E3645" t="inlineStr">
        <is>
          <t>Thương lượng</t>
        </is>
      </c>
      <c r="F3645" t="inlineStr">
        <is>
          <t>Hà Nội</t>
        </is>
      </c>
      <c r="G3645" t="inlineStr">
        <is>
          <t>Giám Đốc và Cấp Cao Hơn</t>
        </is>
      </c>
      <c r="H3645" t="inlineStr">
        <is>
          <t>26/02/2026</t>
        </is>
      </c>
      <c r="I3645" t="inlineStr">
        <is>
          <t>28/03/2026</t>
        </is>
      </c>
      <c r="J3645" t="inlineStr">
        <is>
          <t>17/03/2026</t>
        </is>
      </c>
      <c r="K3645" t="inlineStr">
        <is>
          <t>N/A</t>
        </is>
      </c>
      <c r="L3645" t="inlineStr">
        <is>
          <t>Tiếng Anh thành thạo, Tiếng Trung Hsk 5, Tư Duy Chiến Lược, Nghiên Cứu và Phân Tích Dữ Liệu, Phát Triển Khách Hàng Mới</t>
        </is>
      </c>
      <c r="M3645" t="inlineStr">
        <is>
          <t>Healthcare Plan, Paid Leave, Transportation</t>
        </is>
      </c>
      <c r="N3645" s="8">
        <f>HYPERLINK("https://www.vietnamworks.com/assistaint-manager-marketing-sales-ky-thuat-2014176-jv","Xem chi tiết")</f>
        <v/>
      </c>
    </row>
    <row r="3646">
      <c r="B3646" s="9" t="n">
        <v>3644</v>
      </c>
      <c r="C3646" s="10" t="inlineStr">
        <is>
          <t>Trưởng Phòng Marketing - Tuyển GẤP</t>
        </is>
      </c>
      <c r="D3646" s="10" t="inlineStr">
        <is>
          <t>Công Ty Cổ Phần Western Pacific</t>
        </is>
      </c>
      <c r="E3646" s="10" t="inlineStr">
        <is>
          <t>Thương lượng</t>
        </is>
      </c>
      <c r="F3646" s="10" t="inlineStr">
        <is>
          <t>Hà Nội</t>
        </is>
      </c>
      <c r="G3646" s="10" t="inlineStr">
        <is>
          <t>Trưởng phòng</t>
        </is>
      </c>
      <c r="H3646" s="10" t="inlineStr">
        <is>
          <t>26/02/2026</t>
        </is>
      </c>
      <c r="I3646" s="10" t="inlineStr">
        <is>
          <t>28/03/2026</t>
        </is>
      </c>
      <c r="J3646" s="10" t="inlineStr">
        <is>
          <t>17/03/2026</t>
        </is>
      </c>
      <c r="K3646" s="10" t="inlineStr">
        <is>
          <t>N/A</t>
        </is>
      </c>
      <c r="L3646" s="10" t="inlineStr">
        <is>
          <t>Budget Management, Communication, Data Analysis, Marketing Strategy, Team Management</t>
        </is>
      </c>
      <c r="M3646" s="10" t="inlineStr">
        <is>
          <t>Bonus, Healthcare Plan, Training, Others</t>
        </is>
      </c>
      <c r="N3646" s="11">
        <f>HYPERLINK("https://www.vietnamworks.com/truong-phong-marketing-tuyen-gap-2014175-jv","Xem chi tiết")</f>
        <v/>
      </c>
      <c r="O3646" s="10" t="n"/>
    </row>
    <row r="3647">
      <c r="B3647" s="7" t="n">
        <v>3645</v>
      </c>
      <c r="C3647" t="inlineStr">
        <is>
          <t>Digital Marketing Senior</t>
        </is>
      </c>
      <c r="D3647" t="inlineStr">
        <is>
          <t>Viettel Customer Service</t>
        </is>
      </c>
      <c r="E3647" t="inlineStr">
        <is>
          <t>$$ 1,000-1,500 /tháng</t>
        </is>
      </c>
      <c r="F3647" t="inlineStr">
        <is>
          <t>Hà Nội</t>
        </is>
      </c>
      <c r="G3647" t="inlineStr">
        <is>
          <t>Nhân viên</t>
        </is>
      </c>
      <c r="H3647" t="inlineStr">
        <is>
          <t>26/02/2026</t>
        </is>
      </c>
      <c r="I3647" t="inlineStr">
        <is>
          <t>28/03/2026</t>
        </is>
      </c>
      <c r="J3647" t="inlineStr">
        <is>
          <t>17/03/2026</t>
        </is>
      </c>
      <c r="K3647" t="inlineStr">
        <is>
          <t>N/A</t>
        </is>
      </c>
      <c r="L3647" t="inlineStr">
        <is>
          <t>Digital Marketing, performance marketing, Banner Ads, Google Ads, Data Analysis</t>
        </is>
      </c>
      <c r="M3647" t="inlineStr">
        <is>
          <t>Bonus, Healthcare Plan, Paid Leave, Team Activities, Others</t>
        </is>
      </c>
      <c r="N3647" s="8">
        <f>HYPERLINK("https://www.vietnamworks.com/digital-marketing-senior-2014173-jv","Xem chi tiết")</f>
        <v/>
      </c>
    </row>
    <row r="3648">
      <c r="B3648" s="9" t="n">
        <v>3646</v>
      </c>
      <c r="C3648" s="10" t="inlineStr">
        <is>
          <t>LOGISTICS Coordinator</t>
        </is>
      </c>
      <c r="D3648" s="10" t="inlineStr">
        <is>
          <t>Lantro (Viet Nam) CO., LTD</t>
        </is>
      </c>
      <c r="E3648" s="10" t="inlineStr">
        <is>
          <t>Thương lượng</t>
        </is>
      </c>
      <c r="F3648" s="10" t="inlineStr">
        <is>
          <t>Hồ Chí Minh</t>
        </is>
      </c>
      <c r="G3648" s="10" t="inlineStr">
        <is>
          <t>Nhân viên</t>
        </is>
      </c>
      <c r="H3648" s="10" t="inlineStr">
        <is>
          <t>26/02/2026</t>
        </is>
      </c>
      <c r="I3648" s="10" t="inlineStr">
        <is>
          <t>28/03/2026</t>
        </is>
      </c>
      <c r="J3648" s="10" t="inlineStr">
        <is>
          <t>17/03/2026</t>
        </is>
      </c>
      <c r="K3648" s="10" t="inlineStr">
        <is>
          <t>N/A</t>
        </is>
      </c>
      <c r="L3648" s="10" t="inlineStr">
        <is>
          <t>Domestic Shipping, Import – Export, International Logistics, Inventory Control, Shipment Management</t>
        </is>
      </c>
      <c r="M3648" s="10" t="inlineStr">
        <is>
          <t>Bonus, Healthcare Plan, Paid Leave, Training, Team Activities, Others</t>
        </is>
      </c>
      <c r="N3648" s="11">
        <f>HYPERLINK("https://www.vietnamworks.com/logistics-coordinator-2014184-jv","Xem chi tiết")</f>
        <v/>
      </c>
      <c r="O3648" s="10" t="n"/>
    </row>
    <row r="3649">
      <c r="B3649" s="7" t="n">
        <v>3647</v>
      </c>
      <c r="C3649" t="inlineStr">
        <is>
          <t>Chuyên Viên Cao Cấp Kế Toán Tổng Hợp (Banking/ Finance)</t>
        </is>
      </c>
      <c r="D3649" t="inlineStr">
        <is>
          <t>Công Ty Tài Chính Trách Nhiệm Hữu Hạn MB Shinsei (Mcredit)</t>
        </is>
      </c>
      <c r="E3649" t="inlineStr">
        <is>
          <t>Thương lượng</t>
        </is>
      </c>
      <c r="F3649" t="inlineStr">
        <is>
          <t>Hà Nội</t>
        </is>
      </c>
      <c r="G3649" t="inlineStr">
        <is>
          <t>Nhân viên</t>
        </is>
      </c>
      <c r="H3649" t="inlineStr">
        <is>
          <t>26/02/2026</t>
        </is>
      </c>
      <c r="I3649" t="inlineStr">
        <is>
          <t>28/03/2026</t>
        </is>
      </c>
      <c r="J3649" t="inlineStr">
        <is>
          <t>17/03/2026</t>
        </is>
      </c>
      <c r="K3649" t="inlineStr">
        <is>
          <t>N/A</t>
        </is>
      </c>
      <c r="L3649" t="inlineStr">
        <is>
          <t>Kế Toán Tổng Hợp, Kiểm Toán, Tiếng Anh, Excel, Hạch Toán</t>
        </is>
      </c>
      <c r="M3649" t="inlineStr">
        <is>
          <t>Bonus, Healthcare Plan, Travel Opportunities</t>
        </is>
      </c>
      <c r="N3649" s="8">
        <f>HYPERLINK("https://www.vietnamworks.com/chuyen-vien-cao-cap-ke-toan-tong-hop-banking-finance-2014181-jv","Xem chi tiết")</f>
        <v/>
      </c>
    </row>
    <row r="3650">
      <c r="B3650" s="9" t="n">
        <v>3648</v>
      </c>
      <c r="C3650" s="10" t="inlineStr">
        <is>
          <t>[HCM] Corporate Communications and Media Relation Executive</t>
        </is>
      </c>
      <c r="D3650" s="10" t="inlineStr">
        <is>
          <t>Công Ty TNHH Aeon Việt Nam</t>
        </is>
      </c>
      <c r="E3650" s="10" t="inlineStr">
        <is>
          <t>Thương lượng</t>
        </is>
      </c>
      <c r="F3650" s="10" t="inlineStr">
        <is>
          <t>Hồ Chí Minh</t>
        </is>
      </c>
      <c r="G3650" s="10" t="inlineStr">
        <is>
          <t>Nhân viên</t>
        </is>
      </c>
      <c r="H3650" s="10" t="inlineStr">
        <is>
          <t>26/02/2026</t>
        </is>
      </c>
      <c r="I3650" s="10" t="inlineStr">
        <is>
          <t>28/03/2026</t>
        </is>
      </c>
      <c r="J3650" s="10" t="inlineStr">
        <is>
          <t>17/03/2026</t>
        </is>
      </c>
      <c r="K3650" s="10" t="inlineStr">
        <is>
          <t>N/A</t>
        </is>
      </c>
      <c r="L3650" s="10" t="inlineStr">
        <is>
          <t>Communications, public relations, Media Relations, IMC, Corporate Communications</t>
        </is>
      </c>
      <c r="M3650" s="10" t="inlineStr">
        <is>
          <t>Bonus, Healthcare Plan, Training</t>
        </is>
      </c>
      <c r="N3650" s="11">
        <f>HYPERLINK("https://www.vietnamworks.com/hcm-corporate-communications-and-media-relation-executive-2014186-jv","Xem chi tiết")</f>
        <v/>
      </c>
      <c r="O3650" s="10" t="n"/>
    </row>
    <row r="3651">
      <c r="B3651" s="7" t="n">
        <v>3649</v>
      </c>
      <c r="C3651" t="inlineStr">
        <is>
          <t>Giám Sát Kinh Doanh Telesales - Tân Bình</t>
        </is>
      </c>
      <c r="D3651" t="inlineStr">
        <is>
          <t>Shinhan Vietnam Finance Company Limited</t>
        </is>
      </c>
      <c r="E3651" t="inlineStr">
        <is>
          <t>Thương lượng</t>
        </is>
      </c>
      <c r="F3651" t="inlineStr">
        <is>
          <t>Hồ Chí Minh</t>
        </is>
      </c>
      <c r="G3651" t="inlineStr">
        <is>
          <t>Trưởng phòng</t>
        </is>
      </c>
      <c r="H3651" t="inlineStr">
        <is>
          <t>26/02/2026</t>
        </is>
      </c>
      <c r="I3651" t="inlineStr">
        <is>
          <t>28/03/2026</t>
        </is>
      </c>
      <c r="J3651" t="inlineStr">
        <is>
          <t>17/03/2026</t>
        </is>
      </c>
      <c r="K3651" t="inlineStr">
        <is>
          <t>N/A</t>
        </is>
      </c>
      <c r="L3651" t="inlineStr">
        <is>
          <t>Giao Tiếp Thuyết Phục, Quản Lý Chỉ Số KPI, Sales Supervisor, Tài Chính, Telesales Marketing</t>
        </is>
      </c>
      <c r="M3651" t="inlineStr">
        <is>
          <t>Bonus, Healthcare Plan, Laptop, Travel Opportunities</t>
        </is>
      </c>
      <c r="N3651" s="8">
        <f>HYPERLINK("https://www.vietnamworks.com/giam-sat-kinh-doanh-telesales-tan-binh-2014180-jv","Xem chi tiết")</f>
        <v/>
      </c>
    </row>
    <row r="3652">
      <c r="B3652" s="9" t="n">
        <v>3650</v>
      </c>
      <c r="C3652" s="10" t="inlineStr">
        <is>
          <t>Quản Lý Phát Triển Thị Trường (OTC Mekong)</t>
        </is>
      </c>
      <c r="D3652" s="10" t="inlineStr">
        <is>
          <t>Hyphens Pharma Pte. Ltd.</t>
        </is>
      </c>
      <c r="E3652" s="10" t="inlineStr">
        <is>
          <t>Thương lượng</t>
        </is>
      </c>
      <c r="F3652" s="10" t="inlineStr">
        <is>
          <t>Cần Thơ, An Giang, Đồng Tháp</t>
        </is>
      </c>
      <c r="G3652" s="10" t="inlineStr">
        <is>
          <t>Trưởng phòng</t>
        </is>
      </c>
      <c r="H3652" s="10" t="inlineStr">
        <is>
          <t>26/02/2026</t>
        </is>
      </c>
      <c r="I3652" s="10" t="inlineStr">
        <is>
          <t>28/03/2026</t>
        </is>
      </c>
      <c r="J3652" s="10" t="inlineStr">
        <is>
          <t>17/03/2026</t>
        </is>
      </c>
      <c r="K3652" s="10" t="inlineStr">
        <is>
          <t>N/A</t>
        </is>
      </c>
      <c r="L3652" s="10" t="inlineStr">
        <is>
          <t>B2B Development, B2B Sale, Quản Lý Khách Hàng, Phân Tích Thị Trường, Dược Phẩm</t>
        </is>
      </c>
      <c r="M3652" s="10" t="inlineStr">
        <is>
          <t>Bonus, Healthcare Plan, Training</t>
        </is>
      </c>
      <c r="N3652" s="11">
        <f>HYPERLINK("https://www.vietnamworks.com/quan-ly-phat-trien-thi-truong-otc-mekong-2014185-jv","Xem chi tiết")</f>
        <v/>
      </c>
      <c r="O3652" s="10" t="n"/>
    </row>
    <row r="3653">
      <c r="B3653" s="7" t="n">
        <v>3651</v>
      </c>
      <c r="C3653" t="inlineStr">
        <is>
          <t>Giám Sát Kinh Doanh - Quận 1</t>
        </is>
      </c>
      <c r="D3653" t="inlineStr">
        <is>
          <t>Shinhan Vietnam Finance Company Limited</t>
        </is>
      </c>
      <c r="E3653" t="inlineStr">
        <is>
          <t>Thương lượng</t>
        </is>
      </c>
      <c r="F3653" t="inlineStr">
        <is>
          <t>Hồ Chí Minh</t>
        </is>
      </c>
      <c r="G3653" t="inlineStr">
        <is>
          <t>Trưởng phòng</t>
        </is>
      </c>
      <c r="H3653" t="inlineStr">
        <is>
          <t>26/02/2026</t>
        </is>
      </c>
      <c r="I3653" t="inlineStr">
        <is>
          <t>28/03/2026</t>
        </is>
      </c>
      <c r="J3653" t="inlineStr">
        <is>
          <t>17/03/2026</t>
        </is>
      </c>
      <c r="K3653" t="inlineStr">
        <is>
          <t>N/A</t>
        </is>
      </c>
      <c r="L3653" t="inlineStr">
        <is>
          <t>Giao Tiếp Thuyết Phục, Quản Lý Chỉ Số KPI, Sales Supervisor, Tài Chính, Telesales Marketing</t>
        </is>
      </c>
      <c r="M3653" t="inlineStr">
        <is>
          <t>Bonus, Healthcare Plan, Laptop, Travel Opportunities</t>
        </is>
      </c>
      <c r="N3653" s="8">
        <f>HYPERLINK("https://www.vietnamworks.com/giam-sat-kinh-doanh-quan-1-2014188-jv","Xem chi tiết")</f>
        <v/>
      </c>
    </row>
    <row r="3654">
      <c r="B3654" s="9" t="n">
        <v>3652</v>
      </c>
      <c r="C3654" s="10" t="inlineStr">
        <is>
          <t>Nhân Viên Tư Vấn Kế Toán (Accounting Consultant)</t>
        </is>
      </c>
      <c r="D3654" s="10" t="inlineStr">
        <is>
          <t>Công Ty Cổ Phần Fair Consulting Việt Nam</t>
        </is>
      </c>
      <c r="E3654" s="10" t="inlineStr">
        <is>
          <t>Thương lượng</t>
        </is>
      </c>
      <c r="F3654" s="10" t="inlineStr">
        <is>
          <t>Hồ Chí Minh</t>
        </is>
      </c>
      <c r="G3654" s="10" t="inlineStr">
        <is>
          <t>Nhân viên</t>
        </is>
      </c>
      <c r="H3654" s="10" t="inlineStr">
        <is>
          <t>26/02/2026</t>
        </is>
      </c>
      <c r="I3654" s="10" t="inlineStr">
        <is>
          <t>28/03/2026</t>
        </is>
      </c>
      <c r="J3654" s="10" t="inlineStr">
        <is>
          <t>17/03/2026</t>
        </is>
      </c>
      <c r="K3654" s="10" t="inlineStr">
        <is>
          <t>N/A</t>
        </is>
      </c>
      <c r="L3654" s="10" t="inlineStr">
        <is>
          <t>Tài Chính Kế Toán, Lập Báo Cáo Thuế, Báo Cáo Tài Chính, Quyết Toán Thuế, Tư Vấn Kế Toán</t>
        </is>
      </c>
      <c r="M3654" s="10" t="inlineStr">
        <is>
          <t>Bonus, Healthcare Plan, Team Activities</t>
        </is>
      </c>
      <c r="N3654" s="11">
        <f>HYPERLINK("https://www.vietnamworks.com/nhan-vien-tu-van-ke-toan-accounting-consultant--2014190-jv","Xem chi tiết")</f>
        <v/>
      </c>
      <c r="O3654" s="10" t="n"/>
    </row>
    <row r="3655">
      <c r="B3655" s="7" t="n">
        <v>3653</v>
      </c>
      <c r="C3655" t="inlineStr">
        <is>
          <t>Chuyên Viên Tiền Lương và Chế Độ Chính Sách C&amp;B</t>
        </is>
      </c>
      <c r="D3655" t="inlineStr">
        <is>
          <t>Công Ty Cổ Phần Dược Phẩm Vĩnh Phúc</t>
        </is>
      </c>
      <c r="E3655" t="inlineStr">
        <is>
          <t>Thương lượng</t>
        </is>
      </c>
      <c r="F3655" t="inlineStr">
        <is>
          <t>Vĩnh Phúc, Hà Nội</t>
        </is>
      </c>
      <c r="G3655" t="inlineStr">
        <is>
          <t>Nhân viên</t>
        </is>
      </c>
      <c r="H3655" t="inlineStr">
        <is>
          <t>26/02/2026</t>
        </is>
      </c>
      <c r="I3655" t="inlineStr">
        <is>
          <t>28/03/2026</t>
        </is>
      </c>
      <c r="J3655" t="inlineStr">
        <is>
          <t>17/03/2026</t>
        </is>
      </c>
      <c r="K3655" t="inlineStr">
        <is>
          <t>N/A</t>
        </is>
      </c>
      <c r="L3655" t="inlineStr">
        <is>
          <t>C&amp;B, Excel, Nhân Sự</t>
        </is>
      </c>
      <c r="M3655" t="inlineStr">
        <is>
          <t>Bonus, Healthcare Plan, Travel Opportunities</t>
        </is>
      </c>
      <c r="N3655" s="8">
        <f>HYPERLINK("https://www.vietnamworks.com/chuyen-vien-tien-luong-va-che-do-chinh-sach-c-b--2014178-jv","Xem chi tiết")</f>
        <v/>
      </c>
    </row>
    <row r="3656">
      <c r="B3656" s="9" t="n">
        <v>3654</v>
      </c>
      <c r="C3656" s="10" t="inlineStr">
        <is>
          <t>Chuyên Viên Kiểm Soát Tuân Thủ</t>
        </is>
      </c>
      <c r="D3656" s="10" t="inlineStr">
        <is>
          <t>Công Ty Cổ Phần Dược Phẩm Vĩnh Phúc</t>
        </is>
      </c>
      <c r="E3656" s="10" t="inlineStr">
        <is>
          <t>Thương lượng</t>
        </is>
      </c>
      <c r="F3656" s="10" t="inlineStr">
        <is>
          <t>Hà Nội</t>
        </is>
      </c>
      <c r="G3656" s="10" t="inlineStr">
        <is>
          <t>Nhân viên</t>
        </is>
      </c>
      <c r="H3656" s="10" t="inlineStr">
        <is>
          <t>26/02/2026</t>
        </is>
      </c>
      <c r="I3656" s="10" t="inlineStr">
        <is>
          <t>28/03/2026</t>
        </is>
      </c>
      <c r="J3656" s="10" t="inlineStr">
        <is>
          <t>17/03/2026</t>
        </is>
      </c>
      <c r="K3656" s="10" t="inlineStr">
        <is>
          <t>N/A</t>
        </is>
      </c>
      <c r="L3656" s="10" t="inlineStr">
        <is>
          <t>Kiểm Soát Tuân Thủ, Kiểm Soát Nội Bộ, Pháp Chế Dược, Pháp Lý, Pháp Lý Quản Trị Nội Bộ</t>
        </is>
      </c>
      <c r="M3656" s="10" t="inlineStr">
        <is>
          <t>Bonus, Healthcare Plan, Travel Opportunities</t>
        </is>
      </c>
      <c r="N3656" s="11">
        <f>HYPERLINK("https://www.vietnamworks.com/chuyen-vien-kiem-soat-tuan-thu--2014179-jv","Xem chi tiết")</f>
        <v/>
      </c>
      <c r="O3656" s="10" t="n"/>
    </row>
    <row r="3657">
      <c r="B3657" s="7" t="n">
        <v>3655</v>
      </c>
      <c r="C3657" t="inlineStr">
        <is>
          <t>Chuyên Viên Cao Cấp Kế Toán</t>
        </is>
      </c>
      <c r="D3657" t="inlineStr">
        <is>
          <t>Công Ty Cổ Phần Tập Đoàn Masterise</t>
        </is>
      </c>
      <c r="E3657" t="inlineStr">
        <is>
          <t>Thương lượng</t>
        </is>
      </c>
      <c r="F3657" t="inlineStr">
        <is>
          <t>Hà Nội</t>
        </is>
      </c>
      <c r="G3657" t="inlineStr">
        <is>
          <t>Nhân viên</t>
        </is>
      </c>
      <c r="H3657" t="inlineStr">
        <is>
          <t>26/02/2026</t>
        </is>
      </c>
      <c r="I3657" t="inlineStr">
        <is>
          <t>28/03/2026</t>
        </is>
      </c>
      <c r="J3657" t="inlineStr">
        <is>
          <t>17/03/2026</t>
        </is>
      </c>
      <c r="K3657" t="inlineStr">
        <is>
          <t>N/A</t>
        </is>
      </c>
      <c r="L3657" t="inlineStr">
        <is>
          <t>Kế Toán Tổng Hợp, Quản Lý Tài Chính, Báo Cáo Tài Chính, Phần mềm kế toán, Kỹ năng giao tiếp</t>
        </is>
      </c>
      <c r="M3657" t="inlineStr">
        <is>
          <t>Bonus, Healthcare Plan, Laptop</t>
        </is>
      </c>
      <c r="N3657" s="8">
        <f>HYPERLINK("https://www.vietnamworks.com/chuyen-vien-cao-cap-ke-toan-2014189-jv","Xem chi tiết")</f>
        <v/>
      </c>
    </row>
    <row r="3658">
      <c r="B3658" s="9" t="n">
        <v>3656</v>
      </c>
      <c r="C3658" s="10" t="inlineStr">
        <is>
          <t>User Acquisition (UA) Specialist (Google, Meta, Ad Network) (Up-To $5,000)</t>
        </is>
      </c>
      <c r="D3658" s="10" t="inlineStr">
        <is>
          <t>Crossian Việt Nam</t>
        </is>
      </c>
      <c r="E3658" s="10" t="inlineStr">
        <is>
          <t>$$ 1,000-5,000 /tháng</t>
        </is>
      </c>
      <c r="F3658" s="10" t="inlineStr">
        <is>
          <t>Hà Nội, Hồ Chí Minh</t>
        </is>
      </c>
      <c r="G3658" s="10" t="inlineStr">
        <is>
          <t>Nhân viên</t>
        </is>
      </c>
      <c r="H3658" s="10" t="inlineStr">
        <is>
          <t>26/02/2026</t>
        </is>
      </c>
      <c r="I3658" s="10" t="inlineStr">
        <is>
          <t>28/03/2026</t>
        </is>
      </c>
      <c r="J3658" s="10" t="inlineStr">
        <is>
          <t>17/03/2026</t>
        </is>
      </c>
      <c r="K3658" s="10" t="inlineStr">
        <is>
          <t>N/A</t>
        </is>
      </c>
      <c r="L3658" s="10" t="inlineStr">
        <is>
          <t>User Acquisition, Performance Marketing, Ads, Paid Ads, Growth Marketing</t>
        </is>
      </c>
      <c r="M3658" s="10" t="inlineStr">
        <is>
          <t>Bonus, Healthcare Plan, Training</t>
        </is>
      </c>
      <c r="N3658" s="11">
        <f>HYPERLINK("https://www.vietnamworks.com/user-acquisition-ua-specialist-google-meta-ad-network-up-to-5-000-2014191-jv","Xem chi tiết")</f>
        <v/>
      </c>
      <c r="O3658" s="10" t="n"/>
    </row>
    <row r="3659">
      <c r="B3659" s="7" t="n">
        <v>3657</v>
      </c>
      <c r="C3659" t="inlineStr">
        <is>
          <t>Nhân Viên Cấp Cao Tư Vấn Kế Toán - Thuế</t>
        </is>
      </c>
      <c r="D3659" t="inlineStr">
        <is>
          <t>Công Ty TNHH I-Glocal - CN Tp.HCM</t>
        </is>
      </c>
      <c r="E3659" t="inlineStr">
        <is>
          <t>Thương lượng</t>
        </is>
      </c>
      <c r="F3659" t="inlineStr">
        <is>
          <t>Hồ Chí Minh</t>
        </is>
      </c>
      <c r="G3659" t="inlineStr">
        <is>
          <t>Nhân viên</t>
        </is>
      </c>
      <c r="H3659" t="inlineStr">
        <is>
          <t>26/02/2026</t>
        </is>
      </c>
      <c r="I3659" t="inlineStr">
        <is>
          <t>28/03/2026</t>
        </is>
      </c>
      <c r="J3659" t="inlineStr">
        <is>
          <t>17/03/2026</t>
        </is>
      </c>
      <c r="K3659" t="inlineStr">
        <is>
          <t>N/A</t>
        </is>
      </c>
      <c r="L3659" t="inlineStr">
        <is>
          <t>Giao Tiếp, Kế Toán, Thuế, Đồng Đội</t>
        </is>
      </c>
      <c r="M3659" t="inlineStr">
        <is>
          <t>Healthcare Plan, Training, Others</t>
        </is>
      </c>
      <c r="N3659" s="8">
        <f>HYPERLINK("https://www.vietnamworks.com/nhan-vien-cap-cao-tu-van-ke-toan-thue-2014183-jv","Xem chi tiết")</f>
        <v/>
      </c>
    </row>
    <row r="3660">
      <c r="B3660" s="9" t="n">
        <v>3658</v>
      </c>
      <c r="C3660" s="10" t="inlineStr">
        <is>
          <t>Nhân Viên Tư Vấn Kế Toán - Thuế</t>
        </is>
      </c>
      <c r="D3660" s="10" t="inlineStr">
        <is>
          <t>Công Ty TNHH I-Glocal - CN Tp.HCM</t>
        </is>
      </c>
      <c r="E3660" s="10" t="inlineStr">
        <is>
          <t>Thương lượng</t>
        </is>
      </c>
      <c r="F3660" s="10" t="inlineStr">
        <is>
          <t>Hồ Chí Minh</t>
        </is>
      </c>
      <c r="G3660" s="10" t="inlineStr">
        <is>
          <t>Nhân viên</t>
        </is>
      </c>
      <c r="H3660" s="10" t="inlineStr">
        <is>
          <t>26/02/2026</t>
        </is>
      </c>
      <c r="I3660" s="10" t="inlineStr">
        <is>
          <t>28/03/2026</t>
        </is>
      </c>
      <c r="J3660" s="10" t="inlineStr">
        <is>
          <t>17/03/2026</t>
        </is>
      </c>
      <c r="K3660" s="10" t="inlineStr">
        <is>
          <t>N/A</t>
        </is>
      </c>
      <c r="L3660" s="10" t="inlineStr">
        <is>
          <t>Giao Tiếp, Kế Toán, Kỹ năng làm việc nhóm, Thuế</t>
        </is>
      </c>
      <c r="M3660" s="10" t="inlineStr">
        <is>
          <t>Healthcare Plan, Training, Others</t>
        </is>
      </c>
      <c r="N3660" s="11">
        <f>HYPERLINK("https://www.vietnamworks.com/nhan-vien-tu-van-ke-toan-thue-2014187-jv","Xem chi tiết")</f>
        <v/>
      </c>
      <c r="O3660" s="10" t="n"/>
    </row>
    <row r="3661">
      <c r="B3661" s="7" t="n">
        <v>3659</v>
      </c>
      <c r="C3661" t="inlineStr">
        <is>
          <t>Sales Staff</t>
        </is>
      </c>
      <c r="D3661" t="inlineStr">
        <is>
          <t>Công Ty TNHH Nitta Gelatin Việt Nam</t>
        </is>
      </c>
      <c r="E3661" t="inlineStr">
        <is>
          <t>20tr-25tr ₫/tháng</t>
        </is>
      </c>
      <c r="F3661" t="inlineStr">
        <is>
          <t>Tây Ninh, Hồ Chí Minh, Long An</t>
        </is>
      </c>
      <c r="G3661" t="inlineStr">
        <is>
          <t>Nhân viên</t>
        </is>
      </c>
      <c r="H3661" t="inlineStr">
        <is>
          <t>26/02/2026</t>
        </is>
      </c>
      <c r="I3661" t="inlineStr">
        <is>
          <t>28/03/2026</t>
        </is>
      </c>
      <c r="J3661" t="inlineStr">
        <is>
          <t>17/03/2026</t>
        </is>
      </c>
      <c r="K3661" t="inlineStr">
        <is>
          <t>N/A</t>
        </is>
      </c>
      <c r="L3661" t="inlineStr">
        <is>
          <t>Sales, Food Science, English, New Customer Acquisitions, Relationship Management</t>
        </is>
      </c>
      <c r="M3661" t="inlineStr">
        <is>
          <t>Bonus, Healthcare Plan, Others</t>
        </is>
      </c>
      <c r="N3661" s="8">
        <f>HYPERLINK("https://www.vietnamworks.com/sales-staff-2014193-jv","Xem chi tiết")</f>
        <v/>
      </c>
    </row>
    <row r="3662">
      <c r="B3662" s="9" t="n">
        <v>3660</v>
      </c>
      <c r="C3662" s="10" t="inlineStr">
        <is>
          <t>Phó Phòng Kế Toán (Kinh Nghiệm BĐS)</t>
        </is>
      </c>
      <c r="D3662" s="10" t="inlineStr">
        <is>
          <t>CÔNG TY CỔ PHẦN CÔNG NGHỆ IHOUZZ</t>
        </is>
      </c>
      <c r="E3662" s="10" t="inlineStr">
        <is>
          <t>Thương lượng</t>
        </is>
      </c>
      <c r="F3662" s="10" t="inlineStr">
        <is>
          <t>Hồ Chí Minh</t>
        </is>
      </c>
      <c r="G3662" s="10" t="inlineStr">
        <is>
          <t>Nhân viên</t>
        </is>
      </c>
      <c r="H3662" s="10" t="inlineStr">
        <is>
          <t>26/02/2026</t>
        </is>
      </c>
      <c r="I3662" s="10" t="inlineStr">
        <is>
          <t>28/03/2026</t>
        </is>
      </c>
      <c r="J3662" s="10" t="inlineStr">
        <is>
          <t>17/03/2026</t>
        </is>
      </c>
      <c r="K3662" s="10" t="inlineStr">
        <is>
          <t>N/A</t>
        </is>
      </c>
      <c r="L3662" s="10" t="inlineStr">
        <is>
          <t>Chief Accountant, Accounting, Bất Động Sản, Chứng khoán, Tài Chính Kế Toán</t>
        </is>
      </c>
      <c r="M3662" s="10" t="inlineStr">
        <is>
          <t>Bonus, Healthcare Plan, Laptop, Team Activities, Others</t>
        </is>
      </c>
      <c r="N3662" s="11">
        <f>HYPERLINK("https://www.vietnamworks.com/pho-phong-ke-toan-kinh-nghiem-bdjs-2014195-jv","Xem chi tiết")</f>
        <v/>
      </c>
      <c r="O3662" s="10" t="n"/>
    </row>
    <row r="3663">
      <c r="B3663" s="7" t="n">
        <v>3661</v>
      </c>
      <c r="C3663" t="inlineStr">
        <is>
          <t>Quản Lý Sản Phẩm</t>
        </is>
      </c>
      <c r="D3663" t="inlineStr">
        <is>
          <t>Công Ty Cổ Phần Tập Đoàn Sunhouse</t>
        </is>
      </c>
      <c r="E3663" t="inlineStr">
        <is>
          <t>Thương lượng</t>
        </is>
      </c>
      <c r="F3663" t="inlineStr">
        <is>
          <t>Hà Nội</t>
        </is>
      </c>
      <c r="G3663" t="inlineStr">
        <is>
          <t>Nhân viên</t>
        </is>
      </c>
      <c r="H3663" t="inlineStr">
        <is>
          <t>26/02/2026</t>
        </is>
      </c>
      <c r="I3663" t="inlineStr">
        <is>
          <t>28/03/2026</t>
        </is>
      </c>
      <c r="J3663" t="inlineStr">
        <is>
          <t>17/03/2026</t>
        </is>
      </c>
      <c r="K3663" t="inlineStr">
        <is>
          <t>N/A</t>
        </is>
      </c>
      <c r="L3663" t="inlineStr">
        <is>
          <t>Điện Lạnh Gia Dụng, Quản Lý Ngành Hàng, Quản Lý Khu Vực, Phát Triển Kênh Phân Phối, Trade Marketing</t>
        </is>
      </c>
      <c r="M3663" t="inlineStr">
        <is>
          <t>Bonus, Healthcare Plan, Training</t>
        </is>
      </c>
      <c r="N3663" s="8">
        <f>HYPERLINK("https://www.vietnamworks.com/quan-ly-san-pham--2014204-jv","Xem chi tiết")</f>
        <v/>
      </c>
    </row>
    <row r="3664">
      <c r="B3664" s="9" t="n">
        <v>3662</v>
      </c>
      <c r="C3664" s="10" t="inlineStr">
        <is>
          <t>Sales/ Merchandising Manager</t>
        </is>
      </c>
      <c r="D3664" s="10" t="inlineStr">
        <is>
          <t>Công Ty TNHH Spica Elastic Việt Nam</t>
        </is>
      </c>
      <c r="E3664" s="10" t="inlineStr">
        <is>
          <t>Thương lượng</t>
        </is>
      </c>
      <c r="F3664" s="10" t="inlineStr">
        <is>
          <t>Bắc Ninh</t>
        </is>
      </c>
      <c r="G3664" s="10" t="inlineStr">
        <is>
          <t>Trưởng phòng</t>
        </is>
      </c>
      <c r="H3664" s="10" t="inlineStr">
        <is>
          <t>26/02/2026</t>
        </is>
      </c>
      <c r="I3664" s="10" t="inlineStr">
        <is>
          <t>28/03/2026</t>
        </is>
      </c>
      <c r="J3664" s="10" t="inlineStr">
        <is>
          <t>17/03/2026</t>
        </is>
      </c>
      <c r="K3664" s="10" t="inlineStr">
        <is>
          <t>N/A</t>
        </is>
      </c>
      <c r="L3664" s="10" t="inlineStr">
        <is>
          <t>Sales Management, Team Management, Customer Service, Order Management, Quản Lý Kinh Doanh</t>
        </is>
      </c>
      <c r="M3664" s="10" t="inlineStr">
        <is>
          <t>Bonus, Healthcare Plan, Team Activities</t>
        </is>
      </c>
      <c r="N3664" s="11">
        <f>HYPERLINK("https://www.vietnamworks.com/sales-merchandising-manager-2014215-jv","Xem chi tiết")</f>
        <v/>
      </c>
      <c r="O3664" s="10" t="n"/>
    </row>
    <row r="3665">
      <c r="B3665" s="7" t="n">
        <v>3663</v>
      </c>
      <c r="C3665" t="inlineStr">
        <is>
          <t>Nhân Viên Thiết Kế Kiến Trúc</t>
        </is>
      </c>
      <c r="D3665" t="inlineStr">
        <is>
          <t>CBC - Civil &amp; Building Construction</t>
        </is>
      </c>
      <c r="E3665" t="inlineStr">
        <is>
          <t>Thương lượng</t>
        </is>
      </c>
      <c r="F3665" t="inlineStr">
        <is>
          <t>Hồ Chí Minh</t>
        </is>
      </c>
      <c r="G3665" t="inlineStr">
        <is>
          <t>Nhân viên</t>
        </is>
      </c>
      <c r="H3665" t="inlineStr">
        <is>
          <t>26/02/2026</t>
        </is>
      </c>
      <c r="I3665" t="inlineStr">
        <is>
          <t>28/03/2026</t>
        </is>
      </c>
      <c r="J3665" t="inlineStr">
        <is>
          <t>17/03/2026</t>
        </is>
      </c>
      <c r="K3665" t="inlineStr">
        <is>
          <t>N/A</t>
        </is>
      </c>
      <c r="L3665" t="inlineStr">
        <is>
          <t>AutoCAD, Photoshop, 3DSMAX, Revit, Architecture Drafting</t>
        </is>
      </c>
      <c r="M3665" t="inlineStr">
        <is>
          <t>Bonus, Healthcare Plan, Training, Others</t>
        </is>
      </c>
      <c r="N3665" s="8">
        <f>HYPERLINK("https://www.vietnamworks.com/nhan-vien-thiet-ke-kien-truc-2014210-jv","Xem chi tiết")</f>
        <v/>
      </c>
    </row>
    <row r="3666">
      <c r="B3666" s="9" t="n">
        <v>3664</v>
      </c>
      <c r="C3666" s="10" t="inlineStr">
        <is>
          <t>Sales Engineer</t>
        </is>
      </c>
      <c r="D3666" s="10" t="inlineStr">
        <is>
          <t>TIMTEX TRADING CO.,LTD</t>
        </is>
      </c>
      <c r="E3666" s="10" t="inlineStr">
        <is>
          <t>Tới 20tr ₫/tháng</t>
        </is>
      </c>
      <c r="F3666" s="10" t="inlineStr">
        <is>
          <t>Hồ Chí Minh, Hà Nội</t>
        </is>
      </c>
      <c r="G3666" s="10" t="inlineStr">
        <is>
          <t>Nhân viên</t>
        </is>
      </c>
      <c r="H3666" s="10" t="inlineStr">
        <is>
          <t>26/02/2026</t>
        </is>
      </c>
      <c r="I3666" s="10" t="inlineStr">
        <is>
          <t>28/03/2026</t>
        </is>
      </c>
      <c r="J3666" s="10" t="inlineStr">
        <is>
          <t>17/03/2026</t>
        </is>
      </c>
      <c r="K3666" s="10" t="inlineStr">
        <is>
          <t>N/A</t>
        </is>
      </c>
      <c r="L3666" s="10" t="inlineStr">
        <is>
          <t>Tư Vấn Sản Phẩm, Chăm Sóc Khách Hàng, Tư Vấn Kỹ Thuật, Kinh Doanh, Dệt May</t>
        </is>
      </c>
      <c r="M3666" s="10" t="inlineStr">
        <is>
          <t>Bonus, Healthcare Plan, Training, Travel Opportunities</t>
        </is>
      </c>
      <c r="N3666" s="11">
        <f>HYPERLINK("https://www.vietnamworks.com/sales-engineer--2014213-jv","Xem chi tiết")</f>
        <v/>
      </c>
      <c r="O3666" s="10" t="n"/>
    </row>
    <row r="3667">
      <c r="B3667" s="7" t="n">
        <v>3665</v>
      </c>
      <c r="C3667" t="inlineStr">
        <is>
          <t>Nhân Viên Văn Phòng Đại Diện Dược Phẩm- Đăng Ký Thuốc, Thực Phẩm Chức Năng Châu Âu</t>
        </is>
      </c>
      <c r="D3667" t="inlineStr">
        <is>
          <t>VPDD Pharmland</t>
        </is>
      </c>
      <c r="E3667" t="inlineStr">
        <is>
          <t>14tr-20tr ₫/tháng</t>
        </is>
      </c>
      <c r="F3667" t="inlineStr">
        <is>
          <t>Hà Nội</t>
        </is>
      </c>
      <c r="G3667" t="inlineStr">
        <is>
          <t>Nhân viên</t>
        </is>
      </c>
      <c r="H3667" t="inlineStr">
        <is>
          <t>26/02/2026</t>
        </is>
      </c>
      <c r="I3667" t="inlineStr">
        <is>
          <t>28/03/2026</t>
        </is>
      </c>
      <c r="J3667" t="inlineStr">
        <is>
          <t>17/03/2026</t>
        </is>
      </c>
      <c r="K3667" t="inlineStr">
        <is>
          <t>N/A</t>
        </is>
      </c>
      <c r="L3667" t="inlineStr">
        <is>
          <t>Đăng Ký Thuốc, Phát Triển Sản Phẩm, Giao Tiếp Tiếng Anh, Duoc phẩm và Thực Phẩm Chức Năng, Hóa Dược Phẩm</t>
        </is>
      </c>
      <c r="M3667" t="inlineStr">
        <is>
          <t>Bonus, Healthcare Plan, Paid Leave, Training, Travel Opportunities, Others</t>
        </is>
      </c>
      <c r="N3667" s="8">
        <f>HYPERLINK("https://www.vietnamworks.com/nhan-vien-van-phong-dai-dien-duoc-pham-dang-ky-thuoc-thuc-pham-chuc-nang-chau-au-2014214-jv","Xem chi tiết")</f>
        <v/>
      </c>
    </row>
    <row r="3668">
      <c r="B3668" s="9" t="n">
        <v>3666</v>
      </c>
      <c r="C3668" s="10" t="inlineStr">
        <is>
          <t>QC Staff</t>
        </is>
      </c>
      <c r="D3668" s="10" t="inlineStr">
        <is>
          <t>Công Ty TNHH Nitta Gelatin Việt Nam</t>
        </is>
      </c>
      <c r="E3668" s="10" t="inlineStr">
        <is>
          <t>Từ 15tr ₫/tháng</t>
        </is>
      </c>
      <c r="F3668" s="10" t="inlineStr">
        <is>
          <t>Tây Ninh, Hồ Chí Minh, Long An</t>
        </is>
      </c>
      <c r="G3668" s="10" t="inlineStr">
        <is>
          <t>Nhân viên</t>
        </is>
      </c>
      <c r="H3668" s="10" t="inlineStr">
        <is>
          <t>26/02/2026</t>
        </is>
      </c>
      <c r="I3668" s="10" t="inlineStr">
        <is>
          <t>28/03/2026</t>
        </is>
      </c>
      <c r="J3668" s="10" t="inlineStr">
        <is>
          <t>17/03/2026</t>
        </is>
      </c>
      <c r="K3668" s="10" t="inlineStr">
        <is>
          <t>N/A</t>
        </is>
      </c>
      <c r="L3668" s="10" t="inlineStr">
        <is>
          <t>English, Relationship Management, Food Industry, Microbiological Testing, Quality Control</t>
        </is>
      </c>
      <c r="M3668" s="10" t="inlineStr">
        <is>
          <t>Bonus, Healthcare Plan, Others</t>
        </is>
      </c>
      <c r="N3668" s="11">
        <f>HYPERLINK("https://www.vietnamworks.com/qc-staff-2014192-jv","Xem chi tiết")</f>
        <v/>
      </c>
      <c r="O3668" s="10" t="n"/>
    </row>
    <row r="3669">
      <c r="B3669" s="7" t="n">
        <v>3667</v>
      </c>
      <c r="C3669" t="inlineStr">
        <is>
          <t>[Seojin Vina] - Trưởng Phòng R&amp;D - Bộ Phận Kinh Doanh Quốc Tế</t>
        </is>
      </c>
      <c r="D3669" t="inlineStr">
        <is>
          <t>Công ty TNHH Seojin Auto</t>
        </is>
      </c>
      <c r="E3669" t="inlineStr">
        <is>
          <t>Thương lượng</t>
        </is>
      </c>
      <c r="F3669" t="inlineStr">
        <is>
          <t>Bắc Ninh, Hà Nội</t>
        </is>
      </c>
      <c r="G3669" t="inlineStr">
        <is>
          <t>Trưởng phòng</t>
        </is>
      </c>
      <c r="H3669" t="inlineStr">
        <is>
          <t>26/02/2026</t>
        </is>
      </c>
      <c r="I3669" t="inlineStr">
        <is>
          <t>28/03/2026</t>
        </is>
      </c>
      <c r="J3669" t="inlineStr">
        <is>
          <t>17/03/2026</t>
        </is>
      </c>
      <c r="K3669" t="inlineStr">
        <is>
          <t>N/A</t>
        </is>
      </c>
      <c r="L3669" t="inlineStr">
        <is>
          <t>Kỹ Thuật Cơ Khí, Thiết Kế 2D, Thiết Kế 3D, Đọc Hiểu Bản Vẽ, Giao Tiếp Tiếng Anh</t>
        </is>
      </c>
      <c r="M3669" t="inlineStr">
        <is>
          <t>Healthcare Plan, Transportation, Others</t>
        </is>
      </c>
      <c r="N3669" s="8">
        <f>HYPERLINK("https://www.vietnamworks.com/seojin-vina-truong-phong-randd-bo-phan-kinh-doanh-quoc-te-2014207-jv","Xem chi tiết")</f>
        <v/>
      </c>
    </row>
    <row r="3670">
      <c r="B3670" s="9" t="n">
        <v>3668</v>
      </c>
      <c r="C3670" s="10" t="inlineStr">
        <is>
          <t>Senior Sales Executive (Chuyên Viên Kinh Doanh Cấp Cao)</t>
        </is>
      </c>
      <c r="D3670" s="10" t="inlineStr">
        <is>
          <t>Công Ty TNHH Thiết Bị Y Tế Dmed</t>
        </is>
      </c>
      <c r="E3670" s="10" t="inlineStr">
        <is>
          <t>$$ 800-1,200 /tháng</t>
        </is>
      </c>
      <c r="F3670" s="10" t="inlineStr">
        <is>
          <t>Hồ Chí Minh</t>
        </is>
      </c>
      <c r="G3670" s="10" t="inlineStr">
        <is>
          <t>Nhân viên</t>
        </is>
      </c>
      <c r="H3670" s="10" t="inlineStr">
        <is>
          <t>26/02/2026</t>
        </is>
      </c>
      <c r="I3670" s="10" t="inlineStr">
        <is>
          <t>28/03/2026</t>
        </is>
      </c>
      <c r="J3670" s="10" t="inlineStr">
        <is>
          <t>17/03/2026</t>
        </is>
      </c>
      <c r="K3670" s="10" t="inlineStr">
        <is>
          <t>N/A</t>
        </is>
      </c>
      <c r="L3670" s="10" t="inlineStr">
        <is>
          <t>Bán Hàng, Kinh Doanh, Dược, Thiết Bị Y Tế, Bán Hàng Kỹ Thuật</t>
        </is>
      </c>
      <c r="M3670" s="10" t="inlineStr">
        <is>
          <t>Bonus</t>
        </is>
      </c>
      <c r="N3670" s="11">
        <f>HYPERLINK("https://www.vietnamworks.com/senior-sales-executive-chuyen-vien-kinh-doanh-cap-cao--2014200-jv","Xem chi tiết")</f>
        <v/>
      </c>
      <c r="O3670" s="10" t="n"/>
    </row>
    <row r="3671">
      <c r="B3671" s="7" t="n">
        <v>3669</v>
      </c>
      <c r="C3671" t="inlineStr">
        <is>
          <t>Chuyên Viên Cấp Cao SAP</t>
        </is>
      </c>
      <c r="D3671" t="inlineStr">
        <is>
          <t>Công ty Cổ phần Tập đoàn Bất động sản NK Properties</t>
        </is>
      </c>
      <c r="E3671" t="inlineStr">
        <is>
          <t>Thương lượng</t>
        </is>
      </c>
      <c r="F3671" t="inlineStr">
        <is>
          <t>Hồ Chí Minh</t>
        </is>
      </c>
      <c r="G3671" t="inlineStr">
        <is>
          <t>Nhân viên</t>
        </is>
      </c>
      <c r="H3671" t="inlineStr">
        <is>
          <t>26/02/2026</t>
        </is>
      </c>
      <c r="I3671" t="inlineStr">
        <is>
          <t>28/03/2026</t>
        </is>
      </c>
      <c r="J3671" t="inlineStr">
        <is>
          <t>17/03/2026</t>
        </is>
      </c>
      <c r="K3671" t="inlineStr">
        <is>
          <t>N/A</t>
        </is>
      </c>
      <c r="L3671" t="inlineStr">
        <is>
          <t>Analytical Skills, Manage ERP Software, Microsoft Office 365, Oracle CRM, UAT</t>
        </is>
      </c>
      <c r="M3671" t="inlineStr">
        <is>
          <t>Bonus, Healthcare Plan, Paid Leave, Travel Opportunities</t>
        </is>
      </c>
      <c r="N3671" s="8">
        <f>HYPERLINK("https://www.vietnamworks.com/chuyen-vien-cap-cao-sap--2014199-jv","Xem chi tiết")</f>
        <v/>
      </c>
    </row>
    <row r="3672">
      <c r="B3672" s="9" t="n">
        <v>3670</v>
      </c>
      <c r="C3672" s="10" t="inlineStr">
        <is>
          <t>Nhân Viên Kinh Doanh - Điều Hành Du Lịch (Tiếng Pháp/ Tiếng Nhật/ Tiếng Anh)</t>
        </is>
      </c>
      <c r="D3672" s="10" t="inlineStr">
        <is>
          <t>Công ty TNHH Du lịch - Thương mại Tân Đông Dương</t>
        </is>
      </c>
      <c r="E3672" s="10" t="inlineStr">
        <is>
          <t>Thương lượng</t>
        </is>
      </c>
      <c r="F3672" s="10" t="inlineStr">
        <is>
          <t>Hồ Chí Minh</t>
        </is>
      </c>
      <c r="G3672" s="10" t="inlineStr">
        <is>
          <t>Nhân viên</t>
        </is>
      </c>
      <c r="H3672" s="10" t="inlineStr">
        <is>
          <t>26/02/2026</t>
        </is>
      </c>
      <c r="I3672" s="10" t="inlineStr">
        <is>
          <t>28/03/2026</t>
        </is>
      </c>
      <c r="J3672" s="10" t="inlineStr">
        <is>
          <t>17/03/2026</t>
        </is>
      </c>
      <c r="K3672" s="10" t="inlineStr">
        <is>
          <t>N/A</t>
        </is>
      </c>
      <c r="L3672" s="10" t="inlineStr">
        <is>
          <t>Điều Hành Tour, Japanese, Du Lịch Outbound, Tour Inbound, Quản Lý Kinh Doanh Du Lịch</t>
        </is>
      </c>
      <c r="M3672" s="10" t="inlineStr">
        <is>
          <t>Bonus, Healthcare Plan, Training</t>
        </is>
      </c>
      <c r="N3672" s="11">
        <f>HYPERLINK("https://www.vietnamworks.com/nhan-vien-kinh-doanh-dieu-hanh-du-lich-tieng-phap-tieng-nhat-tieng-anh--2014206-jv","Xem chi tiết")</f>
        <v/>
      </c>
      <c r="O3672" s="10" t="n"/>
    </row>
    <row r="3673">
      <c r="B3673" s="7" t="n">
        <v>3671</v>
      </c>
      <c r="C3673" t="inlineStr">
        <is>
          <t>Head of Technical</t>
        </is>
      </c>
      <c r="D3673" t="inlineStr">
        <is>
          <t>Cai Mep International Terminal Co., Ltd.</t>
        </is>
      </c>
      <c r="E3673" t="inlineStr">
        <is>
          <t>Thương lượng</t>
        </is>
      </c>
      <c r="F3673" t="inlineStr">
        <is>
          <t>Bà Rịa - Vũng Tàu</t>
        </is>
      </c>
      <c r="G3673" t="inlineStr">
        <is>
          <t>Giám Đốc và Cấp Cao Hơn</t>
        </is>
      </c>
      <c r="H3673" t="inlineStr">
        <is>
          <t>26/02/2026</t>
        </is>
      </c>
      <c r="I3673" t="inlineStr">
        <is>
          <t>28/03/2026</t>
        </is>
      </c>
      <c r="J3673" t="inlineStr">
        <is>
          <t>17/03/2026</t>
        </is>
      </c>
      <c r="K3673" t="inlineStr">
        <is>
          <t>N/A</t>
        </is>
      </c>
      <c r="L3673" t="inlineStr">
        <is>
          <t>Engineering, Oil &amp; Gas Safety, SHE Management, Maintenance, Kỹ Thuật</t>
        </is>
      </c>
      <c r="M3673" t="inlineStr">
        <is>
          <t>Bonus, Healthcare Plan, Transportation</t>
        </is>
      </c>
      <c r="N3673" s="8">
        <f>HYPERLINK("https://www.vietnamworks.com/head-of-technical--2014205-jv","Xem chi tiết")</f>
        <v/>
      </c>
    </row>
    <row r="3674">
      <c r="B3674" s="9" t="n">
        <v>3672</v>
      </c>
      <c r="C3674" s="10" t="inlineStr">
        <is>
          <t>Kỹ Sư Thiết Kế Hệ Thống Điều Hòa Thông Gió - Thu Nhập Hấp Dẫn</t>
        </is>
      </c>
      <c r="D3674" s="10" t="inlineStr">
        <is>
          <t>PTA Asia Consultants Co., Ltd</t>
        </is>
      </c>
      <c r="E3674" s="10" t="inlineStr">
        <is>
          <t>Thương lượng</t>
        </is>
      </c>
      <c r="F3674" s="10" t="inlineStr">
        <is>
          <t>Hà Nội</t>
        </is>
      </c>
      <c r="G3674" s="10" t="inlineStr">
        <is>
          <t>Nhân viên</t>
        </is>
      </c>
      <c r="H3674" s="10" t="inlineStr">
        <is>
          <t>26/02/2026</t>
        </is>
      </c>
      <c r="I3674" s="10" t="inlineStr">
        <is>
          <t>28/03/2026</t>
        </is>
      </c>
      <c r="J3674" s="10" t="inlineStr">
        <is>
          <t>17/03/2026</t>
        </is>
      </c>
      <c r="K3674" s="10" t="inlineStr">
        <is>
          <t>N/A</t>
        </is>
      </c>
      <c r="L3674" s="10" t="inlineStr">
        <is>
          <t>AutoCAD, Revit, Hệ Thống Điều Hòa Không Khí, Bóc Tách Khối Lượng, Công Nghệ Nhiệt Lạnh</t>
        </is>
      </c>
      <c r="M3674" s="10" t="inlineStr">
        <is>
          <t>Bonus, Healthcare Plan, Training</t>
        </is>
      </c>
      <c r="N3674" s="11">
        <f>HYPERLINK("https://www.vietnamworks.com/ky-su-thiet-ke-he-thong-dieu-hoa-thong-gio-thu-nhap-hap-dan--2014224-jv","Xem chi tiết")</f>
        <v/>
      </c>
      <c r="O3674" s="10" t="n"/>
    </row>
    <row r="3675">
      <c r="B3675" s="7" t="n">
        <v>3673</v>
      </c>
      <c r="C3675" t="inlineStr">
        <is>
          <t>Trưởng Nhóm Kinh Doanh - Quận 5, Bình Tân, Long An</t>
        </is>
      </c>
      <c r="D3675" t="inlineStr">
        <is>
          <t>Shinhan Vietnam Finance Company Limited</t>
        </is>
      </c>
      <c r="E3675" t="inlineStr">
        <is>
          <t>Thương lượng</t>
        </is>
      </c>
      <c r="F3675" t="inlineStr">
        <is>
          <t>Long An, Hồ Chí Minh</t>
        </is>
      </c>
      <c r="G3675" t="inlineStr">
        <is>
          <t>Trưởng phòng</t>
        </is>
      </c>
      <c r="H3675" t="inlineStr">
        <is>
          <t>26/02/2026</t>
        </is>
      </c>
      <c r="I3675" t="inlineStr">
        <is>
          <t>28/03/2026</t>
        </is>
      </c>
      <c r="J3675" t="inlineStr">
        <is>
          <t>17/03/2026</t>
        </is>
      </c>
      <c r="K3675" t="inlineStr">
        <is>
          <t>N/A</t>
        </is>
      </c>
      <c r="L3675" t="inlineStr">
        <is>
          <t>Giao tiếp, Tài chính doanh nghiệp, ngân hàng, Tài Chính, Kinh Doanh</t>
        </is>
      </c>
      <c r="M3675" t="inlineStr">
        <is>
          <t>Bonus, Healthcare Plan, Paid Leave</t>
        </is>
      </c>
      <c r="N3675" s="8">
        <f>HYPERLINK("https://www.vietnamworks.com/truong-nhom-kinh-doanh-quan-5-binh-tan-long-an-2014194-jv","Xem chi tiết")</f>
        <v/>
      </c>
    </row>
    <row r="3676">
      <c r="B3676" s="9" t="n">
        <v>3674</v>
      </c>
      <c r="C3676" s="10" t="inlineStr">
        <is>
          <t>Kế Toán Tổng Hợp</t>
        </is>
      </c>
      <c r="D3676" s="10" t="inlineStr">
        <is>
          <t>Công Ty Cổ Phần Tập Đoàn Dược Phẩm Và Thương Mại SOHACO</t>
        </is>
      </c>
      <c r="E3676" s="10" t="inlineStr">
        <is>
          <t>Tới $ 1,000 /tháng</t>
        </is>
      </c>
      <c r="F3676" s="10" t="inlineStr">
        <is>
          <t>Hà Nội</t>
        </is>
      </c>
      <c r="G3676" s="10" t="inlineStr">
        <is>
          <t>Nhân viên</t>
        </is>
      </c>
      <c r="H3676" s="10" t="inlineStr">
        <is>
          <t>26/02/2026</t>
        </is>
      </c>
      <c r="I3676" s="10" t="inlineStr">
        <is>
          <t>28/03/2026</t>
        </is>
      </c>
      <c r="J3676" s="10" t="inlineStr">
        <is>
          <t>17/03/2026</t>
        </is>
      </c>
      <c r="K3676" s="10" t="inlineStr">
        <is>
          <t>N/A</t>
        </is>
      </c>
      <c r="L3676" s="10" t="inlineStr">
        <is>
          <t>Báo Cáo Tài Chính, Kiến thức chuyên môn, Kỹ Năng Phân Tích, Kỹ năng tin học văn phòng</t>
        </is>
      </c>
      <c r="M3676" s="10" t="inlineStr">
        <is>
          <t>Healthcare Plan, Canteen, Others</t>
        </is>
      </c>
      <c r="N3676" s="11">
        <f>HYPERLINK("https://www.vietnamworks.com/ke-toan-tong-hop--2014208-jv","Xem chi tiết")</f>
        <v/>
      </c>
      <c r="O3676" s="10" t="n"/>
    </row>
    <row r="3677">
      <c r="B3677" s="7" t="n">
        <v>3675</v>
      </c>
      <c r="C3677" t="inlineStr">
        <is>
          <t>Production Shift Leader (Moulding)</t>
        </is>
      </c>
      <c r="D3677" t="inlineStr">
        <is>
          <t>Công Ty TNHH LEGO Manufacturing Việt Nam</t>
        </is>
      </c>
      <c r="E3677" t="inlineStr">
        <is>
          <t>Thương lượng</t>
        </is>
      </c>
      <c r="F3677" t="inlineStr">
        <is>
          <t>Hồ Chí Minh</t>
        </is>
      </c>
      <c r="G3677" t="inlineStr">
        <is>
          <t>Nhân viên</t>
        </is>
      </c>
      <c r="H3677" t="inlineStr">
        <is>
          <t>26/02/2026</t>
        </is>
      </c>
      <c r="I3677" t="inlineStr">
        <is>
          <t>28/03/2026</t>
        </is>
      </c>
      <c r="J3677" t="inlineStr">
        <is>
          <t>17/03/2026</t>
        </is>
      </c>
      <c r="K3677" t="inlineStr">
        <is>
          <t>N/A</t>
        </is>
      </c>
      <c r="L3677" t="inlineStr">
        <is>
          <t>English, Molding, Manufacturing Operations Management</t>
        </is>
      </c>
      <c r="M3677" t="inlineStr">
        <is>
          <t>Bonus, Healthcare Plan, Paid Leave</t>
        </is>
      </c>
      <c r="N3677" s="8">
        <f>HYPERLINK("https://www.vietnamworks.com/production-shift-leader-moulding--2014211-jv","Xem chi tiết")</f>
        <v/>
      </c>
    </row>
    <row r="3678">
      <c r="B3678" s="9" t="n">
        <v>3676</v>
      </c>
      <c r="C3678" s="10" t="inlineStr">
        <is>
          <t>Kế Toán kiêm Hành Chính Nhân Sự</t>
        </is>
      </c>
      <c r="D3678" s="10" t="inlineStr">
        <is>
          <t>CÔNG TY CỔ PHẦN CÔNG NGHỆ IHOUZZ</t>
        </is>
      </c>
      <c r="E3678" s="10" t="inlineStr">
        <is>
          <t>Thương lượng</t>
        </is>
      </c>
      <c r="F3678" s="10" t="inlineStr">
        <is>
          <t>Hồ Chí Minh</t>
        </is>
      </c>
      <c r="G3678" s="10" t="inlineStr">
        <is>
          <t>Nhân viên</t>
        </is>
      </c>
      <c r="H3678" s="10" t="inlineStr">
        <is>
          <t>26/02/2026</t>
        </is>
      </c>
      <c r="I3678" s="10" t="inlineStr">
        <is>
          <t>28/03/2026</t>
        </is>
      </c>
      <c r="J3678" s="10" t="inlineStr">
        <is>
          <t>17/03/2026</t>
        </is>
      </c>
      <c r="K3678" s="10" t="inlineStr">
        <is>
          <t>N/A</t>
        </is>
      </c>
      <c r="L3678" s="10" t="inlineStr">
        <is>
          <t>Kế Toán Thanh Toán, Kế Toán Thuế, Hành Chính Nhân Sự, Kế Toán Misa, SAP</t>
        </is>
      </c>
      <c r="M3678" s="10" t="inlineStr">
        <is>
          <t>Bonus, Healthcare Plan, Team Activities, Others</t>
        </is>
      </c>
      <c r="N3678" s="11">
        <f>HYPERLINK("https://www.vietnamworks.com/ke-toan-kiem-hanh-chinh-nhan-su-2014202-jv","Xem chi tiết")</f>
        <v/>
      </c>
      <c r="O3678" s="10" t="n"/>
    </row>
    <row r="3679">
      <c r="B3679" s="7" t="n">
        <v>3677</v>
      </c>
      <c r="C3679" t="inlineStr">
        <is>
          <t>Marketing Manager</t>
        </is>
      </c>
      <c r="D3679" t="inlineStr">
        <is>
          <t>CÔNG TY TNHH CÔNG NGHỆ SMART- LINK VIỆT NAM</t>
        </is>
      </c>
      <c r="E3679" t="inlineStr">
        <is>
          <t>Thương lượng</t>
        </is>
      </c>
      <c r="F3679" t="inlineStr">
        <is>
          <t>Hồ Chí Minh</t>
        </is>
      </c>
      <c r="G3679" t="inlineStr">
        <is>
          <t>Trưởng phòng</t>
        </is>
      </c>
      <c r="H3679" t="inlineStr">
        <is>
          <t>26/02/2026</t>
        </is>
      </c>
      <c r="I3679" t="inlineStr">
        <is>
          <t>28/03/2026</t>
        </is>
      </c>
      <c r="J3679" t="inlineStr">
        <is>
          <t>17/03/2026</t>
        </is>
      </c>
      <c r="K3679" t="inlineStr">
        <is>
          <t>N/A</t>
        </is>
      </c>
      <c r="L3679" t="inlineStr">
        <is>
          <t>Digital Marketing, KOC Management, Event Planning, Data Analysis, Communication Skills</t>
        </is>
      </c>
      <c r="M3679" t="inlineStr">
        <is>
          <t>Bonus, Healthcare Plan, Team Activities, Others</t>
        </is>
      </c>
      <c r="N3679" s="8">
        <f>HYPERLINK("https://www.vietnamworks.com/marketing-manager-2014216-jv","Xem chi tiết")</f>
        <v/>
      </c>
    </row>
    <row r="3680">
      <c r="B3680" s="9" t="n">
        <v>3678</v>
      </c>
      <c r="C3680" s="10" t="inlineStr">
        <is>
          <t>Giám Sát Thi Công Hoàn Thiện (Hợp Đồng 06 Tháng)</t>
        </is>
      </c>
      <c r="D3680" s="10" t="inlineStr">
        <is>
          <t>Công Ty Cổ Phần Chứng Khoán SSI</t>
        </is>
      </c>
      <c r="E3680" s="10" t="inlineStr">
        <is>
          <t>Thương lượng</t>
        </is>
      </c>
      <c r="F3680" s="10" t="inlineStr">
        <is>
          <t>Hà Nội</t>
        </is>
      </c>
      <c r="G3680" s="10" t="inlineStr">
        <is>
          <t>Nhân viên</t>
        </is>
      </c>
      <c r="H3680" s="10" t="inlineStr">
        <is>
          <t>26/02/2026</t>
        </is>
      </c>
      <c r="I3680" s="10" t="inlineStr">
        <is>
          <t>28/03/2026</t>
        </is>
      </c>
      <c r="J3680" s="10" t="inlineStr">
        <is>
          <t>17/03/2026</t>
        </is>
      </c>
      <c r="K3680" s="10" t="inlineStr">
        <is>
          <t>N/A</t>
        </is>
      </c>
      <c r="L3680" s="10" t="inlineStr">
        <is>
          <t>Auto Cad, Báo Cáo Thi Công, Giám Sát Chất Lượng Thi Công, Quản Lý Tiến Độ, Xây Dựng</t>
        </is>
      </c>
      <c r="M3680" s="10" t="inlineStr">
        <is>
          <t>Bonus</t>
        </is>
      </c>
      <c r="N3680" s="11">
        <f>HYPERLINK("https://www.vietnamworks.com/giam-sat-thi-cong-hoan-thien-hop-djong-06-thang-2014212-jv","Xem chi tiết")</f>
        <v/>
      </c>
      <c r="O3680" s="10" t="n"/>
    </row>
    <row r="3681">
      <c r="B3681" s="7" t="n">
        <v>3679</v>
      </c>
      <c r="C3681" t="inlineStr">
        <is>
          <t>Trưởng Phòng Kinh Doanh - Ngành Sản Xuất | Thu Nhập Cao</t>
        </is>
      </c>
      <c r="D3681" t="inlineStr">
        <is>
          <t>CÔNG TY TNHH CÔNG NGHỆ ARIZON (VIỆT NAM)</t>
        </is>
      </c>
      <c r="E3681" t="inlineStr">
        <is>
          <t>Thương lượng</t>
        </is>
      </c>
      <c r="F3681" t="inlineStr">
        <is>
          <t>Hưng Yên</t>
        </is>
      </c>
      <c r="G3681" t="inlineStr">
        <is>
          <t>Trưởng phòng</t>
        </is>
      </c>
      <c r="H3681" t="inlineStr">
        <is>
          <t>26/02/2026</t>
        </is>
      </c>
      <c r="I3681" t="inlineStr">
        <is>
          <t>28/03/2026</t>
        </is>
      </c>
      <c r="J3681" t="inlineStr">
        <is>
          <t>17/03/2026</t>
        </is>
      </c>
      <c r="K3681" t="inlineStr">
        <is>
          <t>N/A</t>
        </is>
      </c>
      <c r="L3681" t="inlineStr">
        <is>
          <t>Quản Lý Kinh Doanh, Lãnh Đạo, Chiến Lược Kinh Doanh, Lập Kế Hoạch Kinh Doanh, Tiếng Trung</t>
        </is>
      </c>
      <c r="M3681" t="inlineStr">
        <is>
          <t>Healthcare Plan, Others</t>
        </is>
      </c>
      <c r="N3681" s="8">
        <f>HYPERLINK("https://www.vietnamworks.com/truong-phong-kinh-doanh-nganh-san-xuat-or-thu-nhap-cao-2014239-jv","Xem chi tiết")</f>
        <v/>
      </c>
    </row>
    <row r="3682">
      <c r="B3682" s="9" t="n">
        <v>3680</v>
      </c>
      <c r="C3682" s="10" t="inlineStr">
        <is>
          <t>Nhân Viên Kinh Doanh (Lương Cứng: 10-15 Triệu + Hoa Hồng) Sẵn Data Khách Hàng</t>
        </is>
      </c>
      <c r="D3682" s="10" t="inlineStr">
        <is>
          <t>CÔNG TY TNHH THƯƠNG MẠI DỊCH VỤ THIẾT BỊ G.E.H</t>
        </is>
      </c>
      <c r="E3682" s="10" t="inlineStr">
        <is>
          <t>10tr-15tr ₫/tháng</t>
        </is>
      </c>
      <c r="F3682" s="10" t="inlineStr">
        <is>
          <t>Hồ Chí Minh</t>
        </is>
      </c>
      <c r="G3682" s="10" t="inlineStr">
        <is>
          <t>Nhân viên</t>
        </is>
      </c>
      <c r="H3682" s="10" t="inlineStr">
        <is>
          <t>26/02/2026</t>
        </is>
      </c>
      <c r="I3682" s="10" t="inlineStr">
        <is>
          <t>28/03/2026</t>
        </is>
      </c>
      <c r="J3682" s="10" t="inlineStr">
        <is>
          <t>17/03/2026</t>
        </is>
      </c>
      <c r="K3682" s="10" t="inlineStr">
        <is>
          <t>N/A</t>
        </is>
      </c>
      <c r="L3682" s="10" t="inlineStr">
        <is>
          <t>B2B Sales, Bán hàng, Kinh Doanh, Mỹ Phẩm, Tư Vấn</t>
        </is>
      </c>
      <c r="M3682" s="10" t="inlineStr">
        <is>
          <t>Bonus, Training, Others</t>
        </is>
      </c>
      <c r="N3682" s="11">
        <f>HYPERLINK("https://www.vietnamworks.com/nhan-vien-kinh-doanh-luong-cung-10-15-trieu-hoa-hong-san-data-khach-hang-2014240-jv","Xem chi tiết")</f>
        <v/>
      </c>
      <c r="O3682" s="10" t="n"/>
    </row>
    <row r="3683">
      <c r="B3683" s="7" t="n">
        <v>3681</v>
      </c>
      <c r="C3683" t="inlineStr">
        <is>
          <t>Chuyên Viên Phát Triển Dự Án BĐS Đô Thị/ KCN</t>
        </is>
      </c>
      <c r="D3683" t="inlineStr">
        <is>
          <t>Tổng Công Ty Đầu Tư FECON</t>
        </is>
      </c>
      <c r="E3683" t="inlineStr">
        <is>
          <t>Thương lượng</t>
        </is>
      </c>
      <c r="F3683" t="inlineStr">
        <is>
          <t>Hà Nội</t>
        </is>
      </c>
      <c r="G3683" t="inlineStr">
        <is>
          <t>Nhân viên</t>
        </is>
      </c>
      <c r="H3683" t="inlineStr">
        <is>
          <t>26/02/2026</t>
        </is>
      </c>
      <c r="I3683" t="inlineStr">
        <is>
          <t>28/03/2026</t>
        </is>
      </c>
      <c r="J3683" t="inlineStr">
        <is>
          <t>17/03/2026</t>
        </is>
      </c>
      <c r="K3683" t="inlineStr">
        <is>
          <t>N/A</t>
        </is>
      </c>
      <c r="L3683" t="inlineStr">
        <is>
          <t>Phân Tích Tài Chính, Quản Lý Tài Chính, Tài Chính Doanh Nghiệp, Tài Chính Kinh Tế, Tài Chính Đầu Tư</t>
        </is>
      </c>
      <c r="M3683" t="inlineStr">
        <is>
          <t>Bonus, Healthcare Plan, Training</t>
        </is>
      </c>
      <c r="N3683" s="8">
        <f>HYPERLINK("https://www.vietnamworks.com/chuyen-vien-phat-trien-du-an-bdjs-djo-thi-kcn-2014244-jv","Xem chi tiết")</f>
        <v/>
      </c>
    </row>
    <row r="3684">
      <c r="B3684" s="9" t="n">
        <v>3682</v>
      </c>
      <c r="C3684" s="10" t="inlineStr">
        <is>
          <t>Chuyên Viên Pháp Chế (Upto 25 Triệu)</t>
        </is>
      </c>
      <c r="D3684" s="10" t="inlineStr">
        <is>
          <t>Xuân Cầu Holdings</t>
        </is>
      </c>
      <c r="E3684" s="10" t="inlineStr">
        <is>
          <t>$$ 800-1,000 /tháng</t>
        </is>
      </c>
      <c r="F3684" s="10" t="inlineStr">
        <is>
          <t>Hà Nội</t>
        </is>
      </c>
      <c r="G3684" s="10" t="inlineStr">
        <is>
          <t>Nhân viên</t>
        </is>
      </c>
      <c r="H3684" s="10" t="inlineStr">
        <is>
          <t>26/02/2026</t>
        </is>
      </c>
      <c r="I3684" s="10" t="inlineStr">
        <is>
          <t>28/03/2026</t>
        </is>
      </c>
      <c r="J3684" s="10" t="inlineStr">
        <is>
          <t>17/03/2026</t>
        </is>
      </c>
      <c r="K3684" s="10" t="inlineStr">
        <is>
          <t>N/A</t>
        </is>
      </c>
      <c r="L3684" s="10" t="inlineStr">
        <is>
          <t>Pháp Lý Dự Án Đầu Tư, Pháp Chế, Legal, Luật, Tư Vấn Pháp Lý</t>
        </is>
      </c>
      <c r="M3684" s="10" t="inlineStr">
        <is>
          <t>Bonus, Healthcare Plan, Training</t>
        </is>
      </c>
      <c r="N3684" s="11">
        <f>HYPERLINK("https://www.vietnamworks.com/chuyen-vien-phap-che-upto-25-trieu-2014226-jv","Xem chi tiết")</f>
        <v/>
      </c>
      <c r="O3684" s="10" t="n"/>
    </row>
    <row r="3685">
      <c r="B3685" s="7" t="n">
        <v>3683</v>
      </c>
      <c r="C3685" t="inlineStr">
        <is>
          <t>Kỹ Sư Thiết Kế MEP</t>
        </is>
      </c>
      <c r="D3685" t="inlineStr">
        <is>
          <t>CÔNG TY TNHH THIẾT KẾ XD TM DATRACO</t>
        </is>
      </c>
      <c r="E3685" t="inlineStr">
        <is>
          <t>Thương lượng</t>
        </is>
      </c>
      <c r="F3685" t="inlineStr">
        <is>
          <t>Hồ Chí Minh</t>
        </is>
      </c>
      <c r="G3685" t="inlineStr">
        <is>
          <t>Nhân viên</t>
        </is>
      </c>
      <c r="H3685" t="inlineStr">
        <is>
          <t>26/02/2026</t>
        </is>
      </c>
      <c r="I3685" t="inlineStr">
        <is>
          <t>28/03/2026</t>
        </is>
      </c>
      <c r="J3685" t="inlineStr">
        <is>
          <t>17/03/2026</t>
        </is>
      </c>
      <c r="K3685" t="inlineStr">
        <is>
          <t>N/A</t>
        </is>
      </c>
      <c r="L3685" t="inlineStr">
        <is>
          <t>Dự Toán Khối Lượng, Thiết Kế Cấp Thoát Nước, Thiết Kế Hệ Thống, Thiết Kế Hệ Thống Điện, Xây Dựng</t>
        </is>
      </c>
      <c r="M3685" t="inlineStr">
        <is>
          <t>Bonus, Healthcare Plan</t>
        </is>
      </c>
      <c r="N3685" s="8">
        <f>HYPERLINK("https://www.vietnamworks.com/ky-su-thiet-ke-mep-2014253-jv","Xem chi tiết")</f>
        <v/>
      </c>
    </row>
    <row r="3686">
      <c r="B3686" s="9" t="n">
        <v>3684</v>
      </c>
      <c r="C3686" s="10" t="inlineStr">
        <is>
          <t>Chuyên Gia Cao Cấp Phát Triển Năng Lực</t>
        </is>
      </c>
      <c r="D3686" s="10" t="inlineStr">
        <is>
          <t>Techcombank</t>
        </is>
      </c>
      <c r="E3686" s="10" t="inlineStr">
        <is>
          <t>Thương lượng</t>
        </is>
      </c>
      <c r="F3686" s="10" t="inlineStr">
        <is>
          <t>Hà Nội</t>
        </is>
      </c>
      <c r="G3686" s="10" t="inlineStr">
        <is>
          <t>Nhân viên</t>
        </is>
      </c>
      <c r="H3686" s="10" t="inlineStr">
        <is>
          <t>26/02/2026</t>
        </is>
      </c>
      <c r="I3686" s="10" t="inlineStr">
        <is>
          <t>28/03/2026</t>
        </is>
      </c>
      <c r="J3686" s="10" t="inlineStr">
        <is>
          <t>17/03/2026</t>
        </is>
      </c>
      <c r="K3686" s="10" t="inlineStr">
        <is>
          <t>N/A</t>
        </is>
      </c>
      <c r="L3686" s="10" t="inlineStr">
        <is>
          <t>Nghiên Cứu Thị Trường, Phân Tích Tài Chính, Training, Personal Development, Training Planning</t>
        </is>
      </c>
      <c r="M3686" s="10" t="inlineStr">
        <is>
          <t>Bonus, Training, Others</t>
        </is>
      </c>
      <c r="N3686" s="11">
        <f>HYPERLINK("https://www.vietnamworks.com/chuyen-gia-cao-cap-phat-trien-nang-luc-2014232-jv","Xem chi tiết")</f>
        <v/>
      </c>
      <c r="O3686" s="10" t="n"/>
    </row>
    <row r="3687">
      <c r="B3687" s="7" t="n">
        <v>3685</v>
      </c>
      <c r="C3687" t="inlineStr">
        <is>
          <t>Account Executive (Executive/senior Level) – Ha Noi | English CV Required</t>
        </is>
      </c>
      <c r="D3687" t="inlineStr">
        <is>
          <t>Daiko Vietnam</t>
        </is>
      </c>
      <c r="E3687" t="inlineStr">
        <is>
          <t>Thương lượng</t>
        </is>
      </c>
      <c r="F3687" t="inlineStr">
        <is>
          <t>Hà Nội</t>
        </is>
      </c>
      <c r="G3687" t="inlineStr">
        <is>
          <t>Nhân viên</t>
        </is>
      </c>
      <c r="H3687" t="inlineStr">
        <is>
          <t>26/02/2026</t>
        </is>
      </c>
      <c r="I3687" t="inlineStr">
        <is>
          <t>28/03/2026</t>
        </is>
      </c>
      <c r="J3687" t="inlineStr">
        <is>
          <t>17/03/2026</t>
        </is>
      </c>
      <c r="K3687" t="inlineStr">
        <is>
          <t>N/A</t>
        </is>
      </c>
      <c r="L3687" t="inlineStr">
        <is>
          <t>Business Development, Client Service Management, Project Management, Japanese, Kinh Doanh</t>
        </is>
      </c>
      <c r="M3687" t="inlineStr">
        <is>
          <t>Bonus, Healthcare Plan, Others</t>
        </is>
      </c>
      <c r="N3687" s="8">
        <f>HYPERLINK("https://www.vietnamworks.com/account-executive-executive-senior-level-ha-noi-english-cv-required-2014238-jv","Xem chi tiết")</f>
        <v/>
      </c>
    </row>
    <row r="3688">
      <c r="B3688" s="9" t="n">
        <v>3686</v>
      </c>
      <c r="C3688" s="10" t="inlineStr">
        <is>
          <t>CAD Drafter – AP</t>
        </is>
      </c>
      <c r="D3688" s="10" t="inlineStr">
        <is>
          <t>Công Ty TNHH YKK AP Việt Nam</t>
        </is>
      </c>
      <c r="E3688" s="10" t="inlineStr">
        <is>
          <t>10tr-17tr ₫/tháng</t>
        </is>
      </c>
      <c r="F3688" s="10" t="inlineStr">
        <is>
          <t>Hồ Chí Minh</t>
        </is>
      </c>
      <c r="G3688" s="10" t="inlineStr">
        <is>
          <t>Nhân viên</t>
        </is>
      </c>
      <c r="H3688" s="10" t="inlineStr">
        <is>
          <t>26/02/2026</t>
        </is>
      </c>
      <c r="I3688" s="10" t="inlineStr">
        <is>
          <t>28/03/2026</t>
        </is>
      </c>
      <c r="J3688" s="10" t="inlineStr">
        <is>
          <t>17/03/2026</t>
        </is>
      </c>
      <c r="K3688" s="10" t="inlineStr">
        <is>
          <t>N/A</t>
        </is>
      </c>
      <c r="L3688" s="10" t="inlineStr">
        <is>
          <t>Triển Khai Bản Vẽ, Thiết Kế Bản Vẽ, AutoCAD, Xây Dựng, kiến trúc</t>
        </is>
      </c>
      <c r="M3688" s="10" t="inlineStr">
        <is>
          <t>Bonus, Training, Others</t>
        </is>
      </c>
      <c r="N3688" s="11">
        <f>HYPERLINK("https://www.vietnamworks.com/cad-drafter-ap--2014231-jv","Xem chi tiết")</f>
        <v/>
      </c>
      <c r="O3688" s="10" t="n"/>
    </row>
    <row r="3689">
      <c r="B3689" s="7" t="n">
        <v>3687</v>
      </c>
      <c r="C3689" t="inlineStr">
        <is>
          <t>Legal Supervisor</t>
        </is>
      </c>
      <c r="D3689" t="inlineStr">
        <is>
          <t>Banpu Vietnam</t>
        </is>
      </c>
      <c r="E3689" t="inlineStr">
        <is>
          <t>$$ 700-900 /tháng</t>
        </is>
      </c>
      <c r="F3689" t="inlineStr">
        <is>
          <t>Hồ Chí Minh</t>
        </is>
      </c>
      <c r="G3689" t="inlineStr">
        <is>
          <t>Nhân viên</t>
        </is>
      </c>
      <c r="H3689" t="inlineStr">
        <is>
          <t>26/02/2026</t>
        </is>
      </c>
      <c r="I3689" t="inlineStr">
        <is>
          <t>28/03/2026</t>
        </is>
      </c>
      <c r="J3689" t="inlineStr">
        <is>
          <t>17/03/2026</t>
        </is>
      </c>
      <c r="K3689" t="inlineStr">
        <is>
          <t>N/A</t>
        </is>
      </c>
      <c r="L3689" t="inlineStr">
        <is>
          <t>Legal Management, Legal, Business Law, Public Relations</t>
        </is>
      </c>
      <c r="M3689" t="inlineStr">
        <is>
          <t>Bonus, Healthcare Plan, Training</t>
        </is>
      </c>
      <c r="N3689" s="8">
        <f>HYPERLINK("https://www.vietnamworks.com/legal-supervisor--2014229-jv","Xem chi tiết")</f>
        <v/>
      </c>
    </row>
    <row r="3690">
      <c r="B3690" s="9" t="n">
        <v>3688</v>
      </c>
      <c r="C3690" s="10" t="inlineStr">
        <is>
          <t>Trưởng Phòng Tư Vấn Tuyển Sinh</t>
        </is>
      </c>
      <c r="D3690" s="10" t="inlineStr">
        <is>
          <t>CÔNG TY CỔ PHẦN HỢP TÁC THƯƠNG MẠI VÀ DỊCH VỤ JVGROUP</t>
        </is>
      </c>
      <c r="E3690" s="10" t="inlineStr">
        <is>
          <t>20tr-30tr ₫/tháng</t>
        </is>
      </c>
      <c r="F3690" s="10" t="inlineStr">
        <is>
          <t>Hà Nội</t>
        </is>
      </c>
      <c r="G3690" s="10" t="inlineStr">
        <is>
          <t>Trưởng phòng</t>
        </is>
      </c>
      <c r="H3690" s="10" t="inlineStr">
        <is>
          <t>26/02/2026</t>
        </is>
      </c>
      <c r="I3690" s="10" t="inlineStr">
        <is>
          <t>28/03/2026</t>
        </is>
      </c>
      <c r="J3690" s="10" t="inlineStr">
        <is>
          <t>17/03/2026</t>
        </is>
      </c>
      <c r="K3690" s="10" t="inlineStr">
        <is>
          <t>N/A</t>
        </is>
      </c>
      <c r="L3690" s="10" t="inlineStr">
        <is>
          <t>Tuyển Sinh, Tư Vấn Tuyển Sinh, Tiếng Anh, Kinh Doanh, Chăm Sóc Khách Hàng</t>
        </is>
      </c>
      <c r="M3690" s="10" t="inlineStr">
        <is>
          <t>Bonus, Healthcare Plan</t>
        </is>
      </c>
      <c r="N3690" s="11">
        <f>HYPERLINK("https://www.vietnamworks.com/truong-phong-tu-van-tuyen-sinh--2014233-jv","Xem chi tiết")</f>
        <v/>
      </c>
      <c r="O3690" s="10" t="n"/>
    </row>
    <row r="3691">
      <c r="B3691" s="7" t="n">
        <v>3689</v>
      </c>
      <c r="C3691" t="inlineStr">
        <is>
          <t>Kế Toán Tổng Hợp</t>
        </is>
      </c>
      <c r="D3691" t="inlineStr">
        <is>
          <t>TIMTEX TRADING CO.,LTD</t>
        </is>
      </c>
      <c r="E3691" t="inlineStr">
        <is>
          <t>Tới 20tr ₫/tháng</t>
        </is>
      </c>
      <c r="F3691" t="inlineStr">
        <is>
          <t>Hồ Chí Minh</t>
        </is>
      </c>
      <c r="G3691" t="inlineStr">
        <is>
          <t>Nhân viên</t>
        </is>
      </c>
      <c r="H3691" t="inlineStr">
        <is>
          <t>26/02/2026</t>
        </is>
      </c>
      <c r="I3691" t="inlineStr">
        <is>
          <t>28/03/2026</t>
        </is>
      </c>
      <c r="J3691" t="inlineStr">
        <is>
          <t>17/03/2026</t>
        </is>
      </c>
      <c r="K3691" t="inlineStr">
        <is>
          <t>N/A</t>
        </is>
      </c>
      <c r="L3691" t="inlineStr">
        <is>
          <t>Kê Khai Thuế, Kiểm Soát Doanh Thu, Quản Lý Dòng Tiền, C&amp;B, Accountant</t>
        </is>
      </c>
      <c r="M3691" t="inlineStr">
        <is>
          <t>Bonus, Healthcare Plan, Training, Travel Opportunities</t>
        </is>
      </c>
      <c r="N3691" s="8">
        <f>HYPERLINK("https://www.vietnamworks.com/ke-toan-tong-hop-2014230-jv","Xem chi tiết")</f>
        <v/>
      </c>
    </row>
    <row r="3692">
      <c r="B3692" s="9" t="n">
        <v>3690</v>
      </c>
      <c r="C3692" s="10" t="inlineStr">
        <is>
          <t>Business Development Manager – Pharmaceutical / Supplement</t>
        </is>
      </c>
      <c r="D3692" s="10" t="inlineStr">
        <is>
          <t>One Mount</t>
        </is>
      </c>
      <c r="E3692" s="10" t="inlineStr">
        <is>
          <t>Thương lượng</t>
        </is>
      </c>
      <c r="F3692" s="10" t="inlineStr">
        <is>
          <t>Hà Nội, Hồ Chí Minh</t>
        </is>
      </c>
      <c r="G3692" s="10" t="inlineStr">
        <is>
          <t>Trưởng phòng</t>
        </is>
      </c>
      <c r="H3692" s="10" t="inlineStr">
        <is>
          <t>26/02/2026</t>
        </is>
      </c>
      <c r="I3692" s="10" t="inlineStr">
        <is>
          <t>28/03/2026</t>
        </is>
      </c>
      <c r="J3692" s="10" t="inlineStr">
        <is>
          <t>17/03/2026</t>
        </is>
      </c>
      <c r="K3692" s="10" t="inlineStr">
        <is>
          <t>N/A</t>
        </is>
      </c>
      <c r="L3692" s="10" t="inlineStr">
        <is>
          <t>pharmaceutical, Health Supplement, OEM, Financial Acumen, Leadership</t>
        </is>
      </c>
      <c r="M3692" s="10" t="inlineStr">
        <is>
          <t>Healthcare Plan, Laptop, Team Activities</t>
        </is>
      </c>
      <c r="N3692" s="11">
        <f>HYPERLINK("https://www.vietnamworks.com/business-development-manager-pharmaceutical-supplement-2014251-jv","Xem chi tiết")</f>
        <v/>
      </c>
      <c r="O3692" s="10" t="n"/>
    </row>
    <row r="3693">
      <c r="B3693" s="7" t="n">
        <v>3691</v>
      </c>
      <c r="C3693" t="inlineStr">
        <is>
          <t>Chuyên Viên Kiểm Toán Nội Bộ</t>
        </is>
      </c>
      <c r="D3693" t="inlineStr">
        <is>
          <t>CÔNG TY TNHH CÔNG NGHỆ ARIZON (VIỆT NAM)</t>
        </is>
      </c>
      <c r="E3693" t="inlineStr">
        <is>
          <t>Thương lượng</t>
        </is>
      </c>
      <c r="F3693" t="inlineStr">
        <is>
          <t>Hưng Yên</t>
        </is>
      </c>
      <c r="G3693" t="inlineStr">
        <is>
          <t>Nhân viên</t>
        </is>
      </c>
      <c r="H3693" t="inlineStr">
        <is>
          <t>26/02/2026</t>
        </is>
      </c>
      <c r="I3693" t="inlineStr">
        <is>
          <t>28/03/2026</t>
        </is>
      </c>
      <c r="J3693" t="inlineStr">
        <is>
          <t>17/03/2026</t>
        </is>
      </c>
      <c r="K3693" t="inlineStr">
        <is>
          <t>N/A</t>
        </is>
      </c>
      <c r="L3693" t="inlineStr">
        <is>
          <t>Kiểm Toán Nội Bộ, Kế Toán, Phân Tích Số Liệu, Audit Report, Accouting</t>
        </is>
      </c>
      <c r="M3693" t="inlineStr">
        <is>
          <t>Bonus, Healthcare Plan, Others</t>
        </is>
      </c>
      <c r="N3693" s="8">
        <f>HYPERLINK("https://www.vietnamworks.com/chuyen-vien-kiem-toan-noi-bo-2014235-jv","Xem chi tiết")</f>
        <v/>
      </c>
    </row>
    <row r="3694">
      <c r="B3694" s="9" t="n">
        <v>3692</v>
      </c>
      <c r="C3694" s="10" t="inlineStr">
        <is>
          <t>Growth Performance Lead (Up-To $7,000)</t>
        </is>
      </c>
      <c r="D3694" s="10" t="inlineStr">
        <is>
          <t>Crossian Việt Nam</t>
        </is>
      </c>
      <c r="E3694" s="10" t="inlineStr">
        <is>
          <t>$$ 2,000-7,000 /tháng</t>
        </is>
      </c>
      <c r="F3694" s="10" t="inlineStr">
        <is>
          <t>Hà Nội, Hồ Chí Minh</t>
        </is>
      </c>
      <c r="G3694" s="10" t="inlineStr">
        <is>
          <t>Trưởng phòng</t>
        </is>
      </c>
      <c r="H3694" s="10" t="inlineStr">
        <is>
          <t>26/02/2026</t>
        </is>
      </c>
      <c r="I3694" s="10" t="inlineStr">
        <is>
          <t>28/03/2026</t>
        </is>
      </c>
      <c r="J3694" s="10" t="inlineStr">
        <is>
          <t>17/03/2026</t>
        </is>
      </c>
      <c r="K3694" s="10" t="inlineStr">
        <is>
          <t>N/A</t>
        </is>
      </c>
      <c r="L3694" s="10" t="inlineStr">
        <is>
          <t>User Acquisition, Performance Marketing, Growth Marketing, Paid Ads, Mobile Ad Network</t>
        </is>
      </c>
      <c r="M3694" s="10" t="inlineStr">
        <is>
          <t>Bonus, Healthcare Plan, Training</t>
        </is>
      </c>
      <c r="N3694" s="11">
        <f>HYPERLINK("https://www.vietnamworks.com/growth-performance-lead-up-to-7-000-2014242-jv","Xem chi tiết")</f>
        <v/>
      </c>
      <c r="O3694" s="10" t="n"/>
    </row>
    <row r="3695">
      <c r="B3695" s="7" t="n">
        <v>3693</v>
      </c>
      <c r="C3695" t="inlineStr">
        <is>
          <t>Agency Partnership Executive (Chuyên Viên Quản Trị Đối Tác)</t>
        </is>
      </c>
      <c r="D3695" t="inlineStr">
        <is>
          <t>Chicilon Media</t>
        </is>
      </c>
      <c r="E3695" t="inlineStr">
        <is>
          <t>Thương lượng</t>
        </is>
      </c>
      <c r="F3695" t="inlineStr">
        <is>
          <t>Hồ Chí Minh</t>
        </is>
      </c>
      <c r="G3695" t="inlineStr">
        <is>
          <t>Nhân viên</t>
        </is>
      </c>
      <c r="H3695" t="inlineStr">
        <is>
          <t>26/02/2026</t>
        </is>
      </c>
      <c r="I3695" t="inlineStr">
        <is>
          <t>28/03/2026</t>
        </is>
      </c>
      <c r="J3695" t="inlineStr">
        <is>
          <t>17/03/2026</t>
        </is>
      </c>
      <c r="K3695" t="inlineStr">
        <is>
          <t>N/A</t>
        </is>
      </c>
      <c r="L3695" t="inlineStr">
        <is>
          <t>Account Management, Agency Relationship Management, Business Development, Performance Management, Media Sales</t>
        </is>
      </c>
      <c r="M3695" t="inlineStr">
        <is>
          <t>Bonus, Training, Team Activities</t>
        </is>
      </c>
      <c r="N3695" s="8">
        <f>HYPERLINK("https://www.vietnamworks.com/agency-partnership-executive-chuyen-vien-quan-tri-djoi-tac-2014227-jv","Xem chi tiết")</f>
        <v/>
      </c>
    </row>
    <row r="3696">
      <c r="B3696" s="9" t="n">
        <v>3694</v>
      </c>
      <c r="C3696" s="10" t="inlineStr">
        <is>
          <t>Estimator – Shopfitting &amp; Commercial Fitouts</t>
        </is>
      </c>
      <c r="D3696" s="10" t="inlineStr">
        <is>
          <t>Red Design GROUP</t>
        </is>
      </c>
      <c r="E3696" s="10" t="inlineStr">
        <is>
          <t>Thương lượng</t>
        </is>
      </c>
      <c r="F3696" s="10" t="inlineStr">
        <is>
          <t>Hồ Chí Minh</t>
        </is>
      </c>
      <c r="G3696" s="10" t="inlineStr">
        <is>
          <t>Nhân viên</t>
        </is>
      </c>
      <c r="H3696" s="10" t="inlineStr">
        <is>
          <t>26/02/2026</t>
        </is>
      </c>
      <c r="I3696" s="10" t="inlineStr">
        <is>
          <t>28/03/2026</t>
        </is>
      </c>
      <c r="J3696" s="10" t="inlineStr">
        <is>
          <t>17/03/2026</t>
        </is>
      </c>
      <c r="K3696" s="10" t="inlineStr">
        <is>
          <t>N/A</t>
        </is>
      </c>
      <c r="L3696" s="10" t="inlineStr">
        <is>
          <t>Estimating Experience, Joinery, Engineering Drawings, Microsoft Excel, Định Giá</t>
        </is>
      </c>
      <c r="M3696" s="10" t="inlineStr">
        <is>
          <t>Bonus, Healthcare Plan, Training, Awards, Team Activities, Others</t>
        </is>
      </c>
      <c r="N3696" s="11">
        <f>HYPERLINK("https://www.vietnamworks.com/estimator-shopfitting-and-commercial-fitouts-2014246-jv","Xem chi tiết")</f>
        <v/>
      </c>
      <c r="O3696" s="10" t="n"/>
    </row>
    <row r="3697">
      <c r="B3697" s="7" t="n">
        <v>3695</v>
      </c>
      <c r="C3697" t="inlineStr">
        <is>
          <t>Trưởng Phòng Quản Lý Chất Lượng</t>
        </is>
      </c>
      <c r="D3697" t="inlineStr">
        <is>
          <t>CÔNG TY TNHH CÔNG NGHỆ ARIZON (VIỆT NAM)</t>
        </is>
      </c>
      <c r="E3697" t="inlineStr">
        <is>
          <t>Thương lượng</t>
        </is>
      </c>
      <c r="F3697" t="inlineStr">
        <is>
          <t>Hưng Yên</t>
        </is>
      </c>
      <c r="G3697" t="inlineStr">
        <is>
          <t>Nhân viên</t>
        </is>
      </c>
      <c r="H3697" t="inlineStr">
        <is>
          <t>26/02/2026</t>
        </is>
      </c>
      <c r="I3697" t="inlineStr">
        <is>
          <t>28/03/2026</t>
        </is>
      </c>
      <c r="J3697" t="inlineStr">
        <is>
          <t>17/03/2026</t>
        </is>
      </c>
      <c r="K3697" t="inlineStr">
        <is>
          <t>N/A</t>
        </is>
      </c>
      <c r="L3697" t="inlineStr">
        <is>
          <t>Quản lý chất lượng, ISO 9001, ISO 14001, Qa/Qc Management, HSK 5</t>
        </is>
      </c>
      <c r="M3697" t="inlineStr">
        <is>
          <t>Healthcare Plan, Others</t>
        </is>
      </c>
      <c r="N3697" s="8">
        <f>HYPERLINK("https://www.vietnamworks.com/truong-phong-quan-ly-chat-luong-2014237-jv","Xem chi tiết")</f>
        <v/>
      </c>
    </row>
    <row r="3698">
      <c r="B3698" s="9" t="n">
        <v>3696</v>
      </c>
      <c r="C3698" s="10" t="inlineStr">
        <is>
          <t>Giám Đốc Điều Hành (Chief Executive Officer CEO)</t>
        </is>
      </c>
      <c r="D3698" s="10" t="inlineStr">
        <is>
          <t>CÔNG TY CỔ PHẦN TẬP ĐOÀN MEDIPHA</t>
        </is>
      </c>
      <c r="E3698" s="10" t="inlineStr">
        <is>
          <t>Thương lượng</t>
        </is>
      </c>
      <c r="F3698" s="10" t="inlineStr">
        <is>
          <t>Thanh Hóa</t>
        </is>
      </c>
      <c r="G3698" s="10" t="inlineStr">
        <is>
          <t>Giám Đốc và Cấp Cao Hơn</t>
        </is>
      </c>
      <c r="H3698" s="10" t="inlineStr">
        <is>
          <t>26/02/2026</t>
        </is>
      </c>
      <c r="I3698" s="10" t="inlineStr">
        <is>
          <t>28/03/2026</t>
        </is>
      </c>
      <c r="J3698" s="10" t="inlineStr">
        <is>
          <t>17/03/2026</t>
        </is>
      </c>
      <c r="K3698" s="10" t="inlineStr">
        <is>
          <t>N/A</t>
        </is>
      </c>
      <c r="L3698" s="10" t="inlineStr">
        <is>
          <t>Chiến Lược Sản Phẩm, Lãnh Đạo, Quản Lý Kinh Doanh, Quản Trị Rủi Ro, Quản Trị Tài Chính</t>
        </is>
      </c>
      <c r="M3698" s="10" t="inlineStr">
        <is>
          <t>Bonus, Travel Opportunities, Others</t>
        </is>
      </c>
      <c r="N3698" s="11">
        <f>HYPERLINK("https://www.vietnamworks.com/giam-djoc-djieu-hanh-chief-executive-officer-ceo-2014252-jv","Xem chi tiết")</f>
        <v/>
      </c>
      <c r="O3698" s="10" t="n"/>
    </row>
    <row r="3699">
      <c r="B3699" s="7" t="n">
        <v>3697</v>
      </c>
      <c r="C3699" t="inlineStr">
        <is>
          <t xml:space="preserve">General Accountant - Base on Huu Thanh, Long An (Have daily shuttle bus from HCM to Long An) </t>
        </is>
      </c>
      <c r="D3699" t="inlineStr">
        <is>
          <t>Công ty TNHH Fujiya Việt Nam</t>
        </is>
      </c>
      <c r="E3699" t="inlineStr">
        <is>
          <t>Tới 22tr ₫/tháng</t>
        </is>
      </c>
      <c r="F3699" t="inlineStr">
        <is>
          <t>Long An, Hồ Chí Minh</t>
        </is>
      </c>
      <c r="G3699" t="inlineStr">
        <is>
          <t>Nhân viên</t>
        </is>
      </c>
      <c r="H3699" t="inlineStr">
        <is>
          <t>26/02/2026</t>
        </is>
      </c>
      <c r="I3699" t="inlineStr">
        <is>
          <t>28/03/2026</t>
        </is>
      </c>
      <c r="J3699" t="inlineStr">
        <is>
          <t>17/03/2026</t>
        </is>
      </c>
      <c r="K3699" t="inlineStr">
        <is>
          <t>N/A</t>
        </is>
      </c>
      <c r="L3699" t="inlineStr">
        <is>
          <t>Cost Accounting, Financial Analysis, Accounting Software, Tax Regulation, Communication</t>
        </is>
      </c>
      <c r="M3699" t="inlineStr">
        <is>
          <t>Bonus, Healthcare Plan, Paid Leave, Team Activities, Others</t>
        </is>
      </c>
      <c r="N3699" s="8">
        <f>HYPERLINK("https://www.vietnamworks.com/general-accountant-base-on-huu-thanh-long-an-have-daily-shuttle-bus-from-hcm-to-long-an-2014247-jv","Xem chi tiết")</f>
        <v/>
      </c>
    </row>
    <row r="3700">
      <c r="B3700" s="9" t="n">
        <v>3698</v>
      </c>
      <c r="C3700" s="10" t="inlineStr">
        <is>
          <t>Chuyên Viên Cao Cấp Pháp Chế</t>
        </is>
      </c>
      <c r="D3700" s="10" t="inlineStr">
        <is>
          <t>Công Ty Tài Chính TNHH Ngân Hàng TMCP Sài Gòn - Hà Nội (SHBFinance)</t>
        </is>
      </c>
      <c r="E3700" s="10" t="inlineStr">
        <is>
          <t>Thương lượng</t>
        </is>
      </c>
      <c r="F3700" s="10" t="inlineStr">
        <is>
          <t>Hà Nội</t>
        </is>
      </c>
      <c r="G3700" s="10" t="inlineStr">
        <is>
          <t>Nhân viên</t>
        </is>
      </c>
      <c r="H3700" s="10" t="inlineStr">
        <is>
          <t>26/02/2026</t>
        </is>
      </c>
      <c r="I3700" s="10" t="inlineStr">
        <is>
          <t>28/03/2026</t>
        </is>
      </c>
      <c r="J3700" s="10" t="inlineStr">
        <is>
          <t>17/03/2026</t>
        </is>
      </c>
      <c r="K3700" s="10" t="inlineStr">
        <is>
          <t>N/A</t>
        </is>
      </c>
      <c r="L3700" s="10" t="inlineStr">
        <is>
          <t>Luật Tài Chính, Legal Consulting, M&amp;A Consulting, Tiếng Anh thành thạo</t>
        </is>
      </c>
      <c r="M3700" s="10" t="inlineStr">
        <is>
          <t>Bonus, Healthcare Plan, Travel Opportunities</t>
        </is>
      </c>
      <c r="N3700" s="11">
        <f>HYPERLINK("https://www.vietnamworks.com/chuyen-vien-cao-cap-phap-che--2014250-jv","Xem chi tiết")</f>
        <v/>
      </c>
      <c r="O3700" s="10" t="n"/>
    </row>
    <row r="3701">
      <c r="B3701" s="7" t="n">
        <v>3699</v>
      </c>
      <c r="C3701" t="inlineStr">
        <is>
          <t>Chuyên Viên Thiết Kế</t>
        </is>
      </c>
      <c r="D3701" t="inlineStr">
        <is>
          <t>CÔNG TY TNHH AICE YUMMY VIỆT NAM</t>
        </is>
      </c>
      <c r="E3701" t="inlineStr">
        <is>
          <t>12tr-18tr ₫/tháng</t>
        </is>
      </c>
      <c r="F3701" t="inlineStr">
        <is>
          <t>Hồ Chí Minh</t>
        </is>
      </c>
      <c r="G3701" t="inlineStr">
        <is>
          <t>Nhân viên</t>
        </is>
      </c>
      <c r="H3701" t="inlineStr">
        <is>
          <t>26/02/2026</t>
        </is>
      </c>
      <c r="I3701" t="inlineStr">
        <is>
          <t>28/03/2026</t>
        </is>
      </c>
      <c r="J3701" t="inlineStr">
        <is>
          <t>17/03/2026</t>
        </is>
      </c>
      <c r="K3701" t="inlineStr">
        <is>
          <t>N/A</t>
        </is>
      </c>
      <c r="L3701" t="inlineStr">
        <is>
          <t>Photoshop, After Effect, InDesign, Giải Quyết Vấn Đề, Key Visual Design</t>
        </is>
      </c>
      <c r="M3701" t="inlineStr">
        <is>
          <t>Bonus, Healthcare Plan, Paid Leave, Travel Opportunities, Others</t>
        </is>
      </c>
      <c r="N3701" s="8">
        <f>HYPERLINK("https://www.vietnamworks.com/chuyen-vien-thiet-ke-2014259-jv","Xem chi tiết")</f>
        <v/>
      </c>
    </row>
    <row r="3702">
      <c r="B3702" s="9" t="n">
        <v>3700</v>
      </c>
      <c r="C3702" s="10" t="inlineStr">
        <is>
          <t>Assistant Brand Manager</t>
        </is>
      </c>
      <c r="D3702" s="10" t="inlineStr">
        <is>
          <t>Công Ty Cổ Phần Nature Gift Pharma</t>
        </is>
      </c>
      <c r="E3702" s="10" t="inlineStr">
        <is>
          <t>Thương lượng</t>
        </is>
      </c>
      <c r="F3702" s="10" t="inlineStr">
        <is>
          <t>Hồ Chí Minh</t>
        </is>
      </c>
      <c r="G3702" s="10" t="inlineStr">
        <is>
          <t>Nhân viên</t>
        </is>
      </c>
      <c r="H3702" s="10" t="inlineStr">
        <is>
          <t>26/02/2026</t>
        </is>
      </c>
      <c r="I3702" s="10" t="inlineStr">
        <is>
          <t>28/03/2026</t>
        </is>
      </c>
      <c r="J3702" s="10" t="inlineStr">
        <is>
          <t>17/03/2026</t>
        </is>
      </c>
      <c r="K3702" s="10" t="inlineStr">
        <is>
          <t>N/A</t>
        </is>
      </c>
      <c r="L3702" s="10" t="inlineStr">
        <is>
          <t>Brand Management, English, Executive Assistance, Media Campaign, Trade Marketing</t>
        </is>
      </c>
      <c r="M3702" s="10" t="inlineStr">
        <is>
          <t>Bonus, Healthcare Plan, Training, Others</t>
        </is>
      </c>
      <c r="N3702" s="11">
        <f>HYPERLINK("https://www.vietnamworks.com/assistant-brand-manager-2014254-jv","Xem chi tiết")</f>
        <v/>
      </c>
      <c r="O3702" s="10" t="n"/>
    </row>
    <row r="3703">
      <c r="B3703" s="7" t="n">
        <v>3701</v>
      </c>
      <c r="C3703" t="inlineStr">
        <is>
          <t>Trợ Lý CNC</t>
        </is>
      </c>
      <c r="D3703" t="inlineStr">
        <is>
          <t>CÔNG TY TNHH FUJIX ELECTRONIC VIỆT NAM</t>
        </is>
      </c>
      <c r="E3703" t="inlineStr">
        <is>
          <t>18tr-22tr ₫/tháng</t>
        </is>
      </c>
      <c r="F3703" t="inlineStr">
        <is>
          <t>Quảng Ninh</t>
        </is>
      </c>
      <c r="G3703" t="inlineStr">
        <is>
          <t>Nhân viên</t>
        </is>
      </c>
      <c r="H3703" t="inlineStr">
        <is>
          <t>26/02/2026</t>
        </is>
      </c>
      <c r="I3703" t="inlineStr">
        <is>
          <t>28/03/2026</t>
        </is>
      </c>
      <c r="J3703" t="inlineStr">
        <is>
          <t>17/03/2026</t>
        </is>
      </c>
      <c r="K3703" t="inlineStr">
        <is>
          <t>N/A</t>
        </is>
      </c>
      <c r="L3703" t="inlineStr">
        <is>
          <t>CNC Manufacturing, Brother Machine Setup, Japanese Speaking, Production Planning, Team Management</t>
        </is>
      </c>
      <c r="M3703" t="inlineStr">
        <is>
          <t>Bonus, Healthcare Plan, Paid Leave, Others</t>
        </is>
      </c>
      <c r="N3703" s="8">
        <f>HYPERLINK("https://www.vietnamworks.com/tro-ly-cnc-2014264-jv","Xem chi tiết")</f>
        <v/>
      </c>
    </row>
    <row r="3704">
      <c r="B3704" s="9" t="n">
        <v>3702</v>
      </c>
      <c r="C3704" s="10" t="inlineStr">
        <is>
          <t>KTS Thiết Kế Kiến Trúc (Họa Viên Kiến Trúc)</t>
        </is>
      </c>
      <c r="D3704" s="10" t="inlineStr">
        <is>
          <t>CÔNG TY TNHH THIẾT KẾ XD TM DATRACO</t>
        </is>
      </c>
      <c r="E3704" s="10" t="inlineStr">
        <is>
          <t>$$ 300-1,000 /tháng</t>
        </is>
      </c>
      <c r="F3704" s="10" t="inlineStr">
        <is>
          <t>Hồ Chí Minh</t>
        </is>
      </c>
      <c r="G3704" s="10" t="inlineStr">
        <is>
          <t>Nhân viên</t>
        </is>
      </c>
      <c r="H3704" s="10" t="inlineStr">
        <is>
          <t>26/02/2026</t>
        </is>
      </c>
      <c r="I3704" s="10" t="inlineStr">
        <is>
          <t>28/03/2026</t>
        </is>
      </c>
      <c r="J3704" s="10" t="inlineStr">
        <is>
          <t>17/03/2026</t>
        </is>
      </c>
      <c r="K3704" s="10" t="inlineStr">
        <is>
          <t>N/A</t>
        </is>
      </c>
      <c r="L3704" s="10" t="inlineStr">
        <is>
          <t>2D Design, 3D Design, Architecture Design, Autocad, Revit</t>
        </is>
      </c>
      <c r="M3704" s="10" t="inlineStr">
        <is>
          <t>Healthcare Plan, Others</t>
        </is>
      </c>
      <c r="N3704" s="11">
        <f>HYPERLINK("https://www.vietnamworks.com/kts-thiet-ke-kien-truc-hoa-vien-kien-truc-2014256-jv","Xem chi tiết")</f>
        <v/>
      </c>
      <c r="O3704" s="10" t="n"/>
    </row>
    <row r="3705">
      <c r="B3705" s="7" t="n">
        <v>3703</v>
      </c>
      <c r="C3705" t="inlineStr">
        <is>
          <t>Accounting Executive (AP)</t>
        </is>
      </c>
      <c r="D3705" t="inlineStr">
        <is>
          <t>Panasonic Vietnam Co.,LTD</t>
        </is>
      </c>
      <c r="E3705" t="inlineStr">
        <is>
          <t>Thương lượng</t>
        </is>
      </c>
      <c r="F3705" t="inlineStr">
        <is>
          <t>Hà Nội</t>
        </is>
      </c>
      <c r="G3705" t="inlineStr">
        <is>
          <t>Nhân viên</t>
        </is>
      </c>
      <c r="H3705" t="inlineStr">
        <is>
          <t>26/02/2026</t>
        </is>
      </c>
      <c r="I3705" t="inlineStr">
        <is>
          <t>28/03/2026</t>
        </is>
      </c>
      <c r="J3705" t="inlineStr">
        <is>
          <t>17/03/2026</t>
        </is>
      </c>
      <c r="K3705" t="inlineStr">
        <is>
          <t>N/A</t>
        </is>
      </c>
      <c r="L3705" t="inlineStr">
        <is>
          <t>Accounts Payable, Account Receivable, SAP, Tax Regulations, Accounting</t>
        </is>
      </c>
      <c r="M3705" t="inlineStr">
        <is>
          <t>Bonus, Training, Transportation</t>
        </is>
      </c>
      <c r="N3705" s="8">
        <f>HYPERLINK("https://www.vietnamworks.com/accounting-executive-ap--2014262-jv","Xem chi tiết")</f>
        <v/>
      </c>
    </row>
    <row r="3706">
      <c r="B3706" s="9" t="n">
        <v>3704</v>
      </c>
      <c r="C3706" s="10" t="inlineStr">
        <is>
          <t>Trợ Lý Phòng Sản Xuất (Tương Lai Lên Trưởng Phòng)</t>
        </is>
      </c>
      <c r="D3706" s="10" t="inlineStr">
        <is>
          <t>CÔNG TY TNHH FUJIX ELECTRONIC VIỆT NAM</t>
        </is>
      </c>
      <c r="E3706" s="10" t="inlineStr">
        <is>
          <t>28tr-33tr ₫/tháng</t>
        </is>
      </c>
      <c r="F3706" s="10" t="inlineStr">
        <is>
          <t>Quảng Ninh</t>
        </is>
      </c>
      <c r="G3706" s="10" t="inlineStr">
        <is>
          <t>Nhân viên</t>
        </is>
      </c>
      <c r="H3706" s="10" t="inlineStr">
        <is>
          <t>26/02/2026</t>
        </is>
      </c>
      <c r="I3706" s="10" t="inlineStr">
        <is>
          <t>28/03/2026</t>
        </is>
      </c>
      <c r="J3706" s="10" t="inlineStr">
        <is>
          <t>17/03/2026</t>
        </is>
      </c>
      <c r="K3706" s="10" t="inlineStr">
        <is>
          <t>N/A</t>
        </is>
      </c>
      <c r="L3706" s="10" t="inlineStr">
        <is>
          <t>Quản Lý Nhân Sự, Tiếng Nhật N2, Giám Sát Chất Lượng Sản Xuất, Lập Kế Hoạch Sản Xuất, Trợ Lý</t>
        </is>
      </c>
      <c r="M3706" s="10" t="inlineStr">
        <is>
          <t>Bonus, Healthcare Plan, Paid Leave, Others</t>
        </is>
      </c>
      <c r="N3706" s="11">
        <f>HYPERLINK("https://www.vietnamworks.com/tro-ly-phong-san-xuat-tuong-lai-len-truong-phong-2014258-jv","Xem chi tiết")</f>
        <v/>
      </c>
      <c r="O3706" s="10" t="n"/>
    </row>
    <row r="3707">
      <c r="B3707" s="7" t="n">
        <v>3705</v>
      </c>
      <c r="C3707" t="inlineStr">
        <is>
          <t>Kỹ Thuật Viên Xây Dựng</t>
        </is>
      </c>
      <c r="D3707" t="inlineStr">
        <is>
          <t>Công ty TNHH Kiểm toán Nhân Tâm Việt</t>
        </is>
      </c>
      <c r="E3707" t="inlineStr">
        <is>
          <t>Thương lượng</t>
        </is>
      </c>
      <c r="F3707" t="inlineStr">
        <is>
          <t>Hà Nội</t>
        </is>
      </c>
      <c r="G3707" t="inlineStr">
        <is>
          <t>Nhân viên</t>
        </is>
      </c>
      <c r="H3707" t="inlineStr">
        <is>
          <t>26/02/2026</t>
        </is>
      </c>
      <c r="I3707" t="inlineStr">
        <is>
          <t>28/03/2026</t>
        </is>
      </c>
      <c r="J3707" t="inlineStr">
        <is>
          <t>17/03/2026</t>
        </is>
      </c>
      <c r="K3707" t="inlineStr">
        <is>
          <t>N/A</t>
        </is>
      </c>
      <c r="L3707" t="inlineStr">
        <is>
          <t>Kiểm Toán</t>
        </is>
      </c>
      <c r="M3707" t="inlineStr">
        <is>
          <t>Bonus, Healthcare Plan, Training</t>
        </is>
      </c>
      <c r="N3707" s="8">
        <f>HYPERLINK("https://www.vietnamworks.com/ky-thuat-vien-xay-dung--2014257-jv","Xem chi tiết")</f>
        <v/>
      </c>
    </row>
    <row r="3708">
      <c r="B3708" s="9" t="n">
        <v>3706</v>
      </c>
      <c r="C3708" s="10" t="inlineStr">
        <is>
          <t>Nhân Viên Dự Toán</t>
        </is>
      </c>
      <c r="D3708" s="10" t="inlineStr">
        <is>
          <t>CÔNG TY TNHH THIẾT KẾ XD TM DATRACO</t>
        </is>
      </c>
      <c r="E3708" s="10" t="inlineStr">
        <is>
          <t>Thương lượng</t>
        </is>
      </c>
      <c r="F3708" s="10" t="inlineStr">
        <is>
          <t>Hồ Chí Minh</t>
        </is>
      </c>
      <c r="G3708" s="10" t="inlineStr">
        <is>
          <t>Nhân viên</t>
        </is>
      </c>
      <c r="H3708" s="10" t="inlineStr">
        <is>
          <t>26/02/2026</t>
        </is>
      </c>
      <c r="I3708" s="10" t="inlineStr">
        <is>
          <t>28/03/2026</t>
        </is>
      </c>
      <c r="J3708" s="10" t="inlineStr">
        <is>
          <t>17/03/2026</t>
        </is>
      </c>
      <c r="K3708" s="10" t="inlineStr">
        <is>
          <t>N/A</t>
        </is>
      </c>
      <c r="L3708" s="10" t="inlineStr">
        <is>
          <t>Dự Toán Công Trình, Lập Dự Toán, QS, Quantity Surveyor Management, Đọc Hiểu Bản Vẽ</t>
        </is>
      </c>
      <c r="M3708" s="10" t="inlineStr">
        <is>
          <t>Healthcare Plan, Others</t>
        </is>
      </c>
      <c r="N3708" s="11">
        <f>HYPERLINK("https://www.vietnamworks.com/nhan-vien-du-toan-2014261-jv","Xem chi tiết")</f>
        <v/>
      </c>
      <c r="O3708" s="10" t="n"/>
    </row>
    <row r="3709">
      <c r="B3709" s="7" t="n">
        <v>3707</v>
      </c>
      <c r="C3709" t="inlineStr">
        <is>
          <t>Tuyển Kĩ Sư Điện Lương Up to 30 Triệu</t>
        </is>
      </c>
      <c r="D3709" t="inlineStr">
        <is>
          <t>Công Ty TNHH Việt Nam Kandenko</t>
        </is>
      </c>
      <c r="E3709" t="inlineStr">
        <is>
          <t>Thương lượng</t>
        </is>
      </c>
      <c r="F3709" t="inlineStr">
        <is>
          <t>Hà Nội</t>
        </is>
      </c>
      <c r="G3709" t="inlineStr">
        <is>
          <t>Nhân viên</t>
        </is>
      </c>
      <c r="H3709" t="inlineStr">
        <is>
          <t>26/02/2026</t>
        </is>
      </c>
      <c r="I3709" t="inlineStr">
        <is>
          <t>28/03/2026</t>
        </is>
      </c>
      <c r="J3709" t="inlineStr">
        <is>
          <t>17/03/2026</t>
        </is>
      </c>
      <c r="K3709" t="inlineStr">
        <is>
          <t>N/A</t>
        </is>
      </c>
      <c r="L3709" t="inlineStr">
        <is>
          <t>Xây Dựng Dân Dụng, Revit, BIM Revit, BIM Application, Kỹ Thuật Thi Công</t>
        </is>
      </c>
      <c r="M3709" t="inlineStr">
        <is>
          <t>Bonus, Healthcare Plan, Others</t>
        </is>
      </c>
      <c r="N3709" s="8">
        <f>HYPERLINK("https://www.vietnamworks.com/tuyen-ki-su-dien-luong-up-to-30-trieu-2014260-jv","Xem chi tiết")</f>
        <v/>
      </c>
    </row>
    <row r="3710">
      <c r="B3710" s="9" t="n">
        <v>3708</v>
      </c>
      <c r="C3710" s="10" t="inlineStr">
        <is>
          <t>Trưởng Phòng Marketing (Lương 27 - 35 Triệu/tháng)</t>
        </is>
      </c>
      <c r="D3710" s="10" t="inlineStr">
        <is>
          <t>Công Ty TNHH TM&amp;DV Phân Phối Ánh Dương</t>
        </is>
      </c>
      <c r="E3710" s="10" t="inlineStr">
        <is>
          <t>27tr-35tr ₫/tháng</t>
        </is>
      </c>
      <c r="F3710" s="10" t="inlineStr">
        <is>
          <t>Hà Nội</t>
        </is>
      </c>
      <c r="G3710" s="10" t="inlineStr">
        <is>
          <t>Trưởng phòng</t>
        </is>
      </c>
      <c r="H3710" s="10" t="inlineStr">
        <is>
          <t>26/02/2026</t>
        </is>
      </c>
      <c r="I3710" s="10" t="inlineStr">
        <is>
          <t>28/03/2026</t>
        </is>
      </c>
      <c r="J3710" s="10" t="inlineStr">
        <is>
          <t>17/03/2026</t>
        </is>
      </c>
      <c r="K3710" s="10" t="inlineStr">
        <is>
          <t>N/A</t>
        </is>
      </c>
      <c r="L3710" s="10" t="inlineStr">
        <is>
          <t>Quảng Cáo Nhãn Hiệu, Branding, Digital Advertising, FMCG, Marketing</t>
        </is>
      </c>
      <c r="M3710" s="10" t="inlineStr">
        <is>
          <t>Bonus, Mobile, Travel Opportunities</t>
        </is>
      </c>
      <c r="N3710" s="11">
        <f>HYPERLINK("https://www.vietnamworks.com/truong-phong-marketing-luong-27-35-trieu-thang--2014263-jv","Xem chi tiết")</f>
        <v/>
      </c>
      <c r="O3710" s="10" t="n"/>
    </row>
    <row r="3711">
      <c r="B3711" s="7" t="n">
        <v>3709</v>
      </c>
      <c r="C3711" t="inlineStr">
        <is>
          <t>Brand Manager</t>
        </is>
      </c>
      <c r="D3711" t="inlineStr">
        <is>
          <t>Công Ty Cổ Phần Nature Gift Pharma</t>
        </is>
      </c>
      <c r="E3711" t="inlineStr">
        <is>
          <t>$$ 1,500-3,000 /tháng</t>
        </is>
      </c>
      <c r="F3711" t="inlineStr">
        <is>
          <t>Hồ Chí Minh</t>
        </is>
      </c>
      <c r="G3711" t="inlineStr">
        <is>
          <t>Trưởng phòng</t>
        </is>
      </c>
      <c r="H3711" t="inlineStr">
        <is>
          <t>26/02/2026</t>
        </is>
      </c>
      <c r="I3711" t="inlineStr">
        <is>
          <t>28/03/2026</t>
        </is>
      </c>
      <c r="J3711" t="inlineStr">
        <is>
          <t>17/03/2026</t>
        </is>
      </c>
      <c r="K3711" t="inlineStr">
        <is>
          <t>N/A</t>
        </is>
      </c>
      <c r="L3711" t="inlineStr">
        <is>
          <t>Trade Marketing, Brand Management, Marketing Planning, Pharmaceutical Healthcare, Quản Lý Thương Hiệu</t>
        </is>
      </c>
      <c r="M3711" t="inlineStr">
        <is>
          <t>Bonus, Healthcare Plan, Training</t>
        </is>
      </c>
      <c r="N3711" s="8">
        <f>HYPERLINK("https://www.vietnamworks.com/brand-manager-221-1-1-1-1-1-1-1-1-1-1-1-1-1-1-1-1-1-1-2-1--2014271-jv","Xem chi tiết")</f>
        <v/>
      </c>
    </row>
    <row r="3712">
      <c r="B3712" s="9" t="n">
        <v>3710</v>
      </c>
      <c r="C3712" s="10" t="inlineStr">
        <is>
          <t>Tax Consultant / Nhân Viên Tư Vấn Thuế Thu Nhập Cá Nhân</t>
        </is>
      </c>
      <c r="D3712" s="10" t="inlineStr">
        <is>
          <t>Công Ty Cổ Phần Fair Consulting Việt Nam</t>
        </is>
      </c>
      <c r="E3712" s="10" t="inlineStr">
        <is>
          <t>Thương lượng</t>
        </is>
      </c>
      <c r="F3712" s="10" t="inlineStr">
        <is>
          <t>Hà Nội</t>
        </is>
      </c>
      <c r="G3712" s="10" t="inlineStr">
        <is>
          <t>Nhân viên</t>
        </is>
      </c>
      <c r="H3712" s="10" t="inlineStr">
        <is>
          <t>26/02/2026</t>
        </is>
      </c>
      <c r="I3712" s="10" t="inlineStr">
        <is>
          <t>28/03/2026</t>
        </is>
      </c>
      <c r="J3712" s="10" t="inlineStr">
        <is>
          <t>17/03/2026</t>
        </is>
      </c>
      <c r="K3712" s="10" t="inlineStr">
        <is>
          <t>N/A</t>
        </is>
      </c>
      <c r="L3712" s="10" t="inlineStr">
        <is>
          <t>Tư Vấn Kế Toán, Tax Consulting, Tax Accounting, Tư Vấn Thuế, Kế Toán</t>
        </is>
      </c>
      <c r="M3712" s="10" t="inlineStr">
        <is>
          <t>Healthcare Plan, Team Activities</t>
        </is>
      </c>
      <c r="N3712" s="11">
        <f>HYPERLINK("https://www.vietnamworks.com/tax-consultant-nhan-vien-tu-van-thue-thu-nhap-ca-nhan--2014270-jv","Xem chi tiết")</f>
        <v/>
      </c>
      <c r="O3712" s="10" t="n"/>
    </row>
    <row r="3713">
      <c r="B3713" s="7" t="n">
        <v>3711</v>
      </c>
      <c r="C3713" t="inlineStr">
        <is>
          <t>Graphic Designer (Tiếng Nhật)</t>
        </is>
      </c>
      <c r="D3713" t="inlineStr">
        <is>
          <t>Công Ty TNHH DYM Việt Nam</t>
        </is>
      </c>
      <c r="E3713" t="inlineStr">
        <is>
          <t>14tr-20tr ₫/tháng</t>
        </is>
      </c>
      <c r="F3713" t="inlineStr">
        <is>
          <t>Hồ Chí Minh</t>
        </is>
      </c>
      <c r="G3713" t="inlineStr">
        <is>
          <t>Nhân viên</t>
        </is>
      </c>
      <c r="H3713" t="inlineStr">
        <is>
          <t>26/02/2026</t>
        </is>
      </c>
      <c r="I3713" t="inlineStr">
        <is>
          <t>28/03/2026</t>
        </is>
      </c>
      <c r="J3713" t="inlineStr">
        <is>
          <t>17/03/2026</t>
        </is>
      </c>
      <c r="K3713" t="inlineStr">
        <is>
          <t>N/A</t>
        </is>
      </c>
      <c r="L3713" t="inlineStr">
        <is>
          <t>Tiếng Nhật, Graphic Design, Adobe Photoshop, Adobe Illustrator, Adobe After Effects</t>
        </is>
      </c>
      <c r="M3713" t="inlineStr">
        <is>
          <t>Bonus, Healthcare Plan, Transportation</t>
        </is>
      </c>
      <c r="N3713" s="8">
        <f>HYPERLINK("https://www.vietnamworks.com/graphic-designer-tieng-nhat-2014265-jv","Xem chi tiết")</f>
        <v/>
      </c>
    </row>
    <row r="3714">
      <c r="B3714" s="9" t="n">
        <v>3712</v>
      </c>
      <c r="C3714" s="10" t="inlineStr">
        <is>
          <t>Chief Accountant</t>
        </is>
      </c>
      <c r="D3714" s="10" t="inlineStr">
        <is>
          <t>CÔNG TY TNHH SEAH M&amp;S VIỆT NAM</t>
        </is>
      </c>
      <c r="E3714" s="10" t="inlineStr">
        <is>
          <t>Thương lượng</t>
        </is>
      </c>
      <c r="F3714" s="10" t="inlineStr">
        <is>
          <t>Bà Rịa - Vũng Tàu, Đồng Nai</t>
        </is>
      </c>
      <c r="G3714" s="10" t="inlineStr">
        <is>
          <t>Trưởng phòng</t>
        </is>
      </c>
      <c r="H3714" s="10" t="inlineStr">
        <is>
          <t>26/02/2026</t>
        </is>
      </c>
      <c r="I3714" s="10" t="inlineStr">
        <is>
          <t>28/03/2026</t>
        </is>
      </c>
      <c r="J3714" s="10" t="inlineStr">
        <is>
          <t>17/03/2026</t>
        </is>
      </c>
      <c r="K3714" s="10" t="inlineStr">
        <is>
          <t>N/A</t>
        </is>
      </c>
      <c r="L3714" s="10" t="inlineStr">
        <is>
          <t>Chief Accountant Certificate, Financial Accounting, Audit, SAP, Fast</t>
        </is>
      </c>
      <c r="M3714" s="10" t="inlineStr">
        <is>
          <t>Bonus, Awards, Transportation</t>
        </is>
      </c>
      <c r="N3714" s="11">
        <f>HYPERLINK("https://www.vietnamworks.com/chief-accountant--2014272-jv","Xem chi tiết")</f>
        <v/>
      </c>
      <c r="O3714" s="10" t="n"/>
    </row>
    <row r="3715">
      <c r="B3715" s="7" t="n">
        <v>3713</v>
      </c>
      <c r="C3715" t="inlineStr">
        <is>
          <t>[Hà Nội] Sales Planning Officer/ Cán Bộ Kế Hoạch Bán Hàng (Pet Care)</t>
        </is>
      </c>
      <c r="D3715" t="inlineStr">
        <is>
          <t>Diana Unicharm JSC</t>
        </is>
      </c>
      <c r="E3715" t="inlineStr">
        <is>
          <t>$$ 800-1,100 /tháng</t>
        </is>
      </c>
      <c r="F3715" t="inlineStr">
        <is>
          <t>Hà Nội</t>
        </is>
      </c>
      <c r="G3715" t="inlineStr">
        <is>
          <t>Nhân viên</t>
        </is>
      </c>
      <c r="H3715" t="inlineStr">
        <is>
          <t>26/02/2026</t>
        </is>
      </c>
      <c r="I3715" t="inlineStr">
        <is>
          <t>28/03/2026</t>
        </is>
      </c>
      <c r="J3715" t="inlineStr">
        <is>
          <t>17/03/2026</t>
        </is>
      </c>
      <c r="K3715" t="inlineStr">
        <is>
          <t>N/A</t>
        </is>
      </c>
      <c r="L3715" t="inlineStr">
        <is>
          <t>FMCG, Sales Planning, Sales, Planning Data Analysis, Sales Analysis</t>
        </is>
      </c>
      <c r="M3715" t="inlineStr">
        <is>
          <t>Bonus, Healthcare Plan, Others</t>
        </is>
      </c>
      <c r="N3715" s="8">
        <f>HYPERLINK("https://www.vietnamworks.com/ha-noi-sales-planning-officer-can-bo-ke-hoach-ban-hang-pet-care-2014267-jv","Xem chi tiết")</f>
        <v/>
      </c>
    </row>
    <row r="3716">
      <c r="B3716" s="9" t="n">
        <v>3714</v>
      </c>
      <c r="C3716" s="10" t="inlineStr">
        <is>
          <t>Accounting Assistant (Working Location: Ho Chi Minh City)</t>
        </is>
      </c>
      <c r="D3716" s="10" t="inlineStr">
        <is>
          <t>Orient Express Container Co., Ltd</t>
        </is>
      </c>
      <c r="E3716" s="10" t="inlineStr">
        <is>
          <t>Thương lượng</t>
        </is>
      </c>
      <c r="F3716" s="10" t="inlineStr">
        <is>
          <t>Hồ Chí Minh</t>
        </is>
      </c>
      <c r="G3716" s="10" t="inlineStr">
        <is>
          <t>Nhân viên</t>
        </is>
      </c>
      <c r="H3716" s="10" t="inlineStr">
        <is>
          <t>26/02/2026</t>
        </is>
      </c>
      <c r="I3716" s="10" t="inlineStr">
        <is>
          <t>28/03/2026</t>
        </is>
      </c>
      <c r="J3716" s="10" t="inlineStr">
        <is>
          <t>17/03/2026</t>
        </is>
      </c>
      <c r="K3716" s="10" t="inlineStr">
        <is>
          <t>N/A</t>
        </is>
      </c>
      <c r="L3716" s="10" t="inlineStr">
        <is>
          <t>Finance, Accounting Software, Chinese, Excel, Accounting</t>
        </is>
      </c>
      <c r="M3716" s="10" t="inlineStr">
        <is>
          <t>Bonus, Healthcare Plan, Paid Leave</t>
        </is>
      </c>
      <c r="N3716" s="11">
        <f>HYPERLINK("https://www.vietnamworks.com/accounting-assistant-working-location-ho-chi-minh-city-2014278-jv","Xem chi tiết")</f>
        <v/>
      </c>
      <c r="O3716" s="10" t="n"/>
    </row>
    <row r="3717">
      <c r="B3717" s="7" t="n">
        <v>3715</v>
      </c>
      <c r="C3717" t="inlineStr">
        <is>
          <t>Chuyên Viên Quản Lý Hệ Thống HSE &amp; ESG (ISO 14001 &amp; ISO 45001)</t>
        </is>
      </c>
      <c r="D3717" t="inlineStr">
        <is>
          <t>FPT Software</t>
        </is>
      </c>
      <c r="E3717" t="inlineStr">
        <is>
          <t>Thương lượng</t>
        </is>
      </c>
      <c r="F3717" t="inlineStr">
        <is>
          <t>Hà Nội</t>
        </is>
      </c>
      <c r="G3717" t="inlineStr">
        <is>
          <t>Nhân viên</t>
        </is>
      </c>
      <c r="H3717" t="inlineStr">
        <is>
          <t>26/02/2026</t>
        </is>
      </c>
      <c r="I3717" t="inlineStr">
        <is>
          <t>28/03/2026</t>
        </is>
      </c>
      <c r="J3717" t="inlineStr">
        <is>
          <t>17/03/2026</t>
        </is>
      </c>
      <c r="K3717" t="inlineStr">
        <is>
          <t>N/A</t>
        </is>
      </c>
      <c r="L3717" t="inlineStr">
        <is>
          <t>Quản Lý Hệ Thống, HSE, ESG, ISO 14001, Quản lý chất lượng</t>
        </is>
      </c>
      <c r="M3717" t="inlineStr">
        <is>
          <t>Bonus, Awards, Travel Opportunities</t>
        </is>
      </c>
      <c r="N3717" s="8">
        <f>HYPERLINK("https://www.vietnamworks.com/chuyen-vien-quan-ly-he-thong-hse-esg-iso-14001-iso-45001-2014281-jv","Xem chi tiết")</f>
        <v/>
      </c>
    </row>
    <row r="3718">
      <c r="B3718" s="9" t="n">
        <v>3716</v>
      </c>
      <c r="C3718" s="10" t="inlineStr">
        <is>
          <t>Nhân Viên Dự Toán - QS (Nội Thất) - Bóc Tách Khối Lượng</t>
        </is>
      </c>
      <c r="D3718" s="10" t="inlineStr">
        <is>
          <t>ADP - Công ty CP Nội thất cơ bản</t>
        </is>
      </c>
      <c r="E3718" s="10" t="inlineStr">
        <is>
          <t>Thương lượng</t>
        </is>
      </c>
      <c r="F3718" s="10" t="inlineStr">
        <is>
          <t>Hồ Chí Minh, Hà Nội</t>
        </is>
      </c>
      <c r="G3718" s="10" t="inlineStr">
        <is>
          <t>Nhân viên</t>
        </is>
      </c>
      <c r="H3718" s="10" t="inlineStr">
        <is>
          <t>26/02/2026</t>
        </is>
      </c>
      <c r="I3718" s="10" t="inlineStr">
        <is>
          <t>28/03/2026</t>
        </is>
      </c>
      <c r="J3718" s="10" t="inlineStr">
        <is>
          <t>17/03/2026</t>
        </is>
      </c>
      <c r="K3718" s="10" t="inlineStr">
        <is>
          <t>N/A</t>
        </is>
      </c>
      <c r="L3718" s="10" t="inlineStr">
        <is>
          <t>Dự Toán Bóc Tách, QS, Bóc Tách Khối Lượng, Dự Toán Nội Thất, AutoCAD</t>
        </is>
      </c>
      <c r="M3718" s="10" t="inlineStr">
        <is>
          <t>Bonus, Healthcare Plan, Awards</t>
        </is>
      </c>
      <c r="N3718" s="11">
        <f>HYPERLINK("https://www.vietnamworks.com/nhan-vien-du-toan-qs-noi-that-boc-tach-khoi-luong-2014276-jv","Xem chi tiết")</f>
        <v/>
      </c>
      <c r="O3718" s="10" t="n"/>
    </row>
    <row r="3719">
      <c r="B3719" s="7" t="n">
        <v>3717</v>
      </c>
      <c r="C3719" t="inlineStr">
        <is>
          <t>Marketing Executive</t>
        </is>
      </c>
      <c r="D3719" t="inlineStr">
        <is>
          <t>St. Mary's International School</t>
        </is>
      </c>
      <c r="E3719" t="inlineStr">
        <is>
          <t>Thương lượng</t>
        </is>
      </c>
      <c r="F3719" t="inlineStr">
        <is>
          <t>Hà Nội</t>
        </is>
      </c>
      <c r="G3719" t="inlineStr">
        <is>
          <t>Nhân viên</t>
        </is>
      </c>
      <c r="H3719" t="inlineStr">
        <is>
          <t>26/02/2026</t>
        </is>
      </c>
      <c r="I3719" t="inlineStr">
        <is>
          <t>28/03/2026</t>
        </is>
      </c>
      <c r="J3719" t="inlineStr">
        <is>
          <t>17/03/2026</t>
        </is>
      </c>
      <c r="K3719" t="inlineStr">
        <is>
          <t>N/A</t>
        </is>
      </c>
      <c r="L3719" t="inlineStr">
        <is>
          <t>Digital Marketing Planning, Brand Awareness, Market Research, Event Planning, Communication Skills</t>
        </is>
      </c>
      <c r="M3719" t="inlineStr">
        <is>
          <t>Bonus, Healthcare Plan</t>
        </is>
      </c>
      <c r="N3719" s="8">
        <f>HYPERLINK("https://www.vietnamworks.com/marketing-executive-2014277-jv","Xem chi tiết")</f>
        <v/>
      </c>
    </row>
    <row r="3720">
      <c r="B3720" s="9" t="n">
        <v>3718</v>
      </c>
      <c r="C3720" s="10" t="inlineStr">
        <is>
          <t>Senior L&amp;D Specialist</t>
        </is>
      </c>
      <c r="D3720" s="10" t="inlineStr">
        <is>
          <t>Pixelz Company Limited</t>
        </is>
      </c>
      <c r="E3720" s="10" t="inlineStr">
        <is>
          <t>Thương lượng</t>
        </is>
      </c>
      <c r="F3720" s="10" t="inlineStr">
        <is>
          <t>Hà Nội</t>
        </is>
      </c>
      <c r="G3720" s="10" t="inlineStr">
        <is>
          <t>Nhân viên</t>
        </is>
      </c>
      <c r="H3720" s="10" t="inlineStr">
        <is>
          <t>26/02/2026</t>
        </is>
      </c>
      <c r="I3720" s="10" t="inlineStr">
        <is>
          <t>28/03/2026</t>
        </is>
      </c>
      <c r="J3720" s="10" t="inlineStr">
        <is>
          <t>17/03/2026</t>
        </is>
      </c>
      <c r="K3720" s="10" t="inlineStr">
        <is>
          <t>N/A</t>
        </is>
      </c>
      <c r="L3720" s="10" t="inlineStr">
        <is>
          <t>People Development, Training Program Design, LMS Management, Training Delivery, Training Development</t>
        </is>
      </c>
      <c r="M3720" s="10" t="inlineStr">
        <is>
          <t>Bonus, Healthcare Plan, Paid Leave, Training, Others</t>
        </is>
      </c>
      <c r="N3720" s="11">
        <f>HYPERLINK("https://www.vietnamworks.com/senior-landd-specialist-2014279-jv","Xem chi tiết")</f>
        <v/>
      </c>
      <c r="O3720" s="10" t="n"/>
    </row>
    <row r="3721">
      <c r="B3721" s="7" t="n">
        <v>3719</v>
      </c>
      <c r="C3721" t="inlineStr">
        <is>
          <t>Senior Media Planner</t>
        </is>
      </c>
      <c r="D3721" t="inlineStr">
        <is>
          <t>Công Ty Cổ Phần Truyền Thông Quảng Cáo Đa Phương Tiện</t>
        </is>
      </c>
      <c r="E3721" t="inlineStr">
        <is>
          <t>30tr-50tr ₫/tháng</t>
        </is>
      </c>
      <c r="F3721" t="inlineStr">
        <is>
          <t>Hà Nội</t>
        </is>
      </c>
      <c r="G3721" t="inlineStr">
        <is>
          <t>Nhân viên</t>
        </is>
      </c>
      <c r="H3721" t="inlineStr">
        <is>
          <t>26/02/2026</t>
        </is>
      </c>
      <c r="I3721" t="inlineStr">
        <is>
          <t>28/03/2026</t>
        </is>
      </c>
      <c r="J3721" t="inlineStr">
        <is>
          <t>17/03/2026</t>
        </is>
      </c>
      <c r="K3721" t="inlineStr">
        <is>
          <t>N/A</t>
        </is>
      </c>
      <c r="L3721" t="inlineStr">
        <is>
          <t>Digital Strategy, Content Writing, Media Campaign, Digital Storytelling, Collaboration</t>
        </is>
      </c>
      <c r="M3721" t="inlineStr">
        <is>
          <t>Bonus, Healthcare Plan, Training, Team Activities, Others</t>
        </is>
      </c>
      <c r="N3721" s="8">
        <f>HYPERLINK("https://www.vietnamworks.com/senior-media-planner-2014282-jv","Xem chi tiết")</f>
        <v/>
      </c>
    </row>
    <row r="3722">
      <c r="B3722" s="9" t="n">
        <v>3720</v>
      </c>
      <c r="C3722" s="10" t="inlineStr">
        <is>
          <t>Junior Accountant - Open to Fresh Graduates</t>
        </is>
      </c>
      <c r="D3722" s="10" t="inlineStr">
        <is>
          <t>Chi Nhánh Hà Nội - Công Ty TNHH Kiara Garments Việt Nam</t>
        </is>
      </c>
      <c r="E3722" s="10" t="inlineStr">
        <is>
          <t>Thương lượng</t>
        </is>
      </c>
      <c r="F3722" s="10" t="inlineStr">
        <is>
          <t>Hà Nội</t>
        </is>
      </c>
      <c r="G3722" s="10" t="inlineStr">
        <is>
          <t>Mới Tốt Nghiệp</t>
        </is>
      </c>
      <c r="H3722" s="10" t="inlineStr">
        <is>
          <t>26/02/2026</t>
        </is>
      </c>
      <c r="I3722" s="10" t="inlineStr">
        <is>
          <t>28/03/2026</t>
        </is>
      </c>
      <c r="J3722" s="10" t="inlineStr">
        <is>
          <t>17/03/2026</t>
        </is>
      </c>
      <c r="K3722" s="10" t="inlineStr">
        <is>
          <t>N/A</t>
        </is>
      </c>
      <c r="L3722" s="10" t="inlineStr">
        <is>
          <t>Excel Skills, Analytical Data, Document Checking, English/Vietnamese Communication, Account</t>
        </is>
      </c>
      <c r="M3722" s="10" t="inlineStr">
        <is>
          <t>Bonus, Team Activities, Others</t>
        </is>
      </c>
      <c r="N3722" s="11">
        <f>HYPERLINK("https://www.vietnamworks.com/junior-accountant-open-to-fresh-graduates-2014284-jv","Xem chi tiết")</f>
        <v/>
      </c>
      <c r="O3722" s="10" t="n"/>
    </row>
    <row r="3723">
      <c r="B3723" s="7" t="n">
        <v>3721</v>
      </c>
      <c r="C3723" t="inlineStr">
        <is>
          <t>Nhân Viên An Toàn – PCCC</t>
        </is>
      </c>
      <c r="D3723" t="inlineStr">
        <is>
          <t>Crystal Martin (Vietnam) Company Limited</t>
        </is>
      </c>
      <c r="E3723" t="inlineStr">
        <is>
          <t>Thương lượng</t>
        </is>
      </c>
      <c r="F3723" t="inlineStr">
        <is>
          <t>Bắc Giang, Bắc Ninh, Hà Nội</t>
        </is>
      </c>
      <c r="G3723" t="inlineStr">
        <is>
          <t>Nhân viên</t>
        </is>
      </c>
      <c r="H3723" t="inlineStr">
        <is>
          <t>26/02/2026</t>
        </is>
      </c>
      <c r="I3723" t="inlineStr">
        <is>
          <t>28/03/2026</t>
        </is>
      </c>
      <c r="J3723" t="inlineStr">
        <is>
          <t>17/03/2026</t>
        </is>
      </c>
      <c r="K3723" t="inlineStr">
        <is>
          <t>N/A</t>
        </is>
      </c>
      <c r="L3723" t="inlineStr">
        <is>
          <t>English, PCCC, Quản Lý Hóa Chất, An Toàn Lao Động, Hóa Chất</t>
        </is>
      </c>
      <c r="M3723" t="inlineStr">
        <is>
          <t>Bonus, Transportation, Canteen</t>
        </is>
      </c>
      <c r="N3723" s="8">
        <f>HYPERLINK("https://www.vietnamworks.com/nhan-vien-an-toan-pccc--2014283-jv","Xem chi tiết")</f>
        <v/>
      </c>
    </row>
    <row r="3724">
      <c r="B3724" s="9" t="n">
        <v>3722</v>
      </c>
      <c r="C3724" s="10" t="inlineStr">
        <is>
          <t>Trưởng Phòng Kinh Doanh</t>
        </is>
      </c>
      <c r="D3724" s="10" t="inlineStr">
        <is>
          <t>Công ty cổ phần BT Đông Dương</t>
        </is>
      </c>
      <c r="E3724" s="10" t="inlineStr">
        <is>
          <t>25tr-40tr ₫/tháng</t>
        </is>
      </c>
      <c r="F3724" s="10" t="inlineStr">
        <is>
          <t>Hà Nội</t>
        </is>
      </c>
      <c r="G3724" s="10" t="inlineStr">
        <is>
          <t>Trưởng phòng</t>
        </is>
      </c>
      <c r="H3724" s="10" t="inlineStr">
        <is>
          <t>26/02/2026</t>
        </is>
      </c>
      <c r="I3724" s="10" t="inlineStr">
        <is>
          <t>28/03/2026</t>
        </is>
      </c>
      <c r="J3724" s="10" t="inlineStr">
        <is>
          <t>17/03/2026</t>
        </is>
      </c>
      <c r="K3724" s="10" t="inlineStr">
        <is>
          <t>N/A</t>
        </is>
      </c>
      <c r="L3724" s="10" t="inlineStr">
        <is>
          <t>Quản Trị Kinh Doanh, Marketing Development, B2B, Lãnh Đạo, Quản Lý Đội Ngũ Kinh Doanh</t>
        </is>
      </c>
      <c r="M3724" s="10" t="inlineStr">
        <is>
          <t>Bonus, Healthcare Plan, Training, Others</t>
        </is>
      </c>
      <c r="N3724" s="11">
        <f>HYPERLINK("https://www.vietnamworks.com/truong-phong-kinh-doanh-2014298-jv","Xem chi tiết")</f>
        <v/>
      </c>
      <c r="O3724" s="10" t="n"/>
    </row>
    <row r="3725">
      <c r="B3725" s="7" t="n">
        <v>3723</v>
      </c>
      <c r="C3725" t="inlineStr">
        <is>
          <t>Textile Production Line Manager</t>
        </is>
      </c>
      <c r="D3725" t="inlineStr">
        <is>
          <t>Công Ty TNHH WGR Industries</t>
        </is>
      </c>
      <c r="E3725" t="inlineStr">
        <is>
          <t>Thương lượng</t>
        </is>
      </c>
      <c r="F3725" t="inlineStr">
        <is>
          <t>Gia Lai, Bình Định</t>
        </is>
      </c>
      <c r="G3725" t="inlineStr">
        <is>
          <t>Trưởng phòng</t>
        </is>
      </c>
      <c r="H3725" t="inlineStr">
        <is>
          <t>26/02/2026</t>
        </is>
      </c>
      <c r="I3725" t="inlineStr">
        <is>
          <t>28/03/2026</t>
        </is>
      </c>
      <c r="J3725" t="inlineStr">
        <is>
          <t>17/03/2026</t>
        </is>
      </c>
      <c r="K3725" t="inlineStr">
        <is>
          <t>N/A</t>
        </is>
      </c>
      <c r="L3725" t="inlineStr">
        <is>
          <t>Environmental Law, Production Management, Project Management, Team Management, Textile Engineering</t>
        </is>
      </c>
      <c r="M3725" t="inlineStr">
        <is>
          <t>Laptop, Others</t>
        </is>
      </c>
      <c r="N3725" s="8">
        <f>HYPERLINK("https://www.vietnamworks.com/textile-production-line-manager-2014288-jv","Xem chi tiết")</f>
        <v/>
      </c>
    </row>
    <row r="3726">
      <c r="B3726" s="9" t="n">
        <v>3724</v>
      </c>
      <c r="C3726" s="10" t="inlineStr">
        <is>
          <t>Quản Lý Kinh Doanh OTC Vùng HCM</t>
        </is>
      </c>
      <c r="D3726" s="10" t="inlineStr">
        <is>
          <t>Công Ty Cổ Phần Dược Phẩm 3/2</t>
        </is>
      </c>
      <c r="E3726" s="10" t="inlineStr">
        <is>
          <t>Thương lượng</t>
        </is>
      </c>
      <c r="F3726" s="10" t="inlineStr">
        <is>
          <t>Hồ Chí Minh</t>
        </is>
      </c>
      <c r="G3726" s="10" t="inlineStr">
        <is>
          <t>Trưởng phòng</t>
        </is>
      </c>
      <c r="H3726" s="10" t="inlineStr">
        <is>
          <t>26/02/2026</t>
        </is>
      </c>
      <c r="I3726" s="10" t="inlineStr">
        <is>
          <t>28/03/2026</t>
        </is>
      </c>
      <c r="J3726" s="10" t="inlineStr">
        <is>
          <t>17/03/2026</t>
        </is>
      </c>
      <c r="K3726" s="10" t="inlineStr">
        <is>
          <t>N/A</t>
        </is>
      </c>
      <c r="L3726" s="10" t="inlineStr">
        <is>
          <t>Quản Lý OTC</t>
        </is>
      </c>
      <c r="M3726" s="10" t="inlineStr">
        <is>
          <t>Bonus</t>
        </is>
      </c>
      <c r="N3726" s="11">
        <f>HYPERLINK("https://www.vietnamworks.com/quan-ly-kinh-doanh-otc-vung-hcm-2014296-jv","Xem chi tiết")</f>
        <v/>
      </c>
      <c r="O3726" s="10" t="n"/>
    </row>
    <row r="3727">
      <c r="B3727" s="7" t="n">
        <v>3725</v>
      </c>
      <c r="C3727" t="inlineStr">
        <is>
          <t>Nhân Viên Kế Toán Nội Bộ</t>
        </is>
      </c>
      <c r="D3727" t="inlineStr">
        <is>
          <t>Công ty cổ phần BT Đông Dương</t>
        </is>
      </c>
      <c r="E3727" t="inlineStr">
        <is>
          <t>Từ 9tr ₫/tháng</t>
        </is>
      </c>
      <c r="F3727" t="inlineStr">
        <is>
          <t>Hà Nội</t>
        </is>
      </c>
      <c r="G3727" t="inlineStr">
        <is>
          <t>Nhân viên</t>
        </is>
      </c>
      <c r="H3727" t="inlineStr">
        <is>
          <t>26/02/2026</t>
        </is>
      </c>
      <c r="I3727" t="inlineStr">
        <is>
          <t>28/03/2026</t>
        </is>
      </c>
      <c r="J3727" t="inlineStr">
        <is>
          <t>17/03/2026</t>
        </is>
      </c>
      <c r="K3727" t="inlineStr">
        <is>
          <t>N/A</t>
        </is>
      </c>
      <c r="L3727" t="inlineStr">
        <is>
          <t>Báo Cáo Tài Chính, Kế Toán Tài Chính, Kiểm Soát Chi Phí, Lập Báo Cáo Thuế</t>
        </is>
      </c>
      <c r="M3727" t="inlineStr">
        <is>
          <t>Bonus, Healthcare Plan, Training, Others</t>
        </is>
      </c>
      <c r="N3727" s="8">
        <f>HYPERLINK("https://www.vietnamworks.com/nhan-vien-ke-toan-noi-bo--2014299-jv","Xem chi tiết")</f>
        <v/>
      </c>
    </row>
    <row r="3728">
      <c r="B3728" s="9" t="n">
        <v>3726</v>
      </c>
      <c r="C3728" s="10" t="inlineStr">
        <is>
          <t>Kế Toán Thuế (Thu Nhập Hấp Dẫn - Tối Thiểu 15M, Phỏng Vấn Đi Làm Ngay)</t>
        </is>
      </c>
      <c r="D3728" s="10" t="inlineStr">
        <is>
          <t>Công ty Cổ phần Phan Le Legacy</t>
        </is>
      </c>
      <c r="E3728" s="10" t="inlineStr">
        <is>
          <t>15tr-20tr ₫/tháng</t>
        </is>
      </c>
      <c r="F3728" s="10" t="inlineStr">
        <is>
          <t>Hà Nội</t>
        </is>
      </c>
      <c r="G3728" s="10" t="inlineStr">
        <is>
          <t>Nhân viên</t>
        </is>
      </c>
      <c r="H3728" s="10" t="inlineStr">
        <is>
          <t>26/02/2026</t>
        </is>
      </c>
      <c r="I3728" s="10" t="inlineStr">
        <is>
          <t>28/03/2026</t>
        </is>
      </c>
      <c r="J3728" s="10" t="inlineStr">
        <is>
          <t>17/03/2026</t>
        </is>
      </c>
      <c r="K3728" s="10" t="inlineStr">
        <is>
          <t>N/A</t>
        </is>
      </c>
      <c r="L3728" s="10" t="inlineStr">
        <is>
          <t>Báo Cáo Thuế, Excel, Kê Khai Thuế, Quyết Toán Thuế, Tư Vấn Rủi Ro</t>
        </is>
      </c>
      <c r="M3728" s="10" t="inlineStr">
        <is>
          <t>Bonus, Healthcare Plan, Paid Leave, Others</t>
        </is>
      </c>
      <c r="N3728" s="11">
        <f>HYPERLINK("https://www.vietnamworks.com/ke-toan-thue-thu-nhap-hap-dan-toi-thieu-15m-phong-van-dji-lam-ngay-2014305-jv","Xem chi tiết")</f>
        <v/>
      </c>
      <c r="O3728" s="10" t="n"/>
    </row>
    <row r="3729">
      <c r="B3729" s="7" t="n">
        <v>3727</v>
      </c>
      <c r="C3729" t="inlineStr">
        <is>
          <t>Deputy Manager, Cost &amp; Contract (Gross Salary: $1.000-$1.700)</t>
        </is>
      </c>
      <c r="D3729" t="inlineStr">
        <is>
          <t>Vietnam International Township Development Jsc - ParkCity Hanoi</t>
        </is>
      </c>
      <c r="E3729" t="inlineStr">
        <is>
          <t>$$ 1,000-1,700 /tháng</t>
        </is>
      </c>
      <c r="F3729" t="inlineStr">
        <is>
          <t>Hà Nội</t>
        </is>
      </c>
      <c r="G3729" t="inlineStr">
        <is>
          <t>Trưởng phòng</t>
        </is>
      </c>
      <c r="H3729" t="inlineStr">
        <is>
          <t>26/02/2026</t>
        </is>
      </c>
      <c r="I3729" t="inlineStr">
        <is>
          <t>28/03/2026</t>
        </is>
      </c>
      <c r="J3729" t="inlineStr">
        <is>
          <t>17/03/2026</t>
        </is>
      </c>
      <c r="K3729" t="inlineStr">
        <is>
          <t>N/A</t>
        </is>
      </c>
      <c r="L3729" t="inlineStr">
        <is>
          <t>Contract Management, Construction Management, Civil Engineering, Document Management</t>
        </is>
      </c>
      <c r="M3729" t="inlineStr">
        <is>
          <t>Bonus, Healthcare Plan, Vouchers</t>
        </is>
      </c>
      <c r="N3729" s="8">
        <f>HYPERLINK("https://www.vietnamworks.com/deputy-manager-cost-contract-gross-salary-1-000-1-700--2014287-jv","Xem chi tiết")</f>
        <v/>
      </c>
    </row>
    <row r="3730">
      <c r="B3730" s="9" t="n">
        <v>3728</v>
      </c>
      <c r="C3730" s="10" t="inlineStr">
        <is>
          <t>General Accountant (GL) Hanoi</t>
        </is>
      </c>
      <c r="D3730" s="10" t="inlineStr">
        <is>
          <t>BW Industrial Development JSC</t>
        </is>
      </c>
      <c r="E3730" s="10" t="inlineStr">
        <is>
          <t>Thương lượng</t>
        </is>
      </c>
      <c r="F3730" s="10" t="inlineStr">
        <is>
          <t>Hà Nội</t>
        </is>
      </c>
      <c r="G3730" s="10" t="inlineStr">
        <is>
          <t>Nhân viên</t>
        </is>
      </c>
      <c r="H3730" s="10" t="inlineStr">
        <is>
          <t>26/02/2026</t>
        </is>
      </c>
      <c r="I3730" s="10" t="inlineStr">
        <is>
          <t>28/03/2026</t>
        </is>
      </c>
      <c r="J3730" s="10" t="inlineStr">
        <is>
          <t>17/03/2026</t>
        </is>
      </c>
      <c r="K3730" s="10" t="inlineStr">
        <is>
          <t>N/A</t>
        </is>
      </c>
      <c r="L3730" s="10" t="inlineStr">
        <is>
          <t>VAS, IFRS, Accounting Management, Tax Optimization, Chief Accountant Certificate</t>
        </is>
      </c>
      <c r="M3730" s="10" t="inlineStr">
        <is>
          <t>Bonus, Healthcare Plan, Laptop</t>
        </is>
      </c>
      <c r="N3730" s="11">
        <f>HYPERLINK("https://www.vietnamworks.com/general-accountant-gl-hanoi-2014297-jv","Xem chi tiết")</f>
        <v/>
      </c>
      <c r="O3730" s="10" t="n"/>
    </row>
    <row r="3731">
      <c r="B3731" s="7" t="n">
        <v>3729</v>
      </c>
      <c r="C3731" t="inlineStr">
        <is>
          <t>Nhân Viên Kinh Doanh</t>
        </is>
      </c>
      <c r="D3731" t="inlineStr">
        <is>
          <t>Công ty cổ phần BT Đông Dương</t>
        </is>
      </c>
      <c r="E3731" t="inlineStr">
        <is>
          <t>10tr-20tr ₫/tháng</t>
        </is>
      </c>
      <c r="F3731" t="inlineStr">
        <is>
          <t>Hà Nội</t>
        </is>
      </c>
      <c r="G3731" t="inlineStr">
        <is>
          <t>Nhân viên</t>
        </is>
      </c>
      <c r="H3731" t="inlineStr">
        <is>
          <t>26/02/2026</t>
        </is>
      </c>
      <c r="I3731" t="inlineStr">
        <is>
          <t>28/03/2026</t>
        </is>
      </c>
      <c r="J3731" t="inlineStr">
        <is>
          <t>17/03/2026</t>
        </is>
      </c>
      <c r="K3731" t="inlineStr">
        <is>
          <t>N/A</t>
        </is>
      </c>
      <c r="L3731" t="inlineStr">
        <is>
          <t>Kinh Doanh, Chăm Sóc Khách Hàng, Phát Triển Khách Hàng, Thuyết Phục Đàm Phán, Tư Vấn Khách Hàng</t>
        </is>
      </c>
      <c r="M3731" t="inlineStr">
        <is>
          <t>Bonus, Healthcare Plan, Training, Others</t>
        </is>
      </c>
      <c r="N3731" s="8">
        <f>HYPERLINK("https://www.vietnamworks.com/nhan-vien-kinh-doanh-2014300-jv","Xem chi tiết")</f>
        <v/>
      </c>
    </row>
    <row r="3732">
      <c r="B3732" s="9" t="n">
        <v>3730</v>
      </c>
      <c r="C3732" s="10" t="inlineStr">
        <is>
          <t>Kế Toán Trưởng (Ưu Tiên Nữ- Làm Việc Tại Thuận An- Bình Dương)</t>
        </is>
      </c>
      <c r="D3732" s="10" t="inlineStr">
        <is>
          <t>CÔNG TY CỔ PHẦN CHIẾU XẠ AN PHÚ - APIRA</t>
        </is>
      </c>
      <c r="E3732" s="10" t="inlineStr">
        <is>
          <t>Thương lượng</t>
        </is>
      </c>
      <c r="F3732" s="10" t="inlineStr">
        <is>
          <t>Bình Dương, Hồ Chí Minh</t>
        </is>
      </c>
      <c r="G3732" s="10" t="inlineStr">
        <is>
          <t>Nhân viên</t>
        </is>
      </c>
      <c r="H3732" s="10" t="inlineStr">
        <is>
          <t>26/02/2026</t>
        </is>
      </c>
      <c r="I3732" s="10" t="inlineStr">
        <is>
          <t>28/03/2026</t>
        </is>
      </c>
      <c r="J3732" s="10" t="inlineStr">
        <is>
          <t>17/03/2026</t>
        </is>
      </c>
      <c r="K3732" s="10" t="inlineStr">
        <is>
          <t>N/A</t>
        </is>
      </c>
      <c r="L3732" s="10" t="inlineStr">
        <is>
          <t>Kế Toán, Kiểm Toán, Quản Lý Kế Toán, General Accountant, Chief Accountant</t>
        </is>
      </c>
      <c r="M3732" s="10" t="inlineStr">
        <is>
          <t>Bonus, Healthcare Plan, Paid Leave, Others</t>
        </is>
      </c>
      <c r="N3732" s="11">
        <f>HYPERLINK("https://www.vietnamworks.com/ke-toan-truong-uu-tien-nu-lam-viec-tai-thuan-an-binh-duong-2014292-jv","Xem chi tiết")</f>
        <v/>
      </c>
      <c r="O3732" s="10" t="n"/>
    </row>
    <row r="3733">
      <c r="B3733" s="7" t="n">
        <v>3731</v>
      </c>
      <c r="C3733" t="inlineStr">
        <is>
          <t>Giám Đốc Khối Kinh Doanh</t>
        </is>
      </c>
      <c r="D3733" t="inlineStr">
        <is>
          <t>Vietnamworks' Client</t>
        </is>
      </c>
      <c r="E3733" t="inlineStr">
        <is>
          <t>$$ 5,000-10,000 /tháng</t>
        </is>
      </c>
      <c r="F3733" t="inlineStr">
        <is>
          <t>Hà Nội</t>
        </is>
      </c>
      <c r="G3733" t="inlineStr">
        <is>
          <t>Giám Đốc và Cấp Cao Hơn</t>
        </is>
      </c>
      <c r="H3733" t="inlineStr">
        <is>
          <t>26/02/2026</t>
        </is>
      </c>
      <c r="I3733" t="inlineStr">
        <is>
          <t>28/03/2026</t>
        </is>
      </c>
      <c r="J3733" t="inlineStr">
        <is>
          <t>17/03/2026</t>
        </is>
      </c>
      <c r="K3733" t="inlineStr">
        <is>
          <t>N/A</t>
        </is>
      </c>
      <c r="L3733" t="inlineStr">
        <is>
          <t>Kinh Doanh, Strategy Planning, Business Development, Tiếp Thị Bán Hàng</t>
        </is>
      </c>
      <c r="M3733" t="inlineStr">
        <is>
          <t>Bonus, Healthcare Plan, Laptop</t>
        </is>
      </c>
      <c r="N3733" s="8">
        <f>HYPERLINK("https://www.vietnamworks.com/giam-doc-khoi-kinh-doanh--2014294-jv","Xem chi tiết")</f>
        <v/>
      </c>
    </row>
    <row r="3734">
      <c r="B3734" s="9" t="n">
        <v>3732</v>
      </c>
      <c r="C3734" s="10" t="inlineStr">
        <is>
          <t>Quản Lý Nhân Sự</t>
        </is>
      </c>
      <c r="D3734" s="10" t="inlineStr">
        <is>
          <t>CÔNG TY CỔ PHẦN KỸ NGHỆ LẠNH Á CHÂU</t>
        </is>
      </c>
      <c r="E3734" s="10" t="inlineStr">
        <is>
          <t>Thương lượng</t>
        </is>
      </c>
      <c r="F3734" s="10" t="inlineStr">
        <is>
          <t>Hồ Chí Minh</t>
        </is>
      </c>
      <c r="G3734" s="10" t="inlineStr">
        <is>
          <t>Trưởng phòng</t>
        </is>
      </c>
      <c r="H3734" s="10" t="inlineStr">
        <is>
          <t>26/02/2026</t>
        </is>
      </c>
      <c r="I3734" s="10" t="inlineStr">
        <is>
          <t>28/03/2026</t>
        </is>
      </c>
      <c r="J3734" s="10" t="inlineStr">
        <is>
          <t>17/03/2026</t>
        </is>
      </c>
      <c r="K3734" s="10" t="inlineStr">
        <is>
          <t>N/A</t>
        </is>
      </c>
      <c r="L3734" s="10" t="inlineStr">
        <is>
          <t>Quản Trị Nhân Sự, Pháp Luật Lao Động, Compensation &amp; Benefits, Tuyển Dụng, Đào Tạo Nhân Sự</t>
        </is>
      </c>
      <c r="M3734" s="10" t="inlineStr">
        <is>
          <t>Bonus, Healthcare Plan, Others</t>
        </is>
      </c>
      <c r="N3734" s="11">
        <f>HYPERLINK("https://www.vietnamworks.com/quan-ly-nhan-su-2014289-jv","Xem chi tiết")</f>
        <v/>
      </c>
      <c r="O3734" s="10" t="n"/>
    </row>
    <row r="3735">
      <c r="B3735" s="7" t="n">
        <v>3733</v>
      </c>
      <c r="C3735" t="inlineStr">
        <is>
          <t>Education Quality Management Officer</t>
        </is>
      </c>
      <c r="D3735" t="inlineStr">
        <is>
          <t>Công Ty TNHH Giáo Dục Và Đào Tạo Vinacademy</t>
        </is>
      </c>
      <c r="E3735" t="inlineStr">
        <is>
          <t>Thương lượng</t>
        </is>
      </c>
      <c r="F3735" t="inlineStr">
        <is>
          <t>Hà Nội</t>
        </is>
      </c>
      <c r="G3735" t="inlineStr">
        <is>
          <t>Nhân viên</t>
        </is>
      </c>
      <c r="H3735" t="inlineStr">
        <is>
          <t>26/02/2026</t>
        </is>
      </c>
      <c r="I3735" t="inlineStr">
        <is>
          <t>28/03/2026</t>
        </is>
      </c>
      <c r="J3735" t="inlineStr">
        <is>
          <t>17/03/2026</t>
        </is>
      </c>
      <c r="K3735" t="inlineStr">
        <is>
          <t>N/A</t>
        </is>
      </c>
      <c r="L3735" t="inlineStr">
        <is>
          <t>Education Management, Public Administration, Quality Assurance, School Accreditation, Strategic Thinking</t>
        </is>
      </c>
      <c r="M3735" t="inlineStr">
        <is>
          <t>Training, Laptop</t>
        </is>
      </c>
      <c r="N3735" s="8">
        <f>HYPERLINK("https://www.vietnamworks.com/education-quality-management-officer-2014303-jv","Xem chi tiết")</f>
        <v/>
      </c>
    </row>
    <row r="3736">
      <c r="B3736" s="9" t="n">
        <v>3734</v>
      </c>
      <c r="C3736" s="10" t="inlineStr">
        <is>
          <t>Kế Toán Tổng Hợp [Chuyên Về Thuế] [Đi Làm Ngay]</t>
        </is>
      </c>
      <c r="D3736" s="10" t="inlineStr">
        <is>
          <t>Công Ty Cổ Phần Biển Bạc</t>
        </is>
      </c>
      <c r="E3736" s="10" t="inlineStr">
        <is>
          <t>16tr-18tr ₫/tháng</t>
        </is>
      </c>
      <c r="F3736" s="10" t="inlineStr">
        <is>
          <t>Hà Nội</t>
        </is>
      </c>
      <c r="G3736" s="10" t="inlineStr">
        <is>
          <t>Nhân viên</t>
        </is>
      </c>
      <c r="H3736" s="10" t="inlineStr">
        <is>
          <t>26/02/2026</t>
        </is>
      </c>
      <c r="I3736" s="10" t="inlineStr">
        <is>
          <t>28/03/2026</t>
        </is>
      </c>
      <c r="J3736" s="10" t="inlineStr">
        <is>
          <t>17/03/2026</t>
        </is>
      </c>
      <c r="K3736" s="10" t="inlineStr">
        <is>
          <t>N/A</t>
        </is>
      </c>
      <c r="L3736" s="10" t="inlineStr">
        <is>
          <t>Kế Toán Tổng Hợp, Luật Thuế, Phần mềm kế toán, Excel, Tài Chính</t>
        </is>
      </c>
      <c r="M3736" s="10" t="inlineStr">
        <is>
          <t>Bonus, Healthcare Plan, Paid Leave, Transportation, Others</t>
        </is>
      </c>
      <c r="N3736" s="11">
        <f>HYPERLINK("https://www.vietnamworks.com/ke-toan-tong-hop-chuyen-ve-thue-di-lam-ngay-2014286-jv","Xem chi tiết")</f>
        <v/>
      </c>
      <c r="O3736" s="10" t="n"/>
    </row>
    <row r="3737">
      <c r="B3737" s="7" t="n">
        <v>3735</v>
      </c>
      <c r="C3737" t="inlineStr">
        <is>
          <t>QA (Quality Assurance) Manager</t>
        </is>
      </c>
      <c r="D3737" t="inlineStr">
        <is>
          <t>Công Ty Cổ Phần Tập Đoàn Masterise</t>
        </is>
      </c>
      <c r="E3737" t="inlineStr">
        <is>
          <t>Thương lượng</t>
        </is>
      </c>
      <c r="F3737" t="inlineStr">
        <is>
          <t>Hà Nội</t>
        </is>
      </c>
      <c r="G3737" t="inlineStr">
        <is>
          <t>Trưởng phòng</t>
        </is>
      </c>
      <c r="H3737" t="inlineStr">
        <is>
          <t>26/02/2026</t>
        </is>
      </c>
      <c r="I3737" t="inlineStr">
        <is>
          <t>28/03/2026</t>
        </is>
      </c>
      <c r="J3737" t="inlineStr">
        <is>
          <t>17/03/2026</t>
        </is>
      </c>
      <c r="K3737" t="inlineStr">
        <is>
          <t>N/A</t>
        </is>
      </c>
      <c r="L3737" t="inlineStr">
        <is>
          <t>Construction Quality Management, ISO 9001, Qa/Qc Management, Risk Prediction, Root Cause Analysis</t>
        </is>
      </c>
      <c r="M3737" t="inlineStr">
        <is>
          <t>Bonus, Laptop, Team Activities</t>
        </is>
      </c>
      <c r="N3737" s="8">
        <f>HYPERLINK("https://www.vietnamworks.com/qa-quality-assurance-manager-2014291-jv","Xem chi tiết")</f>
        <v/>
      </c>
    </row>
    <row r="3738">
      <c r="B3738" s="9" t="n">
        <v>3736</v>
      </c>
      <c r="C3738" s="10" t="inlineStr">
        <is>
          <t>Automation Engineer</t>
        </is>
      </c>
      <c r="D3738" s="10" t="inlineStr">
        <is>
          <t>CÔNG TY TNHH FASHION GARMENTS 2</t>
        </is>
      </c>
      <c r="E3738" s="10" t="inlineStr">
        <is>
          <t>Thương lượng</t>
        </is>
      </c>
      <c r="F3738" s="10" t="inlineStr">
        <is>
          <t>Đồng Nai</t>
        </is>
      </c>
      <c r="G3738" s="10" t="inlineStr">
        <is>
          <t>Nhân viên</t>
        </is>
      </c>
      <c r="H3738" s="10" t="inlineStr">
        <is>
          <t>26/02/2026</t>
        </is>
      </c>
      <c r="I3738" s="10" t="inlineStr">
        <is>
          <t>28/03/2026</t>
        </is>
      </c>
      <c r="J3738" s="10" t="inlineStr">
        <is>
          <t>17/03/2026</t>
        </is>
      </c>
      <c r="K3738" s="10" t="inlineStr">
        <is>
          <t>N/A</t>
        </is>
      </c>
      <c r="L3738" s="10" t="inlineStr">
        <is>
          <t>Arduino IDE, Autodesk Inventor, C/C++, PLC Programming, Project Management</t>
        </is>
      </c>
      <c r="M3738" s="10" t="inlineStr">
        <is>
          <t>Bonus, Healthcare Plan, Training, Library, Travel Opportunities, Team Activities, Canteen</t>
        </is>
      </c>
      <c r="N3738" s="11">
        <f>HYPERLINK("https://www.vietnamworks.com/automation-engineer-2014309-jv","Xem chi tiết")</f>
        <v/>
      </c>
      <c r="O3738" s="10" t="n"/>
    </row>
    <row r="3739">
      <c r="B3739" s="7" t="n">
        <v>3737</v>
      </c>
      <c r="C3739" t="inlineStr">
        <is>
          <t>Director Of Center For Education Quality Management</t>
        </is>
      </c>
      <c r="D3739" t="inlineStr">
        <is>
          <t>Công Ty TNHH Giáo Dục Và Đào Tạo Vinacademy</t>
        </is>
      </c>
      <c r="E3739" t="inlineStr">
        <is>
          <t>Thương lượng</t>
        </is>
      </c>
      <c r="F3739" t="inlineStr">
        <is>
          <t>Hà Nội</t>
        </is>
      </c>
      <c r="G3739" t="inlineStr">
        <is>
          <t>Giám Đốc và Cấp Cao Hơn</t>
        </is>
      </c>
      <c r="H3739" t="inlineStr">
        <is>
          <t>26/02/2026</t>
        </is>
      </c>
      <c r="I3739" t="inlineStr">
        <is>
          <t>28/03/2026</t>
        </is>
      </c>
      <c r="J3739" t="inlineStr">
        <is>
          <t>17/03/2026</t>
        </is>
      </c>
      <c r="K3739" t="inlineStr">
        <is>
          <t>N/A</t>
        </is>
      </c>
      <c r="L3739" t="inlineStr">
        <is>
          <t>Education Management, Public Administration, Quality Assurance, Strategic Thinking, Curriculum Governance</t>
        </is>
      </c>
      <c r="M3739" t="inlineStr">
        <is>
          <t>Laptop</t>
        </is>
      </c>
      <c r="N3739" s="8">
        <f>HYPERLINK("https://www.vietnamworks.com/director-of-center-for-education-quality-management-2014306-jv","Xem chi tiết")</f>
        <v/>
      </c>
    </row>
    <row r="3740">
      <c r="B3740" s="9" t="n">
        <v>3738</v>
      </c>
      <c r="C3740" s="10" t="inlineStr">
        <is>
          <t>Quản lý Nghiên cứu &amp; Phát triển (R&amp;D) - Sản phẩm Khu phố Thương mại</t>
        </is>
      </c>
      <c r="D3740" s="10" t="inlineStr">
        <is>
          <t>Tập Đoàn Vingroup - Công Ty Cổ phần Vincom Retail</t>
        </is>
      </c>
      <c r="E3740" s="10" t="inlineStr">
        <is>
          <t>Thương lượng</t>
        </is>
      </c>
      <c r="F3740" s="10" t="inlineStr">
        <is>
          <t>Hà Nội, Hồ Chí Minh</t>
        </is>
      </c>
      <c r="G3740" s="10" t="inlineStr">
        <is>
          <t>Trưởng phòng</t>
        </is>
      </c>
      <c r="H3740" s="10" t="inlineStr">
        <is>
          <t>26/02/2026</t>
        </is>
      </c>
      <c r="I3740" s="10" t="inlineStr">
        <is>
          <t>28/03/2026</t>
        </is>
      </c>
      <c r="J3740" s="10" t="inlineStr">
        <is>
          <t>17/03/2026</t>
        </is>
      </c>
      <c r="K3740" s="10" t="inlineStr">
        <is>
          <t>N/A</t>
        </is>
      </c>
      <c r="L3740" s="10" t="inlineStr">
        <is>
          <t>Nghiên Cứu Thị Trường</t>
        </is>
      </c>
      <c r="M3740" s="10" t="inlineStr">
        <is>
          <t>Bonus, Healthcare Plan, Paid Leave, Training, Awards, Laptop, Travel Opportunities, Vouchers</t>
        </is>
      </c>
      <c r="N3740" s="11">
        <f>HYPERLINK("https://www.vietnamworks.com/quan-ly-nghien-cuu-and-phat-trien-randd-san-pham-khu-pho-thuong-mai-2014308-jv","Xem chi tiết")</f>
        <v/>
      </c>
      <c r="O3740" s="10" t="n"/>
    </row>
    <row r="3741">
      <c r="B3741" s="7" t="n">
        <v>3739</v>
      </c>
      <c r="C3741" t="inlineStr">
        <is>
          <t>Country Manager - Vietnam</t>
        </is>
      </c>
      <c r="D3741" t="inlineStr">
        <is>
          <t>Michael Page Vietnam</t>
        </is>
      </c>
      <c r="E3741" t="inlineStr">
        <is>
          <t>Thương lượng</t>
        </is>
      </c>
      <c r="F3741" t="inlineStr">
        <is>
          <t>Hồ Chí Minh</t>
        </is>
      </c>
      <c r="G3741" t="inlineStr">
        <is>
          <t>Trưởng phòng</t>
        </is>
      </c>
      <c r="H3741" t="inlineStr">
        <is>
          <t>26/02/2026</t>
        </is>
      </c>
      <c r="I3741" t="inlineStr">
        <is>
          <t>28/03/2026</t>
        </is>
      </c>
      <c r="J3741" t="inlineStr">
        <is>
          <t>17/03/2026</t>
        </is>
      </c>
      <c r="K3741" t="inlineStr">
        <is>
          <t>N/A</t>
        </is>
      </c>
      <c r="L3741" t="inlineStr">
        <is>
          <t>Business Strategic Planning, Leadership Management, FMCG, Marketing Analysis, Market Research</t>
        </is>
      </c>
      <c r="M3741" t="inlineStr">
        <is>
          <t>Bonus</t>
        </is>
      </c>
      <c r="N3741" s="8">
        <f>HYPERLINK("https://www.vietnamworks.com/country-manager-vietnam-19-2014314-jv","Xem chi tiết")</f>
        <v/>
      </c>
    </row>
    <row r="3742">
      <c r="B3742" s="9" t="n">
        <v>3740</v>
      </c>
      <c r="C3742" s="10" t="inlineStr">
        <is>
          <t>Phụ Trách An Ninh Nội Bộ</t>
        </is>
      </c>
      <c r="D3742" s="10" t="inlineStr">
        <is>
          <t>Công Ty TNHH Quản Lý Và Dịch Vụ Tài Sản Thành Công</t>
        </is>
      </c>
      <c r="E3742" s="10" t="inlineStr">
        <is>
          <t>15tr-20tr ₫/tháng</t>
        </is>
      </c>
      <c r="F3742" s="10" t="inlineStr">
        <is>
          <t>Hà Nội</t>
        </is>
      </c>
      <c r="G3742" s="10" t="inlineStr">
        <is>
          <t>Nhân viên</t>
        </is>
      </c>
      <c r="H3742" s="10" t="inlineStr">
        <is>
          <t>26/02/2026</t>
        </is>
      </c>
      <c r="I3742" s="10" t="inlineStr">
        <is>
          <t>28/03/2026</t>
        </is>
      </c>
      <c r="J3742" s="10" t="inlineStr">
        <is>
          <t>17/03/2026</t>
        </is>
      </c>
      <c r="K3742" s="10" t="inlineStr">
        <is>
          <t>N/A</t>
        </is>
      </c>
      <c r="L3742" s="10" t="inlineStr">
        <is>
          <t>An Ninh Trật Tự, Bảo Vệ An Ninh, Bảo Đảm An Ninh, Kiểm Tra An Ninh, Vận Hành An Ninh</t>
        </is>
      </c>
      <c r="M3742" s="10" t="inlineStr">
        <is>
          <t>Bonus, Healthcare Plan, Training, Others</t>
        </is>
      </c>
      <c r="N3742" s="11">
        <f>HYPERLINK("https://www.vietnamworks.com/phu-trach-an-ninh-noi-bo-2014339-jv","Xem chi tiết")</f>
        <v/>
      </c>
      <c r="O3742" s="10" t="n"/>
    </row>
    <row r="3743">
      <c r="B3743" s="7" t="n">
        <v>3741</v>
      </c>
      <c r="C3743" t="inlineStr">
        <is>
          <t>BD Executive (Chinese/ English Speaking) Base Salary 13Mil - 20Mil + Com</t>
        </is>
      </c>
      <c r="D3743" t="inlineStr">
        <is>
          <t>Công Ty CP Đầu Tư Xây Dựng Và Công Nghệ Việt Nhật</t>
        </is>
      </c>
      <c r="E3743" t="inlineStr">
        <is>
          <t>Từ 13tr ₫/tháng</t>
        </is>
      </c>
      <c r="F3743" t="inlineStr">
        <is>
          <t>Hà Nội</t>
        </is>
      </c>
      <c r="G3743" t="inlineStr">
        <is>
          <t>Nhân viên</t>
        </is>
      </c>
      <c r="H3743" t="inlineStr">
        <is>
          <t>26/02/2026</t>
        </is>
      </c>
      <c r="I3743" t="inlineStr">
        <is>
          <t>28/03/2026</t>
        </is>
      </c>
      <c r="J3743" t="inlineStr">
        <is>
          <t>17/03/2026</t>
        </is>
      </c>
      <c r="K3743" t="inlineStr">
        <is>
          <t>N/A</t>
        </is>
      </c>
      <c r="L3743" t="inlineStr">
        <is>
          <t>Construction Knowledge, Network, Sales Training, Communication Skills, Analytical Skills</t>
        </is>
      </c>
      <c r="M3743" t="inlineStr">
        <is>
          <t>Bonus, Healthcare Plan, Training</t>
        </is>
      </c>
      <c r="N3743" s="8">
        <f>HYPERLINK("https://www.vietnamworks.com/bd-executive-chinese-english-speaking-base-salary-13mil-20mil-com-2014329-jv","Xem chi tiết")</f>
        <v/>
      </c>
    </row>
    <row r="3744">
      <c r="B3744" s="9" t="n">
        <v>3742</v>
      </c>
      <c r="C3744" s="10" t="inlineStr">
        <is>
          <t>Nhân Viên Nhập Liệu Kho (ERP) Biết Tiếng Trung Cơ Bản</t>
        </is>
      </c>
      <c r="D3744" s="10" t="inlineStr">
        <is>
          <t>CÔNG TY TNHH CHẾ TẠO MÁY NEW HENGYANG VIỆT NAM</t>
        </is>
      </c>
      <c r="E3744" s="10" t="inlineStr">
        <is>
          <t>12tr-14tr ₫/tháng</t>
        </is>
      </c>
      <c r="F3744" s="10" t="inlineStr">
        <is>
          <t>Tây Ninh, Long An</t>
        </is>
      </c>
      <c r="G3744" s="10" t="inlineStr">
        <is>
          <t>Mới Tốt Nghiệp</t>
        </is>
      </c>
      <c r="H3744" s="10" t="inlineStr">
        <is>
          <t>26/02/2026</t>
        </is>
      </c>
      <c r="I3744" s="10" t="inlineStr">
        <is>
          <t>28/03/2026</t>
        </is>
      </c>
      <c r="J3744" s="10" t="inlineStr">
        <is>
          <t>17/03/2026</t>
        </is>
      </c>
      <c r="K3744" s="10" t="inlineStr">
        <is>
          <t>N/A</t>
        </is>
      </c>
      <c r="L3744" s="10" t="inlineStr">
        <is>
          <t>Nhập Liệu, Quản Trị Hệ Thống ERP, Excel, Báo Cáo Tồn Kho, Tiếng Trung</t>
        </is>
      </c>
      <c r="M3744" s="10" t="inlineStr">
        <is>
          <t>Bonus, Training, Team Activities, Others</t>
        </is>
      </c>
      <c r="N3744" s="11">
        <f>HYPERLINK("https://www.vietnamworks.com/nhan-vien-nhap-lieu-kho-erp-biet-tieng-trung-co-ban-2014331-jv","Xem chi tiết")</f>
        <v/>
      </c>
      <c r="O3744" s="10" t="n"/>
    </row>
    <row r="3745">
      <c r="B3745" s="7" t="n">
        <v>3743</v>
      </c>
      <c r="C3745" t="inlineStr">
        <is>
          <t>Media Sales Executive</t>
        </is>
      </c>
      <c r="D3745" t="inlineStr">
        <is>
          <t>CJ CGV Vietnam</t>
        </is>
      </c>
      <c r="E3745" t="inlineStr">
        <is>
          <t>Thương lượng</t>
        </is>
      </c>
      <c r="F3745" t="inlineStr">
        <is>
          <t>Hồ Chí Minh</t>
        </is>
      </c>
      <c r="G3745" t="inlineStr">
        <is>
          <t>Nhân viên</t>
        </is>
      </c>
      <c r="H3745" t="inlineStr">
        <is>
          <t>26/02/2026</t>
        </is>
      </c>
      <c r="I3745" t="inlineStr">
        <is>
          <t>28/03/2026</t>
        </is>
      </c>
      <c r="J3745" t="inlineStr">
        <is>
          <t>17/03/2026</t>
        </is>
      </c>
      <c r="K3745" t="inlineStr">
        <is>
          <t>N/A</t>
        </is>
      </c>
      <c r="L3745" t="inlineStr">
        <is>
          <t>Media Booking, B2B Sales, Communication Skills</t>
        </is>
      </c>
      <c r="M3745" t="inlineStr">
        <is>
          <t>Bonus, Vouchers, Others</t>
        </is>
      </c>
      <c r="N3745" s="8">
        <f>HYPERLINK("https://www.vietnamworks.com/media-sales-executive--2014334-jv","Xem chi tiết")</f>
        <v/>
      </c>
    </row>
    <row r="3746">
      <c r="B3746" s="9" t="n">
        <v>3744</v>
      </c>
      <c r="C3746" s="10" t="inlineStr">
        <is>
          <t>Accountant Staff</t>
        </is>
      </c>
      <c r="D3746" s="10" t="inlineStr">
        <is>
          <t>VIETNAM ALLLINK - TNR INTERNATIONAL LOGISTICS COMPANY LIMITED</t>
        </is>
      </c>
      <c r="E3746" s="10" t="inlineStr">
        <is>
          <t>12tr-20tr ₫/tháng</t>
        </is>
      </c>
      <c r="F3746" s="10" t="inlineStr">
        <is>
          <t>Hồ Chí Minh</t>
        </is>
      </c>
      <c r="G3746" s="10" t="inlineStr">
        <is>
          <t>Nhân viên</t>
        </is>
      </c>
      <c r="H3746" s="10" t="inlineStr">
        <is>
          <t>26/02/2026</t>
        </is>
      </c>
      <c r="I3746" s="10" t="inlineStr">
        <is>
          <t>28/03/2026</t>
        </is>
      </c>
      <c r="J3746" s="10" t="inlineStr">
        <is>
          <t>17/03/2026</t>
        </is>
      </c>
      <c r="K3746" s="10" t="inlineStr">
        <is>
          <t>N/A</t>
        </is>
      </c>
      <c r="L3746" s="10" t="inlineStr">
        <is>
          <t>Hạch Toán, Phần Mềm Kế Toán, Quản Lý Hóa Đơn, Đối Chiếu Công Nợ, English</t>
        </is>
      </c>
      <c r="M3746" s="10" t="inlineStr">
        <is>
          <t>Bonus, Healthcare Plan, Paid Leave, Others</t>
        </is>
      </c>
      <c r="N3746" s="11">
        <f>HYPERLINK("https://www.vietnamworks.com/accountant-staff-2014340-jv","Xem chi tiết")</f>
        <v/>
      </c>
      <c r="O3746" s="10" t="n"/>
    </row>
    <row r="3747">
      <c r="B3747" s="7" t="n">
        <v>3745</v>
      </c>
      <c r="C3747" t="inlineStr">
        <is>
          <t>[Vinphaco] Tổ Trưởng Tổ Hóa Lý</t>
        </is>
      </c>
      <c r="D3747" t="inlineStr">
        <is>
          <t>Công Ty Cổ Phần Dược Phẩm Vĩnh Phúc</t>
        </is>
      </c>
      <c r="E3747" t="inlineStr">
        <is>
          <t>Thương lượng</t>
        </is>
      </c>
      <c r="F3747" t="inlineStr">
        <is>
          <t>Vĩnh Phúc</t>
        </is>
      </c>
      <c r="G3747" t="inlineStr">
        <is>
          <t>Nhân viên</t>
        </is>
      </c>
      <c r="H3747" t="inlineStr">
        <is>
          <t>26/02/2026</t>
        </is>
      </c>
      <c r="I3747" t="inlineStr">
        <is>
          <t>28/03/2026</t>
        </is>
      </c>
      <c r="J3747" t="inlineStr">
        <is>
          <t>17/03/2026</t>
        </is>
      </c>
      <c r="K3747" t="inlineStr">
        <is>
          <t>N/A</t>
        </is>
      </c>
      <c r="L3747" t="inlineStr">
        <is>
          <t>Phân Tích Hóa Lý, Kiểm Nghiệm Thuốc, Kiểm Nghiệm Dược, Quản Lý Đội Nhóm, Tiếng Anh</t>
        </is>
      </c>
      <c r="M3747" t="inlineStr">
        <is>
          <t>Bonus, Healthcare Plan, Travel Opportunities</t>
        </is>
      </c>
      <c r="N3747" s="8">
        <f>HYPERLINK("https://www.vietnamworks.com/vinphaco-to-truong-to-hoa-ly--2014316-jv","Xem chi tiết")</f>
        <v/>
      </c>
    </row>
    <row r="3748">
      <c r="B3748" s="9" t="n">
        <v>3746</v>
      </c>
      <c r="C3748" s="10" t="inlineStr">
        <is>
          <t>Service Sales Engineer (Chiller, AHU, FCU)</t>
        </is>
      </c>
      <c r="D3748" s="10" t="inlineStr">
        <is>
          <t>Daikin Air Conditioning (Vietnam) Joint Stock Company</t>
        </is>
      </c>
      <c r="E3748" s="10" t="inlineStr">
        <is>
          <t>Thương lượng</t>
        </is>
      </c>
      <c r="F3748" s="10" t="inlineStr">
        <is>
          <t>Hồ Chí Minh</t>
        </is>
      </c>
      <c r="G3748" s="10" t="inlineStr">
        <is>
          <t>Nhân viên</t>
        </is>
      </c>
      <c r="H3748" s="10" t="inlineStr">
        <is>
          <t>26/02/2026</t>
        </is>
      </c>
      <c r="I3748" s="10" t="inlineStr">
        <is>
          <t>28/03/2026</t>
        </is>
      </c>
      <c r="J3748" s="10" t="inlineStr">
        <is>
          <t>17/03/2026</t>
        </is>
      </c>
      <c r="K3748" s="10" t="inlineStr">
        <is>
          <t>N/A</t>
        </is>
      </c>
      <c r="L3748" s="10" t="inlineStr">
        <is>
          <t>Bán Hàng, Giao Tiếp, Kỹ Thuật, Làm Việc Nhóm, Đàm Phán</t>
        </is>
      </c>
      <c r="M3748" s="10" t="inlineStr">
        <is>
          <t>Bonus, Healthcare Plan, Paid Leave, Training, Others</t>
        </is>
      </c>
      <c r="N3748" s="11">
        <f>HYPERLINK("https://www.vietnamworks.com/service-sales-engineer-chiller-ahu-fcu-2014313-jv","Xem chi tiết")</f>
        <v/>
      </c>
      <c r="O3748" s="10" t="n"/>
    </row>
    <row r="3749">
      <c r="B3749" s="7" t="n">
        <v>3747</v>
      </c>
      <c r="C3749" t="inlineStr">
        <is>
          <t>Thực Tập Sinh Tiếng Trung</t>
        </is>
      </c>
      <c r="D3749" t="inlineStr">
        <is>
          <t>Công ty TNHH Giáo Dục Hán Kiều</t>
        </is>
      </c>
      <c r="E3749" t="inlineStr">
        <is>
          <t>3.2tr-3.5tr ₫/tháng</t>
        </is>
      </c>
      <c r="F3749" t="inlineStr">
        <is>
          <t>Hà Nội</t>
        </is>
      </c>
      <c r="G3749" t="inlineStr">
        <is>
          <t>Thực tập sinh/Sinh viên</t>
        </is>
      </c>
      <c r="H3749" t="inlineStr">
        <is>
          <t>26/02/2026</t>
        </is>
      </c>
      <c r="I3749" t="inlineStr">
        <is>
          <t>28/03/2026</t>
        </is>
      </c>
      <c r="J3749" t="inlineStr">
        <is>
          <t>17/03/2026</t>
        </is>
      </c>
      <c r="K3749" t="inlineStr">
        <is>
          <t>N/A</t>
        </is>
      </c>
      <c r="L3749" t="inlineStr">
        <is>
          <t>Tiếng Trung Cơ Bản, chứng chỉ hsk, ham học hỏi, Dịch thuật Trung Việt, Hỗ Trợ Tư Vấn Du Học</t>
        </is>
      </c>
      <c r="M3749" t="inlineStr">
        <is>
          <t>Training, Others</t>
        </is>
      </c>
      <c r="N3749" s="8">
        <f>HYPERLINK("https://www.vietnamworks.com/thuc-tap-sinh-tieng-trung-2014342-jv","Xem chi tiết")</f>
        <v/>
      </c>
    </row>
    <row r="3750">
      <c r="B3750" s="9" t="n">
        <v>3748</v>
      </c>
      <c r="C3750" s="10" t="inlineStr">
        <is>
          <t>Maintenance Manager/ Trưởng Phòng Bảo Dưỡng</t>
        </is>
      </c>
      <c r="D3750" s="10" t="inlineStr">
        <is>
          <t>Vietnamworks' Client</t>
        </is>
      </c>
      <c r="E3750" s="10" t="inlineStr">
        <is>
          <t>Thương lượng</t>
        </is>
      </c>
      <c r="F3750" s="10" t="inlineStr">
        <is>
          <t>Bắc Giang, Bắc Ninh, Hà Nội</t>
        </is>
      </c>
      <c r="G3750" s="10" t="inlineStr">
        <is>
          <t>Trưởng phòng</t>
        </is>
      </c>
      <c r="H3750" s="10" t="inlineStr">
        <is>
          <t>26/02/2026</t>
        </is>
      </c>
      <c r="I3750" s="10" t="inlineStr">
        <is>
          <t>28/03/2026</t>
        </is>
      </c>
      <c r="J3750" s="10" t="inlineStr">
        <is>
          <t>17/03/2026</t>
        </is>
      </c>
      <c r="K3750" s="10" t="inlineStr">
        <is>
          <t>N/A</t>
        </is>
      </c>
      <c r="L3750" s="10" t="inlineStr">
        <is>
          <t>Maintenance Management, Maintenance, Bảo Trì Sửa Chữa Máy, Bảo Trì, AutoCAD</t>
        </is>
      </c>
      <c r="M3750" s="10" t="inlineStr">
        <is>
          <t>Healthcare Plan, Team Activities, Canteen</t>
        </is>
      </c>
      <c r="N3750" s="11">
        <f>HYPERLINK("https://www.vietnamworks.com/maintenance-manager-truong-phong-bao-duong-2014343-jv","Xem chi tiết")</f>
        <v/>
      </c>
      <c r="O3750" s="10" t="n"/>
    </row>
    <row r="3751">
      <c r="B3751" s="7" t="n">
        <v>3749</v>
      </c>
      <c r="C3751" t="inlineStr">
        <is>
          <t>Thư Ký Kiêm Phiên Dịch Tiếng Trung Quốc</t>
        </is>
      </c>
      <c r="D3751" t="inlineStr">
        <is>
          <t>Công Ty Cổ Phần Tập Đoàn Sunshine</t>
        </is>
      </c>
      <c r="E3751" t="inlineStr">
        <is>
          <t>Thương lượng</t>
        </is>
      </c>
      <c r="F3751" t="inlineStr">
        <is>
          <t>Hà Nội</t>
        </is>
      </c>
      <c r="G3751" t="inlineStr">
        <is>
          <t>Nhân viên</t>
        </is>
      </c>
      <c r="H3751" t="inlineStr">
        <is>
          <t>26/02/2026</t>
        </is>
      </c>
      <c r="I3751" t="inlineStr">
        <is>
          <t>28/03/2026</t>
        </is>
      </c>
      <c r="J3751" t="inlineStr">
        <is>
          <t>17/03/2026</t>
        </is>
      </c>
      <c r="K3751" t="inlineStr">
        <is>
          <t>N/A</t>
        </is>
      </c>
      <c r="L3751" t="inlineStr">
        <is>
          <t>Kỹ năng giao tiếp, Tiếng Trung thành thạo, Tin Học Văn Phòng, Phiên Dịch, Phiên Dịch Tài Liệu</t>
        </is>
      </c>
      <c r="M3751" t="inlineStr">
        <is>
          <t>Bonus, Healthcare Plan, Others</t>
        </is>
      </c>
      <c r="N3751" s="8">
        <f>HYPERLINK("https://www.vietnamworks.com/thu-ky-kiem-phien-dich-tieng-trung-quoc-2014320-jv","Xem chi tiết")</f>
        <v/>
      </c>
    </row>
    <row r="3752">
      <c r="B3752" s="9" t="n">
        <v>3750</v>
      </c>
      <c r="C3752" s="10" t="inlineStr">
        <is>
          <t>Trưởng Nhóm Tài Chính Dự Án</t>
        </is>
      </c>
      <c r="D3752" s="10" t="inlineStr">
        <is>
          <t>Alphanam Group</t>
        </is>
      </c>
      <c r="E3752" s="10" t="inlineStr">
        <is>
          <t>$$ 1,000-1,200 /tháng</t>
        </is>
      </c>
      <c r="F3752" s="10" t="inlineStr">
        <is>
          <t>Hà Nội</t>
        </is>
      </c>
      <c r="G3752" s="10" t="inlineStr">
        <is>
          <t>Nhân viên</t>
        </is>
      </c>
      <c r="H3752" s="10" t="inlineStr">
        <is>
          <t>26/02/2026</t>
        </is>
      </c>
      <c r="I3752" s="10" t="inlineStr">
        <is>
          <t>28/03/2026</t>
        </is>
      </c>
      <c r="J3752" s="10" t="inlineStr">
        <is>
          <t>17/03/2026</t>
        </is>
      </c>
      <c r="K3752" s="10" t="inlineStr">
        <is>
          <t>N/A</t>
        </is>
      </c>
      <c r="L3752" s="10" t="inlineStr">
        <is>
          <t>Tài Chính Ngân Hàng, Kế Toán Ngân Hàng, Tài Chính Dự Án Bđs</t>
        </is>
      </c>
      <c r="M3752" s="10" t="inlineStr">
        <is>
          <t>Bonus, Training, Travel Opportunities</t>
        </is>
      </c>
      <c r="N3752" s="11">
        <f>HYPERLINK("https://www.vietnamworks.com/truong-nhom-tai-chinh-du-an-2014341-jv","Xem chi tiết")</f>
        <v/>
      </c>
      <c r="O3752" s="10" t="n"/>
    </row>
    <row r="3753">
      <c r="B3753" s="7" t="n">
        <v>3751</v>
      </c>
      <c r="C3753" t="inlineStr">
        <is>
          <t>Kế Toán Tổng Hợp (Mạnh Về Thuế)</t>
        </is>
      </c>
      <c r="D3753" t="inlineStr">
        <is>
          <t>CÔNG TY CỔ PHẦN ĐẦU TƯ VÀ SẢN XUẤT LAM SƠN MỸ HÀO</t>
        </is>
      </c>
      <c r="E3753" t="inlineStr">
        <is>
          <t>Từ 15tr ₫/tháng</t>
        </is>
      </c>
      <c r="F3753" t="inlineStr">
        <is>
          <t>Hà Nội</t>
        </is>
      </c>
      <c r="G3753" t="inlineStr">
        <is>
          <t>Nhân viên</t>
        </is>
      </c>
      <c r="H3753" t="inlineStr">
        <is>
          <t>26/02/2026</t>
        </is>
      </c>
      <c r="I3753" t="inlineStr">
        <is>
          <t>28/03/2026</t>
        </is>
      </c>
      <c r="J3753" t="inlineStr">
        <is>
          <t>17/03/2026</t>
        </is>
      </c>
      <c r="K3753" t="inlineStr">
        <is>
          <t>N/A</t>
        </is>
      </c>
      <c r="L3753" t="inlineStr">
        <is>
          <t>Báo Cáo Tài Chính, Excel, Kế Toán Tổng Hợp, Quyết Toán Thuế, Thuế</t>
        </is>
      </c>
      <c r="M3753" t="inlineStr">
        <is>
          <t>Bonus, Healthcare Plan, Paid Leave, Travel Opportunities</t>
        </is>
      </c>
      <c r="N3753" s="8">
        <f>HYPERLINK("https://www.vietnamworks.com/ke-toan-tong-hop-manh-ve-thue-2014332-jv","Xem chi tiết")</f>
        <v/>
      </c>
    </row>
    <row r="3754">
      <c r="B3754" s="9" t="n">
        <v>3752</v>
      </c>
      <c r="C3754" s="10" t="inlineStr">
        <is>
          <t>Accounting Operations Lead (Inventory, ERP)</t>
        </is>
      </c>
      <c r="D3754" s="10" t="inlineStr">
        <is>
          <t>Công Ty TNHH Onpoint</t>
        </is>
      </c>
      <c r="E3754" s="10" t="inlineStr">
        <is>
          <t>Thương lượng</t>
        </is>
      </c>
      <c r="F3754" s="10" t="inlineStr">
        <is>
          <t>Hồ Chí Minh</t>
        </is>
      </c>
      <c r="G3754" s="10" t="inlineStr">
        <is>
          <t>Trưởng phòng</t>
        </is>
      </c>
      <c r="H3754" s="10" t="inlineStr">
        <is>
          <t>26/02/2026</t>
        </is>
      </c>
      <c r="I3754" s="10" t="inlineStr">
        <is>
          <t>28/03/2026</t>
        </is>
      </c>
      <c r="J3754" s="10" t="inlineStr">
        <is>
          <t>17/03/2026</t>
        </is>
      </c>
      <c r="K3754" s="10" t="inlineStr">
        <is>
          <t>N/A</t>
        </is>
      </c>
      <c r="L3754" s="10" t="inlineStr">
        <is>
          <t>Accounting, Tax Compliance, Leadership, Microsoft Excel, Problem-solving</t>
        </is>
      </c>
      <c r="M3754" s="10" t="inlineStr">
        <is>
          <t>Healthcare Plan, Paid Leave, Laptop, Team Activities, Others</t>
        </is>
      </c>
      <c r="N3754" s="11">
        <f>HYPERLINK("https://www.vietnamworks.com/accounting-operations-lead-inventory-erp-2014319-jv","Xem chi tiết")</f>
        <v/>
      </c>
      <c r="O3754" s="10" t="n"/>
    </row>
    <row r="3755">
      <c r="B3755" s="7" t="n">
        <v>3753</v>
      </c>
      <c r="C3755" t="inlineStr">
        <is>
          <t>Manager, HR Business Partnering</t>
        </is>
      </c>
      <c r="D3755" t="inlineStr">
        <is>
          <t>DKSH Vietnam Co., Ltd.</t>
        </is>
      </c>
      <c r="E3755" t="inlineStr">
        <is>
          <t>$$ 2,000-3,000 /tháng</t>
        </is>
      </c>
      <c r="F3755" t="inlineStr">
        <is>
          <t>Hà Nội</t>
        </is>
      </c>
      <c r="G3755" t="inlineStr">
        <is>
          <t>Trưởng phòng</t>
        </is>
      </c>
      <c r="H3755" t="inlineStr">
        <is>
          <t>26/02/2026</t>
        </is>
      </c>
      <c r="I3755" t="inlineStr">
        <is>
          <t>28/03/2026</t>
        </is>
      </c>
      <c r="J3755" t="inlineStr">
        <is>
          <t>17/03/2026</t>
        </is>
      </c>
      <c r="K3755" t="inlineStr">
        <is>
          <t>N/A</t>
        </is>
      </c>
      <c r="L3755" t="inlineStr">
        <is>
          <t>Employee Relation, HR Business Partner, Interpersonal Skills, Organizational Design, Talent Management</t>
        </is>
      </c>
      <c r="M3755" t="inlineStr">
        <is>
          <t>Bonus, Healthcare Plan, Travel Opportunities</t>
        </is>
      </c>
      <c r="N3755" s="8">
        <f>HYPERLINK("https://www.vietnamworks.com/manager-hr-business-partnering-2014317-jv","Xem chi tiết")</f>
        <v/>
      </c>
    </row>
    <row r="3756">
      <c r="B3756" s="9" t="n">
        <v>3754</v>
      </c>
      <c r="C3756" s="10" t="inlineStr">
        <is>
          <t>Kế Toán Trưởng (Mạnh Về Tài Chính)</t>
        </is>
      </c>
      <c r="D3756" s="10" t="inlineStr">
        <is>
          <t>CÔNG TY CỔ PHẦN ĐẦU TƯ VÀ SẢN XUẤT LAM SƠN MỸ HÀO</t>
        </is>
      </c>
      <c r="E3756" s="10" t="inlineStr">
        <is>
          <t>25tr-30tr ₫/tháng</t>
        </is>
      </c>
      <c r="F3756" s="10" t="inlineStr">
        <is>
          <t>Hà Nội</t>
        </is>
      </c>
      <c r="G3756" s="10" t="inlineStr">
        <is>
          <t>Trưởng phòng</t>
        </is>
      </c>
      <c r="H3756" s="10" t="inlineStr">
        <is>
          <t>26/02/2026</t>
        </is>
      </c>
      <c r="I3756" s="10" t="inlineStr">
        <is>
          <t>28/03/2026</t>
        </is>
      </c>
      <c r="J3756" s="10" t="inlineStr">
        <is>
          <t>17/03/2026</t>
        </is>
      </c>
      <c r="K3756" s="10" t="inlineStr">
        <is>
          <t>N/A</t>
        </is>
      </c>
      <c r="L3756" s="10" t="inlineStr">
        <is>
          <t>Chief Accountant Certificate, Lãnh Đạo, Phân Tích Và Ra Quyết Định, Quản Lý Kế Toán, Tài Chính Doanh Nghiệp</t>
        </is>
      </c>
      <c r="M3756" s="10" t="inlineStr">
        <is>
          <t>Bonus, Paid Leave, Others</t>
        </is>
      </c>
      <c r="N3756" s="11">
        <f>HYPERLINK("https://www.vietnamworks.com/ke-toan-truong-manh-ve-tai-chinh-2014335-jv","Xem chi tiết")</f>
        <v/>
      </c>
      <c r="O3756" s="10" t="n"/>
    </row>
    <row r="3757">
      <c r="B3757" s="7" t="n">
        <v>3755</v>
      </c>
      <c r="C3757" t="inlineStr">
        <is>
          <t>HSE Officer [Tuyển Gấp]</t>
        </is>
      </c>
      <c r="D3757" t="inlineStr">
        <is>
          <t>Ebara Vietnam Pump Company Limited</t>
        </is>
      </c>
      <c r="E3757" t="inlineStr">
        <is>
          <t>Thương lượng</t>
        </is>
      </c>
      <c r="F3757" t="inlineStr">
        <is>
          <t>Hải Phòng</t>
        </is>
      </c>
      <c r="G3757" t="inlineStr">
        <is>
          <t>Nhân viên</t>
        </is>
      </c>
      <c r="H3757" t="inlineStr">
        <is>
          <t>26/02/2026</t>
        </is>
      </c>
      <c r="I3757" t="inlineStr">
        <is>
          <t>28/03/2026</t>
        </is>
      </c>
      <c r="J3757" t="inlineStr">
        <is>
          <t>17/03/2026</t>
        </is>
      </c>
      <c r="K3757" t="inlineStr">
        <is>
          <t>N/A</t>
        </is>
      </c>
      <c r="L3757" t="inlineStr">
        <is>
          <t>Môi Trường, HSE, An Toàn Lao Động, Bảo Hộ Lao Động, Phòng Cháy Chữa Cháy</t>
        </is>
      </c>
      <c r="M3757" t="inlineStr">
        <is>
          <t>Bonus, Healthcare Plan, Paid Leave</t>
        </is>
      </c>
      <c r="N3757" s="8">
        <f>HYPERLINK("https://www.vietnamworks.com/hse-officer-tuyen-gap-2014324-jv","Xem chi tiết")</f>
        <v/>
      </c>
    </row>
    <row r="3758">
      <c r="B3758" s="9" t="n">
        <v>3756</v>
      </c>
      <c r="C3758" s="10" t="inlineStr">
        <is>
          <t>Nhân Viên Mua Hàng Tiếng Trung (Purchasing Officer)</t>
        </is>
      </c>
      <c r="D3758" s="10" t="inlineStr">
        <is>
          <t>CÔNG TY TNHH POMPOUS SƠN THÀNH PHÁT VIỆT NAM</t>
        </is>
      </c>
      <c r="E3758" s="10" t="inlineStr">
        <is>
          <t>Thương lượng</t>
        </is>
      </c>
      <c r="F3758" s="10" t="inlineStr">
        <is>
          <t>Hà Nội</t>
        </is>
      </c>
      <c r="G3758" s="10" t="inlineStr">
        <is>
          <t>Nhân viên</t>
        </is>
      </c>
      <c r="H3758" s="10" t="inlineStr">
        <is>
          <t>26/02/2026</t>
        </is>
      </c>
      <c r="I3758" s="10" t="inlineStr">
        <is>
          <t>28/03/2026</t>
        </is>
      </c>
      <c r="J3758" s="10" t="inlineStr">
        <is>
          <t>17/03/2026</t>
        </is>
      </c>
      <c r="K3758" s="10" t="inlineStr">
        <is>
          <t>N/A</t>
        </is>
      </c>
      <c r="L3758" s="10" t="inlineStr">
        <is>
          <t>Lập Kế Hoạch, Mua Hàng, Nghiên Cứu Thị Trường, Tiếng Trung, Đàm Phán Nhà Cung Cấp</t>
        </is>
      </c>
      <c r="M3758" s="10" t="inlineStr">
        <is>
          <t>Bonus, Healthcare Plan, Training, Travel Opportunities, Team Activities, Others</t>
        </is>
      </c>
      <c r="N3758" s="11">
        <f>HYPERLINK("https://www.vietnamworks.com/nhan-vien-mua-hang-tieng-trung-purchasing-officer-2014338-jv","Xem chi tiết")</f>
        <v/>
      </c>
      <c r="O3758" s="10" t="n"/>
    </row>
    <row r="3759">
      <c r="B3759" s="7" t="n">
        <v>3757</v>
      </c>
      <c r="C3759" t="inlineStr">
        <is>
          <t>Trưởng Ban Kế Hoạch Tiến Độ (Chủ Đầu Tư)</t>
        </is>
      </c>
      <c r="D3759" t="inlineStr">
        <is>
          <t>Công Ty Cổ Phần Bất Động Sản Tập Đoàn Tân Á Đại Thành</t>
        </is>
      </c>
      <c r="E3759" t="inlineStr">
        <is>
          <t>Thương lượng</t>
        </is>
      </c>
      <c r="F3759" t="inlineStr">
        <is>
          <t>Hà Nội</t>
        </is>
      </c>
      <c r="G3759" t="inlineStr">
        <is>
          <t>Giám Đốc và Cấp Cao Hơn</t>
        </is>
      </c>
      <c r="H3759" t="inlineStr">
        <is>
          <t>26/02/2026</t>
        </is>
      </c>
      <c r="I3759" t="inlineStr">
        <is>
          <t>28/03/2026</t>
        </is>
      </c>
      <c r="J3759" t="inlineStr">
        <is>
          <t>17/03/2026</t>
        </is>
      </c>
      <c r="K3759" t="inlineStr">
        <is>
          <t>N/A</t>
        </is>
      </c>
      <c r="L3759" t="inlineStr">
        <is>
          <t>Quản Trị Tiến Độ, Hoạch Định Tiến Độ, Quản Lý Tiến Độ Dự Án, Kiểm Soát Tiến Độ Dự Án, Quản Lý Tiến Độ</t>
        </is>
      </c>
      <c r="M3759" t="inlineStr">
        <is>
          <t>Bonus, Canteen, Vouchers</t>
        </is>
      </c>
      <c r="N3759" s="8">
        <f>HYPERLINK("https://www.vietnamworks.com/truong-ban-ke-hoach-tien-do-chu-dau-tu--2014325-jv","Xem chi tiết")</f>
        <v/>
      </c>
    </row>
    <row r="3760">
      <c r="B3760" s="9" t="n">
        <v>3758</v>
      </c>
      <c r="C3760" s="10" t="inlineStr">
        <is>
          <t>Kế Toán Công Nợ Kiêm Kho</t>
        </is>
      </c>
      <c r="D3760" s="10" t="inlineStr">
        <is>
          <t>CÔNG TY CỔ PHẦN ĐẦU TƯ VÀ SẢN XUẤT LAM SƠN MỸ HÀO</t>
        </is>
      </c>
      <c r="E3760" s="10" t="inlineStr">
        <is>
          <t>Từ 12tr ₫/tháng</t>
        </is>
      </c>
      <c r="F3760" s="10" t="inlineStr">
        <is>
          <t>Hà Nội</t>
        </is>
      </c>
      <c r="G3760" s="10" t="inlineStr">
        <is>
          <t>Nhân viên</t>
        </is>
      </c>
      <c r="H3760" s="10" t="inlineStr">
        <is>
          <t>26/02/2026</t>
        </is>
      </c>
      <c r="I3760" s="10" t="inlineStr">
        <is>
          <t>28/03/2026</t>
        </is>
      </c>
      <c r="J3760" s="10" t="inlineStr">
        <is>
          <t>17/03/2026</t>
        </is>
      </c>
      <c r="K3760" s="10" t="inlineStr">
        <is>
          <t>N/A</t>
        </is>
      </c>
      <c r="L3760" s="10" t="inlineStr">
        <is>
          <t>Excel, Hạch Toán, Misa, Quản Lý Công Nợ, Quản Lý Kho</t>
        </is>
      </c>
      <c r="M3760" s="10" t="inlineStr">
        <is>
          <t>Bonus, Healthcare Plan, Others</t>
        </is>
      </c>
      <c r="N3760" s="11">
        <f>HYPERLINK("https://www.vietnamworks.com/ke-toan-cong-no-kiem-kho-2014328-jv","Xem chi tiết")</f>
        <v/>
      </c>
      <c r="O3760" s="10" t="n"/>
    </row>
    <row r="3761">
      <c r="B3761" s="7" t="n">
        <v>3759</v>
      </c>
      <c r="C3761" t="inlineStr">
        <is>
          <t>Nhân Viên Nhân Sự (Biết Tiếng Trung)</t>
        </is>
      </c>
      <c r="D3761" t="inlineStr">
        <is>
          <t>CÔNG TY TNHH CHẾ TẠO MÁY NEW HENGYANG VIỆT NAM</t>
        </is>
      </c>
      <c r="E3761" t="inlineStr">
        <is>
          <t>13tr-15tr ₫/tháng</t>
        </is>
      </c>
      <c r="F3761" t="inlineStr">
        <is>
          <t>Tây Ninh, Long An</t>
        </is>
      </c>
      <c r="G3761" t="inlineStr">
        <is>
          <t>Nhân viên</t>
        </is>
      </c>
      <c r="H3761" t="inlineStr">
        <is>
          <t>26/02/2026</t>
        </is>
      </c>
      <c r="I3761" t="inlineStr">
        <is>
          <t>28/03/2026</t>
        </is>
      </c>
      <c r="J3761" t="inlineStr">
        <is>
          <t>17/03/2026</t>
        </is>
      </c>
      <c r="K3761" t="inlineStr">
        <is>
          <t>N/A</t>
        </is>
      </c>
      <c r="L3761" t="inlineStr">
        <is>
          <t>Quản Trị Nhân Sự, Hành Chính, Tiếng Trung, Tin Học Văn Phòng, Kỹ năng tổ chức</t>
        </is>
      </c>
      <c r="M3761" t="inlineStr">
        <is>
          <t>Bonus, Healthcare Plan, Team Activities, Others</t>
        </is>
      </c>
      <c r="N3761" s="8">
        <f>HYPERLINK("https://www.vietnamworks.com/nhan-vien-nhan-su-biet-tieng-trung-2014330-jv","Xem chi tiết")</f>
        <v/>
      </c>
    </row>
    <row r="3762">
      <c r="B3762" s="9" t="n">
        <v>3760</v>
      </c>
      <c r="C3762" s="10" t="inlineStr">
        <is>
          <t>Chuyên Viên Cao Cấp Pháp Lý Dự Án (Nam)</t>
        </is>
      </c>
      <c r="D3762" s="10" t="inlineStr">
        <is>
          <t>Công ty Cổ phần Glexhomes</t>
        </is>
      </c>
      <c r="E3762" s="10" t="inlineStr">
        <is>
          <t>20tr-35tr ₫/tháng</t>
        </is>
      </c>
      <c r="F3762" s="10" t="inlineStr">
        <is>
          <t>Hà Nội</t>
        </is>
      </c>
      <c r="G3762" s="10" t="inlineStr">
        <is>
          <t>Nhân viên</t>
        </is>
      </c>
      <c r="H3762" s="10" t="inlineStr">
        <is>
          <t>26/02/2026</t>
        </is>
      </c>
      <c r="I3762" s="10" t="inlineStr">
        <is>
          <t>28/03/2026</t>
        </is>
      </c>
      <c r="J3762" s="10" t="inlineStr">
        <is>
          <t>17/03/2026</t>
        </is>
      </c>
      <c r="K3762" s="10" t="inlineStr">
        <is>
          <t>N/A</t>
        </is>
      </c>
      <c r="L3762" s="10" t="inlineStr">
        <is>
          <t>Bất Động Sản, Phát Triển Dự Án, Pháp Lý Dự Án Đầu Tư, Pháp Lý, Kinh Tế Xây Dựng</t>
        </is>
      </c>
      <c r="M3762" s="10" t="inlineStr">
        <is>
          <t>Bonus, Healthcare Plan, Training</t>
        </is>
      </c>
      <c r="N3762" s="11">
        <f>HYPERLINK("https://www.vietnamworks.com/chuyen-vien-cao-cap-phap-ly-du-an-nam--2014350-jv","Xem chi tiết")</f>
        <v/>
      </c>
      <c r="O3762" s="10" t="n"/>
    </row>
    <row r="3763">
      <c r="B3763" s="7" t="n">
        <v>3761</v>
      </c>
      <c r="C3763" t="inlineStr">
        <is>
          <t>Kế Toán Trưởng</t>
        </is>
      </c>
      <c r="D3763" t="inlineStr">
        <is>
          <t>CÔNG TY TNHH POMPOUS SƠN THÀNH PHÁT VIỆT NAM</t>
        </is>
      </c>
      <c r="E3763" t="inlineStr">
        <is>
          <t>25tr-35tr ₫/tháng</t>
        </is>
      </c>
      <c r="F3763" t="inlineStr">
        <is>
          <t>Hà Nội</t>
        </is>
      </c>
      <c r="G3763" t="inlineStr">
        <is>
          <t>Trưởng phòng</t>
        </is>
      </c>
      <c r="H3763" t="inlineStr">
        <is>
          <t>26/02/2026</t>
        </is>
      </c>
      <c r="I3763" t="inlineStr">
        <is>
          <t>28/03/2026</t>
        </is>
      </c>
      <c r="J3763" t="inlineStr">
        <is>
          <t>17/03/2026</t>
        </is>
      </c>
      <c r="K3763" t="inlineStr">
        <is>
          <t>N/A</t>
        </is>
      </c>
      <c r="L3763" t="inlineStr">
        <is>
          <t>Excel, Kiến Thức Chuẩn Mực Kế Toán, Luật Kế Toán, MISA Accounting Software, Quản Lý Tài Chính</t>
        </is>
      </c>
      <c r="M3763" t="inlineStr">
        <is>
          <t>Bonus, Healthcare Plan, Awards, Team Activities, Others</t>
        </is>
      </c>
      <c r="N3763" s="8">
        <f>HYPERLINK("https://www.vietnamworks.com/ke-toan-truong-2014345-jv","Xem chi tiết")</f>
        <v/>
      </c>
    </row>
    <row r="3764">
      <c r="B3764" s="9" t="n">
        <v>3762</v>
      </c>
      <c r="C3764" s="10" t="inlineStr">
        <is>
          <t>Media Sales &amp; Partnership Manager</t>
        </is>
      </c>
      <c r="D3764" s="10" t="inlineStr">
        <is>
          <t>CJ CGV Vietnam</t>
        </is>
      </c>
      <c r="E3764" s="10" t="inlineStr">
        <is>
          <t>Thương lượng</t>
        </is>
      </c>
      <c r="F3764" s="10" t="inlineStr">
        <is>
          <t>Hồ Chí Minh</t>
        </is>
      </c>
      <c r="G3764" s="10" t="inlineStr">
        <is>
          <t>Trưởng phòng</t>
        </is>
      </c>
      <c r="H3764" s="10" t="inlineStr">
        <is>
          <t>26/02/2026</t>
        </is>
      </c>
      <c r="I3764" s="10" t="inlineStr">
        <is>
          <t>28/03/2026</t>
        </is>
      </c>
      <c r="J3764" s="10" t="inlineStr">
        <is>
          <t>17/03/2026</t>
        </is>
      </c>
      <c r="K3764" s="10" t="inlineStr">
        <is>
          <t>N/A</t>
        </is>
      </c>
      <c r="L3764" s="10" t="inlineStr">
        <is>
          <t>B2B Business Development, Leadership Mindset, Negotiation Strategy, Media Analysis, Reporting skills</t>
        </is>
      </c>
      <c r="M3764" s="10" t="inlineStr">
        <is>
          <t>Bonus, Vouchers, Others</t>
        </is>
      </c>
      <c r="N3764" s="11">
        <f>HYPERLINK("https://www.vietnamworks.com/media-sales-partnership-manager-2014349-jv","Xem chi tiết")</f>
        <v/>
      </c>
      <c r="O3764" s="10" t="n"/>
    </row>
    <row r="3765">
      <c r="B3765" s="7" t="n">
        <v>3763</v>
      </c>
      <c r="C3765" t="inlineStr">
        <is>
          <t>Chuyên Viên Tuyển Dụng/HRBP - Khối Kinh Doanh/Nhà máy - Làm Việc Tại Quận 1 hoặc Làm việc tại Bình Dương</t>
        </is>
      </c>
      <c r="D3765" t="inlineStr">
        <is>
          <t>Asiafoods Corporation</t>
        </is>
      </c>
      <c r="E3765" t="inlineStr">
        <is>
          <t>Thương lượng</t>
        </is>
      </c>
      <c r="F3765" t="inlineStr">
        <is>
          <t>Hồ Chí Minh, Bình Dương, Hà Nội</t>
        </is>
      </c>
      <c r="G3765" t="inlineStr">
        <is>
          <t>Nhân viên</t>
        </is>
      </c>
      <c r="H3765" t="inlineStr">
        <is>
          <t>26/02/2026</t>
        </is>
      </c>
      <c r="I3765" t="inlineStr">
        <is>
          <t>28/03/2026</t>
        </is>
      </c>
      <c r="J3765" t="inlineStr">
        <is>
          <t>17/03/2026</t>
        </is>
      </c>
      <c r="K3765" t="inlineStr">
        <is>
          <t>N/A</t>
        </is>
      </c>
      <c r="L3765" t="inlineStr">
        <is>
          <t>Human Resources, Recruitment, Tuyển Dụng, HRBP, Talent Recruitment</t>
        </is>
      </c>
      <c r="M3765" t="inlineStr">
        <is>
          <t>Bonus, Training, Laptop</t>
        </is>
      </c>
      <c r="N3765" s="8">
        <f>HYPERLINK("https://www.vietnamworks.com/chuyen-vien-tuyen-dunghrbp-khoi-kinh-doanhnha-may-lam-viec-tai-quan-1-hoac-lam-viec-tai-binh-duong-2014347-jv","Xem chi tiết")</f>
        <v/>
      </c>
    </row>
    <row r="3766">
      <c r="B3766" s="9" t="n">
        <v>3764</v>
      </c>
      <c r="C3766" s="10" t="inlineStr">
        <is>
          <t>Kế Toán Tổng Hợp</t>
        </is>
      </c>
      <c r="D3766" s="10" t="inlineStr">
        <is>
          <t>Tổng Công Ty Phát Triển Đô Thị Kinh Bắc (KBC)</t>
        </is>
      </c>
      <c r="E3766" s="10" t="inlineStr">
        <is>
          <t>Thương lượng</t>
        </is>
      </c>
      <c r="F3766" s="10" t="inlineStr">
        <is>
          <t>Cần Thơ</t>
        </is>
      </c>
      <c r="G3766" s="10" t="inlineStr">
        <is>
          <t>Nhân viên</t>
        </is>
      </c>
      <c r="H3766" s="10" t="inlineStr">
        <is>
          <t>26/02/2026</t>
        </is>
      </c>
      <c r="I3766" s="10" t="inlineStr">
        <is>
          <t>28/03/2026</t>
        </is>
      </c>
      <c r="J3766" s="10" t="inlineStr">
        <is>
          <t>17/03/2026</t>
        </is>
      </c>
      <c r="K3766" s="10" t="inlineStr">
        <is>
          <t>N/A</t>
        </is>
      </c>
      <c r="L3766" s="10" t="inlineStr">
        <is>
          <t>Kế Toán Tổng Hợp, Báo Cáo Thuế, Hạch Toán, Lập Báo Cáo Tài Chính, Theo Dõi Công Nợ</t>
        </is>
      </c>
      <c r="M3766" s="10" t="inlineStr">
        <is>
          <t>Bonus, Healthcare Plan, Transportation, Others</t>
        </is>
      </c>
      <c r="N3766" s="11">
        <f>HYPERLINK("https://www.vietnamworks.com/ke-toan-tong-hop-2014351-jv","Xem chi tiết")</f>
        <v/>
      </c>
      <c r="O3766" s="10" t="n"/>
    </row>
    <row r="3767">
      <c r="B3767" s="7" t="n">
        <v>3765</v>
      </c>
      <c r="C3767" t="inlineStr">
        <is>
          <t>Operations &amp; Documentation Executive</t>
        </is>
      </c>
      <c r="D3767" t="inlineStr">
        <is>
          <t>Witrust Group Co., Ltd</t>
        </is>
      </c>
      <c r="E3767" t="inlineStr">
        <is>
          <t>Thương lượng</t>
        </is>
      </c>
      <c r="F3767" t="inlineStr">
        <is>
          <t>Hồ Chí Minh</t>
        </is>
      </c>
      <c r="G3767" t="inlineStr">
        <is>
          <t>Nhân viên</t>
        </is>
      </c>
      <c r="H3767" t="inlineStr">
        <is>
          <t>26/02/2026</t>
        </is>
      </c>
      <c r="I3767" t="inlineStr">
        <is>
          <t>28/03/2026</t>
        </is>
      </c>
      <c r="J3767" t="inlineStr">
        <is>
          <t>17/03/2026</t>
        </is>
      </c>
      <c r="K3767" t="inlineStr">
        <is>
          <t>N/A</t>
        </is>
      </c>
      <c r="L3767" t="inlineStr">
        <is>
          <t>Export Operation, Documentation, Logistics, International Trade, Solution Oriented</t>
        </is>
      </c>
      <c r="M3767" t="inlineStr">
        <is>
          <t>Bonus, Paid Leave, Training, Others</t>
        </is>
      </c>
      <c r="N3767" s="8">
        <f>HYPERLINK("https://www.vietnamworks.com/operations-and-documentation-executive-2014354-jv","Xem chi tiết")</f>
        <v/>
      </c>
    </row>
    <row r="3768">
      <c r="B3768" s="9" t="n">
        <v>3766</v>
      </c>
      <c r="C3768" s="10" t="inlineStr">
        <is>
          <t>Giám Sát Bảo Trì Cơ Điện Lương 14Tr - 17Tr</t>
        </is>
      </c>
      <c r="D3768" s="10" t="inlineStr">
        <is>
          <t>Công Ty CP Đầu Tư Xây Dựng Và Công Nghệ Việt Nhật</t>
        </is>
      </c>
      <c r="E3768" s="10" t="inlineStr">
        <is>
          <t>14tr-17tr ₫/tháng</t>
        </is>
      </c>
      <c r="F3768" s="10" t="inlineStr">
        <is>
          <t>Hà Nội</t>
        </is>
      </c>
      <c r="G3768" s="10" t="inlineStr">
        <is>
          <t>Nhân viên</t>
        </is>
      </c>
      <c r="H3768" s="10" t="inlineStr">
        <is>
          <t>26/02/2026</t>
        </is>
      </c>
      <c r="I3768" s="10" t="inlineStr">
        <is>
          <t>28/03/2026</t>
        </is>
      </c>
      <c r="J3768" s="10" t="inlineStr">
        <is>
          <t>17/03/2026</t>
        </is>
      </c>
      <c r="K3768" s="10" t="inlineStr">
        <is>
          <t>N/A</t>
        </is>
      </c>
      <c r="L3768" s="10" t="inlineStr">
        <is>
          <t>Quản Lý Công Nhân, Đọc Bản Vẽ Kỹ Thuật, Lập Trình AutoCAD, Kỹ năng đàm phán, Làm Việc Nhóm</t>
        </is>
      </c>
      <c r="M3768" s="10" t="inlineStr">
        <is>
          <t>Bonus, Healthcare Plan, Training</t>
        </is>
      </c>
      <c r="N3768" s="11">
        <f>HYPERLINK("https://www.vietnamworks.com/giam-sat-bao-tri-co-dien-luong-14tr-17tr-2014344-jv","Xem chi tiết")</f>
        <v/>
      </c>
      <c r="O3768" s="10" t="n"/>
    </row>
    <row r="3769">
      <c r="B3769" s="7" t="n">
        <v>3767</v>
      </c>
      <c r="C3769" t="inlineStr">
        <is>
          <t>Chuyên Viên Thiết Kế 3D</t>
        </is>
      </c>
      <c r="D3769" t="inlineStr">
        <is>
          <t>Công Ty Cổ Phần Tập Đoàn Sunshine</t>
        </is>
      </c>
      <c r="E3769" t="inlineStr">
        <is>
          <t>Thương lượng</t>
        </is>
      </c>
      <c r="F3769" t="inlineStr">
        <is>
          <t>Hà Nội</t>
        </is>
      </c>
      <c r="G3769" t="inlineStr">
        <is>
          <t>Nhân viên</t>
        </is>
      </c>
      <c r="H3769" t="inlineStr">
        <is>
          <t>26/02/2026</t>
        </is>
      </c>
      <c r="I3769" t="inlineStr">
        <is>
          <t>28/03/2026</t>
        </is>
      </c>
      <c r="J3769" t="inlineStr">
        <is>
          <t>17/03/2026</t>
        </is>
      </c>
      <c r="K3769" t="inlineStr">
        <is>
          <t>N/A</t>
        </is>
      </c>
      <c r="L3769" t="inlineStr">
        <is>
          <t>Thiết Kế 3D, Thiết Kế Kiến Trúc, Autocad, Phần Mềm Diễn Họa, Photoshop</t>
        </is>
      </c>
      <c r="M3769" t="inlineStr">
        <is>
          <t>Bonus, Healthcare Plan, Others</t>
        </is>
      </c>
      <c r="N3769" s="8">
        <f>HYPERLINK("https://www.vietnamworks.com/chuyen-vien-thiet-ke-3d-2014357-jv","Xem chi tiết")</f>
        <v/>
      </c>
    </row>
    <row r="3770">
      <c r="B3770" s="9" t="n">
        <v>3768</v>
      </c>
      <c r="C3770" s="10" t="inlineStr">
        <is>
          <t>Clinical Application Engineer</t>
        </is>
      </c>
      <c r="D3770" s="10" t="inlineStr">
        <is>
          <t>Công Ty TNHH Thiết Bị Y Tế Dmed</t>
        </is>
      </c>
      <c r="E3770" s="10" t="inlineStr">
        <is>
          <t>$$ 800-1,000 /tháng</t>
        </is>
      </c>
      <c r="F3770" s="10" t="inlineStr">
        <is>
          <t>Hồ Chí Minh</t>
        </is>
      </c>
      <c r="G3770" s="10" t="inlineStr">
        <is>
          <t>Nhân viên</t>
        </is>
      </c>
      <c r="H3770" s="10" t="inlineStr">
        <is>
          <t>26/02/2026</t>
        </is>
      </c>
      <c r="I3770" s="10" t="inlineStr">
        <is>
          <t>28/03/2026</t>
        </is>
      </c>
      <c r="J3770" s="10" t="inlineStr">
        <is>
          <t>17/03/2026</t>
        </is>
      </c>
      <c r="K3770" s="10" t="inlineStr">
        <is>
          <t>N/A</t>
        </is>
      </c>
      <c r="L3770" s="10" t="inlineStr">
        <is>
          <t>Kỹ Thuật Y Sinh, Dược, Chăm Sóc Khách Hàng, Giới Thiệu Sản Phẩm, Y Tế</t>
        </is>
      </c>
      <c r="M3770" s="10" t="inlineStr">
        <is>
          <t>Bonus, Healthcare Plan, Others</t>
        </is>
      </c>
      <c r="N3770" s="11">
        <f>HYPERLINK("https://www.vietnamworks.com/clinical-application-engineer--2014369-jv","Xem chi tiết")</f>
        <v/>
      </c>
      <c r="O3770" s="10" t="n"/>
    </row>
    <row r="3771">
      <c r="B3771" s="7" t="n">
        <v>3769</v>
      </c>
      <c r="C3771" t="inlineStr">
        <is>
          <t>Trợ Lý Tổng Giám Đốc</t>
        </is>
      </c>
      <c r="D3771" t="inlineStr">
        <is>
          <t>Công Ty Cổ Phần Đầu Tư Tây Bắc</t>
        </is>
      </c>
      <c r="E3771" t="inlineStr">
        <is>
          <t>Thương lượng</t>
        </is>
      </c>
      <c r="F3771" t="inlineStr">
        <is>
          <t>Hà Nội</t>
        </is>
      </c>
      <c r="G3771" t="inlineStr">
        <is>
          <t>Giám Đốc và Cấp Cao Hơn</t>
        </is>
      </c>
      <c r="H3771" t="inlineStr">
        <is>
          <t>26/02/2026</t>
        </is>
      </c>
      <c r="I3771" t="inlineStr">
        <is>
          <t>28/03/2026</t>
        </is>
      </c>
      <c r="J3771" t="inlineStr">
        <is>
          <t>17/03/2026</t>
        </is>
      </c>
      <c r="K3771" t="inlineStr">
        <is>
          <t>N/A</t>
        </is>
      </c>
      <c r="L3771" t="inlineStr">
        <is>
          <t>Luật Doanh Nghiệp, Quản Lý Thời Gian, Giao Tiếp, Giải quyết vấn đề, Phân Tích Chỉ Số</t>
        </is>
      </c>
      <c r="M3771" t="inlineStr">
        <is>
          <t>Bonus, Paid Leave, Travel Opportunities</t>
        </is>
      </c>
      <c r="N3771" s="8">
        <f>HYPERLINK("https://www.vietnamworks.com/tro-ly-tong-giam-djoc-2014366-jv","Xem chi tiết")</f>
        <v/>
      </c>
    </row>
    <row r="3772">
      <c r="B3772" s="9" t="n">
        <v>3770</v>
      </c>
      <c r="C3772" s="10" t="inlineStr">
        <is>
          <t>Trợ Lý Giám Đốc</t>
        </is>
      </c>
      <c r="D3772" s="10" t="inlineStr">
        <is>
          <t>CÔNG TY TNHH POMPOUS SƠN THÀNH PHÁT VIỆT NAM</t>
        </is>
      </c>
      <c r="E3772" s="10" t="inlineStr">
        <is>
          <t>15tr-25tr ₫/tháng</t>
        </is>
      </c>
      <c r="F3772" s="10" t="inlineStr">
        <is>
          <t>Hà Nội</t>
        </is>
      </c>
      <c r="G3772" s="10" t="inlineStr">
        <is>
          <t>Nhân viên</t>
        </is>
      </c>
      <c r="H3772" s="10" t="inlineStr">
        <is>
          <t>26/02/2026</t>
        </is>
      </c>
      <c r="I3772" s="10" t="inlineStr">
        <is>
          <t>28/03/2026</t>
        </is>
      </c>
      <c r="J3772" s="10" t="inlineStr">
        <is>
          <t>17/03/2026</t>
        </is>
      </c>
      <c r="K3772" s="10" t="inlineStr">
        <is>
          <t>N/A</t>
        </is>
      </c>
      <c r="L3772" s="10" t="inlineStr">
        <is>
          <t>Giao Tiếp, Nghiệp Vụ Thư Ký, Quản Trị Kinh Doanh, Trợ Lý Giám Đốc, Viết Báo Cáo</t>
        </is>
      </c>
      <c r="M3772" s="10" t="inlineStr">
        <is>
          <t>Bonus, Healthcare Plan, Training, Travel Opportunities, Team Activities, Others</t>
        </is>
      </c>
      <c r="N3772" s="11">
        <f>HYPERLINK("https://www.vietnamworks.com/tro-ly-giam-djoc-2014352-jv","Xem chi tiết")</f>
        <v/>
      </c>
      <c r="O3772" s="10" t="n"/>
    </row>
    <row r="3773">
      <c r="B3773" s="7" t="n">
        <v>3771</v>
      </c>
      <c r="C3773" t="inlineStr">
        <is>
          <t>Claim Assessor (Supervisor/ Manager)</t>
        </is>
      </c>
      <c r="D3773" t="inlineStr">
        <is>
          <t>Công Ty TNHH Bảo Hiểm Nhân Thọ Generali Việt Nam</t>
        </is>
      </c>
      <c r="E3773" t="inlineStr">
        <is>
          <t>$$ 1,000-2,000 /tháng</t>
        </is>
      </c>
      <c r="F3773" t="inlineStr">
        <is>
          <t>Hồ Chí Minh</t>
        </is>
      </c>
      <c r="G3773" t="inlineStr">
        <is>
          <t>Nhân viên</t>
        </is>
      </c>
      <c r="H3773" t="inlineStr">
        <is>
          <t>26/02/2026</t>
        </is>
      </c>
      <c r="I3773" t="inlineStr">
        <is>
          <t>28/03/2026</t>
        </is>
      </c>
      <c r="J3773" t="inlineStr">
        <is>
          <t>17/03/2026</t>
        </is>
      </c>
      <c r="K3773" t="inlineStr">
        <is>
          <t>N/A</t>
        </is>
      </c>
      <c r="L3773" t="inlineStr">
        <is>
          <t>Insurance, Insurance Claims, Claims Handling, Life Insurance, Life Insurance Claiming</t>
        </is>
      </c>
      <c r="M3773" t="inlineStr">
        <is>
          <t>Bonus, Healthcare Plan, Team Activities</t>
        </is>
      </c>
      <c r="N3773" s="8">
        <f>HYPERLINK("https://www.vietnamworks.com/claim-assessor-supervisor-manager--2014353-jv","Xem chi tiết")</f>
        <v/>
      </c>
    </row>
    <row r="3774">
      <c r="B3774" s="9" t="n">
        <v>3772</v>
      </c>
      <c r="C3774" s="10" t="inlineStr">
        <is>
          <t>Trưởng Nhóm Pháp Chế - Legal Team Leader - Net Up 35M</t>
        </is>
      </c>
      <c r="D3774" s="10" t="inlineStr">
        <is>
          <t>Thời Trang Adidas - Công Ty Cổ Phần Đầu Tư Thương Mại Phượng Hoàng</t>
        </is>
      </c>
      <c r="E3774" s="10" t="inlineStr">
        <is>
          <t>$$ 1,000-1,500 /tháng</t>
        </is>
      </c>
      <c r="F3774" s="10" t="inlineStr">
        <is>
          <t>Hà Nội</t>
        </is>
      </c>
      <c r="G3774" s="10" t="inlineStr">
        <is>
          <t>Nhân viên</t>
        </is>
      </c>
      <c r="H3774" s="10" t="inlineStr">
        <is>
          <t>26/02/2026</t>
        </is>
      </c>
      <c r="I3774" s="10" t="inlineStr">
        <is>
          <t>28/03/2026</t>
        </is>
      </c>
      <c r="J3774" s="10" t="inlineStr">
        <is>
          <t>17/03/2026</t>
        </is>
      </c>
      <c r="K3774" s="10" t="inlineStr">
        <is>
          <t>N/A</t>
        </is>
      </c>
      <c r="L3774" s="10" t="inlineStr">
        <is>
          <t>Pháp Chế, Legal, Luật Kinh Doanh Thương Mại, Luật</t>
        </is>
      </c>
      <c r="M3774" s="10" t="inlineStr">
        <is>
          <t>Bonus, Team Activities, Others</t>
        </is>
      </c>
      <c r="N3774" s="11">
        <f>HYPERLINK("https://www.vietnamworks.com/truong-nhom-phap-che-legal-team-leader-net-up-35m-2014361-jv","Xem chi tiết")</f>
        <v/>
      </c>
      <c r="O3774" s="10" t="n"/>
    </row>
    <row r="3775">
      <c r="B3775" s="7" t="n">
        <v>3773</v>
      </c>
      <c r="C3775" t="inlineStr">
        <is>
          <t>Telesales - Thu Nhập Từ 20Tr/ Tháng</t>
        </is>
      </c>
      <c r="D3775" t="inlineStr">
        <is>
          <t>MBS 87 Business &amp; Travel</t>
        </is>
      </c>
      <c r="E3775" t="inlineStr">
        <is>
          <t>Từ 20tr ₫/tháng</t>
        </is>
      </c>
      <c r="F3775" t="inlineStr">
        <is>
          <t>Hồ Chí Minh</t>
        </is>
      </c>
      <c r="G3775" t="inlineStr">
        <is>
          <t>Mới Tốt Nghiệp</t>
        </is>
      </c>
      <c r="H3775" t="inlineStr">
        <is>
          <t>26/02/2026</t>
        </is>
      </c>
      <c r="I3775" t="inlineStr">
        <is>
          <t>28/03/2026</t>
        </is>
      </c>
      <c r="J3775" t="inlineStr">
        <is>
          <t>17/03/2026</t>
        </is>
      </c>
      <c r="K3775" t="inlineStr">
        <is>
          <t>N/A</t>
        </is>
      </c>
      <c r="L3775" t="inlineStr">
        <is>
          <t>Sales Consultant, Tư Vấn Du Lịch, Tour Sales, Travel Customer Service, Telesales</t>
        </is>
      </c>
      <c r="M3775" t="inlineStr">
        <is>
          <t>Bonus, Healthcare Plan, Team Activities</t>
        </is>
      </c>
      <c r="N3775" s="8">
        <f>HYPERLINK("https://www.vietnamworks.com/telesales-thu-nhap-tu-20tr-thang-2014364-jv","Xem chi tiết")</f>
        <v/>
      </c>
    </row>
    <row r="3776">
      <c r="B3776" s="9" t="n">
        <v>3774</v>
      </c>
      <c r="C3776" s="10" t="inlineStr">
        <is>
          <t>Chuyên Viên Cao Cấp Marketing Dự Án Bất Động Sản</t>
        </is>
      </c>
      <c r="D3776" s="10" t="inlineStr">
        <is>
          <t>Công Ty Cổ Phần Đầu Tư Tây Bắc</t>
        </is>
      </c>
      <c r="E3776" s="10" t="inlineStr">
        <is>
          <t>Thương lượng</t>
        </is>
      </c>
      <c r="F3776" s="10" t="inlineStr">
        <is>
          <t>Hà Nội</t>
        </is>
      </c>
      <c r="G3776" s="10" t="inlineStr">
        <is>
          <t>Nhân viên</t>
        </is>
      </c>
      <c r="H3776" s="10" t="inlineStr">
        <is>
          <t>26/02/2026</t>
        </is>
      </c>
      <c r="I3776" s="10" t="inlineStr">
        <is>
          <t>28/03/2026</t>
        </is>
      </c>
      <c r="J3776" s="10" t="inlineStr">
        <is>
          <t>17/03/2026</t>
        </is>
      </c>
      <c r="K3776" s="10" t="inlineStr">
        <is>
          <t>N/A</t>
        </is>
      </c>
      <c r="L3776" s="10" t="inlineStr">
        <is>
          <t>Digital Marketing, SEO, Data Analysis, Communication Skills, Teamwork</t>
        </is>
      </c>
      <c r="M3776" s="10" t="inlineStr">
        <is>
          <t>Bonus, Healthcare Plan, Paid Leave, Travel Opportunities, Others</t>
        </is>
      </c>
      <c r="N3776" s="11">
        <f>HYPERLINK("https://www.vietnamworks.com/chuyen-vien-cao-cap-marketing-du-an-bat-djong-san-2014363-jv","Xem chi tiết")</f>
        <v/>
      </c>
      <c r="O3776" s="10" t="n"/>
    </row>
    <row r="3777">
      <c r="B3777" s="7" t="n">
        <v>3775</v>
      </c>
      <c r="C3777" t="inlineStr">
        <is>
          <t>Logistic Supervisor</t>
        </is>
      </c>
      <c r="D3777" t="inlineStr">
        <is>
          <t>Công Ty TNHH Muji Retail (Việt Nam)</t>
        </is>
      </c>
      <c r="E3777" t="inlineStr">
        <is>
          <t>Thương lượng</t>
        </is>
      </c>
      <c r="F3777" t="inlineStr">
        <is>
          <t>Hồ Chí Minh</t>
        </is>
      </c>
      <c r="G3777" t="inlineStr">
        <is>
          <t>Nhân viên</t>
        </is>
      </c>
      <c r="H3777" t="inlineStr">
        <is>
          <t>26/02/2026</t>
        </is>
      </c>
      <c r="I3777" t="inlineStr">
        <is>
          <t>28/03/2026</t>
        </is>
      </c>
      <c r="J3777" t="inlineStr">
        <is>
          <t>17/03/2026</t>
        </is>
      </c>
      <c r="K3777" t="inlineStr">
        <is>
          <t>N/A</t>
        </is>
      </c>
      <c r="L3777" t="inlineStr">
        <is>
          <t>English, Import-Export Documents, Warehouse Management, Logistics Control, Retail Store Operations</t>
        </is>
      </c>
      <c r="M3777" t="inlineStr">
        <is>
          <t>Paid Leave, Training</t>
        </is>
      </c>
      <c r="N3777" s="8">
        <f>HYPERLINK("https://www.vietnamworks.com/logistic-supervisor--2014370-jv","Xem chi tiết")</f>
        <v/>
      </c>
    </row>
    <row r="3778">
      <c r="B3778" s="9" t="n">
        <v>3776</v>
      </c>
      <c r="C3778" s="10" t="inlineStr">
        <is>
          <t>Nhân Viên Chăm Sóc Khách Hàng</t>
        </is>
      </c>
      <c r="D3778" s="10" t="inlineStr">
        <is>
          <t>VISION Shipping Vietnam Co.,ltd</t>
        </is>
      </c>
      <c r="E3778" s="10" t="inlineStr">
        <is>
          <t>10tr-16tr ₫/tháng</t>
        </is>
      </c>
      <c r="F3778" s="10" t="inlineStr">
        <is>
          <t>Hà Nội</t>
        </is>
      </c>
      <c r="G3778" s="10" t="inlineStr">
        <is>
          <t>Nhân viên</t>
        </is>
      </c>
      <c r="H3778" s="10" t="inlineStr">
        <is>
          <t>26/02/2026</t>
        </is>
      </c>
      <c r="I3778" s="10" t="inlineStr">
        <is>
          <t>28/03/2026</t>
        </is>
      </c>
      <c r="J3778" s="10" t="inlineStr">
        <is>
          <t>17/03/2026</t>
        </is>
      </c>
      <c r="K3778" s="10" t="inlineStr">
        <is>
          <t>N/A</t>
        </is>
      </c>
      <c r="L3778" s="10" t="inlineStr">
        <is>
          <t>Booking</t>
        </is>
      </c>
      <c r="M3778" s="10" t="inlineStr">
        <is>
          <t>Bonus, Healthcare Plan, Training, Team Activities, Others</t>
        </is>
      </c>
      <c r="N3778" s="11">
        <f>HYPERLINK("https://www.vietnamworks.com/nhan-vien-cham-soc-khach-hang-2014365-jv","Xem chi tiết")</f>
        <v/>
      </c>
      <c r="O3778" s="10" t="n"/>
    </row>
    <row r="3779">
      <c r="B3779" s="7" t="n">
        <v>3777</v>
      </c>
      <c r="C3779" t="inlineStr">
        <is>
          <t>Chuyên Viên Thiết Kế Kiến Trúc 2D</t>
        </is>
      </c>
      <c r="D3779" t="inlineStr">
        <is>
          <t>Công Ty Cổ Phần Tập Đoàn Sunshine</t>
        </is>
      </c>
      <c r="E3779" t="inlineStr">
        <is>
          <t>20tr-35tr ₫/tháng</t>
        </is>
      </c>
      <c r="F3779" t="inlineStr">
        <is>
          <t>Hà Nội</t>
        </is>
      </c>
      <c r="G3779" t="inlineStr">
        <is>
          <t>Nhân viên</t>
        </is>
      </c>
      <c r="H3779" t="inlineStr">
        <is>
          <t>26/02/2026</t>
        </is>
      </c>
      <c r="I3779" t="inlineStr">
        <is>
          <t>28/03/2026</t>
        </is>
      </c>
      <c r="J3779" t="inlineStr">
        <is>
          <t>17/03/2026</t>
        </is>
      </c>
      <c r="K3779" t="inlineStr">
        <is>
          <t>N/A</t>
        </is>
      </c>
      <c r="L3779" t="inlineStr">
        <is>
          <t>AutoCAD, Pháp Lý Xây Dựng, Photoshop, Thiết Kế 2D, Thiết Kế Kiến Trúc</t>
        </is>
      </c>
      <c r="M3779" t="inlineStr">
        <is>
          <t>Bonus, Healthcare Plan, Others</t>
        </is>
      </c>
      <c r="N3779" s="8">
        <f>HYPERLINK("https://www.vietnamworks.com/chuyen-vien-thiet-ke-kien-truc-2d-2014360-jv","Xem chi tiết")</f>
        <v/>
      </c>
    </row>
    <row r="3780">
      <c r="B3780" s="9" t="n">
        <v>3778</v>
      </c>
      <c r="C3780" s="10" t="inlineStr">
        <is>
          <t>Sales Operations</t>
        </is>
      </c>
      <c r="D3780" s="10" t="inlineStr">
        <is>
          <t>Công Ty TNHH Delta Electronics (Việt Nam)</t>
        </is>
      </c>
      <c r="E3780" s="10" t="inlineStr">
        <is>
          <t>Thương lượng</t>
        </is>
      </c>
      <c r="F3780" s="10" t="inlineStr">
        <is>
          <t>Hà Nội</t>
        </is>
      </c>
      <c r="G3780" s="10" t="inlineStr">
        <is>
          <t>Nhân viên</t>
        </is>
      </c>
      <c r="H3780" s="10" t="inlineStr">
        <is>
          <t>26/02/2026</t>
        </is>
      </c>
      <c r="I3780" s="10" t="inlineStr">
        <is>
          <t>28/03/2026</t>
        </is>
      </c>
      <c r="J3780" s="10" t="inlineStr">
        <is>
          <t>17/03/2026</t>
        </is>
      </c>
      <c r="K3780" s="10" t="inlineStr">
        <is>
          <t>N/A</t>
        </is>
      </c>
      <c r="L3780" s="10" t="inlineStr">
        <is>
          <t>English, Import &amp; Export, Logistics, Order Management, SAP</t>
        </is>
      </c>
      <c r="M3780" s="10" t="inlineStr">
        <is>
          <t>Bonus</t>
        </is>
      </c>
      <c r="N3780" s="11">
        <f>HYPERLINK("https://www.vietnamworks.com/sales-operations-2014375-jv","Xem chi tiết")</f>
        <v/>
      </c>
      <c r="O3780" s="10" t="n"/>
    </row>
    <row r="3781">
      <c r="B3781" s="7" t="n">
        <v>3779</v>
      </c>
      <c r="C3781" t="inlineStr">
        <is>
          <t>Kế Toán Viên Thủ Quỹ</t>
        </is>
      </c>
      <c r="D3781" t="inlineStr">
        <is>
          <t>Tổng Công Ty Phát Triển Đô Thị Kinh Bắc (KBC)</t>
        </is>
      </c>
      <c r="E3781" t="inlineStr">
        <is>
          <t>Thương lượng</t>
        </is>
      </c>
      <c r="F3781" t="inlineStr">
        <is>
          <t>Cần Thơ</t>
        </is>
      </c>
      <c r="G3781" t="inlineStr">
        <is>
          <t>Nhân viên</t>
        </is>
      </c>
      <c r="H3781" t="inlineStr">
        <is>
          <t>26/02/2026</t>
        </is>
      </c>
      <c r="I3781" t="inlineStr">
        <is>
          <t>28/03/2026</t>
        </is>
      </c>
      <c r="J3781" t="inlineStr">
        <is>
          <t>17/03/2026</t>
        </is>
      </c>
      <c r="K3781" t="inlineStr">
        <is>
          <t>N/A</t>
        </is>
      </c>
      <c r="L3781" t="inlineStr">
        <is>
          <t>Excel, Theo Dõi Công Nợ, Nghiệp Vụ Kế Toán, Quản Lý Chứng Từ, Thủ Quỹ</t>
        </is>
      </c>
      <c r="M3781" t="inlineStr">
        <is>
          <t>Bonus, Healthcare Plan, Training, Travel Opportunities, Team Activities</t>
        </is>
      </c>
      <c r="N3781" s="8">
        <f>HYPERLINK("https://www.vietnamworks.com/ke-toan-vien-thu-quy-2014358-jv","Xem chi tiết")</f>
        <v/>
      </c>
    </row>
    <row r="3782">
      <c r="B3782" s="9" t="n">
        <v>3780</v>
      </c>
      <c r="C3782" s="10" t="inlineStr">
        <is>
          <t>Nhân Viên Kinh Doanh Xuất Nhập Khẩu</t>
        </is>
      </c>
      <c r="D3782" s="10" t="inlineStr">
        <is>
          <t>Indian Shipping And Logistics Facility (Vietnam) Company Limited</t>
        </is>
      </c>
      <c r="E3782" s="10" t="inlineStr">
        <is>
          <t>8tr-12tr ₫/tháng</t>
        </is>
      </c>
      <c r="F3782" s="10" t="inlineStr">
        <is>
          <t>Hồ Chí Minh</t>
        </is>
      </c>
      <c r="G3782" s="10" t="inlineStr">
        <is>
          <t>Nhân viên</t>
        </is>
      </c>
      <c r="H3782" s="10" t="inlineStr">
        <is>
          <t>26/02/2026</t>
        </is>
      </c>
      <c r="I3782" s="10" t="inlineStr">
        <is>
          <t>28/03/2026</t>
        </is>
      </c>
      <c r="J3782" s="10" t="inlineStr">
        <is>
          <t>17/03/2026</t>
        </is>
      </c>
      <c r="K3782" s="10" t="inlineStr">
        <is>
          <t>N/A</t>
        </is>
      </c>
      <c r="L3782" s="10" t="inlineStr">
        <is>
          <t>Tìm Kiếm Khách Hàng, Tiếng Anh, Marketing Online, Tư Vấn Dịch Vụ, Duy Trì Mối Quan Hệ</t>
        </is>
      </c>
      <c r="M3782" s="10" t="inlineStr">
        <is>
          <t>Bonus, Healthcare Plan, Training</t>
        </is>
      </c>
      <c r="N3782" s="11">
        <f>HYPERLINK("https://www.vietnamworks.com/nhan-vien-kinh-doanh-xuat-nhap-khau--2014399-jv","Xem chi tiết")</f>
        <v/>
      </c>
      <c r="O3782" s="10" t="n"/>
    </row>
    <row r="3783">
      <c r="B3783" s="7" t="n">
        <v>3781</v>
      </c>
      <c r="C3783" t="inlineStr">
        <is>
          <t>Mechanical Engineer (Costing)</t>
        </is>
      </c>
      <c r="D3783" t="inlineStr">
        <is>
          <t>Công Ty TNHH Therm- X System Việt Nam Technology</t>
        </is>
      </c>
      <c r="E3783" t="inlineStr">
        <is>
          <t>Thương lượng</t>
        </is>
      </c>
      <c r="F3783" t="inlineStr">
        <is>
          <t>Hồ Chí Minh</t>
        </is>
      </c>
      <c r="G3783" t="inlineStr">
        <is>
          <t>Nhân viên</t>
        </is>
      </c>
      <c r="H3783" t="inlineStr">
        <is>
          <t>26/02/2026</t>
        </is>
      </c>
      <c r="I3783" t="inlineStr">
        <is>
          <t>28/03/2026</t>
        </is>
      </c>
      <c r="J3783" t="inlineStr">
        <is>
          <t>17/03/2026</t>
        </is>
      </c>
      <c r="K3783" t="inlineStr">
        <is>
          <t>N/A</t>
        </is>
      </c>
      <c r="L3783" t="inlineStr">
        <is>
          <t>Mechanical Engineering, Cost Estimation, Technical Drawing, Excel Skills, Inventor Software</t>
        </is>
      </c>
      <c r="M3783" t="inlineStr">
        <is>
          <t>Bonus, Healthcare Plan, Paid Leave, Training, Team Activities, Others</t>
        </is>
      </c>
      <c r="N3783" s="8">
        <f>HYPERLINK("https://www.vietnamworks.com/mechanical-engineer-costing-2014377-jv","Xem chi tiết")</f>
        <v/>
      </c>
    </row>
    <row r="3784">
      <c r="B3784" s="9" t="n">
        <v>3782</v>
      </c>
      <c r="C3784" s="10" t="inlineStr">
        <is>
          <t>Material Control (Indonesia Business Trip Required)</t>
        </is>
      </c>
      <c r="D3784" s="10" t="inlineStr">
        <is>
          <t>VINFAST TRADING AND PRODUCTION JSC</t>
        </is>
      </c>
      <c r="E3784" s="10" t="inlineStr">
        <is>
          <t>$$ 1,000-2,000 /tháng</t>
        </is>
      </c>
      <c r="F3784" s="10" t="inlineStr">
        <is>
          <t>Hải Phòng, Hà Nội</t>
        </is>
      </c>
      <c r="G3784" s="10" t="inlineStr">
        <is>
          <t>Nhân viên</t>
        </is>
      </c>
      <c r="H3784" s="10" t="inlineStr">
        <is>
          <t>26/02/2026</t>
        </is>
      </c>
      <c r="I3784" s="10" t="inlineStr">
        <is>
          <t>28/03/2026</t>
        </is>
      </c>
      <c r="J3784" s="10" t="inlineStr">
        <is>
          <t>17/03/2026</t>
        </is>
      </c>
      <c r="K3784" s="10" t="inlineStr">
        <is>
          <t>N/A</t>
        </is>
      </c>
      <c r="L3784" s="10" t="inlineStr">
        <is>
          <t>BOM Control, Inventory, SAP</t>
        </is>
      </c>
      <c r="M3784" s="10" t="inlineStr">
        <is>
          <t>Bonus, Healthcare Plan, Travel Opportunities</t>
        </is>
      </c>
      <c r="N3784" s="11">
        <f>HYPERLINK("https://www.vietnamworks.com/material-control-indonesia-business-trip-required-2014387-jv","Xem chi tiết")</f>
        <v/>
      </c>
      <c r="O3784" s="10" t="n"/>
    </row>
    <row r="3785">
      <c r="B3785" s="7" t="n">
        <v>3783</v>
      </c>
      <c r="C3785" t="inlineStr">
        <is>
          <t>Sales Executive (Kênh Phân Phối)</t>
        </is>
      </c>
      <c r="D3785" t="inlineStr">
        <is>
          <t>Phuc Giang Company Limited/ Công Ty TNHH Phúc Giang</t>
        </is>
      </c>
      <c r="E3785" t="inlineStr">
        <is>
          <t>13tr-15tr ₫/tháng</t>
        </is>
      </c>
      <c r="F3785" t="inlineStr">
        <is>
          <t>Hà Nội, Đà Nẵng, Hồ Chí Minh</t>
        </is>
      </c>
      <c r="G3785" t="inlineStr">
        <is>
          <t>Nhân viên</t>
        </is>
      </c>
      <c r="H3785" t="inlineStr">
        <is>
          <t>26/02/2026</t>
        </is>
      </c>
      <c r="I3785" t="inlineStr">
        <is>
          <t>28/03/2026</t>
        </is>
      </c>
      <c r="J3785" t="inlineStr">
        <is>
          <t>17/03/2026</t>
        </is>
      </c>
      <c r="K3785" t="inlineStr">
        <is>
          <t>N/A</t>
        </is>
      </c>
      <c r="L3785" t="inlineStr">
        <is>
          <t>Communication Skills, Excel Proficiency, Negotiation Skills, Vendor Relationship Management</t>
        </is>
      </c>
      <c r="M3785" t="inlineStr">
        <is>
          <t>Bonus, Healthcare Plan, Laptop, Travel Opportunities, Team Activities, Others</t>
        </is>
      </c>
      <c r="N3785" s="8">
        <f>HYPERLINK("https://www.vietnamworks.com/sales-executive-kenh-phan-phoi-2014393-jv","Xem chi tiết")</f>
        <v/>
      </c>
    </row>
    <row r="3786">
      <c r="B3786" s="9" t="n">
        <v>3784</v>
      </c>
      <c r="C3786" s="10" t="inlineStr">
        <is>
          <t>Trợ Lý Tổng Giám Đốc (Mảng Hospitality)</t>
        </is>
      </c>
      <c r="D3786" s="10" t="inlineStr">
        <is>
          <t>CÔNG TY CỔ PHẦN UNIK XANH</t>
        </is>
      </c>
      <c r="E3786" s="10" t="inlineStr">
        <is>
          <t>Thương lượng</t>
        </is>
      </c>
      <c r="F3786" s="10" t="inlineStr">
        <is>
          <t>Hà Nội</t>
        </is>
      </c>
      <c r="G3786" s="10" t="inlineStr">
        <is>
          <t>Nhân viên</t>
        </is>
      </c>
      <c r="H3786" s="10" t="inlineStr">
        <is>
          <t>26/02/2026</t>
        </is>
      </c>
      <c r="I3786" s="10" t="inlineStr">
        <is>
          <t>28/03/2026</t>
        </is>
      </c>
      <c r="J3786" s="10" t="inlineStr">
        <is>
          <t>17/03/2026</t>
        </is>
      </c>
      <c r="K3786" s="10" t="inlineStr">
        <is>
          <t>N/A</t>
        </is>
      </c>
      <c r="L3786" s="10" t="inlineStr">
        <is>
          <t>Assistant, business analyst, Corporate Governance, Strategic Analysis</t>
        </is>
      </c>
      <c r="M3786" s="10" t="inlineStr">
        <is>
          <t>Bonus, Healthcare Plan, Training, Others</t>
        </is>
      </c>
      <c r="N3786" s="11">
        <f>HYPERLINK("https://www.vietnamworks.com/tro-ly-tong-giam-djoc-mang-hospitality-2014392-jv","Xem chi tiết")</f>
        <v/>
      </c>
      <c r="O3786" s="10" t="n"/>
    </row>
    <row r="3787">
      <c r="B3787" s="7" t="n">
        <v>3785</v>
      </c>
      <c r="C3787" t="inlineStr">
        <is>
          <t>Nhân Viên Kinh Doanh Xuất Khẩu</t>
        </is>
      </c>
      <c r="D3787" t="inlineStr">
        <is>
          <t>Công Ty Cổ Phần Thép Nam Kim</t>
        </is>
      </c>
      <c r="E3787" t="inlineStr">
        <is>
          <t>$$ 500-1,000 /tháng</t>
        </is>
      </c>
      <c r="F3787" t="inlineStr">
        <is>
          <t>Hồ Chí Minh</t>
        </is>
      </c>
      <c r="G3787" t="inlineStr">
        <is>
          <t>Nhân viên</t>
        </is>
      </c>
      <c r="H3787" t="inlineStr">
        <is>
          <t>26/02/2026</t>
        </is>
      </c>
      <c r="I3787" t="inlineStr">
        <is>
          <t>28/03/2026</t>
        </is>
      </c>
      <c r="J3787" t="inlineStr">
        <is>
          <t>17/03/2026</t>
        </is>
      </c>
      <c r="K3787" t="inlineStr">
        <is>
          <t>N/A</t>
        </is>
      </c>
      <c r="L3787" t="inlineStr">
        <is>
          <t>Kinh Doanh Quốc Tế, Kinh Doanh</t>
        </is>
      </c>
      <c r="M3787" t="inlineStr">
        <is>
          <t>Bonus, Healthcare Plan, Training</t>
        </is>
      </c>
      <c r="N3787" s="8">
        <f>HYPERLINK("https://www.vietnamworks.com/nhan-vien-kinh-doanh-xuat-khau--2014380-jv","Xem chi tiết")</f>
        <v/>
      </c>
    </row>
    <row r="3788">
      <c r="B3788" s="9" t="n">
        <v>3786</v>
      </c>
      <c r="C3788" s="10" t="inlineStr">
        <is>
          <t>Kỹ Sư Cơ Khí - Thiết Kế Máy</t>
        </is>
      </c>
      <c r="D3788" s="10" t="inlineStr">
        <is>
          <t>Công Ty TNHH Thiên Niên Việt TNV</t>
        </is>
      </c>
      <c r="E3788" s="10" t="inlineStr">
        <is>
          <t>15tr-25tr ₫/tháng</t>
        </is>
      </c>
      <c r="F3788" s="10" t="inlineStr">
        <is>
          <t>Bắc Ninh</t>
        </is>
      </c>
      <c r="G3788" s="10" t="inlineStr">
        <is>
          <t>Nhân viên</t>
        </is>
      </c>
      <c r="H3788" s="10" t="inlineStr">
        <is>
          <t>26/02/2026</t>
        </is>
      </c>
      <c r="I3788" s="10" t="inlineStr">
        <is>
          <t>28/03/2026</t>
        </is>
      </c>
      <c r="J3788" s="10" t="inlineStr">
        <is>
          <t>17/03/2026</t>
        </is>
      </c>
      <c r="K3788" s="10" t="inlineStr">
        <is>
          <t>N/A</t>
        </is>
      </c>
      <c r="L3788" s="10" t="inlineStr">
        <is>
          <t>Thiết Kế Cơ Khí, Quản Lý Dự Án, Phần Mềm 2D, Chế Tạo Máy, Cơ Khí</t>
        </is>
      </c>
      <c r="M3788" s="10" t="inlineStr">
        <is>
          <t>Bonus, Healthcare Plan, Training</t>
        </is>
      </c>
      <c r="N3788" s="11">
        <f>HYPERLINK("https://www.vietnamworks.com/ky-su-co-khi-thiet-ke-may-2014388-jv","Xem chi tiết")</f>
        <v/>
      </c>
      <c r="O3788" s="10" t="n"/>
    </row>
    <row r="3789">
      <c r="B3789" s="7" t="n">
        <v>3787</v>
      </c>
      <c r="C3789" t="inlineStr">
        <is>
          <t>Trưởng Phòng Kinh Doanh Thực Phẩm Upto 25 Triệu</t>
        </is>
      </c>
      <c r="D3789" t="inlineStr">
        <is>
          <t>CÔNG TY TNHH THỰC PHẨM SẠCH ABC</t>
        </is>
      </c>
      <c r="E3789" t="inlineStr">
        <is>
          <t>20tr-25tr ₫/tháng</t>
        </is>
      </c>
      <c r="F3789" t="inlineStr">
        <is>
          <t>Hà Nội</t>
        </is>
      </c>
      <c r="G3789" t="inlineStr">
        <is>
          <t>Trưởng phòng</t>
        </is>
      </c>
      <c r="H3789" t="inlineStr">
        <is>
          <t>26/02/2026</t>
        </is>
      </c>
      <c r="I3789" t="inlineStr">
        <is>
          <t>28/03/2026</t>
        </is>
      </c>
      <c r="J3789" t="inlineStr">
        <is>
          <t>17/03/2026</t>
        </is>
      </c>
      <c r="K3789" t="inlineStr">
        <is>
          <t>N/A</t>
        </is>
      </c>
      <c r="L3789" t="inlineStr">
        <is>
          <t>Lập Kế Hoạch, Đàm Phán Thương Thuyết, Quản Lý Đội Nhóm, Phân Tích Kinh Doanh, Quản Lý Kinh Doanh</t>
        </is>
      </c>
      <c r="M3789" t="inlineStr">
        <is>
          <t>Bonus, Healthcare Plan, Training, Team Activities</t>
        </is>
      </c>
      <c r="N3789" s="8">
        <f>HYPERLINK("https://www.vietnamworks.com/truong-phong-kinh-doanh-thuc-pham-upto-25-trieu-2014395-jv","Xem chi tiết")</f>
        <v/>
      </c>
    </row>
    <row r="3790">
      <c r="B3790" s="9" t="n">
        <v>3788</v>
      </c>
      <c r="C3790" s="10" t="inlineStr">
        <is>
          <t>Sales Executive Ưu Tiên Ứng Viên Ngành Tài Chính, Chứng Khoán, Trái Phiếu (Lương Upto 30M /month)</t>
        </is>
      </c>
      <c r="D3790" s="10" t="inlineStr">
        <is>
          <t>BlockBase Private Capital SPC</t>
        </is>
      </c>
      <c r="E3790" s="10" t="inlineStr">
        <is>
          <t>$$ 500-1,000 /tháng</t>
        </is>
      </c>
      <c r="F3790" s="10" t="inlineStr">
        <is>
          <t>Hồ Chí Minh</t>
        </is>
      </c>
      <c r="G3790" s="10" t="inlineStr">
        <is>
          <t>Nhân viên</t>
        </is>
      </c>
      <c r="H3790" s="10" t="inlineStr">
        <is>
          <t>26/02/2026</t>
        </is>
      </c>
      <c r="I3790" s="10" t="inlineStr">
        <is>
          <t>28/03/2026</t>
        </is>
      </c>
      <c r="J3790" s="10" t="inlineStr">
        <is>
          <t>17/03/2026</t>
        </is>
      </c>
      <c r="K3790" s="10" t="inlineStr">
        <is>
          <t>N/A</t>
        </is>
      </c>
      <c r="L3790" s="10" t="inlineStr">
        <is>
          <t>Đầu Tư Trái Phiếu, Tư Vấn Đầu Tư, Tư Vấn Trái Phiếu, Kinh Doanh Trái Phiếu, Chứng Khoán</t>
        </is>
      </c>
      <c r="M3790" s="10" t="inlineStr">
        <is>
          <t>Bonus, Paid Leave, Team Activities</t>
        </is>
      </c>
      <c r="N3790" s="11">
        <f>HYPERLINK("https://www.vietnamworks.com/sales-executive-uu-tien-ung-vien-nganh-tai-chinh-chung-khoan-trai-phieu-luong-upto-30m-month--2014396-jv","Xem chi tiết")</f>
        <v/>
      </c>
      <c r="O3790" s="10" t="n"/>
    </row>
    <row r="3791">
      <c r="B3791" s="7" t="n">
        <v>3789</v>
      </c>
      <c r="C3791" t="inlineStr">
        <is>
          <t>Kỹ Sư Thiết Kế Cơ Khí (Mảng Lò Hơi &amp; Nhiệt Lạnh)</t>
        </is>
      </c>
      <c r="D3791" t="inlineStr">
        <is>
          <t>Công Ty TNHH Thương Mại Sản Xuất Lò Hơi Tầng Sôi 3E</t>
        </is>
      </c>
      <c r="E3791" t="inlineStr">
        <is>
          <t>10tr-15tr ₫/tháng</t>
        </is>
      </c>
      <c r="F3791" t="inlineStr">
        <is>
          <t>Bình Dương</t>
        </is>
      </c>
      <c r="G3791" t="inlineStr">
        <is>
          <t>Nhân viên</t>
        </is>
      </c>
      <c r="H3791" t="inlineStr">
        <is>
          <t>26/02/2026</t>
        </is>
      </c>
      <c r="I3791" t="inlineStr">
        <is>
          <t>28/03/2026</t>
        </is>
      </c>
      <c r="J3791" t="inlineStr">
        <is>
          <t>17/03/2026</t>
        </is>
      </c>
      <c r="K3791" t="inlineStr">
        <is>
          <t>N/A</t>
        </is>
      </c>
      <c r="L3791" t="inlineStr">
        <is>
          <t>SolidWorks, Bóc Tách Vật Tư, Thiết Kế Cơ Khí, Thiết kế lò hơi, Pressure Vessel</t>
        </is>
      </c>
      <c r="M3791" t="inlineStr">
        <is>
          <t>Bonus, Healthcare Plan, Training, Awards, Transportation, Others</t>
        </is>
      </c>
      <c r="N3791" s="8">
        <f>HYPERLINK("https://www.vietnamworks.com/ky-su-thiet-ke-co-khi-mang-lo-hoi-and-nhiet-lanh-2014404-jv","Xem chi tiết")</f>
        <v/>
      </c>
    </row>
    <row r="3792">
      <c r="B3792" s="9" t="n">
        <v>3790</v>
      </c>
      <c r="C3792" s="10" t="inlineStr">
        <is>
          <t>Kỹ Sư Thi Công &amp; Lắp Đặt Hệ Thống Điện</t>
        </is>
      </c>
      <c r="D3792" s="10" t="inlineStr">
        <is>
          <t>Công Ty TNHH Thương Mại Sản Xuất Lò Hơi Tầng Sôi 3E</t>
        </is>
      </c>
      <c r="E3792" s="10" t="inlineStr">
        <is>
          <t>10tr-15tr ₫/tháng</t>
        </is>
      </c>
      <c r="F3792" s="10" t="inlineStr">
        <is>
          <t>Bình Dương</t>
        </is>
      </c>
      <c r="G3792" s="10" t="inlineStr">
        <is>
          <t>Nhân viên</t>
        </is>
      </c>
      <c r="H3792" s="10" t="inlineStr">
        <is>
          <t>26/02/2026</t>
        </is>
      </c>
      <c r="I3792" s="10" t="inlineStr">
        <is>
          <t>28/03/2026</t>
        </is>
      </c>
      <c r="J3792" s="10" t="inlineStr">
        <is>
          <t>17/03/2026</t>
        </is>
      </c>
      <c r="K3792" s="10" t="inlineStr">
        <is>
          <t>N/A</t>
        </is>
      </c>
      <c r="L3792" s="10" t="inlineStr">
        <is>
          <t>Lắp Tủ Điện, Thi Công Điện, Điện Công Nghiệp, Giám Sát Công Trình</t>
        </is>
      </c>
      <c r="M3792" s="10" t="inlineStr">
        <is>
          <t>Bonus, Healthcare Plan, Awards, Others</t>
        </is>
      </c>
      <c r="N3792" s="11">
        <f>HYPERLINK("https://www.vietnamworks.com/ky-su-thi-cong-and-lap-djat-he-thong-djien-2014402-jv","Xem chi tiết")</f>
        <v/>
      </c>
      <c r="O3792" s="10" t="n"/>
    </row>
    <row r="3793">
      <c r="B3793" s="7" t="n">
        <v>3791</v>
      </c>
      <c r="C3793" t="inlineStr">
        <is>
          <t>Leasing Planning Officer (HCM Head Office - 537)</t>
        </is>
      </c>
      <c r="D3793" t="inlineStr">
        <is>
          <t>AEONMALL Vietnam Co., Ltd.</t>
        </is>
      </c>
      <c r="E3793" t="inlineStr">
        <is>
          <t>$$ 350-550 /tháng</t>
        </is>
      </c>
      <c r="F3793" t="inlineStr">
        <is>
          <t>Hồ Chí Minh</t>
        </is>
      </c>
      <c r="G3793" t="inlineStr">
        <is>
          <t>Nhân viên</t>
        </is>
      </c>
      <c r="H3793" t="inlineStr">
        <is>
          <t>26/02/2026</t>
        </is>
      </c>
      <c r="I3793" t="inlineStr">
        <is>
          <t>28/03/2026</t>
        </is>
      </c>
      <c r="J3793" t="inlineStr">
        <is>
          <t>17/03/2026</t>
        </is>
      </c>
      <c r="K3793" t="inlineStr">
        <is>
          <t>N/A</t>
        </is>
      </c>
      <c r="L3793" t="inlineStr">
        <is>
          <t>Market Research, Presentation Skills, Data Analysis, Retail Leasing, Brand Communication Development</t>
        </is>
      </c>
      <c r="M3793" t="inlineStr">
        <is>
          <t>Healthcare Plan, Training, Others</t>
        </is>
      </c>
      <c r="N3793" s="8">
        <f>HYPERLINK("https://www.vietnamworks.com/leasing-planning-officer-hcm-head-office-537--2014379-jv","Xem chi tiết")</f>
        <v/>
      </c>
    </row>
    <row r="3794">
      <c r="B3794" s="9" t="n">
        <v>3792</v>
      </c>
      <c r="C3794" s="10" t="inlineStr">
        <is>
          <t>Nhân Viên Ngân Sách Dự Toán</t>
        </is>
      </c>
      <c r="D3794" s="10" t="inlineStr">
        <is>
          <t>Công Ty Cổ Phần Vinhomes</t>
        </is>
      </c>
      <c r="E3794" s="10" t="inlineStr">
        <is>
          <t>Thương lượng</t>
        </is>
      </c>
      <c r="F3794" s="10" t="inlineStr">
        <is>
          <t>Hà Nội</t>
        </is>
      </c>
      <c r="G3794" s="10" t="inlineStr">
        <is>
          <t>Nhân viên</t>
        </is>
      </c>
      <c r="H3794" s="10" t="inlineStr">
        <is>
          <t>26/02/2026</t>
        </is>
      </c>
      <c r="I3794" s="10" t="inlineStr">
        <is>
          <t>28/03/2026</t>
        </is>
      </c>
      <c r="J3794" s="10" t="inlineStr">
        <is>
          <t>17/03/2026</t>
        </is>
      </c>
      <c r="K3794" s="10" t="inlineStr">
        <is>
          <t>N/A</t>
        </is>
      </c>
      <c r="L3794" s="10" t="inlineStr">
        <is>
          <t>Kinh Tế Xây Dựng, Dự Toán Ngân Sách, Quản Lý Phân Bổ Ngân Sách, Costing, Xây Dựng Ngân Sách</t>
        </is>
      </c>
      <c r="M3794" s="10" t="inlineStr">
        <is>
          <t>Bonus, Healthcare Plan, Training</t>
        </is>
      </c>
      <c r="N3794" s="11">
        <f>HYPERLINK("https://www.vietnamworks.com/nhan-vien-ngan-sach-du-toan--2014376-jv","Xem chi tiết")</f>
        <v/>
      </c>
      <c r="O3794" s="10" t="n"/>
    </row>
    <row r="3795">
      <c r="B3795" s="7" t="n">
        <v>3793</v>
      </c>
      <c r="C3795" t="inlineStr">
        <is>
          <t>Chỉ Huy Trưởng</t>
        </is>
      </c>
      <c r="D3795" t="inlineStr">
        <is>
          <t>Công Ty Cổ Phần Việt Mỹ. Group</t>
        </is>
      </c>
      <c r="E3795" t="inlineStr">
        <is>
          <t>Thương lượng</t>
        </is>
      </c>
      <c r="F3795" t="inlineStr">
        <is>
          <t>Hòa Bình, Phú Thọ</t>
        </is>
      </c>
      <c r="G3795" t="inlineStr">
        <is>
          <t>Trưởng phòng</t>
        </is>
      </c>
      <c r="H3795" t="inlineStr">
        <is>
          <t>26/02/2026</t>
        </is>
      </c>
      <c r="I3795" t="inlineStr">
        <is>
          <t>28/03/2026</t>
        </is>
      </c>
      <c r="J3795" t="inlineStr">
        <is>
          <t>17/03/2026</t>
        </is>
      </c>
      <c r="K3795" t="inlineStr">
        <is>
          <t>N/A</t>
        </is>
      </c>
      <c r="L3795" t="inlineStr">
        <is>
          <t>Quản Lý Thi Công, Kiểm Soát Chất Lượng, Phần Mềm CAD, Autocad, Thi Công Công Trình</t>
        </is>
      </c>
      <c r="M3795" t="inlineStr">
        <is>
          <t>Bonus, Awards, Transportation, Others</t>
        </is>
      </c>
      <c r="N3795" s="8">
        <f>HYPERLINK("https://www.vietnamworks.com/chi-huy-truong-2014391-jv","Xem chi tiết")</f>
        <v/>
      </c>
    </row>
    <row r="3796">
      <c r="B3796" s="9" t="n">
        <v>3794</v>
      </c>
      <c r="C3796" s="10" t="inlineStr">
        <is>
          <t>Quản Lý Sản Xuất</t>
        </is>
      </c>
      <c r="D3796" s="10" t="inlineStr">
        <is>
          <t>Công Ty TNHH Yoshino Denka Kogyo Việt Nam</t>
        </is>
      </c>
      <c r="E3796" s="10" t="inlineStr">
        <is>
          <t>Tới 30tr ₫/tháng</t>
        </is>
      </c>
      <c r="F3796" s="10" t="inlineStr">
        <is>
          <t>Hải Phòng</t>
        </is>
      </c>
      <c r="G3796" s="10" t="inlineStr">
        <is>
          <t>Trưởng phòng</t>
        </is>
      </c>
      <c r="H3796" s="10" t="inlineStr">
        <is>
          <t>26/02/2026</t>
        </is>
      </c>
      <c r="I3796" s="10" t="inlineStr">
        <is>
          <t>28/03/2026</t>
        </is>
      </c>
      <c r="J3796" s="10" t="inlineStr">
        <is>
          <t>17/03/2026</t>
        </is>
      </c>
      <c r="K3796" s="10" t="inlineStr">
        <is>
          <t>N/A</t>
        </is>
      </c>
      <c r="L3796" s="10" t="inlineStr">
        <is>
          <t>Quản Lý Sản Xuất, ISO 9001, 7 QC Tools, Tiếng Nhật, Tiếng Anh</t>
        </is>
      </c>
      <c r="M3796" s="10" t="inlineStr">
        <is>
          <t>Bonus, Healthcare Plan, Travel Opportunities, Team Activities, Others</t>
        </is>
      </c>
      <c r="N3796" s="11">
        <f>HYPERLINK("https://www.vietnamworks.com/quan-ly-san-xuat-2014382-jv","Xem chi tiết")</f>
        <v/>
      </c>
      <c r="O3796" s="10" t="n"/>
    </row>
    <row r="3797">
      <c r="B3797" s="7" t="n">
        <v>3795</v>
      </c>
      <c r="C3797" t="inlineStr">
        <is>
          <t>Supply Chain Analyst</t>
        </is>
      </c>
      <c r="D3797" t="inlineStr">
        <is>
          <t>Vietnam Agribusiness Limited (VAL)</t>
        </is>
      </c>
      <c r="E3797" t="inlineStr">
        <is>
          <t>Thương lượng</t>
        </is>
      </c>
      <c r="F3797" t="inlineStr">
        <is>
          <t>Bà Rịa - Vũng Tàu, Hồ Chí Minh</t>
        </is>
      </c>
      <c r="G3797" t="inlineStr">
        <is>
          <t>Nhân viên</t>
        </is>
      </c>
      <c r="H3797" t="inlineStr">
        <is>
          <t>26/02/2026</t>
        </is>
      </c>
      <c r="I3797" t="inlineStr">
        <is>
          <t>28/03/2026</t>
        </is>
      </c>
      <c r="J3797" t="inlineStr">
        <is>
          <t>17/03/2026</t>
        </is>
      </c>
      <c r="K3797" t="inlineStr">
        <is>
          <t>N/A</t>
        </is>
      </c>
      <c r="L3797" t="inlineStr">
        <is>
          <t>International Trade Agreements, Logistic, Operation Planning, Supply Chain, Incoterm Knowledge</t>
        </is>
      </c>
      <c r="M3797" t="inlineStr">
        <is>
          <t>Bonus, Healthcare Plan, Paid Leave, Training, Mobile, Team Activities, Others</t>
        </is>
      </c>
      <c r="N3797" s="8">
        <f>HYPERLINK("https://www.vietnamworks.com/supply-chain-analyst-2014381-jv","Xem chi tiết")</f>
        <v/>
      </c>
    </row>
    <row r="3798">
      <c r="B3798" s="9" t="n">
        <v>3796</v>
      </c>
      <c r="C3798" s="10" t="inlineStr">
        <is>
          <t>Branch Manager in Ha Noi</t>
        </is>
      </c>
      <c r="D3798" s="10" t="inlineStr">
        <is>
          <t>Phuc Giang Company Limited/ Công Ty TNHH Phúc Giang</t>
        </is>
      </c>
      <c r="E3798" s="10" t="inlineStr">
        <is>
          <t>Thương lượng</t>
        </is>
      </c>
      <c r="F3798" s="10" t="inlineStr">
        <is>
          <t>Hà Nội</t>
        </is>
      </c>
      <c r="G3798" s="10" t="inlineStr">
        <is>
          <t>Trưởng phòng</t>
        </is>
      </c>
      <c r="H3798" s="10" t="inlineStr">
        <is>
          <t>26/02/2026</t>
        </is>
      </c>
      <c r="I3798" s="10" t="inlineStr">
        <is>
          <t>28/03/2026</t>
        </is>
      </c>
      <c r="J3798" s="10" t="inlineStr">
        <is>
          <t>17/03/2026</t>
        </is>
      </c>
      <c r="K3798" s="10" t="inlineStr">
        <is>
          <t>N/A</t>
        </is>
      </c>
      <c r="L3798" s="10" t="inlineStr">
        <is>
          <t>Business Administration, Data Analytics, Leadership, MS Office, Sales Management</t>
        </is>
      </c>
      <c r="M3798" s="10" t="inlineStr">
        <is>
          <t>Bonus, Healthcare Plan, Laptop, Travel Opportunities, Team Activities, Others</t>
        </is>
      </c>
      <c r="N3798" s="11">
        <f>HYPERLINK("https://www.vietnamworks.com/branch-manager-in-ha-noi-2014390-jv","Xem chi tiết")</f>
        <v/>
      </c>
      <c r="O3798" s="10" t="n"/>
    </row>
    <row r="3799">
      <c r="B3799" s="7" t="n">
        <v>3797</v>
      </c>
      <c r="C3799" t="inlineStr">
        <is>
          <t>Spa Manager/ Quản Lý Spa Cao Cấp</t>
        </is>
      </c>
      <c r="D3799" t="inlineStr">
        <is>
          <t>Công Ty TNHH Quốc Tế Amedila</t>
        </is>
      </c>
      <c r="E3799" t="inlineStr">
        <is>
          <t>Thương lượng</t>
        </is>
      </c>
      <c r="F3799" t="inlineStr">
        <is>
          <t>Hải Phòng</t>
        </is>
      </c>
      <c r="G3799" t="inlineStr">
        <is>
          <t>Nhân viên</t>
        </is>
      </c>
      <c r="H3799" t="inlineStr">
        <is>
          <t>26/02/2026</t>
        </is>
      </c>
      <c r="I3799" t="inlineStr">
        <is>
          <t>28/03/2026</t>
        </is>
      </c>
      <c r="J3799" t="inlineStr">
        <is>
          <t>17/03/2026</t>
        </is>
      </c>
      <c r="K3799" t="inlineStr">
        <is>
          <t>N/A</t>
        </is>
      </c>
      <c r="L3799" t="inlineStr">
        <is>
          <t>Thẩm Mỹ Làm Đẹp, Quản Lý Spa, Tin Học Văn Phòng, Giao tiếp, Chăm Sóc Khách Hàng</t>
        </is>
      </c>
      <c r="M3799" t="inlineStr">
        <is>
          <t>Bonus, Healthcare Plan, Others</t>
        </is>
      </c>
      <c r="N3799" s="8">
        <f>HYPERLINK("https://www.vietnamworks.com/spa-manager-quan-ly-spa-cao-cap-2014403-jv","Xem chi tiết")</f>
        <v/>
      </c>
    </row>
    <row r="3800">
      <c r="B3800" s="9" t="n">
        <v>3798</v>
      </c>
      <c r="C3800" s="10" t="inlineStr">
        <is>
          <t>Phó Phòng Hành Chính - Up 50M</t>
        </is>
      </c>
      <c r="D3800" s="10" t="inlineStr">
        <is>
          <t>Thời Trang Adidas - Công Ty Cổ Phần Đầu Tư Thương Mại Phượng Hoàng</t>
        </is>
      </c>
      <c r="E3800" s="10" t="inlineStr">
        <is>
          <t>$$ 1,500-2,000 /tháng</t>
        </is>
      </c>
      <c r="F3800" s="10" t="inlineStr">
        <is>
          <t>Hà Nội</t>
        </is>
      </c>
      <c r="G3800" s="10" t="inlineStr">
        <is>
          <t>Trưởng phòng</t>
        </is>
      </c>
      <c r="H3800" s="10" t="inlineStr">
        <is>
          <t>26/02/2026</t>
        </is>
      </c>
      <c r="I3800" s="10" t="inlineStr">
        <is>
          <t>28/03/2026</t>
        </is>
      </c>
      <c r="J3800" s="10" t="inlineStr">
        <is>
          <t>17/03/2026</t>
        </is>
      </c>
      <c r="K3800" s="10" t="inlineStr">
        <is>
          <t>N/A</t>
        </is>
      </c>
      <c r="L3800" s="10" t="inlineStr">
        <is>
          <t>Hành Chính Pháp Lý, Hành chính văn phòng, Làm Việc Nhóm, Logistic, Quản Lý Tài Sản</t>
        </is>
      </c>
      <c r="M3800" s="10" t="inlineStr">
        <is>
          <t>Paid Leave, Laptop, Team Activities, Others</t>
        </is>
      </c>
      <c r="N3800" s="11">
        <f>HYPERLINK("https://www.vietnamworks.com/pho-phong-hanh-chinh-up-50m-2014397-jv","Xem chi tiết")</f>
        <v/>
      </c>
      <c r="O3800" s="10" t="n"/>
    </row>
    <row r="3801">
      <c r="B3801" s="7" t="n">
        <v>3799</v>
      </c>
      <c r="C3801" t="inlineStr">
        <is>
          <t>Nhân viên C&amp;B</t>
        </is>
      </c>
      <c r="D3801" t="inlineStr">
        <is>
          <t>Asiafoods Corporation</t>
        </is>
      </c>
      <c r="E3801" t="inlineStr">
        <is>
          <t>Thương lượng</t>
        </is>
      </c>
      <c r="F3801" t="inlineStr">
        <is>
          <t>Bình Dương</t>
        </is>
      </c>
      <c r="G3801" t="inlineStr">
        <is>
          <t>Nhân viên</t>
        </is>
      </c>
      <c r="H3801" t="inlineStr">
        <is>
          <t>26/02/2026</t>
        </is>
      </c>
      <c r="I3801" t="inlineStr">
        <is>
          <t>28/03/2026</t>
        </is>
      </c>
      <c r="J3801" t="inlineStr">
        <is>
          <t>17/03/2026</t>
        </is>
      </c>
      <c r="K3801" t="inlineStr">
        <is>
          <t>N/A</t>
        </is>
      </c>
      <c r="L3801" t="inlineStr">
        <is>
          <t>Báo Cáo Tổng Hợp, Kỹ Năng Excel, Luật Bảo Hiểm, Lương &amp; Phúc lợi</t>
        </is>
      </c>
      <c r="M3801" t="inlineStr">
        <is>
          <t>Training, Laptop, Canteen</t>
        </is>
      </c>
      <c r="N3801" s="8">
        <f>HYPERLINK("https://www.vietnamworks.com/nhan-vien-candb-2014384-jv","Xem chi tiết")</f>
        <v/>
      </c>
    </row>
    <row r="3802">
      <c r="B3802" s="9" t="n">
        <v>3800</v>
      </c>
      <c r="C3802" s="10" t="inlineStr">
        <is>
          <t>Nhân Viên Sales Ngành Xuất Khẩu Nông Sản (Export Sales Staff)</t>
        </is>
      </c>
      <c r="D3802" s="10" t="inlineStr">
        <is>
          <t>Agrinuts Vietnam Trading Co., Ltd</t>
        </is>
      </c>
      <c r="E3802" s="10" t="inlineStr">
        <is>
          <t>9tr-100tr ₫/tháng</t>
        </is>
      </c>
      <c r="F3802" s="10" t="inlineStr">
        <is>
          <t>Hồ Chí Minh</t>
        </is>
      </c>
      <c r="G3802" s="10" t="inlineStr">
        <is>
          <t>Nhân viên</t>
        </is>
      </c>
      <c r="H3802" s="10" t="inlineStr">
        <is>
          <t>26/02/2026</t>
        </is>
      </c>
      <c r="I3802" s="10" t="inlineStr">
        <is>
          <t>28/03/2026</t>
        </is>
      </c>
      <c r="J3802" s="10" t="inlineStr">
        <is>
          <t>17/03/2026</t>
        </is>
      </c>
      <c r="K3802" s="10" t="inlineStr">
        <is>
          <t>N/A</t>
        </is>
      </c>
      <c r="L3802" s="10" t="inlineStr">
        <is>
          <t>Kỹ năng giao tiếp, Kỹ năng đàm phán, Làm Việc Nhóm, Thu Mua Nông Sản, Thương Mại Xuất Khẩu</t>
        </is>
      </c>
      <c r="M3802" s="10" t="inlineStr">
        <is>
          <t>Bonus, Training, Team Activities, Others</t>
        </is>
      </c>
      <c r="N3802" s="11">
        <f>HYPERLINK("https://www.vietnamworks.com/nhan-vien-sales-nganh-xuat-khau-nong-san-export-sales-staff-2014409-jv","Xem chi tiết")</f>
        <v/>
      </c>
      <c r="O3802" s="10" t="n"/>
    </row>
    <row r="3803">
      <c r="B3803" s="7" t="n">
        <v>3801</v>
      </c>
      <c r="C3803" t="inlineStr">
        <is>
          <t>Nhân Viên Thiết Kế Điện</t>
        </is>
      </c>
      <c r="D3803" t="inlineStr">
        <is>
          <t>Công ty Cổ phần tư vấn xây dựng điện và thiết bị công nghiệp</t>
        </is>
      </c>
      <c r="E3803" t="inlineStr">
        <is>
          <t>Thương lượng</t>
        </is>
      </c>
      <c r="F3803" t="inlineStr">
        <is>
          <t>Hà Nội</t>
        </is>
      </c>
      <c r="G3803" t="inlineStr">
        <is>
          <t>Nhân viên</t>
        </is>
      </c>
      <c r="H3803" t="inlineStr">
        <is>
          <t>26/02/2026</t>
        </is>
      </c>
      <c r="I3803" t="inlineStr">
        <is>
          <t>28/03/2026</t>
        </is>
      </c>
      <c r="J3803" t="inlineStr">
        <is>
          <t>17/03/2026</t>
        </is>
      </c>
      <c r="K3803" t="inlineStr">
        <is>
          <t>N/A</t>
        </is>
      </c>
      <c r="L3803" t="inlineStr">
        <is>
          <t>Điện, Điện Công Nghiệp, Điện Công Trình, Thiết Kế Điện, AutoCAD</t>
        </is>
      </c>
      <c r="M3803" t="inlineStr">
        <is>
          <t>Bonus, Others</t>
        </is>
      </c>
      <c r="N3803" s="8">
        <f>HYPERLINK("https://www.vietnamworks.com/nhan-vien-thiet-ke-dien--2014422-jv","Xem chi tiết")</f>
        <v/>
      </c>
    </row>
    <row r="3804">
      <c r="B3804" s="9" t="n">
        <v>3802</v>
      </c>
      <c r="C3804" s="10" t="inlineStr">
        <is>
          <t>Sales Merchandiser (Garments Industry)</t>
        </is>
      </c>
      <c r="D3804" s="10" t="inlineStr">
        <is>
          <t>Chi Nhánh Hà Nội - Công Ty TNHH Kiara Garments Việt Nam</t>
        </is>
      </c>
      <c r="E3804" s="10" t="inlineStr">
        <is>
          <t>Thương lượng</t>
        </is>
      </c>
      <c r="F3804" s="10" t="inlineStr">
        <is>
          <t>Hà Nội</t>
        </is>
      </c>
      <c r="G3804" s="10" t="inlineStr">
        <is>
          <t>Nhân viên</t>
        </is>
      </c>
      <c r="H3804" s="10" t="inlineStr">
        <is>
          <t>26/02/2026</t>
        </is>
      </c>
      <c r="I3804" s="10" t="inlineStr">
        <is>
          <t>28/03/2026</t>
        </is>
      </c>
      <c r="J3804" s="10" t="inlineStr">
        <is>
          <t>17/03/2026</t>
        </is>
      </c>
      <c r="K3804" s="10" t="inlineStr">
        <is>
          <t>N/A</t>
        </is>
      </c>
      <c r="L3804" s="10" t="inlineStr">
        <is>
          <t>Fabric Merchandising, Interpersonal skills, Communication Skills, Planning skills, Problem Solving</t>
        </is>
      </c>
      <c r="M3804" s="10" t="inlineStr">
        <is>
          <t>Bonus, Healthcare Plan, Paid Leave, Training, Mobile, Transportation, Canteen, Others</t>
        </is>
      </c>
      <c r="N3804" s="11">
        <f>HYPERLINK("https://www.vietnamworks.com/sales-merchandiser-garments-industry-2014428-jv","Xem chi tiết")</f>
        <v/>
      </c>
      <c r="O3804" s="10" t="n"/>
    </row>
    <row r="3805">
      <c r="B3805" s="7" t="n">
        <v>3803</v>
      </c>
      <c r="C3805" t="inlineStr">
        <is>
          <t>Trưởng Phòng Marketing</t>
        </is>
      </c>
      <c r="D3805" t="inlineStr">
        <is>
          <t>Công Ty TNHH Quốc Tế Amedila</t>
        </is>
      </c>
      <c r="E3805" t="inlineStr">
        <is>
          <t>Thương lượng</t>
        </is>
      </c>
      <c r="F3805" t="inlineStr">
        <is>
          <t>Hải Phòng</t>
        </is>
      </c>
      <c r="G3805" t="inlineStr">
        <is>
          <t>Trưởng phòng</t>
        </is>
      </c>
      <c r="H3805" t="inlineStr">
        <is>
          <t>26/02/2026</t>
        </is>
      </c>
      <c r="I3805" t="inlineStr">
        <is>
          <t>28/03/2026</t>
        </is>
      </c>
      <c r="J3805" t="inlineStr">
        <is>
          <t>17/03/2026</t>
        </is>
      </c>
      <c r="K3805" t="inlineStr">
        <is>
          <t>N/A</t>
        </is>
      </c>
      <c r="L3805" t="inlineStr">
        <is>
          <t>Quản Lý Kinh Doanh, Bán Hàng, Phát Triển Hệ Thống, Quản Trị Đội Ngũ, Thực Phẩm Chức Năng</t>
        </is>
      </c>
      <c r="M3805" t="inlineStr">
        <is>
          <t>Bonus, Healthcare Plan, Others</t>
        </is>
      </c>
      <c r="N3805" s="8">
        <f>HYPERLINK("https://www.vietnamworks.com/truong-phong-marketing--2014420-jv","Xem chi tiết")</f>
        <v/>
      </c>
    </row>
    <row r="3806">
      <c r="B3806" s="9" t="n">
        <v>3804</v>
      </c>
      <c r="C3806" s="10" t="inlineStr">
        <is>
          <t>Kỹ Thuật Viên Gia Công Cơ Khí</t>
        </is>
      </c>
      <c r="D3806" s="10" t="inlineStr">
        <is>
          <t>Ebara Vietnam Pump Company Limited</t>
        </is>
      </c>
      <c r="E3806" s="10" t="inlineStr">
        <is>
          <t>Thương lượng</t>
        </is>
      </c>
      <c r="F3806" s="10" t="inlineStr">
        <is>
          <t>Hải Phòng</t>
        </is>
      </c>
      <c r="G3806" s="10" t="inlineStr">
        <is>
          <t>Nhân viên</t>
        </is>
      </c>
      <c r="H3806" s="10" t="inlineStr">
        <is>
          <t>26/02/2026</t>
        </is>
      </c>
      <c r="I3806" s="10" t="inlineStr">
        <is>
          <t>28/03/2026</t>
        </is>
      </c>
      <c r="J3806" s="10" t="inlineStr">
        <is>
          <t>17/03/2026</t>
        </is>
      </c>
      <c r="K3806" s="10" t="inlineStr">
        <is>
          <t>N/A</t>
        </is>
      </c>
      <c r="L3806" s="10" t="inlineStr">
        <is>
          <t>Cơ khí (hàn cắt, cắt gió đá, hàn tig), Cơ khí (hàn, tiện), Gò Hàn, Gia Công Cơ Khí, CNC</t>
        </is>
      </c>
      <c r="M3806" s="10" t="inlineStr">
        <is>
          <t>Bonus, Healthcare Plan, Paid Leave</t>
        </is>
      </c>
      <c r="N3806" s="11">
        <f>HYPERLINK("https://www.vietnamworks.com/ky-thuat-vien-gia-cong-co-khi--2014427-jv","Xem chi tiết")</f>
        <v/>
      </c>
      <c r="O3806" s="10" t="n"/>
    </row>
    <row r="3807">
      <c r="B3807" s="7" t="n">
        <v>3805</v>
      </c>
      <c r="C3807" t="inlineStr">
        <is>
          <t xml:space="preserve">Technical Store Keeper Cum Maintenance Planner </t>
        </is>
      </c>
      <c r="D3807" t="inlineStr">
        <is>
          <t>La Vie Limited Liability Company</t>
        </is>
      </c>
      <c r="E3807" t="inlineStr">
        <is>
          <t>Thương lượng</t>
        </is>
      </c>
      <c r="F3807" t="inlineStr">
        <is>
          <t>Long An</t>
        </is>
      </c>
      <c r="G3807" t="inlineStr">
        <is>
          <t>Nhân viên</t>
        </is>
      </c>
      <c r="H3807" t="inlineStr">
        <is>
          <t>26/02/2026</t>
        </is>
      </c>
      <c r="I3807" t="inlineStr">
        <is>
          <t>28/03/2026</t>
        </is>
      </c>
      <c r="J3807" t="inlineStr">
        <is>
          <t>17/03/2026</t>
        </is>
      </c>
      <c r="K3807" t="inlineStr">
        <is>
          <t>N/A</t>
        </is>
      </c>
      <c r="L3807" t="inlineStr">
        <is>
          <t>Budgetary Control, Document Management, English Communication, Inventory Management, Technical skills</t>
        </is>
      </c>
      <c r="M3807" t="inlineStr">
        <is>
          <t>Bonus, Healthcare Plan, Training, Awards</t>
        </is>
      </c>
      <c r="N3807" s="8">
        <f>HYPERLINK("https://www.vietnamworks.com/technical-store-keeper-cum-maintenance-planner-2014412-jv","Xem chi tiết")</f>
        <v/>
      </c>
    </row>
    <row r="3808">
      <c r="B3808" s="9" t="n">
        <v>3806</v>
      </c>
      <c r="C3808" s="10" t="inlineStr">
        <is>
          <t>HR &amp; Admin Staff</t>
        </is>
      </c>
      <c r="D3808" s="10" t="inlineStr">
        <is>
          <t>Eq Logis CO., LTD</t>
        </is>
      </c>
      <c r="E3808" s="10" t="inlineStr">
        <is>
          <t>11.5tr-13tr ₫/tháng</t>
        </is>
      </c>
      <c r="F3808" s="10" t="inlineStr">
        <is>
          <t>Hồ Chí Minh</t>
        </is>
      </c>
      <c r="G3808" s="10" t="inlineStr">
        <is>
          <t>Nhân viên</t>
        </is>
      </c>
      <c r="H3808" s="10" t="inlineStr">
        <is>
          <t>26/02/2026</t>
        </is>
      </c>
      <c r="I3808" s="10" t="inlineStr">
        <is>
          <t>28/03/2026</t>
        </is>
      </c>
      <c r="J3808" s="10" t="inlineStr">
        <is>
          <t>17/03/2026</t>
        </is>
      </c>
      <c r="K3808" s="10" t="inlineStr">
        <is>
          <t>N/A</t>
        </is>
      </c>
      <c r="L3808" s="10" t="inlineStr">
        <is>
          <t>HR Admin, Nhân Sự, Tuyển Dụng, Hành Chính Tổng Hợp</t>
        </is>
      </c>
      <c r="M3808" s="10" t="inlineStr">
        <is>
          <t>Bonus, Healthcare Plan, Training, Team Activities</t>
        </is>
      </c>
      <c r="N3808" s="11">
        <f>HYPERLINK("https://www.vietnamworks.com/hr-and-admin-staff-2014413-jv","Xem chi tiết")</f>
        <v/>
      </c>
      <c r="O3808" s="10" t="n"/>
    </row>
    <row r="3809">
      <c r="B3809" s="7" t="n">
        <v>3807</v>
      </c>
      <c r="C3809" t="inlineStr">
        <is>
          <t>Nhân Viên Kho (Nam)</t>
        </is>
      </c>
      <c r="D3809" t="inlineStr">
        <is>
          <t>Công Ty TNHH Bennett Wright</t>
        </is>
      </c>
      <c r="E3809" t="inlineStr">
        <is>
          <t>12tr-13tr ₫/tháng</t>
        </is>
      </c>
      <c r="F3809" t="inlineStr">
        <is>
          <t>Hồ Chí Minh</t>
        </is>
      </c>
      <c r="G3809" t="inlineStr">
        <is>
          <t>Mới Tốt Nghiệp</t>
        </is>
      </c>
      <c r="H3809" t="inlineStr">
        <is>
          <t>26/02/2026</t>
        </is>
      </c>
      <c r="I3809" t="inlineStr">
        <is>
          <t>28/03/2026</t>
        </is>
      </c>
      <c r="J3809" t="inlineStr">
        <is>
          <t>17/03/2026</t>
        </is>
      </c>
      <c r="K3809" t="inlineStr">
        <is>
          <t>N/A</t>
        </is>
      </c>
      <c r="L3809" t="inlineStr">
        <is>
          <t>Quản Lý Kho, Tiếng Trung, Lái Xe Nâng, Sắp xếp hàng hóa</t>
        </is>
      </c>
      <c r="M3809" t="inlineStr">
        <is>
          <t>Bonus, Healthcare Plan, Awards, Others</t>
        </is>
      </c>
      <c r="N3809" s="8">
        <f>HYPERLINK("https://www.vietnamworks.com/nhan-vien-kho-nam-2014410-jv","Xem chi tiết")</f>
        <v/>
      </c>
    </row>
    <row r="3810">
      <c r="B3810" s="9" t="n">
        <v>3808</v>
      </c>
      <c r="C3810" s="10" t="inlineStr">
        <is>
          <t>Estimator &amp; Drafter</t>
        </is>
      </c>
      <c r="D3810" s="10" t="inlineStr">
        <is>
          <t>Công Ty TNHH Tsarsi</t>
        </is>
      </c>
      <c r="E3810" s="10" t="inlineStr">
        <is>
          <t>Thương lượng</t>
        </is>
      </c>
      <c r="F3810" s="10" t="inlineStr">
        <is>
          <t>Hồ Chí Minh</t>
        </is>
      </c>
      <c r="G3810" s="10" t="inlineStr">
        <is>
          <t>Nhân viên</t>
        </is>
      </c>
      <c r="H3810" s="10" t="inlineStr">
        <is>
          <t>26/02/2026</t>
        </is>
      </c>
      <c r="I3810" s="10" t="inlineStr">
        <is>
          <t>28/03/2026</t>
        </is>
      </c>
      <c r="J3810" s="10" t="inlineStr">
        <is>
          <t>17/03/2026</t>
        </is>
      </c>
      <c r="K3810" s="10" t="inlineStr">
        <is>
          <t>N/A</t>
        </is>
      </c>
      <c r="L3810" s="10" t="inlineStr">
        <is>
          <t>SolidWorks, AutoCAD, 2D Drafting, Structural Shop Drawing, Sketchup</t>
        </is>
      </c>
      <c r="M3810" s="10" t="inlineStr">
        <is>
          <t>Healthcare Plan, Travel Opportunities, Others</t>
        </is>
      </c>
      <c r="N3810" s="11">
        <f>HYPERLINK("https://www.vietnamworks.com/estimator-drafter-2014433-jv","Xem chi tiết")</f>
        <v/>
      </c>
      <c r="O3810" s="10" t="n"/>
    </row>
    <row r="3811">
      <c r="B3811" s="7" t="n">
        <v>3809</v>
      </c>
      <c r="C3811" t="inlineStr">
        <is>
          <t>Performance Marketing Specialist ( Nghỉ T7_Cn)</t>
        </is>
      </c>
      <c r="D3811" t="inlineStr">
        <is>
          <t>Tập Đoàn Belief Holdings</t>
        </is>
      </c>
      <c r="E3811" t="inlineStr">
        <is>
          <t>Từ $ 700 /tháng</t>
        </is>
      </c>
      <c r="F3811" t="inlineStr">
        <is>
          <t>Hà Nội</t>
        </is>
      </c>
      <c r="G3811" t="inlineStr">
        <is>
          <t>Nhân viên</t>
        </is>
      </c>
      <c r="H3811" t="inlineStr">
        <is>
          <t>26/02/2026</t>
        </is>
      </c>
      <c r="I3811" t="inlineStr">
        <is>
          <t>28/03/2026</t>
        </is>
      </c>
      <c r="J3811" t="inlineStr">
        <is>
          <t>17/03/2026</t>
        </is>
      </c>
      <c r="K3811" t="inlineStr">
        <is>
          <t>N/A</t>
        </is>
      </c>
      <c r="L3811" t="inlineStr">
        <is>
          <t>FMCG, Tiktok Ads, Digital Advertising Tools, Content Creative, Consumer Insight</t>
        </is>
      </c>
      <c r="M3811" t="inlineStr">
        <is>
          <t>Bonus, Awards, Vouchers</t>
        </is>
      </c>
      <c r="N3811" s="8">
        <f>HYPERLINK("https://www.vietnamworks.com/performance-marketing-specialist-nghi-t7-cn-2014429-jv","Xem chi tiết")</f>
        <v/>
      </c>
    </row>
    <row r="3812">
      <c r="B3812" s="9" t="n">
        <v>3810</v>
      </c>
      <c r="C3812" s="10" t="inlineStr">
        <is>
          <t>Nhân Viên Kế Toán</t>
        </is>
      </c>
      <c r="D3812" s="10" t="inlineStr">
        <is>
          <t>Công Ty TNHH Quốc Tế Amedila</t>
        </is>
      </c>
      <c r="E3812" s="10" t="inlineStr">
        <is>
          <t>Thương lượng</t>
        </is>
      </c>
      <c r="F3812" s="10" t="inlineStr">
        <is>
          <t>Hải Phòng</t>
        </is>
      </c>
      <c r="G3812" s="10" t="inlineStr">
        <is>
          <t>Nhân viên</t>
        </is>
      </c>
      <c r="H3812" s="10" t="inlineStr">
        <is>
          <t>26/02/2026</t>
        </is>
      </c>
      <c r="I3812" s="10" t="inlineStr">
        <is>
          <t>28/03/2026</t>
        </is>
      </c>
      <c r="J3812" s="10" t="inlineStr">
        <is>
          <t>17/03/2026</t>
        </is>
      </c>
      <c r="K3812" s="10" t="inlineStr">
        <is>
          <t>N/A</t>
        </is>
      </c>
      <c r="L3812" s="10" t="inlineStr">
        <is>
          <t>Kế Toán, MS Office, Giao tiếp, Quản Lý Hóa Đơn Chứng Từ, Time Management</t>
        </is>
      </c>
      <c r="M3812" s="10" t="inlineStr">
        <is>
          <t>Bonus, Healthcare Plan, Others</t>
        </is>
      </c>
      <c r="N3812" s="11">
        <f>HYPERLINK("https://www.vietnamworks.com/nhan-vien-ke-toan--2014419-jv","Xem chi tiết")</f>
        <v/>
      </c>
      <c r="O3812" s="10" t="n"/>
    </row>
    <row r="3813">
      <c r="B3813" s="7" t="n">
        <v>3811</v>
      </c>
      <c r="C3813" t="inlineStr">
        <is>
          <t>Reservation &amp; Operation Admin (Korean Speaking)</t>
        </is>
      </c>
      <c r="D3813" t="inlineStr">
        <is>
          <t>VĂN PHÒNG ĐẠI DIỆN HIKARIGLOBAL CORPORATION TẠI THÀNH PHỐ HỒ CHÍ MINH</t>
        </is>
      </c>
      <c r="E3813" t="inlineStr">
        <is>
          <t>22tr-28tr ₫/tháng</t>
        </is>
      </c>
      <c r="F3813" t="inlineStr">
        <is>
          <t>Hồ Chí Minh</t>
        </is>
      </c>
      <c r="G3813" t="inlineStr">
        <is>
          <t>Nhân viên</t>
        </is>
      </c>
      <c r="H3813" t="inlineStr">
        <is>
          <t>26/02/2026</t>
        </is>
      </c>
      <c r="I3813" t="inlineStr">
        <is>
          <t>28/03/2026</t>
        </is>
      </c>
      <c r="J3813" t="inlineStr">
        <is>
          <t>17/03/2026</t>
        </is>
      </c>
      <c r="K3813" t="inlineStr">
        <is>
          <t>N/A</t>
        </is>
      </c>
      <c r="L3813" t="inlineStr">
        <is>
          <t>Admin, Hospitality Management, Korean, Reservation, Tourism</t>
        </is>
      </c>
      <c r="M3813" t="inlineStr">
        <is>
          <t>Bonus, Healthcare Plan, Laptop</t>
        </is>
      </c>
      <c r="N3813" s="8">
        <f>HYPERLINK("https://www.vietnamworks.com/reservation-and-operation-admin-korean-speaking-2014435-jv","Xem chi tiết")</f>
        <v/>
      </c>
    </row>
    <row r="3814">
      <c r="B3814" s="9" t="n">
        <v>3812</v>
      </c>
      <c r="C3814" s="10" t="inlineStr">
        <is>
          <t>Junior Civil Design Engineer</t>
        </is>
      </c>
      <c r="D3814" s="10" t="inlineStr">
        <is>
          <t>Danieli – Industrielle Beteiligung Co., Ltd</t>
        </is>
      </c>
      <c r="E3814" s="10" t="inlineStr">
        <is>
          <t>Thương lượng</t>
        </is>
      </c>
      <c r="F3814" s="10" t="inlineStr">
        <is>
          <t>Hồ Chí Minh</t>
        </is>
      </c>
      <c r="G3814" s="10" t="inlineStr">
        <is>
          <t>Nhân viên</t>
        </is>
      </c>
      <c r="H3814" s="10" t="inlineStr">
        <is>
          <t>26/02/2026</t>
        </is>
      </c>
      <c r="I3814" s="10" t="inlineStr">
        <is>
          <t>28/03/2026</t>
        </is>
      </c>
      <c r="J3814" s="10" t="inlineStr">
        <is>
          <t>17/03/2026</t>
        </is>
      </c>
      <c r="K3814" s="10" t="inlineStr">
        <is>
          <t>N/A</t>
        </is>
      </c>
      <c r="L3814" s="10" t="inlineStr">
        <is>
          <t>AutoCAD 2D, AVEVA E3D, EPLAN, Civil Engineering, Urban Planning</t>
        </is>
      </c>
      <c r="M3814" s="10" t="inlineStr">
        <is>
          <t>Bonus, Healthcare Plan, Paid Leave, Training, Team Activities, Transportation, Others</t>
        </is>
      </c>
      <c r="N3814" s="11">
        <f>HYPERLINK("https://www.vietnamworks.com/junior-civil-design-engineer-2014438-jv","Xem chi tiết")</f>
        <v/>
      </c>
      <c r="O3814" s="10" t="n"/>
    </row>
    <row r="3815">
      <c r="B3815" s="7" t="n">
        <v>3813</v>
      </c>
      <c r="C3815" t="inlineStr">
        <is>
          <t>Nhân Viên Sales Tour Du Lịch Outbound Nội Địa (Lương Cứng Up to 15M + % Hoa Hồng)</t>
        </is>
      </c>
      <c r="D3815" t="inlineStr">
        <is>
          <t>Công ty CP Lữ hành Quốc tế Kim Liên</t>
        </is>
      </c>
      <c r="E3815" t="inlineStr">
        <is>
          <t>15tr-30tr ₫/tháng</t>
        </is>
      </c>
      <c r="F3815" t="inlineStr">
        <is>
          <t>Hà Nội</t>
        </is>
      </c>
      <c r="G3815" t="inlineStr">
        <is>
          <t>Nhân viên</t>
        </is>
      </c>
      <c r="H3815" t="inlineStr">
        <is>
          <t>26/02/2026</t>
        </is>
      </c>
      <c r="I3815" t="inlineStr">
        <is>
          <t>28/03/2026</t>
        </is>
      </c>
      <c r="J3815" t="inlineStr">
        <is>
          <t>17/03/2026</t>
        </is>
      </c>
      <c r="K3815" t="inlineStr">
        <is>
          <t>N/A</t>
        </is>
      </c>
      <c r="L3815" t="inlineStr">
        <is>
          <t>Thương Mại Du Lịch, Telesales, Tour Sales, Tìm Kiếm Khách Hàng, Tư Vấn Tour</t>
        </is>
      </c>
      <c r="M3815" t="inlineStr">
        <is>
          <t>Bonus, Awards, Laptop, Team Activities, Others</t>
        </is>
      </c>
      <c r="N3815" s="8">
        <f>HYPERLINK("https://www.vietnamworks.com/nhan-vien-sales-tour-du-lich-outbound-noi-dia-luong-cung-up-to-15m-hoa-hong-2014415-jv","Xem chi tiết")</f>
        <v/>
      </c>
    </row>
    <row r="3816">
      <c r="B3816" s="9" t="n">
        <v>3814</v>
      </c>
      <c r="C3816" s="10" t="inlineStr">
        <is>
          <t>Nhân Viên Kế Toán Nội Bộ (Internal Accountant)</t>
        </is>
      </c>
      <c r="D3816" s="10" t="inlineStr">
        <is>
          <t>Agrinuts Vietnam Trading Co., Ltd</t>
        </is>
      </c>
      <c r="E3816" s="10" t="inlineStr">
        <is>
          <t>9tr-13tr ₫/tháng</t>
        </is>
      </c>
      <c r="F3816" s="10" t="inlineStr">
        <is>
          <t>Hồ Chí Minh</t>
        </is>
      </c>
      <c r="G3816" s="10" t="inlineStr">
        <is>
          <t>Nhân viên</t>
        </is>
      </c>
      <c r="H3816" s="10" t="inlineStr">
        <is>
          <t>26/02/2026</t>
        </is>
      </c>
      <c r="I3816" s="10" t="inlineStr">
        <is>
          <t>28/03/2026</t>
        </is>
      </c>
      <c r="J3816" s="10" t="inlineStr">
        <is>
          <t>17/03/2026</t>
        </is>
      </c>
      <c r="K3816" s="10" t="inlineStr">
        <is>
          <t>N/A</t>
        </is>
      </c>
      <c r="L3816" s="10" t="inlineStr">
        <is>
          <t>Giải Quyết Vấn Đề, Kế Toán, Làm Việc Nhóm, Phân Tích Da, Tài Chính</t>
        </is>
      </c>
      <c r="M3816" s="10" t="inlineStr">
        <is>
          <t>Bonus, Healthcare Plan, Training, Others</t>
        </is>
      </c>
      <c r="N3816" s="11">
        <f>HYPERLINK("https://www.vietnamworks.com/nhan-vien-ke-toan-noi-bo-internal-accountant-2014411-jv","Xem chi tiết")</f>
        <v/>
      </c>
      <c r="O3816" s="10" t="n"/>
    </row>
    <row r="3817">
      <c r="B3817" s="7" t="n">
        <v>3815</v>
      </c>
      <c r="C3817" t="inlineStr">
        <is>
          <t>Sales Manager</t>
        </is>
      </c>
      <c r="D3817" t="inlineStr">
        <is>
          <t>KW COMPANIES, VINA COMPANY LIMITED</t>
        </is>
      </c>
      <c r="E3817" t="inlineStr">
        <is>
          <t>Thương lượng</t>
        </is>
      </c>
      <c r="F3817" t="inlineStr">
        <is>
          <t>Hồ Chí Minh</t>
        </is>
      </c>
      <c r="G3817" t="inlineStr">
        <is>
          <t>Trưởng phòng</t>
        </is>
      </c>
      <c r="H3817" t="inlineStr">
        <is>
          <t>26/02/2026</t>
        </is>
      </c>
      <c r="I3817" t="inlineStr">
        <is>
          <t>28/03/2026</t>
        </is>
      </c>
      <c r="J3817" t="inlineStr">
        <is>
          <t>17/03/2026</t>
        </is>
      </c>
      <c r="K3817" t="inlineStr">
        <is>
          <t>N/A</t>
        </is>
      </c>
      <c r="L3817" t="inlineStr">
        <is>
          <t>Communication Skills, Ecommerce Background, Freight Forwarding, Negotiation Skills, Sales Management</t>
        </is>
      </c>
      <c r="M3817" t="inlineStr">
        <is>
          <t>Bonus, Laptop</t>
        </is>
      </c>
      <c r="N3817" s="8">
        <f>HYPERLINK("https://www.vietnamworks.com/sales-manager-2014421-jv","Xem chi tiết")</f>
        <v/>
      </c>
    </row>
    <row r="3818">
      <c r="B3818" s="9" t="n">
        <v>3816</v>
      </c>
      <c r="C3818" s="10" t="inlineStr">
        <is>
          <t>Academic Manager/academic Lead – Phỏng Trước Tết, Đi Làm Sau Tết</t>
        </is>
      </c>
      <c r="D3818" s="10" t="inlineStr">
        <is>
          <t>CÔNG TY CỔ PHẦN ANH NGỮ QUỐC TẾ SUNUNI ACADEMY</t>
        </is>
      </c>
      <c r="E3818" s="10" t="inlineStr">
        <is>
          <t>Từ 40tr ₫/tháng</t>
        </is>
      </c>
      <c r="F3818" s="10" t="inlineStr">
        <is>
          <t>Hà Nội</t>
        </is>
      </c>
      <c r="G3818" s="10" t="inlineStr">
        <is>
          <t>Trưởng phòng</t>
        </is>
      </c>
      <c r="H3818" s="10" t="inlineStr">
        <is>
          <t>26/02/2026</t>
        </is>
      </c>
      <c r="I3818" s="10" t="inlineStr">
        <is>
          <t>28/03/2026</t>
        </is>
      </c>
      <c r="J3818" s="10" t="inlineStr">
        <is>
          <t>17/03/2026</t>
        </is>
      </c>
      <c r="K3818" s="10" t="inlineStr">
        <is>
          <t>N/A</t>
        </is>
      </c>
      <c r="L3818" s="10" t="inlineStr">
        <is>
          <t>Sư Phạm Anh, Ngôn Ngữ Anh, Đào Tạo, Quản Lý Học Thuật, Xây Dựng Chương Trình Đào Tạo</t>
        </is>
      </c>
      <c r="M3818" s="10" t="inlineStr">
        <is>
          <t>Bonus, Training, Others</t>
        </is>
      </c>
      <c r="N3818" s="11">
        <f>HYPERLINK("https://www.vietnamworks.com/academic-manager-academic-lead-phong-truoc-tet-di-lam-sau-tet--2014436-jv","Xem chi tiết")</f>
        <v/>
      </c>
      <c r="O3818" s="10" t="n"/>
    </row>
    <row r="3819">
      <c r="B3819" s="7" t="n">
        <v>3817</v>
      </c>
      <c r="C3819" t="inlineStr">
        <is>
          <t>Production Merchandiser</t>
        </is>
      </c>
      <c r="D3819" t="inlineStr">
        <is>
          <t>Chi Nhánh Hà Nội - Công Ty TNHH Kiara Garments Việt Nam</t>
        </is>
      </c>
      <c r="E3819" t="inlineStr">
        <is>
          <t>$$ 500-1,000 /tháng</t>
        </is>
      </c>
      <c r="F3819" t="inlineStr">
        <is>
          <t>Hà Nội</t>
        </is>
      </c>
      <c r="G3819" t="inlineStr">
        <is>
          <t>Nhân viên</t>
        </is>
      </c>
      <c r="H3819" t="inlineStr">
        <is>
          <t>26/02/2026</t>
        </is>
      </c>
      <c r="I3819" t="inlineStr">
        <is>
          <t>28/03/2026</t>
        </is>
      </c>
      <c r="J3819" t="inlineStr">
        <is>
          <t>17/03/2026</t>
        </is>
      </c>
      <c r="K3819" t="inlineStr">
        <is>
          <t>N/A</t>
        </is>
      </c>
      <c r="L3819" t="inlineStr">
        <is>
          <t>Production Planning, Merchandising, Supply Chain Management, Negotiation Skills, FOB Garment</t>
        </is>
      </c>
      <c r="M3819" t="inlineStr">
        <is>
          <t>Bonus, Paid Leave, Others</t>
        </is>
      </c>
      <c r="N3819" s="8">
        <f>HYPERLINK("https://www.vietnamworks.com/production-merchandiser--2014431-jv","Xem chi tiết")</f>
        <v/>
      </c>
    </row>
    <row r="3820">
      <c r="B3820" s="9" t="n">
        <v>3818</v>
      </c>
      <c r="C3820" s="10" t="inlineStr">
        <is>
          <t>Nhân Viên Chăm Sóc Khách Hàng (Senior Customer Service)</t>
        </is>
      </c>
      <c r="D3820" s="10" t="inlineStr">
        <is>
          <t>Sunrise Logistics Company Limited</t>
        </is>
      </c>
      <c r="E3820" s="10" t="inlineStr">
        <is>
          <t>14tr-20tr ₫/tháng</t>
        </is>
      </c>
      <c r="F3820" s="10" t="inlineStr">
        <is>
          <t>Hồ Chí Minh</t>
        </is>
      </c>
      <c r="G3820" s="10" t="inlineStr">
        <is>
          <t>Nhân viên</t>
        </is>
      </c>
      <c r="H3820" s="10" t="inlineStr">
        <is>
          <t>26/02/2026</t>
        </is>
      </c>
      <c r="I3820" s="10" t="inlineStr">
        <is>
          <t>28/03/2026</t>
        </is>
      </c>
      <c r="J3820" s="10" t="inlineStr">
        <is>
          <t>17/03/2026</t>
        </is>
      </c>
      <c r="K3820" s="10" t="inlineStr">
        <is>
          <t>N/A</t>
        </is>
      </c>
      <c r="L3820" s="10" t="inlineStr">
        <is>
          <t>Logistics, Vận Tải, Giao Tiếp Tiếng Anh, Xuất Nhập Khẩu Hàng Hóa, Customer Service</t>
        </is>
      </c>
      <c r="M3820" s="10" t="inlineStr">
        <is>
          <t>Bonus, Healthcare Plan, Paid Leave, Team Activities, Others</t>
        </is>
      </c>
      <c r="N3820" s="11">
        <f>HYPERLINK("https://www.vietnamworks.com/nhan-vien-cham-soc-khach-hang-senior-customer-service-2014430-jv","Xem chi tiết")</f>
        <v/>
      </c>
      <c r="O3820" s="10" t="n"/>
    </row>
    <row r="3821">
      <c r="B3821" s="7" t="n">
        <v>3819</v>
      </c>
      <c r="C3821" t="inlineStr">
        <is>
          <t>Chuyên Viên Tư Vấn Đầu Tư Dự Án Năng Lượng Tái Tạo (Thu Nhập Không Giới Hạn)</t>
        </is>
      </c>
      <c r="D3821" t="inlineStr">
        <is>
          <t>Công Ty Cổ Phần Xây Dựng Và Công Nghiệp NSN</t>
        </is>
      </c>
      <c r="E3821" t="inlineStr">
        <is>
          <t>Thương lượng</t>
        </is>
      </c>
      <c r="F3821" t="inlineStr">
        <is>
          <t>Hà Nội</t>
        </is>
      </c>
      <c r="G3821" t="inlineStr">
        <is>
          <t>Nhân viên</t>
        </is>
      </c>
      <c r="H3821" t="inlineStr">
        <is>
          <t>26/02/2026</t>
        </is>
      </c>
      <c r="I3821" t="inlineStr">
        <is>
          <t>28/03/2026</t>
        </is>
      </c>
      <c r="J3821" t="inlineStr">
        <is>
          <t>17/03/2026</t>
        </is>
      </c>
      <c r="K3821" t="inlineStr">
        <is>
          <t>N/A</t>
        </is>
      </c>
      <c r="L3821" t="inlineStr">
        <is>
          <t>Kinh Doanh, Tư Vấn Đầu Tư, Sale, Tiếng Anh thành thạo</t>
        </is>
      </c>
      <c r="M3821" t="inlineStr">
        <is>
          <t>Bonus, Healthcare Plan, Others</t>
        </is>
      </c>
      <c r="N3821" s="8">
        <f>HYPERLINK("https://www.vietnamworks.com/chuyen-vien-tu-van-dau-tu-du-an-nang-luong-tai-tao-thu-nhap-khong-gioi-han-2014437-jv","Xem chi tiết")</f>
        <v/>
      </c>
    </row>
    <row r="3822">
      <c r="B3822" s="9" t="n">
        <v>3820</v>
      </c>
      <c r="C3822" s="10" t="inlineStr">
        <is>
          <t>Business Development Executive</t>
        </is>
      </c>
      <c r="D3822" s="10" t="inlineStr">
        <is>
          <t>KW COMPANIES, VINA COMPANY LIMITED</t>
        </is>
      </c>
      <c r="E3822" s="10" t="inlineStr">
        <is>
          <t>Thương lượng</t>
        </is>
      </c>
      <c r="F3822" s="10" t="inlineStr">
        <is>
          <t>Hồ Chí Minh</t>
        </is>
      </c>
      <c r="G3822" s="10" t="inlineStr">
        <is>
          <t>Nhân viên</t>
        </is>
      </c>
      <c r="H3822" s="10" t="inlineStr">
        <is>
          <t>26/02/2026</t>
        </is>
      </c>
      <c r="I3822" s="10" t="inlineStr">
        <is>
          <t>28/03/2026</t>
        </is>
      </c>
      <c r="J3822" s="10" t="inlineStr">
        <is>
          <t>17/03/2026</t>
        </is>
      </c>
      <c r="K3822" s="10" t="inlineStr">
        <is>
          <t>N/A</t>
        </is>
      </c>
      <c r="L3822" s="10" t="inlineStr">
        <is>
          <t>Communication Skills, Ecommerce, Freight Forwarding, Negotiation Skills, Sales Training</t>
        </is>
      </c>
      <c r="M3822" s="10" t="inlineStr">
        <is>
          <t>Bonus, Laptop</t>
        </is>
      </c>
      <c r="N3822" s="11">
        <f>HYPERLINK("https://www.vietnamworks.com/business-development-executive-2014439-jv","Xem chi tiết")</f>
        <v/>
      </c>
      <c r="O3822" s="10" t="n"/>
    </row>
    <row r="3823">
      <c r="B3823" s="7" t="n">
        <v>3821</v>
      </c>
      <c r="C3823" t="inlineStr">
        <is>
          <t>Junior Mechanical Design Engineer (Must Have 3D Inventor)</t>
        </is>
      </c>
      <c r="D3823" t="inlineStr">
        <is>
          <t>Danieli – Industrielle Beteiligung Co., Ltd</t>
        </is>
      </c>
      <c r="E3823" t="inlineStr">
        <is>
          <t>Thương lượng</t>
        </is>
      </c>
      <c r="F3823" t="inlineStr">
        <is>
          <t>Hồ Chí Minh</t>
        </is>
      </c>
      <c r="G3823" t="inlineStr">
        <is>
          <t>Nhân viên</t>
        </is>
      </c>
      <c r="H3823" t="inlineStr">
        <is>
          <t>26/02/2026</t>
        </is>
      </c>
      <c r="I3823" t="inlineStr">
        <is>
          <t>28/03/2026</t>
        </is>
      </c>
      <c r="J3823" t="inlineStr">
        <is>
          <t>17/03/2026</t>
        </is>
      </c>
      <c r="K3823" t="inlineStr">
        <is>
          <t>N/A</t>
        </is>
      </c>
      <c r="L3823" t="inlineStr">
        <is>
          <t>Inventor 3D, Auto Cad, MS Word, MS Excel</t>
        </is>
      </c>
      <c r="M3823" t="inlineStr">
        <is>
          <t>Bonus, Healthcare Plan, Paid Leave, Training, Team Activities, Transportation, Canteen</t>
        </is>
      </c>
      <c r="N3823" s="8">
        <f>HYPERLINK("https://www.vietnamworks.com/junior-mechanical-design-engineer-must-have-3d-inventor-2014440-jv","Xem chi tiết")</f>
        <v/>
      </c>
    </row>
    <row r="3824">
      <c r="B3824" s="9" t="n">
        <v>3822</v>
      </c>
      <c r="C3824" s="10" t="inlineStr">
        <is>
          <t>Operations Manager</t>
        </is>
      </c>
      <c r="D3824" s="10" t="inlineStr">
        <is>
          <t>KW COMPANIES, VINA COMPANY LIMITED</t>
        </is>
      </c>
      <c r="E3824" s="10" t="inlineStr">
        <is>
          <t>Thương lượng</t>
        </is>
      </c>
      <c r="F3824" s="10" t="inlineStr">
        <is>
          <t>Hồ Chí Minh</t>
        </is>
      </c>
      <c r="G3824" s="10" t="inlineStr">
        <is>
          <t>Trưởng phòng</t>
        </is>
      </c>
      <c r="H3824" s="10" t="inlineStr">
        <is>
          <t>26/02/2026</t>
        </is>
      </c>
      <c r="I3824" s="10" t="inlineStr">
        <is>
          <t>28/03/2026</t>
        </is>
      </c>
      <c r="J3824" s="10" t="inlineStr">
        <is>
          <t>17/03/2026</t>
        </is>
      </c>
      <c r="K3824" s="10" t="inlineStr">
        <is>
          <t>N/A</t>
        </is>
      </c>
      <c r="L3824" s="10" t="inlineStr">
        <is>
          <t>Communication Skills, E-Commerce Logistics, Freight Forwarding, Organizational skills, Team Management</t>
        </is>
      </c>
      <c r="M3824" s="10" t="inlineStr">
        <is>
          <t>Bonus, Laptop</t>
        </is>
      </c>
      <c r="N3824" s="11">
        <f>HYPERLINK("https://www.vietnamworks.com/operations-manager-2014446-jv","Xem chi tiết")</f>
        <v/>
      </c>
      <c r="O3824" s="10" t="n"/>
    </row>
    <row r="3825">
      <c r="B3825" s="7" t="n">
        <v>3823</v>
      </c>
      <c r="C3825" t="inlineStr">
        <is>
          <t>Junior Piping Engineer</t>
        </is>
      </c>
      <c r="D3825" t="inlineStr">
        <is>
          <t>Danieli – Industrielle Beteiligung Co., Ltd</t>
        </is>
      </c>
      <c r="E3825" t="inlineStr">
        <is>
          <t>Thương lượng</t>
        </is>
      </c>
      <c r="F3825" t="inlineStr">
        <is>
          <t>Hồ Chí Minh</t>
        </is>
      </c>
      <c r="G3825" t="inlineStr">
        <is>
          <t>Nhân viên</t>
        </is>
      </c>
      <c r="H3825" t="inlineStr">
        <is>
          <t>26/02/2026</t>
        </is>
      </c>
      <c r="I3825" t="inlineStr">
        <is>
          <t>28/03/2026</t>
        </is>
      </c>
      <c r="J3825" t="inlineStr">
        <is>
          <t>17/03/2026</t>
        </is>
      </c>
      <c r="K3825" t="inlineStr">
        <is>
          <t>N/A</t>
        </is>
      </c>
      <c r="L3825" t="inlineStr">
        <is>
          <t>Piping Design, Autodesk Inventor, AutoCAD, PDMS</t>
        </is>
      </c>
      <c r="M3825" t="inlineStr">
        <is>
          <t>Bonus, Healthcare Plan, Paid Leave, Training, Team Activities, Transportation, Canteen</t>
        </is>
      </c>
      <c r="N3825" s="8">
        <f>HYPERLINK("https://www.vietnamworks.com/junior-piping-engineer-2014443-jv","Xem chi tiết")</f>
        <v/>
      </c>
    </row>
    <row r="3826">
      <c r="B3826" s="9" t="n">
        <v>3824</v>
      </c>
      <c r="C3826" s="10" t="inlineStr">
        <is>
          <t>Nhân Viên Dự Toán Nội Thất (QS Engineer)</t>
        </is>
      </c>
      <c r="D3826" s="10" t="inlineStr">
        <is>
          <t>GRACE INTERIORS</t>
        </is>
      </c>
      <c r="E3826" s="10" t="inlineStr">
        <is>
          <t>13tr-15tr ₫/tháng</t>
        </is>
      </c>
      <c r="F3826" s="10" t="inlineStr">
        <is>
          <t>Hồ Chí Minh</t>
        </is>
      </c>
      <c r="G3826" s="10" t="inlineStr">
        <is>
          <t>Nhân viên</t>
        </is>
      </c>
      <c r="H3826" s="10" t="inlineStr">
        <is>
          <t>26/02/2026</t>
        </is>
      </c>
      <c r="I3826" s="10" t="inlineStr">
        <is>
          <t>28/03/2026</t>
        </is>
      </c>
      <c r="J3826" s="10" t="inlineStr">
        <is>
          <t>17/03/2026</t>
        </is>
      </c>
      <c r="K3826" s="10" t="inlineStr">
        <is>
          <t>N/A</t>
        </is>
      </c>
      <c r="L3826" s="10" t="inlineStr">
        <is>
          <t>Nội Thất, Autocad, Lập Dự Toán Khối Lượng, QS engineer, Quantity Surveyor</t>
        </is>
      </c>
      <c r="M3826" s="10" t="inlineStr">
        <is>
          <t>Bonus, Healthcare Plan, Travel Opportunities, Team Activities</t>
        </is>
      </c>
      <c r="N3826" s="11">
        <f>HYPERLINK("https://www.vietnamworks.com/nhan-vien-du-toan-noi-that-qs-engineer-2014452-jv","Xem chi tiết")</f>
        <v/>
      </c>
      <c r="O3826" s="10" t="n"/>
    </row>
    <row r="3827">
      <c r="B3827" s="7" t="n">
        <v>3825</v>
      </c>
      <c r="C3827" t="inlineStr">
        <is>
          <t>[HN/HCM] Chuyên Viên Phát Triển Đối Tác Tài Chính (Thu Nhập Upto 150 Triệu Đồng)</t>
        </is>
      </c>
      <c r="D3827" t="inlineStr">
        <is>
          <t>CÔNG TY CỔ PHẦN TẬP ĐOÀN ĐẦU TƯ EMIR</t>
        </is>
      </c>
      <c r="E3827" t="inlineStr">
        <is>
          <t>Tới 150tr ₫/tháng</t>
        </is>
      </c>
      <c r="F3827" t="inlineStr">
        <is>
          <t>Hà Nội, Hồ Chí Minh</t>
        </is>
      </c>
      <c r="G3827" t="inlineStr">
        <is>
          <t>Nhân viên</t>
        </is>
      </c>
      <c r="H3827" t="inlineStr">
        <is>
          <t>26/02/2026</t>
        </is>
      </c>
      <c r="I3827" t="inlineStr">
        <is>
          <t>28/03/2026</t>
        </is>
      </c>
      <c r="J3827" t="inlineStr">
        <is>
          <t>17/03/2026</t>
        </is>
      </c>
      <c r="K3827" t="inlineStr">
        <is>
          <t>N/A</t>
        </is>
      </c>
      <c r="L3827" t="inlineStr">
        <is>
          <t>Tài Chính Ngân Hàng, Quản Trị Kinh Doanh, Thẩm Định Tài Sản, Thuyết Phục Bán Hàng</t>
        </is>
      </c>
      <c r="M3827" t="inlineStr">
        <is>
          <t>Bonus, Healthcare Plan, Training, Travel Opportunities, Team Activities, Others</t>
        </is>
      </c>
      <c r="N3827" s="8">
        <f>HYPERLINK("https://www.vietnamworks.com/hnhcm-chuyen-vien-phat-trien-djoi-tac-tai-chinh-thu-nhap-upto-150-trieu-djong-2014451-jv","Xem chi tiết")</f>
        <v/>
      </c>
    </row>
    <row r="3828">
      <c r="B3828" s="9" t="n">
        <v>3826</v>
      </c>
      <c r="C3828" s="10" t="inlineStr">
        <is>
          <t>Junior Electrical Automation Hardware Design</t>
        </is>
      </c>
      <c r="D3828" s="10" t="inlineStr">
        <is>
          <t>Danieli – Industrielle Beteiligung Co., Ltd</t>
        </is>
      </c>
      <c r="E3828" s="10" t="inlineStr">
        <is>
          <t>Thương lượng</t>
        </is>
      </c>
      <c r="F3828" s="10" t="inlineStr">
        <is>
          <t>Hồ Chí Minh</t>
        </is>
      </c>
      <c r="G3828" s="10" t="inlineStr">
        <is>
          <t>Mới Tốt Nghiệp</t>
        </is>
      </c>
      <c r="H3828" s="10" t="inlineStr">
        <is>
          <t>26/02/2026</t>
        </is>
      </c>
      <c r="I3828" s="10" t="inlineStr">
        <is>
          <t>28/03/2026</t>
        </is>
      </c>
      <c r="J3828" s="10" t="inlineStr">
        <is>
          <t>17/03/2026</t>
        </is>
      </c>
      <c r="K3828" s="10" t="inlineStr">
        <is>
          <t>N/A</t>
        </is>
      </c>
      <c r="L3828" s="10" t="inlineStr">
        <is>
          <t>Electrical Design, Plc Hardware, 2D CAD, EPLAN Electric P8, Siemens</t>
        </is>
      </c>
      <c r="M3828" s="10" t="inlineStr">
        <is>
          <t>Bonus, Healthcare Plan, Paid Leave, Training, Team Activities, Canteen</t>
        </is>
      </c>
      <c r="N3828" s="11">
        <f>HYPERLINK("https://www.vietnamworks.com/junior-electrical-automation-hardware-design-2014445-jv","Xem chi tiết")</f>
        <v/>
      </c>
      <c r="O3828" s="10" t="n"/>
    </row>
    <row r="3829">
      <c r="B3829" s="7" t="n">
        <v>3827</v>
      </c>
      <c r="C3829" t="inlineStr">
        <is>
          <t>Country Sales Manager (Wood Coatings/ B2B)</t>
        </is>
      </c>
      <c r="D3829" t="inlineStr">
        <is>
          <t>AkzoNobel Vietnam</t>
        </is>
      </c>
      <c r="E3829" t="inlineStr">
        <is>
          <t>Thương lượng</t>
        </is>
      </c>
      <c r="F3829" t="inlineStr">
        <is>
          <t>Hồ Chí Minh, Đồng Nai</t>
        </is>
      </c>
      <c r="G3829" t="inlineStr">
        <is>
          <t>Trưởng phòng</t>
        </is>
      </c>
      <c r="H3829" t="inlineStr">
        <is>
          <t>26/02/2026</t>
        </is>
      </c>
      <c r="I3829" t="inlineStr">
        <is>
          <t>28/03/2026</t>
        </is>
      </c>
      <c r="J3829" t="inlineStr">
        <is>
          <t>17/03/2026</t>
        </is>
      </c>
      <c r="K3829" t="inlineStr">
        <is>
          <t>N/A</t>
        </is>
      </c>
      <c r="L3829" t="inlineStr">
        <is>
          <t>Business Acumen, Chinese Speaking, Leadership, Project Management, Stakeholder Management</t>
        </is>
      </c>
      <c r="M3829" t="inlineStr">
        <is>
          <t>Bonus, Healthcare Plan</t>
        </is>
      </c>
      <c r="N3829" s="8">
        <f>HYPERLINK("https://www.vietnamworks.com/country-sales-manager-wood-coatings-b2b-2014453-jv","Xem chi tiết")</f>
        <v/>
      </c>
    </row>
    <row r="3830">
      <c r="B3830" s="9" t="n">
        <v>3828</v>
      </c>
      <c r="C3830" s="10" t="inlineStr">
        <is>
          <t>Thư Ký Tổng Giám Đốc</t>
        </is>
      </c>
      <c r="D3830" s="10" t="inlineStr">
        <is>
          <t>ADP - Công ty CP Nội thất cơ bản</t>
        </is>
      </c>
      <c r="E3830" s="10" t="inlineStr">
        <is>
          <t>Thương lượng</t>
        </is>
      </c>
      <c r="F3830" s="10" t="inlineStr">
        <is>
          <t>Hồ Chí Minh</t>
        </is>
      </c>
      <c r="G3830" s="10" t="inlineStr">
        <is>
          <t>Nhân viên</t>
        </is>
      </c>
      <c r="H3830" s="10" t="inlineStr">
        <is>
          <t>26/02/2026</t>
        </is>
      </c>
      <c r="I3830" s="10" t="inlineStr">
        <is>
          <t>28/03/2026</t>
        </is>
      </c>
      <c r="J3830" s="10" t="inlineStr">
        <is>
          <t>17/03/2026</t>
        </is>
      </c>
      <c r="K3830" s="10" t="inlineStr">
        <is>
          <t>N/A</t>
        </is>
      </c>
      <c r="L3830" s="10" t="inlineStr">
        <is>
          <t>Dự Toán Bóc Tách, QS, Bóc Tách Khối Lượng, Dự Toán Nội Thất, AutoCAD</t>
        </is>
      </c>
      <c r="M3830" s="10" t="inlineStr">
        <is>
          <t>Bonus, Healthcare Plan, Awards</t>
        </is>
      </c>
      <c r="N3830" s="11">
        <f>HYPERLINK("https://www.vietnamworks.com/thu-ky-tong-giam-doc--2014450-jv","Xem chi tiết")</f>
        <v/>
      </c>
      <c r="O3830" s="10" t="n"/>
    </row>
    <row r="3831">
      <c r="B3831" s="7" t="n">
        <v>3829</v>
      </c>
      <c r="C3831" t="inlineStr">
        <is>
          <t>Chuyên Viên Marketing</t>
        </is>
      </c>
      <c r="D3831" t="inlineStr">
        <is>
          <t>Công ty TNHH Nagen</t>
        </is>
      </c>
      <c r="E3831" t="inlineStr">
        <is>
          <t>12tr-15tr ₫/tháng</t>
        </is>
      </c>
      <c r="F3831" t="inlineStr">
        <is>
          <t>Hà Nội</t>
        </is>
      </c>
      <c r="G3831" t="inlineStr">
        <is>
          <t>Nhân viên</t>
        </is>
      </c>
      <c r="H3831" t="inlineStr">
        <is>
          <t>26/02/2026</t>
        </is>
      </c>
      <c r="I3831" t="inlineStr">
        <is>
          <t>28/03/2026</t>
        </is>
      </c>
      <c r="J3831" t="inlineStr">
        <is>
          <t>17/03/2026</t>
        </is>
      </c>
      <c r="K3831" t="inlineStr">
        <is>
          <t>N/A</t>
        </is>
      </c>
      <c r="L3831" t="inlineStr">
        <is>
          <t>Digital Marketing, Market Development, Market Research, Offline Marketing, Truyền Thông</t>
        </is>
      </c>
      <c r="M3831" t="inlineStr">
        <is>
          <t>Bonus, Healthcare Plan, Training, Team Activities, Others</t>
        </is>
      </c>
      <c r="N3831" s="8">
        <f>HYPERLINK("https://www.vietnamworks.com/chuyen-vien-marketing-2014448-jv","Xem chi tiết")</f>
        <v/>
      </c>
    </row>
    <row r="3832">
      <c r="B3832" s="9" t="n">
        <v>3830</v>
      </c>
      <c r="C3832" s="10" t="inlineStr">
        <is>
          <t>Digital Performance Marketing Manager</t>
        </is>
      </c>
      <c r="D3832" s="10" t="inlineStr">
        <is>
          <t>CÔNG TY CỔ PHẦN OPEN HEALTHCARE VIỆT NAM</t>
        </is>
      </c>
      <c r="E3832" s="10" t="inlineStr">
        <is>
          <t>Thương lượng</t>
        </is>
      </c>
      <c r="F3832" s="10" t="inlineStr">
        <is>
          <t>Hà Nội</t>
        </is>
      </c>
      <c r="G3832" s="10" t="inlineStr">
        <is>
          <t>Trưởng phòng</t>
        </is>
      </c>
      <c r="H3832" s="10" t="inlineStr">
        <is>
          <t>26/02/2026</t>
        </is>
      </c>
      <c r="I3832" s="10" t="inlineStr">
        <is>
          <t>28/03/2026</t>
        </is>
      </c>
      <c r="J3832" s="10" t="inlineStr">
        <is>
          <t>17/03/2026</t>
        </is>
      </c>
      <c r="K3832" s="10" t="inlineStr">
        <is>
          <t>N/A</t>
        </is>
      </c>
      <c r="L3832" s="10" t="inlineStr">
        <is>
          <t>Digital ADS, Analytics Tool, Optimizing Performance, Strategic Thinking, Digital Marketing</t>
        </is>
      </c>
      <c r="M3832" s="10" t="inlineStr">
        <is>
          <t>Bonus, Healthcare Plan, Training</t>
        </is>
      </c>
      <c r="N3832" s="11">
        <f>HYPERLINK("https://www.vietnamworks.com/digital-performance-marketing-manager-2014444-jv","Xem chi tiết")</f>
        <v/>
      </c>
      <c r="O3832" s="10" t="n"/>
    </row>
    <row r="3833">
      <c r="B3833" s="7" t="n">
        <v>3831</v>
      </c>
      <c r="C3833" t="inlineStr">
        <is>
          <t>Key Account Supervisor - Project Segment - Building Materials</t>
        </is>
      </c>
      <c r="D3833" t="inlineStr">
        <is>
          <t>AkzoNobel Vietnam</t>
        </is>
      </c>
      <c r="E3833" t="inlineStr">
        <is>
          <t>Thương lượng</t>
        </is>
      </c>
      <c r="F3833" t="inlineStr">
        <is>
          <t>Đà Nẵng</t>
        </is>
      </c>
      <c r="G3833" t="inlineStr">
        <is>
          <t>Nhân viên</t>
        </is>
      </c>
      <c r="H3833" t="inlineStr">
        <is>
          <t>26/02/2026</t>
        </is>
      </c>
      <c r="I3833" t="inlineStr">
        <is>
          <t>28/03/2026</t>
        </is>
      </c>
      <c r="J3833" t="inlineStr">
        <is>
          <t>17/03/2026</t>
        </is>
      </c>
      <c r="K3833" t="inlineStr">
        <is>
          <t>N/A</t>
        </is>
      </c>
      <c r="L3833" t="inlineStr">
        <is>
          <t>Account Management, Building Material, Customer Orientation, Interpersonal Skills, Sales Development</t>
        </is>
      </c>
      <c r="M3833" t="inlineStr">
        <is>
          <t>Bonus, Healthcare Plan, Training</t>
        </is>
      </c>
      <c r="N3833" s="8">
        <f>HYPERLINK("https://www.vietnamworks.com/key-account-supervisor-project-segment-building-materials-2014449-jv","Xem chi tiết")</f>
        <v/>
      </c>
    </row>
    <row r="3834">
      <c r="B3834" s="9" t="n">
        <v>3832</v>
      </c>
      <c r="C3834" s="10" t="inlineStr">
        <is>
          <t>Personal Assistant to CEO</t>
        </is>
      </c>
      <c r="D3834" s="10" t="inlineStr">
        <is>
          <t>Công ty Cổ phần Vĩnh Hoàn</t>
        </is>
      </c>
      <c r="E3834" s="10" t="inlineStr">
        <is>
          <t>$$ 1,000-2,000 /tháng</t>
        </is>
      </c>
      <c r="F3834" s="10" t="inlineStr">
        <is>
          <t>Hồ Chí Minh</t>
        </is>
      </c>
      <c r="G3834" s="10" t="inlineStr">
        <is>
          <t>Trưởng phòng</t>
        </is>
      </c>
      <c r="H3834" s="10" t="inlineStr">
        <is>
          <t>26/02/2026</t>
        </is>
      </c>
      <c r="I3834" s="10" t="inlineStr">
        <is>
          <t>28/03/2026</t>
        </is>
      </c>
      <c r="J3834" s="10" t="inlineStr">
        <is>
          <t>17/03/2026</t>
        </is>
      </c>
      <c r="K3834" s="10" t="inlineStr">
        <is>
          <t>N/A</t>
        </is>
      </c>
      <c r="L3834" s="10" t="inlineStr">
        <is>
          <t>Tiếng Anh, Administration Tasks, Translation, Research Support</t>
        </is>
      </c>
      <c r="M3834" s="10" t="inlineStr">
        <is>
          <t>Bonus, Healthcare Plan, Transportation</t>
        </is>
      </c>
      <c r="N3834" s="11">
        <f>HYPERLINK("https://www.vietnamworks.com/personal-assistant-to-ceo--2014441-jv","Xem chi tiết")</f>
        <v/>
      </c>
      <c r="O3834" s="10" t="n"/>
    </row>
    <row r="3835">
      <c r="B3835" s="7" t="n">
        <v>3833</v>
      </c>
      <c r="C3835" t="inlineStr">
        <is>
          <t>Logistics Sales</t>
        </is>
      </c>
      <c r="D3835" t="inlineStr">
        <is>
          <t>Công Ty TNHH Eusu Logistics Việt Nam</t>
        </is>
      </c>
      <c r="E3835" t="inlineStr">
        <is>
          <t>Thương lượng</t>
        </is>
      </c>
      <c r="F3835" t="inlineStr">
        <is>
          <t>Hồ Chí Minh</t>
        </is>
      </c>
      <c r="G3835" t="inlineStr">
        <is>
          <t>Mới Tốt Nghiệp</t>
        </is>
      </c>
      <c r="H3835" t="inlineStr">
        <is>
          <t>26/02/2026</t>
        </is>
      </c>
      <c r="I3835" t="inlineStr">
        <is>
          <t>28/03/2026</t>
        </is>
      </c>
      <c r="J3835" t="inlineStr">
        <is>
          <t>17/03/2026</t>
        </is>
      </c>
      <c r="K3835" t="inlineStr">
        <is>
          <t>N/A</t>
        </is>
      </c>
      <c r="L3835" t="inlineStr">
        <is>
          <t>Sales Support, Relationship Maintaining, Sales Planning, MS Office, Problem Solving</t>
        </is>
      </c>
      <c r="M3835" t="inlineStr">
        <is>
          <t>Bonus, Healthcare Plan, Team Activities</t>
        </is>
      </c>
      <c r="N3835" s="8">
        <f>HYPERLINK("https://www.vietnamworks.com/logistics-sales--2014447-jv","Xem chi tiết")</f>
        <v/>
      </c>
    </row>
    <row r="3836">
      <c r="B3836" s="9" t="n">
        <v>3834</v>
      </c>
      <c r="C3836" s="10" t="inlineStr">
        <is>
          <t>Kế Toán Thuế</t>
        </is>
      </c>
      <c r="D3836" s="10" t="inlineStr">
        <is>
          <t>Công ty TNHH Matsuki</t>
        </is>
      </c>
      <c r="E3836" s="10" t="inlineStr">
        <is>
          <t>13tr-17tr ₫/tháng</t>
        </is>
      </c>
      <c r="F3836" s="10" t="inlineStr">
        <is>
          <t>Hà Nội</t>
        </is>
      </c>
      <c r="G3836" s="10" t="inlineStr">
        <is>
          <t>Nhân viên</t>
        </is>
      </c>
      <c r="H3836" s="10" t="inlineStr">
        <is>
          <t>26/02/2026</t>
        </is>
      </c>
      <c r="I3836" s="10" t="inlineStr">
        <is>
          <t>28/03/2026</t>
        </is>
      </c>
      <c r="J3836" s="10" t="inlineStr">
        <is>
          <t>17/03/2026</t>
        </is>
      </c>
      <c r="K3836" s="10" t="inlineStr">
        <is>
          <t>N/A</t>
        </is>
      </c>
      <c r="L3836" s="10" t="inlineStr">
        <is>
          <t>Tài Chính, Kiểm Toán, Thuế, Senior Accounting, Accounting</t>
        </is>
      </c>
      <c r="M3836" s="10" t="inlineStr">
        <is>
          <t>Bonus, Paid Leave, Training, Vouchers, Others</t>
        </is>
      </c>
      <c r="N3836" s="11">
        <f>HYPERLINK("https://www.vietnamworks.com/ke-toan-thue-2014455-jv","Xem chi tiết")</f>
        <v/>
      </c>
      <c r="O3836" s="10" t="n"/>
    </row>
    <row r="3837">
      <c r="B3837" s="7" t="n">
        <v>3835</v>
      </c>
      <c r="C3837" t="inlineStr">
        <is>
          <t>Production Deputy Manager (Wood Furniture)</t>
        </is>
      </c>
      <c r="D3837" t="inlineStr">
        <is>
          <t>VIETNAM HOUSEWARES CORP</t>
        </is>
      </c>
      <c r="E3837" t="inlineStr">
        <is>
          <t>Tới $ 2,000 /tháng</t>
        </is>
      </c>
      <c r="F3837" t="inlineStr">
        <is>
          <t>Bình Dương</t>
        </is>
      </c>
      <c r="G3837" t="inlineStr">
        <is>
          <t>Trưởng phòng</t>
        </is>
      </c>
      <c r="H3837" t="inlineStr">
        <is>
          <t>26/02/2026</t>
        </is>
      </c>
      <c r="I3837" t="inlineStr">
        <is>
          <t>28/03/2026</t>
        </is>
      </c>
      <c r="J3837" t="inlineStr">
        <is>
          <t>17/03/2026</t>
        </is>
      </c>
      <c r="K3837" t="inlineStr">
        <is>
          <t>N/A</t>
        </is>
      </c>
      <c r="L3837" t="inlineStr">
        <is>
          <t>6S, Cost Management, Process Improvement, Production Planning, Quality Control</t>
        </is>
      </c>
      <c r="M3837" t="inlineStr">
        <is>
          <t>Bonus, Healthcare Plan, Paid Leave, Training, Awards, Canteen, Others</t>
        </is>
      </c>
      <c r="N3837" s="8">
        <f>HYPERLINK("https://www.vietnamworks.com/production-deputy-manager-wood-furniture-2014458-jv","Xem chi tiết")</f>
        <v/>
      </c>
    </row>
    <row r="3838">
      <c r="B3838" s="9" t="n">
        <v>3836</v>
      </c>
      <c r="C3838" s="10" t="inlineStr">
        <is>
          <t>Interior QS</t>
        </is>
      </c>
      <c r="D3838" s="10" t="inlineStr">
        <is>
          <t>Cty TNHH Kingsmen Việt Nam</t>
        </is>
      </c>
      <c r="E3838" s="10" t="inlineStr">
        <is>
          <t>Thương lượng</t>
        </is>
      </c>
      <c r="F3838" s="10" t="inlineStr">
        <is>
          <t>Hồ Chí Minh</t>
        </is>
      </c>
      <c r="G3838" s="10" t="inlineStr">
        <is>
          <t>Nhân viên</t>
        </is>
      </c>
      <c r="H3838" s="10" t="inlineStr">
        <is>
          <t>26/02/2026</t>
        </is>
      </c>
      <c r="I3838" s="10" t="inlineStr">
        <is>
          <t>28/03/2026</t>
        </is>
      </c>
      <c r="J3838" s="10" t="inlineStr">
        <is>
          <t>17/03/2026</t>
        </is>
      </c>
      <c r="K3838" s="10" t="inlineStr">
        <is>
          <t>N/A</t>
        </is>
      </c>
      <c r="L3838" s="10" t="inlineStr">
        <is>
          <t>Bất Động Sản, Interior Architecture, Interior Design, Nội Thất, BOM</t>
        </is>
      </c>
      <c r="M3838" s="10" t="inlineStr">
        <is>
          <t>Bonus, Healthcare Plan, Others</t>
        </is>
      </c>
      <c r="N3838" s="11">
        <f>HYPERLINK("https://www.vietnamworks.com/interior-qs-2014461-jv","Xem chi tiết")</f>
        <v/>
      </c>
      <c r="O3838" s="10" t="n"/>
    </row>
    <row r="3839">
      <c r="B3839" s="7" t="n">
        <v>3837</v>
      </c>
      <c r="C3839" t="inlineStr">
        <is>
          <t>[HN/HCM] Giám Đốc Khu Vực Kinh Doanh (Thu Nhập Từ 50 - 200M)</t>
        </is>
      </c>
      <c r="D3839" t="inlineStr">
        <is>
          <t>CÔNG TY CỔ PHẦN TẬP ĐOÀN ĐẦU TƯ EMIR</t>
        </is>
      </c>
      <c r="E3839" t="inlineStr">
        <is>
          <t>50tr-200tr ₫/tháng</t>
        </is>
      </c>
      <c r="F3839" t="inlineStr">
        <is>
          <t>Hà Nội, Hồ Chí Minh</t>
        </is>
      </c>
      <c r="G3839" t="inlineStr">
        <is>
          <t>Giám Đốc và Cấp Cao Hơn</t>
        </is>
      </c>
      <c r="H3839" t="inlineStr">
        <is>
          <t>26/02/2026</t>
        </is>
      </c>
      <c r="I3839" t="inlineStr">
        <is>
          <t>28/03/2026</t>
        </is>
      </c>
      <c r="J3839" t="inlineStr">
        <is>
          <t>17/03/2026</t>
        </is>
      </c>
      <c r="K3839" t="inlineStr">
        <is>
          <t>N/A</t>
        </is>
      </c>
      <c r="L3839" t="inlineStr">
        <is>
          <t>Kinh Doanh, Bán hàng, Lập Kế Hoạch Kinh Doanh, Phát Triển Đội Ngũ Kinh Doanh, Xây Dựng Mối Quan Hệ</t>
        </is>
      </c>
      <c r="M3839" t="inlineStr">
        <is>
          <t>Bonus, Healthcare Plan, Training, Travel Opportunities, Team Activities, Others</t>
        </is>
      </c>
      <c r="N3839" s="8">
        <f>HYPERLINK("https://www.vietnamworks.com/hnhcm-giam-djoc-khu-vuc-kinh-doanh-thu-nhap-tu-50-200m-2014457-jv","Xem chi tiết")</f>
        <v/>
      </c>
    </row>
    <row r="3840">
      <c r="B3840" s="9" t="n">
        <v>3838</v>
      </c>
      <c r="C3840" s="10" t="inlineStr">
        <is>
          <t>Accountant cum Admin (Mostly Work from Home) - Only Female</t>
        </is>
      </c>
      <c r="D3840" s="10" t="inlineStr">
        <is>
          <t>Green Chemtech Vina</t>
        </is>
      </c>
      <c r="E3840" s="10" t="inlineStr">
        <is>
          <t>$$ 500-800 /tháng</t>
        </is>
      </c>
      <c r="F3840" s="10" t="inlineStr">
        <is>
          <t>Hà Nội</t>
        </is>
      </c>
      <c r="G3840" s="10" t="inlineStr">
        <is>
          <t>Nhân viên</t>
        </is>
      </c>
      <c r="H3840" s="10" t="inlineStr">
        <is>
          <t>26/02/2026</t>
        </is>
      </c>
      <c r="I3840" s="10" t="inlineStr">
        <is>
          <t>28/03/2026</t>
        </is>
      </c>
      <c r="J3840" s="10" t="inlineStr">
        <is>
          <t>17/03/2026</t>
        </is>
      </c>
      <c r="K3840" s="10" t="inlineStr">
        <is>
          <t>N/A</t>
        </is>
      </c>
      <c r="L3840" s="10" t="inlineStr">
        <is>
          <t>Tài Chính, Kế Toán Tổng Hợp, Kế Toán, Hành Chính</t>
        </is>
      </c>
      <c r="M3840" s="10" t="inlineStr">
        <is>
          <t>Bonus, Healthcare Plan, Travel Opportunities</t>
        </is>
      </c>
      <c r="N3840" s="11">
        <f>HYPERLINK("https://www.vietnamworks.com/accountant-cum-admin-mostly-work-from-home-only-female-2014459-jv","Xem chi tiết")</f>
        <v/>
      </c>
      <c r="O3840" s="10" t="n"/>
    </row>
    <row r="3841">
      <c r="B3841" s="7" t="n">
        <v>3839</v>
      </c>
      <c r="C3841" t="inlineStr">
        <is>
          <t>Chuyên Viên Quản trị và phát triển trang tin unews.la</t>
        </is>
      </c>
      <c r="D3841" t="inlineStr">
        <is>
          <t>Star Telecom (Viettel Lao)</t>
        </is>
      </c>
      <c r="E3841" t="inlineStr">
        <is>
          <t>$$ 700-1,500 /tháng</t>
        </is>
      </c>
      <c r="F3841" t="inlineStr">
        <is>
          <t>Quốc tế</t>
        </is>
      </c>
      <c r="G3841" t="inlineStr">
        <is>
          <t>Nhân viên</t>
        </is>
      </c>
      <c r="H3841" t="inlineStr">
        <is>
          <t>26/02/2026</t>
        </is>
      </c>
      <c r="I3841" t="inlineStr">
        <is>
          <t>28/03/2026</t>
        </is>
      </c>
      <c r="J3841" t="inlineStr">
        <is>
          <t>17/03/2026</t>
        </is>
      </c>
      <c r="K3841" t="inlineStr">
        <is>
          <t>N/A</t>
        </is>
      </c>
      <c r="L3841" t="inlineStr">
        <is>
          <t>Digital Marketing, Quản Trị Nội Dung Website, Truyền Thông, News Production, PR</t>
        </is>
      </c>
      <c r="M3841" t="inlineStr">
        <is>
          <t>Bonus, Paid Leave, Canteen</t>
        </is>
      </c>
      <c r="N3841" s="8">
        <f>HYPERLINK("https://www.vietnamworks.com/chuyen-vien-quan-tri-va-phat-trien-trang-tin-unews-la-2014454-jv","Xem chi tiết")</f>
        <v/>
      </c>
    </row>
    <row r="3842">
      <c r="B3842" s="9" t="n">
        <v>3840</v>
      </c>
      <c r="C3842" s="10" t="inlineStr">
        <is>
          <t>Teacher Librarian</t>
        </is>
      </c>
      <c r="D3842" s="10" t="inlineStr">
        <is>
          <t>EMASI Van Phuc - EMASI International Bilingual Schools</t>
        </is>
      </c>
      <c r="E3842" s="10" t="inlineStr">
        <is>
          <t>Thương lượng</t>
        </is>
      </c>
      <c r="F3842" s="10" t="inlineStr">
        <is>
          <t>Hồ Chí Minh</t>
        </is>
      </c>
      <c r="G3842" s="10" t="inlineStr">
        <is>
          <t>Nhân viên</t>
        </is>
      </c>
      <c r="H3842" s="10" t="inlineStr">
        <is>
          <t>26/02/2026</t>
        </is>
      </c>
      <c r="I3842" s="10" t="inlineStr">
        <is>
          <t>28/03/2026</t>
        </is>
      </c>
      <c r="J3842" s="10" t="inlineStr">
        <is>
          <t>17/03/2026</t>
        </is>
      </c>
      <c r="K3842" s="10" t="inlineStr">
        <is>
          <t>N/A</t>
        </is>
      </c>
      <c r="L3842" s="10" t="inlineStr">
        <is>
          <t>Library Science, English Teaching, Technology Integration, Teaching, Teaching Methodology</t>
        </is>
      </c>
      <c r="M3842" s="10" t="inlineStr">
        <is>
          <t>Healthcare Plan, Paid Leave, Training</t>
        </is>
      </c>
      <c r="N3842" s="11">
        <f>HYPERLINK("https://www.vietnamworks.com/teacher-librarian-2014463-jv","Xem chi tiết")</f>
        <v/>
      </c>
      <c r="O3842" s="10" t="n"/>
    </row>
    <row r="3843">
      <c r="B3843" s="7" t="n">
        <v>3841</v>
      </c>
      <c r="C3843" t="inlineStr">
        <is>
          <t>Kỹ Sư Vẽ Tekla</t>
        </is>
      </c>
      <c r="D3843" t="inlineStr">
        <is>
          <t>CÔNG TY TNHH CÔNG NGHỆ VÀ KỸ THUẬT XÂY DỰNG SIMPLE STRUCTURAL SOLUTIONS (3S)</t>
        </is>
      </c>
      <c r="E3843" t="inlineStr">
        <is>
          <t>10tr-20tr ₫/tháng</t>
        </is>
      </c>
      <c r="F3843" t="inlineStr">
        <is>
          <t>Hà Nội, Nam Định</t>
        </is>
      </c>
      <c r="G3843" t="inlineStr">
        <is>
          <t>Mới Tốt Nghiệp</t>
        </is>
      </c>
      <c r="H3843" t="inlineStr">
        <is>
          <t>26/02/2026</t>
        </is>
      </c>
      <c r="I3843" t="inlineStr">
        <is>
          <t>28/03/2026</t>
        </is>
      </c>
      <c r="J3843" t="inlineStr">
        <is>
          <t>17/03/2026</t>
        </is>
      </c>
      <c r="K3843" t="inlineStr">
        <is>
          <t>N/A</t>
        </is>
      </c>
      <c r="L3843" t="inlineStr">
        <is>
          <t>Tekla Structures, AutoCAD, Construction, Sketching, Teamwork</t>
        </is>
      </c>
      <c r="M3843" t="inlineStr">
        <is>
          <t>Bonus, Healthcare Plan, Training, Others</t>
        </is>
      </c>
      <c r="N3843" s="8">
        <f>HYPERLINK("https://www.vietnamworks.com/ky-su-ve-tekla-2014473-jv","Xem chi tiết")</f>
        <v/>
      </c>
    </row>
    <row r="3844">
      <c r="B3844" s="9" t="n">
        <v>3842</v>
      </c>
      <c r="C3844" s="10" t="inlineStr">
        <is>
          <t>Phó Phòng ME SMT</t>
        </is>
      </c>
      <c r="D3844" s="10" t="inlineStr">
        <is>
          <t>Công Ty TNHH Công Nghệ Shunyun (Hà Nội, Việt Nam)</t>
        </is>
      </c>
      <c r="E3844" s="10" t="inlineStr">
        <is>
          <t>$$ 800-1,500 /tháng</t>
        </is>
      </c>
      <c r="F3844" s="10" t="inlineStr">
        <is>
          <t>Bắc Ninh</t>
        </is>
      </c>
      <c r="G3844" s="10" t="inlineStr">
        <is>
          <t>Trưởng phòng</t>
        </is>
      </c>
      <c r="H3844" s="10" t="inlineStr">
        <is>
          <t>26/02/2026</t>
        </is>
      </c>
      <c r="I3844" s="10" t="inlineStr">
        <is>
          <t>28/03/2026</t>
        </is>
      </c>
      <c r="J3844" s="10" t="inlineStr">
        <is>
          <t>17/03/2026</t>
        </is>
      </c>
      <c r="K3844" s="10" t="inlineStr">
        <is>
          <t>N/A</t>
        </is>
      </c>
      <c r="L3844" s="10" t="inlineStr">
        <is>
          <t>Tiếng Trung Thành Thạo, SMT Engineering, Điện tử, Thiết Bị Tự Động Hóa, Kỹ Thuật</t>
        </is>
      </c>
      <c r="M3844" s="10" t="inlineStr">
        <is>
          <t>Bonus, Paid Leave, Transportation</t>
        </is>
      </c>
      <c r="N3844" s="11">
        <f>HYPERLINK("https://www.vietnamworks.com/pho-phong-me-smt-2014468-jv","Xem chi tiết")</f>
        <v/>
      </c>
      <c r="O3844" s="10" t="n"/>
    </row>
    <row r="3845">
      <c r="B3845" s="7" t="n">
        <v>3843</v>
      </c>
      <c r="C3845" t="inlineStr">
        <is>
          <t>Nhân Viên Bóc Tách Kỹ Thuật Biết Opera (Technical Take-Off &amp; Estimation Officer) - Lương Upto 30M</t>
        </is>
      </c>
      <c r="D3845" t="inlineStr">
        <is>
          <t>Glazedfrog Australia Pty. Ltd.</t>
        </is>
      </c>
      <c r="E3845" t="inlineStr">
        <is>
          <t>20tr-30tr ₫/tháng</t>
        </is>
      </c>
      <c r="F3845" t="inlineStr">
        <is>
          <t>Hồ Chí Minh</t>
        </is>
      </c>
      <c r="G3845" t="inlineStr">
        <is>
          <t>Nhân viên</t>
        </is>
      </c>
      <c r="H3845" t="inlineStr">
        <is>
          <t>26/02/2026</t>
        </is>
      </c>
      <c r="I3845" t="inlineStr">
        <is>
          <t>28/03/2026</t>
        </is>
      </c>
      <c r="J3845" t="inlineStr">
        <is>
          <t>17/03/2026</t>
        </is>
      </c>
      <c r="K3845" t="inlineStr">
        <is>
          <t>N/A</t>
        </is>
      </c>
      <c r="L3845" t="inlineStr">
        <is>
          <t>Technical Drawing, Opera Software Proficiency, Cost Estimation, Autocad, Gia Công Nhôm Kính</t>
        </is>
      </c>
      <c r="M3845" t="inlineStr">
        <is>
          <t>Healthcare Plan, Paid Leave, Team Activities, Others</t>
        </is>
      </c>
      <c r="N3845" s="8">
        <f>HYPERLINK("https://www.vietnamworks.com/nhan-vien-boc-tach-ky-thuat-biet-opera-technical-take-off-estimation-officer-luong-upto-30m-2014471-jv","Xem chi tiết")</f>
        <v/>
      </c>
    </row>
    <row r="3846">
      <c r="B3846" s="9" t="n">
        <v>3844</v>
      </c>
      <c r="C3846" s="10" t="inlineStr">
        <is>
          <t>Customer Service Staff (E-Commerce) – Ca Đêm</t>
        </is>
      </c>
      <c r="D3846" s="10" t="inlineStr">
        <is>
          <t>CÔNG TY TNHH BOXGATE</t>
        </is>
      </c>
      <c r="E3846" s="10" t="inlineStr">
        <is>
          <t>$$ 420-500 /tháng</t>
        </is>
      </c>
      <c r="F3846" s="10" t="inlineStr">
        <is>
          <t>Hồ Chí Minh</t>
        </is>
      </c>
      <c r="G3846" s="10" t="inlineStr">
        <is>
          <t>Nhân viên</t>
        </is>
      </c>
      <c r="H3846" s="10" t="inlineStr">
        <is>
          <t>26/02/2026</t>
        </is>
      </c>
      <c r="I3846" s="10" t="inlineStr">
        <is>
          <t>28/03/2026</t>
        </is>
      </c>
      <c r="J3846" s="10" t="inlineStr">
        <is>
          <t>17/03/2026</t>
        </is>
      </c>
      <c r="K3846" s="10" t="inlineStr">
        <is>
          <t>N/A</t>
        </is>
      </c>
      <c r="L3846" s="10" t="inlineStr">
        <is>
          <t>Xử Lý Khiếu Nại, Chăm Sóc Khách Hàng, Customer Service, Nhận hotline, Giải đáp thắc mắc</t>
        </is>
      </c>
      <c r="M3846" s="10" t="inlineStr">
        <is>
          <t>Bonus, Healthcare Plan, Paid Leave</t>
        </is>
      </c>
      <c r="N3846" s="11">
        <f>HYPERLINK("https://www.vietnamworks.com/customer-service-staff-e-commerce-ca-djem-2014475-jv","Xem chi tiết")</f>
        <v/>
      </c>
      <c r="O3846" s="10" t="n"/>
    </row>
    <row r="3847">
      <c r="B3847" s="7" t="n">
        <v>3845</v>
      </c>
      <c r="C3847" t="inlineStr">
        <is>
          <t>Senior HR Generalist (Mạnh C&amp;B)</t>
        </is>
      </c>
      <c r="D3847" t="inlineStr">
        <is>
          <t>Công Ty Cổ Phần Thaiholdings</t>
        </is>
      </c>
      <c r="E3847" t="inlineStr">
        <is>
          <t>Thương lượng</t>
        </is>
      </c>
      <c r="F3847" t="inlineStr">
        <is>
          <t>Hà Nội</t>
        </is>
      </c>
      <c r="G3847" t="inlineStr">
        <is>
          <t>Nhân viên</t>
        </is>
      </c>
      <c r="H3847" t="inlineStr">
        <is>
          <t>26/02/2026</t>
        </is>
      </c>
      <c r="I3847" t="inlineStr">
        <is>
          <t>28/03/2026</t>
        </is>
      </c>
      <c r="J3847" t="inlineStr">
        <is>
          <t>17/03/2026</t>
        </is>
      </c>
      <c r="K3847" t="inlineStr">
        <is>
          <t>N/A</t>
        </is>
      </c>
      <c r="L3847" t="inlineStr">
        <is>
          <t>HR, Hr Generalist Experience, Nhân Sự Tổng Hợp, C&amp;B, Chế độ phúc lợi</t>
        </is>
      </c>
      <c r="M3847" t="inlineStr">
        <is>
          <t>Bonus, Healthcare Plan, Team Activities</t>
        </is>
      </c>
      <c r="N3847" s="8">
        <f>HYPERLINK("https://www.vietnamworks.com/senior-hr-generalist-manh-c-b-2014480-jv","Xem chi tiết")</f>
        <v/>
      </c>
    </row>
    <row r="3848">
      <c r="B3848" s="9" t="n">
        <v>3846</v>
      </c>
      <c r="C3848" s="10" t="inlineStr">
        <is>
          <t>Chuyên Viên Kinh Doanh/ Sale B2B [ Lương Cứng 15-30Tr]</t>
        </is>
      </c>
      <c r="D3848" s="10" t="inlineStr">
        <is>
          <t>CÔNG TY CỔ PHẦN OPEN HEALTHCARE VIỆT NAM</t>
        </is>
      </c>
      <c r="E3848" s="10" t="inlineStr">
        <is>
          <t>15tr-30tr ₫/tháng</t>
        </is>
      </c>
      <c r="F3848" s="10" t="inlineStr">
        <is>
          <t>Hà Nội</t>
        </is>
      </c>
      <c r="G3848" s="10" t="inlineStr">
        <is>
          <t>Nhân viên</t>
        </is>
      </c>
      <c r="H3848" s="10" t="inlineStr">
        <is>
          <t>26/02/2026</t>
        </is>
      </c>
      <c r="I3848" s="10" t="inlineStr">
        <is>
          <t>28/03/2026</t>
        </is>
      </c>
      <c r="J3848" s="10" t="inlineStr">
        <is>
          <t>17/03/2026</t>
        </is>
      </c>
      <c r="K3848" s="10" t="inlineStr">
        <is>
          <t>N/A</t>
        </is>
      </c>
      <c r="L3848" s="10" t="inlineStr">
        <is>
          <t>Sales, sale B2B, Chuyên Viên Kinh Doanh, Business Development, Customer Service</t>
        </is>
      </c>
      <c r="M3848" s="10" t="inlineStr">
        <is>
          <t>Bonus, Healthcare Plan, Training</t>
        </is>
      </c>
      <c r="N3848" s="11">
        <f>HYPERLINK("https://www.vietnamworks.com/chuyen-vien-kinh-doanh-sale-b2b-luong-cung-15-30tr-2014465-jv","Xem chi tiết")</f>
        <v/>
      </c>
      <c r="O3848" s="10" t="n"/>
    </row>
    <row r="3849">
      <c r="B3849" s="7" t="n">
        <v>3847</v>
      </c>
      <c r="C3849" t="inlineStr">
        <is>
          <t>Senior Graphic Designer</t>
        </is>
      </c>
      <c r="D3849" t="inlineStr">
        <is>
          <t>Công Ty TNHH Vẻ Đẹp Francia</t>
        </is>
      </c>
      <c r="E3849" t="inlineStr">
        <is>
          <t>Thương lượng</t>
        </is>
      </c>
      <c r="F3849" t="inlineStr">
        <is>
          <t>Hồ Chí Minh</t>
        </is>
      </c>
      <c r="G3849" t="inlineStr">
        <is>
          <t>Nhân viên</t>
        </is>
      </c>
      <c r="H3849" t="inlineStr">
        <is>
          <t>26/02/2026</t>
        </is>
      </c>
      <c r="I3849" t="inlineStr">
        <is>
          <t>28/03/2026</t>
        </is>
      </c>
      <c r="J3849" t="inlineStr">
        <is>
          <t>17/03/2026</t>
        </is>
      </c>
      <c r="K3849" t="inlineStr">
        <is>
          <t>N/A</t>
        </is>
      </c>
      <c r="L3849" t="inlineStr">
        <is>
          <t>Art Directing, Photoshop, Printing and Final Artwork, Social Media, Video Editing</t>
        </is>
      </c>
      <c r="M3849" t="inlineStr">
        <is>
          <t>Others</t>
        </is>
      </c>
      <c r="N3849" s="8">
        <f>HYPERLINK("https://www.vietnamworks.com/senior-graphic-designer-2014484-jv","Xem chi tiết")</f>
        <v/>
      </c>
    </row>
    <row r="3850">
      <c r="B3850" s="9" t="n">
        <v>3848</v>
      </c>
      <c r="C3850" s="10" t="inlineStr">
        <is>
          <t>Tuyển Phiên Dịch Tiếng Nhật</t>
        </is>
      </c>
      <c r="D3850" s="10" t="inlineStr">
        <is>
          <t>Công Ty TNHH Công Nghệ Sinh Học Konishi Việt Nam</t>
        </is>
      </c>
      <c r="E3850" s="10" t="inlineStr">
        <is>
          <t>Từ $ 550 /tháng</t>
        </is>
      </c>
      <c r="F3850" s="10" t="inlineStr">
        <is>
          <t>Bắc Ninh</t>
        </is>
      </c>
      <c r="G3850" s="10" t="inlineStr">
        <is>
          <t>Nhân viên</t>
        </is>
      </c>
      <c r="H3850" s="10" t="inlineStr">
        <is>
          <t>26/02/2026</t>
        </is>
      </c>
      <c r="I3850" s="10" t="inlineStr">
        <is>
          <t>28/03/2026</t>
        </is>
      </c>
      <c r="J3850" s="10" t="inlineStr">
        <is>
          <t>17/03/2026</t>
        </is>
      </c>
      <c r="K3850" s="10" t="inlineStr">
        <is>
          <t>N/A</t>
        </is>
      </c>
      <c r="L3850" s="10" t="inlineStr">
        <is>
          <t>Tiếng Nhật N2, Dịch Thuật, Hỗ trợ khách hàng, Hỗ Trợ Dịch Tài Liệu, Japanese N2</t>
        </is>
      </c>
      <c r="M3850" s="10" t="inlineStr">
        <is>
          <t>Bonus, Healthcare Plan, Team Activities, Others</t>
        </is>
      </c>
      <c r="N3850" s="11">
        <f>HYPERLINK("https://www.vietnamworks.com/tuyen-phien-dich-tieng-nhat-2014470-jv","Xem chi tiết")</f>
        <v/>
      </c>
      <c r="O3850" s="10" t="n"/>
    </row>
    <row r="3851">
      <c r="B3851" s="7" t="n">
        <v>3849</v>
      </c>
      <c r="C3851" t="inlineStr">
        <is>
          <t>Kế Toán Trưởng</t>
        </is>
      </c>
      <c r="D3851" t="inlineStr">
        <is>
          <t>Công ty TNHH Matsuki</t>
        </is>
      </c>
      <c r="E3851" t="inlineStr">
        <is>
          <t>20tr-30tr ₫/tháng</t>
        </is>
      </c>
      <c r="F3851" t="inlineStr">
        <is>
          <t>Hà Nội</t>
        </is>
      </c>
      <c r="G3851" t="inlineStr">
        <is>
          <t>Trưởng phòng</t>
        </is>
      </c>
      <c r="H3851" t="inlineStr">
        <is>
          <t>26/02/2026</t>
        </is>
      </c>
      <c r="I3851" t="inlineStr">
        <is>
          <t>28/03/2026</t>
        </is>
      </c>
      <c r="J3851" t="inlineStr">
        <is>
          <t>17/03/2026</t>
        </is>
      </c>
      <c r="K3851" t="inlineStr">
        <is>
          <t>N/A</t>
        </is>
      </c>
      <c r="L3851" t="inlineStr">
        <is>
          <t>Quản Trị Tài Chính, kế toán trưởng, Kiểm Soát Nội Bộ, Luật Kế Toán, Quy Định Thuế</t>
        </is>
      </c>
      <c r="M3851" t="inlineStr">
        <is>
          <t>Bonus, Paid Leave, Training, Others</t>
        </is>
      </c>
      <c r="N3851" s="8">
        <f>HYPERLINK("https://www.vietnamworks.com/ke-toan-truong-2014462-jv","Xem chi tiết")</f>
        <v/>
      </c>
    </row>
    <row r="3852">
      <c r="B3852" s="9" t="n">
        <v>3850</v>
      </c>
      <c r="C3852" s="10" t="inlineStr">
        <is>
          <t>Nhân Viên Sales Admin</t>
        </is>
      </c>
      <c r="D3852" s="10" t="inlineStr">
        <is>
          <t>Công ty CP Phú Mai Anh</t>
        </is>
      </c>
      <c r="E3852" s="10" t="inlineStr">
        <is>
          <t>Thương lượng</t>
        </is>
      </c>
      <c r="F3852" s="10" t="inlineStr">
        <is>
          <t>Hồ Chí Minh</t>
        </is>
      </c>
      <c r="G3852" s="10" t="inlineStr">
        <is>
          <t>Nhân viên</t>
        </is>
      </c>
      <c r="H3852" s="10" t="inlineStr">
        <is>
          <t>26/02/2026</t>
        </is>
      </c>
      <c r="I3852" s="10" t="inlineStr">
        <is>
          <t>28/03/2026</t>
        </is>
      </c>
      <c r="J3852" s="10" t="inlineStr">
        <is>
          <t>17/03/2026</t>
        </is>
      </c>
      <c r="K3852" s="10" t="inlineStr">
        <is>
          <t>N/A</t>
        </is>
      </c>
      <c r="L3852" s="10" t="inlineStr">
        <is>
          <t>Quản Trị Kinh Doanh, Kinh Doanh, Tiếng Anh, Hỗ Trợ Kinh Doanh, Sale admin</t>
        </is>
      </c>
      <c r="M3852" s="10" t="inlineStr">
        <is>
          <t>Bonus, Training, Team Activities, Others</t>
        </is>
      </c>
      <c r="N3852" s="11">
        <f>HYPERLINK("https://www.vietnamworks.com/nhan-vien-sales-admin-2014491-jv","Xem chi tiết")</f>
        <v/>
      </c>
      <c r="O3852" s="10" t="n"/>
    </row>
    <row r="3853">
      <c r="B3853" s="7" t="n">
        <v>3851</v>
      </c>
      <c r="C3853" t="inlineStr">
        <is>
          <t>Trưởng Phòng Marketing &amp; Truyền Thông</t>
        </is>
      </c>
      <c r="D3853" t="inlineStr">
        <is>
          <t>Công Ty Cổ Phần Tập đoàn Sơn Phúc</t>
        </is>
      </c>
      <c r="E3853" t="inlineStr">
        <is>
          <t>Thương lượng</t>
        </is>
      </c>
      <c r="F3853" t="inlineStr">
        <is>
          <t>Hà Nội</t>
        </is>
      </c>
      <c r="G3853" t="inlineStr">
        <is>
          <t>Trưởng phòng</t>
        </is>
      </c>
      <c r="H3853" t="inlineStr">
        <is>
          <t>26/02/2026</t>
        </is>
      </c>
      <c r="I3853" t="inlineStr">
        <is>
          <t>28/03/2026</t>
        </is>
      </c>
      <c r="J3853" t="inlineStr">
        <is>
          <t>17/03/2026</t>
        </is>
      </c>
      <c r="K3853" t="inlineStr">
        <is>
          <t>N/A</t>
        </is>
      </c>
      <c r="L3853" t="inlineStr">
        <is>
          <t>Marketing Online, Offline Marketing, Quản Trị Kinh Doanh, Truyền Thông, Marketing Management</t>
        </is>
      </c>
      <c r="M3853" t="inlineStr">
        <is>
          <t>Bonus, Healthcare Plan, Paid Leave, Travel Opportunities, Others</t>
        </is>
      </c>
      <c r="N3853" s="8">
        <f>HYPERLINK("https://www.vietnamworks.com/truong-phong-marketing-and-truyen-thong-2014479-jv","Xem chi tiết")</f>
        <v/>
      </c>
    </row>
    <row r="3854">
      <c r="B3854" s="9" t="n">
        <v>3852</v>
      </c>
      <c r="C3854" s="10" t="inlineStr">
        <is>
          <t>CAD Operator</t>
        </is>
      </c>
      <c r="D3854" s="10" t="inlineStr">
        <is>
          <t>Công Ty TNHH Yondenko Việt Nam</t>
        </is>
      </c>
      <c r="E3854" s="10" t="inlineStr">
        <is>
          <t>$$ 330-550 /tháng</t>
        </is>
      </c>
      <c r="F3854" s="10" t="inlineStr">
        <is>
          <t>Hồ Chí Minh</t>
        </is>
      </c>
      <c r="G3854" s="10" t="inlineStr">
        <is>
          <t>Nhân viên</t>
        </is>
      </c>
      <c r="H3854" s="10" t="inlineStr">
        <is>
          <t>26/02/2026</t>
        </is>
      </c>
      <c r="I3854" s="10" t="inlineStr">
        <is>
          <t>28/03/2026</t>
        </is>
      </c>
      <c r="J3854" s="10" t="inlineStr">
        <is>
          <t>17/03/2026</t>
        </is>
      </c>
      <c r="K3854" s="10" t="inlineStr">
        <is>
          <t>N/A</t>
        </is>
      </c>
      <c r="L3854" s="10" t="inlineStr">
        <is>
          <t>CAD Software, Electrical Engineering, Japanese Speaking, Construction Drawing, Communication</t>
        </is>
      </c>
      <c r="M3854" s="10" t="inlineStr">
        <is>
          <t>Bonus, Healthcare Plan, Paid Leave, Training, Travel Opportunities, Others</t>
        </is>
      </c>
      <c r="N3854" s="11">
        <f>HYPERLINK("https://www.vietnamworks.com/cad-operator-2014485-jv","Xem chi tiết")</f>
        <v/>
      </c>
      <c r="O3854" s="10" t="n"/>
    </row>
    <row r="3855">
      <c r="B3855" s="7" t="n">
        <v>3853</v>
      </c>
      <c r="C3855" t="inlineStr">
        <is>
          <t>Kế Toán Trưởng (Thu Nhập Cao)</t>
        </is>
      </c>
      <c r="D3855" t="inlineStr">
        <is>
          <t>Công Ty Cổ Phần Vật Liệu Vĩnh Tân</t>
        </is>
      </c>
      <c r="E3855" t="inlineStr">
        <is>
          <t>20tr-30tr ₫/tháng</t>
        </is>
      </c>
      <c r="F3855" t="inlineStr">
        <is>
          <t>Bắc Ninh</t>
        </is>
      </c>
      <c r="G3855" t="inlineStr">
        <is>
          <t>Trưởng phòng</t>
        </is>
      </c>
      <c r="H3855" t="inlineStr">
        <is>
          <t>26/02/2026</t>
        </is>
      </c>
      <c r="I3855" t="inlineStr">
        <is>
          <t>28/03/2026</t>
        </is>
      </c>
      <c r="J3855" t="inlineStr">
        <is>
          <t>17/03/2026</t>
        </is>
      </c>
      <c r="K3855" t="inlineStr">
        <is>
          <t>N/A</t>
        </is>
      </c>
      <c r="L3855" t="inlineStr">
        <is>
          <t>Báo Cáo Tài Chính, Kế Toán Trưởng, Lãnh Đạo, Quản Lý Tài Chính, Thống Kê Kế Toán</t>
        </is>
      </c>
      <c r="M3855" t="inlineStr">
        <is>
          <t>Bonus, Healthcare Plan, Others</t>
        </is>
      </c>
      <c r="N3855" s="8">
        <f>HYPERLINK("https://www.vietnamworks.com/ke-toan-truong-thu-nhap-cao-2014489-jv","Xem chi tiết")</f>
        <v/>
      </c>
    </row>
    <row r="3856">
      <c r="B3856" s="9" t="n">
        <v>3854</v>
      </c>
      <c r="C3856" s="10" t="inlineStr">
        <is>
          <t>Chuyên viên Data Marketing &amp; Growth (SuperAPP và OTT TV) - Cơ hội \</t>
        </is>
      </c>
      <c r="D3856" s="10" t="inlineStr">
        <is>
          <t>Star Telecom (Viettel Lao)</t>
        </is>
      </c>
      <c r="E3856" s="10" t="inlineStr">
        <is>
          <t>$$ 700-1,500 /tháng</t>
        </is>
      </c>
      <c r="F3856" s="10" t="inlineStr">
        <is>
          <t>Quốc tế</t>
        </is>
      </c>
      <c r="G3856" s="10" t="inlineStr">
        <is>
          <t>Nhân viên</t>
        </is>
      </c>
      <c r="H3856" s="10" t="inlineStr">
        <is>
          <t>26/02/2026</t>
        </is>
      </c>
      <c r="I3856" s="10" t="inlineStr">
        <is>
          <t>28/03/2026</t>
        </is>
      </c>
      <c r="J3856" s="10" t="inlineStr">
        <is>
          <t>17/03/2026</t>
        </is>
      </c>
      <c r="K3856" s="10" t="inlineStr">
        <is>
          <t>N/A</t>
        </is>
      </c>
      <c r="L3856" s="10" t="inlineStr">
        <is>
          <t>Digital Marketing, Data Analysis, Data-Driven, E-Commerce, MS Excel</t>
        </is>
      </c>
      <c r="M3856" s="10" t="inlineStr">
        <is>
          <t>Bonus, Paid Leave, Canteen</t>
        </is>
      </c>
      <c r="N3856" s="11">
        <f>HYPERLINK("https://www.vietnamworks.com/chuyen-vien-data-marketing-and-growth-superapp-va-ott-tv-co-hoi-dan-than-tai-lao-2014469-jv","Xem chi tiết")</f>
        <v/>
      </c>
      <c r="O3856" s="10" t="n"/>
    </row>
    <row r="3857">
      <c r="B3857" s="7" t="n">
        <v>3855</v>
      </c>
      <c r="C3857" t="inlineStr">
        <is>
          <t>Nhân Viên Công Nợ</t>
        </is>
      </c>
      <c r="D3857" t="inlineStr">
        <is>
          <t>Công Ty TNHH Thiết Bị Minh Tâm (Mitalab Co., Ltd)</t>
        </is>
      </c>
      <c r="E3857" t="inlineStr">
        <is>
          <t>Thương lượng</t>
        </is>
      </c>
      <c r="F3857" t="inlineStr">
        <is>
          <t>Cần Thơ</t>
        </is>
      </c>
      <c r="G3857" t="inlineStr">
        <is>
          <t>Nhân viên</t>
        </is>
      </c>
      <c r="H3857" t="inlineStr">
        <is>
          <t>26/02/2026</t>
        </is>
      </c>
      <c r="I3857" t="inlineStr">
        <is>
          <t>28/03/2026</t>
        </is>
      </c>
      <c r="J3857" t="inlineStr">
        <is>
          <t>17/03/2026</t>
        </is>
      </c>
      <c r="K3857" t="inlineStr">
        <is>
          <t>N/A</t>
        </is>
      </c>
      <c r="L3857" t="inlineStr">
        <is>
          <t>Theo Dõi Công Nợ, Kế Toán Công Nợ, Công Nợ, Chăm Sóc Khách Hàng, Thiết Bị Y Tế</t>
        </is>
      </c>
      <c r="M3857" t="inlineStr">
        <is>
          <t>Bonus, Training, Travel Opportunities</t>
        </is>
      </c>
      <c r="N3857" s="8">
        <f>HYPERLINK("https://www.vietnamworks.com/nhan-vien-cong-no-2014486-jv","Xem chi tiết")</f>
        <v/>
      </c>
    </row>
    <row r="3858">
      <c r="B3858" s="9" t="n">
        <v>3856</v>
      </c>
      <c r="C3858" s="10" t="inlineStr">
        <is>
          <t>Kỹ Sư Xây Dựng Hạ Tầng Kỹ Thuật</t>
        </is>
      </c>
      <c r="D3858" s="10" t="inlineStr">
        <is>
          <t>Tổng Công Ty Phát Triển Đô Thị Kinh Bắc (KBC)</t>
        </is>
      </c>
      <c r="E3858" s="10" t="inlineStr">
        <is>
          <t>Thương lượng</t>
        </is>
      </c>
      <c r="F3858" s="10" t="inlineStr">
        <is>
          <t>Thái Nguyên, Hà Nội</t>
        </is>
      </c>
      <c r="G3858" s="10" t="inlineStr">
        <is>
          <t>Nhân viên</t>
        </is>
      </c>
      <c r="H3858" s="10" t="inlineStr">
        <is>
          <t>26/02/2026</t>
        </is>
      </c>
      <c r="I3858" s="10" t="inlineStr">
        <is>
          <t>28/03/2026</t>
        </is>
      </c>
      <c r="J3858" s="10" t="inlineStr">
        <is>
          <t>17/03/2026</t>
        </is>
      </c>
      <c r="K3858" s="10" t="inlineStr">
        <is>
          <t>N/A</t>
        </is>
      </c>
      <c r="L3858" s="10" t="inlineStr">
        <is>
          <t>Quản Lý Thi Công, Kỹ Thuật Xây Dựng, Bóc Tách Khối Lượng, Hạ Tầng Kỹ Thuật, Lập Dự Toán</t>
        </is>
      </c>
      <c r="M3858" s="10" t="inlineStr">
        <is>
          <t>Bonus, Healthcare Plan, Team Activities, Transportation</t>
        </is>
      </c>
      <c r="N3858" s="11">
        <f>HYPERLINK("https://www.vietnamworks.com/ky-su-xay-dung-ha-tang-ky-thuat-2014492-jv","Xem chi tiết")</f>
        <v/>
      </c>
      <c r="O3858" s="10" t="n"/>
    </row>
    <row r="3859">
      <c r="B3859" s="7" t="n">
        <v>3857</v>
      </c>
      <c r="C3859" t="inlineStr">
        <is>
          <t>Production Planner at Hue - Fluent English</t>
        </is>
      </c>
      <c r="D3859" t="inlineStr">
        <is>
          <t>An Viet Thinh Co., Ltd (Eurofar Internaltional B.V)</t>
        </is>
      </c>
      <c r="E3859" t="inlineStr">
        <is>
          <t>Thương lượng</t>
        </is>
      </c>
      <c r="F3859" t="inlineStr">
        <is>
          <t>Thừa Thiên Huế</t>
        </is>
      </c>
      <c r="G3859" t="inlineStr">
        <is>
          <t>Nhân viên</t>
        </is>
      </c>
      <c r="H3859" t="inlineStr">
        <is>
          <t>26/02/2026</t>
        </is>
      </c>
      <c r="I3859" t="inlineStr">
        <is>
          <t>28/03/2026</t>
        </is>
      </c>
      <c r="J3859" t="inlineStr">
        <is>
          <t>17/03/2026</t>
        </is>
      </c>
      <c r="K3859" t="inlineStr">
        <is>
          <t>N/A</t>
        </is>
      </c>
      <c r="L3859" t="inlineStr">
        <is>
          <t>Production Planning, Analytical Skills, ERP Systems, Negotiation Skills, Furniture</t>
        </is>
      </c>
      <c r="M3859" t="inlineStr">
        <is>
          <t>Bonus, Healthcare Plan, Paid Leave, Training, Awards, Laptop, Team Activities, Others</t>
        </is>
      </c>
      <c r="N3859" s="8">
        <f>HYPERLINK("https://www.vietnamworks.com/production-planner-at-hue-fluent-english-2014488-jv","Xem chi tiết")</f>
        <v/>
      </c>
    </row>
    <row r="3860">
      <c r="B3860" s="9" t="n">
        <v>3858</v>
      </c>
      <c r="C3860" s="10" t="inlineStr">
        <is>
          <t>Chuyên viên quản lý dự án CNTT - IT Project Manager</t>
        </is>
      </c>
      <c r="D3860" s="10" t="inlineStr">
        <is>
          <t>Star Telecom (Viettel Lao)</t>
        </is>
      </c>
      <c r="E3860" s="10" t="inlineStr">
        <is>
          <t>15tr-30tr ₫/tháng</t>
        </is>
      </c>
      <c r="F3860" s="10" t="inlineStr">
        <is>
          <t>Quốc tế</t>
        </is>
      </c>
      <c r="G3860" s="10" t="inlineStr">
        <is>
          <t>Nhân viên</t>
        </is>
      </c>
      <c r="H3860" s="10" t="inlineStr">
        <is>
          <t>26/02/2026</t>
        </is>
      </c>
      <c r="I3860" s="10" t="inlineStr">
        <is>
          <t>28/03/2026</t>
        </is>
      </c>
      <c r="J3860" s="10" t="inlineStr">
        <is>
          <t>17/03/2026</t>
        </is>
      </c>
      <c r="K3860" s="10" t="inlineStr">
        <is>
          <t>N/A</t>
        </is>
      </c>
      <c r="L3860" s="10" t="inlineStr">
        <is>
          <t>Conflict Resolution, Giao Tiếp Đàm Phán, IT Business Analyst, Outsource IT Management, Project Management</t>
        </is>
      </c>
      <c r="M3860" s="10" t="inlineStr">
        <is>
          <t>Bonus, Paid Leave, Canteen</t>
        </is>
      </c>
      <c r="N3860" s="11">
        <f>HYPERLINK("https://www.vietnamworks.com/chuyen-vien-quan-ly-du-an-cntt-it-project-manager-2014487-jv","Xem chi tiết")</f>
        <v/>
      </c>
      <c r="O3860" s="10" t="n"/>
    </row>
    <row r="3861">
      <c r="B3861" s="7" t="n">
        <v>3859</v>
      </c>
      <c r="C3861" t="inlineStr">
        <is>
          <t>Nhân Viên Kế Toán Tổng Hợp (Thu Nhập Upto 20Tr/tháng)</t>
        </is>
      </c>
      <c r="D3861" t="inlineStr">
        <is>
          <t>Công Ty Cổ Phần Thương Mại Âu Á</t>
        </is>
      </c>
      <c r="E3861" t="inlineStr">
        <is>
          <t>15tr-20tr ₫/tháng</t>
        </is>
      </c>
      <c r="F3861" t="inlineStr">
        <is>
          <t>Hà Nội</t>
        </is>
      </c>
      <c r="G3861" t="inlineStr">
        <is>
          <t>Nhân viên</t>
        </is>
      </c>
      <c r="H3861" t="inlineStr">
        <is>
          <t>26/02/2026</t>
        </is>
      </c>
      <c r="I3861" t="inlineStr">
        <is>
          <t>28/03/2026</t>
        </is>
      </c>
      <c r="J3861" t="inlineStr">
        <is>
          <t>17/03/2026</t>
        </is>
      </c>
      <c r="K3861" t="inlineStr">
        <is>
          <t>N/A</t>
        </is>
      </c>
      <c r="L3861" t="inlineStr">
        <is>
          <t>Báo Cáo Tài Chính, Lưu Trữ Chứng Từ, Phần Mềm Kế Toán, Phân Tích Báo Cáo, Quyết Toán Thuế</t>
        </is>
      </c>
      <c r="M3861" t="inlineStr">
        <is>
          <t>Bonus, Healthcare Plan, Paid Leave, Training, Others</t>
        </is>
      </c>
      <c r="N3861" s="8">
        <f>HYPERLINK("https://www.vietnamworks.com/nhan-vien-ke-toan-tong-hop-thu-nhap-upto-20tr-thang-2014477-jv","Xem chi tiết")</f>
        <v/>
      </c>
    </row>
    <row r="3862">
      <c r="B3862" s="9" t="n">
        <v>3860</v>
      </c>
      <c r="C3862" s="10" t="inlineStr">
        <is>
          <t>Supplier Quality Engineer</t>
        </is>
      </c>
      <c r="D3862" s="10" t="inlineStr">
        <is>
          <t>Công Ty TNHH Therm- X System Việt Nam Technology</t>
        </is>
      </c>
      <c r="E3862" s="10" t="inlineStr">
        <is>
          <t>Thương lượng</t>
        </is>
      </c>
      <c r="F3862" s="10" t="inlineStr">
        <is>
          <t>Bình Dương</t>
        </is>
      </c>
      <c r="G3862" s="10" t="inlineStr">
        <is>
          <t>Nhân viên</t>
        </is>
      </c>
      <c r="H3862" s="10" t="inlineStr">
        <is>
          <t>26/02/2026</t>
        </is>
      </c>
      <c r="I3862" s="10" t="inlineStr">
        <is>
          <t>28/03/2026</t>
        </is>
      </c>
      <c r="J3862" s="10" t="inlineStr">
        <is>
          <t>17/03/2026</t>
        </is>
      </c>
      <c r="K3862" s="10" t="inlineStr">
        <is>
          <t>N/A</t>
        </is>
      </c>
      <c r="L3862" s="10" t="inlineStr">
        <is>
          <t>Quality Management, Supplier Audit, MS Office, Hóa Học, Tiếng Anh</t>
        </is>
      </c>
      <c r="M3862" s="10" t="inlineStr">
        <is>
          <t>Bonus, Healthcare Plan, Paid Leave, Training, Laptop, Others</t>
        </is>
      </c>
      <c r="N3862" s="11">
        <f>HYPERLINK("https://www.vietnamworks.com/supplier-quality-engineer-2014493-jv","Xem chi tiết")</f>
        <v/>
      </c>
      <c r="O3862" s="10" t="n"/>
    </row>
    <row r="3863">
      <c r="B3863" s="7" t="n">
        <v>3861</v>
      </c>
      <c r="C3863" t="inlineStr">
        <is>
          <t>Business Development Executive (Sourcing)</t>
        </is>
      </c>
      <c r="D3863" t="inlineStr">
        <is>
          <t>Công ty CP Phú Mai Anh</t>
        </is>
      </c>
      <c r="E3863" t="inlineStr">
        <is>
          <t>Thương lượng</t>
        </is>
      </c>
      <c r="F3863" t="inlineStr">
        <is>
          <t>Hồ Chí Minh</t>
        </is>
      </c>
      <c r="G3863" t="inlineStr">
        <is>
          <t>Nhân viên</t>
        </is>
      </c>
      <c r="H3863" t="inlineStr">
        <is>
          <t>26/02/2026</t>
        </is>
      </c>
      <c r="I3863" t="inlineStr">
        <is>
          <t>28/03/2026</t>
        </is>
      </c>
      <c r="J3863" t="inlineStr">
        <is>
          <t>17/03/2026</t>
        </is>
      </c>
      <c r="K3863" t="inlineStr">
        <is>
          <t>N/A</t>
        </is>
      </c>
      <c r="L3863" t="inlineStr">
        <is>
          <t>Market Knowledge, Negotiation, Product Development, Business Development, Sale &amp; Business development</t>
        </is>
      </c>
      <c r="M3863" t="inlineStr">
        <is>
          <t>Bonus, Training, Team Activities</t>
        </is>
      </c>
      <c r="N3863" s="8">
        <f>HYPERLINK("https://www.vietnamworks.com/business-development-executive-sourcing-2014494-jv","Xem chi tiết")</f>
        <v/>
      </c>
    </row>
    <row r="3864">
      <c r="B3864" s="9" t="n">
        <v>3862</v>
      </c>
      <c r="C3864" s="10" t="inlineStr">
        <is>
          <t>Nhân Viên Nghiên Cứu Và Phát Triển (R&amp;D)</t>
        </is>
      </c>
      <c r="D3864" s="10" t="inlineStr">
        <is>
          <t>Công ty CP Phú Mai Anh</t>
        </is>
      </c>
      <c r="E3864" s="10" t="inlineStr">
        <is>
          <t>Thương lượng</t>
        </is>
      </c>
      <c r="F3864" s="10" t="inlineStr">
        <is>
          <t>Hồ Chí Minh</t>
        </is>
      </c>
      <c r="G3864" s="10" t="inlineStr">
        <is>
          <t>Nhân viên</t>
        </is>
      </c>
      <c r="H3864" s="10" t="inlineStr">
        <is>
          <t>26/02/2026</t>
        </is>
      </c>
      <c r="I3864" s="10" t="inlineStr">
        <is>
          <t>28/03/2026</t>
        </is>
      </c>
      <c r="J3864" s="10" t="inlineStr">
        <is>
          <t>17/03/2026</t>
        </is>
      </c>
      <c r="K3864" s="10" t="inlineStr">
        <is>
          <t>N/A</t>
        </is>
      </c>
      <c r="L3864" s="10" t="inlineStr">
        <is>
          <t>Công Nghệ Thực Phẩm, Kĩ Thuật Sản Phẩm, Phân Tích Da, Hóa Sinh, Research</t>
        </is>
      </c>
      <c r="M3864" s="10" t="inlineStr">
        <is>
          <t>Bonus, Training, Team Activities</t>
        </is>
      </c>
      <c r="N3864" s="11">
        <f>HYPERLINK("https://www.vietnamworks.com/nhan-vien-nghien-cuu-va-phat-trien-randampd-2014497-jv","Xem chi tiết")</f>
        <v/>
      </c>
      <c r="O3864" s="10" t="n"/>
    </row>
    <row r="3865">
      <c r="B3865" s="7" t="n">
        <v>3863</v>
      </c>
      <c r="C3865" t="inlineStr">
        <is>
          <t>Vietnamese PE Teacher for Ay 26/27 in Hoa Lac</t>
        </is>
      </c>
      <c r="D3865" t="inlineStr">
        <is>
          <t>TH School</t>
        </is>
      </c>
      <c r="E3865" t="inlineStr">
        <is>
          <t>Thương lượng</t>
        </is>
      </c>
      <c r="F3865" t="inlineStr">
        <is>
          <t>Hà Nội</t>
        </is>
      </c>
      <c r="G3865" t="inlineStr">
        <is>
          <t>Nhân viên</t>
        </is>
      </c>
      <c r="H3865" t="inlineStr">
        <is>
          <t>26/02/2026</t>
        </is>
      </c>
      <c r="I3865" t="inlineStr">
        <is>
          <t>28/03/2026</t>
        </is>
      </c>
      <c r="J3865" t="inlineStr">
        <is>
          <t>17/03/2026</t>
        </is>
      </c>
      <c r="K3865" t="inlineStr">
        <is>
          <t>N/A</t>
        </is>
      </c>
      <c r="L3865" t="inlineStr">
        <is>
          <t>Education, Teaching, Teaching Foreign Language, Cambridge Curriculum</t>
        </is>
      </c>
      <c r="M3865" t="inlineStr">
        <is>
          <t>Bonus, Canteen, Others</t>
        </is>
      </c>
      <c r="N3865" s="8">
        <f>HYPERLINK("https://www.vietnamworks.com/vietnamese-pe-teacher-for-ay-26-27-in-hoa-lac-2014496-jv","Xem chi tiết")</f>
        <v/>
      </c>
    </row>
    <row r="3866">
      <c r="B3866" s="9" t="n">
        <v>3864</v>
      </c>
      <c r="C3866" s="10" t="inlineStr">
        <is>
          <t>Kế Toán Trưởng Kiêm Tài Chính</t>
        </is>
      </c>
      <c r="D3866" s="10" t="inlineStr">
        <is>
          <t>ERASLAND</t>
        </is>
      </c>
      <c r="E3866" s="10" t="inlineStr">
        <is>
          <t>Thương lượng</t>
        </is>
      </c>
      <c r="F3866" s="10" t="inlineStr">
        <is>
          <t>Hồ Chí Minh</t>
        </is>
      </c>
      <c r="G3866" s="10" t="inlineStr">
        <is>
          <t>Trưởng phòng</t>
        </is>
      </c>
      <c r="H3866" s="10" t="inlineStr">
        <is>
          <t>26/02/2026</t>
        </is>
      </c>
      <c r="I3866" s="10" t="inlineStr">
        <is>
          <t>28/03/2026</t>
        </is>
      </c>
      <c r="J3866" s="10" t="inlineStr">
        <is>
          <t>17/03/2026</t>
        </is>
      </c>
      <c r="K3866" s="10" t="inlineStr">
        <is>
          <t>N/A</t>
        </is>
      </c>
      <c r="L3866" s="10" t="inlineStr">
        <is>
          <t>Kế Toán, Tài Chính, Quản Lý Dòng Tiền, Phân Tích Tài Chính, Quản Lý Đội Nhóm</t>
        </is>
      </c>
      <c r="M3866" s="10" t="inlineStr">
        <is>
          <t>Bonus, Healthcare Plan, Travel Opportunities, Others</t>
        </is>
      </c>
      <c r="N3866" s="11">
        <f>HYPERLINK("https://www.vietnamworks.com/ke-toan-truong-kiem-tai-chinh-2014495-jv","Xem chi tiết")</f>
        <v/>
      </c>
      <c r="O3866" s="10" t="n"/>
    </row>
    <row r="3867">
      <c r="B3867" s="7" t="n">
        <v>3865</v>
      </c>
      <c r="C3867" t="inlineStr">
        <is>
          <t>Giám Sát Kinh Doanh Khu Vực</t>
        </is>
      </c>
      <c r="D3867" t="inlineStr">
        <is>
          <t>Công Ty Tài Chính TNHH Ngân Hàng TMCP Sài Gòn - Hà Nội (SHBFinance)</t>
        </is>
      </c>
      <c r="E3867" t="inlineStr">
        <is>
          <t>Thương lượng</t>
        </is>
      </c>
      <c r="F3867" t="inlineStr">
        <is>
          <t>Đồng Nai, Hà Nội, Ninh Bình</t>
        </is>
      </c>
      <c r="G3867" t="inlineStr">
        <is>
          <t>Trưởng phòng</t>
        </is>
      </c>
      <c r="H3867" t="inlineStr">
        <is>
          <t>26/02/2026</t>
        </is>
      </c>
      <c r="I3867" t="inlineStr">
        <is>
          <t>28/03/2026</t>
        </is>
      </c>
      <c r="J3867" t="inlineStr">
        <is>
          <t>17/03/2026</t>
        </is>
      </c>
      <c r="K3867" t="inlineStr">
        <is>
          <t>N/A</t>
        </is>
      </c>
      <c r="L3867" t="inlineStr">
        <is>
          <t>Giám Sát Bán Hàng, Sales Supervisor</t>
        </is>
      </c>
      <c r="M3867" t="inlineStr">
        <is>
          <t>Bonus, Healthcare Plan, Travel Opportunities</t>
        </is>
      </c>
      <c r="N3867" s="8">
        <f>HYPERLINK("https://www.vietnamworks.com/giam-sat-kinh-doanh-khu-vuc--2014500-jv","Xem chi tiết")</f>
        <v/>
      </c>
    </row>
    <row r="3868">
      <c r="B3868" s="9" t="n">
        <v>3866</v>
      </c>
      <c r="C3868" s="10" t="inlineStr">
        <is>
          <t>Kiến Trúc Sư</t>
        </is>
      </c>
      <c r="D3868" s="10" t="inlineStr">
        <is>
          <t>Công Ty Cổ Phần PVT Studio</t>
        </is>
      </c>
      <c r="E3868" s="10" t="inlineStr">
        <is>
          <t>10tr-25tr ₫/tháng</t>
        </is>
      </c>
      <c r="F3868" s="10" t="inlineStr">
        <is>
          <t>Hà Nội</t>
        </is>
      </c>
      <c r="G3868" s="10" t="inlineStr">
        <is>
          <t>Nhân viên</t>
        </is>
      </c>
      <c r="H3868" s="10" t="inlineStr">
        <is>
          <t>26/02/2026</t>
        </is>
      </c>
      <c r="I3868" s="10" t="inlineStr">
        <is>
          <t>28/03/2026</t>
        </is>
      </c>
      <c r="J3868" s="10" t="inlineStr">
        <is>
          <t>17/03/2026</t>
        </is>
      </c>
      <c r="K3868" s="10" t="inlineStr">
        <is>
          <t>N/A</t>
        </is>
      </c>
      <c r="L3868" s="10" t="inlineStr">
        <is>
          <t>AutoCAD, Revit, 3DSMAX, Sketchup, Creativity</t>
        </is>
      </c>
      <c r="M3868" s="10" t="inlineStr">
        <is>
          <t>Bonus, Healthcare Plan, Training, Team Activities, Others</t>
        </is>
      </c>
      <c r="N3868" s="11">
        <f>HYPERLINK("https://www.vietnamworks.com/kien-truc-su-2014501-jv","Xem chi tiết")</f>
        <v/>
      </c>
      <c r="O3868" s="10" t="n"/>
    </row>
    <row r="3869">
      <c r="B3869" s="7" t="n">
        <v>3867</v>
      </c>
      <c r="C3869" t="inlineStr">
        <is>
          <t>Senior Manufacturing Engineer (Working in Hai Phong)</t>
        </is>
      </c>
      <c r="D3869" t="inlineStr">
        <is>
          <t>VINFAST TRADING AND PRODUCTION JSC</t>
        </is>
      </c>
      <c r="E3869" t="inlineStr">
        <is>
          <t>Thương lượng</t>
        </is>
      </c>
      <c r="F3869" t="inlineStr">
        <is>
          <t>Hà Tĩnh, Hải Phòng, Hà Nội</t>
        </is>
      </c>
      <c r="G3869" t="inlineStr">
        <is>
          <t>Nhân viên</t>
        </is>
      </c>
      <c r="H3869" t="inlineStr">
        <is>
          <t>26/02/2026</t>
        </is>
      </c>
      <c r="I3869" t="inlineStr">
        <is>
          <t>28/03/2026</t>
        </is>
      </c>
      <c r="J3869" t="inlineStr">
        <is>
          <t>17/03/2026</t>
        </is>
      </c>
      <c r="K3869" t="inlineStr">
        <is>
          <t>N/A</t>
        </is>
      </c>
      <c r="L3869" t="inlineStr">
        <is>
          <t>Auto Cad, Lean Manufacturing, Technical Engineering, Tooling Design</t>
        </is>
      </c>
      <c r="M3869" t="inlineStr">
        <is>
          <t>Training, Travel Opportunities, Others</t>
        </is>
      </c>
      <c r="N3869" s="8">
        <f>HYPERLINK("https://www.vietnamworks.com/senior-manufacturing-engineer-working-in-hai-phong-2014506-jv","Xem chi tiết")</f>
        <v/>
      </c>
    </row>
    <row r="3870">
      <c r="B3870" s="9" t="n">
        <v>3868</v>
      </c>
      <c r="C3870" s="10" t="inlineStr">
        <is>
          <t>Thực Tập Sinh Quan Hệ Khách Hàng Doanh Nghiệp</t>
        </is>
      </c>
      <c r="D3870" s="10" t="inlineStr">
        <is>
          <t>Chailease International Leasing Co., Ltd. (Head Office)</t>
        </is>
      </c>
      <c r="E3870" s="10" t="inlineStr">
        <is>
          <t>Tới $ 140 /tháng</t>
        </is>
      </c>
      <c r="F3870" s="10" t="inlineStr">
        <is>
          <t>Bình Dương, Đồng Nai, Hồ Chí Minh</t>
        </is>
      </c>
      <c r="G3870" s="10" t="inlineStr">
        <is>
          <t>Thực tập sinh/Sinh viên</t>
        </is>
      </c>
      <c r="H3870" s="10" t="inlineStr">
        <is>
          <t>26/02/2026</t>
        </is>
      </c>
      <c r="I3870" s="10" t="inlineStr">
        <is>
          <t>28/03/2026</t>
        </is>
      </c>
      <c r="J3870" s="10" t="inlineStr">
        <is>
          <t>17/03/2026</t>
        </is>
      </c>
      <c r="K3870" s="10" t="inlineStr">
        <is>
          <t>N/A</t>
        </is>
      </c>
      <c r="L3870" s="10" t="inlineStr">
        <is>
          <t>Tìm Kiếm Khách Hàng, Khách Hàng Doanh Nghiệp, Dịch Vụ Tài Chính, Tiếng Anh, Quan Hệ Khách Hàng</t>
        </is>
      </c>
      <c r="M3870" s="10" t="inlineStr">
        <is>
          <t>Bonus, Healthcare Plan, Travel Opportunities</t>
        </is>
      </c>
      <c r="N3870" s="11">
        <f>HYPERLINK("https://www.vietnamworks.com/thuc-tap-sinh-quan-he-khach-hang-doanh-nghiep--2014512-jv","Xem chi tiết")</f>
        <v/>
      </c>
      <c r="O3870" s="10" t="n"/>
    </row>
    <row r="3871">
      <c r="B3871" s="7" t="n">
        <v>3869</v>
      </c>
      <c r="C3871" t="inlineStr">
        <is>
          <t>Kế Toán Tổng Hợp (FMCG)</t>
        </is>
      </c>
      <c r="D3871" t="inlineStr">
        <is>
          <t>Công Ty TNHH Vẻ Đẹp Francia</t>
        </is>
      </c>
      <c r="E3871" t="inlineStr">
        <is>
          <t>20tr-25tr ₫/tháng</t>
        </is>
      </c>
      <c r="F3871" t="inlineStr">
        <is>
          <t>Hồ Chí Minh</t>
        </is>
      </c>
      <c r="G3871" t="inlineStr">
        <is>
          <t>Nhân viên</t>
        </is>
      </c>
      <c r="H3871" t="inlineStr">
        <is>
          <t>26/02/2026</t>
        </is>
      </c>
      <c r="I3871" t="inlineStr">
        <is>
          <t>28/03/2026</t>
        </is>
      </c>
      <c r="J3871" t="inlineStr">
        <is>
          <t>17/03/2026</t>
        </is>
      </c>
      <c r="K3871" t="inlineStr">
        <is>
          <t>N/A</t>
        </is>
      </c>
      <c r="L3871" t="inlineStr">
        <is>
          <t>Báo Cáo, Kế Toán Tổng Hợp, Phần mềm kế toán, Thuế, Công Nợ</t>
        </is>
      </c>
      <c r="M3871" t="inlineStr">
        <is>
          <t>Bonus, Healthcare Plan, Travel Opportunities</t>
        </is>
      </c>
      <c r="N3871" s="8">
        <f>HYPERLINK("https://www.vietnamworks.com/ke-toan-tong-hop-fmcg-2014505-jv","Xem chi tiết")</f>
        <v/>
      </c>
    </row>
    <row r="3872">
      <c r="B3872" s="9" t="n">
        <v>3870</v>
      </c>
      <c r="C3872" s="10" t="inlineStr">
        <is>
          <t>Nhân Viên Đăng Ký Sản Phẩm</t>
        </is>
      </c>
      <c r="D3872" s="10" t="inlineStr">
        <is>
          <t>Công Ty Cổ Phần Dược Phẩm Hoa Linh</t>
        </is>
      </c>
      <c r="E3872" s="10" t="inlineStr">
        <is>
          <t>18tr-25tr ₫/tháng</t>
        </is>
      </c>
      <c r="F3872" s="10" t="inlineStr">
        <is>
          <t>Hà Nội</t>
        </is>
      </c>
      <c r="G3872" s="10" t="inlineStr">
        <is>
          <t>Nhân viên</t>
        </is>
      </c>
      <c r="H3872" s="10" t="inlineStr">
        <is>
          <t>26/02/2026</t>
        </is>
      </c>
      <c r="I3872" s="10" t="inlineStr">
        <is>
          <t>28/03/2026</t>
        </is>
      </c>
      <c r="J3872" s="10" t="inlineStr">
        <is>
          <t>17/03/2026</t>
        </is>
      </c>
      <c r="K3872" s="10" t="inlineStr">
        <is>
          <t>N/A</t>
        </is>
      </c>
      <c r="L3872" s="10" t="inlineStr">
        <is>
          <t>Lập Kế Hoạch, Phát Triển Sản Phẩm, Phiên Dịch Tài Liệu, Tiếng Anh, Đăng Ký Thuốc</t>
        </is>
      </c>
      <c r="M3872" s="10" t="inlineStr">
        <is>
          <t>Bonus, Healthcare Plan, Paid Leave</t>
        </is>
      </c>
      <c r="N3872" s="11">
        <f>HYPERLINK("https://www.vietnamworks.com/nhan-vien-djang-ky-san-pham-2014515-jv","Xem chi tiết")</f>
        <v/>
      </c>
      <c r="O3872" s="10" t="n"/>
    </row>
    <row r="3873">
      <c r="B3873" s="7" t="n">
        <v>3871</v>
      </c>
      <c r="C3873" t="inlineStr">
        <is>
          <t>Kỹ Sư Thiết Kế &amp; Giám Sát Xây Dựng Công Trình Điện/ Nước/ PCCC (SL: 10, KV: Miền Bắc + Miền Nam)</t>
        </is>
      </c>
      <c r="D3873" t="inlineStr">
        <is>
          <t>CÔNG TY TNHH CÔNG NGHIỆP VIETWIN</t>
        </is>
      </c>
      <c r="E3873" t="inlineStr">
        <is>
          <t>Thương lượng</t>
        </is>
      </c>
      <c r="F3873" t="inlineStr">
        <is>
          <t>Đồng Nai</t>
        </is>
      </c>
      <c r="G3873" t="inlineStr">
        <is>
          <t>Nhân viên</t>
        </is>
      </c>
      <c r="H3873" t="inlineStr">
        <is>
          <t>26/02/2026</t>
        </is>
      </c>
      <c r="I3873" t="inlineStr">
        <is>
          <t>28/03/2026</t>
        </is>
      </c>
      <c r="J3873" t="inlineStr">
        <is>
          <t>17/03/2026</t>
        </is>
      </c>
      <c r="K3873" t="inlineStr">
        <is>
          <t>N/A</t>
        </is>
      </c>
      <c r="L3873" t="inlineStr">
        <is>
          <t>AutoCAD, Bóc Tách Khối Lượng, Dự Toán, Khảo Sát Hiện Trường, Triển Khai Bản Vẽ</t>
        </is>
      </c>
      <c r="M3873" t="inlineStr">
        <is>
          <t>Bonus, Healthcare Plan, Others</t>
        </is>
      </c>
      <c r="N3873" s="8">
        <f>HYPERLINK("https://www.vietnamworks.com/ky-su-thiet-ke-and-giam-sat-xay-dung-cong-trinh-djien-nuoc-pccc-sl-10-kv-mien-bac-mien-nam-2014508-jv","Xem chi tiết")</f>
        <v/>
      </c>
    </row>
    <row r="3874">
      <c r="B3874" s="9" t="n">
        <v>3872</v>
      </c>
      <c r="C3874" s="10" t="inlineStr">
        <is>
          <t>Sales Engineer</t>
        </is>
      </c>
      <c r="D3874" s="10" t="inlineStr">
        <is>
          <t>Văn Phòng Đại Điện Công Ty TNHH LMS Technologies Việt Nam Tại Hà Nội</t>
        </is>
      </c>
      <c r="E3874" s="10" t="inlineStr">
        <is>
          <t>$$ 700-1,000 /tháng</t>
        </is>
      </c>
      <c r="F3874" s="10" t="inlineStr">
        <is>
          <t>Hà Nội</t>
        </is>
      </c>
      <c r="G3874" s="10" t="inlineStr">
        <is>
          <t>Nhân viên</t>
        </is>
      </c>
      <c r="H3874" s="10" t="inlineStr">
        <is>
          <t>26/02/2026</t>
        </is>
      </c>
      <c r="I3874" s="10" t="inlineStr">
        <is>
          <t>28/03/2026</t>
        </is>
      </c>
      <c r="J3874" s="10" t="inlineStr">
        <is>
          <t>17/03/2026</t>
        </is>
      </c>
      <c r="K3874" s="10" t="inlineStr">
        <is>
          <t>N/A</t>
        </is>
      </c>
      <c r="L3874" s="10" t="inlineStr">
        <is>
          <t>Technical Sales, Technical Solutions, English Communication, Relationship Building, Goal Oriented</t>
        </is>
      </c>
      <c r="M3874" s="10" t="inlineStr">
        <is>
          <t>Bonus, Healthcare Plan, Paid Leave</t>
        </is>
      </c>
      <c r="N3874" s="11">
        <f>HYPERLINK("https://www.vietnamworks.com/sales-engineer--2014498-jv","Xem chi tiết")</f>
        <v/>
      </c>
      <c r="O3874" s="10" t="n"/>
    </row>
    <row r="3875">
      <c r="B3875" s="7" t="n">
        <v>3873</v>
      </c>
      <c r="C3875" t="inlineStr">
        <is>
          <t>Pricing Executive (Air)</t>
        </is>
      </c>
      <c r="D3875" t="inlineStr">
        <is>
          <t>CÔNG TY TNHH I.V TRANS</t>
        </is>
      </c>
      <c r="E3875" t="inlineStr">
        <is>
          <t>$$ 600-1,200 /tháng</t>
        </is>
      </c>
      <c r="F3875" t="inlineStr">
        <is>
          <t>Hà Nội</t>
        </is>
      </c>
      <c r="G3875" t="inlineStr">
        <is>
          <t>Nhân viên</t>
        </is>
      </c>
      <c r="H3875" t="inlineStr">
        <is>
          <t>26/02/2026</t>
        </is>
      </c>
      <c r="I3875" t="inlineStr">
        <is>
          <t>28/03/2026</t>
        </is>
      </c>
      <c r="J3875" t="inlineStr">
        <is>
          <t>17/03/2026</t>
        </is>
      </c>
      <c r="K3875" t="inlineStr">
        <is>
          <t>N/A</t>
        </is>
      </c>
      <c r="L3875" t="inlineStr">
        <is>
          <t>Air Freight Logistics, Analytical Skills, Communication Skills, Customer Service, Negotiation Skills</t>
        </is>
      </c>
      <c r="M3875" t="inlineStr">
        <is>
          <t>Bonus, Healthcare Plan, Training, Others</t>
        </is>
      </c>
      <c r="N3875" s="8">
        <f>HYPERLINK("https://www.vietnamworks.com/pricing-executive-air-2014514-jv","Xem chi tiết")</f>
        <v/>
      </c>
    </row>
    <row r="3876">
      <c r="B3876" s="9" t="n">
        <v>3874</v>
      </c>
      <c r="C3876" s="10" t="inlineStr">
        <is>
          <t>Service Engineer</t>
        </is>
      </c>
      <c r="D3876" s="10" t="inlineStr">
        <is>
          <t>Văn Phòng Đại Điện Công Ty TNHH LMS Technologies Việt Nam Tại Hà Nội</t>
        </is>
      </c>
      <c r="E3876" s="10" t="inlineStr">
        <is>
          <t>$$ 600-1,000 /tháng</t>
        </is>
      </c>
      <c r="F3876" s="10" t="inlineStr">
        <is>
          <t>Hà Nội, Hồ Chí Minh</t>
        </is>
      </c>
      <c r="G3876" s="10" t="inlineStr">
        <is>
          <t>Nhân viên</t>
        </is>
      </c>
      <c r="H3876" s="10" t="inlineStr">
        <is>
          <t>26/02/2026</t>
        </is>
      </c>
      <c r="I3876" s="10" t="inlineStr">
        <is>
          <t>28/03/2026</t>
        </is>
      </c>
      <c r="J3876" s="10" t="inlineStr">
        <is>
          <t>17/03/2026</t>
        </is>
      </c>
      <c r="K3876" s="10" t="inlineStr">
        <is>
          <t>N/A</t>
        </is>
      </c>
      <c r="L3876" s="10" t="inlineStr">
        <is>
          <t>Automation, Technical Service, Electrical, Technical Support, Mechatronics</t>
        </is>
      </c>
      <c r="M3876" s="10" t="inlineStr">
        <is>
          <t>Bonus, Healthcare Plan, Paid Leave</t>
        </is>
      </c>
      <c r="N3876" s="11">
        <f>HYPERLINK("https://www.vietnamworks.com/service-engineer--2014499-jv","Xem chi tiết")</f>
        <v/>
      </c>
      <c r="O3876" s="10" t="n"/>
    </row>
    <row r="3877">
      <c r="B3877" s="7" t="n">
        <v>3875</v>
      </c>
      <c r="C3877" t="inlineStr">
        <is>
          <t>KOLs / Influencers Management Assistant Manager</t>
        </is>
      </c>
      <c r="D3877" t="inlineStr">
        <is>
          <t>Samsung Vina Electronics (savina-s)</t>
        </is>
      </c>
      <c r="E3877" t="inlineStr">
        <is>
          <t>Thương lượng</t>
        </is>
      </c>
      <c r="F3877" t="inlineStr">
        <is>
          <t>Hồ Chí Minh</t>
        </is>
      </c>
      <c r="G3877" t="inlineStr">
        <is>
          <t>Nhân viên</t>
        </is>
      </c>
      <c r="H3877" t="inlineStr">
        <is>
          <t>26/02/2026</t>
        </is>
      </c>
      <c r="I3877" t="inlineStr">
        <is>
          <t>28/03/2026</t>
        </is>
      </c>
      <c r="J3877" t="inlineStr">
        <is>
          <t>17/03/2026</t>
        </is>
      </c>
      <c r="K3877" t="inlineStr">
        <is>
          <t>N/A</t>
        </is>
      </c>
      <c r="L3877" t="inlineStr">
        <is>
          <t>Marketing, KOL Management, KOL Relationship Building, Branding Campaign, Marcom</t>
        </is>
      </c>
      <c r="M3877" t="inlineStr">
        <is>
          <t>Bonus, Healthcare Plan</t>
        </is>
      </c>
      <c r="N3877" s="8">
        <f>HYPERLINK("https://www.vietnamworks.com/kols-influencers-management-assistant-manager--2014513-jv","Xem chi tiết")</f>
        <v/>
      </c>
    </row>
    <row r="3878">
      <c r="B3878" s="9" t="n">
        <v>3876</v>
      </c>
      <c r="C3878" s="10" t="inlineStr">
        <is>
          <t>Trưởng Bộ Phận M&amp;E</t>
        </is>
      </c>
      <c r="D3878" s="10" t="inlineStr">
        <is>
          <t>New World Fashion Group</t>
        </is>
      </c>
      <c r="E3878" s="10" t="inlineStr">
        <is>
          <t>Thương lượng</t>
        </is>
      </c>
      <c r="F3878" s="10" t="inlineStr">
        <is>
          <t>Hồ Chí Minh</t>
        </is>
      </c>
      <c r="G3878" s="10" t="inlineStr">
        <is>
          <t>Trưởng phòng</t>
        </is>
      </c>
      <c r="H3878" s="10" t="inlineStr">
        <is>
          <t>26/02/2026</t>
        </is>
      </c>
      <c r="I3878" s="10" t="inlineStr">
        <is>
          <t>28/03/2026</t>
        </is>
      </c>
      <c r="J3878" s="10" t="inlineStr">
        <is>
          <t>17/03/2026</t>
        </is>
      </c>
      <c r="K3878" s="10" t="inlineStr">
        <is>
          <t>N/A</t>
        </is>
      </c>
      <c r="L3878" s="10" t="inlineStr">
        <is>
          <t>Xử Lý Nước Thải, Cấp Thoát Nước, Vận Hành Điện, Bảo Trì Cơ Điện, Điện Nhẹ</t>
        </is>
      </c>
      <c r="M3878" s="10" t="inlineStr">
        <is>
          <t>Bonus, Healthcare Plan, Others</t>
        </is>
      </c>
      <c r="N3878" s="11">
        <f>HYPERLINK("https://www.vietnamworks.com/truong-bo-phan-m-e--2014511-jv","Xem chi tiết")</f>
        <v/>
      </c>
      <c r="O3878" s="10" t="n"/>
    </row>
    <row r="3879">
      <c r="B3879" s="7" t="n">
        <v>3877</v>
      </c>
      <c r="C3879" t="inlineStr">
        <is>
          <t>Sales Representative</t>
        </is>
      </c>
      <c r="D3879" t="inlineStr">
        <is>
          <t>CÔNG TY CỔ PHẦN VIET-TOWER INFRASTRUCTURE</t>
        </is>
      </c>
      <c r="E3879" t="inlineStr">
        <is>
          <t>18tr-22tr ₫/tháng</t>
        </is>
      </c>
      <c r="F3879" t="inlineStr">
        <is>
          <t>Hà Nội</t>
        </is>
      </c>
      <c r="G3879" t="inlineStr">
        <is>
          <t>Mới Tốt Nghiệp</t>
        </is>
      </c>
      <c r="H3879" t="inlineStr">
        <is>
          <t>26/02/2026</t>
        </is>
      </c>
      <c r="I3879" t="inlineStr">
        <is>
          <t>28/03/2026</t>
        </is>
      </c>
      <c r="J3879" t="inlineStr">
        <is>
          <t>17/03/2026</t>
        </is>
      </c>
      <c r="K3879" t="inlineStr">
        <is>
          <t>N/A</t>
        </is>
      </c>
      <c r="L3879" t="inlineStr">
        <is>
          <t>Client Relationship, English, Negotiation Skills, Relationship Building, Sales Reporting</t>
        </is>
      </c>
      <c r="M3879" t="inlineStr">
        <is>
          <t>Bonus, Healthcare Plan, Training, Others</t>
        </is>
      </c>
      <c r="N3879" s="8">
        <f>HYPERLINK("https://www.vietnamworks.com/sales-representative-2014516-jv","Xem chi tiết")</f>
        <v/>
      </c>
    </row>
    <row r="3880">
      <c r="B3880" s="9" t="n">
        <v>3878</v>
      </c>
      <c r="C3880" s="10" t="inlineStr">
        <is>
          <t>Chuyên Viên Kế Toán Tổng Hợp</t>
        </is>
      </c>
      <c r="D3880" s="10" t="inlineStr">
        <is>
          <t>Tổng công ty cổ phần Khoan và Dịch vụ Khoan Dầu khí (PV Drilling)</t>
        </is>
      </c>
      <c r="E3880" s="10" t="inlineStr">
        <is>
          <t>Thương lượng</t>
        </is>
      </c>
      <c r="F3880" s="10" t="inlineStr">
        <is>
          <t>Hồ Chí Minh</t>
        </is>
      </c>
      <c r="G3880" s="10" t="inlineStr">
        <is>
          <t>Nhân viên</t>
        </is>
      </c>
      <c r="H3880" s="10" t="inlineStr">
        <is>
          <t>26/02/2026</t>
        </is>
      </c>
      <c r="I3880" s="10" t="inlineStr">
        <is>
          <t>28/03/2026</t>
        </is>
      </c>
      <c r="J3880" s="10" t="inlineStr">
        <is>
          <t>17/03/2026</t>
        </is>
      </c>
      <c r="K3880" s="10" t="inlineStr">
        <is>
          <t>N/A</t>
        </is>
      </c>
      <c r="L3880" s="10" t="inlineStr">
        <is>
          <t>Tài Chính, Kế Toán Tổng Hợp, Báo Cáo Tài Chính, Excel, ERP</t>
        </is>
      </c>
      <c r="M3880" s="10" t="inlineStr">
        <is>
          <t>Bonus, Paid Leave, Travel Opportunities</t>
        </is>
      </c>
      <c r="N3880" s="11">
        <f>HYPERLINK("https://www.vietnamworks.com/chuyen-vien-ke-toan-tong-hop--2014510-jv","Xem chi tiết")</f>
        <v/>
      </c>
      <c r="O3880" s="10" t="n"/>
    </row>
    <row r="3881">
      <c r="B3881" s="7" t="n">
        <v>3879</v>
      </c>
      <c r="C3881" t="inlineStr">
        <is>
          <t>Nhân Viên Quản Lý Khách Hàng (AM)</t>
        </is>
      </c>
      <c r="D3881" t="inlineStr">
        <is>
          <t>Tổng Công Ty Bưu Điện Việt Nam - VNPOST</t>
        </is>
      </c>
      <c r="E3881" t="inlineStr">
        <is>
          <t>11tr-35tr ₫/tháng</t>
        </is>
      </c>
      <c r="F3881" t="inlineStr">
        <is>
          <t>Hà Nội</t>
        </is>
      </c>
      <c r="G3881" t="inlineStr">
        <is>
          <t>Nhân viên</t>
        </is>
      </c>
      <c r="H3881" t="inlineStr">
        <is>
          <t>26/02/2026</t>
        </is>
      </c>
      <c r="I3881" t="inlineStr">
        <is>
          <t>28/03/2026</t>
        </is>
      </c>
      <c r="J3881" t="inlineStr">
        <is>
          <t>17/03/2026</t>
        </is>
      </c>
      <c r="K3881" t="inlineStr">
        <is>
          <t>N/A</t>
        </is>
      </c>
      <c r="L3881" t="inlineStr">
        <is>
          <t>Bán hàng, Công Nghệ Thông Tin, Giải Pháp Công Nghệ, Quản Lý Khách Hàng, Tìm Kiếm Khách Hàng</t>
        </is>
      </c>
      <c r="M3881" t="inlineStr">
        <is>
          <t>Healthcare Plan, Training, Others</t>
        </is>
      </c>
      <c r="N3881" s="8">
        <f>HYPERLINK("https://www.vietnamworks.com/nhan-vien-quan-ly-khach-hang-am-2014507-jv","Xem chi tiết")</f>
        <v/>
      </c>
    </row>
    <row r="3882">
      <c r="B3882" s="9" t="n">
        <v>3880</v>
      </c>
      <c r="C3882" s="10" t="inlineStr">
        <is>
          <t>Nhân viên khai báo hải quan</t>
        </is>
      </c>
      <c r="D3882" s="10" t="inlineStr">
        <is>
          <t>Bee Logistics Corporation</t>
        </is>
      </c>
      <c r="E3882" s="10" t="inlineStr">
        <is>
          <t>8tr-12tr ₫/tháng</t>
        </is>
      </c>
      <c r="F3882" s="10" t="inlineStr">
        <is>
          <t>Đà Nẵng</t>
        </is>
      </c>
      <c r="G3882" s="10" t="inlineStr">
        <is>
          <t>Nhân viên</t>
        </is>
      </c>
      <c r="H3882" s="10" t="inlineStr">
        <is>
          <t>26/02/2026</t>
        </is>
      </c>
      <c r="I3882" s="10" t="inlineStr">
        <is>
          <t>28/03/2026</t>
        </is>
      </c>
      <c r="J3882" s="10" t="inlineStr">
        <is>
          <t>17/03/2026</t>
        </is>
      </c>
      <c r="K3882" s="10" t="inlineStr">
        <is>
          <t>N/A</t>
        </is>
      </c>
      <c r="L3882" s="10" t="inlineStr">
        <is>
          <t>Khai Báo Hải Quan, Kỹ năng làm việc nhóm, Làm Việc Chịu Áp Lực Cao, Quản Lý Cung Ứng, Thương Mại</t>
        </is>
      </c>
      <c r="M3882" s="10" t="inlineStr">
        <is>
          <t>Bonus, Healthcare Plan, Paid Leave, Travel Opportunities, Team Activities</t>
        </is>
      </c>
      <c r="N3882" s="11">
        <f>HYPERLINK("https://www.vietnamworks.com/nhan-vien-khai-bao-hai-quan-2014519-jv","Xem chi tiết")</f>
        <v/>
      </c>
      <c r="O3882" s="10" t="n"/>
    </row>
    <row r="3883">
      <c r="B3883" s="7" t="n">
        <v>3881</v>
      </c>
      <c r="C3883" t="inlineStr">
        <is>
          <t>Sale Team Leader (Từ 5 Năm Kinh Nghiệm)</t>
        </is>
      </c>
      <c r="D3883" t="inlineStr">
        <is>
          <t>Sunrise Viet Nam Trading And Transport Agency Company Limited</t>
        </is>
      </c>
      <c r="E3883" t="inlineStr">
        <is>
          <t>25tr-40tr ₫/tháng</t>
        </is>
      </c>
      <c r="F3883" t="inlineStr">
        <is>
          <t>Hồ Chí Minh</t>
        </is>
      </c>
      <c r="G3883" t="inlineStr">
        <is>
          <t>Nhân viên</t>
        </is>
      </c>
      <c r="H3883" t="inlineStr">
        <is>
          <t>26/02/2026</t>
        </is>
      </c>
      <c r="I3883" t="inlineStr">
        <is>
          <t>28/03/2026</t>
        </is>
      </c>
      <c r="J3883" t="inlineStr">
        <is>
          <t>17/03/2026</t>
        </is>
      </c>
      <c r="K3883" t="inlineStr">
        <is>
          <t>N/A</t>
        </is>
      </c>
      <c r="L3883" t="inlineStr">
        <is>
          <t>Logistics Sales, Import-Export, Logistics, Xây Dựng Chiến Lược, Quản Lý Doanh Số</t>
        </is>
      </c>
      <c r="M3883" t="inlineStr">
        <is>
          <t>Bonus, Paid Leave, Travel Opportunities</t>
        </is>
      </c>
      <c r="N3883" s="8">
        <f>HYPERLINK("https://www.vietnamworks.com/sale-team-leader-tu-5-nam-kinh-nghiem-2014532-jv","Xem chi tiết")</f>
        <v/>
      </c>
    </row>
    <row r="3884">
      <c r="B3884" s="9" t="n">
        <v>3882</v>
      </c>
      <c r="C3884" s="10" t="inlineStr">
        <is>
          <t>Chuyên Viên Kế Toán Hệ Thống - Trụ Sở Chính VBI (Hà Nội)</t>
        </is>
      </c>
      <c r="D3884" s="10" t="inlineStr">
        <is>
          <t>Bảo hiểm VietinBank (VBI)</t>
        </is>
      </c>
      <c r="E3884" s="10" t="inlineStr">
        <is>
          <t>Từ $ 500 /tháng</t>
        </is>
      </c>
      <c r="F3884" s="10" t="inlineStr">
        <is>
          <t>Hà Nội</t>
        </is>
      </c>
      <c r="G3884" s="10" t="inlineStr">
        <is>
          <t>Nhân viên</t>
        </is>
      </c>
      <c r="H3884" s="10" t="inlineStr">
        <is>
          <t>26/02/2026</t>
        </is>
      </c>
      <c r="I3884" s="10" t="inlineStr">
        <is>
          <t>28/03/2026</t>
        </is>
      </c>
      <c r="J3884" s="10" t="inlineStr">
        <is>
          <t>17/03/2026</t>
        </is>
      </c>
      <c r="K3884" s="10" t="inlineStr">
        <is>
          <t>N/A</t>
        </is>
      </c>
      <c r="L3884" s="10" t="inlineStr">
        <is>
          <t>Kế Toán, Kiểm Toán, Phân Tích Tài Chính, Phần mềm kế toán, Kế Toán Tài Chính</t>
        </is>
      </c>
      <c r="M3884" s="10" t="inlineStr">
        <is>
          <t>Bonus, Healthcare Plan, Paid Leave, Training, Laptop, Travel Opportunities, Others</t>
        </is>
      </c>
      <c r="N3884" s="11">
        <f>HYPERLINK("https://www.vietnamworks.com/chuyen-vien-ke-toan-he-thong-tru-so-chinh-vbi-ha-noi-2014535-jv","Xem chi tiết")</f>
        <v/>
      </c>
      <c r="O3884" s="10" t="n"/>
    </row>
    <row r="3885">
      <c r="B3885" s="7" t="n">
        <v>3883</v>
      </c>
      <c r="C3885" t="inlineStr">
        <is>
          <t>Kỹ Sư Giám Sát Hiện Trường Xây Dựng</t>
        </is>
      </c>
      <c r="D3885" t="inlineStr">
        <is>
          <t>Công Ty Cổ Phần Tư Vấn Thiết Kế Và Xây Dựng Indecons Việt Nam</t>
        </is>
      </c>
      <c r="E3885" t="inlineStr">
        <is>
          <t>Thương lượng</t>
        </is>
      </c>
      <c r="F3885" t="inlineStr">
        <is>
          <t>Bắc Ninh, Bắc Giang, Hải Dương</t>
        </is>
      </c>
      <c r="G3885" t="inlineStr">
        <is>
          <t>Nhân viên</t>
        </is>
      </c>
      <c r="H3885" t="inlineStr">
        <is>
          <t>26/02/2026</t>
        </is>
      </c>
      <c r="I3885" t="inlineStr">
        <is>
          <t>28/03/2026</t>
        </is>
      </c>
      <c r="J3885" t="inlineStr">
        <is>
          <t>17/03/2026</t>
        </is>
      </c>
      <c r="K3885" t="inlineStr">
        <is>
          <t>N/A</t>
        </is>
      </c>
      <c r="L3885" t="inlineStr">
        <is>
          <t>Phần Mềm CAD, Giám Sát Chất Lượng, Kiểm Tra Bản Vẽ Thiết Kế, Quản Lý Nhân Sự, Đánh Giá Năng Lực Nhà Thầu</t>
        </is>
      </c>
      <c r="M3885" t="inlineStr">
        <is>
          <t>Bonus, Healthcare Plan, Awards, Travel Opportunities, Others</t>
        </is>
      </c>
      <c r="N3885" s="8">
        <f>HYPERLINK("https://www.vietnamworks.com/ky-su-giam-sat-hien-truong-xay-dung--2014531-jv","Xem chi tiết")</f>
        <v/>
      </c>
    </row>
    <row r="3886">
      <c r="B3886" s="9" t="n">
        <v>3884</v>
      </c>
      <c r="C3886" s="10" t="inlineStr">
        <is>
          <t>Chuyên Viên Kế Toán Quản Trị</t>
        </is>
      </c>
      <c r="D3886" s="10" t="inlineStr">
        <is>
          <t>Tổng công ty cổ phần Khoan và Dịch vụ Khoan Dầu khí (PV Drilling)</t>
        </is>
      </c>
      <c r="E3886" s="10" t="inlineStr">
        <is>
          <t>Thương lượng</t>
        </is>
      </c>
      <c r="F3886" s="10" t="inlineStr">
        <is>
          <t>Hồ Chí Minh</t>
        </is>
      </c>
      <c r="G3886" s="10" t="inlineStr">
        <is>
          <t>Nhân viên</t>
        </is>
      </c>
      <c r="H3886" s="10" t="inlineStr">
        <is>
          <t>26/02/2026</t>
        </is>
      </c>
      <c r="I3886" s="10" t="inlineStr">
        <is>
          <t>28/03/2026</t>
        </is>
      </c>
      <c r="J3886" s="10" t="inlineStr">
        <is>
          <t>17/03/2026</t>
        </is>
      </c>
      <c r="K3886" s="10" t="inlineStr">
        <is>
          <t>N/A</t>
        </is>
      </c>
      <c r="L3886" s="10" t="inlineStr">
        <is>
          <t>Management Accounting, Kế toán Quản trị, Báo Cáo Tài Chính, Ielts 7.0, Lập Kế Hoạch Tài Chính</t>
        </is>
      </c>
      <c r="M3886" s="10" t="inlineStr">
        <is>
          <t>Bonus, Paid Leave, Travel Opportunities</t>
        </is>
      </c>
      <c r="N3886" s="11">
        <f>HYPERLINK("https://www.vietnamworks.com/chuyen-vien-ke-toan-quan-tri--2014526-jv","Xem chi tiết")</f>
        <v/>
      </c>
      <c r="O3886" s="10" t="n"/>
    </row>
    <row r="3887">
      <c r="B3887" s="7" t="n">
        <v>3885</v>
      </c>
      <c r="C3887" t="inlineStr">
        <is>
          <t>Trưởng Phòng Kinh Doanh Thang Máy</t>
        </is>
      </c>
      <c r="D3887" t="inlineStr">
        <is>
          <t>CÔNG TY TNHH ĐẦU TƯ THIẾT BỊ CÔNG NGHỆ HOÀNG VŨ</t>
        </is>
      </c>
      <c r="E3887" t="inlineStr">
        <is>
          <t>20tr-35tr ₫/tháng</t>
        </is>
      </c>
      <c r="F3887" t="inlineStr">
        <is>
          <t>Thanh Hóa</t>
        </is>
      </c>
      <c r="G3887" t="inlineStr">
        <is>
          <t>Trưởng phòng</t>
        </is>
      </c>
      <c r="H3887" t="inlineStr">
        <is>
          <t>26/02/2026</t>
        </is>
      </c>
      <c r="I3887" t="inlineStr">
        <is>
          <t>28/03/2026</t>
        </is>
      </c>
      <c r="J3887" t="inlineStr">
        <is>
          <t>17/03/2026</t>
        </is>
      </c>
      <c r="K3887" t="inlineStr">
        <is>
          <t>N/A</t>
        </is>
      </c>
      <c r="L3887" t="inlineStr">
        <is>
          <t>Lập Kế Hoạch, Phát Triển Kinh Doanh, Quản Lý Đội Ngũ Kinh Doanh, Xây Dựng Quy Trình, Đào Tạo Sales</t>
        </is>
      </c>
      <c r="M3887" t="inlineStr">
        <is>
          <t>Bonus, Awards, Others</t>
        </is>
      </c>
      <c r="N3887" s="8">
        <f>HYPERLINK("https://www.vietnamworks.com/truong-phong-kinh-doanh-thang-may--2014522-jv","Xem chi tiết")</f>
        <v/>
      </c>
    </row>
    <row r="3888">
      <c r="B3888" s="9" t="n">
        <v>3886</v>
      </c>
      <c r="C3888" s="10" t="inlineStr">
        <is>
          <t>Nhân Viên Kinh Doanh Điện Mặt Trời</t>
        </is>
      </c>
      <c r="D3888" s="10" t="inlineStr">
        <is>
          <t>HONG KONG NEW7 TECHNOLOGY CO., LIMITED</t>
        </is>
      </c>
      <c r="E3888" s="10" t="inlineStr">
        <is>
          <t>25tr-50tr ₫/tháng</t>
        </is>
      </c>
      <c r="F3888" s="10" t="inlineStr">
        <is>
          <t>Hồ Chí Minh</t>
        </is>
      </c>
      <c r="G3888" s="10" t="inlineStr">
        <is>
          <t>Nhân viên</t>
        </is>
      </c>
      <c r="H3888" s="10" t="inlineStr">
        <is>
          <t>26/02/2026</t>
        </is>
      </c>
      <c r="I3888" s="10" t="inlineStr">
        <is>
          <t>28/03/2026</t>
        </is>
      </c>
      <c r="J3888" s="10" t="inlineStr">
        <is>
          <t>17/03/2026</t>
        </is>
      </c>
      <c r="K3888" s="10" t="inlineStr">
        <is>
          <t>N/A</t>
        </is>
      </c>
      <c r="L3888" s="10" t="inlineStr">
        <is>
          <t>Báo Giá, Chăm Sóc Khách Hàng, Kinh Doanh Thị Trường, Thiết Lập Mối Quan Hệ, Tư Vấn Giải Pháp</t>
        </is>
      </c>
      <c r="M3888" s="10" t="inlineStr">
        <is>
          <t>Bonus, Healthcare Plan, Training</t>
        </is>
      </c>
      <c r="N3888" s="11">
        <f>HYPERLINK("https://www.vietnamworks.com/nhan-vien-kinh-doanh-djien-mat-troi-2014540-jv","Xem chi tiết")</f>
        <v/>
      </c>
      <c r="O3888" s="10" t="n"/>
    </row>
    <row r="3889">
      <c r="B3889" s="7" t="n">
        <v>3887</v>
      </c>
      <c r="C3889" t="inlineStr">
        <is>
          <t>Raw Material Quality Manager</t>
        </is>
      </c>
      <c r="D3889" t="inlineStr">
        <is>
          <t>Wanek Furniture CO., LTD.</t>
        </is>
      </c>
      <c r="E3889" t="inlineStr">
        <is>
          <t>Thương lượng</t>
        </is>
      </c>
      <c r="F3889" t="inlineStr">
        <is>
          <t>Bình Dương</t>
        </is>
      </c>
      <c r="G3889" t="inlineStr">
        <is>
          <t>Trưởng phòng</t>
        </is>
      </c>
      <c r="H3889" t="inlineStr">
        <is>
          <t>26/02/2026</t>
        </is>
      </c>
      <c r="I3889" t="inlineStr">
        <is>
          <t>28/03/2026</t>
        </is>
      </c>
      <c r="J3889" t="inlineStr">
        <is>
          <t>17/03/2026</t>
        </is>
      </c>
      <c r="K3889" t="inlineStr">
        <is>
          <t>N/A</t>
        </is>
      </c>
      <c r="L3889" t="inlineStr">
        <is>
          <t>ISO System, Lean Manufacturing, Quality Control &amp; Assurance, Quality Tools, Statistical Process Control</t>
        </is>
      </c>
      <c r="M3889" t="inlineStr">
        <is>
          <t>Healthcare Plan, Paid Leave, Training, Awards, Laptop, Travel Opportunities, Team Activities, Transportation, Canteen</t>
        </is>
      </c>
      <c r="N3889" s="8">
        <f>HYPERLINK("https://www.vietnamworks.com/raw-material-quality-manager-2014524-jv","Xem chi tiết")</f>
        <v/>
      </c>
    </row>
    <row r="3890">
      <c r="B3890" s="9" t="n">
        <v>3888</v>
      </c>
      <c r="C3890" s="10" t="inlineStr">
        <is>
          <t>Chuyên Viên Kế Toán</t>
        </is>
      </c>
      <c r="D3890" s="10" t="inlineStr">
        <is>
          <t>Tổng Công Ty Thương Mại Kỹ Thuật Và Đầu Tư – CTCP</t>
        </is>
      </c>
      <c r="E3890" s="10" t="inlineStr">
        <is>
          <t>Từ $ 100 /tháng</t>
        </is>
      </c>
      <c r="F3890" s="10" t="inlineStr">
        <is>
          <t>Hồ Chí Minh</t>
        </is>
      </c>
      <c r="G3890" s="10" t="inlineStr">
        <is>
          <t>Nhân viên</t>
        </is>
      </c>
      <c r="H3890" s="10" t="inlineStr">
        <is>
          <t>26/02/2026</t>
        </is>
      </c>
      <c r="I3890" s="10" t="inlineStr">
        <is>
          <t>28/03/2026</t>
        </is>
      </c>
      <c r="J3890" s="10" t="inlineStr">
        <is>
          <t>17/03/2026</t>
        </is>
      </c>
      <c r="K3890" s="10" t="inlineStr">
        <is>
          <t>N/A</t>
        </is>
      </c>
      <c r="L3890" s="10" t="inlineStr">
        <is>
          <t>Tài Chính, Kế Toán, Kiểm Toán, Kế Toán Tổng Hợp, Báo Cáo Tài Chính</t>
        </is>
      </c>
      <c r="M3890" s="10" t="inlineStr">
        <is>
          <t>Healthcare Plan, Training, Awards</t>
        </is>
      </c>
      <c r="N3890" s="11">
        <f>HYPERLINK("https://www.vietnamworks.com/chuyen-vien-ke-toan--2014533-jv","Xem chi tiết")</f>
        <v/>
      </c>
      <c r="O3890" s="10" t="n"/>
    </row>
    <row r="3891">
      <c r="B3891" s="7" t="n">
        <v>3889</v>
      </c>
      <c r="C3891" t="inlineStr">
        <is>
          <t>Trưởng Khoa Dược - Vinmec Nha Trang</t>
        </is>
      </c>
      <c r="D3891" t="inlineStr">
        <is>
          <t>Công Ty CP Bệnh Viện Đa Khoa Quốc Tế Vinmec</t>
        </is>
      </c>
      <c r="E3891" t="inlineStr">
        <is>
          <t>Thương lượng</t>
        </is>
      </c>
      <c r="F3891" t="inlineStr">
        <is>
          <t>Khánh Hòa</t>
        </is>
      </c>
      <c r="G3891" t="inlineStr">
        <is>
          <t>Trưởng phòng</t>
        </is>
      </c>
      <c r="H3891" t="inlineStr">
        <is>
          <t>26/02/2026</t>
        </is>
      </c>
      <c r="I3891" t="inlineStr">
        <is>
          <t>28/03/2026</t>
        </is>
      </c>
      <c r="J3891" t="inlineStr">
        <is>
          <t>17/03/2026</t>
        </is>
      </c>
      <c r="K3891" t="inlineStr">
        <is>
          <t>N/A</t>
        </is>
      </c>
      <c r="L3891" t="inlineStr">
        <is>
          <t>Giao Tiếp Tiếng Anh, Kinh Nghiệm Dược, Quản Lý Rủi Ro, Sinh Học Y Dược, Tin Học Văn Phòng</t>
        </is>
      </c>
      <c r="M3891" t="inlineStr">
        <is>
          <t>Bonus, Healthcare Plan, Canteen, Others</t>
        </is>
      </c>
      <c r="N3891" s="8">
        <f>HYPERLINK("https://www.vietnamworks.com/truong-khoa-duoc-vinmec-nha-trang-2014529-jv","Xem chi tiết")</f>
        <v/>
      </c>
    </row>
    <row r="3892">
      <c r="B3892" s="9" t="n">
        <v>3890</v>
      </c>
      <c r="C3892" s="10" t="inlineStr">
        <is>
          <t>Kỹ Thuật Thi Công Lắp Đặt Hệ Thống Điều Hòa Không Khí, Thông Gió</t>
        </is>
      </c>
      <c r="D3892" s="10" t="inlineStr">
        <is>
          <t>Công Ty Cổ Phần ITC</t>
        </is>
      </c>
      <c r="E3892" s="10" t="inlineStr">
        <is>
          <t>8tr-14tr ₫/tháng</t>
        </is>
      </c>
      <c r="F3892" s="10" t="inlineStr">
        <is>
          <t>Hà Nội</t>
        </is>
      </c>
      <c r="G3892" s="10" t="inlineStr">
        <is>
          <t>Nhân viên</t>
        </is>
      </c>
      <c r="H3892" s="10" t="inlineStr">
        <is>
          <t>26/02/2026</t>
        </is>
      </c>
      <c r="I3892" s="10" t="inlineStr">
        <is>
          <t>28/03/2026</t>
        </is>
      </c>
      <c r="J3892" s="10" t="inlineStr">
        <is>
          <t>17/03/2026</t>
        </is>
      </c>
      <c r="K3892" s="10" t="inlineStr">
        <is>
          <t>N/A</t>
        </is>
      </c>
      <c r="L3892" s="10" t="inlineStr">
        <is>
          <t>Hệ Thống Điều Hòa Không Khí, Kỹ Thuật, Thi Công Công Trình, Thông gió, Điện Lạnh</t>
        </is>
      </c>
      <c r="M3892" s="10" t="inlineStr">
        <is>
          <t>Bonus, Healthcare Plan, Paid Leave, Others</t>
        </is>
      </c>
      <c r="N3892" s="11">
        <f>HYPERLINK("https://www.vietnamworks.com/ky-thuat-thi-cong-lap-dat-he-thong-dieu-hoa-khong-khi-thong-gio-2014539-jv","Xem chi tiết")</f>
        <v/>
      </c>
      <c r="O3892" s="10" t="n"/>
    </row>
    <row r="3893">
      <c r="B3893" s="7" t="n">
        <v>3891</v>
      </c>
      <c r="C3893" t="inlineStr">
        <is>
          <t>Event Senior Production</t>
        </is>
      </c>
      <c r="D3893" t="inlineStr">
        <is>
          <t>CÔNG TY TNHH TRUYỀN THÔNG VÀ TỔ CHỨC SỰ KIỆN POSE COMMUNICATIONS</t>
        </is>
      </c>
      <c r="E3893" t="inlineStr">
        <is>
          <t>Thương lượng</t>
        </is>
      </c>
      <c r="F3893" t="inlineStr">
        <is>
          <t>Hồ Chí Minh</t>
        </is>
      </c>
      <c r="G3893" t="inlineStr">
        <is>
          <t>Nhân viên</t>
        </is>
      </c>
      <c r="H3893" t="inlineStr">
        <is>
          <t>26/02/2026</t>
        </is>
      </c>
      <c r="I3893" t="inlineStr">
        <is>
          <t>28/03/2026</t>
        </is>
      </c>
      <c r="J3893" t="inlineStr">
        <is>
          <t>17/03/2026</t>
        </is>
      </c>
      <c r="K3893" t="inlineStr">
        <is>
          <t>N/A</t>
        </is>
      </c>
      <c r="L3893" t="inlineStr">
        <is>
          <t>Event Production, Creative Marketing, Event Planning, Tổ Chức Sự Kiện, Sketchup</t>
        </is>
      </c>
      <c r="M3893" t="inlineStr">
        <is>
          <t>Bonus, Healthcare Plan, Training</t>
        </is>
      </c>
      <c r="N3893" s="8">
        <f>HYPERLINK("https://www.vietnamworks.com/event-senior-production--2014528-jv","Xem chi tiết")</f>
        <v/>
      </c>
    </row>
    <row r="3894">
      <c r="B3894" s="9" t="n">
        <v>3892</v>
      </c>
      <c r="C3894" s="10" t="inlineStr">
        <is>
          <t>Sales Executive</t>
        </is>
      </c>
      <c r="D3894" s="10" t="inlineStr">
        <is>
          <t>Mainetti (Vietnam)</t>
        </is>
      </c>
      <c r="E3894" s="10" t="inlineStr">
        <is>
          <t>Thương lượng</t>
        </is>
      </c>
      <c r="F3894" s="10" t="inlineStr">
        <is>
          <t>Hồ Chí Minh, Hưng Yên, Hà Nội</t>
        </is>
      </c>
      <c r="G3894" s="10" t="inlineStr">
        <is>
          <t>Nhân viên</t>
        </is>
      </c>
      <c r="H3894" s="10" t="inlineStr">
        <is>
          <t>26/02/2026</t>
        </is>
      </c>
      <c r="I3894" s="10" t="inlineStr">
        <is>
          <t>28/03/2026</t>
        </is>
      </c>
      <c r="J3894" s="10" t="inlineStr">
        <is>
          <t>17/03/2026</t>
        </is>
      </c>
      <c r="K3894" s="10" t="inlineStr">
        <is>
          <t>N/A</t>
        </is>
      </c>
      <c r="L3894" s="10" t="inlineStr">
        <is>
          <t>Apparel Technique, Garment, Market Research, Sales, Sales Experience</t>
        </is>
      </c>
      <c r="M3894" s="10" t="inlineStr">
        <is>
          <t>Bonus</t>
        </is>
      </c>
      <c r="N3894" s="11">
        <f>HYPERLINK("https://www.vietnamworks.com/sales-executive-2014541-jv","Xem chi tiết")</f>
        <v/>
      </c>
      <c r="O3894" s="10" t="n"/>
    </row>
    <row r="3895">
      <c r="B3895" s="7" t="n">
        <v>3893</v>
      </c>
      <c r="C3895" t="inlineStr">
        <is>
          <t>Account &amp; Billing Coordinator</t>
        </is>
      </c>
      <c r="D3895" t="inlineStr">
        <is>
          <t>Công Ty TNHH The BIM Factory</t>
        </is>
      </c>
      <c r="E3895" t="inlineStr">
        <is>
          <t>Thương lượng</t>
        </is>
      </c>
      <c r="F3895" t="inlineStr">
        <is>
          <t>Hồ Chí Minh</t>
        </is>
      </c>
      <c r="G3895" t="inlineStr">
        <is>
          <t>Nhân viên</t>
        </is>
      </c>
      <c r="H3895" t="inlineStr">
        <is>
          <t>26/02/2026</t>
        </is>
      </c>
      <c r="I3895" t="inlineStr">
        <is>
          <t>28/03/2026</t>
        </is>
      </c>
      <c r="J3895" t="inlineStr">
        <is>
          <t>17/03/2026</t>
        </is>
      </c>
      <c r="K3895" t="inlineStr">
        <is>
          <t>N/A</t>
        </is>
      </c>
      <c r="L3895" t="inlineStr">
        <is>
          <t>MS Excel, Account Management, Architecture, English Communication, Cash Flow Report</t>
        </is>
      </c>
      <c r="M3895" t="inlineStr">
        <is>
          <t>Bonus, Healthcare Plan, Training, Team Activities, Canteen, Others</t>
        </is>
      </c>
      <c r="N3895" s="8">
        <f>HYPERLINK("https://www.vietnamworks.com/account-and-billing-coordinator-2014536-jv","Xem chi tiết")</f>
        <v/>
      </c>
    </row>
    <row r="3896">
      <c r="B3896" s="9" t="n">
        <v>3894</v>
      </c>
      <c r="C3896" s="10" t="inlineStr">
        <is>
          <t>Chief Operating Officer/ Giám Đốc Vận Hành</t>
        </is>
      </c>
      <c r="D3896" s="10" t="inlineStr">
        <is>
          <t>Công Ty Cổ Phần Phương Tiện Điện Thông Minh Selex</t>
        </is>
      </c>
      <c r="E3896" s="10" t="inlineStr">
        <is>
          <t>$$ 2,000-2,800 /tháng</t>
        </is>
      </c>
      <c r="F3896" s="10" t="inlineStr">
        <is>
          <t>Hà Nội, Hồ Chí Minh</t>
        </is>
      </c>
      <c r="G3896" s="10" t="inlineStr">
        <is>
          <t>Giám Đốc và Cấp Cao Hơn</t>
        </is>
      </c>
      <c r="H3896" s="10" t="inlineStr">
        <is>
          <t>26/02/2026</t>
        </is>
      </c>
      <c r="I3896" s="10" t="inlineStr">
        <is>
          <t>28/03/2026</t>
        </is>
      </c>
      <c r="J3896" s="10" t="inlineStr">
        <is>
          <t>17/03/2026</t>
        </is>
      </c>
      <c r="K3896" s="10" t="inlineStr">
        <is>
          <t>N/A</t>
        </is>
      </c>
      <c r="L3896" s="10" t="inlineStr">
        <is>
          <t>Quản Lý Điều Hành, Project Management, Operation, Lãnh Đạo, Kinh Doanh</t>
        </is>
      </c>
      <c r="M3896" s="10" t="inlineStr">
        <is>
          <t>Bonus, Awards, Others</t>
        </is>
      </c>
      <c r="N3896" s="11">
        <f>HYPERLINK("https://www.vietnamworks.com/chief-operating-officer-giam-doc-van-hanh-2014534-jv","Xem chi tiết")</f>
        <v/>
      </c>
      <c r="O3896" s="10" t="n"/>
    </row>
    <row r="3897">
      <c r="B3897" s="7" t="n">
        <v>3895</v>
      </c>
      <c r="C3897" t="inlineStr">
        <is>
          <t>Nhân Viên Dịch Vụ Hải Quan</t>
        </is>
      </c>
      <c r="D3897" t="inlineStr">
        <is>
          <t>Thami Corporation</t>
        </is>
      </c>
      <c r="E3897" t="inlineStr">
        <is>
          <t>$$ 400-600 /tháng</t>
        </is>
      </c>
      <c r="F3897" t="inlineStr">
        <is>
          <t>Hà Nội, Hải Phòng</t>
        </is>
      </c>
      <c r="G3897" t="inlineStr">
        <is>
          <t>Nhân viên</t>
        </is>
      </c>
      <c r="H3897" t="inlineStr">
        <is>
          <t>26/02/2026</t>
        </is>
      </c>
      <c r="I3897" t="inlineStr">
        <is>
          <t>28/03/2026</t>
        </is>
      </c>
      <c r="J3897" t="inlineStr">
        <is>
          <t>17/03/2026</t>
        </is>
      </c>
      <c r="K3897" t="inlineStr">
        <is>
          <t>N/A</t>
        </is>
      </c>
      <c r="L3897" t="inlineStr">
        <is>
          <t>Thủ Tục Hải Quan, Khai Báo Hải Quan, Khai Hải quan, Hải Quan</t>
        </is>
      </c>
      <c r="M3897" t="inlineStr">
        <is>
          <t>Bonus, Healthcare Plan, Paid Leave</t>
        </is>
      </c>
      <c r="N3897" s="8">
        <f>HYPERLINK("https://www.vietnamworks.com/nhan-vien-dich-vu-hai-quan-2014538-jv","Xem chi tiết")</f>
        <v/>
      </c>
    </row>
    <row r="3898">
      <c r="B3898" s="9" t="n">
        <v>3896</v>
      </c>
      <c r="C3898" s="10" t="inlineStr">
        <is>
          <t>Senior 2D Designer</t>
        </is>
      </c>
      <c r="D3898" s="10" t="inlineStr">
        <is>
          <t>CÔNG TY TNHH TRUYỀN THÔNG VÀ TỔ CHỨC SỰ KIỆN POSE COMMUNICATIONS</t>
        </is>
      </c>
      <c r="E3898" s="10" t="inlineStr">
        <is>
          <t>Thương lượng</t>
        </is>
      </c>
      <c r="F3898" s="10" t="inlineStr">
        <is>
          <t>Hồ Chí Minh</t>
        </is>
      </c>
      <c r="G3898" s="10" t="inlineStr">
        <is>
          <t>Nhân viên</t>
        </is>
      </c>
      <c r="H3898" s="10" t="inlineStr">
        <is>
          <t>26/02/2026</t>
        </is>
      </c>
      <c r="I3898" s="10" t="inlineStr">
        <is>
          <t>28/03/2026</t>
        </is>
      </c>
      <c r="J3898" s="10" t="inlineStr">
        <is>
          <t>17/03/2026</t>
        </is>
      </c>
      <c r="K3898" s="10" t="inlineStr">
        <is>
          <t>N/A</t>
        </is>
      </c>
      <c r="L3898" s="10" t="inlineStr">
        <is>
          <t>Photoshop, Sketchup, Thiết Kế 2D, Event Design, Illustration</t>
        </is>
      </c>
      <c r="M3898" s="10" t="inlineStr">
        <is>
          <t>Bonus, Healthcare Plan, Training</t>
        </is>
      </c>
      <c r="N3898" s="11">
        <f>HYPERLINK("https://www.vietnamworks.com/senior-2d-designer--2014525-jv","Xem chi tiết")</f>
        <v/>
      </c>
      <c r="O3898" s="10" t="n"/>
    </row>
    <row r="3899">
      <c r="B3899" s="7" t="n">
        <v>3897</v>
      </c>
      <c r="C3899" t="inlineStr">
        <is>
          <t>Credit Officer</t>
        </is>
      </c>
      <c r="D3899" t="inlineStr">
        <is>
          <t>Chailease International Leasing Co., Ltd. (Head Office)</t>
        </is>
      </c>
      <c r="E3899" t="inlineStr">
        <is>
          <t>Thương lượng</t>
        </is>
      </c>
      <c r="F3899" t="inlineStr">
        <is>
          <t>Hồ Chí Minh</t>
        </is>
      </c>
      <c r="G3899" t="inlineStr">
        <is>
          <t>Nhân viên</t>
        </is>
      </c>
      <c r="H3899" t="inlineStr">
        <is>
          <t>26/02/2026</t>
        </is>
      </c>
      <c r="I3899" t="inlineStr">
        <is>
          <t>28/03/2026</t>
        </is>
      </c>
      <c r="J3899" t="inlineStr">
        <is>
          <t>17/03/2026</t>
        </is>
      </c>
      <c r="K3899" t="inlineStr">
        <is>
          <t>N/A</t>
        </is>
      </c>
      <c r="L3899" t="inlineStr">
        <is>
          <t>Finance, Banking, Credit Analyst, Thẩm Định Tài Chính, Audit</t>
        </is>
      </c>
      <c r="M3899" t="inlineStr">
        <is>
          <t>Bonus, Healthcare Plan, Travel Opportunities</t>
        </is>
      </c>
      <c r="N3899" s="8">
        <f>HYPERLINK("https://www.vietnamworks.com/credit-officer--2014518-jv","Xem chi tiết")</f>
        <v/>
      </c>
    </row>
    <row r="3900">
      <c r="B3900" s="9" t="n">
        <v>3898</v>
      </c>
      <c r="C3900" s="10" t="inlineStr">
        <is>
          <t>Nhân Viên Phòng Kế Toán</t>
        </is>
      </c>
      <c r="D3900" s="10" t="inlineStr">
        <is>
          <t>Tohoku Pioneer Vietnam Co., Ltd</t>
        </is>
      </c>
      <c r="E3900" s="10" t="inlineStr">
        <is>
          <t>Thương lượng</t>
        </is>
      </c>
      <c r="F3900" s="10" t="inlineStr">
        <is>
          <t>Hải Phòng</t>
        </is>
      </c>
      <c r="G3900" s="10" t="inlineStr">
        <is>
          <t>Nhân viên</t>
        </is>
      </c>
      <c r="H3900" s="10" t="inlineStr">
        <is>
          <t>26/02/2026</t>
        </is>
      </c>
      <c r="I3900" s="10" t="inlineStr">
        <is>
          <t>28/03/2026</t>
        </is>
      </c>
      <c r="J3900" s="10" t="inlineStr">
        <is>
          <t>17/03/2026</t>
        </is>
      </c>
      <c r="K3900" s="10" t="inlineStr">
        <is>
          <t>N/A</t>
        </is>
      </c>
      <c r="L3900" s="10" t="inlineStr">
        <is>
          <t>Kế Toán, Kinh Tế, Tài Chính, Tiếng Anh, Accounting</t>
        </is>
      </c>
      <c r="M3900" s="10" t="inlineStr">
        <is>
          <t>Bonus, Healthcare Plan, Training, Laptop, Travel Opportunities, Canteen, Others</t>
        </is>
      </c>
      <c r="N3900" s="11">
        <f>HYPERLINK("https://www.vietnamworks.com/nhan-vien-phong-ke-toan-2014521-jv","Xem chi tiết")</f>
        <v/>
      </c>
      <c r="O3900" s="10" t="n"/>
    </row>
    <row r="3901">
      <c r="B3901" s="7" t="n">
        <v>3899</v>
      </c>
      <c r="C3901" t="inlineStr">
        <is>
          <t>IT Auditor (Banking/financial Services)</t>
        </is>
      </c>
      <c r="D3901" t="inlineStr">
        <is>
          <t>Chailease International Leasing Co., Ltd. (Head Office)</t>
        </is>
      </c>
      <c r="E3901" t="inlineStr">
        <is>
          <t>Thương lượng</t>
        </is>
      </c>
      <c r="F3901" t="inlineStr">
        <is>
          <t>Hồ Chí Minh</t>
        </is>
      </c>
      <c r="G3901" t="inlineStr">
        <is>
          <t>Nhân viên</t>
        </is>
      </c>
      <c r="H3901" t="inlineStr">
        <is>
          <t>26/02/2026</t>
        </is>
      </c>
      <c r="I3901" t="inlineStr">
        <is>
          <t>28/03/2026</t>
        </is>
      </c>
      <c r="J3901" t="inlineStr">
        <is>
          <t>17/03/2026</t>
        </is>
      </c>
      <c r="K3901" t="inlineStr">
        <is>
          <t>N/A</t>
        </is>
      </c>
      <c r="L3901" t="inlineStr">
        <is>
          <t>Information Security, Risk Management, Security, Security Audit, Audit</t>
        </is>
      </c>
      <c r="M3901" t="inlineStr">
        <is>
          <t>Bonus, Healthcare Plan, Travel Opportunities</t>
        </is>
      </c>
      <c r="N3901" s="8">
        <f>HYPERLINK("https://www.vietnamworks.com/it-auditor-banking-financial-services-2014520-jv","Xem chi tiết")</f>
        <v/>
      </c>
    </row>
    <row r="3902">
      <c r="B3902" s="9" t="n">
        <v>3900</v>
      </c>
      <c r="C3902" s="10" t="inlineStr">
        <is>
          <t>Compliance Executive</t>
        </is>
      </c>
      <c r="D3902" s="10" t="inlineStr">
        <is>
          <t>Mainetti (Vietnam)</t>
        </is>
      </c>
      <c r="E3902" s="10" t="inlineStr">
        <is>
          <t>Thương lượng</t>
        </is>
      </c>
      <c r="F3902" s="10" t="inlineStr">
        <is>
          <t>Đồng Nai</t>
        </is>
      </c>
      <c r="G3902" s="10" t="inlineStr">
        <is>
          <t>Nhân viên</t>
        </is>
      </c>
      <c r="H3902" s="10" t="inlineStr">
        <is>
          <t>26/02/2026</t>
        </is>
      </c>
      <c r="I3902" s="10" t="inlineStr">
        <is>
          <t>28/03/2026</t>
        </is>
      </c>
      <c r="J3902" s="10" t="inlineStr">
        <is>
          <t>17/03/2026</t>
        </is>
      </c>
      <c r="K3902" s="10" t="inlineStr">
        <is>
          <t>N/A</t>
        </is>
      </c>
      <c r="L3902" s="10" t="inlineStr">
        <is>
          <t>Analytical Thinking, Compliance Auditing, English Language Proficiency, Labor Law, Social Compliance Auditing</t>
        </is>
      </c>
      <c r="M3902" s="10" t="inlineStr">
        <is>
          <t>Travel Opportunities</t>
        </is>
      </c>
      <c r="N3902" s="11">
        <f>HYPERLINK("https://www.vietnamworks.com/compliance-executive-2014545-jv","Xem chi tiết")</f>
        <v/>
      </c>
      <c r="O3902" s="10" t="n"/>
    </row>
    <row r="3903">
      <c r="B3903" s="7" t="n">
        <v>3901</v>
      </c>
      <c r="C3903" t="inlineStr">
        <is>
          <t>Kỹ Sư Kết Cấu Xây Dựng</t>
        </is>
      </c>
      <c r="D3903" t="inlineStr">
        <is>
          <t>Công Ty Cổ Phần Nước Và Xây Dựng Đường Thành (Waterco)</t>
        </is>
      </c>
      <c r="E3903" t="inlineStr">
        <is>
          <t>Tới $ 800 /tháng</t>
        </is>
      </c>
      <c r="F3903" t="inlineStr">
        <is>
          <t>Hà Nội</t>
        </is>
      </c>
      <c r="G3903" t="inlineStr">
        <is>
          <t>Nhân viên</t>
        </is>
      </c>
      <c r="H3903" t="inlineStr">
        <is>
          <t>26/02/2026</t>
        </is>
      </c>
      <c r="I3903" t="inlineStr">
        <is>
          <t>28/03/2026</t>
        </is>
      </c>
      <c r="J3903" t="inlineStr">
        <is>
          <t>17/03/2026</t>
        </is>
      </c>
      <c r="K3903" t="inlineStr">
        <is>
          <t>N/A</t>
        </is>
      </c>
      <c r="L3903" t="inlineStr">
        <is>
          <t>AutoCAD, Xây Dựng Dân Dụng, Tư Vấn Xây Dựng, MS Office, Kết Cấu Xây Dựng</t>
        </is>
      </c>
      <c r="M3903" t="inlineStr">
        <is>
          <t>Healthcare Plan, Training, Others</t>
        </is>
      </c>
      <c r="N3903" s="8">
        <f>HYPERLINK("https://www.vietnamworks.com/ky-su-ket-cau-xay-dung--2014551-jv","Xem chi tiết")</f>
        <v/>
      </c>
    </row>
    <row r="3904">
      <c r="B3904" s="9" t="n">
        <v>3902</v>
      </c>
      <c r="C3904" s="10" t="inlineStr">
        <is>
          <t>Kỹ Thuật Viên</t>
        </is>
      </c>
      <c r="D3904" s="10" t="inlineStr">
        <is>
          <t>Công Ty Cổ Phần ITC</t>
        </is>
      </c>
      <c r="E3904" s="10" t="inlineStr">
        <is>
          <t>10tr-18tr ₫/tháng</t>
        </is>
      </c>
      <c r="F3904" s="10" t="inlineStr">
        <is>
          <t>Hà Nội</t>
        </is>
      </c>
      <c r="G3904" s="10" t="inlineStr">
        <is>
          <t>Nhân viên</t>
        </is>
      </c>
      <c r="H3904" s="10" t="inlineStr">
        <is>
          <t>26/02/2026</t>
        </is>
      </c>
      <c r="I3904" s="10" t="inlineStr">
        <is>
          <t>28/03/2026</t>
        </is>
      </c>
      <c r="J3904" s="10" t="inlineStr">
        <is>
          <t>17/03/2026</t>
        </is>
      </c>
      <c r="K3904" s="10" t="inlineStr">
        <is>
          <t>N/A</t>
        </is>
      </c>
      <c r="L3904" s="10" t="inlineStr">
        <is>
          <t>Autocad, Electrical Engineering, Electronics, Điện Lạnh, Điện tử</t>
        </is>
      </c>
      <c r="M3904" s="10" t="inlineStr">
        <is>
          <t>Bonus, Healthcare Plan, Paid Leave, Others</t>
        </is>
      </c>
      <c r="N3904" s="11">
        <f>HYPERLINK("https://www.vietnamworks.com/ky-thuat-vien-2014543-jv","Xem chi tiết")</f>
        <v/>
      </c>
      <c r="O3904" s="10" t="n"/>
    </row>
    <row r="3905">
      <c r="B3905" s="7" t="n">
        <v>3903</v>
      </c>
      <c r="C3905" t="inlineStr">
        <is>
          <t>Kỹ Sư Thiết Kế Cơ Điện - M&amp;E Design Engineers</t>
        </is>
      </c>
      <c r="D3905" t="inlineStr">
        <is>
          <t>Japan Construction Management Corporation</t>
        </is>
      </c>
      <c r="E3905" t="inlineStr">
        <is>
          <t>Thương lượng</t>
        </is>
      </c>
      <c r="F3905" t="inlineStr">
        <is>
          <t>Hà Nội</t>
        </is>
      </c>
      <c r="G3905" t="inlineStr">
        <is>
          <t>Nhân viên</t>
        </is>
      </c>
      <c r="H3905" t="inlineStr">
        <is>
          <t>26/02/2026</t>
        </is>
      </c>
      <c r="I3905" t="inlineStr">
        <is>
          <t>28/03/2026</t>
        </is>
      </c>
      <c r="J3905" t="inlineStr">
        <is>
          <t>17/03/2026</t>
        </is>
      </c>
      <c r="K3905" t="inlineStr">
        <is>
          <t>N/A</t>
        </is>
      </c>
      <c r="L3905" t="inlineStr">
        <is>
          <t>M&amp;E Design, AutoCAD, Triển Khai Bản Vẽ, Thiết Kế Cơ Điện, MEP Design</t>
        </is>
      </c>
      <c r="M3905" t="inlineStr">
        <is>
          <t>Bonus, Healthcare Plan, Paid Leave</t>
        </is>
      </c>
      <c r="N3905" s="8">
        <f>HYPERLINK("https://www.vietnamworks.com/ky-su-thiet-ke-co-dien-m-e-design-engineers-5-3-1-1--2014550-jv","Xem chi tiết")</f>
        <v/>
      </c>
    </row>
    <row r="3906">
      <c r="B3906" s="9" t="n">
        <v>3904</v>
      </c>
      <c r="C3906" s="10" t="inlineStr">
        <is>
          <t>Customer Service Executive</t>
        </is>
      </c>
      <c r="D3906" s="10" t="inlineStr">
        <is>
          <t>Mainetti (Vietnam)</t>
        </is>
      </c>
      <c r="E3906" s="10" t="inlineStr">
        <is>
          <t>Thương lượng</t>
        </is>
      </c>
      <c r="F3906" s="10" t="inlineStr">
        <is>
          <t>Đồng Nai, Hồ Chí Minh, Hà Nội</t>
        </is>
      </c>
      <c r="G3906" s="10" t="inlineStr">
        <is>
          <t>Nhân viên</t>
        </is>
      </c>
      <c r="H3906" s="10" t="inlineStr">
        <is>
          <t>26/02/2026</t>
        </is>
      </c>
      <c r="I3906" s="10" t="inlineStr">
        <is>
          <t>28/03/2026</t>
        </is>
      </c>
      <c r="J3906" s="10" t="inlineStr">
        <is>
          <t>17/03/2026</t>
        </is>
      </c>
      <c r="K3906" s="10" t="inlineStr">
        <is>
          <t>N/A</t>
        </is>
      </c>
      <c r="L3906" s="10" t="inlineStr">
        <is>
          <t>Communication Skills, Customer Experience Management, English Communication, MES System Management, Negotiation Skills</t>
        </is>
      </c>
      <c r="M3906" s="10" t="inlineStr">
        <is>
          <t>Bonus</t>
        </is>
      </c>
      <c r="N3906" s="11">
        <f>HYPERLINK("https://www.vietnamworks.com/customer-service-executive-2014552-jv","Xem chi tiết")</f>
        <v/>
      </c>
      <c r="O3906" s="10" t="n"/>
    </row>
    <row r="3907">
      <c r="B3907" s="7" t="n">
        <v>3905</v>
      </c>
      <c r="C3907" t="inlineStr">
        <is>
          <t>Kỹ Sư Giám Sát Cơ Điện</t>
        </is>
      </c>
      <c r="D3907" t="inlineStr">
        <is>
          <t>Japan Construction Management Corporation</t>
        </is>
      </c>
      <c r="E3907" t="inlineStr">
        <is>
          <t>Thương lượng</t>
        </is>
      </c>
      <c r="F3907" t="inlineStr">
        <is>
          <t>Hà Nội</t>
        </is>
      </c>
      <c r="G3907" t="inlineStr">
        <is>
          <t>Nhân viên</t>
        </is>
      </c>
      <c r="H3907" t="inlineStr">
        <is>
          <t>26/02/2026</t>
        </is>
      </c>
      <c r="I3907" t="inlineStr">
        <is>
          <t>28/03/2026</t>
        </is>
      </c>
      <c r="J3907" t="inlineStr">
        <is>
          <t>17/03/2026</t>
        </is>
      </c>
      <c r="K3907" t="inlineStr">
        <is>
          <t>N/A</t>
        </is>
      </c>
      <c r="L3907" t="inlineStr">
        <is>
          <t>Bóc Tách Khối Lượng, Giám Sát Thi Công, MEP, Cơ Điện, Giám Sát</t>
        </is>
      </c>
      <c r="M3907" t="inlineStr">
        <is>
          <t>Bonus, Healthcare Plan, Paid Leave</t>
        </is>
      </c>
      <c r="N3907" s="8">
        <f>HYPERLINK("https://www.vietnamworks.com/ky-su-giam-sat-co-dien--2014554-jv","Xem chi tiết")</f>
        <v/>
      </c>
    </row>
    <row r="3908">
      <c r="B3908" s="9" t="n">
        <v>3906</v>
      </c>
      <c r="C3908" s="10" t="inlineStr">
        <is>
          <t>Trade Marketing Executive</t>
        </is>
      </c>
      <c r="D3908" s="10" t="inlineStr">
        <is>
          <t>Tập Đoàn Vingroup - Công Ty Cổ phần Vincom Retail</t>
        </is>
      </c>
      <c r="E3908" s="10" t="inlineStr">
        <is>
          <t>$$ 800-1,400 /tháng</t>
        </is>
      </c>
      <c r="F3908" s="10" t="inlineStr">
        <is>
          <t>Hồ Chí Minh, Hà Nội, Hưng Yên</t>
        </is>
      </c>
      <c r="G3908" s="10" t="inlineStr">
        <is>
          <t>Nhân viên</t>
        </is>
      </c>
      <c r="H3908" s="10" t="inlineStr">
        <is>
          <t>26/02/2026</t>
        </is>
      </c>
      <c r="I3908" s="10" t="inlineStr">
        <is>
          <t>28/03/2026</t>
        </is>
      </c>
      <c r="J3908" s="10" t="inlineStr">
        <is>
          <t>17/03/2026</t>
        </is>
      </c>
      <c r="K3908" s="10" t="inlineStr">
        <is>
          <t>N/A</t>
        </is>
      </c>
      <c r="L3908" s="10" t="inlineStr">
        <is>
          <t>Branding Marketing, English, Event Management, Market Research, Trade Marketing</t>
        </is>
      </c>
      <c r="M3908" s="10" t="inlineStr">
        <is>
          <t>Bonus, Canteen</t>
        </is>
      </c>
      <c r="N3908" s="11">
        <f>HYPERLINK("https://www.vietnamworks.com/trade-marketing-executive-2014542-jv","Xem chi tiết")</f>
        <v/>
      </c>
      <c r="O3908" s="10" t="n"/>
    </row>
    <row r="3909">
      <c r="B3909" s="7" t="n">
        <v>3907</v>
      </c>
      <c r="C3909" t="inlineStr">
        <is>
          <t>[Tuyển Gấp] Nhân Viên Tư Vấn và Xử Lý Hồ Sơ Du Học Anh - Úc - Mỹ - Canada *thu Nhập Up to 20Tr*</t>
        </is>
      </c>
      <c r="D3909" t="inlineStr">
        <is>
          <t>Công Ty Cổ Phần Giáo Dục VIETINT</t>
        </is>
      </c>
      <c r="E3909" t="inlineStr">
        <is>
          <t>Thương lượng</t>
        </is>
      </c>
      <c r="F3909" t="inlineStr">
        <is>
          <t>Hà Nội, Hồ Chí Minh</t>
        </is>
      </c>
      <c r="G3909" t="inlineStr">
        <is>
          <t>Nhân viên</t>
        </is>
      </c>
      <c r="H3909" t="inlineStr">
        <is>
          <t>26/02/2026</t>
        </is>
      </c>
      <c r="I3909" t="inlineStr">
        <is>
          <t>28/03/2026</t>
        </is>
      </c>
      <c r="J3909" t="inlineStr">
        <is>
          <t>17/03/2026</t>
        </is>
      </c>
      <c r="K3909" t="inlineStr">
        <is>
          <t>N/A</t>
        </is>
      </c>
      <c r="L3909" t="inlineStr">
        <is>
          <t>Tư Vấn, Tiếng Anh, Consultant Service, Hồ Sơ Du Học, Tư Vấn Du Học</t>
        </is>
      </c>
      <c r="M3909" t="inlineStr">
        <is>
          <t>Bonus, Healthcare Plan, Mobile</t>
        </is>
      </c>
      <c r="N3909" s="8">
        <f>HYPERLINK("https://www.vietnamworks.com/tuyen-gap-nhan-vien-tu-van-va-xu-ly-ho-so-du-hoc-anh-uc-my-canada-thu-nhap-up-to-20tr--2014547-jv","Xem chi tiết")</f>
        <v/>
      </c>
    </row>
    <row r="3910">
      <c r="B3910" s="9" t="n">
        <v>3908</v>
      </c>
      <c r="C3910" s="10" t="inlineStr">
        <is>
          <t>[Gấp] - Nhân Viên Bán Hàng Điều Hòa</t>
        </is>
      </c>
      <c r="D3910" s="10" t="inlineStr">
        <is>
          <t>Công Ty Cổ Phần ITC</t>
        </is>
      </c>
      <c r="E3910" s="10" t="inlineStr">
        <is>
          <t>8tr-15tr ₫/tháng</t>
        </is>
      </c>
      <c r="F3910" s="10" t="inlineStr">
        <is>
          <t>Hà Nội</t>
        </is>
      </c>
      <c r="G3910" s="10" t="inlineStr">
        <is>
          <t>Nhân viên</t>
        </is>
      </c>
      <c r="H3910" s="10" t="inlineStr">
        <is>
          <t>26/02/2026</t>
        </is>
      </c>
      <c r="I3910" s="10" t="inlineStr">
        <is>
          <t>28/03/2026</t>
        </is>
      </c>
      <c r="J3910" s="10" t="inlineStr">
        <is>
          <t>17/03/2026</t>
        </is>
      </c>
      <c r="K3910" s="10" t="inlineStr">
        <is>
          <t>N/A</t>
        </is>
      </c>
      <c r="L3910" s="10" t="inlineStr">
        <is>
          <t>Cơ Điện, Giao Tiếp, Kinh Doanh, Marketing Development, Điện Lạnh</t>
        </is>
      </c>
      <c r="M3910" s="10" t="inlineStr">
        <is>
          <t>Healthcare Plan, Paid Leave, Training, Others</t>
        </is>
      </c>
      <c r="N3910" s="11">
        <f>HYPERLINK("https://www.vietnamworks.com/gap-nhan-vien-ban-hang-dieu-hoa-2014556-jv","Xem chi tiết")</f>
        <v/>
      </c>
      <c r="O3910" s="10" t="n"/>
    </row>
    <row r="3911">
      <c r="B3911" s="7" t="n">
        <v>3909</v>
      </c>
      <c r="C3911" t="inlineStr">
        <is>
          <t>Data Entry &amp; Processing Officer (Nhân Viên Xử Lý Dữ Liệu)</t>
        </is>
      </c>
      <c r="D3911" t="inlineStr">
        <is>
          <t>Quickpack Vietnam Co.ltd</t>
        </is>
      </c>
      <c r="E3911" t="inlineStr">
        <is>
          <t>11tr-14tr ₫/tháng</t>
        </is>
      </c>
      <c r="F3911" t="inlineStr">
        <is>
          <t>Tây Ninh</t>
        </is>
      </c>
      <c r="G3911" t="inlineStr">
        <is>
          <t>Nhân viên</t>
        </is>
      </c>
      <c r="H3911" t="inlineStr">
        <is>
          <t>26/02/2026</t>
        </is>
      </c>
      <c r="I3911" t="inlineStr">
        <is>
          <t>28/03/2026</t>
        </is>
      </c>
      <c r="J3911" t="inlineStr">
        <is>
          <t>17/03/2026</t>
        </is>
      </c>
      <c r="K3911" t="inlineStr">
        <is>
          <t>N/A</t>
        </is>
      </c>
      <c r="L3911" t="inlineStr">
        <is>
          <t>Attention To Detail, Data Entry, Excel Skills, Production Process, Time Management</t>
        </is>
      </c>
      <c r="M3911" t="inlineStr">
        <is>
          <t>Bonus, Healthcare Plan, Training, Others</t>
        </is>
      </c>
      <c r="N3911" s="8">
        <f>HYPERLINK("https://www.vietnamworks.com/data-entry-and-processing-officer-nhan-vien-xu-ly-du-lieu-2014553-jv","Xem chi tiết")</f>
        <v/>
      </c>
    </row>
    <row r="3912">
      <c r="B3912" s="9" t="n">
        <v>3910</v>
      </c>
      <c r="C3912" s="10" t="inlineStr">
        <is>
          <t>Chuyên Viên Phòng Kỹ Thuật Sản Xuất PE (Lương Upto 25 Triệu/ Tháng)</t>
        </is>
      </c>
      <c r="D3912" s="10" t="inlineStr">
        <is>
          <t>Công ty TNHH Điện tử Meiko Hòa Bình</t>
        </is>
      </c>
      <c r="E3912" s="10" t="inlineStr">
        <is>
          <t>13tr-25tr ₫/tháng</t>
        </is>
      </c>
      <c r="F3912" s="10" t="inlineStr">
        <is>
          <t>Hòa Bình, Hà Nội</t>
        </is>
      </c>
      <c r="G3912" s="10" t="inlineStr">
        <is>
          <t>Nhân viên</t>
        </is>
      </c>
      <c r="H3912" s="10" t="inlineStr">
        <is>
          <t>26/02/2026</t>
        </is>
      </c>
      <c r="I3912" s="10" t="inlineStr">
        <is>
          <t>28/03/2026</t>
        </is>
      </c>
      <c r="J3912" s="10" t="inlineStr">
        <is>
          <t>17/03/2026</t>
        </is>
      </c>
      <c r="K3912" s="10" t="inlineStr">
        <is>
          <t>N/A</t>
        </is>
      </c>
      <c r="L3912" s="10" t="inlineStr">
        <is>
          <t>Kỹ Thuật, Bảo Dưỡng Máy, Kỹ Thuật Thiết Bị, Cơ Khí, Điện tử</t>
        </is>
      </c>
      <c r="M3912" s="10" t="inlineStr">
        <is>
          <t>Bonus, Paid Leave, Training, Transportation, Canteen, Others</t>
        </is>
      </c>
      <c r="N3912" s="11">
        <f>HYPERLINK("https://www.vietnamworks.com/chuyen-vien-phong-ky-thuat-san-xuat-pe-luong-upto-25-trieu-thang-2014557-jv","Xem chi tiết")</f>
        <v/>
      </c>
      <c r="O3912" s="10" t="n"/>
    </row>
    <row r="3913">
      <c r="B3913" s="7" t="n">
        <v>3911</v>
      </c>
      <c r="C3913" t="inlineStr">
        <is>
          <t>Nhân Viên Chăm Sóc Khách Hàng</t>
        </is>
      </c>
      <c r="D3913" t="inlineStr">
        <is>
          <t>Công Ty Cổ Phần Kem Tràng Tiền</t>
        </is>
      </c>
      <c r="E3913" t="inlineStr">
        <is>
          <t>10tr-13tr ₫/tháng</t>
        </is>
      </c>
      <c r="F3913" t="inlineStr">
        <is>
          <t>Hà Nội</t>
        </is>
      </c>
      <c r="G3913" t="inlineStr">
        <is>
          <t>Mới Tốt Nghiệp</t>
        </is>
      </c>
      <c r="H3913" t="inlineStr">
        <is>
          <t>26/02/2026</t>
        </is>
      </c>
      <c r="I3913" t="inlineStr">
        <is>
          <t>28/03/2026</t>
        </is>
      </c>
      <c r="J3913" t="inlineStr">
        <is>
          <t>17/03/2026</t>
        </is>
      </c>
      <c r="K3913" t="inlineStr">
        <is>
          <t>N/A</t>
        </is>
      </c>
      <c r="L3913" t="inlineStr">
        <is>
          <t>Chăm Sóc Khách Hàng, Xử Lí Đơn Hàng, Giao Tiếp, Xử Lý Công Nợ, Dịch Vụ Khách Hàng</t>
        </is>
      </c>
      <c r="M3913" t="inlineStr">
        <is>
          <t>Bonus, Healthcare Plan, Training, Others</t>
        </is>
      </c>
      <c r="N3913" s="8">
        <f>HYPERLINK("https://www.vietnamworks.com/nhan-vien-cham-soc-khach-hang-2014544-jv","Xem chi tiết")</f>
        <v/>
      </c>
    </row>
    <row r="3914">
      <c r="B3914" s="9" t="n">
        <v>3912</v>
      </c>
      <c r="C3914" s="10" t="inlineStr">
        <is>
          <t>Chuyên Viên Kế Toán Tổng Hợp ( Nhận Việc Ngay - Thu Nhập Hấp Dẫn )</t>
        </is>
      </c>
      <c r="D3914" s="10" t="inlineStr">
        <is>
          <t>Công ty Cổ phần Cuộc Sống Mạnh Khỏe</t>
        </is>
      </c>
      <c r="E3914" s="10" t="inlineStr">
        <is>
          <t>Từ 17tr ₫/tháng</t>
        </is>
      </c>
      <c r="F3914" s="10" t="inlineStr">
        <is>
          <t>Hồ Chí Minh</t>
        </is>
      </c>
      <c r="G3914" s="10" t="inlineStr">
        <is>
          <t>Nhân viên</t>
        </is>
      </c>
      <c r="H3914" s="10" t="inlineStr">
        <is>
          <t>26/02/2026</t>
        </is>
      </c>
      <c r="I3914" s="10" t="inlineStr">
        <is>
          <t>28/03/2026</t>
        </is>
      </c>
      <c r="J3914" s="10" t="inlineStr">
        <is>
          <t>17/03/2026</t>
        </is>
      </c>
      <c r="K3914" s="10" t="inlineStr">
        <is>
          <t>N/A</t>
        </is>
      </c>
      <c r="L3914" s="10" t="inlineStr">
        <is>
          <t>Kế Toán Tổng Hợp, Kế Toán, Finance, Báo Cáo Tài Chính, Kiểm Toán</t>
        </is>
      </c>
      <c r="M3914" s="10" t="inlineStr">
        <is>
          <t>Bonus, Training</t>
        </is>
      </c>
      <c r="N3914" s="11">
        <f>HYPERLINK("https://www.vietnamworks.com/chuyen-vien-ke-toan-tong-hop-nhan-viec-ngay-thu-nhap-hap-dan-2014555-jv","Xem chi tiết")</f>
        <v/>
      </c>
      <c r="O3914" s="10" t="n"/>
    </row>
    <row r="3915">
      <c r="B3915" s="7" t="n">
        <v>3913</v>
      </c>
      <c r="C3915" t="inlineStr">
        <is>
          <t>Business Support Intern</t>
        </is>
      </c>
      <c r="D3915" t="inlineStr">
        <is>
          <t>Navigos Group</t>
        </is>
      </c>
      <c r="E3915" t="inlineStr">
        <is>
          <t>Tới $ 116 /tháng</t>
        </is>
      </c>
      <c r="F3915" t="inlineStr">
        <is>
          <t>Hà Nội</t>
        </is>
      </c>
      <c r="G3915" t="inlineStr">
        <is>
          <t>Thực tập sinh/Sinh viên</t>
        </is>
      </c>
      <c r="H3915" t="inlineStr">
        <is>
          <t>26/02/2026</t>
        </is>
      </c>
      <c r="I3915" t="inlineStr">
        <is>
          <t>28/03/2026</t>
        </is>
      </c>
      <c r="J3915" t="inlineStr">
        <is>
          <t>17/03/2026</t>
        </is>
      </c>
      <c r="K3915" t="inlineStr">
        <is>
          <t>N/A</t>
        </is>
      </c>
      <c r="L3915" t="inlineStr">
        <is>
          <t>Customer Orientation, English, Interpersonal Skills, Microsoft Office</t>
        </is>
      </c>
      <c r="M3915" t="inlineStr">
        <is>
          <t>Training, Library, Team Activities</t>
        </is>
      </c>
      <c r="N3915" s="8">
        <f>HYPERLINK("https://www.vietnamworks.com/business-support-intern-2014560-jv","Xem chi tiết")</f>
        <v/>
      </c>
    </row>
    <row r="3916">
      <c r="B3916" s="9" t="n">
        <v>3914</v>
      </c>
      <c r="C3916" s="10" t="inlineStr">
        <is>
          <t>Nhân Viên Kinh Doanh Tour Du Lịch - Inbound Sale</t>
        </is>
      </c>
      <c r="D3916" s="10" t="inlineStr">
        <is>
          <t>CÔNG TY CỔ PHẦN THƯƠNG MẠI VÀ DU LỊCH QUẢ TÁO</t>
        </is>
      </c>
      <c r="E3916" s="10" t="inlineStr">
        <is>
          <t>Thương lượng</t>
        </is>
      </c>
      <c r="F3916" s="10" t="inlineStr">
        <is>
          <t>Hà Nội</t>
        </is>
      </c>
      <c r="G3916" s="10" t="inlineStr">
        <is>
          <t>Mới Tốt Nghiệp</t>
        </is>
      </c>
      <c r="H3916" s="10" t="inlineStr">
        <is>
          <t>26/02/2026</t>
        </is>
      </c>
      <c r="I3916" s="10" t="inlineStr">
        <is>
          <t>28/03/2026</t>
        </is>
      </c>
      <c r="J3916" s="10" t="inlineStr">
        <is>
          <t>17/03/2026</t>
        </is>
      </c>
      <c r="K3916" s="10" t="inlineStr">
        <is>
          <t>N/A</t>
        </is>
      </c>
      <c r="L3916" s="10" t="inlineStr">
        <is>
          <t>Chăm Sóc Khách Hàng, Lên Chương Trình Tour, Lên Kế Hoạch Du Lịch, Tour Organizing, Tư Vấn Tour</t>
        </is>
      </c>
      <c r="M3916" s="10" t="inlineStr">
        <is>
          <t>Bonus, Healthcare Plan, Paid Leave, Training, Travel Opportunities, Team Activities, Others</t>
        </is>
      </c>
      <c r="N3916" s="11">
        <f>HYPERLINK("https://www.vietnamworks.com/nhan-vien-kinh-doanh-tour-du-lich-inbound-sale-2014559-jv","Xem chi tiết")</f>
        <v/>
      </c>
      <c r="O3916" s="10" t="n"/>
    </row>
    <row r="3917">
      <c r="B3917" s="7" t="n">
        <v>3915</v>
      </c>
      <c r="C3917" t="inlineStr">
        <is>
          <t>Tele Sales Senior (Senior Telesales Executive)</t>
        </is>
      </c>
      <c r="D3917" t="inlineStr">
        <is>
          <t>CÔNG TY TNHH NHA KHOA ELITE</t>
        </is>
      </c>
      <c r="E3917" t="inlineStr">
        <is>
          <t>Thương lượng</t>
        </is>
      </c>
      <c r="F3917" t="inlineStr">
        <is>
          <t>Hồ Chí Minh</t>
        </is>
      </c>
      <c r="G3917" t="inlineStr">
        <is>
          <t>Nhân viên</t>
        </is>
      </c>
      <c r="H3917" t="inlineStr">
        <is>
          <t>26/02/2026</t>
        </is>
      </c>
      <c r="I3917" t="inlineStr">
        <is>
          <t>28/03/2026</t>
        </is>
      </c>
      <c r="J3917" t="inlineStr">
        <is>
          <t>17/03/2026</t>
        </is>
      </c>
      <c r="K3917" t="inlineStr">
        <is>
          <t>N/A</t>
        </is>
      </c>
      <c r="L3917" t="inlineStr">
        <is>
          <t>Telesales, Customer Service, CRM Proficiency, Comuniaction, Objection Solving</t>
        </is>
      </c>
      <c r="M3917" t="inlineStr">
        <is>
          <t>Bonus, Healthcare Plan, Travel Opportunities, Others</t>
        </is>
      </c>
      <c r="N3917" s="8">
        <f>HYPERLINK("https://www.vietnamworks.com/tele-sales-senior-senior-telesales-executive-2014558-jv","Xem chi tiết")</f>
        <v/>
      </c>
    </row>
    <row r="3918">
      <c r="B3918" s="9" t="n">
        <v>3916</v>
      </c>
      <c r="C3918" s="10" t="inlineStr">
        <is>
          <t>IT Infrastructure Supervisor</t>
        </is>
      </c>
      <c r="D3918" s="10" t="inlineStr">
        <is>
          <t>Công Ty TNHH Kintetsu World Express Việt Nam</t>
        </is>
      </c>
      <c r="E3918" s="10" t="inlineStr">
        <is>
          <t>Thương lượng</t>
        </is>
      </c>
      <c r="F3918" s="10" t="inlineStr">
        <is>
          <t>Hà Nội</t>
        </is>
      </c>
      <c r="G3918" s="10" t="inlineStr">
        <is>
          <t>Trưởng phòng</t>
        </is>
      </c>
      <c r="H3918" s="10" t="inlineStr">
        <is>
          <t>26/02/2026</t>
        </is>
      </c>
      <c r="I3918" s="10" t="inlineStr">
        <is>
          <t>28/03/2026</t>
        </is>
      </c>
      <c r="J3918" s="10" t="inlineStr">
        <is>
          <t>17/03/2026</t>
        </is>
      </c>
      <c r="K3918" s="10" t="inlineStr">
        <is>
          <t>N/A</t>
        </is>
      </c>
      <c r="L3918" s="10" t="inlineStr">
        <is>
          <t>Application Support, CRM 365, IT Helpdesk, Network Management System</t>
        </is>
      </c>
      <c r="M3918" s="10" t="inlineStr">
        <is>
          <t>Bonus, Healthcare Plan, Others</t>
        </is>
      </c>
      <c r="N3918" s="11">
        <f>HYPERLINK("https://www.vietnamworks.com/it-infrastructure-supervisor-2014562-jv","Xem chi tiết")</f>
        <v/>
      </c>
      <c r="O3918" s="10" t="n"/>
    </row>
    <row r="3919">
      <c r="B3919" s="7" t="n">
        <v>3917</v>
      </c>
      <c r="C3919" t="inlineStr">
        <is>
          <t>Trợ Lý Tổng Giám Đốc (Lương Up to 30 Triệu VND/ Tháng)</t>
        </is>
      </c>
      <c r="D3919" t="inlineStr">
        <is>
          <t>Công ty TNHHH ĐT XNK Hoan TT</t>
        </is>
      </c>
      <c r="E3919" t="inlineStr">
        <is>
          <t>Tới 30tr ₫/tháng</t>
        </is>
      </c>
      <c r="F3919" t="inlineStr">
        <is>
          <t>Hà Nội</t>
        </is>
      </c>
      <c r="G3919" t="inlineStr">
        <is>
          <t>Nhân viên</t>
        </is>
      </c>
      <c r="H3919" t="inlineStr">
        <is>
          <t>26/02/2026</t>
        </is>
      </c>
      <c r="I3919" t="inlineStr">
        <is>
          <t>28/03/2026</t>
        </is>
      </c>
      <c r="J3919" t="inlineStr">
        <is>
          <t>17/03/2026</t>
        </is>
      </c>
      <c r="K3919" t="inlineStr">
        <is>
          <t>N/A</t>
        </is>
      </c>
      <c r="L3919" t="inlineStr">
        <is>
          <t>Biên Phiên Dịch, Quản Lý Hồ Sơ, Làm Powerpoint, Lập Kế Hoạch, Trợ Lý</t>
        </is>
      </c>
      <c r="M3919" t="inlineStr">
        <is>
          <t>Paid Leave</t>
        </is>
      </c>
      <c r="N3919" s="8">
        <f>HYPERLINK("https://www.vietnamworks.com/tro-ly-tong-giam-djoc-luong-up-to-30-trieu-vnd-thang-2014563-jv","Xem chi tiết")</f>
        <v/>
      </c>
    </row>
    <row r="3920">
      <c r="B3920" s="9" t="n">
        <v>3918</v>
      </c>
      <c r="C3920" s="10" t="inlineStr">
        <is>
          <t>[Tuyển Gấp] Kỹ Sư Cơ Khí</t>
        </is>
      </c>
      <c r="D3920" s="10" t="inlineStr">
        <is>
          <t>Công Ty Cổ Phần Công Nghệ Thiết Bị Nâng ATT</t>
        </is>
      </c>
      <c r="E3920" s="10" t="inlineStr">
        <is>
          <t>Thương lượng</t>
        </is>
      </c>
      <c r="F3920" s="10" t="inlineStr">
        <is>
          <t>Hải Dương</t>
        </is>
      </c>
      <c r="G3920" s="10" t="inlineStr">
        <is>
          <t>Nhân viên</t>
        </is>
      </c>
      <c r="H3920" s="10" t="inlineStr">
        <is>
          <t>26/02/2026</t>
        </is>
      </c>
      <c r="I3920" s="10" t="inlineStr">
        <is>
          <t>28/03/2026</t>
        </is>
      </c>
      <c r="J3920" s="10" t="inlineStr">
        <is>
          <t>17/03/2026</t>
        </is>
      </c>
      <c r="K3920" s="10" t="inlineStr">
        <is>
          <t>N/A</t>
        </is>
      </c>
      <c r="L3920" s="10" t="inlineStr">
        <is>
          <t>Cơ Khí, Mechanical Engineering, AutoCAD, Tự Động Hóa, Bảo Dưỡng</t>
        </is>
      </c>
      <c r="M3920" s="10" t="inlineStr">
        <is>
          <t>Bonus, Training, Travel Opportunities</t>
        </is>
      </c>
      <c r="N3920" s="11">
        <f>HYPERLINK("https://www.vietnamworks.com/tuyen-gap-ky-su-co-khi--2014565-jv","Xem chi tiết")</f>
        <v/>
      </c>
      <c r="O3920" s="10" t="n"/>
    </row>
    <row r="3921">
      <c r="B3921" s="7" t="n">
        <v>3919</v>
      </c>
      <c r="C3921" t="inlineStr">
        <is>
          <t>Data Processing Executive (Market Research Quantitative)</t>
        </is>
      </c>
      <c r="D3921" t="inlineStr">
        <is>
          <t>Asia Plus Vietnam Co., Ltd (Q&amp;me)</t>
        </is>
      </c>
      <c r="E3921" t="inlineStr">
        <is>
          <t>$$ 550-800 /tháng</t>
        </is>
      </c>
      <c r="F3921" t="inlineStr">
        <is>
          <t>Hồ Chí Minh</t>
        </is>
      </c>
      <c r="G3921" t="inlineStr">
        <is>
          <t>Nhân viên</t>
        </is>
      </c>
      <c r="H3921" t="inlineStr">
        <is>
          <t>26/02/2026</t>
        </is>
      </c>
      <c r="I3921" t="inlineStr">
        <is>
          <t>28/03/2026</t>
        </is>
      </c>
      <c r="J3921" t="inlineStr">
        <is>
          <t>17/03/2026</t>
        </is>
      </c>
      <c r="K3921" t="inlineStr">
        <is>
          <t>N/A</t>
        </is>
      </c>
      <c r="L3921" t="inlineStr">
        <is>
          <t>Data Analysis, Market Research, Python, SPSS Analysis</t>
        </is>
      </c>
      <c r="M3921" t="inlineStr">
        <is>
          <t>Bonus</t>
        </is>
      </c>
      <c r="N3921" s="8">
        <f>HYPERLINK("https://www.vietnamworks.com/data-processing-executive-market-research-quantitative-2014576-jv","Xem chi tiết")</f>
        <v/>
      </c>
    </row>
    <row r="3922">
      <c r="B3922" s="9" t="n">
        <v>3920</v>
      </c>
      <c r="C3922" s="10" t="inlineStr">
        <is>
          <t>Chuyên Viên Mua Hàng &amp; Xuất Nhập Khẩu</t>
        </is>
      </c>
      <c r="D3922" s="10" t="inlineStr">
        <is>
          <t>Công Ty TNHH Vật Tư Khoa Học Kỹ Thuật Thái Bình</t>
        </is>
      </c>
      <c r="E3922" s="10" t="inlineStr">
        <is>
          <t>15tr-25tr ₫/tháng</t>
        </is>
      </c>
      <c r="F3922" s="10" t="inlineStr">
        <is>
          <t>Hà Nội</t>
        </is>
      </c>
      <c r="G3922" s="10" t="inlineStr">
        <is>
          <t>Nhân viên</t>
        </is>
      </c>
      <c r="H3922" s="10" t="inlineStr">
        <is>
          <t>26/02/2026</t>
        </is>
      </c>
      <c r="I3922" s="10" t="inlineStr">
        <is>
          <t>28/03/2026</t>
        </is>
      </c>
      <c r="J3922" s="10" t="inlineStr">
        <is>
          <t>17/03/2026</t>
        </is>
      </c>
      <c r="K3922" s="10" t="inlineStr">
        <is>
          <t>N/A</t>
        </is>
      </c>
      <c r="L3922" s="10" t="inlineStr">
        <is>
          <t>Thủ Tục Xuất Nhập Khẩu, Purchasing, Xuất Nhập Khẩu &amp; Logistics, Purchasing Logistics, Import – Export</t>
        </is>
      </c>
      <c r="M3922" s="10" t="inlineStr">
        <is>
          <t>Bonus, Healthcare Plan, Training, Awards, Others</t>
        </is>
      </c>
      <c r="N3922" s="11">
        <f>HYPERLINK("https://www.vietnamworks.com/chuyen-vien-mua-hang-and-xuat-nhap-khau-2014585-jv","Xem chi tiết")</f>
        <v/>
      </c>
      <c r="O3922" s="10" t="n"/>
    </row>
    <row r="3923">
      <c r="B3923" s="7" t="n">
        <v>3921</v>
      </c>
      <c r="C3923" t="inlineStr">
        <is>
          <t>Kế Toán Tổng Hợp (Phụ Trách Ngân Hàng &amp; Thanh Toán)</t>
        </is>
      </c>
      <c r="D3923" t="inlineStr">
        <is>
          <t>Công Ty TNHH Vật Tư Khoa Học Kỹ Thuật Thái Bình</t>
        </is>
      </c>
      <c r="E3923" t="inlineStr">
        <is>
          <t>15tr-25tr ₫/tháng</t>
        </is>
      </c>
      <c r="F3923" t="inlineStr">
        <is>
          <t>Hà Nội</t>
        </is>
      </c>
      <c r="G3923" t="inlineStr">
        <is>
          <t>Nhân viên</t>
        </is>
      </c>
      <c r="H3923" t="inlineStr">
        <is>
          <t>26/02/2026</t>
        </is>
      </c>
      <c r="I3923" t="inlineStr">
        <is>
          <t>28/03/2026</t>
        </is>
      </c>
      <c r="J3923" t="inlineStr">
        <is>
          <t>17/03/2026</t>
        </is>
      </c>
      <c r="K3923" t="inlineStr">
        <is>
          <t>N/A</t>
        </is>
      </c>
      <c r="L3923" t="inlineStr">
        <is>
          <t>Am Hiểu Hệ Thống Kế Toán, Giải Trình Ngân Hàng, Kế Toán Tổng Hợp, Accounting &amp; Auditing, Kế Toán Ngân Hàng</t>
        </is>
      </c>
      <c r="M3923" t="inlineStr">
        <is>
          <t>Bonus, Healthcare Plan, Training, Awards, Others</t>
        </is>
      </c>
      <c r="N3923" s="8">
        <f>HYPERLINK("https://www.vietnamworks.com/ke-toan-tong-hop-phu-trach-ngan-hang-and-thanh-toan-2014578-jv","Xem chi tiết")</f>
        <v/>
      </c>
    </row>
    <row r="3924">
      <c r="B3924" s="9" t="n">
        <v>3922</v>
      </c>
      <c r="C3924" s="10" t="inlineStr">
        <is>
          <t>Nhân Viên Quản Lý Chất Lượng Sản Phẩm (QA)</t>
        </is>
      </c>
      <c r="D3924" s="10" t="inlineStr">
        <is>
          <t>Tohoku Pioneer Vietnam Co., Ltd</t>
        </is>
      </c>
      <c r="E3924" s="10" t="inlineStr">
        <is>
          <t>Thương lượng</t>
        </is>
      </c>
      <c r="F3924" s="10" t="inlineStr">
        <is>
          <t>Hải Phòng</t>
        </is>
      </c>
      <c r="G3924" s="10" t="inlineStr">
        <is>
          <t>Nhân viên</t>
        </is>
      </c>
      <c r="H3924" s="10" t="inlineStr">
        <is>
          <t>26/02/2026</t>
        </is>
      </c>
      <c r="I3924" s="10" t="inlineStr">
        <is>
          <t>28/03/2026</t>
        </is>
      </c>
      <c r="J3924" s="10" t="inlineStr">
        <is>
          <t>17/03/2026</t>
        </is>
      </c>
      <c r="K3924" s="10" t="inlineStr">
        <is>
          <t>N/A</t>
        </is>
      </c>
      <c r="L3924" s="10" t="inlineStr">
        <is>
          <t>Phân Tích Lỗi, Tiếng Anh, Giám Sát Chất Lượng Sản Xuất, ISO 9001</t>
        </is>
      </c>
      <c r="M3924" s="10" t="inlineStr">
        <is>
          <t>Bonus, Training, Travel Opportunities</t>
        </is>
      </c>
      <c r="N3924" s="11">
        <f>HYPERLINK("https://www.vietnamworks.com/nhan-vien-quan-ly-chat-luong-san-pham-qa-2014579-jv","Xem chi tiết")</f>
        <v/>
      </c>
      <c r="O3924" s="10" t="n"/>
    </row>
    <row r="3925">
      <c r="B3925" s="7" t="n">
        <v>3923</v>
      </c>
      <c r="C3925" t="inlineStr">
        <is>
          <t>Senior Merchandise Specialist (Lifestyle/beauty/fashion)</t>
        </is>
      </c>
      <c r="D3925" t="inlineStr">
        <is>
          <t>Công Ty Cổ Phần Vàng Bạc Đá Quý Phú Nhuận (PNJ)</t>
        </is>
      </c>
      <c r="E3925" t="inlineStr">
        <is>
          <t>Thương lượng</t>
        </is>
      </c>
      <c r="F3925" t="inlineStr">
        <is>
          <t>Hồ Chí Minh</t>
        </is>
      </c>
      <c r="G3925" t="inlineStr">
        <is>
          <t>Nhân viên</t>
        </is>
      </c>
      <c r="H3925" t="inlineStr">
        <is>
          <t>26/02/2026</t>
        </is>
      </c>
      <c r="I3925" t="inlineStr">
        <is>
          <t>28/03/2026</t>
        </is>
      </c>
      <c r="J3925" t="inlineStr">
        <is>
          <t>17/03/2026</t>
        </is>
      </c>
      <c r="K3925" t="inlineStr">
        <is>
          <t>N/A</t>
        </is>
      </c>
      <c r="L3925" t="inlineStr">
        <is>
          <t>Communication, Market Analysis, Merchandising, Product Development, Supply Management</t>
        </is>
      </c>
      <c r="M3925" t="inlineStr">
        <is>
          <t>Bonus, Healthcare Plan, Paid Leave, Training, Laptop, Travel Opportunities, Others</t>
        </is>
      </c>
      <c r="N3925" s="8">
        <f>HYPERLINK("https://www.vietnamworks.com/senior-merchandise-specialist-lifestyle-beauty-fashion-2014567-jv","Xem chi tiết")</f>
        <v/>
      </c>
    </row>
    <row r="3926">
      <c r="B3926" s="9" t="n">
        <v>3924</v>
      </c>
      <c r="C3926" s="10" t="inlineStr">
        <is>
          <t>Nhân Viên Quản Lý Chất Lượng Linh Kiện (PQA)</t>
        </is>
      </c>
      <c r="D3926" s="10" t="inlineStr">
        <is>
          <t>Tohoku Pioneer Vietnam Co., Ltd</t>
        </is>
      </c>
      <c r="E3926" s="10" t="inlineStr">
        <is>
          <t>Thương lượng</t>
        </is>
      </c>
      <c r="F3926" s="10" t="inlineStr">
        <is>
          <t>Hải Phòng</t>
        </is>
      </c>
      <c r="G3926" s="10" t="inlineStr">
        <is>
          <t>Nhân viên</t>
        </is>
      </c>
      <c r="H3926" s="10" t="inlineStr">
        <is>
          <t>26/02/2026</t>
        </is>
      </c>
      <c r="I3926" s="10" t="inlineStr">
        <is>
          <t>28/03/2026</t>
        </is>
      </c>
      <c r="J3926" s="10" t="inlineStr">
        <is>
          <t>17/03/2026</t>
        </is>
      </c>
      <c r="K3926" s="10" t="inlineStr">
        <is>
          <t>N/A</t>
        </is>
      </c>
      <c r="L3926" s="10" t="inlineStr">
        <is>
          <t>Kỹ Thuật, Tiếng Anh, Hóa Chất, Kiểm Tra Chất Lượng Linh Kiện</t>
        </is>
      </c>
      <c r="M3926" s="10" t="inlineStr">
        <is>
          <t>Bonus, Training, Travel Opportunities</t>
        </is>
      </c>
      <c r="N3926" s="11">
        <f>HYPERLINK("https://www.vietnamworks.com/nhan-vien-quan-ly-chat-luong-linh-kien-pqa-2014581-jv","Xem chi tiết")</f>
        <v/>
      </c>
      <c r="O3926" s="10" t="n"/>
    </row>
    <row r="3927">
      <c r="B3927" s="7" t="n">
        <v>3925</v>
      </c>
      <c r="C3927" t="inlineStr">
        <is>
          <t>Chartering Executive</t>
        </is>
      </c>
      <c r="D3927" t="inlineStr">
        <is>
          <t>FLS Vietnam Company Limited</t>
        </is>
      </c>
      <c r="E3927" t="inlineStr">
        <is>
          <t>Thương lượng</t>
        </is>
      </c>
      <c r="F3927" t="inlineStr">
        <is>
          <t>Hồ Chí Minh</t>
        </is>
      </c>
      <c r="G3927" t="inlineStr">
        <is>
          <t>Nhân viên</t>
        </is>
      </c>
      <c r="H3927" t="inlineStr">
        <is>
          <t>26/02/2026</t>
        </is>
      </c>
      <c r="I3927" t="inlineStr">
        <is>
          <t>28/03/2026</t>
        </is>
      </c>
      <c r="J3927" t="inlineStr">
        <is>
          <t>17/03/2026</t>
        </is>
      </c>
      <c r="K3927" t="inlineStr">
        <is>
          <t>N/A</t>
        </is>
      </c>
      <c r="L3927" t="inlineStr">
        <is>
          <t>Logistics, Incoterms 2020, Customer Service Operation, Commercial Experience, Chăm Sóc Khách Hàng</t>
        </is>
      </c>
      <c r="M3927" t="inlineStr">
        <is>
          <t>Bonus, Healthcare Plan, Team Activities</t>
        </is>
      </c>
      <c r="N3927" s="8">
        <f>HYPERLINK("https://www.vietnamworks.com/chartering-executive--2014580-jv","Xem chi tiết")</f>
        <v/>
      </c>
    </row>
    <row r="3928">
      <c r="B3928" s="9" t="n">
        <v>3926</v>
      </c>
      <c r="C3928" s="10" t="inlineStr">
        <is>
          <t>[HCMC] Medical Representative / Trình Dược Viên</t>
        </is>
      </c>
      <c r="D3928" s="10" t="inlineStr">
        <is>
          <t>Công Ty Cổ Phần Dược Phẩm Am Vi</t>
        </is>
      </c>
      <c r="E3928" s="10" t="inlineStr">
        <is>
          <t>$$ 500-700 /tháng</t>
        </is>
      </c>
      <c r="F3928" s="10" t="inlineStr">
        <is>
          <t>Hồ Chí Minh</t>
        </is>
      </c>
      <c r="G3928" s="10" t="inlineStr">
        <is>
          <t>Nhân viên</t>
        </is>
      </c>
      <c r="H3928" s="10" t="inlineStr">
        <is>
          <t>26/02/2026</t>
        </is>
      </c>
      <c r="I3928" s="10" t="inlineStr">
        <is>
          <t>28/03/2026</t>
        </is>
      </c>
      <c r="J3928" s="10" t="inlineStr">
        <is>
          <t>17/03/2026</t>
        </is>
      </c>
      <c r="K3928" s="10" t="inlineStr">
        <is>
          <t>N/A</t>
        </is>
      </c>
      <c r="L3928" s="10" t="inlineStr">
        <is>
          <t>Communication Skills, Negotiation Skills, Pharmacy, Presentation Skills, Sales Experience</t>
        </is>
      </c>
      <c r="M3928" s="10" t="inlineStr">
        <is>
          <t>Bonus, Training, Laptop</t>
        </is>
      </c>
      <c r="N3928" s="11">
        <f>HYPERLINK("https://www.vietnamworks.com/hcmc-medical-representative-trinh-duoc-vien-2014587-jv","Xem chi tiết")</f>
        <v/>
      </c>
      <c r="O3928" s="10" t="n"/>
    </row>
    <row r="3929">
      <c r="B3929" s="7" t="n">
        <v>3927</v>
      </c>
      <c r="C3929" t="inlineStr">
        <is>
          <t>Chuyên Viên Cao Cấp Xử Lý Nợ Khách Hàng Doanh Nghiệp</t>
        </is>
      </c>
      <c r="D3929" t="inlineStr">
        <is>
          <t>Ngân Hàng TMCP Quốc Tế Việt Nam (VIB)</t>
        </is>
      </c>
      <c r="E3929" t="inlineStr">
        <is>
          <t>$$ 500-2,000 /tháng</t>
        </is>
      </c>
      <c r="F3929" t="inlineStr">
        <is>
          <t>Hà Nội</t>
        </is>
      </c>
      <c r="G3929" t="inlineStr">
        <is>
          <t>Nhân viên</t>
        </is>
      </c>
      <c r="H3929" t="inlineStr">
        <is>
          <t>26/02/2026</t>
        </is>
      </c>
      <c r="I3929" t="inlineStr">
        <is>
          <t>28/03/2026</t>
        </is>
      </c>
      <c r="J3929" t="inlineStr">
        <is>
          <t>17/03/2026</t>
        </is>
      </c>
      <c r="K3929" t="inlineStr">
        <is>
          <t>N/A</t>
        </is>
      </c>
      <c r="L3929" t="inlineStr">
        <is>
          <t>Debt Collection, Corporate Loan Collection</t>
        </is>
      </c>
      <c r="M3929" t="inlineStr">
        <is>
          <t>Bonus, Awards, Laptop</t>
        </is>
      </c>
      <c r="N3929" s="8">
        <f>HYPERLINK("https://www.vietnamworks.com/chuyen-vien-cao-cap-xu-ly-no-khach-hang-doanh-nghiep-2014566-jv","Xem chi tiết")</f>
        <v/>
      </c>
    </row>
    <row r="3930">
      <c r="B3930" s="9" t="n">
        <v>3928</v>
      </c>
      <c r="C3930" s="10" t="inlineStr">
        <is>
          <t>[Tuyển Gấp] Kỹ Sư Hàn</t>
        </is>
      </c>
      <c r="D3930" s="10" t="inlineStr">
        <is>
          <t>Công Ty Cổ Phần Công Nghệ Thiết Bị Nâng ATT</t>
        </is>
      </c>
      <c r="E3930" s="10" t="inlineStr">
        <is>
          <t>Thương lượng</t>
        </is>
      </c>
      <c r="F3930" s="10" t="inlineStr">
        <is>
          <t>Hải Dương</t>
        </is>
      </c>
      <c r="G3930" s="10" t="inlineStr">
        <is>
          <t>Nhân viên</t>
        </is>
      </c>
      <c r="H3930" s="10" t="inlineStr">
        <is>
          <t>26/02/2026</t>
        </is>
      </c>
      <c r="I3930" s="10" t="inlineStr">
        <is>
          <t>28/03/2026</t>
        </is>
      </c>
      <c r="J3930" s="10" t="inlineStr">
        <is>
          <t>17/03/2026</t>
        </is>
      </c>
      <c r="K3930" s="10" t="inlineStr">
        <is>
          <t>N/A</t>
        </is>
      </c>
      <c r="L3930" s="10" t="inlineStr">
        <is>
          <t>Cơ khí chế tạo máy, Kết Cấu Thép, AWS D1.1, Đánh Giá Chất Lượng, Hàn Hồ Quang Điện</t>
        </is>
      </c>
      <c r="M3930" s="10" t="inlineStr">
        <is>
          <t>Bonus, Training, Travel Opportunities</t>
        </is>
      </c>
      <c r="N3930" s="11">
        <f>HYPERLINK("https://www.vietnamworks.com/tuyen-gap-ky-su-han-2014569-jv","Xem chi tiết")</f>
        <v/>
      </c>
      <c r="O3930" s="10" t="n"/>
    </row>
    <row r="3931">
      <c r="B3931" s="7" t="n">
        <v>3929</v>
      </c>
      <c r="C3931" t="inlineStr">
        <is>
          <t>Brand Manager</t>
        </is>
      </c>
      <c r="D3931" t="inlineStr">
        <is>
          <t>Công Ty TNHH Flex Consultancy (Vietnam)</t>
        </is>
      </c>
      <c r="E3931" t="inlineStr">
        <is>
          <t>Thương lượng</t>
        </is>
      </c>
      <c r="F3931" t="inlineStr">
        <is>
          <t>Hà Nội</t>
        </is>
      </c>
      <c r="G3931" t="inlineStr">
        <is>
          <t>Giám Đốc và Cấp Cao Hơn</t>
        </is>
      </c>
      <c r="H3931" t="inlineStr">
        <is>
          <t>26/02/2026</t>
        </is>
      </c>
      <c r="I3931" t="inlineStr">
        <is>
          <t>28/03/2026</t>
        </is>
      </c>
      <c r="J3931" t="inlineStr">
        <is>
          <t>17/03/2026</t>
        </is>
      </c>
      <c r="K3931" t="inlineStr">
        <is>
          <t>N/A</t>
        </is>
      </c>
      <c r="L3931" t="inlineStr">
        <is>
          <t>Freight Forwarder, Logistics, Ocean Freight, Air Freight, Branch Management</t>
        </is>
      </c>
      <c r="M3931" t="inlineStr">
        <is>
          <t>Bonus</t>
        </is>
      </c>
      <c r="N3931" s="8">
        <f>HYPERLINK("https://www.vietnamworks.com/brand-manager--2014573-jv","Xem chi tiết")</f>
        <v/>
      </c>
    </row>
    <row r="3932">
      <c r="B3932" s="9" t="n">
        <v>3930</v>
      </c>
      <c r="C3932" s="10" t="inlineStr">
        <is>
          <t>Giám Đốc Dự Án (Lĩnh Vực Bất Động Sản, Thu Nhập Từ Thu Nhập Hấp Dẫn Từ 50 – 150 Triệu/tháng (Lương Cứng + Hoa Hồng + Thưởng Hiệu Suất)</t>
        </is>
      </c>
      <c r="D3932" s="10" t="inlineStr">
        <is>
          <t>Cen Group</t>
        </is>
      </c>
      <c r="E3932" s="10" t="inlineStr">
        <is>
          <t>50tr-150tr ₫/tháng</t>
        </is>
      </c>
      <c r="F3932" s="10" t="inlineStr">
        <is>
          <t>Hà Nội</t>
        </is>
      </c>
      <c r="G3932" s="10" t="inlineStr">
        <is>
          <t>Giám Đốc và Cấp Cao Hơn</t>
        </is>
      </c>
      <c r="H3932" s="10" t="inlineStr">
        <is>
          <t>26/02/2026</t>
        </is>
      </c>
      <c r="I3932" s="10" t="inlineStr">
        <is>
          <t>28/03/2026</t>
        </is>
      </c>
      <c r="J3932" s="10" t="inlineStr">
        <is>
          <t>17/03/2026</t>
        </is>
      </c>
      <c r="K3932" s="10" t="inlineStr">
        <is>
          <t>N/A</t>
        </is>
      </c>
      <c r="L3932" s="10" t="inlineStr">
        <is>
          <t>Kinh Doanh, Quản Lý Kinh Doanh, Bất Động Sản, Tổng Hợp Số Liệu, Phân Tích Báo Cáo</t>
        </is>
      </c>
      <c r="M3932" s="10" t="inlineStr">
        <is>
          <t>Healthcare Plan, Training, Team Activities</t>
        </is>
      </c>
      <c r="N3932" s="11">
        <f>HYPERLINK("https://www.vietnamworks.com/giam-doc-du-an-linh-vuc-bat-dong-san-thu-nhap-tu-thu-nhap-hap-dan-tu-50-150-trieu-thang-luong-cung-hoa-hong-thuong-hieu-suat--2014568-jv","Xem chi tiết")</f>
        <v/>
      </c>
      <c r="O3932" s="10" t="n"/>
    </row>
    <row r="3933">
      <c r="B3933" s="7" t="n">
        <v>3931</v>
      </c>
      <c r="C3933" t="inlineStr">
        <is>
          <t>Nhân Viên Phiên Dịch Phòng Kỹ Thuật Sản Xuất Linh Kiện (Vpe)</t>
        </is>
      </c>
      <c r="D3933" t="inlineStr">
        <is>
          <t>Tohoku Pioneer Vietnam Co., Ltd</t>
        </is>
      </c>
      <c r="E3933" t="inlineStr">
        <is>
          <t>Thương lượng</t>
        </is>
      </c>
      <c r="F3933" t="inlineStr">
        <is>
          <t>Hải Phòng</t>
        </is>
      </c>
      <c r="G3933" t="inlineStr">
        <is>
          <t>Nhân viên</t>
        </is>
      </c>
      <c r="H3933" t="inlineStr">
        <is>
          <t>26/02/2026</t>
        </is>
      </c>
      <c r="I3933" t="inlineStr">
        <is>
          <t>28/03/2026</t>
        </is>
      </c>
      <c r="J3933" t="inlineStr">
        <is>
          <t>17/03/2026</t>
        </is>
      </c>
      <c r="K3933" t="inlineStr">
        <is>
          <t>N/A</t>
        </is>
      </c>
      <c r="L3933" t="inlineStr">
        <is>
          <t>Phiên Dịch, Phiên Dịch Tài Liệu, Tiếng Nhật N2, Quản Lý Văn Bản, Thông Dịch Sản Xuất</t>
        </is>
      </c>
      <c r="M3933" t="inlineStr">
        <is>
          <t>Bonus, Healthcare Plan, Training, Travel Opportunities, Canteen, Others</t>
        </is>
      </c>
      <c r="N3933" s="8">
        <f>HYPERLINK("https://www.vietnamworks.com/nhan-vien-phien-dich-phong-ky-thuat-san-xuat-linh-kien-vpe-2014584-jv","Xem chi tiết")</f>
        <v/>
      </c>
    </row>
    <row r="3934">
      <c r="B3934" s="9" t="n">
        <v>3932</v>
      </c>
      <c r="C3934" s="10" t="inlineStr">
        <is>
          <t>[Urgent] Kỹ Thuật Sản Xuất (Có Xe Đưa Đón Từ Hà Nội)</t>
        </is>
      </c>
      <c r="D3934" s="10" t="inlineStr">
        <is>
          <t>CÔNG TY TNHH DELTEC VIỆT NAM</t>
        </is>
      </c>
      <c r="E3934" s="10" t="inlineStr">
        <is>
          <t>15tr-18tr ₫/tháng</t>
        </is>
      </c>
      <c r="F3934" s="10" t="inlineStr">
        <is>
          <t>Hà Nam, Ninh Bình, Hà Nội</t>
        </is>
      </c>
      <c r="G3934" s="10" t="inlineStr">
        <is>
          <t>Nhân viên</t>
        </is>
      </c>
      <c r="H3934" s="10" t="inlineStr">
        <is>
          <t>26/02/2026</t>
        </is>
      </c>
      <c r="I3934" s="10" t="inlineStr">
        <is>
          <t>28/03/2026</t>
        </is>
      </c>
      <c r="J3934" s="10" t="inlineStr">
        <is>
          <t>17/03/2026</t>
        </is>
      </c>
      <c r="K3934" s="10" t="inlineStr">
        <is>
          <t>N/A</t>
        </is>
      </c>
      <c r="L3934" s="10" t="inlineStr">
        <is>
          <t>Kỹ Thuật Sản Xuất, Phân Tích Rủi Ro, Lập Kế Hoạch, Chế Tạo Máy, Gia Công Áp Lực</t>
        </is>
      </c>
      <c r="M3934" s="10" t="inlineStr">
        <is>
          <t>Bonus, Healthcare Plan, Training, Others</t>
        </is>
      </c>
      <c r="N3934" s="11">
        <f>HYPERLINK("https://www.vietnamworks.com/urgent-ky-thuat-san-xuat-co-xe-dua-don-tu-ha-noi-2014590-jv","Xem chi tiết")</f>
        <v/>
      </c>
      <c r="O3934" s="10" t="n"/>
    </row>
    <row r="3935">
      <c r="B3935" s="7" t="n">
        <v>3933</v>
      </c>
      <c r="C3935" t="inlineStr">
        <is>
          <t>Nhân Viên Sales Admin</t>
        </is>
      </c>
      <c r="D3935" t="inlineStr">
        <is>
          <t>CÔNG TY TNHH AGIZA VIỆT NAM</t>
        </is>
      </c>
      <c r="E3935" t="inlineStr">
        <is>
          <t>$$ 350-500 /tháng</t>
        </is>
      </c>
      <c r="F3935" t="inlineStr">
        <is>
          <t>Hồ Chí Minh</t>
        </is>
      </c>
      <c r="G3935" t="inlineStr">
        <is>
          <t>Nhân viên</t>
        </is>
      </c>
      <c r="H3935" t="inlineStr">
        <is>
          <t>26/02/2026</t>
        </is>
      </c>
      <c r="I3935" t="inlineStr">
        <is>
          <t>28/03/2026</t>
        </is>
      </c>
      <c r="J3935" t="inlineStr">
        <is>
          <t>17/03/2026</t>
        </is>
      </c>
      <c r="K3935" t="inlineStr">
        <is>
          <t>N/A</t>
        </is>
      </c>
      <c r="L3935" t="inlineStr">
        <is>
          <t>Purchasing, Sales Administration, Mua Hàng, Bất Động Sản, Nhân viên kinh doanh</t>
        </is>
      </c>
      <c r="M3935" t="inlineStr">
        <is>
          <t>Bonus, Healthcare Plan, Others</t>
        </is>
      </c>
      <c r="N3935" s="8">
        <f>HYPERLINK("https://www.vietnamworks.com/nhan-vien-sales-admin--2014591-jv","Xem chi tiết")</f>
        <v/>
      </c>
    </row>
    <row r="3936">
      <c r="B3936" s="9" t="n">
        <v>3934</v>
      </c>
      <c r="C3936" s="10" t="inlineStr">
        <is>
          <t>Giám Đốc Công Nghệ Thông Tin</t>
        </is>
      </c>
      <c r="D3936" s="10" t="inlineStr">
        <is>
          <t>CÔNG TY CỔ PHẦN UNIK XANH</t>
        </is>
      </c>
      <c r="E3936" s="10" t="inlineStr">
        <is>
          <t>70tr-75tr ₫/tháng</t>
        </is>
      </c>
      <c r="F3936" s="10" t="inlineStr">
        <is>
          <t>Hà Nội</t>
        </is>
      </c>
      <c r="G3936" s="10" t="inlineStr">
        <is>
          <t>Giám Đốc và Cấp Cao Hơn</t>
        </is>
      </c>
      <c r="H3936" s="10" t="inlineStr">
        <is>
          <t>26/02/2026</t>
        </is>
      </c>
      <c r="I3936" s="10" t="inlineStr">
        <is>
          <t>28/03/2026</t>
        </is>
      </c>
      <c r="J3936" s="10" t="inlineStr">
        <is>
          <t>17/03/2026</t>
        </is>
      </c>
      <c r="K3936" s="10" t="inlineStr">
        <is>
          <t>N/A</t>
        </is>
      </c>
      <c r="L3936" s="10" t="inlineStr">
        <is>
          <t>Assistant, business analyst, Corporate Governance, Strategic Analysis</t>
        </is>
      </c>
      <c r="M3936" s="10" t="inlineStr">
        <is>
          <t>Bonus, Healthcare Plan, Training, Others</t>
        </is>
      </c>
      <c r="N3936" s="11">
        <f>HYPERLINK("https://www.vietnamworks.com/giam-djoc-cong-nghe-thong-tin-2014588-jv","Xem chi tiết")</f>
        <v/>
      </c>
      <c r="O3936" s="10" t="n"/>
    </row>
    <row r="3937">
      <c r="B3937" s="7" t="n">
        <v>3935</v>
      </c>
      <c r="C3937" t="inlineStr">
        <is>
          <t>Sale Admin</t>
        </is>
      </c>
      <c r="D3937" t="inlineStr">
        <is>
          <t>Chi Nhánh Công Ty Cổ Phần Công Nghệ Thông Tin Truyền Thông Thiên Hy Long Việt Nam</t>
        </is>
      </c>
      <c r="E3937" t="inlineStr">
        <is>
          <t>Thương lượng</t>
        </is>
      </c>
      <c r="F3937" t="inlineStr">
        <is>
          <t>Hà Nội</t>
        </is>
      </c>
      <c r="G3937" t="inlineStr">
        <is>
          <t>Nhân viên</t>
        </is>
      </c>
      <c r="H3937" t="inlineStr">
        <is>
          <t>26/02/2026</t>
        </is>
      </c>
      <c r="I3937" t="inlineStr">
        <is>
          <t>28/03/2026</t>
        </is>
      </c>
      <c r="J3937" t="inlineStr">
        <is>
          <t>17/03/2026</t>
        </is>
      </c>
      <c r="K3937" t="inlineStr">
        <is>
          <t>N/A</t>
        </is>
      </c>
      <c r="L3937" t="inlineStr">
        <is>
          <t>Quản lí Hợp đồng, Excel, Sales Administration, Sales Support, Tin Học Văn Phòng</t>
        </is>
      </c>
      <c r="M3937" t="inlineStr">
        <is>
          <t>Bonus, Healthcare Plan, Training, Others</t>
        </is>
      </c>
      <c r="N3937" s="8">
        <f>HYPERLINK("https://www.vietnamworks.com/sale-admin-2014574-jv","Xem chi tiết")</f>
        <v/>
      </c>
    </row>
    <row r="3938">
      <c r="B3938" s="9" t="n">
        <v>3936</v>
      </c>
      <c r="C3938" s="10" t="inlineStr">
        <is>
          <t>Kỹ Sư Dự Án Thiết Bị Kỹ Thuật</t>
        </is>
      </c>
      <c r="D3938" s="10" t="inlineStr">
        <is>
          <t>Công Ty TNHH Vật Tư Khoa Học Kỹ Thuật Thái Bình</t>
        </is>
      </c>
      <c r="E3938" s="10" t="inlineStr">
        <is>
          <t>15tr-25tr ₫/tháng</t>
        </is>
      </c>
      <c r="F3938" s="10" t="inlineStr">
        <is>
          <t>Hồ Chí Minh, Hà Nội</t>
        </is>
      </c>
      <c r="G3938" s="10" t="inlineStr">
        <is>
          <t>Nhân viên</t>
        </is>
      </c>
      <c r="H3938" s="10" t="inlineStr">
        <is>
          <t>26/02/2026</t>
        </is>
      </c>
      <c r="I3938" s="10" t="inlineStr">
        <is>
          <t>28/03/2026</t>
        </is>
      </c>
      <c r="J3938" s="10" t="inlineStr">
        <is>
          <t>17/03/2026</t>
        </is>
      </c>
      <c r="K3938" s="10" t="inlineStr">
        <is>
          <t>N/A</t>
        </is>
      </c>
      <c r="L3938" s="10" t="inlineStr">
        <is>
          <t>Kỹ Sư Dự Án, Technical Engineering, Lắp Ráp Thiết Bị, Tư Vấn Giải Pháp Kỹ Thuật, Triển Khai Thiết Bị</t>
        </is>
      </c>
      <c r="M3938" s="10" t="inlineStr">
        <is>
          <t>Bonus, Healthcare Plan, Training, Awards, Others</t>
        </is>
      </c>
      <c r="N3938" s="11">
        <f>HYPERLINK("https://www.vietnamworks.com/ky-su-du-an-thiet-bi-ky-thuat-2014592-jv","Xem chi tiết")</f>
        <v/>
      </c>
      <c r="O3938" s="10" t="n"/>
    </row>
    <row r="3939">
      <c r="B3939" s="7" t="n">
        <v>3937</v>
      </c>
      <c r="C3939" t="inlineStr">
        <is>
          <t>Kế Toán Trưởng</t>
        </is>
      </c>
      <c r="D3939" t="inlineStr">
        <is>
          <t>CÔNG TY TNHH THƯƠNG MẠI VÀ XÂY DỰNG MARTINO</t>
        </is>
      </c>
      <c r="E3939" t="inlineStr">
        <is>
          <t>20tr-30tr ₫/tháng</t>
        </is>
      </c>
      <c r="F3939" t="inlineStr">
        <is>
          <t>Hồ Chí Minh</t>
        </is>
      </c>
      <c r="G3939" t="inlineStr">
        <is>
          <t>Trưởng phòng</t>
        </is>
      </c>
      <c r="H3939" t="inlineStr">
        <is>
          <t>26/02/2026</t>
        </is>
      </c>
      <c r="I3939" t="inlineStr">
        <is>
          <t>28/03/2026</t>
        </is>
      </c>
      <c r="J3939" t="inlineStr">
        <is>
          <t>17/03/2026</t>
        </is>
      </c>
      <c r="K3939" t="inlineStr">
        <is>
          <t>N/A</t>
        </is>
      </c>
      <c r="L3939" t="inlineStr">
        <is>
          <t>Kiểm Toán, Tài Chính, Báo Cáo Tài Chính, Kê Khai Thuế, Kiểm Soát Chi Phí</t>
        </is>
      </c>
      <c r="M3939" t="inlineStr">
        <is>
          <t>Bonus, Healthcare Plan, Paid Leave, Others</t>
        </is>
      </c>
      <c r="N3939" s="8">
        <f>HYPERLINK("https://www.vietnamworks.com/ke-toan-truong-2014626-jv","Xem chi tiết")</f>
        <v/>
      </c>
    </row>
    <row r="3940">
      <c r="B3940" s="9" t="n">
        <v>3938</v>
      </c>
      <c r="C3940" s="10" t="inlineStr">
        <is>
          <t>Cán Bộ Hiện Trường Phụ Trách Triển Khai Dự Án ME</t>
        </is>
      </c>
      <c r="D3940" s="10" t="inlineStr">
        <is>
          <t>Công Ty Cổ Phần Công Nghệ Và Giải Pháp EMS</t>
        </is>
      </c>
      <c r="E3940" s="10" t="inlineStr">
        <is>
          <t>15tr-18tr ₫/tháng</t>
        </is>
      </c>
      <c r="F3940" s="10" t="inlineStr">
        <is>
          <t>Hà Nội</t>
        </is>
      </c>
      <c r="G3940" s="10" t="inlineStr">
        <is>
          <t>Nhân viên</t>
        </is>
      </c>
      <c r="H3940" s="10" t="inlineStr">
        <is>
          <t>26/02/2026</t>
        </is>
      </c>
      <c r="I3940" s="10" t="inlineStr">
        <is>
          <t>28/03/2026</t>
        </is>
      </c>
      <c r="J3940" s="10" t="inlineStr">
        <is>
          <t>17/03/2026</t>
        </is>
      </c>
      <c r="K3940" s="10" t="inlineStr">
        <is>
          <t>N/A</t>
        </is>
      </c>
      <c r="L3940" s="10" t="inlineStr">
        <is>
          <t>Điện Tử, Điện Công Nghiệp, AutoCAD, Tiếng Anh, Làm Việc Nhóm</t>
        </is>
      </c>
      <c r="M3940" s="10" t="inlineStr">
        <is>
          <t>Bonus, Healthcare Plan, Paid Leave, Training, Team Activities, Others</t>
        </is>
      </c>
      <c r="N3940" s="11">
        <f>HYPERLINK("https://www.vietnamworks.com/can-bo-hien-truong-phu-trach-trien-khai-du-an-me-2014593-jv","Xem chi tiết")</f>
        <v/>
      </c>
      <c r="O3940" s="10" t="n"/>
    </row>
    <row r="3941">
      <c r="B3941" s="7" t="n">
        <v>3939</v>
      </c>
      <c r="C3941" t="inlineStr">
        <is>
          <t>Kỹ Sư Thiết Kế Điện</t>
        </is>
      </c>
      <c r="D3941" t="inlineStr">
        <is>
          <t>Công Ty Cổ phần Xây dựng IDJ</t>
        </is>
      </c>
      <c r="E3941" t="inlineStr">
        <is>
          <t>18tr-30tr ₫/tháng</t>
        </is>
      </c>
      <c r="F3941" t="inlineStr">
        <is>
          <t>Hưng Yên, Hà Nội</t>
        </is>
      </c>
      <c r="G3941" t="inlineStr">
        <is>
          <t>Nhân viên</t>
        </is>
      </c>
      <c r="H3941" t="inlineStr">
        <is>
          <t>26/02/2026</t>
        </is>
      </c>
      <c r="I3941" t="inlineStr">
        <is>
          <t>28/03/2026</t>
        </is>
      </c>
      <c r="J3941" t="inlineStr">
        <is>
          <t>17/03/2026</t>
        </is>
      </c>
      <c r="K3941" t="inlineStr">
        <is>
          <t>N/A</t>
        </is>
      </c>
      <c r="L3941" t="inlineStr">
        <is>
          <t>Thiết Kế Điện, AutoCAD, Dialux Lighting Design, Revit, Quản Lý Dự Án</t>
        </is>
      </c>
      <c r="M3941" t="inlineStr">
        <is>
          <t>Bonus, Healthcare Plan, Paid Leave, Training, Team Activities, Others</t>
        </is>
      </c>
      <c r="N3941" s="8">
        <f>HYPERLINK("https://www.vietnamworks.com/ky-su-thiet-ke-djien-2014603-jv","Xem chi tiết")</f>
        <v/>
      </c>
    </row>
    <row r="3942">
      <c r="B3942" s="9" t="n">
        <v>3940</v>
      </c>
      <c r="C3942" s="10" t="inlineStr">
        <is>
          <t>Corporate Consultant (Korean Speaking)</t>
        </is>
      </c>
      <c r="D3942" s="10" t="inlineStr">
        <is>
          <t>Premia TNC (Vietnam) Ltd,.</t>
        </is>
      </c>
      <c r="E3942" s="10" t="inlineStr">
        <is>
          <t>Thương lượng</t>
        </is>
      </c>
      <c r="F3942" s="10" t="inlineStr">
        <is>
          <t>Hồ Chí Minh</t>
        </is>
      </c>
      <c r="G3942" s="10" t="inlineStr">
        <is>
          <t>Nhân viên</t>
        </is>
      </c>
      <c r="H3942" s="10" t="inlineStr">
        <is>
          <t>26/02/2026</t>
        </is>
      </c>
      <c r="I3942" s="10" t="inlineStr">
        <is>
          <t>28/03/2026</t>
        </is>
      </c>
      <c r="J3942" s="10" t="inlineStr">
        <is>
          <t>17/03/2026</t>
        </is>
      </c>
      <c r="K3942" s="10" t="inlineStr">
        <is>
          <t>N/A</t>
        </is>
      </c>
      <c r="L3942" s="10" t="inlineStr">
        <is>
          <t>Korean Language, Business Law, Korean Speaking Skill, Consulting, Sales Executive</t>
        </is>
      </c>
      <c r="M3942" s="10" t="inlineStr">
        <is>
          <t>Bonus, Paid Leave, Others</t>
        </is>
      </c>
      <c r="N3942" s="11">
        <f>HYPERLINK("https://www.vietnamworks.com/corporate-consultant-korean-speaking-2014613-jv","Xem chi tiết")</f>
        <v/>
      </c>
      <c r="O3942" s="10" t="n"/>
    </row>
    <row r="3943">
      <c r="B3943" s="7" t="n">
        <v>3941</v>
      </c>
      <c r="C3943" t="inlineStr">
        <is>
          <t>Trưởng Phòng Quản Lý Chất Lượng</t>
        </is>
      </c>
      <c r="D3943" t="inlineStr">
        <is>
          <t>Công ty TNHH The Square Vina</t>
        </is>
      </c>
      <c r="E3943" t="inlineStr">
        <is>
          <t>Thương lượng</t>
        </is>
      </c>
      <c r="F3943" t="inlineStr">
        <is>
          <t>Bà Rịa - Vũng Tàu</t>
        </is>
      </c>
      <c r="G3943" t="inlineStr">
        <is>
          <t>Trưởng phòng</t>
        </is>
      </c>
      <c r="H3943" t="inlineStr">
        <is>
          <t>26/02/2026</t>
        </is>
      </c>
      <c r="I3943" t="inlineStr">
        <is>
          <t>28/03/2026</t>
        </is>
      </c>
      <c r="J3943" t="inlineStr">
        <is>
          <t>17/03/2026</t>
        </is>
      </c>
      <c r="K3943" t="inlineStr">
        <is>
          <t>N/A</t>
        </is>
      </c>
      <c r="L3943" t="inlineStr">
        <is>
          <t>Quản lý chất lượng, Kỹ năng giao tiêp, Tiêu Chuẩn ISO, Lãnh Đạo, Lập Kế Hoạch</t>
        </is>
      </c>
      <c r="M3943" t="inlineStr">
        <is>
          <t>Bonus, Healthcare Plan, Travel Opportunities</t>
        </is>
      </c>
      <c r="N3943" s="8">
        <f>HYPERLINK("https://www.vietnamworks.com/truong-phong-quan-ly-chat-luong-2014597-jv","Xem chi tiết")</f>
        <v/>
      </c>
    </row>
    <row r="3944">
      <c r="B3944" s="9" t="n">
        <v>3942</v>
      </c>
      <c r="C3944" s="10" t="inlineStr">
        <is>
          <t>Chuyên Viên Kinh Doanh – Vietcombank Fund Management</t>
        </is>
      </c>
      <c r="D3944" s="10" t="inlineStr">
        <is>
          <t>Công Ty TNHH Quản lý Quỹ Đầu tư Chứng khoán Vietcombank</t>
        </is>
      </c>
      <c r="E3944" s="10" t="inlineStr">
        <is>
          <t>Thương lượng</t>
        </is>
      </c>
      <c r="F3944" s="10" t="inlineStr">
        <is>
          <t>Hà Nội, Hồ Chí Minh</t>
        </is>
      </c>
      <c r="G3944" s="10" t="inlineStr">
        <is>
          <t>Nhân viên</t>
        </is>
      </c>
      <c r="H3944" s="10" t="inlineStr">
        <is>
          <t>26/02/2026</t>
        </is>
      </c>
      <c r="I3944" s="10" t="inlineStr">
        <is>
          <t>28/03/2026</t>
        </is>
      </c>
      <c r="J3944" s="10" t="inlineStr">
        <is>
          <t>17/03/2026</t>
        </is>
      </c>
      <c r="K3944" s="10" t="inlineStr">
        <is>
          <t>N/A</t>
        </is>
      </c>
      <c r="L3944" s="10" t="inlineStr">
        <is>
          <t>Quản Lý Kênh Bán Hàng, Dịch Vụ Tài Chính, Quản Lý Quỹ, Tư Vấn Tài Chính, Đào Tạo Sales</t>
        </is>
      </c>
      <c r="M3944" s="10" t="inlineStr">
        <is>
          <t>Bonus, Healthcare Plan, Paid Leave, Laptop, Travel Opportunities</t>
        </is>
      </c>
      <c r="N3944" s="11">
        <f>HYPERLINK("https://www.vietnamworks.com/chuyen-vien-kinh-doanh-vietcombank-fund-management-2014616-jv","Xem chi tiết")</f>
        <v/>
      </c>
      <c r="O3944" s="10" t="n"/>
    </row>
    <row r="3945">
      <c r="B3945" s="7" t="n">
        <v>3943</v>
      </c>
      <c r="C3945" t="inlineStr">
        <is>
          <t>Nhân Viên Kỹ Thuật (Thiết Kế Cơ Khí) (Nghỉ T7 - CN)</t>
        </is>
      </c>
      <c r="D3945" t="inlineStr">
        <is>
          <t>CÔNG TY TNHH DELTEC VIỆT NAM</t>
        </is>
      </c>
      <c r="E3945" t="inlineStr">
        <is>
          <t>12tr-15tr ₫/tháng</t>
        </is>
      </c>
      <c r="F3945" t="inlineStr">
        <is>
          <t>Hà Nội</t>
        </is>
      </c>
      <c r="G3945" t="inlineStr">
        <is>
          <t>Nhân viên</t>
        </is>
      </c>
      <c r="H3945" t="inlineStr">
        <is>
          <t>26/02/2026</t>
        </is>
      </c>
      <c r="I3945" t="inlineStr">
        <is>
          <t>28/03/2026</t>
        </is>
      </c>
      <c r="J3945" t="inlineStr">
        <is>
          <t>17/03/2026</t>
        </is>
      </c>
      <c r="K3945" t="inlineStr">
        <is>
          <t>N/A</t>
        </is>
      </c>
      <c r="L3945" t="inlineStr">
        <is>
          <t>Kỹ Thuật Cơ Khí, Kỹ Thuật Công Nghiệp, Dây Chuyền Sản Xuất, Lắp Ráp Thiết Bị, Thiết Kế Cơ Khí</t>
        </is>
      </c>
      <c r="M3945" t="inlineStr">
        <is>
          <t>Bonus, Healthcare Plan, Others</t>
        </is>
      </c>
      <c r="N3945" s="8">
        <f>HYPERLINK("https://www.vietnamworks.com/nhan-vien-ky-thuat-thiet-ke-co-khi-nghi-t7-cn-2014608-jv","Xem chi tiết")</f>
        <v/>
      </c>
    </row>
    <row r="3946">
      <c r="B3946" s="9" t="n">
        <v>3944</v>
      </c>
      <c r="C3946" s="10" t="inlineStr">
        <is>
          <t>Nhân Viên Tư Vấn Thư Viện Số - Tuyển Nữ</t>
        </is>
      </c>
      <c r="D3946" s="10" t="inlineStr">
        <is>
          <t>Cty TNHH Tài Liệu Trực Tuyến Vi Na</t>
        </is>
      </c>
      <c r="E3946" s="10" t="inlineStr">
        <is>
          <t>$$ 500-800 /tháng</t>
        </is>
      </c>
      <c r="F3946" s="10" t="inlineStr">
        <is>
          <t>Hồ Chí Minh</t>
        </is>
      </c>
      <c r="G3946" s="10" t="inlineStr">
        <is>
          <t>Mới Tốt Nghiệp</t>
        </is>
      </c>
      <c r="H3946" s="10" t="inlineStr">
        <is>
          <t>26/02/2026</t>
        </is>
      </c>
      <c r="I3946" s="10" t="inlineStr">
        <is>
          <t>28/03/2026</t>
        </is>
      </c>
      <c r="J3946" s="10" t="inlineStr">
        <is>
          <t>17/03/2026</t>
        </is>
      </c>
      <c r="K3946" s="10" t="inlineStr">
        <is>
          <t>N/A</t>
        </is>
      </c>
      <c r="L3946" s="10" t="inlineStr">
        <is>
          <t>Lập Kế Hoạch Bán Hàng, Quản Lý Dự Án, Bán Hàng Giải Pháp, Relationship Building, Tư Vấn Bán Hàng</t>
        </is>
      </c>
      <c r="M3946" s="10" t="inlineStr">
        <is>
          <t>Bonus</t>
        </is>
      </c>
      <c r="N3946" s="11">
        <f>HYPERLINK("https://www.vietnamworks.com/nhan-vien-tu-van-thu-vien-so-tuyen-nu-2014623-jv","Xem chi tiết")</f>
        <v/>
      </c>
      <c r="O3946" s="10" t="n"/>
    </row>
    <row r="3947">
      <c r="B3947" s="7" t="n">
        <v>3945</v>
      </c>
      <c r="C3947" t="inlineStr">
        <is>
          <t>Kế Toán Thuế Lương 16 Triệu - Nghỉ T7 CN</t>
        </is>
      </c>
      <c r="D3947" t="inlineStr">
        <is>
          <t>CÔNG TY TNHH SAPHAM</t>
        </is>
      </c>
      <c r="E3947" t="inlineStr">
        <is>
          <t>13tr-16tr ₫/tháng</t>
        </is>
      </c>
      <c r="F3947" t="inlineStr">
        <is>
          <t>Hà Nội</t>
        </is>
      </c>
      <c r="G3947" t="inlineStr">
        <is>
          <t>Nhân viên</t>
        </is>
      </c>
      <c r="H3947" t="inlineStr">
        <is>
          <t>26/02/2026</t>
        </is>
      </c>
      <c r="I3947" t="inlineStr">
        <is>
          <t>28/03/2026</t>
        </is>
      </c>
      <c r="J3947" t="inlineStr">
        <is>
          <t>17/03/2026</t>
        </is>
      </c>
      <c r="K3947" t="inlineStr">
        <is>
          <t>N/A</t>
        </is>
      </c>
      <c r="L3947" t="inlineStr">
        <is>
          <t>Kế Toán Thuế, Giải quyết vấn đề, Giao Tiếp, Làm Việc Nhóm, Phân Tích Báo cáo</t>
        </is>
      </c>
      <c r="M3947" t="inlineStr">
        <is>
          <t>Paid Leave, Training, Others</t>
        </is>
      </c>
      <c r="N3947" s="8">
        <f>HYPERLINK("https://www.vietnamworks.com/ke-toan-thue-luong-16-trieu-nghi-t7-cn-2014618-jv","Xem chi tiết")</f>
        <v/>
      </c>
    </row>
    <row r="3948">
      <c r="B3948" s="9" t="n">
        <v>3946</v>
      </c>
      <c r="C3948" s="10" t="inlineStr">
        <is>
          <t>Quản Lý Văn Phòng Thái Nguyên</t>
        </is>
      </c>
      <c r="D3948" s="10" t="inlineStr">
        <is>
          <t>Bee Logistics Corporation</t>
        </is>
      </c>
      <c r="E3948" s="10" t="inlineStr">
        <is>
          <t>Thương lượng</t>
        </is>
      </c>
      <c r="F3948" s="10" t="inlineStr">
        <is>
          <t>Thái Nguyên</t>
        </is>
      </c>
      <c r="G3948" s="10" t="inlineStr">
        <is>
          <t>Trưởng phòng</t>
        </is>
      </c>
      <c r="H3948" s="10" t="inlineStr">
        <is>
          <t>26/02/2026</t>
        </is>
      </c>
      <c r="I3948" s="10" t="inlineStr">
        <is>
          <t>28/03/2026</t>
        </is>
      </c>
      <c r="J3948" s="10" t="inlineStr">
        <is>
          <t>17/03/2026</t>
        </is>
      </c>
      <c r="K3948" s="10" t="inlineStr">
        <is>
          <t>N/A</t>
        </is>
      </c>
      <c r="L3948" s="10" t="inlineStr">
        <is>
          <t>Kinh Doanh, Lãnh Đạo, Phát Triển Kinh Doanh, Quản Trị Kinh Doanh, Xuất Nhập Khẩu</t>
        </is>
      </c>
      <c r="M3948" s="10" t="inlineStr">
        <is>
          <t>Bonus, Healthcare Plan, Travel Opportunities, Others</t>
        </is>
      </c>
      <c r="N3948" s="11">
        <f>HYPERLINK("https://www.vietnamworks.com/quan-ly-van-phong-thai-nguyen-2014620-jv","Xem chi tiết")</f>
        <v/>
      </c>
      <c r="O3948" s="10" t="n"/>
    </row>
    <row r="3949">
      <c r="B3949" s="7" t="n">
        <v>3947</v>
      </c>
      <c r="C3949" t="inlineStr">
        <is>
          <t>Marketing Executive</t>
        </is>
      </c>
      <c r="D3949" t="inlineStr">
        <is>
          <t>ADP - Công ty CP Nội thất cơ bản</t>
        </is>
      </c>
      <c r="E3949" t="inlineStr">
        <is>
          <t>Thương lượng</t>
        </is>
      </c>
      <c r="F3949" t="inlineStr">
        <is>
          <t>Hồ Chí Minh</t>
        </is>
      </c>
      <c r="G3949" t="inlineStr">
        <is>
          <t>Nhân viên</t>
        </is>
      </c>
      <c r="H3949" t="inlineStr">
        <is>
          <t>26/02/2026</t>
        </is>
      </c>
      <c r="I3949" t="inlineStr">
        <is>
          <t>28/03/2026</t>
        </is>
      </c>
      <c r="J3949" t="inlineStr">
        <is>
          <t>17/03/2026</t>
        </is>
      </c>
      <c r="K3949" t="inlineStr">
        <is>
          <t>N/A</t>
        </is>
      </c>
      <c r="L3949" t="inlineStr">
        <is>
          <t>Truyền Thông, Marketing Planning, Digital Marketing, Marketing, SEO</t>
        </is>
      </c>
      <c r="M3949" t="inlineStr">
        <is>
          <t>Bonus, Healthcare Plan, Travel Opportunities</t>
        </is>
      </c>
      <c r="N3949" s="8">
        <f>HYPERLINK("https://www.vietnamworks.com/marketing-executive--2014600-jv","Xem chi tiết")</f>
        <v/>
      </c>
    </row>
    <row r="3950">
      <c r="B3950" s="9" t="n">
        <v>3948</v>
      </c>
      <c r="C3950" s="10" t="inlineStr">
        <is>
          <t>Fitting Out Deputy Section Manager</t>
        </is>
      </c>
      <c r="D3950" s="10" t="inlineStr">
        <is>
          <t>Toda Vietnam Company Limited</t>
        </is>
      </c>
      <c r="E3950" s="10" t="inlineStr">
        <is>
          <t>Thương lượng</t>
        </is>
      </c>
      <c r="F3950" s="10" t="inlineStr">
        <is>
          <t>Hà Nội</t>
        </is>
      </c>
      <c r="G3950" s="10" t="inlineStr">
        <is>
          <t>Trưởng phòng</t>
        </is>
      </c>
      <c r="H3950" s="10" t="inlineStr">
        <is>
          <t>26/02/2026</t>
        </is>
      </c>
      <c r="I3950" s="10" t="inlineStr">
        <is>
          <t>28/03/2026</t>
        </is>
      </c>
      <c r="J3950" s="10" t="inlineStr">
        <is>
          <t>17/03/2026</t>
        </is>
      </c>
      <c r="K3950" s="10" t="inlineStr">
        <is>
          <t>N/A</t>
        </is>
      </c>
      <c r="L3950" s="10" t="inlineStr">
        <is>
          <t>Civil Engineering, Construction Controlling, Construction Knowledge, Documentation Process, Structural Civil</t>
        </is>
      </c>
      <c r="M3950" s="10" t="inlineStr">
        <is>
          <t>Bonus</t>
        </is>
      </c>
      <c r="N3950" s="11">
        <f>HYPERLINK("https://www.vietnamworks.com/fitting-out-deputy-section-manager-2014617-jv","Xem chi tiết")</f>
        <v/>
      </c>
      <c r="O3950" s="10" t="n"/>
    </row>
    <row r="3951">
      <c r="B3951" s="7" t="n">
        <v>3949</v>
      </c>
      <c r="C3951" t="inlineStr">
        <is>
          <t>Phó Giám Đốc Thiết Kế (Mảng Nội Thất Khách Sạn &amp; Khu Nghỉ Dưỡng)</t>
        </is>
      </c>
      <c r="D3951" t="inlineStr">
        <is>
          <t>Tổng Công Ty Cổ Phần Thương Mại Xây Dựng (WTO)</t>
        </is>
      </c>
      <c r="E3951" t="inlineStr">
        <is>
          <t>Thương lượng</t>
        </is>
      </c>
      <c r="F3951" t="inlineStr">
        <is>
          <t>Hà Nội</t>
        </is>
      </c>
      <c r="G3951" t="inlineStr">
        <is>
          <t>Giám Đốc và Cấp Cao Hơn</t>
        </is>
      </c>
      <c r="H3951" t="inlineStr">
        <is>
          <t>26/02/2026</t>
        </is>
      </c>
      <c r="I3951" t="inlineStr">
        <is>
          <t>28/03/2026</t>
        </is>
      </c>
      <c r="J3951" t="inlineStr">
        <is>
          <t>17/03/2026</t>
        </is>
      </c>
      <c r="K3951" t="inlineStr">
        <is>
          <t>N/A</t>
        </is>
      </c>
      <c r="L3951" t="inlineStr">
        <is>
          <t>AutoCAD, Revit, Thiết Kế Nội Thất, Quản Lý Thiết Kế, Quản Lý Đội Ngũ</t>
        </is>
      </c>
      <c r="M3951" t="inlineStr">
        <is>
          <t>Bonus, Healthcare Plan, Paid Leave</t>
        </is>
      </c>
      <c r="N3951" s="8">
        <f>HYPERLINK("https://www.vietnamworks.com/pho-giam-doc-thiet-ke-mang-noi-that-khach-san-khu-nghi-duong--2014621-jv","Xem chi tiết")</f>
        <v/>
      </c>
    </row>
    <row r="3952">
      <c r="B3952" s="9" t="n">
        <v>3950</v>
      </c>
      <c r="C3952" s="10" t="inlineStr">
        <is>
          <t>Chuyên Viên Phát Triển Kinh Doanh / Account Manager (Lương Cứng Lên Tới 20 Triệu + Hoa Hồng Hấp Dẫn)</t>
        </is>
      </c>
      <c r="D3952" s="10" t="inlineStr">
        <is>
          <t>Chi Nhánh Công Ty Cổ Phần Công Nghệ Thông Tin Truyền Thông Thiên Hy Long Việt Nam</t>
        </is>
      </c>
      <c r="E3952" s="10" t="inlineStr">
        <is>
          <t>Tới 60tr ₫/tháng</t>
        </is>
      </c>
      <c r="F3952" s="10" t="inlineStr">
        <is>
          <t>Hà Nội</t>
        </is>
      </c>
      <c r="G3952" s="10" t="inlineStr">
        <is>
          <t>Nhân viên</t>
        </is>
      </c>
      <c r="H3952" s="10" t="inlineStr">
        <is>
          <t>26/02/2026</t>
        </is>
      </c>
      <c r="I3952" s="10" t="inlineStr">
        <is>
          <t>28/03/2026</t>
        </is>
      </c>
      <c r="J3952" s="10" t="inlineStr">
        <is>
          <t>17/03/2026</t>
        </is>
      </c>
      <c r="K3952" s="10" t="inlineStr">
        <is>
          <t>N/A</t>
        </is>
      </c>
      <c r="L3952" s="10" t="inlineStr">
        <is>
          <t>Phát Triển Khách Hàng, Truyền Thông Quảng Cáo, Tư Vấn Giải Pháp, Kinh Doanh, Sales &amp; Business Development</t>
        </is>
      </c>
      <c r="M3952" s="10" t="inlineStr">
        <is>
          <t>Bonus, Healthcare Plan, Paid Leave, Training, Travel Opportunities, Team Activities, Transportation, Canteen, Kindergarten</t>
        </is>
      </c>
      <c r="N3952" s="11">
        <f>HYPERLINK("https://www.vietnamworks.com/chuyen-vien-phat-trien-kinh-doanh-account-manager-luong-cung-len-toi-20-trieu-hoa-hong-hap-dan-2014599-jv","Xem chi tiết")</f>
        <v/>
      </c>
      <c r="O3952" s="10" t="n"/>
    </row>
    <row r="3953">
      <c r="B3953" s="7" t="n">
        <v>3951</v>
      </c>
      <c r="C3953" t="inlineStr">
        <is>
          <t>BIM Modeler</t>
        </is>
      </c>
      <c r="D3953" t="inlineStr">
        <is>
          <t>Công Ty TNHH The BIM Factory</t>
        </is>
      </c>
      <c r="E3953" t="inlineStr">
        <is>
          <t>Thương lượng</t>
        </is>
      </c>
      <c r="F3953" t="inlineStr">
        <is>
          <t>Hồ Chí Minh</t>
        </is>
      </c>
      <c r="G3953" t="inlineStr">
        <is>
          <t>Mới Tốt Nghiệp</t>
        </is>
      </c>
      <c r="H3953" t="inlineStr">
        <is>
          <t>26/02/2026</t>
        </is>
      </c>
      <c r="I3953" t="inlineStr">
        <is>
          <t>28/03/2026</t>
        </is>
      </c>
      <c r="J3953" t="inlineStr">
        <is>
          <t>17/03/2026</t>
        </is>
      </c>
      <c r="K3953" t="inlineStr">
        <is>
          <t>N/A</t>
        </is>
      </c>
      <c r="L3953" t="inlineStr">
        <is>
          <t>Revit, Autodesk, AutoCAD, Architecture Drawing, BIM Model</t>
        </is>
      </c>
      <c r="M3953" t="inlineStr">
        <is>
          <t>Bonus, Healthcare Plan, Others</t>
        </is>
      </c>
      <c r="N3953" s="8">
        <f>HYPERLINK("https://www.vietnamworks.com/bim-modeler--2014609-jv","Xem chi tiết")</f>
        <v/>
      </c>
    </row>
    <row r="3954">
      <c r="B3954" s="9" t="n">
        <v>3952</v>
      </c>
      <c r="C3954" s="10" t="inlineStr">
        <is>
          <t>Sales Engineer</t>
        </is>
      </c>
      <c r="D3954" s="10" t="inlineStr">
        <is>
          <t>Dynaseiki Co., Ltd</t>
        </is>
      </c>
      <c r="E3954" s="10" t="inlineStr">
        <is>
          <t>Tới 16tr ₫/tháng</t>
        </is>
      </c>
      <c r="F3954" s="10" t="inlineStr">
        <is>
          <t>Hồ Chí Minh, Hà Nội</t>
        </is>
      </c>
      <c r="G3954" s="10" t="inlineStr">
        <is>
          <t>Nhân viên</t>
        </is>
      </c>
      <c r="H3954" s="10" t="inlineStr">
        <is>
          <t>26/02/2026</t>
        </is>
      </c>
      <c r="I3954" s="10" t="inlineStr">
        <is>
          <t>28/03/2026</t>
        </is>
      </c>
      <c r="J3954" s="10" t="inlineStr">
        <is>
          <t>17/03/2026</t>
        </is>
      </c>
      <c r="K3954" s="10" t="inlineStr">
        <is>
          <t>N/A</t>
        </is>
      </c>
      <c r="L3954" s="10" t="inlineStr">
        <is>
          <t>Technical Sales, Mechatronic, Kinh Doanh, Chuẩn Bị Báo Giá, Tìm Kiếm Khách Hàng</t>
        </is>
      </c>
      <c r="M3954" s="10" t="inlineStr">
        <is>
          <t>Bonus, Healthcare Plan, Others</t>
        </is>
      </c>
      <c r="N3954" s="11">
        <f>HYPERLINK("https://www.vietnamworks.com/sales-engineer-2014635-jv","Xem chi tiết")</f>
        <v/>
      </c>
      <c r="O3954" s="10" t="n"/>
    </row>
    <row r="3955">
      <c r="B3955" s="7" t="n">
        <v>3953</v>
      </c>
      <c r="C3955" t="inlineStr">
        <is>
          <t>Accountant Staff</t>
        </is>
      </c>
      <c r="D3955" t="inlineStr">
        <is>
          <t>Yamaha Motor Parts Manufacturing Vietnam Co., Ltd</t>
        </is>
      </c>
      <c r="E3955" t="inlineStr">
        <is>
          <t>Thương lượng</t>
        </is>
      </c>
      <c r="F3955" t="inlineStr">
        <is>
          <t>Hà Nội</t>
        </is>
      </c>
      <c r="G3955" t="inlineStr">
        <is>
          <t>Nhân viên</t>
        </is>
      </c>
      <c r="H3955" t="inlineStr">
        <is>
          <t>26/02/2026</t>
        </is>
      </c>
      <c r="I3955" t="inlineStr">
        <is>
          <t>28/03/2026</t>
        </is>
      </c>
      <c r="J3955" t="inlineStr">
        <is>
          <t>17/03/2026</t>
        </is>
      </c>
      <c r="K3955" t="inlineStr">
        <is>
          <t>N/A</t>
        </is>
      </c>
      <c r="L3955" t="inlineStr">
        <is>
          <t>Accounting, Inventory Control, Costing, SAP, English Communication</t>
        </is>
      </c>
      <c r="M3955" t="inlineStr">
        <is>
          <t>Bonus, Healthcare Plan, Team Activities, Transportation, Others</t>
        </is>
      </c>
      <c r="N3955" s="8">
        <f>HYPERLINK("https://www.vietnamworks.com/accountant-staff-2014632-jv","Xem chi tiết")</f>
        <v/>
      </c>
    </row>
    <row r="3956">
      <c r="B3956" s="9" t="n">
        <v>3954</v>
      </c>
      <c r="C3956" s="10" t="inlineStr">
        <is>
          <t>Chuyên Viên Môi Trường và Xã Hội (Esms Officer)</t>
        </is>
      </c>
      <c r="D3956" s="10" t="inlineStr">
        <is>
          <t>CÔNG TY TNHH MTV STRIDE VIỆT NAM</t>
        </is>
      </c>
      <c r="E3956" s="10" t="inlineStr">
        <is>
          <t>$$ 760-960 /tháng</t>
        </is>
      </c>
      <c r="F3956" s="10" t="inlineStr">
        <is>
          <t>Hồ Chí Minh</t>
        </is>
      </c>
      <c r="G3956" s="10" t="inlineStr">
        <is>
          <t>Nhân viên</t>
        </is>
      </c>
      <c r="H3956" s="10" t="inlineStr">
        <is>
          <t>26/02/2026</t>
        </is>
      </c>
      <c r="I3956" s="10" t="inlineStr">
        <is>
          <t>28/03/2026</t>
        </is>
      </c>
      <c r="J3956" s="10" t="inlineStr">
        <is>
          <t>17/03/2026</t>
        </is>
      </c>
      <c r="K3956" s="10" t="inlineStr">
        <is>
          <t>N/A</t>
        </is>
      </c>
      <c r="L3956" s="10" t="inlineStr">
        <is>
          <t>Năng lượng điện mặt trời, Môi Trường An Toàn, Solar Energy, ESMS (Environment &amp; Social Management System), HSE &amp; Compliance Specialist</t>
        </is>
      </c>
      <c r="M3956" s="10" t="inlineStr">
        <is>
          <t>Bonus, Healthcare Plan, Paid Leave, Laptop, Others</t>
        </is>
      </c>
      <c r="N3956" s="11">
        <f>HYPERLINK("https://www.vietnamworks.com/chuyen-vien-moi-truong-va-xa-hoi-esms-officer-2014627-jv","Xem chi tiết")</f>
        <v/>
      </c>
      <c r="O3956" s="10" t="n"/>
    </row>
    <row r="3957">
      <c r="B3957" s="7" t="n">
        <v>3955</v>
      </c>
      <c r="C3957" t="inlineStr">
        <is>
          <t>Nhân Viên Thống Kê Sản Xuất</t>
        </is>
      </c>
      <c r="D3957" t="inlineStr">
        <is>
          <t>Công ty TNHH Innovation Group (Việt Nam)</t>
        </is>
      </c>
      <c r="E3957" t="inlineStr">
        <is>
          <t>Thương lượng</t>
        </is>
      </c>
      <c r="F3957" t="inlineStr">
        <is>
          <t>Hải Phòng</t>
        </is>
      </c>
      <c r="G3957" t="inlineStr">
        <is>
          <t>Nhân viên</t>
        </is>
      </c>
      <c r="H3957" t="inlineStr">
        <is>
          <t>26/02/2026</t>
        </is>
      </c>
      <c r="I3957" t="inlineStr">
        <is>
          <t>28/03/2026</t>
        </is>
      </c>
      <c r="J3957" t="inlineStr">
        <is>
          <t>17/03/2026</t>
        </is>
      </c>
      <c r="K3957" t="inlineStr">
        <is>
          <t>N/A</t>
        </is>
      </c>
      <c r="L3957" t="inlineStr">
        <is>
          <t>Excel, Thống Kê, Quản Lý Kho, Kế Toán, Báo Cáo Sản Xuất</t>
        </is>
      </c>
      <c r="M3957" t="inlineStr">
        <is>
          <t>Bonus, Healthcare Plan, Others</t>
        </is>
      </c>
      <c r="N3957" s="8">
        <f>HYPERLINK("https://www.vietnamworks.com/nhan-vien-thong-ke-san-xuat-2014614-jv","Xem chi tiết")</f>
        <v/>
      </c>
    </row>
    <row r="3958">
      <c r="B3958" s="9" t="n">
        <v>3956</v>
      </c>
      <c r="C3958" s="10" t="inlineStr">
        <is>
          <t>Nhân Viên Cải Tiến Sản Xuất</t>
        </is>
      </c>
      <c r="D3958" s="10" t="inlineStr">
        <is>
          <t>Công ty TNHH Innovation Group (Việt Nam)</t>
        </is>
      </c>
      <c r="E3958" s="10" t="inlineStr">
        <is>
          <t>Thương lượng</t>
        </is>
      </c>
      <c r="F3958" s="10" t="inlineStr">
        <is>
          <t>Hải Dương</t>
        </is>
      </c>
      <c r="G3958" s="10" t="inlineStr">
        <is>
          <t>Nhân viên</t>
        </is>
      </c>
      <c r="H3958" s="10" t="inlineStr">
        <is>
          <t>26/02/2026</t>
        </is>
      </c>
      <c r="I3958" s="10" t="inlineStr">
        <is>
          <t>28/03/2026</t>
        </is>
      </c>
      <c r="J3958" s="10" t="inlineStr">
        <is>
          <t>17/03/2026</t>
        </is>
      </c>
      <c r="K3958" s="10" t="inlineStr">
        <is>
          <t>N/A</t>
        </is>
      </c>
      <c r="L3958" s="10" t="inlineStr">
        <is>
          <t>Quản Lý Hệ Thống Chất Lượng, Phân Tích Sản Xuất, Production Control, Cải Tiến Dây Chuyền Sản Xuất, Giám Sát Sản Xuất</t>
        </is>
      </c>
      <c r="M3958" s="10" t="inlineStr">
        <is>
          <t>Bonus, Healthcare Plan, Others</t>
        </is>
      </c>
      <c r="N3958" s="11">
        <f>HYPERLINK("https://www.vietnamworks.com/nhan-vien-cai-tien-san-xuat-2014624-jv","Xem chi tiết")</f>
        <v/>
      </c>
      <c r="O3958" s="10" t="n"/>
    </row>
    <row r="3959">
      <c r="B3959" s="7" t="n">
        <v>3957</v>
      </c>
      <c r="C3959" t="inlineStr">
        <is>
          <t>Quản Lý Nhà Hàng Tiếng Trung</t>
        </is>
      </c>
      <c r="D3959" t="inlineStr">
        <is>
          <t>HOME VIỆT REAL ESTATE JSC</t>
        </is>
      </c>
      <c r="E3959" t="inlineStr">
        <is>
          <t>Thương lượng</t>
        </is>
      </c>
      <c r="F3959" t="inlineStr">
        <is>
          <t>Hà Nội</t>
        </is>
      </c>
      <c r="G3959" t="inlineStr">
        <is>
          <t>Nhân viên</t>
        </is>
      </c>
      <c r="H3959" t="inlineStr">
        <is>
          <t>26/02/2026</t>
        </is>
      </c>
      <c r="I3959" t="inlineStr">
        <is>
          <t>28/03/2026</t>
        </is>
      </c>
      <c r="J3959" t="inlineStr">
        <is>
          <t>17/03/2026</t>
        </is>
      </c>
      <c r="K3959" t="inlineStr">
        <is>
          <t>N/A</t>
        </is>
      </c>
      <c r="L3959" t="inlineStr">
        <is>
          <t>Quản Lý Nhà Hàng, Quản Lý Đội Nhóm, Quy Trình Vận Hành, Quản Lý Chất Lượng Dịch Vụ, Vận Hành Nhà Hàng</t>
        </is>
      </c>
      <c r="M3959" t="inlineStr">
        <is>
          <t>Bonus, Healthcare Plan, Training, Travel Opportunities, Others</t>
        </is>
      </c>
      <c r="N3959" s="8">
        <f>HYPERLINK("https://www.vietnamworks.com/quan-ly-nha-hang-tieng-trung--2014634-jv","Xem chi tiết")</f>
        <v/>
      </c>
    </row>
    <row r="3960">
      <c r="B3960" s="9" t="n">
        <v>3958</v>
      </c>
      <c r="C3960" s="10" t="inlineStr">
        <is>
          <t>[HCMC] Sales Executive - Ngành FMCG (Kênh MT &amp; GT)</t>
        </is>
      </c>
      <c r="D3960" s="10" t="inlineStr">
        <is>
          <t>Dorco Vietnam Trading Company Limited</t>
        </is>
      </c>
      <c r="E3960" s="10" t="inlineStr">
        <is>
          <t>Thương lượng</t>
        </is>
      </c>
      <c r="F3960" s="10" t="inlineStr">
        <is>
          <t>Hồ Chí Minh</t>
        </is>
      </c>
      <c r="G3960" s="10" t="inlineStr">
        <is>
          <t>Nhân viên</t>
        </is>
      </c>
      <c r="H3960" s="10" t="inlineStr">
        <is>
          <t>26/02/2026</t>
        </is>
      </c>
      <c r="I3960" s="10" t="inlineStr">
        <is>
          <t>28/03/2026</t>
        </is>
      </c>
      <c r="J3960" s="10" t="inlineStr">
        <is>
          <t>17/03/2026</t>
        </is>
      </c>
      <c r="K3960" s="10" t="inlineStr">
        <is>
          <t>N/A</t>
        </is>
      </c>
      <c r="L3960" s="10" t="inlineStr">
        <is>
          <t>MT Channel, Relationship Building, Sales Strategy, Analytical Skills, Sales Planning</t>
        </is>
      </c>
      <c r="M3960" s="10" t="inlineStr">
        <is>
          <t>Bonus, Healthcare Plan, Canteen</t>
        </is>
      </c>
      <c r="N3960" s="11">
        <f>HYPERLINK("https://www.vietnamworks.com/hcmc-sales-executive-nganh-fmcg-kenh-mt-gt-2014633-jv","Xem chi tiết")</f>
        <v/>
      </c>
      <c r="O3960" s="10" t="n"/>
    </row>
    <row r="3961">
      <c r="B3961" s="7" t="n">
        <v>3959</v>
      </c>
      <c r="C3961" t="inlineStr">
        <is>
          <t>Quản Lý Tòa Nhà (Building Manager)</t>
        </is>
      </c>
      <c r="D3961" t="inlineStr">
        <is>
          <t>New World Fashion Group</t>
        </is>
      </c>
      <c r="E3961" t="inlineStr">
        <is>
          <t>Thương lượng</t>
        </is>
      </c>
      <c r="F3961" t="inlineStr">
        <is>
          <t>Hồ Chí Minh</t>
        </is>
      </c>
      <c r="G3961" t="inlineStr">
        <is>
          <t>Trưởng phòng</t>
        </is>
      </c>
      <c r="H3961" t="inlineStr">
        <is>
          <t>26/02/2026</t>
        </is>
      </c>
      <c r="I3961" t="inlineStr">
        <is>
          <t>28/03/2026</t>
        </is>
      </c>
      <c r="J3961" t="inlineStr">
        <is>
          <t>17/03/2026</t>
        </is>
      </c>
      <c r="K3961" t="inlineStr">
        <is>
          <t>N/A</t>
        </is>
      </c>
      <c r="L3961" t="inlineStr">
        <is>
          <t>Bảo Dưỡng Bảo Trì, Kiểm Soát Chi Phí, Quản Lý Nhà Thầu, Quản Lý Tài Chính, Quản Lý Vận Hành Tòa Nhà</t>
        </is>
      </c>
      <c r="M3961" t="inlineStr">
        <is>
          <t>Bonus</t>
        </is>
      </c>
      <c r="N3961" s="8">
        <f>HYPERLINK("https://www.vietnamworks.com/quan-ly-toa-nha-building-manager-2014598-jv","Xem chi tiết")</f>
        <v/>
      </c>
    </row>
    <row r="3962">
      <c r="B3962" s="9" t="n">
        <v>3960</v>
      </c>
      <c r="C3962" s="10" t="inlineStr">
        <is>
          <t>Nhân Viên Kinh Doanh Nội Địa Upto 50 Triệu</t>
        </is>
      </c>
      <c r="D3962" s="10" t="inlineStr">
        <is>
          <t>Công ty Cổ phần TLD Việt Nam</t>
        </is>
      </c>
      <c r="E3962" s="10" t="inlineStr">
        <is>
          <t>11tr-15tr ₫/tháng</t>
        </is>
      </c>
      <c r="F3962" s="10" t="inlineStr">
        <is>
          <t>Hà Nội</t>
        </is>
      </c>
      <c r="G3962" s="10" t="inlineStr">
        <is>
          <t>Mới Tốt Nghiệp</t>
        </is>
      </c>
      <c r="H3962" s="10" t="inlineStr">
        <is>
          <t>26/02/2026</t>
        </is>
      </c>
      <c r="I3962" s="10" t="inlineStr">
        <is>
          <t>28/03/2026</t>
        </is>
      </c>
      <c r="J3962" s="10" t="inlineStr">
        <is>
          <t>17/03/2026</t>
        </is>
      </c>
      <c r="K3962" s="10" t="inlineStr">
        <is>
          <t>N/A</t>
        </is>
      </c>
      <c r="L3962" s="10" t="inlineStr">
        <is>
          <t>Bán Hàng, Kinh Doanh, Xuất Nhập Khẩu, Bán Hạt Nhựa, Công Nghệ Cao Su</t>
        </is>
      </c>
      <c r="M3962" s="10" t="inlineStr">
        <is>
          <t>Bonus, Healthcare Plan, Training, Travel Opportunities, Team Activities</t>
        </is>
      </c>
      <c r="N3962" s="11">
        <f>HYPERLINK("https://www.vietnamworks.com/nhan-vien-kinh-doanh-noi-djia-upto-50-trieu-2014625-jv","Xem chi tiết")</f>
        <v/>
      </c>
      <c r="O3962" s="10" t="n"/>
    </row>
    <row r="3963">
      <c r="B3963" s="7" t="n">
        <v>3961</v>
      </c>
      <c r="C3963" t="inlineStr">
        <is>
          <t>Chuyên Viên Cao Cấp Kinh Doanh (Senior Sales) Vietcombank Fund Management.</t>
        </is>
      </c>
      <c r="D3963" t="inlineStr">
        <is>
          <t>Công Ty TNHH Quản lý Quỹ Đầu tư Chứng khoán Vietcombank</t>
        </is>
      </c>
      <c r="E3963" t="inlineStr">
        <is>
          <t>Thương lượng</t>
        </is>
      </c>
      <c r="F3963" t="inlineStr">
        <is>
          <t>Hà Nội, Hồ Chí Minh</t>
        </is>
      </c>
      <c r="G3963" t="inlineStr">
        <is>
          <t>Nhân viên</t>
        </is>
      </c>
      <c r="H3963" t="inlineStr">
        <is>
          <t>26/02/2026</t>
        </is>
      </c>
      <c r="I3963" t="inlineStr">
        <is>
          <t>28/03/2026</t>
        </is>
      </c>
      <c r="J3963" t="inlineStr">
        <is>
          <t>17/03/2026</t>
        </is>
      </c>
      <c r="K3963" t="inlineStr">
        <is>
          <t>N/A</t>
        </is>
      </c>
      <c r="L3963" t="inlineStr">
        <is>
          <t>Dịch Vụ Tài Chính, Lập Kế Hoạch, Quản Lý Quỹ, Thiết Lập Mối Quan Hệ, Tư Vấn Đầu Tư</t>
        </is>
      </c>
      <c r="M3963" t="inlineStr">
        <is>
          <t>Bonus, Healthcare Plan, Paid Leave, Laptop, Travel Opportunities</t>
        </is>
      </c>
      <c r="N3963" s="8">
        <f>HYPERLINK("https://www.vietnamworks.com/chuyen-vien-cao-cap-kinh-doanh-senior-sales-vietcombank-fund-management-2014630-jv","Xem chi tiết")</f>
        <v/>
      </c>
    </row>
    <row r="3964">
      <c r="B3964" s="9" t="n">
        <v>3962</v>
      </c>
      <c r="C3964" s="10" t="inlineStr">
        <is>
          <t>Trợ Lý Ban Tổng Giám Đốc/ Bất Động Sản/ Assistant/ Real Estate</t>
        </is>
      </c>
      <c r="D3964" s="10" t="inlineStr">
        <is>
          <t>Tập Đoàn Bất Động Sản An Gia</t>
        </is>
      </c>
      <c r="E3964" s="10" t="inlineStr">
        <is>
          <t>Thương lượng</t>
        </is>
      </c>
      <c r="F3964" s="10" t="inlineStr">
        <is>
          <t>Hồ Chí Minh</t>
        </is>
      </c>
      <c r="G3964" s="10" t="inlineStr">
        <is>
          <t>Trưởng phòng</t>
        </is>
      </c>
      <c r="H3964" s="10" t="inlineStr">
        <is>
          <t>26/02/2026</t>
        </is>
      </c>
      <c r="I3964" s="10" t="inlineStr">
        <is>
          <t>28/03/2026</t>
        </is>
      </c>
      <c r="J3964" s="10" t="inlineStr">
        <is>
          <t>17/03/2026</t>
        </is>
      </c>
      <c r="K3964" s="10" t="inlineStr">
        <is>
          <t>N/A</t>
        </is>
      </c>
      <c r="L3964" s="10" t="inlineStr">
        <is>
          <t>Giao Tiếp, Nghiệp Vụ Thư Ký, Quản Lý Công Việc, Xử Lý Tình Huống Linh Hoạt</t>
        </is>
      </c>
      <c r="M3964" s="10" t="inlineStr">
        <is>
          <t>Bonus, Healthcare Plan, Paid Leave, Training, Laptop, Travel Opportunities, Vouchers</t>
        </is>
      </c>
      <c r="N3964" s="11">
        <f>HYPERLINK("https://www.vietnamworks.com/tro-ly-ban-tong-giam-djoc-bat-djong-san-assistant-real-estate-2014631-jv","Xem chi tiết")</f>
        <v/>
      </c>
      <c r="O3964" s="10" t="n"/>
    </row>
    <row r="3965">
      <c r="B3965" s="7" t="n">
        <v>3963</v>
      </c>
      <c r="C3965" t="inlineStr">
        <is>
          <t>Nhân Viên Kinh Doanh</t>
        </is>
      </c>
      <c r="D3965" t="inlineStr">
        <is>
          <t>CÔNG TY TNHH THANG MÁY VÀ NỘI THẤT MY HOME</t>
        </is>
      </c>
      <c r="E3965" t="inlineStr">
        <is>
          <t>7tr-100tr ₫/tháng</t>
        </is>
      </c>
      <c r="F3965" t="inlineStr">
        <is>
          <t>Hà Nội</t>
        </is>
      </c>
      <c r="G3965" t="inlineStr">
        <is>
          <t>Nhân viên</t>
        </is>
      </c>
      <c r="H3965" t="inlineStr">
        <is>
          <t>26/02/2026</t>
        </is>
      </c>
      <c r="I3965" t="inlineStr">
        <is>
          <t>28/03/2026</t>
        </is>
      </c>
      <c r="J3965" t="inlineStr">
        <is>
          <t>17/03/2026</t>
        </is>
      </c>
      <c r="K3965" t="inlineStr">
        <is>
          <t>N/A</t>
        </is>
      </c>
      <c r="L3965" t="inlineStr">
        <is>
          <t>Đàm Phán, Kinh Doanh, Bán Hàng, Chăm Sóc Khách Hàng, Tư Vấn Khách Hàng</t>
        </is>
      </c>
      <c r="M3965" t="inlineStr">
        <is>
          <t>Bonus, Healthcare Plan, Training, Laptop, Team Activities</t>
        </is>
      </c>
      <c r="N3965" s="8">
        <f>HYPERLINK("https://www.vietnamworks.com/nhan-vien-kinh-doanh-2014658-jv","Xem chi tiết")</f>
        <v/>
      </c>
    </row>
    <row r="3966">
      <c r="B3966" s="9" t="n">
        <v>3964</v>
      </c>
      <c r="C3966" s="10" t="inlineStr">
        <is>
          <t>Chuyên Viên Chăm Sóc Khách Hàng (Account Executive) Night Shift</t>
        </is>
      </c>
      <c r="D3966" s="10" t="inlineStr">
        <is>
          <t>BRIGHT MARKETING</t>
        </is>
      </c>
      <c r="E3966" s="10" t="inlineStr">
        <is>
          <t>15tr-40tr ₫/tháng</t>
        </is>
      </c>
      <c r="F3966" s="10" t="inlineStr">
        <is>
          <t>Hồ Chí Minh</t>
        </is>
      </c>
      <c r="G3966" s="10" t="inlineStr">
        <is>
          <t>Mới Tốt Nghiệp</t>
        </is>
      </c>
      <c r="H3966" s="10" t="inlineStr">
        <is>
          <t>26/02/2026</t>
        </is>
      </c>
      <c r="I3966" s="10" t="inlineStr">
        <is>
          <t>28/03/2026</t>
        </is>
      </c>
      <c r="J3966" s="10" t="inlineStr">
        <is>
          <t>17/03/2026</t>
        </is>
      </c>
      <c r="K3966" s="10" t="inlineStr">
        <is>
          <t>N/A</t>
        </is>
      </c>
      <c r="L3966" s="10" t="inlineStr">
        <is>
          <t>Chăm Sóc Khách Hàng, Customer Care, Customer Service, Customer Support, Dịch Vụ Khách Hàng</t>
        </is>
      </c>
      <c r="M3966" s="10" t="inlineStr">
        <is>
          <t>Bonus, Healthcare Plan, Travel Opportunities, Others</t>
        </is>
      </c>
      <c r="N3966" s="11">
        <f>HYPERLINK("https://www.vietnamworks.com/chuyen-vien-cham-soc-khach-hang-account-executive-night-shift-2014652-jv","Xem chi tiết")</f>
        <v/>
      </c>
      <c r="O3966" s="10" t="n"/>
    </row>
    <row r="3967">
      <c r="B3967" s="7" t="n">
        <v>3965</v>
      </c>
      <c r="C3967" t="inlineStr">
        <is>
          <t>Business Development Manager (Chinese-Speaking)</t>
        </is>
      </c>
      <c r="D3967" t="inlineStr">
        <is>
          <t>CPG Vietnam Co., Ltd.</t>
        </is>
      </c>
      <c r="E3967" t="inlineStr">
        <is>
          <t>Thương lượng</t>
        </is>
      </c>
      <c r="F3967" t="inlineStr">
        <is>
          <t>Hồ Chí Minh</t>
        </is>
      </c>
      <c r="G3967" t="inlineStr">
        <is>
          <t>Trưởng phòng</t>
        </is>
      </c>
      <c r="H3967" t="inlineStr">
        <is>
          <t>26/02/2026</t>
        </is>
      </c>
      <c r="I3967" t="inlineStr">
        <is>
          <t>28/03/2026</t>
        </is>
      </c>
      <c r="J3967" t="inlineStr">
        <is>
          <t>17/03/2026</t>
        </is>
      </c>
      <c r="K3967" t="inlineStr">
        <is>
          <t>N/A</t>
        </is>
      </c>
      <c r="L3967" t="inlineStr">
        <is>
          <t>English, Sales Management, Chinese, Business Development, Architecture</t>
        </is>
      </c>
      <c r="M3967" t="inlineStr">
        <is>
          <t>Bonus, Healthcare Plan, Others</t>
        </is>
      </c>
      <c r="N3967" s="8">
        <f>HYPERLINK("https://www.vietnamworks.com/business-development-manager-chinese-speaking--2014654-jv","Xem chi tiết")</f>
        <v/>
      </c>
    </row>
    <row r="3968">
      <c r="B3968" s="9" t="n">
        <v>3966</v>
      </c>
      <c r="C3968" s="10" t="inlineStr">
        <is>
          <t>Supplier Quality Director - SEA</t>
        </is>
      </c>
      <c r="D3968" s="10" t="inlineStr">
        <is>
          <t>Sharkninja Vietnam</t>
        </is>
      </c>
      <c r="E3968" s="10" t="inlineStr">
        <is>
          <t>Thương lượng</t>
        </is>
      </c>
      <c r="F3968" s="10" t="inlineStr">
        <is>
          <t>Đồng Nai</t>
        </is>
      </c>
      <c r="G3968" s="10" t="inlineStr">
        <is>
          <t>Giám Đốc và Cấp Cao Hơn</t>
        </is>
      </c>
      <c r="H3968" s="10" t="inlineStr">
        <is>
          <t>26/02/2026</t>
        </is>
      </c>
      <c r="I3968" s="10" t="inlineStr">
        <is>
          <t>28/03/2026</t>
        </is>
      </c>
      <c r="J3968" s="10" t="inlineStr">
        <is>
          <t>17/03/2026</t>
        </is>
      </c>
      <c r="K3968" s="10" t="inlineStr">
        <is>
          <t>N/A</t>
        </is>
      </c>
      <c r="L3968" s="10" t="inlineStr">
        <is>
          <t>Data Analysis, English Fluency, Problem-solving, Quality Management, Supplier Quality Management</t>
        </is>
      </c>
      <c r="M3968" s="10" t="inlineStr">
        <is>
          <t>Bonus, Healthcare Plan, Training</t>
        </is>
      </c>
      <c r="N3968" s="11">
        <f>HYPERLINK("https://www.vietnamworks.com/supplier-quality-director-sea-2014636-jv","Xem chi tiết")</f>
        <v/>
      </c>
      <c r="O3968" s="10" t="n"/>
    </row>
    <row r="3969">
      <c r="B3969" s="7" t="n">
        <v>3967</v>
      </c>
      <c r="C3969" t="inlineStr">
        <is>
          <t>Recruiting And Operation Executive</t>
        </is>
      </c>
      <c r="D3969" t="inlineStr">
        <is>
          <t>TNHH GCS Việt Nam</t>
        </is>
      </c>
      <c r="E3969" t="inlineStr">
        <is>
          <t>$$ 500-500 /tháng</t>
        </is>
      </c>
      <c r="F3969" t="inlineStr">
        <is>
          <t>Hải Phòng</t>
        </is>
      </c>
      <c r="G3969" t="inlineStr">
        <is>
          <t>Mới Tốt Nghiệp</t>
        </is>
      </c>
      <c r="H3969" t="inlineStr">
        <is>
          <t>26/02/2026</t>
        </is>
      </c>
      <c r="I3969" t="inlineStr">
        <is>
          <t>28/03/2026</t>
        </is>
      </c>
      <c r="J3969" t="inlineStr">
        <is>
          <t>17/03/2026</t>
        </is>
      </c>
      <c r="K3969" t="inlineStr">
        <is>
          <t>N/A</t>
        </is>
      </c>
      <c r="L3969" t="inlineStr">
        <is>
          <t>Administration, Document Preparation, English, Interview, Screening CVs</t>
        </is>
      </c>
      <c r="M3969" t="inlineStr">
        <is>
          <t>Bonus, Training, Awards, Others</t>
        </is>
      </c>
      <c r="N3969" s="8">
        <f>HYPERLINK("https://www.vietnamworks.com/recruiting-and-operation-executive-2014649-jv","Xem chi tiết")</f>
        <v/>
      </c>
    </row>
    <row r="3970">
      <c r="B3970" s="9" t="n">
        <v>3968</v>
      </c>
      <c r="C3970" s="10" t="inlineStr">
        <is>
          <t>Linguistic Executive (Vietnamese Chinese English)</t>
        </is>
      </c>
      <c r="D3970" s="10" t="inlineStr">
        <is>
          <t>CPG Vietnam Co., Ltd.</t>
        </is>
      </c>
      <c r="E3970" s="10" t="inlineStr">
        <is>
          <t>Thương lượng</t>
        </is>
      </c>
      <c r="F3970" s="10" t="inlineStr">
        <is>
          <t>Hồ Chí Minh</t>
        </is>
      </c>
      <c r="G3970" s="10" t="inlineStr">
        <is>
          <t>Nhân viên</t>
        </is>
      </c>
      <c r="H3970" s="10" t="inlineStr">
        <is>
          <t>26/02/2026</t>
        </is>
      </c>
      <c r="I3970" s="10" t="inlineStr">
        <is>
          <t>28/03/2026</t>
        </is>
      </c>
      <c r="J3970" s="10" t="inlineStr">
        <is>
          <t>17/03/2026</t>
        </is>
      </c>
      <c r="K3970" s="10" t="inlineStr">
        <is>
          <t>N/A</t>
        </is>
      </c>
      <c r="L3970" s="10" t="inlineStr">
        <is>
          <t>Business Development, Sales Management, Proposal Preparation, Channel Relationship Management, Communication Skills</t>
        </is>
      </c>
      <c r="M3970" s="10" t="inlineStr">
        <is>
          <t>Bonus, Healthcare Plan, Training</t>
        </is>
      </c>
      <c r="N3970" s="11">
        <f>HYPERLINK("https://www.vietnamworks.com/linguistic-executive-vietnamese-chinese-english-2014646-jv","Xem chi tiết")</f>
        <v/>
      </c>
      <c r="O3970" s="10" t="n"/>
    </row>
    <row r="3971">
      <c r="B3971" s="7" t="n">
        <v>3969</v>
      </c>
      <c r="C3971" t="inlineStr">
        <is>
          <t>Sales Staff ( Full Salary As Labor contract + Incentive + Service charge)</t>
        </is>
      </c>
      <c r="D3971" t="inlineStr">
        <is>
          <t>Công Ty TNHH Chuo Việt Nam</t>
        </is>
      </c>
      <c r="E3971" t="inlineStr">
        <is>
          <t>Thương lượng</t>
        </is>
      </c>
      <c r="F3971" t="inlineStr">
        <is>
          <t>Hải Phòng</t>
        </is>
      </c>
      <c r="G3971" t="inlineStr">
        <is>
          <t>Nhân viên</t>
        </is>
      </c>
      <c r="H3971" t="inlineStr">
        <is>
          <t>26/02/2026</t>
        </is>
      </c>
      <c r="I3971" t="inlineStr">
        <is>
          <t>28/03/2026</t>
        </is>
      </c>
      <c r="J3971" t="inlineStr">
        <is>
          <t>17/03/2026</t>
        </is>
      </c>
      <c r="K3971" t="inlineStr">
        <is>
          <t>N/A</t>
        </is>
      </c>
      <c r="L3971" t="inlineStr">
        <is>
          <t>Customer Development, English, Negotiation Skills, Relationship Building, Sales Planning</t>
        </is>
      </c>
      <c r="M3971" t="inlineStr">
        <is>
          <t>Bonus, Healthcare Plan, Awards, Team Activities, Others</t>
        </is>
      </c>
      <c r="N3971" s="8">
        <f>HYPERLINK("https://www.vietnamworks.com/sales-staff-full-salary-as-labor-contract-incentive-service-charge-2014637-jv","Xem chi tiết")</f>
        <v/>
      </c>
    </row>
    <row r="3972">
      <c r="B3972" s="9" t="n">
        <v>3970</v>
      </c>
      <c r="C3972" s="10" t="inlineStr">
        <is>
          <t>Sales Admin/ Trợ Lý Kinh Doanh</t>
        </is>
      </c>
      <c r="D3972" s="10" t="inlineStr">
        <is>
          <t>CÔNG TY TNHH KỸ THUẬT NGHĨA PHÁT</t>
        </is>
      </c>
      <c r="E3972" s="10" t="inlineStr">
        <is>
          <t>Thương lượng</t>
        </is>
      </c>
      <c r="F3972" s="10" t="inlineStr">
        <is>
          <t>Hồ Chí Minh</t>
        </is>
      </c>
      <c r="G3972" s="10" t="inlineStr">
        <is>
          <t>Mới Tốt Nghiệp</t>
        </is>
      </c>
      <c r="H3972" s="10" t="inlineStr">
        <is>
          <t>26/02/2026</t>
        </is>
      </c>
      <c r="I3972" s="10" t="inlineStr">
        <is>
          <t>28/03/2026</t>
        </is>
      </c>
      <c r="J3972" s="10" t="inlineStr">
        <is>
          <t>17/03/2026</t>
        </is>
      </c>
      <c r="K3972" s="10" t="inlineStr">
        <is>
          <t>N/A</t>
        </is>
      </c>
      <c r="L3972" s="10" t="inlineStr">
        <is>
          <t>Soạn Thảo Văn Bản, Quản Lý Hồ Sơ, Xử Lý Tình Huống, Sales Support, Lưu Trữ Hồ Sơ</t>
        </is>
      </c>
      <c r="M3972" s="10" t="inlineStr">
        <is>
          <t>Bonus, Healthcare Plan, Training, Travel Opportunities</t>
        </is>
      </c>
      <c r="N3972" s="11">
        <f>HYPERLINK("https://www.vietnamworks.com/sales-admin-tro-ly-kinh-doanh-2014668-jv","Xem chi tiết")</f>
        <v/>
      </c>
      <c r="O3972" s="10" t="n"/>
    </row>
    <row r="3973">
      <c r="B3973" s="7" t="n">
        <v>3971</v>
      </c>
      <c r="C3973" t="inlineStr">
        <is>
          <t>Giám Đốc Hành Chính Nhân Sự</t>
        </is>
      </c>
      <c r="D3973" t="inlineStr">
        <is>
          <t>Japan Construction Management Corporation</t>
        </is>
      </c>
      <c r="E3973" t="inlineStr">
        <is>
          <t>Thương lượng</t>
        </is>
      </c>
      <c r="F3973" t="inlineStr">
        <is>
          <t>Hà Nội</t>
        </is>
      </c>
      <c r="G3973" t="inlineStr">
        <is>
          <t>Giám Đốc và Cấp Cao Hơn</t>
        </is>
      </c>
      <c r="H3973" t="inlineStr">
        <is>
          <t>26/02/2026</t>
        </is>
      </c>
      <c r="I3973" t="inlineStr">
        <is>
          <t>28/03/2026</t>
        </is>
      </c>
      <c r="J3973" t="inlineStr">
        <is>
          <t>17/03/2026</t>
        </is>
      </c>
      <c r="K3973" t="inlineStr">
        <is>
          <t>N/A</t>
        </is>
      </c>
      <c r="L3973" t="inlineStr">
        <is>
          <t>Hành Chính Nhân Sự, Luật Lao Động, BHXH, Quản Trị Nhân Lực, Đàm Phán Thương Lượng</t>
        </is>
      </c>
      <c r="M3973" t="inlineStr">
        <is>
          <t>Bonus, Healthcare Plan, Paid Leave</t>
        </is>
      </c>
      <c r="N3973" s="8">
        <f>HYPERLINK("https://www.vietnamworks.com/giam-doc-hanh-chinh-nhan-su--2014640-jv","Xem chi tiết")</f>
        <v/>
      </c>
    </row>
    <row r="3974">
      <c r="B3974" s="9" t="n">
        <v>3972</v>
      </c>
      <c r="C3974" s="10" t="inlineStr">
        <is>
          <t>Social &amp; Digital Marketing Specialist</t>
        </is>
      </c>
      <c r="D3974" s="10" t="inlineStr">
        <is>
          <t>CÔNG TY TNHH GARMIN VIỆT NAM</t>
        </is>
      </c>
      <c r="E3974" s="10" t="inlineStr">
        <is>
          <t>Thương lượng</t>
        </is>
      </c>
      <c r="F3974" s="10" t="inlineStr">
        <is>
          <t>Hồ Chí Minh</t>
        </is>
      </c>
      <c r="G3974" s="10" t="inlineStr">
        <is>
          <t>Nhân viên</t>
        </is>
      </c>
      <c r="H3974" s="10" t="inlineStr">
        <is>
          <t>26/02/2026</t>
        </is>
      </c>
      <c r="I3974" s="10" t="inlineStr">
        <is>
          <t>28/03/2026</t>
        </is>
      </c>
      <c r="J3974" s="10" t="inlineStr">
        <is>
          <t>17/03/2026</t>
        </is>
      </c>
      <c r="K3974" s="10" t="inlineStr">
        <is>
          <t>N/A</t>
        </is>
      </c>
      <c r="L3974" s="10" t="inlineStr">
        <is>
          <t>Digital Marketing, Social Media Management, Content Management, Budget Management, Communication Skills</t>
        </is>
      </c>
      <c r="M3974" s="10" t="inlineStr">
        <is>
          <t>Bonus, Healthcare Plan, Travel Opportunities</t>
        </is>
      </c>
      <c r="N3974" s="11">
        <f>HYPERLINK("https://www.vietnamworks.com/social-and-digital-marketing-specialist-2014662-jv","Xem chi tiết")</f>
        <v/>
      </c>
      <c r="O3974" s="10" t="n"/>
    </row>
    <row r="3975">
      <c r="B3975" s="7" t="n">
        <v>3973</v>
      </c>
      <c r="C3975" t="inlineStr">
        <is>
          <t>[Hot Job] Phó Phòng Hành Chính Nhân Sự</t>
        </is>
      </c>
      <c r="D3975" t="inlineStr">
        <is>
          <t>CÔNG TY TNHH YASKAWA VIỆT NAM MECHATRONICS SYSTEM</t>
        </is>
      </c>
      <c r="E3975" t="inlineStr">
        <is>
          <t>Thương lượng</t>
        </is>
      </c>
      <c r="F3975" t="inlineStr">
        <is>
          <t>Hải Phòng, Quảng Ninh</t>
        </is>
      </c>
      <c r="G3975" t="inlineStr">
        <is>
          <t>Trưởng phòng</t>
        </is>
      </c>
      <c r="H3975" t="inlineStr">
        <is>
          <t>26/02/2026</t>
        </is>
      </c>
      <c r="I3975" t="inlineStr">
        <is>
          <t>28/03/2026</t>
        </is>
      </c>
      <c r="J3975" t="inlineStr">
        <is>
          <t>17/03/2026</t>
        </is>
      </c>
      <c r="K3975" t="inlineStr">
        <is>
          <t>N/A</t>
        </is>
      </c>
      <c r="L3975" t="inlineStr">
        <is>
          <t>General HR Management, Hành Chính Nhân Sự, HR, Human resource, Nhân Sự</t>
        </is>
      </c>
      <c r="M3975" t="inlineStr">
        <is>
          <t>Bonus, Healthcare Plan, Paid Leave, Training, Team Activities, Transportation</t>
        </is>
      </c>
      <c r="N3975" s="8">
        <f>HYPERLINK("https://www.vietnamworks.com/hot-job-pho-phong-hanh-chinh-nhan-su-2014660-jv","Xem chi tiết")</f>
        <v/>
      </c>
    </row>
    <row r="3976">
      <c r="B3976" s="9" t="n">
        <v>3974</v>
      </c>
      <c r="C3976" s="10" t="inlineStr">
        <is>
          <t>PMO Director</t>
        </is>
      </c>
      <c r="D3976" s="10" t="inlineStr">
        <is>
          <t>Công ty TNHH Novel Dyeing &amp; Printing VN</t>
        </is>
      </c>
      <c r="E3976" s="10" t="inlineStr">
        <is>
          <t>Từ $ 3,000 /tháng</t>
        </is>
      </c>
      <c r="F3976" s="10" t="inlineStr">
        <is>
          <t>Nam Định</t>
        </is>
      </c>
      <c r="G3976" s="10" t="inlineStr">
        <is>
          <t>Giám Đốc và Cấp Cao Hơn</t>
        </is>
      </c>
      <c r="H3976" s="10" t="inlineStr">
        <is>
          <t>26/02/2026</t>
        </is>
      </c>
      <c r="I3976" s="10" t="inlineStr">
        <is>
          <t>28/03/2026</t>
        </is>
      </c>
      <c r="J3976" s="10" t="inlineStr">
        <is>
          <t>17/03/2026</t>
        </is>
      </c>
      <c r="K3976" s="10" t="inlineStr">
        <is>
          <t>N/A</t>
        </is>
      </c>
      <c r="L3976" s="10" t="inlineStr">
        <is>
          <t>Dệt May, Kiểm Soát Chất Lượng, Quản Lý Dự Án, Quản Lý Rủi Ro, Triển Khai Dự Án</t>
        </is>
      </c>
      <c r="M3976" s="10" t="inlineStr">
        <is>
          <t>Paid Leave, Others</t>
        </is>
      </c>
      <c r="N3976" s="11">
        <f>HYPERLINK("https://www.vietnamworks.com/pmo-director-2014645-jv","Xem chi tiết")</f>
        <v/>
      </c>
      <c r="O3976" s="10" t="n"/>
    </row>
    <row r="3977">
      <c r="B3977" s="7" t="n">
        <v>3975</v>
      </c>
      <c r="C3977" t="inlineStr">
        <is>
          <t>Vận Hành &amp; Giám Sát Robot / Robot Operation &amp; Monitoring</t>
        </is>
      </c>
      <c r="D3977" t="inlineStr">
        <is>
          <t>Công ty TNHH The Square Vina</t>
        </is>
      </c>
      <c r="E3977" t="inlineStr">
        <is>
          <t>Thương lượng</t>
        </is>
      </c>
      <c r="F3977" t="inlineStr">
        <is>
          <t>Bà Rịa - Vũng Tàu</t>
        </is>
      </c>
      <c r="G3977" t="inlineStr">
        <is>
          <t>Mới Tốt Nghiệp</t>
        </is>
      </c>
      <c r="H3977" t="inlineStr">
        <is>
          <t>26/02/2026</t>
        </is>
      </c>
      <c r="I3977" t="inlineStr">
        <is>
          <t>28/03/2026</t>
        </is>
      </c>
      <c r="J3977" t="inlineStr">
        <is>
          <t>17/03/2026</t>
        </is>
      </c>
      <c r="K3977" t="inlineStr">
        <is>
          <t>N/A</t>
        </is>
      </c>
      <c r="L3977" t="inlineStr">
        <is>
          <t>Xử Lý Sự Cố, AutoCAD, Bảo Trì, Cơ Khí Tự Động Hóa, Vận Hành Máy CNC</t>
        </is>
      </c>
      <c r="M3977" t="inlineStr">
        <is>
          <t>Bonus, Healthcare Plan, Travel Opportunities</t>
        </is>
      </c>
      <c r="N3977" s="8">
        <f>HYPERLINK("https://www.vietnamworks.com/van-hanh-giam-sat-robot-robot-operation-monitoring-2014639-jv","Xem chi tiết")</f>
        <v/>
      </c>
    </row>
    <row r="3978">
      <c r="B3978" s="9" t="n">
        <v>3976</v>
      </c>
      <c r="C3978" s="10" t="inlineStr">
        <is>
          <t>Chứng Từ Xuất Khẩu &amp; Thủ Tục Hải Quan</t>
        </is>
      </c>
      <c r="D3978" s="10" t="inlineStr">
        <is>
          <t>CORTEX VIETNAM GARMENT CO. LTD.</t>
        </is>
      </c>
      <c r="E3978" s="10" t="inlineStr">
        <is>
          <t>15tr-15tr ₫/tháng</t>
        </is>
      </c>
      <c r="F3978" s="10" t="inlineStr">
        <is>
          <t>Đà Nẵng</t>
        </is>
      </c>
      <c r="G3978" s="10" t="inlineStr">
        <is>
          <t>Nhân viên</t>
        </is>
      </c>
      <c r="H3978" s="10" t="inlineStr">
        <is>
          <t>26/02/2026</t>
        </is>
      </c>
      <c r="I3978" s="10" t="inlineStr">
        <is>
          <t>28/03/2026</t>
        </is>
      </c>
      <c r="J3978" s="10" t="inlineStr">
        <is>
          <t>17/03/2026</t>
        </is>
      </c>
      <c r="K3978" s="10" t="inlineStr">
        <is>
          <t>N/A</t>
        </is>
      </c>
      <c r="L3978" s="10" t="inlineStr">
        <is>
          <t>Export Documents, Customs Procedures, Inventory Management, Accounting, Attention To Detail</t>
        </is>
      </c>
      <c r="M3978" s="10" t="inlineStr">
        <is>
          <t>Bonus, Healthcare Plan, Laptop</t>
        </is>
      </c>
      <c r="N3978" s="11">
        <f>HYPERLINK("https://www.vietnamworks.com/chung-tu-xuat-khau-thu-tuc-hai-quan-2014638-jv","Xem chi tiết")</f>
        <v/>
      </c>
      <c r="O3978" s="10" t="n"/>
    </row>
    <row r="3979">
      <c r="B3979" s="7" t="n">
        <v>3977</v>
      </c>
      <c r="C3979" t="inlineStr">
        <is>
          <t xml:space="preserve">Nhân Viên Hệ Thống Kho (Làm việc theo ca) </t>
        </is>
      </c>
      <c r="D3979" t="inlineStr">
        <is>
          <t>Công Ty TNHH LEGO Manufacturing Việt Nam</t>
        </is>
      </c>
      <c r="E3979" t="inlineStr">
        <is>
          <t>Thương lượng</t>
        </is>
      </c>
      <c r="F3979" t="inlineStr">
        <is>
          <t>Hồ Chí Minh</t>
        </is>
      </c>
      <c r="G3979" t="inlineStr">
        <is>
          <t>Nhân viên</t>
        </is>
      </c>
      <c r="H3979" t="inlineStr">
        <is>
          <t>26/02/2026</t>
        </is>
      </c>
      <c r="I3979" t="inlineStr">
        <is>
          <t>28/03/2026</t>
        </is>
      </c>
      <c r="J3979" t="inlineStr">
        <is>
          <t>17/03/2026</t>
        </is>
      </c>
      <c r="K3979" t="inlineStr">
        <is>
          <t>N/A</t>
        </is>
      </c>
      <c r="L3979" t="inlineStr">
        <is>
          <t>Data Warehouse Systems, Warehouse Management, Warehouse Operation</t>
        </is>
      </c>
      <c r="M3979" t="inlineStr">
        <is>
          <t>Healthcare Plan</t>
        </is>
      </c>
      <c r="N3979" s="8">
        <f>HYPERLINK("https://www.vietnamworks.com/nhan-vien-he-thong-kho-lam-viec-theo-ca-2014663-jv","Xem chi tiết")</f>
        <v/>
      </c>
    </row>
    <row r="3980">
      <c r="B3980" s="9" t="n">
        <v>3978</v>
      </c>
      <c r="C3980" s="10" t="inlineStr">
        <is>
          <t>Nhân Viên Kinh Doanh - Dụng Cụ Cắt Kim Loại</t>
        </is>
      </c>
      <c r="D3980" s="10" t="inlineStr">
        <is>
          <t>CÔNG TY TNHH KỸ THUẬT NGHĨA PHÁT</t>
        </is>
      </c>
      <c r="E3980" s="10" t="inlineStr">
        <is>
          <t>Thương lượng</t>
        </is>
      </c>
      <c r="F3980" s="10" t="inlineStr">
        <is>
          <t>Hồ Chí Minh</t>
        </is>
      </c>
      <c r="G3980" s="10" t="inlineStr">
        <is>
          <t>Nhân viên</t>
        </is>
      </c>
      <c r="H3980" s="10" t="inlineStr">
        <is>
          <t>26/02/2026</t>
        </is>
      </c>
      <c r="I3980" s="10" t="inlineStr">
        <is>
          <t>28/03/2026</t>
        </is>
      </c>
      <c r="J3980" s="10" t="inlineStr">
        <is>
          <t>17/03/2026</t>
        </is>
      </c>
      <c r="K3980" s="10" t="inlineStr">
        <is>
          <t>N/A</t>
        </is>
      </c>
      <c r="L3980" s="10" t="inlineStr">
        <is>
          <t>Chăm Sóc Khách Hàng, Kinh Doanh Thiết Bị Cơ Khí, MS Office, Tìm Kiếm Khách Hàng, Tư Vấn Sản Phẩm</t>
        </is>
      </c>
      <c r="M3980" s="10" t="inlineStr">
        <is>
          <t>Bonus, Paid Leave, Training, Awards, Others</t>
        </is>
      </c>
      <c r="N3980" s="11">
        <f>HYPERLINK("https://www.vietnamworks.com/nhan-vien-kinh-doanh-dung-cu-cat-kim-loai-2014667-jv","Xem chi tiết")</f>
        <v/>
      </c>
      <c r="O3980" s="10" t="n"/>
    </row>
    <row r="3981">
      <c r="B3981" s="7" t="n">
        <v>3979</v>
      </c>
      <c r="C3981" t="inlineStr">
        <is>
          <t>Senior Manager, Finance &amp; Project Management</t>
        </is>
      </c>
      <c r="D3981" t="inlineStr">
        <is>
          <t>Công Ty TNHH Gap International Sourcing (Việt Nam)</t>
        </is>
      </c>
      <c r="E3981" t="inlineStr">
        <is>
          <t>Thương lượng</t>
        </is>
      </c>
      <c r="F3981" t="inlineStr">
        <is>
          <t>Hồ Chí Minh</t>
        </is>
      </c>
      <c r="G3981" t="inlineStr">
        <is>
          <t>Trưởng phòng</t>
        </is>
      </c>
      <c r="H3981" t="inlineStr">
        <is>
          <t>26/02/2026</t>
        </is>
      </c>
      <c r="I3981" t="inlineStr">
        <is>
          <t>28/03/2026</t>
        </is>
      </c>
      <c r="J3981" t="inlineStr">
        <is>
          <t>17/03/2026</t>
        </is>
      </c>
      <c r="K3981" t="inlineStr">
        <is>
          <t>N/A</t>
        </is>
      </c>
      <c r="L3981" t="inlineStr">
        <is>
          <t>CPA Certificate, Project Management, PMP Certification, Fiannce, Statutory</t>
        </is>
      </c>
      <c r="M3981" t="inlineStr">
        <is>
          <t>Bonus, Healthcare Plan, Training</t>
        </is>
      </c>
      <c r="N3981" s="8">
        <f>HYPERLINK("https://www.vietnamworks.com/senior-manager-finance-and-project-management-2014641-jv","Xem chi tiết")</f>
        <v/>
      </c>
    </row>
    <row r="3982">
      <c r="B3982" s="9" t="n">
        <v>3980</v>
      </c>
      <c r="C3982" s="10" t="inlineStr">
        <is>
          <t>Sales Coordinator (Chinese Speaking)</t>
        </is>
      </c>
      <c r="D3982" s="10" t="inlineStr">
        <is>
          <t>Công Ty TNHH ZIM Integrated Shipping Services Ltd. Việt Nam</t>
        </is>
      </c>
      <c r="E3982" s="10" t="inlineStr">
        <is>
          <t>Thương lượng</t>
        </is>
      </c>
      <c r="F3982" s="10" t="inlineStr">
        <is>
          <t>Hải Phòng, Hải Dương, Hà Nội</t>
        </is>
      </c>
      <c r="G3982" s="10" t="inlineStr">
        <is>
          <t>Nhân viên</t>
        </is>
      </c>
      <c r="H3982" s="10" t="inlineStr">
        <is>
          <t>26/02/2026</t>
        </is>
      </c>
      <c r="I3982" s="10" t="inlineStr">
        <is>
          <t>28/03/2026</t>
        </is>
      </c>
      <c r="J3982" s="10" t="inlineStr">
        <is>
          <t>17/03/2026</t>
        </is>
      </c>
      <c r="K3982" s="10" t="inlineStr">
        <is>
          <t>N/A</t>
        </is>
      </c>
      <c r="L3982" s="10" t="inlineStr">
        <is>
          <t>Communication, Logistics, Sales Support, Shipping, Chinese Speaking</t>
        </is>
      </c>
      <c r="M3982" s="10" t="inlineStr">
        <is>
          <t>Bonus, Team Activities, Others</t>
        </is>
      </c>
      <c r="N3982" s="11">
        <f>HYPERLINK("https://www.vietnamworks.com/sales-coordinator-chinese-speaking-2014665-jv","Xem chi tiết")</f>
        <v/>
      </c>
      <c r="O3982" s="10" t="n"/>
    </row>
    <row r="3983">
      <c r="B3983" s="7" t="n">
        <v>3981</v>
      </c>
      <c r="C3983" t="inlineStr">
        <is>
          <t>Kế Toán Tổng Hợp Kiêm Thuế</t>
        </is>
      </c>
      <c r="D3983" t="inlineStr">
        <is>
          <t>CÔNG TY TNHH THANG MÁY VÀ NỘI THẤT MY HOME</t>
        </is>
      </c>
      <c r="E3983" t="inlineStr">
        <is>
          <t>13tr-18tr ₫/tháng</t>
        </is>
      </c>
      <c r="F3983" t="inlineStr">
        <is>
          <t>Hà Nội</t>
        </is>
      </c>
      <c r="G3983" t="inlineStr">
        <is>
          <t>Nhân viên</t>
        </is>
      </c>
      <c r="H3983" t="inlineStr">
        <is>
          <t>26/02/2026</t>
        </is>
      </c>
      <c r="I3983" t="inlineStr">
        <is>
          <t>28/03/2026</t>
        </is>
      </c>
      <c r="J3983" t="inlineStr">
        <is>
          <t>17/03/2026</t>
        </is>
      </c>
      <c r="K3983" t="inlineStr">
        <is>
          <t>N/A</t>
        </is>
      </c>
      <c r="L3983" t="inlineStr">
        <is>
          <t>Kế Toán, Tài Chính, Misa, Báo Cáo Tài Chính, Theo Dõi Công Nợ</t>
        </is>
      </c>
      <c r="M3983" t="inlineStr">
        <is>
          <t>Bonus, Healthcare Plan, Laptop, Team Activities, Others</t>
        </is>
      </c>
      <c r="N3983" s="8">
        <f>HYPERLINK("https://www.vietnamworks.com/ke-toan-tong-hop-kiem-thue-2014659-jv","Xem chi tiết")</f>
        <v/>
      </c>
    </row>
    <row r="3984">
      <c r="B3984" s="9" t="n">
        <v>3982</v>
      </c>
      <c r="C3984" s="10" t="inlineStr">
        <is>
          <t>Trợ Lý CEO (Technical Focus)</t>
        </is>
      </c>
      <c r="D3984" s="10" t="inlineStr">
        <is>
          <t>Công Ty Cổ Phần Giải Pháp Chuỗi Cung Ứng Smartlog</t>
        </is>
      </c>
      <c r="E3984" s="10" t="inlineStr">
        <is>
          <t>Thương lượng</t>
        </is>
      </c>
      <c r="F3984" s="10" t="inlineStr">
        <is>
          <t>Hồ Chí Minh</t>
        </is>
      </c>
      <c r="G3984" s="10" t="inlineStr">
        <is>
          <t>Nhân viên</t>
        </is>
      </c>
      <c r="H3984" s="10" t="inlineStr">
        <is>
          <t>26/02/2026</t>
        </is>
      </c>
      <c r="I3984" s="10" t="inlineStr">
        <is>
          <t>28/03/2026</t>
        </is>
      </c>
      <c r="J3984" s="10" t="inlineStr">
        <is>
          <t>17/03/2026</t>
        </is>
      </c>
      <c r="K3984" s="10" t="inlineStr">
        <is>
          <t>N/A</t>
        </is>
      </c>
      <c r="L3984" s="10" t="inlineStr">
        <is>
          <t>Assistant CEO, Báo Cáo Phân Tích Thị Trường, Nghiên Cứu Giải Pháp, Phân Tích Dữ Liệu, Đổi Mới Sáng Tạo</t>
        </is>
      </c>
      <c r="M3984" s="10" t="inlineStr">
        <is>
          <t>Healthcare Plan, Paid Leave, Training, Others</t>
        </is>
      </c>
      <c r="N3984" s="11">
        <f>HYPERLINK("https://www.vietnamworks.com/tro-ly-ceo-technical-focus-2014666-jv","Xem chi tiết")</f>
        <v/>
      </c>
      <c r="O3984" s="10" t="n"/>
    </row>
    <row r="3985">
      <c r="B3985" s="7" t="n">
        <v>3983</v>
      </c>
      <c r="C3985" t="inlineStr">
        <is>
          <t>Training and Development Manager (Working in Haiphong)</t>
        </is>
      </c>
      <c r="D3985" t="inlineStr">
        <is>
          <t>VINFAST TRADING AND PRODUCTION JSC</t>
        </is>
      </c>
      <c r="E3985" t="inlineStr">
        <is>
          <t>Thương lượng</t>
        </is>
      </c>
      <c r="F3985" t="inlineStr">
        <is>
          <t>Hải Phòng, Hà Nội</t>
        </is>
      </c>
      <c r="G3985" t="inlineStr">
        <is>
          <t>Trưởng phòng</t>
        </is>
      </c>
      <c r="H3985" t="inlineStr">
        <is>
          <t>26/02/2026</t>
        </is>
      </c>
      <c r="I3985" t="inlineStr">
        <is>
          <t>28/03/2026</t>
        </is>
      </c>
      <c r="J3985" t="inlineStr">
        <is>
          <t>17/03/2026</t>
        </is>
      </c>
      <c r="K3985" t="inlineStr">
        <is>
          <t>N/A</t>
        </is>
      </c>
      <c r="L3985" t="inlineStr">
        <is>
          <t>Nhân sự - HR, HRBP Management, Talent Search, Training &amp; Delevoping HR, Training &amp; coaching</t>
        </is>
      </c>
      <c r="M3985" t="inlineStr">
        <is>
          <t>Bonus, Healthcare Plan, Others</t>
        </is>
      </c>
      <c r="N3985" s="8">
        <f>HYPERLINK("https://www.vietnamworks.com/training-and-development-manager-working-in-haiphong-2014675-jv","Xem chi tiết")</f>
        <v/>
      </c>
    </row>
    <row r="3986">
      <c r="B3986" s="9" t="n">
        <v>3984</v>
      </c>
      <c r="C3986" s="10" t="inlineStr">
        <is>
          <t>IT Technician</t>
        </is>
      </c>
      <c r="D3986" s="10" t="inlineStr">
        <is>
          <t>CÔNG TY TNHH DAIICHI SANKYO VIỆT NAM</t>
        </is>
      </c>
      <c r="E3986" s="10" t="inlineStr">
        <is>
          <t>Thương lượng</t>
        </is>
      </c>
      <c r="F3986" s="10" t="inlineStr">
        <is>
          <t>Hồ Chí Minh</t>
        </is>
      </c>
      <c r="G3986" s="10" t="inlineStr">
        <is>
          <t>Nhân viên</t>
        </is>
      </c>
      <c r="H3986" s="10" t="inlineStr">
        <is>
          <t>26/02/2026</t>
        </is>
      </c>
      <c r="I3986" s="10" t="inlineStr">
        <is>
          <t>28/03/2026</t>
        </is>
      </c>
      <c r="J3986" s="10" t="inlineStr">
        <is>
          <t>17/03/2026</t>
        </is>
      </c>
      <c r="K3986" s="10" t="inlineStr">
        <is>
          <t>N/A</t>
        </is>
      </c>
      <c r="L3986" s="10" t="inlineStr">
        <is>
          <t>End-User Support, English, IT Helpdesk, IT Technical Support, Troubleshooting Skills</t>
        </is>
      </c>
      <c r="M3986" s="10" t="inlineStr">
        <is>
          <t>Bonus, Healthcare Plan</t>
        </is>
      </c>
      <c r="N3986" s="11">
        <f>HYPERLINK("https://www.vietnamworks.com/it-technician-2014670-jv","Xem chi tiết")</f>
        <v/>
      </c>
      <c r="O3986" s="10" t="n"/>
    </row>
    <row r="3987">
      <c r="B3987" s="7" t="n">
        <v>3985</v>
      </c>
      <c r="C3987" t="inlineStr">
        <is>
          <t>Kế Toán Tổng Hợp</t>
        </is>
      </c>
      <c r="D3987" t="inlineStr">
        <is>
          <t>CÔNG TY TNHH PHÁT TRIỂN VÀ ĐẦU TƯ VIỆT AN</t>
        </is>
      </c>
      <c r="E3987" t="inlineStr">
        <is>
          <t>15tr-25tr ₫/tháng</t>
        </is>
      </c>
      <c r="F3987" t="inlineStr">
        <is>
          <t>Hà Nội</t>
        </is>
      </c>
      <c r="G3987" t="inlineStr">
        <is>
          <t>Nhân viên</t>
        </is>
      </c>
      <c r="H3987" t="inlineStr">
        <is>
          <t>26/02/2026</t>
        </is>
      </c>
      <c r="I3987" t="inlineStr">
        <is>
          <t>28/03/2026</t>
        </is>
      </c>
      <c r="J3987" t="inlineStr">
        <is>
          <t>17/03/2026</t>
        </is>
      </c>
      <c r="K3987" t="inlineStr">
        <is>
          <t>N/A</t>
        </is>
      </c>
      <c r="L3987" t="inlineStr">
        <is>
          <t>Quyết Toán Thuế, Phân Tích Báo Cáo, Hạch Toán, Theo Dõi Thu Chi Nội Bộ, Báo Cáo Tài Chính</t>
        </is>
      </c>
      <c r="M3987" t="inlineStr">
        <is>
          <t>Bonus, Healthcare Plan</t>
        </is>
      </c>
      <c r="N3987" s="8">
        <f>HYPERLINK("https://www.vietnamworks.com/ke-toan-tong-hop--2014671-jv","Xem chi tiết")</f>
        <v/>
      </c>
    </row>
    <row r="3988">
      <c r="B3988" s="9" t="n">
        <v>3986</v>
      </c>
      <c r="C3988" s="10" t="inlineStr">
        <is>
          <t>Kế Toán Trưởng</t>
        </is>
      </c>
      <c r="D3988" s="10" t="inlineStr">
        <is>
          <t>Công Ty Cổ Phần Le Delta</t>
        </is>
      </c>
      <c r="E3988" s="10" t="inlineStr">
        <is>
          <t>$$ 1,800-2,500 /tháng</t>
        </is>
      </c>
      <c r="F3988" s="10" t="inlineStr">
        <is>
          <t>Hà Nội</t>
        </is>
      </c>
      <c r="G3988" s="10" t="inlineStr">
        <is>
          <t>Trưởng phòng</t>
        </is>
      </c>
      <c r="H3988" s="10" t="inlineStr">
        <is>
          <t>26/02/2026</t>
        </is>
      </c>
      <c r="I3988" s="10" t="inlineStr">
        <is>
          <t>28/03/2026</t>
        </is>
      </c>
      <c r="J3988" s="10" t="inlineStr">
        <is>
          <t>17/03/2026</t>
        </is>
      </c>
      <c r="K3988" s="10" t="inlineStr">
        <is>
          <t>N/A</t>
        </is>
      </c>
      <c r="L3988" s="10" t="inlineStr">
        <is>
          <t>Quản Lý Kế Toán, Xây Dựng Mối Quan Hệ, Báo Cáo Tài Chính, Lập Quyết Toán, Tài Chính Kế Toán</t>
        </is>
      </c>
      <c r="M3988" s="10" t="inlineStr">
        <is>
          <t>Bonus, Healthcare Plan, Paid Leave</t>
        </is>
      </c>
      <c r="N3988" s="11">
        <f>HYPERLINK("https://www.vietnamworks.com/ke-toan-truong-2014669-jv","Xem chi tiết")</f>
        <v/>
      </c>
      <c r="O3988" s="10" t="n"/>
    </row>
    <row r="3989">
      <c r="B3989" s="7" t="n">
        <v>3987</v>
      </c>
      <c r="C3989" t="inlineStr">
        <is>
          <t>Sales Executive</t>
        </is>
      </c>
      <c r="D3989" t="inlineStr">
        <is>
          <t>Công Ty Cổ Phần Công Nghệ Tiên Phát - Tpcoms</t>
        </is>
      </c>
      <c r="E3989" t="inlineStr">
        <is>
          <t>Thương lượng</t>
        </is>
      </c>
      <c r="F3989" t="inlineStr">
        <is>
          <t>Hồ Chí Minh</t>
        </is>
      </c>
      <c r="G3989" t="inlineStr">
        <is>
          <t>Nhân viên</t>
        </is>
      </c>
      <c r="H3989" t="inlineStr">
        <is>
          <t>26/02/2026</t>
        </is>
      </c>
      <c r="I3989" t="inlineStr">
        <is>
          <t>28/03/2026</t>
        </is>
      </c>
      <c r="J3989" t="inlineStr">
        <is>
          <t>17/03/2026</t>
        </is>
      </c>
      <c r="K3989" t="inlineStr">
        <is>
          <t>N/A</t>
        </is>
      </c>
      <c r="L3989" t="inlineStr">
        <is>
          <t>Kinh Doanh B2B, Xây Dựng Mối Quan Hệ, Chăm Sóc Khách Hàng, Tìm Kiếm Khách Hàng, Quản Lý Dữ Liệu</t>
        </is>
      </c>
      <c r="M3989" t="inlineStr">
        <is>
          <t>Bonus, Training, Others</t>
        </is>
      </c>
      <c r="N3989" s="8">
        <f>HYPERLINK("https://www.vietnamworks.com/sales-executive--2014682-jv","Xem chi tiết")</f>
        <v/>
      </c>
    </row>
    <row r="3990">
      <c r="B3990" s="9" t="n">
        <v>3988</v>
      </c>
      <c r="C3990" s="10" t="inlineStr">
        <is>
          <t>Fertilizer Sales (At Least 2 Years of Experience in Fertilizer Field)</t>
        </is>
      </c>
      <c r="D3990" s="10" t="inlineStr">
        <is>
          <t>Samsung C&amp;T Corporation</t>
        </is>
      </c>
      <c r="E3990" s="10" t="inlineStr">
        <is>
          <t>Từ 27tr ₫/tháng</t>
        </is>
      </c>
      <c r="F3990" s="10" t="inlineStr">
        <is>
          <t>Hồ Chí Minh</t>
        </is>
      </c>
      <c r="G3990" s="10" t="inlineStr">
        <is>
          <t>Nhân viên</t>
        </is>
      </c>
      <c r="H3990" s="10" t="inlineStr">
        <is>
          <t>26/02/2026</t>
        </is>
      </c>
      <c r="I3990" s="10" t="inlineStr">
        <is>
          <t>28/03/2026</t>
        </is>
      </c>
      <c r="J3990" s="10" t="inlineStr">
        <is>
          <t>17/03/2026</t>
        </is>
      </c>
      <c r="K3990" s="10" t="inlineStr">
        <is>
          <t>N/A</t>
        </is>
      </c>
      <c r="L3990" s="10" t="inlineStr">
        <is>
          <t>Sales, English, Fertilizer, Sales Executive, Bussiness Development</t>
        </is>
      </c>
      <c r="M3990" s="10" t="inlineStr">
        <is>
          <t>Healthcare Plan, Training</t>
        </is>
      </c>
      <c r="N3990" s="11">
        <f>HYPERLINK("https://www.vietnamworks.com/fertilizer-sales-at-least-2-years-of-experience-in-fertilizer-field-2014672-jv","Xem chi tiết")</f>
        <v/>
      </c>
      <c r="O3990" s="10" t="n"/>
    </row>
    <row r="3991">
      <c r="B3991" s="7" t="n">
        <v>3989</v>
      </c>
      <c r="C3991" t="inlineStr">
        <is>
          <t>Merchandiser</t>
        </is>
      </c>
      <c r="D3991" t="inlineStr">
        <is>
          <t>CÔNG TY TNHH ERALDA VIỆT NAM</t>
        </is>
      </c>
      <c r="E3991" t="inlineStr">
        <is>
          <t>Thương lượng</t>
        </is>
      </c>
      <c r="F3991" t="inlineStr">
        <is>
          <t>Hồ Chí Minh</t>
        </is>
      </c>
      <c r="G3991" t="inlineStr">
        <is>
          <t>Nhân viên</t>
        </is>
      </c>
      <c r="H3991" t="inlineStr">
        <is>
          <t>26/02/2026</t>
        </is>
      </c>
      <c r="I3991" t="inlineStr">
        <is>
          <t>28/03/2026</t>
        </is>
      </c>
      <c r="J3991" t="inlineStr">
        <is>
          <t>17/03/2026</t>
        </is>
      </c>
      <c r="K3991" t="inlineStr">
        <is>
          <t>N/A</t>
        </is>
      </c>
      <c r="L3991" t="inlineStr">
        <is>
          <t>SLA, Quản Lý Đơn Hàng, Quản Lý Đơn Hàng May Mặc, Merchandising, Merchandise Development</t>
        </is>
      </c>
      <c r="M3991" t="inlineStr">
        <is>
          <t>Bonus, Healthcare Plan, Paid Leave</t>
        </is>
      </c>
      <c r="N3991" s="8">
        <f>HYPERLINK("https://www.vietnamworks.com/merchandiser--2014689-jv","Xem chi tiết")</f>
        <v/>
      </c>
    </row>
    <row r="3992">
      <c r="B3992" s="9" t="n">
        <v>3990</v>
      </c>
      <c r="C3992" s="10" t="inlineStr">
        <is>
          <t>Fire &amp; Plumbing Engineer</t>
        </is>
      </c>
      <c r="D3992" s="10" t="inlineStr">
        <is>
          <t>CÔNG TY TNHH PLUS DESIGN ASIA</t>
        </is>
      </c>
      <c r="E3992" s="10" t="inlineStr">
        <is>
          <t>Thương lượng</t>
        </is>
      </c>
      <c r="F3992" s="10" t="inlineStr">
        <is>
          <t>Hồ Chí Minh</t>
        </is>
      </c>
      <c r="G3992" s="10" t="inlineStr">
        <is>
          <t>Nhân viên</t>
        </is>
      </c>
      <c r="H3992" s="10" t="inlineStr">
        <is>
          <t>26/02/2026</t>
        </is>
      </c>
      <c r="I3992" s="10" t="inlineStr">
        <is>
          <t>28/03/2026</t>
        </is>
      </c>
      <c r="J3992" s="10" t="inlineStr">
        <is>
          <t>17/03/2026</t>
        </is>
      </c>
      <c r="K3992" s="10" t="inlineStr">
        <is>
          <t>N/A</t>
        </is>
      </c>
      <c r="L3992" s="10" t="inlineStr">
        <is>
          <t>AutoCAD, Construction Method, English, Fire protection engineering, Plumbing</t>
        </is>
      </c>
      <c r="M3992" s="10" t="inlineStr">
        <is>
          <t>Bonus, Training, Others</t>
        </is>
      </c>
      <c r="N3992" s="11">
        <f>HYPERLINK("https://www.vietnamworks.com/fire-and-plumbing-engineer-2014673-jv","Xem chi tiết")</f>
        <v/>
      </c>
      <c r="O3992" s="10" t="n"/>
    </row>
    <row r="3993">
      <c r="B3993" s="7" t="n">
        <v>3991</v>
      </c>
      <c r="C3993" t="inlineStr">
        <is>
          <t>Chuyên Viên Bán Hàng Quốc Tế/nhân Viên Đối Ngoại [Thu Nhập Trung Bình: Từ 20-50Tr/tháng Có Thể Cao Hơn (Lương + Thưởng)</t>
        </is>
      </c>
      <c r="D3993" t="inlineStr">
        <is>
          <t>Công ty cổ phần Hợp lực Toàn cầu</t>
        </is>
      </c>
      <c r="E3993" t="inlineStr">
        <is>
          <t>8tr-10tr ₫/tháng</t>
        </is>
      </c>
      <c r="F3993" t="inlineStr">
        <is>
          <t>Hà Nội</t>
        </is>
      </c>
      <c r="G3993" t="inlineStr">
        <is>
          <t>Nhân viên</t>
        </is>
      </c>
      <c r="H3993" t="inlineStr">
        <is>
          <t>26/02/2026</t>
        </is>
      </c>
      <c r="I3993" t="inlineStr">
        <is>
          <t>28/03/2026</t>
        </is>
      </c>
      <c r="J3993" t="inlineStr">
        <is>
          <t>17/03/2026</t>
        </is>
      </c>
      <c r="K3993" t="inlineStr">
        <is>
          <t>N/A</t>
        </is>
      </c>
      <c r="L3993" t="inlineStr">
        <is>
          <t>Sales, Telesales, Online Sales, Marketing Development, Communication</t>
        </is>
      </c>
      <c r="M3993" t="inlineStr">
        <is>
          <t>Bonus, Healthcare Plan, Paid Leave, Training, Travel Opportunities, Others</t>
        </is>
      </c>
      <c r="N3993" s="8">
        <f>HYPERLINK("https://www.vietnamworks.com/chuyen-vien-ban-hang-quoc-te-nhan-vien-doi-ngoai-thu-nhap-trung-binh-tu-20-50tr-thang-co-the-cao-hon-luong-thuong-2014688-jv","Xem chi tiết")</f>
        <v/>
      </c>
    </row>
    <row r="3994">
      <c r="B3994" s="9" t="n">
        <v>3992</v>
      </c>
      <c r="C3994" s="10" t="inlineStr">
        <is>
          <t>Empire State Development Representative (ASEAN)</t>
        </is>
      </c>
      <c r="D3994" s="10" t="inlineStr">
        <is>
          <t>Source Of Asia</t>
        </is>
      </c>
      <c r="E3994" s="10" t="inlineStr">
        <is>
          <t>Thương lượng</t>
        </is>
      </c>
      <c r="F3994" s="10" t="inlineStr">
        <is>
          <t>Hồ Chí Minh</t>
        </is>
      </c>
      <c r="G3994" s="10" t="inlineStr">
        <is>
          <t>Trưởng phòng</t>
        </is>
      </c>
      <c r="H3994" s="10" t="inlineStr">
        <is>
          <t>26/02/2026</t>
        </is>
      </c>
      <c r="I3994" s="10" t="inlineStr">
        <is>
          <t>28/03/2026</t>
        </is>
      </c>
      <c r="J3994" s="10" t="inlineStr">
        <is>
          <t>17/03/2026</t>
        </is>
      </c>
      <c r="K3994" s="10" t="inlineStr">
        <is>
          <t>N/A</t>
        </is>
      </c>
      <c r="L3994" s="10" t="inlineStr">
        <is>
          <t>Consulting, Global Trading, International Business, Fdi</t>
        </is>
      </c>
      <c r="M3994" s="10" t="inlineStr">
        <is>
          <t>Bonus, Others</t>
        </is>
      </c>
      <c r="N3994" s="11">
        <f>HYPERLINK("https://www.vietnamworks.com/empire-state-development-representative-asean-2014674-jv","Xem chi tiết")</f>
        <v/>
      </c>
      <c r="O3994" s="10" t="n"/>
    </row>
    <row r="3995">
      <c r="B3995" s="7" t="n">
        <v>3993</v>
      </c>
      <c r="C3995" t="inlineStr">
        <is>
          <t>[HN] Giám Sát Bán Hàng Online / Key Account Supervisor (E-Commerce - FMCG)</t>
        </is>
      </c>
      <c r="D3995" t="inlineStr">
        <is>
          <t>Diana Unicharm JSC</t>
        </is>
      </c>
      <c r="E3995" t="inlineStr">
        <is>
          <t>$$ 800-1,100 /tháng</t>
        </is>
      </c>
      <c r="F3995" t="inlineStr">
        <is>
          <t>Hà Nội</t>
        </is>
      </c>
      <c r="G3995" t="inlineStr">
        <is>
          <t>Nhân viên</t>
        </is>
      </c>
      <c r="H3995" t="inlineStr">
        <is>
          <t>26/02/2026</t>
        </is>
      </c>
      <c r="I3995" t="inlineStr">
        <is>
          <t>28/03/2026</t>
        </is>
      </c>
      <c r="J3995" t="inlineStr">
        <is>
          <t>17/03/2026</t>
        </is>
      </c>
      <c r="K3995" t="inlineStr">
        <is>
          <t>N/A</t>
        </is>
      </c>
      <c r="L3995" t="inlineStr">
        <is>
          <t>Thương Mại Điện Tử, Ecommerce Operations, FMCG, Sales Planning, Sales Online</t>
        </is>
      </c>
      <c r="M3995" t="inlineStr">
        <is>
          <t>Bonus, Healthcare Plan, Paid Leave</t>
        </is>
      </c>
      <c r="N3995" s="8">
        <f>HYPERLINK("https://www.vietnamworks.com/hn-giam-sat-ban-hang-online-key-account-supervisor-e-commerce-fmcg--2014685-jv","Xem chi tiết")</f>
        <v/>
      </c>
    </row>
    <row r="3996">
      <c r="B3996" s="9" t="n">
        <v>3994</v>
      </c>
      <c r="C3996" s="10" t="inlineStr">
        <is>
          <t>Technical Staff</t>
        </is>
      </c>
      <c r="D3996" s="10" t="inlineStr">
        <is>
          <t>Công ty TNHH Novel Dyeing &amp; Printing VN</t>
        </is>
      </c>
      <c r="E3996" s="10" t="inlineStr">
        <is>
          <t>Thương lượng</t>
        </is>
      </c>
      <c r="F3996" s="10" t="inlineStr">
        <is>
          <t>Nam Định</t>
        </is>
      </c>
      <c r="G3996" s="10" t="inlineStr">
        <is>
          <t>Nhân viên</t>
        </is>
      </c>
      <c r="H3996" s="10" t="inlineStr">
        <is>
          <t>26/02/2026</t>
        </is>
      </c>
      <c r="I3996" s="10" t="inlineStr">
        <is>
          <t>28/03/2026</t>
        </is>
      </c>
      <c r="J3996" s="10" t="inlineStr">
        <is>
          <t>17/03/2026</t>
        </is>
      </c>
      <c r="K3996" s="10" t="inlineStr">
        <is>
          <t>N/A</t>
        </is>
      </c>
      <c r="L3996" s="10" t="inlineStr">
        <is>
          <t>Bảo Trì Thiết Bị Tin Học, Hỗ Trợ Kỹ Thuật, ISO 14001, Kỹ Thuật Hóa Nhuộm, Vận Hành Thiết Bị</t>
        </is>
      </c>
      <c r="M3996" s="10" t="inlineStr">
        <is>
          <t>Paid Leave, Others</t>
        </is>
      </c>
      <c r="N3996" s="11">
        <f>HYPERLINK("https://www.vietnamworks.com/technical-staff-2014676-jv","Xem chi tiết")</f>
        <v/>
      </c>
      <c r="O3996" s="10" t="n"/>
    </row>
    <row r="3997">
      <c r="B3997" s="7" t="n">
        <v>3995</v>
      </c>
      <c r="C3997" t="inlineStr">
        <is>
          <t>Kế Toán Bán Hàng (Thu Nhập và Đãi Ngộ Hấp Dẫn)</t>
        </is>
      </c>
      <c r="D3997" t="inlineStr">
        <is>
          <t>CÔNG TY TNHH M&amp;H INNOVATION VIỆT NAM</t>
        </is>
      </c>
      <c r="E3997" t="inlineStr">
        <is>
          <t>12tr-12tr ₫/tháng</t>
        </is>
      </c>
      <c r="F3997" t="inlineStr">
        <is>
          <t>Hải Phòng</t>
        </is>
      </c>
      <c r="G3997" t="inlineStr">
        <is>
          <t>Nhân viên</t>
        </is>
      </c>
      <c r="H3997" t="inlineStr">
        <is>
          <t>26/02/2026</t>
        </is>
      </c>
      <c r="I3997" t="inlineStr">
        <is>
          <t>28/03/2026</t>
        </is>
      </c>
      <c r="J3997" t="inlineStr">
        <is>
          <t>17/03/2026</t>
        </is>
      </c>
      <c r="K3997" t="inlineStr">
        <is>
          <t>N/A</t>
        </is>
      </c>
      <c r="L3997" t="inlineStr">
        <is>
          <t>Payroll Management, Chính Sách Giá, Kế Toán, Quản Trị Kinh Doanh, Đề Xuất Chính Sách Bán Hàng</t>
        </is>
      </c>
      <c r="M3997" t="inlineStr">
        <is>
          <t>Bonus, Healthcare Plan, Team Activities, Others</t>
        </is>
      </c>
      <c r="N3997" s="8">
        <f>HYPERLINK("https://www.vietnamworks.com/ke-toan-ban-hang-thu-nhap-va-djai-ngo-hap-dan-2014693-jv","Xem chi tiết")</f>
        <v/>
      </c>
    </row>
    <row r="3998">
      <c r="B3998" s="9" t="n">
        <v>3996</v>
      </c>
      <c r="C3998" s="10" t="inlineStr">
        <is>
          <t>Chuyên Viên Quy Hoạch &amp; Phát Triển Dự Án</t>
        </is>
      </c>
      <c r="D3998" s="10" t="inlineStr">
        <is>
          <t>Tổng Công Ty Cổ Phần Thương Mại Xây Dựng (WTO)</t>
        </is>
      </c>
      <c r="E3998" s="10" t="inlineStr">
        <is>
          <t>Thương lượng</t>
        </is>
      </c>
      <c r="F3998" s="10" t="inlineStr">
        <is>
          <t>Hà Nội</t>
        </is>
      </c>
      <c r="G3998" s="10" t="inlineStr">
        <is>
          <t>Nhân viên</t>
        </is>
      </c>
      <c r="H3998" s="10" t="inlineStr">
        <is>
          <t>26/02/2026</t>
        </is>
      </c>
      <c r="I3998" s="10" t="inlineStr">
        <is>
          <t>28/03/2026</t>
        </is>
      </c>
      <c r="J3998" s="10" t="inlineStr">
        <is>
          <t>17/03/2026</t>
        </is>
      </c>
      <c r="K3998" s="10" t="inlineStr">
        <is>
          <t>N/A</t>
        </is>
      </c>
      <c r="L3998" s="10" t="inlineStr">
        <is>
          <t>Quy Hoạch Xây Dựng, Đấu Thầu, Phát Triển Dự Án, Quy Hoạch Dự Án, Kiến Trúc</t>
        </is>
      </c>
      <c r="M3998" s="10" t="inlineStr">
        <is>
          <t>Bonus, Healthcare Plan, Paid Leave</t>
        </is>
      </c>
      <c r="N3998" s="11">
        <f>HYPERLINK("https://www.vietnamworks.com/chuyen-vien-quy-hoach-phat-trien-du-an--2014691-jv","Xem chi tiết")</f>
        <v/>
      </c>
      <c r="O3998" s="10" t="n"/>
    </row>
    <row r="3999">
      <c r="B3999" s="7" t="n">
        <v>3997</v>
      </c>
      <c r="C3999" t="inlineStr">
        <is>
          <t>Chuyên Viên Phòng Kỹ Thuật Thiết Bị (FE) Upto 25 Triệu</t>
        </is>
      </c>
      <c r="D3999" t="inlineStr">
        <is>
          <t>Công ty TNHH Điện tử Meiko Hòa Bình</t>
        </is>
      </c>
      <c r="E3999" t="inlineStr">
        <is>
          <t>13tr-25tr ₫/tháng</t>
        </is>
      </c>
      <c r="F3999" t="inlineStr">
        <is>
          <t>Hòa Bình, Hà Nội</t>
        </is>
      </c>
      <c r="G3999" t="inlineStr">
        <is>
          <t>Nhân viên</t>
        </is>
      </c>
      <c r="H3999" t="inlineStr">
        <is>
          <t>26/02/2026</t>
        </is>
      </c>
      <c r="I3999" t="inlineStr">
        <is>
          <t>28/03/2026</t>
        </is>
      </c>
      <c r="J3999" t="inlineStr">
        <is>
          <t>17/03/2026</t>
        </is>
      </c>
      <c r="K3999" t="inlineStr">
        <is>
          <t>N/A</t>
        </is>
      </c>
      <c r="L3999" t="inlineStr">
        <is>
          <t>Kỹ Thuật, Thiết Kế Layout, Kiểm Soát Chất Lượng, Bảo Dưỡng Máy, Kỹ Thuật Thiết Bị</t>
        </is>
      </c>
      <c r="M3999" t="inlineStr">
        <is>
          <t>Bonus, Paid Leave, Training, Transportation, Canteen, Others</t>
        </is>
      </c>
      <c r="N3999" s="8">
        <f>HYPERLINK("https://www.vietnamworks.com/chuyen-vien-phong-ky-thuat-thiet-bi-fe-upto-25-trieu-2014683-jv","Xem chi tiết")</f>
        <v/>
      </c>
    </row>
    <row r="4000">
      <c r="B4000" s="9" t="n">
        <v>3998</v>
      </c>
      <c r="C4000" s="10" t="inlineStr">
        <is>
          <t>(Construction) Project Manager For Hotels</t>
        </is>
      </c>
      <c r="D4000" s="10" t="inlineStr">
        <is>
          <t>Tổng Công Ty Cổ Phần Thương Mại Xây Dựng (WTO)</t>
        </is>
      </c>
      <c r="E4000" s="10" t="inlineStr">
        <is>
          <t>Thương lượng</t>
        </is>
      </c>
      <c r="F4000" s="10" t="inlineStr">
        <is>
          <t>Hà Nội</t>
        </is>
      </c>
      <c r="G4000" s="10" t="inlineStr">
        <is>
          <t>Nhân viên</t>
        </is>
      </c>
      <c r="H4000" s="10" t="inlineStr">
        <is>
          <t>26/02/2026</t>
        </is>
      </c>
      <c r="I4000" s="10" t="inlineStr">
        <is>
          <t>28/03/2026</t>
        </is>
      </c>
      <c r="J4000" s="10" t="inlineStr">
        <is>
          <t>17/03/2026</t>
        </is>
      </c>
      <c r="K4000" s="10" t="inlineStr">
        <is>
          <t>N/A</t>
        </is>
      </c>
      <c r="L4000" s="10" t="inlineStr">
        <is>
          <t>Site Management, Strategic Planning, Construction Management, Construction Regulation, Contract Management</t>
        </is>
      </c>
      <c r="M4000" s="10" t="inlineStr">
        <is>
          <t>Bonus, Healthcare Plan, Paid Leave</t>
        </is>
      </c>
      <c r="N4000" s="11">
        <f>HYPERLINK("https://www.vietnamworks.com/construction-project-manager-for-hotels--2014684-jv","Xem chi tiết")</f>
        <v/>
      </c>
      <c r="O4000" s="10" t="n"/>
    </row>
    <row r="4001">
      <c r="B4001" s="7" t="n">
        <v>3999</v>
      </c>
      <c r="C4001" t="inlineStr">
        <is>
          <t>Card Product Manager</t>
        </is>
      </c>
      <c r="D4001" t="inlineStr">
        <is>
          <t>United Overseas Bank (Vietnam) Limited (UOB)</t>
        </is>
      </c>
      <c r="E4001" t="inlineStr">
        <is>
          <t>Thương lượng</t>
        </is>
      </c>
      <c r="F4001" t="inlineStr">
        <is>
          <t>Hồ Chí Minh</t>
        </is>
      </c>
      <c r="G4001" t="inlineStr">
        <is>
          <t>Nhân viên</t>
        </is>
      </c>
      <c r="H4001" t="inlineStr">
        <is>
          <t>26/02/2026</t>
        </is>
      </c>
      <c r="I4001" t="inlineStr">
        <is>
          <t>28/03/2026</t>
        </is>
      </c>
      <c r="J4001" t="inlineStr">
        <is>
          <t>17/03/2026</t>
        </is>
      </c>
      <c r="K4001" t="inlineStr">
        <is>
          <t>N/A</t>
        </is>
      </c>
      <c r="L4001" t="inlineStr">
        <is>
          <t>Communication, Credit Product Development, Data Analysis, Marketing Development, Strategic Thinking</t>
        </is>
      </c>
      <c r="M4001" t="inlineStr">
        <is>
          <t>Bonus, Healthcare Plan, Paid Leave, Others</t>
        </is>
      </c>
      <c r="N4001" s="8">
        <f>HYPERLINK("https://www.vietnamworks.com/card-product-manager-2014694-jv","Xem chi tiết")</f>
        <v/>
      </c>
    </row>
    <row r="4002">
      <c r="B4002" s="9" t="n">
        <v>4000</v>
      </c>
      <c r="C4002" s="10" t="inlineStr">
        <is>
          <t>Director Of Marketing (Shopping Mall)</t>
        </is>
      </c>
      <c r="D4002" s="10" t="inlineStr">
        <is>
          <t>Tổng Công Ty Cổ Phần Thương Mại Xây Dựng (WTO)</t>
        </is>
      </c>
      <c r="E4002" s="10" t="inlineStr">
        <is>
          <t>Thương lượng</t>
        </is>
      </c>
      <c r="F4002" s="10" t="inlineStr">
        <is>
          <t>Hà Nội</t>
        </is>
      </c>
      <c r="G4002" s="10" t="inlineStr">
        <is>
          <t>Giám Đốc và Cấp Cao Hơn</t>
        </is>
      </c>
      <c r="H4002" s="10" t="inlineStr">
        <is>
          <t>26/02/2026</t>
        </is>
      </c>
      <c r="I4002" s="10" t="inlineStr">
        <is>
          <t>28/03/2026</t>
        </is>
      </c>
      <c r="J4002" s="10" t="inlineStr">
        <is>
          <t>17/03/2026</t>
        </is>
      </c>
      <c r="K4002" s="10" t="inlineStr">
        <is>
          <t>N/A</t>
        </is>
      </c>
      <c r="L4002" s="10" t="inlineStr">
        <is>
          <t>Marketing Strategy, Brand Management, Marketing Planning, Budget Allocation, Market Research</t>
        </is>
      </c>
      <c r="M4002" s="10" t="inlineStr">
        <is>
          <t>Bonus, Healthcare Plan, Paid Leave</t>
        </is>
      </c>
      <c r="N4002" s="11">
        <f>HYPERLINK("https://www.vietnamworks.com/director-of-marketing-shopping-mall--2014679-jv","Xem chi tiết")</f>
        <v/>
      </c>
      <c r="O4002" s="10" t="n"/>
    </row>
    <row r="4003">
      <c r="B4003" s="7" t="n">
        <v>4001</v>
      </c>
      <c r="C4003" t="inlineStr">
        <is>
          <t>Kỹ Sư Hạ Tầng Kỹ Thuật Cảng Hàng Không Upto 35 Triệu</t>
        </is>
      </c>
      <c r="D4003" t="inlineStr">
        <is>
          <t>Công Ty TNHH Khoáng Sản Vina Global</t>
        </is>
      </c>
      <c r="E4003" t="inlineStr">
        <is>
          <t>15tr-25tr ₫/tháng</t>
        </is>
      </c>
      <c r="F4003" t="inlineStr">
        <is>
          <t>Hà Nội</t>
        </is>
      </c>
      <c r="G4003" t="inlineStr">
        <is>
          <t>Nhân viên</t>
        </is>
      </c>
      <c r="H4003" t="inlineStr">
        <is>
          <t>26/02/2026</t>
        </is>
      </c>
      <c r="I4003" t="inlineStr">
        <is>
          <t>28/03/2026</t>
        </is>
      </c>
      <c r="J4003" t="inlineStr">
        <is>
          <t>17/03/2026</t>
        </is>
      </c>
      <c r="K4003" t="inlineStr">
        <is>
          <t>N/A</t>
        </is>
      </c>
      <c r="L4003" t="inlineStr">
        <is>
          <t>Quản Lý Kỹ Thuật, Đọc Hiểu Bản Vẽ, Auto CAD, Hạ Tầng Kỹ Thuật, Hàng Không</t>
        </is>
      </c>
      <c r="M4003" t="inlineStr">
        <is>
          <t>Bonus, Transportation, Others</t>
        </is>
      </c>
      <c r="N4003" s="8">
        <f>HYPERLINK("https://www.vietnamworks.com/ky-su-ha-tang-ky-thuat-cang-hang-khong-upto-35-trieu-2014692-jv","Xem chi tiết")</f>
        <v/>
      </c>
    </row>
    <row r="4004">
      <c r="B4004" s="9" t="n">
        <v>4002</v>
      </c>
      <c r="C4004" s="10" t="inlineStr">
        <is>
          <t>Chỉ Huy Trưởng Công Trình</t>
        </is>
      </c>
      <c r="D4004" s="10" t="inlineStr">
        <is>
          <t>Tổng Công Ty Cổ Phần Thương Mại Xây Dựng (WTO)</t>
        </is>
      </c>
      <c r="E4004" s="10" t="inlineStr">
        <is>
          <t>Thương lượng</t>
        </is>
      </c>
      <c r="F4004" s="10" t="inlineStr">
        <is>
          <t>Hà Nội</t>
        </is>
      </c>
      <c r="G4004" s="10" t="inlineStr">
        <is>
          <t>Nhân viên</t>
        </is>
      </c>
      <c r="H4004" s="10" t="inlineStr">
        <is>
          <t>26/02/2026</t>
        </is>
      </c>
      <c r="I4004" s="10" t="inlineStr">
        <is>
          <t>28/03/2026</t>
        </is>
      </c>
      <c r="J4004" s="10" t="inlineStr">
        <is>
          <t>17/03/2026</t>
        </is>
      </c>
      <c r="K4004" s="10" t="inlineStr">
        <is>
          <t>N/A</t>
        </is>
      </c>
      <c r="L4004" s="10" t="inlineStr">
        <is>
          <t>Xây Dựng, Quản Lý Dự Án, Giám Sát Thi Công, Chỉ Huy Công Trình, AutoCAD</t>
        </is>
      </c>
      <c r="M4004" s="10" t="inlineStr">
        <is>
          <t>Bonus, Healthcare Plan, Paid Leave</t>
        </is>
      </c>
      <c r="N4004" s="11">
        <f>HYPERLINK("https://www.vietnamworks.com/chi-huy-truong-cong-trinh--2014687-jv","Xem chi tiết")</f>
        <v/>
      </c>
      <c r="O4004" s="10" t="n"/>
    </row>
    <row r="4005">
      <c r="B4005" s="7" t="n">
        <v>4003</v>
      </c>
      <c r="C4005" t="inlineStr">
        <is>
          <t>Nhân Viên Kế Toán (Làm Việc Tại Phú Thượng, Tây Hồ)</t>
        </is>
      </c>
      <c r="D4005" t="inlineStr">
        <is>
          <t>Công ty TNHH Chuyển Giao Công Nghệ và Dịch Vụ Y Tế</t>
        </is>
      </c>
      <c r="E4005" t="inlineStr">
        <is>
          <t>10tr-15tr ₫/tháng</t>
        </is>
      </c>
      <c r="F4005" t="inlineStr">
        <is>
          <t>Hà Nội</t>
        </is>
      </c>
      <c r="G4005" t="inlineStr">
        <is>
          <t>Nhân viên</t>
        </is>
      </c>
      <c r="H4005" t="inlineStr">
        <is>
          <t>26/02/2026</t>
        </is>
      </c>
      <c r="I4005" t="inlineStr">
        <is>
          <t>28/03/2026</t>
        </is>
      </c>
      <c r="J4005" t="inlineStr">
        <is>
          <t>17/03/2026</t>
        </is>
      </c>
      <c r="K4005" t="inlineStr">
        <is>
          <t>N/A</t>
        </is>
      </c>
      <c r="L4005" t="inlineStr">
        <is>
          <t>Excel, Hạch Toán, Kế Toán, Phần mềm kế toán, xuất hóa đơn</t>
        </is>
      </c>
      <c r="M4005" t="inlineStr">
        <is>
          <t>Healthcare Plan, Paid Leave, Travel Opportunities, Others</t>
        </is>
      </c>
      <c r="N4005" s="8">
        <f>HYPERLINK("https://www.vietnamworks.com/nhan-vien-ke-toan-lam-viec-tai-phu-thuong-tay-ho-2014722-jv","Xem chi tiết")</f>
        <v/>
      </c>
    </row>
    <row r="4006">
      <c r="B4006" s="9" t="n">
        <v>4004</v>
      </c>
      <c r="C4006" s="10" t="inlineStr">
        <is>
          <t>Giảng Viên Ngành Tài Chính - Ngân Hàng</t>
        </is>
      </c>
      <c r="D4006" s="10" t="inlineStr">
        <is>
          <t>Trường Đại Học Kinh Tế - Tài Chính TPHCM</t>
        </is>
      </c>
      <c r="E4006" s="10" t="inlineStr">
        <is>
          <t>Thương lượng</t>
        </is>
      </c>
      <c r="F4006" s="10" t="inlineStr">
        <is>
          <t>Hồ Chí Minh</t>
        </is>
      </c>
      <c r="G4006" s="10" t="inlineStr">
        <is>
          <t>Nhân viên</t>
        </is>
      </c>
      <c r="H4006" s="10" t="inlineStr">
        <is>
          <t>26/02/2026</t>
        </is>
      </c>
      <c r="I4006" s="10" t="inlineStr">
        <is>
          <t>28/03/2026</t>
        </is>
      </c>
      <c r="J4006" s="10" t="inlineStr">
        <is>
          <t>17/03/2026</t>
        </is>
      </c>
      <c r="K4006" s="10" t="inlineStr">
        <is>
          <t>N/A</t>
        </is>
      </c>
      <c r="L4006" s="10" t="inlineStr">
        <is>
          <t>Tài Chính Ngân Hàng, Giáo Dục Đào Tạo, Giảng Dạy, Nghiệp Vụ Tài Chính, Quản Trị Ngân Hàng</t>
        </is>
      </c>
      <c r="M4006" s="10" t="inlineStr">
        <is>
          <t>Others</t>
        </is>
      </c>
      <c r="N4006" s="11">
        <f>HYPERLINK("https://www.vietnamworks.com/giang-vien-nganh-tai-chinh-ngan-hang--2014727-jv","Xem chi tiết")</f>
        <v/>
      </c>
      <c r="O4006" s="10" t="n"/>
    </row>
    <row r="4007">
      <c r="B4007" s="7" t="n">
        <v>4005</v>
      </c>
      <c r="C4007" t="inlineStr">
        <is>
          <t>Kỹ Sư Thiết Kế Kết Cấu Thép</t>
        </is>
      </c>
      <c r="D4007" t="inlineStr">
        <is>
          <t>Công Ty Cổ Phần Kết Cấu Thép Remark</t>
        </is>
      </c>
      <c r="E4007" t="inlineStr">
        <is>
          <t>Thương lượng</t>
        </is>
      </c>
      <c r="F4007" t="inlineStr">
        <is>
          <t>Hồ Chí Minh</t>
        </is>
      </c>
      <c r="G4007" t="inlineStr">
        <is>
          <t>Nhân viên</t>
        </is>
      </c>
      <c r="H4007" t="inlineStr">
        <is>
          <t>26/02/2026</t>
        </is>
      </c>
      <c r="I4007" t="inlineStr">
        <is>
          <t>28/03/2026</t>
        </is>
      </c>
      <c r="J4007" t="inlineStr">
        <is>
          <t>17/03/2026</t>
        </is>
      </c>
      <c r="K4007" t="inlineStr">
        <is>
          <t>N/A</t>
        </is>
      </c>
      <c r="L4007" t="inlineStr">
        <is>
          <t>Kết Cấu Công Trình, Bóc Tách Khối Lượng, Steel Structure, Civil Construction, Thiết Kế Kết Cấu Thép</t>
        </is>
      </c>
      <c r="M4007" t="inlineStr">
        <is>
          <t>Bonus, Healthcare Plan, Training, Travel Opportunities, Team Activities, Others</t>
        </is>
      </c>
      <c r="N4007" s="8">
        <f>HYPERLINK("https://www.vietnamworks.com/ky-su-thiet-ke-ket-cau-thep-2014700-jv","Xem chi tiết")</f>
        <v/>
      </c>
    </row>
    <row r="4008">
      <c r="B4008" s="9" t="n">
        <v>4006</v>
      </c>
      <c r="C4008" s="10" t="inlineStr">
        <is>
          <t>Area Sales Manager (Quản Lý Kinh Doanh Khu Vực Miền Bắc/ Miền Nam)</t>
        </is>
      </c>
      <c r="D4008" s="10" t="inlineStr">
        <is>
          <t>Công Ty TNHH MTV Dat Bike Vietnam</t>
        </is>
      </c>
      <c r="E4008" s="10" t="inlineStr">
        <is>
          <t>Thương lượng</t>
        </is>
      </c>
      <c r="F4008" s="10" t="inlineStr">
        <is>
          <t>Hồ Chí Minh, Hà Nội</t>
        </is>
      </c>
      <c r="G4008" s="10" t="inlineStr">
        <is>
          <t>Trưởng phòng</t>
        </is>
      </c>
      <c r="H4008" s="10" t="inlineStr">
        <is>
          <t>26/02/2026</t>
        </is>
      </c>
      <c r="I4008" s="10" t="inlineStr">
        <is>
          <t>28/03/2026</t>
        </is>
      </c>
      <c r="J4008" s="10" t="inlineStr">
        <is>
          <t>17/03/2026</t>
        </is>
      </c>
      <c r="K4008" s="10" t="inlineStr">
        <is>
          <t>N/A</t>
        </is>
      </c>
      <c r="L4008" s="10" t="inlineStr">
        <is>
          <t>Bán hàng, Kinh Doanh, Sales Development, Sales Management, Tư Vấn</t>
        </is>
      </c>
      <c r="M4008" s="10" t="inlineStr">
        <is>
          <t>Healthcare Plan, Others</t>
        </is>
      </c>
      <c r="N4008" s="11">
        <f>HYPERLINK("https://www.vietnamworks.com/area-sales-manager-quan-ly-kinh-doanh-khu-vuc-mien-bac-mien-nam-2014698-jv","Xem chi tiết")</f>
        <v/>
      </c>
      <c r="O4008" s="10" t="n"/>
    </row>
    <row r="4009">
      <c r="B4009" s="7" t="n">
        <v>4007</v>
      </c>
      <c r="C4009" t="inlineStr">
        <is>
          <t>Group IT Manager</t>
        </is>
      </c>
      <c r="D4009" t="inlineStr">
        <is>
          <t>gbc engineers Vietnam LLC</t>
        </is>
      </c>
      <c r="E4009" t="inlineStr">
        <is>
          <t>Thương lượng</t>
        </is>
      </c>
      <c r="F4009" t="inlineStr">
        <is>
          <t>Hồ Chí Minh</t>
        </is>
      </c>
      <c r="G4009" t="inlineStr">
        <is>
          <t>Trưởng phòng</t>
        </is>
      </c>
      <c r="H4009" t="inlineStr">
        <is>
          <t>26/02/2026</t>
        </is>
      </c>
      <c r="I4009" t="inlineStr">
        <is>
          <t>28/03/2026</t>
        </is>
      </c>
      <c r="J4009" t="inlineStr">
        <is>
          <t>17/03/2026</t>
        </is>
      </c>
      <c r="K4009" t="inlineStr">
        <is>
          <t>N/A</t>
        </is>
      </c>
      <c r="L4009" t="inlineStr">
        <is>
          <t>Data Security, IT Infrastructure Management, Problem-solving, Team Management, Windows Server</t>
        </is>
      </c>
      <c r="M4009" t="inlineStr">
        <is>
          <t>Bonus, Training, Others</t>
        </is>
      </c>
      <c r="N4009" s="8">
        <f>HYPERLINK("https://www.vietnamworks.com/group-it-manager-2014704-jv","Xem chi tiết")</f>
        <v/>
      </c>
    </row>
    <row r="4010">
      <c r="B4010" s="9" t="n">
        <v>4008</v>
      </c>
      <c r="C4010" s="10" t="inlineStr">
        <is>
          <t>Brand Manager (F&amp;B/ Hospitality)</t>
        </is>
      </c>
      <c r="D4010" s="10" t="inlineStr">
        <is>
          <t>Công Ty TNHH Đầu Tư - Dịch Vụ HumVentures</t>
        </is>
      </c>
      <c r="E4010" s="10" t="inlineStr">
        <is>
          <t>Thương lượng</t>
        </is>
      </c>
      <c r="F4010" s="10" t="inlineStr">
        <is>
          <t>Hồ Chí Minh</t>
        </is>
      </c>
      <c r="G4010" s="10" t="inlineStr">
        <is>
          <t>Trưởng phòng</t>
        </is>
      </c>
      <c r="H4010" s="10" t="inlineStr">
        <is>
          <t>26/02/2026</t>
        </is>
      </c>
      <c r="I4010" s="10" t="inlineStr">
        <is>
          <t>28/03/2026</t>
        </is>
      </c>
      <c r="J4010" s="10" t="inlineStr">
        <is>
          <t>17/03/2026</t>
        </is>
      </c>
      <c r="K4010" s="10" t="inlineStr">
        <is>
          <t>N/A</t>
        </is>
      </c>
      <c r="L4010" s="10" t="inlineStr">
        <is>
          <t>Brand Consistency, Brand Storytelling</t>
        </is>
      </c>
      <c r="M4010" s="10" t="inlineStr">
        <is>
          <t>Bonus, Training, Others</t>
        </is>
      </c>
      <c r="N4010" s="11">
        <f>HYPERLINK("https://www.vietnamworks.com/brand-manager-f-b-hospitality-2014705-jv","Xem chi tiết")</f>
        <v/>
      </c>
      <c r="O4010" s="10" t="n"/>
    </row>
    <row r="4011">
      <c r="B4011" s="7" t="n">
        <v>4009</v>
      </c>
      <c r="C4011" t="inlineStr">
        <is>
          <t>Senior Analyst, Operations FP&amp;A</t>
        </is>
      </c>
      <c r="D4011" t="inlineStr">
        <is>
          <t>Công Ty TNHH Active Research</t>
        </is>
      </c>
      <c r="E4011" t="inlineStr">
        <is>
          <t>Thương lượng</t>
        </is>
      </c>
      <c r="F4011" t="inlineStr">
        <is>
          <t>Hồ Chí Minh</t>
        </is>
      </c>
      <c r="G4011" t="inlineStr">
        <is>
          <t>Nhân viên</t>
        </is>
      </c>
      <c r="H4011" t="inlineStr">
        <is>
          <t>26/02/2026</t>
        </is>
      </c>
      <c r="I4011" t="inlineStr">
        <is>
          <t>28/03/2026</t>
        </is>
      </c>
      <c r="J4011" t="inlineStr">
        <is>
          <t>17/03/2026</t>
        </is>
      </c>
      <c r="K4011" t="inlineStr">
        <is>
          <t>N/A</t>
        </is>
      </c>
      <c r="L4011" t="inlineStr">
        <is>
          <t>Analytical Skills, Business Intelligence, Communication Skills, ERP Systems, Financial Modeling</t>
        </is>
      </c>
      <c r="M4011" t="inlineStr">
        <is>
          <t>Bonus, Healthcare Plan</t>
        </is>
      </c>
      <c r="N4011" s="8">
        <f>HYPERLINK("https://www.vietnamworks.com/senior-analyst-operations-fpanda-2014717-jv","Xem chi tiết")</f>
        <v/>
      </c>
    </row>
    <row r="4012">
      <c r="B4012" s="9" t="n">
        <v>4010</v>
      </c>
      <c r="C4012" s="10" t="inlineStr">
        <is>
          <t>Nhân Viên Telesale (Không Cần Kinh Nghiệm) - Thu Nhập To 50Tr - Night Shift</t>
        </is>
      </c>
      <c r="D4012" s="10" t="inlineStr">
        <is>
          <t>BRIGHT MARKETING</t>
        </is>
      </c>
      <c r="E4012" s="10" t="inlineStr">
        <is>
          <t>8tr-50tr ₫/tháng</t>
        </is>
      </c>
      <c r="F4012" s="10" t="inlineStr">
        <is>
          <t>Hồ Chí Minh</t>
        </is>
      </c>
      <c r="G4012" s="10" t="inlineStr">
        <is>
          <t>Mới Tốt Nghiệp</t>
        </is>
      </c>
      <c r="H4012" s="10" t="inlineStr">
        <is>
          <t>26/02/2026</t>
        </is>
      </c>
      <c r="I4012" s="10" t="inlineStr">
        <is>
          <t>28/03/2026</t>
        </is>
      </c>
      <c r="J4012" s="10" t="inlineStr">
        <is>
          <t>17/03/2026</t>
        </is>
      </c>
      <c r="K4012" s="10" t="inlineStr">
        <is>
          <t>N/A</t>
        </is>
      </c>
      <c r="L4012" s="10" t="inlineStr">
        <is>
          <t>Digital Marketing, Bán hàng, Bán Hàng Qua Điện Thoại, Kinh Doanh, Telesales</t>
        </is>
      </c>
      <c r="M4012" s="10" t="inlineStr">
        <is>
          <t>Bonus, Healthcare Plan, Travel Opportunities, Others</t>
        </is>
      </c>
      <c r="N4012" s="11">
        <f>HYPERLINK("https://www.vietnamworks.com/nhan-vien-telesale-khong-can-kinh-nghiem-thu-nhap-to-50tr-night-shift-2014726-jv","Xem chi tiết")</f>
        <v/>
      </c>
      <c r="O4012" s="10" t="n"/>
    </row>
    <row r="4013">
      <c r="B4013" s="7" t="n">
        <v>4011</v>
      </c>
      <c r="C4013" t="inlineStr">
        <is>
          <t>Admin Executive (Chinese Speaking)</t>
        </is>
      </c>
      <c r="D4013" t="inlineStr">
        <is>
          <t>Alibaba.com Vietnam</t>
        </is>
      </c>
      <c r="E4013" t="inlineStr">
        <is>
          <t>14tr-17tr ₫/tháng</t>
        </is>
      </c>
      <c r="F4013" t="inlineStr">
        <is>
          <t>Hồ Chí Minh</t>
        </is>
      </c>
      <c r="G4013" t="inlineStr">
        <is>
          <t>Nhân viên</t>
        </is>
      </c>
      <c r="H4013" t="inlineStr">
        <is>
          <t>26/02/2026</t>
        </is>
      </c>
      <c r="I4013" t="inlineStr">
        <is>
          <t>28/03/2026</t>
        </is>
      </c>
      <c r="J4013" t="inlineStr">
        <is>
          <t>17/03/2026</t>
        </is>
      </c>
      <c r="K4013" t="inlineStr">
        <is>
          <t>N/A</t>
        </is>
      </c>
      <c r="L4013" t="inlineStr">
        <is>
          <t>Event Coordination, Inventory Management, MS Office, Office Administration, Problem-solving</t>
        </is>
      </c>
      <c r="M4013" t="inlineStr">
        <is>
          <t>Bonus, Healthcare Plan, Paid Leave</t>
        </is>
      </c>
      <c r="N4013" s="8">
        <f>HYPERLINK("https://www.vietnamworks.com/admin-executive-chinese-speaking-2014723-jv","Xem chi tiết")</f>
        <v/>
      </c>
    </row>
    <row r="4014">
      <c r="B4014" s="9" t="n">
        <v>4012</v>
      </c>
      <c r="C4014" s="10" t="inlineStr">
        <is>
          <t>Chuyên Viên Kinh Doanh Nội Thất (Thu Nhập 30-50 Triệu/ Tháng)</t>
        </is>
      </c>
      <c r="D4014" s="10" t="inlineStr">
        <is>
          <t>NORDIC - NỘI THẤT BẮC ÂU</t>
        </is>
      </c>
      <c r="E4014" s="10" t="inlineStr">
        <is>
          <t>30tr-50tr ₫/tháng</t>
        </is>
      </c>
      <c r="F4014" s="10" t="inlineStr">
        <is>
          <t>Hà Nội</t>
        </is>
      </c>
      <c r="G4014" s="10" t="inlineStr">
        <is>
          <t>Nhân viên</t>
        </is>
      </c>
      <c r="H4014" s="10" t="inlineStr">
        <is>
          <t>26/02/2026</t>
        </is>
      </c>
      <c r="I4014" s="10" t="inlineStr">
        <is>
          <t>28/03/2026</t>
        </is>
      </c>
      <c r="J4014" s="10" t="inlineStr">
        <is>
          <t>17/03/2026</t>
        </is>
      </c>
      <c r="K4014" s="10" t="inlineStr">
        <is>
          <t>N/A</t>
        </is>
      </c>
      <c r="L4014" s="10" t="inlineStr">
        <is>
          <t>Sales, Kinh Doanh Nội Thất, Marketing, kiến trúc, Bất Động Sản</t>
        </is>
      </c>
      <c r="M4014" s="10" t="inlineStr">
        <is>
          <t>Bonus, Healthcare Plan, Others</t>
        </is>
      </c>
      <c r="N4014" s="11">
        <f>HYPERLINK("https://www.vietnamworks.com/chuyen-vien-kinh-doanh-noi-that-thu-nhap-30-50-trieu-thang-2014734-jv","Xem chi tiết")</f>
        <v/>
      </c>
      <c r="O4014" s="10" t="n"/>
    </row>
    <row r="4015">
      <c r="B4015" s="7" t="n">
        <v>4013</v>
      </c>
      <c r="C4015" t="inlineStr">
        <is>
          <t>Giảng Viên Ngành Công Nghệ Tài Chính</t>
        </is>
      </c>
      <c r="D4015" t="inlineStr">
        <is>
          <t>Trường Đại Học Kinh Tế - Tài Chính TPHCM</t>
        </is>
      </c>
      <c r="E4015" t="inlineStr">
        <is>
          <t>Thương lượng</t>
        </is>
      </c>
      <c r="F4015" t="inlineStr">
        <is>
          <t>Hồ Chí Minh</t>
        </is>
      </c>
      <c r="G4015" t="inlineStr">
        <is>
          <t>Nhân viên</t>
        </is>
      </c>
      <c r="H4015" t="inlineStr">
        <is>
          <t>26/02/2026</t>
        </is>
      </c>
      <c r="I4015" t="inlineStr">
        <is>
          <t>28/03/2026</t>
        </is>
      </c>
      <c r="J4015" t="inlineStr">
        <is>
          <t>17/03/2026</t>
        </is>
      </c>
      <c r="K4015" t="inlineStr">
        <is>
          <t>N/A</t>
        </is>
      </c>
      <c r="L4015" t="inlineStr">
        <is>
          <t>Tài Chính Ngân Hàng, Giáo Dục Đào Tạo, Giảng Dạy, Nghiệp Vụ Tài Chính, Ngân Hàng Số</t>
        </is>
      </c>
      <c r="M4015" t="inlineStr">
        <is>
          <t>Others</t>
        </is>
      </c>
      <c r="N4015" s="8">
        <f>HYPERLINK("https://www.vietnamworks.com/giang-vien-nganh-cong-nghe-tai-chinh-2014728-jv","Xem chi tiết")</f>
        <v/>
      </c>
    </row>
    <row r="4016">
      <c r="B4016" s="9" t="n">
        <v>4014</v>
      </c>
      <c r="C4016" s="10" t="inlineStr">
        <is>
          <t>Nhân Viên Nhân Sự (Mạnh Tuyển Dụng) - HR Recruitment</t>
        </is>
      </c>
      <c r="D4016" s="10" t="inlineStr">
        <is>
          <t>CTY CP TMDV THÉP HÒA PHÁT LONG AN</t>
        </is>
      </c>
      <c r="E4016" s="10" t="inlineStr">
        <is>
          <t>Thương lượng</t>
        </is>
      </c>
      <c r="F4016" s="10" t="inlineStr">
        <is>
          <t>Hồ Chí Minh</t>
        </is>
      </c>
      <c r="G4016" s="10" t="inlineStr">
        <is>
          <t>Nhân viên</t>
        </is>
      </c>
      <c r="H4016" s="10" t="inlineStr">
        <is>
          <t>26/02/2026</t>
        </is>
      </c>
      <c r="I4016" s="10" t="inlineStr">
        <is>
          <t>28/03/2026</t>
        </is>
      </c>
      <c r="J4016" s="10" t="inlineStr">
        <is>
          <t>17/03/2026</t>
        </is>
      </c>
      <c r="K4016" s="10" t="inlineStr">
        <is>
          <t>N/A</t>
        </is>
      </c>
      <c r="L4016" s="10" t="inlineStr">
        <is>
          <t>HR Recruitment, Tuyển Dụng Nhân Sự, HR Admin, Quản Trị Nhân Lực, Talent Recruitment</t>
        </is>
      </c>
      <c r="M4016" s="10" t="inlineStr">
        <is>
          <t>Bonus, Healthcare Plan, Paid Leave</t>
        </is>
      </c>
      <c r="N4016" s="11">
        <f>HYPERLINK("https://www.vietnamworks.com/nhan-vien-nhan-su-manh-tuyen-dung-hr-recruitment-2014696-jv","Xem chi tiết")</f>
        <v/>
      </c>
      <c r="O4016" s="10" t="n"/>
    </row>
    <row r="4017">
      <c r="B4017" s="7" t="n">
        <v>4015</v>
      </c>
      <c r="C4017" t="inlineStr">
        <is>
          <t>Nhân Viên Marketing Online</t>
        </is>
      </c>
      <c r="D4017" t="inlineStr">
        <is>
          <t>Công ty TNHH Chuyển Giao Công Nghệ và Dịch Vụ Y Tế</t>
        </is>
      </c>
      <c r="E4017" t="inlineStr">
        <is>
          <t>8tr-12tr ₫/tháng</t>
        </is>
      </c>
      <c r="F4017" t="inlineStr">
        <is>
          <t>Hà Nội</t>
        </is>
      </c>
      <c r="G4017" t="inlineStr">
        <is>
          <t>Nhân viên</t>
        </is>
      </c>
      <c r="H4017" t="inlineStr">
        <is>
          <t>26/02/2026</t>
        </is>
      </c>
      <c r="I4017" t="inlineStr">
        <is>
          <t>28/03/2026</t>
        </is>
      </c>
      <c r="J4017" t="inlineStr">
        <is>
          <t>17/03/2026</t>
        </is>
      </c>
      <c r="K4017" t="inlineStr">
        <is>
          <t>N/A</t>
        </is>
      </c>
      <c r="L4017" t="inlineStr">
        <is>
          <t>Content Writing, Digital Marketing Tools, SEO Optimization, Social Media Management, Strategic Thinking</t>
        </is>
      </c>
      <c r="M4017" t="inlineStr">
        <is>
          <t>Healthcare Plan, Training, Others</t>
        </is>
      </c>
      <c r="N4017" s="8">
        <f>HYPERLINK("https://www.vietnamworks.com/nhan-vien-marketing-online-2014706-jv","Xem chi tiết")</f>
        <v/>
      </c>
    </row>
    <row r="4018">
      <c r="B4018" s="9" t="n">
        <v>4016</v>
      </c>
      <c r="C4018" s="10" t="inlineStr">
        <is>
          <t>Accountant</t>
        </is>
      </c>
      <c r="D4018" s="10" t="inlineStr">
        <is>
          <t>Công Ty TNHH Công Nghệ Welco Việt Nam</t>
        </is>
      </c>
      <c r="E4018" s="10" t="inlineStr">
        <is>
          <t>Thương lượng</t>
        </is>
      </c>
      <c r="F4018" s="10" t="inlineStr">
        <is>
          <t>Hưng Yên, Bắc Ninh, Hải Dương</t>
        </is>
      </c>
      <c r="G4018" s="10" t="inlineStr">
        <is>
          <t>Nhân viên</t>
        </is>
      </c>
      <c r="H4018" s="10" t="inlineStr">
        <is>
          <t>26/02/2026</t>
        </is>
      </c>
      <c r="I4018" s="10" t="inlineStr">
        <is>
          <t>28/03/2026</t>
        </is>
      </c>
      <c r="J4018" s="10" t="inlineStr">
        <is>
          <t>17/03/2026</t>
        </is>
      </c>
      <c r="K4018" s="10" t="inlineStr">
        <is>
          <t>N/A</t>
        </is>
      </c>
      <c r="L4018" s="10" t="inlineStr">
        <is>
          <t>Vietnamese Accounting Standards, ERP Software, MS Office, Fast Accounting, Kế Toán</t>
        </is>
      </c>
      <c r="M4018" s="10" t="inlineStr">
        <is>
          <t>Bonus, Healthcare Plan, Others</t>
        </is>
      </c>
      <c r="N4018" s="11">
        <f>HYPERLINK("https://www.vietnamworks.com/accountant--2014707-jv","Xem chi tiết")</f>
        <v/>
      </c>
      <c r="O4018" s="10" t="n"/>
    </row>
    <row r="4019">
      <c r="B4019" s="7" t="n">
        <v>4017</v>
      </c>
      <c r="C4019" t="inlineStr">
        <is>
          <t>Business &amp; Data Analytics Executive – Chairman’S Office (Minimum 10 Years of Experience)</t>
        </is>
      </c>
      <c r="D4019" t="inlineStr">
        <is>
          <t>Tổng Công Ty Cổ Phần Thương Mại Xây Dựng (WTO)</t>
        </is>
      </c>
      <c r="E4019" t="inlineStr">
        <is>
          <t>Thương lượng</t>
        </is>
      </c>
      <c r="F4019" t="inlineStr">
        <is>
          <t>Hà Nội</t>
        </is>
      </c>
      <c r="G4019" t="inlineStr">
        <is>
          <t>Nhân viên</t>
        </is>
      </c>
      <c r="H4019" t="inlineStr">
        <is>
          <t>26/02/2026</t>
        </is>
      </c>
      <c r="I4019" t="inlineStr">
        <is>
          <t>28/03/2026</t>
        </is>
      </c>
      <c r="J4019" t="inlineStr">
        <is>
          <t>17/03/2026</t>
        </is>
      </c>
      <c r="K4019" t="inlineStr">
        <is>
          <t>N/A</t>
        </is>
      </c>
      <c r="L4019" t="inlineStr">
        <is>
          <t>Secretary Administration, External Relation, Business Administration, Executive Assistant, English</t>
        </is>
      </c>
      <c r="M4019" t="inlineStr">
        <is>
          <t>Bonus, Healthcare Plan, Paid Leave</t>
        </is>
      </c>
      <c r="N4019" s="8">
        <f>HYPERLINK("https://www.vietnamworks.com/business-data-analytics-executive-chairman-s-office-minimum-10-years-of-experience-2014697-jv","Xem chi tiết")</f>
        <v/>
      </c>
    </row>
    <row r="4020">
      <c r="B4020" s="9" t="n">
        <v>4018</v>
      </c>
      <c r="C4020" s="10" t="inlineStr">
        <is>
          <t>Hà Nội- Chuyên Viên Digital Marketing</t>
        </is>
      </c>
      <c r="D4020" s="10" t="inlineStr">
        <is>
          <t>CÔNG TY CỔ PHẦN PHÁT TRIỂN HẠ TẦNG VÀ DỊCH VỤ GIÁO DỤC VIỆT NAM</t>
        </is>
      </c>
      <c r="E4020" s="10" t="inlineStr">
        <is>
          <t>10tr-20tr ₫/tháng</t>
        </is>
      </c>
      <c r="F4020" s="10" t="inlineStr">
        <is>
          <t>Hà Nội</t>
        </is>
      </c>
      <c r="G4020" s="10" t="inlineStr">
        <is>
          <t>Nhân viên</t>
        </is>
      </c>
      <c r="H4020" s="10" t="inlineStr">
        <is>
          <t>26/02/2026</t>
        </is>
      </c>
      <c r="I4020" s="10" t="inlineStr">
        <is>
          <t>28/03/2026</t>
        </is>
      </c>
      <c r="J4020" s="10" t="inlineStr">
        <is>
          <t>17/03/2026</t>
        </is>
      </c>
      <c r="K4020" s="10" t="inlineStr">
        <is>
          <t>N/A</t>
        </is>
      </c>
      <c r="L4020" s="10" t="inlineStr">
        <is>
          <t>Digital Marketing, E-commerce, Data Analysis, Keyword Research, Teamwork</t>
        </is>
      </c>
      <c r="M4020" s="10" t="inlineStr">
        <is>
          <t>Bonus, Healthcare Plan, Training, Laptop, Team Activities, Others</t>
        </is>
      </c>
      <c r="N4020" s="11">
        <f>HYPERLINK("https://www.vietnamworks.com/ha-noi-chuyen-vien-digital-marketing-2014721-jv","Xem chi tiết")</f>
        <v/>
      </c>
      <c r="O4020" s="10" t="n"/>
    </row>
    <row r="4021">
      <c r="B4021" s="7" t="n">
        <v>4019</v>
      </c>
      <c r="C4021" t="inlineStr">
        <is>
          <t>Sale AWS</t>
        </is>
      </c>
      <c r="D4021" t="inlineStr">
        <is>
          <t>Công ty TNHH International Digital Services Việt Nam</t>
        </is>
      </c>
      <c r="E4021" t="inlineStr">
        <is>
          <t>Thương lượng</t>
        </is>
      </c>
      <c r="F4021" t="inlineStr">
        <is>
          <t>Hồ Chí Minh</t>
        </is>
      </c>
      <c r="G4021" t="inlineStr">
        <is>
          <t>Nhân viên</t>
        </is>
      </c>
      <c r="H4021" t="inlineStr">
        <is>
          <t>26/02/2026</t>
        </is>
      </c>
      <c r="I4021" t="inlineStr">
        <is>
          <t>28/03/2026</t>
        </is>
      </c>
      <c r="J4021" t="inlineStr">
        <is>
          <t>17/03/2026</t>
        </is>
      </c>
      <c r="K4021" t="inlineStr">
        <is>
          <t>N/A</t>
        </is>
      </c>
      <c r="L4021" t="inlineStr">
        <is>
          <t>Kinh Doanh B2B, Cloud Computing, Aws Certified, MS Office, Content Management</t>
        </is>
      </c>
      <c r="M4021" t="inlineStr">
        <is>
          <t>Bonus, Healthcare Plan, Paid Leave, Training, Awards, Team Activities, Others</t>
        </is>
      </c>
      <c r="N4021" s="8">
        <f>HYPERLINK("https://www.vietnamworks.com/sale-aws-2014731-jv","Xem chi tiết")</f>
        <v/>
      </c>
    </row>
    <row r="4022">
      <c r="B4022" s="9" t="n">
        <v>4020</v>
      </c>
      <c r="C4022" s="10" t="inlineStr">
        <is>
          <t>Pricing Executive - Sea Export</t>
        </is>
      </c>
      <c r="D4022" s="10" t="inlineStr">
        <is>
          <t>Bee Logistics Corporation</t>
        </is>
      </c>
      <c r="E4022" s="10" t="inlineStr">
        <is>
          <t>Thương lượng</t>
        </is>
      </c>
      <c r="F4022" s="10" t="inlineStr">
        <is>
          <t>Hà Nội</t>
        </is>
      </c>
      <c r="G4022" s="10" t="inlineStr">
        <is>
          <t>Nhân viên</t>
        </is>
      </c>
      <c r="H4022" s="10" t="inlineStr">
        <is>
          <t>26/02/2026</t>
        </is>
      </c>
      <c r="I4022" s="10" t="inlineStr">
        <is>
          <t>28/03/2026</t>
        </is>
      </c>
      <c r="J4022" s="10" t="inlineStr">
        <is>
          <t>17/03/2026</t>
        </is>
      </c>
      <c r="K4022" s="10" t="inlineStr">
        <is>
          <t>N/A</t>
        </is>
      </c>
      <c r="L4022" s="10" t="inlineStr">
        <is>
          <t>Business Development, Communication, English, Product Pricing, Shipping Logistics</t>
        </is>
      </c>
      <c r="M4022" s="10" t="inlineStr">
        <is>
          <t>Bonus, Healthcare Plan, Training, Mobile, Team Activities, Others</t>
        </is>
      </c>
      <c r="N4022" s="11">
        <f>HYPERLINK("https://www.vietnamworks.com/pricing-executive-sea-export-2014703-jv","Xem chi tiết")</f>
        <v/>
      </c>
      <c r="O4022" s="10" t="n"/>
    </row>
    <row r="4023">
      <c r="B4023" s="7" t="n">
        <v>4021</v>
      </c>
      <c r="C4023" t="inlineStr">
        <is>
          <t>Giảng Viên Ngành Kiểm Toán</t>
        </is>
      </c>
      <c r="D4023" t="inlineStr">
        <is>
          <t>Trường Đại Học Kinh Tế - Tài Chính TPHCM</t>
        </is>
      </c>
      <c r="E4023" t="inlineStr">
        <is>
          <t>Thương lượng</t>
        </is>
      </c>
      <c r="F4023" t="inlineStr">
        <is>
          <t>Hồ Chí Minh</t>
        </is>
      </c>
      <c r="G4023" t="inlineStr">
        <is>
          <t>Nhân viên</t>
        </is>
      </c>
      <c r="H4023" t="inlineStr">
        <is>
          <t>26/02/2026</t>
        </is>
      </c>
      <c r="I4023" t="inlineStr">
        <is>
          <t>28/03/2026</t>
        </is>
      </c>
      <c r="J4023" t="inlineStr">
        <is>
          <t>17/03/2026</t>
        </is>
      </c>
      <c r="K4023" t="inlineStr">
        <is>
          <t>N/A</t>
        </is>
      </c>
      <c r="L4023" t="inlineStr">
        <is>
          <t>Giáo Dục Đào Tạo, Giảng Dạy, Kiểm Soát Nội Bộ, Kiểm Toán Nội Bộ, Kiểm Soát Kiểm Toán</t>
        </is>
      </c>
      <c r="M4023" t="inlineStr">
        <is>
          <t>Others</t>
        </is>
      </c>
      <c r="N4023" s="8">
        <f>HYPERLINK("https://www.vietnamworks.com/giang-vien-nganh-kiem-toan-2014729-jv","Xem chi tiết")</f>
        <v/>
      </c>
    </row>
    <row r="4024">
      <c r="B4024" s="9" t="n">
        <v>4022</v>
      </c>
      <c r="C4024" s="10" t="inlineStr">
        <is>
          <t>Kế Toán Tổng Hợp</t>
        </is>
      </c>
      <c r="D4024" s="10" t="inlineStr">
        <is>
          <t>Công ty cổ phần Ecotech Global</t>
        </is>
      </c>
      <c r="E4024" s="10" t="inlineStr">
        <is>
          <t>$$ 400-900 /tháng</t>
        </is>
      </c>
      <c r="F4024" s="10" t="inlineStr">
        <is>
          <t>Hà Nội</t>
        </is>
      </c>
      <c r="G4024" s="10" t="inlineStr">
        <is>
          <t>Nhân viên</t>
        </is>
      </c>
      <c r="H4024" s="10" t="inlineStr">
        <is>
          <t>26/02/2026</t>
        </is>
      </c>
      <c r="I4024" s="10" t="inlineStr">
        <is>
          <t>28/03/2026</t>
        </is>
      </c>
      <c r="J4024" s="10" t="inlineStr">
        <is>
          <t>17/03/2026</t>
        </is>
      </c>
      <c r="K4024" s="10" t="inlineStr">
        <is>
          <t>N/A</t>
        </is>
      </c>
      <c r="L4024" s="10" t="inlineStr">
        <is>
          <t>Kế Toán Tổng Hợp, Kế Toán, Báo Cáo Tài Chính, Tài Chính, Chứng Từ Kế Toán</t>
        </is>
      </c>
      <c r="M4024" s="10" t="inlineStr">
        <is>
          <t>Bonus, Paid Leave, Training</t>
        </is>
      </c>
      <c r="N4024" s="11">
        <f>HYPERLINK("https://www.vietnamworks.com/ke-toan-tong-hop--2014702-jv","Xem chi tiết")</f>
        <v/>
      </c>
      <c r="O4024" s="10" t="n"/>
    </row>
    <row r="4025">
      <c r="B4025" s="7" t="n">
        <v>4023</v>
      </c>
      <c r="C4025" t="inlineStr">
        <is>
          <t>Kỹ Sư Điện (PLC / Thiết Kế Điện)</t>
        </is>
      </c>
      <c r="D4025" t="inlineStr">
        <is>
          <t>Công Ty TNHH HKTM VINA</t>
        </is>
      </c>
      <c r="E4025" t="inlineStr">
        <is>
          <t>13tr-20tr ₫/tháng</t>
        </is>
      </c>
      <c r="F4025" t="inlineStr">
        <is>
          <t>Hải Phòng</t>
        </is>
      </c>
      <c r="G4025" t="inlineStr">
        <is>
          <t>Nhân viên</t>
        </is>
      </c>
      <c r="H4025" t="inlineStr">
        <is>
          <t>26/02/2026</t>
        </is>
      </c>
      <c r="I4025" t="inlineStr">
        <is>
          <t>28/03/2026</t>
        </is>
      </c>
      <c r="J4025" t="inlineStr">
        <is>
          <t>17/03/2026</t>
        </is>
      </c>
      <c r="K4025" t="inlineStr">
        <is>
          <t>N/A</t>
        </is>
      </c>
      <c r="L4025" t="inlineStr">
        <is>
          <t>PLC Programming, AutoCAD, Electrical Design, Kỹ Sư Điện - Tự Động, Electronic Technician</t>
        </is>
      </c>
      <c r="M4025" t="inlineStr">
        <is>
          <t>Bonus, Healthcare Plan, Paid Leave, Awards, Others</t>
        </is>
      </c>
      <c r="N4025" s="8">
        <f>HYPERLINK("https://www.vietnamworks.com/ky-su-dien-plc-thiet-ke-dien-2014748-jv","Xem chi tiết")</f>
        <v/>
      </c>
    </row>
    <row r="4026">
      <c r="B4026" s="9" t="n">
        <v>4024</v>
      </c>
      <c r="C4026" s="10" t="inlineStr">
        <is>
          <t>Graphic Designer</t>
        </is>
      </c>
      <c r="D4026" s="10" t="inlineStr">
        <is>
          <t>DRH Clinic</t>
        </is>
      </c>
      <c r="E4026" s="10" t="inlineStr">
        <is>
          <t>Thương lượng</t>
        </is>
      </c>
      <c r="F4026" s="10" t="inlineStr">
        <is>
          <t>Hồ Chí Minh</t>
        </is>
      </c>
      <c r="G4026" s="10" t="inlineStr">
        <is>
          <t>Nhân viên</t>
        </is>
      </c>
      <c r="H4026" s="10" t="inlineStr">
        <is>
          <t>26/02/2026</t>
        </is>
      </c>
      <c r="I4026" s="10" t="inlineStr">
        <is>
          <t>28/03/2026</t>
        </is>
      </c>
      <c r="J4026" s="10" t="inlineStr">
        <is>
          <t>17/03/2026</t>
        </is>
      </c>
      <c r="K4026" s="10" t="inlineStr">
        <is>
          <t>N/A</t>
        </is>
      </c>
      <c r="L4026" s="10" t="inlineStr">
        <is>
          <t>Adobe Illustrator, Adobe Lightroom, Creative Thinking, Digital Design, Photoshop</t>
        </is>
      </c>
      <c r="M4026" s="10" t="inlineStr">
        <is>
          <t>Bonus, Healthcare Plan, Team Activities, Others</t>
        </is>
      </c>
      <c r="N4026" s="11">
        <f>HYPERLINK("https://www.vietnamworks.com/graphic-designer-2014744-jv","Xem chi tiết")</f>
        <v/>
      </c>
      <c r="O4026" s="10" t="n"/>
    </row>
    <row r="4027">
      <c r="B4027" s="7" t="n">
        <v>4025</v>
      </c>
      <c r="C4027" t="inlineStr">
        <is>
          <t>Product Market Specialist</t>
        </is>
      </c>
      <c r="D4027" t="inlineStr">
        <is>
          <t>Công Ty TNHH ABB Automation And Electrification (Việt Nam)</t>
        </is>
      </c>
      <c r="E4027" t="inlineStr">
        <is>
          <t>Thương lượng</t>
        </is>
      </c>
      <c r="F4027" t="inlineStr">
        <is>
          <t>Hồ Chí Minh</t>
        </is>
      </c>
      <c r="G4027" t="inlineStr">
        <is>
          <t>Nhân viên</t>
        </is>
      </c>
      <c r="H4027" t="inlineStr">
        <is>
          <t>26/02/2026</t>
        </is>
      </c>
      <c r="I4027" t="inlineStr">
        <is>
          <t>28/03/2026</t>
        </is>
      </c>
      <c r="J4027" t="inlineStr">
        <is>
          <t>17/03/2026</t>
        </is>
      </c>
      <c r="K4027" t="inlineStr">
        <is>
          <t>N/A</t>
        </is>
      </c>
      <c r="L4027" t="inlineStr">
        <is>
          <t>Marketing Development, Marketing Planning, Marketing Research, Marketing Analytics, Engineering</t>
        </is>
      </c>
      <c r="M4027" t="inlineStr">
        <is>
          <t>Healthcare Plan, Mobile, Transportation</t>
        </is>
      </c>
      <c r="N4027" s="8">
        <f>HYPERLINK("https://www.vietnamworks.com/product-market-specialist-2014739-jv","Xem chi tiết")</f>
        <v/>
      </c>
    </row>
    <row r="4028">
      <c r="B4028" s="9" t="n">
        <v>4026</v>
      </c>
      <c r="C4028" s="10" t="inlineStr">
        <is>
          <t>Kỹ Sư Công Trường</t>
        </is>
      </c>
      <c r="D4028" s="10" t="inlineStr">
        <is>
          <t>CÔNG TY TNHH MTV THIẾT BỊ ĐIỆN 3E</t>
        </is>
      </c>
      <c r="E4028" s="10" t="inlineStr">
        <is>
          <t>Thương lượng</t>
        </is>
      </c>
      <c r="F4028" s="10" t="inlineStr">
        <is>
          <t>Đà Nẵng</t>
        </is>
      </c>
      <c r="G4028" s="10" t="inlineStr">
        <is>
          <t>Nhân viên</t>
        </is>
      </c>
      <c r="H4028" s="10" t="inlineStr">
        <is>
          <t>26/02/2026</t>
        </is>
      </c>
      <c r="I4028" s="10" t="inlineStr">
        <is>
          <t>28/03/2026</t>
        </is>
      </c>
      <c r="J4028" s="10" t="inlineStr">
        <is>
          <t>17/03/2026</t>
        </is>
      </c>
      <c r="K4028" s="10" t="inlineStr">
        <is>
          <t>N/A</t>
        </is>
      </c>
      <c r="L4028" s="10" t="inlineStr">
        <is>
          <t>Kỹ Thuật Điện, Hệ Thống Điện, Tiếng Anh, Giám Sát Công Trường, Triển Khai Dự Án</t>
        </is>
      </c>
      <c r="M4028" s="10" t="inlineStr">
        <is>
          <t>Bonus, Healthcare Plan, Training, Travel Opportunities, Others</t>
        </is>
      </c>
      <c r="N4028" s="11">
        <f>HYPERLINK("https://www.vietnamworks.com/ky-su-cong-truong-2014742-jv","Xem chi tiết")</f>
        <v/>
      </c>
      <c r="O4028" s="10" t="n"/>
    </row>
    <row r="4029">
      <c r="B4029" s="7" t="n">
        <v>4027</v>
      </c>
      <c r="C4029" t="inlineStr">
        <is>
          <t>Accounting Assistant Manager</t>
        </is>
      </c>
      <c r="D4029" t="inlineStr">
        <is>
          <t>Rochdale Spears Co., Ltd.</t>
        </is>
      </c>
      <c r="E4029" t="inlineStr">
        <is>
          <t>Thương lượng</t>
        </is>
      </c>
      <c r="F4029" t="inlineStr">
        <is>
          <t>Hồ Chí Minh</t>
        </is>
      </c>
      <c r="G4029" t="inlineStr">
        <is>
          <t>Nhân viên</t>
        </is>
      </c>
      <c r="H4029" t="inlineStr">
        <is>
          <t>26/02/2026</t>
        </is>
      </c>
      <c r="I4029" t="inlineStr">
        <is>
          <t>28/03/2026</t>
        </is>
      </c>
      <c r="J4029" t="inlineStr">
        <is>
          <t>17/03/2026</t>
        </is>
      </c>
      <c r="K4029" t="inlineStr">
        <is>
          <t>N/A</t>
        </is>
      </c>
      <c r="L4029" t="inlineStr">
        <is>
          <t>ERP, Financial Reporting, Project Improvement, Taxation, VAS</t>
        </is>
      </c>
      <c r="M4029" t="inlineStr">
        <is>
          <t>Transportation</t>
        </is>
      </c>
      <c r="N4029" s="8">
        <f>HYPERLINK("https://www.vietnamworks.com/accounting-assistant-manager-2014750-jv","Xem chi tiết")</f>
        <v/>
      </c>
    </row>
    <row r="4030">
      <c r="B4030" s="9" t="n">
        <v>4028</v>
      </c>
      <c r="C4030" s="10" t="inlineStr">
        <is>
          <t>Giảng Viên Ngành Quản Trị Sự Kiện</t>
        </is>
      </c>
      <c r="D4030" s="10" t="inlineStr">
        <is>
          <t>Trường Đại Học Kinh Tế - Tài Chính TPHCM</t>
        </is>
      </c>
      <c r="E4030" s="10" t="inlineStr">
        <is>
          <t>Thương lượng</t>
        </is>
      </c>
      <c r="F4030" s="10" t="inlineStr">
        <is>
          <t>Hồ Chí Minh</t>
        </is>
      </c>
      <c r="G4030" s="10" t="inlineStr">
        <is>
          <t>Nhân viên</t>
        </is>
      </c>
      <c r="H4030" s="10" t="inlineStr">
        <is>
          <t>26/02/2026</t>
        </is>
      </c>
      <c r="I4030" s="10" t="inlineStr">
        <is>
          <t>28/03/2026</t>
        </is>
      </c>
      <c r="J4030" s="10" t="inlineStr">
        <is>
          <t>17/03/2026</t>
        </is>
      </c>
      <c r="K4030" s="10" t="inlineStr">
        <is>
          <t>N/A</t>
        </is>
      </c>
      <c r="L4030" s="10" t="inlineStr">
        <is>
          <t>Giáo Dục Đào Tạo, Giảng Dạy, Quản Trị Sự Kiện, Lên Kế Hoạch Sự Kiện, Tổ Chức Sự Kiện</t>
        </is>
      </c>
      <c r="M4030" s="10" t="inlineStr">
        <is>
          <t>Others</t>
        </is>
      </c>
      <c r="N4030" s="11">
        <f>HYPERLINK("https://www.vietnamworks.com/giang-vien-nganh-quan-tri-su-kien-2014735-jv","Xem chi tiết")</f>
        <v/>
      </c>
      <c r="O4030" s="10" t="n"/>
    </row>
    <row r="4031">
      <c r="B4031" s="7" t="n">
        <v>4029</v>
      </c>
      <c r="C4031" t="inlineStr">
        <is>
          <t>Kỹ Sư IT ( Tích Hợp Robot )</t>
        </is>
      </c>
      <c r="D4031" t="inlineStr">
        <is>
          <t>Công Ty TNHH HKTM VINA</t>
        </is>
      </c>
      <c r="E4031" t="inlineStr">
        <is>
          <t>13tr-20tr ₫/tháng</t>
        </is>
      </c>
      <c r="F4031" t="inlineStr">
        <is>
          <t>Hải Phòng</t>
        </is>
      </c>
      <c r="G4031" t="inlineStr">
        <is>
          <t>Nhân viên</t>
        </is>
      </c>
      <c r="H4031" t="inlineStr">
        <is>
          <t>26/02/2026</t>
        </is>
      </c>
      <c r="I4031" t="inlineStr">
        <is>
          <t>28/03/2026</t>
        </is>
      </c>
      <c r="J4031" t="inlineStr">
        <is>
          <t>17/03/2026</t>
        </is>
      </c>
      <c r="K4031" t="inlineStr">
        <is>
          <t>N/A</t>
        </is>
      </c>
      <c r="L4031" t="inlineStr">
        <is>
          <t>Linux Server, Manage ERP Software, Odoo ERP, IT Phần Mềm, ERP Operation</t>
        </is>
      </c>
      <c r="M4031" t="inlineStr">
        <is>
          <t>Bonus, Healthcare Plan, Paid Leave, Awards, Others</t>
        </is>
      </c>
      <c r="N4031" s="8">
        <f>HYPERLINK("https://www.vietnamworks.com/ky-su-it-tich-hop-robot-2014746-jv","Xem chi tiết")</f>
        <v/>
      </c>
    </row>
    <row r="4032">
      <c r="B4032" s="9" t="n">
        <v>4030</v>
      </c>
      <c r="C4032" s="10" t="inlineStr">
        <is>
          <t>Chuyên Viên Quản Lý Rủi Ro Hoạt Động</t>
        </is>
      </c>
      <c r="D4032" s="10" t="inlineStr">
        <is>
          <t>Công Ty Cổ Phần Tập Đoàn Phú Thái Holdings</t>
        </is>
      </c>
      <c r="E4032" s="10" t="inlineStr">
        <is>
          <t>Thương lượng</t>
        </is>
      </c>
      <c r="F4032" s="10" t="inlineStr">
        <is>
          <t>Hà Nội</t>
        </is>
      </c>
      <c r="G4032" s="10" t="inlineStr">
        <is>
          <t>Nhân viên</t>
        </is>
      </c>
      <c r="H4032" s="10" t="inlineStr">
        <is>
          <t>26/02/2026</t>
        </is>
      </c>
      <c r="I4032" s="10" t="inlineStr">
        <is>
          <t>28/03/2026</t>
        </is>
      </c>
      <c r="J4032" s="10" t="inlineStr">
        <is>
          <t>17/03/2026</t>
        </is>
      </c>
      <c r="K4032" s="10" t="inlineStr">
        <is>
          <t>N/A</t>
        </is>
      </c>
      <c r="L4032" s="10" t="inlineStr">
        <is>
          <t>ISO 31000, ORM, Quản Lý Rủi Ro, Quản Trị Rủi Ro Hoạt Động, Vận Hành Hệ Thống</t>
        </is>
      </c>
      <c r="M4032" s="10" t="inlineStr">
        <is>
          <t>Bonus, Training, Team Activities, Others</t>
        </is>
      </c>
      <c r="N4032" s="11">
        <f>HYPERLINK("https://www.vietnamworks.com/chuyen-vien-quan-ly-rui-ro-hoat-djong-2014764-jv","Xem chi tiết")</f>
        <v/>
      </c>
      <c r="O4032" s="10" t="n"/>
    </row>
    <row r="4033">
      <c r="B4033" s="7" t="n">
        <v>4031</v>
      </c>
      <c r="C4033" t="inlineStr">
        <is>
          <t>Lab Technician (R&amp;D Dairy)</t>
        </is>
      </c>
      <c r="D4033" t="inlineStr">
        <is>
          <t>Brenntag Vietnam Co, Ltd</t>
        </is>
      </c>
      <c r="E4033" t="inlineStr">
        <is>
          <t>Thương lượng</t>
        </is>
      </c>
      <c r="F4033" t="inlineStr">
        <is>
          <t>Hồ Chí Minh</t>
        </is>
      </c>
      <c r="G4033" t="inlineStr">
        <is>
          <t>Nhân viên</t>
        </is>
      </c>
      <c r="H4033" t="inlineStr">
        <is>
          <t>26/02/2026</t>
        </is>
      </c>
      <c r="I4033" t="inlineStr">
        <is>
          <t>28/03/2026</t>
        </is>
      </c>
      <c r="J4033" t="inlineStr">
        <is>
          <t>17/03/2026</t>
        </is>
      </c>
      <c r="K4033" t="inlineStr">
        <is>
          <t>N/A</t>
        </is>
      </c>
      <c r="L4033" t="inlineStr">
        <is>
          <t>Food Nutrition, Dairy Industry Experience, Dairy Science, Nghiên Cứu Phát Triển, Food Ingredients</t>
        </is>
      </c>
      <c r="M4033" t="inlineStr">
        <is>
          <t>Bonus, Healthcare Plan, Paid Leave</t>
        </is>
      </c>
      <c r="N4033" s="8">
        <f>HYPERLINK("https://www.vietnamworks.com/lab-technician-r-d-dairy--2014740-jv","Xem chi tiết")</f>
        <v/>
      </c>
    </row>
    <row r="4034">
      <c r="B4034" s="9" t="n">
        <v>4032</v>
      </c>
      <c r="C4034" s="10" t="inlineStr">
        <is>
          <t>Nhân Viên Kế Hoạch Sản Xuất (Lương 15Tr - 20Tr + Thưởng Tới 20Tr/ Quý)</t>
        </is>
      </c>
      <c r="D4034" s="10" t="inlineStr">
        <is>
          <t>Công ty TNHH vàng bạc đá quý Phú Quý</t>
        </is>
      </c>
      <c r="E4034" s="10" t="inlineStr">
        <is>
          <t>15tr-20tr ₫/tháng</t>
        </is>
      </c>
      <c r="F4034" s="10" t="inlineStr">
        <is>
          <t>Hưng Yên</t>
        </is>
      </c>
      <c r="G4034" s="10" t="inlineStr">
        <is>
          <t>Nhân viên</t>
        </is>
      </c>
      <c r="H4034" s="10" t="inlineStr">
        <is>
          <t>26/02/2026</t>
        </is>
      </c>
      <c r="I4034" s="10" t="inlineStr">
        <is>
          <t>28/03/2026</t>
        </is>
      </c>
      <c r="J4034" s="10" t="inlineStr">
        <is>
          <t>17/03/2026</t>
        </is>
      </c>
      <c r="K4034" s="10" t="inlineStr">
        <is>
          <t>N/A</t>
        </is>
      </c>
      <c r="L4034" s="10" t="inlineStr">
        <is>
          <t>Kỹ năng lập kế hoạch, Lãnh Đạo, Đào Tạo, Xử Lý Tình Huống, Giao Tiếp</t>
        </is>
      </c>
      <c r="M4034" s="10" t="inlineStr">
        <is>
          <t>Bonus, Healthcare Plan, Canteen, Others</t>
        </is>
      </c>
      <c r="N4034" s="11">
        <f>HYPERLINK("https://www.vietnamworks.com/nhan-vien-ke-hoach-san-xuat-luong-15tr-20tr-thuong-toi-20tr-quy-2014745-jv","Xem chi tiết")</f>
        <v/>
      </c>
      <c r="O4034" s="10" t="n"/>
    </row>
    <row r="4035">
      <c r="B4035" s="7" t="n">
        <v>4033</v>
      </c>
      <c r="C4035" t="inlineStr">
        <is>
          <t>Trưởng Phòng Kinh Doanh O2O (Xe Máy Điện)</t>
        </is>
      </c>
      <c r="D4035" t="inlineStr">
        <is>
          <t>VINFAST TRADING AND PRODUCTION JSC</t>
        </is>
      </c>
      <c r="E4035" t="inlineStr">
        <is>
          <t>Thương lượng</t>
        </is>
      </c>
      <c r="F4035" t="inlineStr">
        <is>
          <t>Hà Nội, Hồ Chí Minh</t>
        </is>
      </c>
      <c r="G4035" t="inlineStr">
        <is>
          <t>Trưởng phòng</t>
        </is>
      </c>
      <c r="H4035" t="inlineStr">
        <is>
          <t>26/02/2026</t>
        </is>
      </c>
      <c r="I4035" t="inlineStr">
        <is>
          <t>28/03/2026</t>
        </is>
      </c>
      <c r="J4035" t="inlineStr">
        <is>
          <t>17/03/2026</t>
        </is>
      </c>
      <c r="K4035" t="inlineStr">
        <is>
          <t>N/A</t>
        </is>
      </c>
      <c r="L4035" t="inlineStr">
        <is>
          <t>Sales</t>
        </is>
      </c>
      <c r="M4035" t="inlineStr">
        <is>
          <t>Bonus, Healthcare Plan, Others</t>
        </is>
      </c>
      <c r="N4035" s="8">
        <f>HYPERLINK("https://www.vietnamworks.com/truong-phong-kinh-doanh-o2o-xe-may-dien-2014760-jv","Xem chi tiết")</f>
        <v/>
      </c>
    </row>
    <row r="4036">
      <c r="B4036" s="9" t="n">
        <v>4034</v>
      </c>
      <c r="C4036" s="10" t="inlineStr">
        <is>
          <t>Business Project Executive Kinh Doanh Dự Án</t>
        </is>
      </c>
      <c r="D4036" s="10" t="inlineStr">
        <is>
          <t>Zhejiang Uniview Technologies Co.,Ltd</t>
        </is>
      </c>
      <c r="E4036" s="10" t="inlineStr">
        <is>
          <t>$$ 1,000-2,000 /tháng</t>
        </is>
      </c>
      <c r="F4036" s="10" t="inlineStr">
        <is>
          <t>Hà Nội, Hồ Chí Minh</t>
        </is>
      </c>
      <c r="G4036" s="10" t="inlineStr">
        <is>
          <t>Nhân viên</t>
        </is>
      </c>
      <c r="H4036" s="10" t="inlineStr">
        <is>
          <t>26/02/2026</t>
        </is>
      </c>
      <c r="I4036" s="10" t="inlineStr">
        <is>
          <t>28/03/2026</t>
        </is>
      </c>
      <c r="J4036" s="10" t="inlineStr">
        <is>
          <t>17/03/2026</t>
        </is>
      </c>
      <c r="K4036" s="10" t="inlineStr">
        <is>
          <t>N/A</t>
        </is>
      </c>
      <c r="L4036" s="10" t="inlineStr">
        <is>
          <t>CCTV, Customer Care, Business Planning, Nghiên Cứu Thị Trường, Phát Triển Khách Hàng</t>
        </is>
      </c>
      <c r="M4036" s="10" t="inlineStr">
        <is>
          <t>Healthcare Plan, Training, Travel Opportunities, Team Activities, Transportation, Others</t>
        </is>
      </c>
      <c r="N4036" s="11">
        <f>HYPERLINK("https://www.vietnamworks.com/business-project-executive-kinh-doanh-du-an-2014752-jv","Xem chi tiết")</f>
        <v/>
      </c>
      <c r="O4036" s="10" t="n"/>
    </row>
    <row r="4037">
      <c r="B4037" s="7" t="n">
        <v>4035</v>
      </c>
      <c r="C4037" t="inlineStr">
        <is>
          <t>Chuyên Viên Đào Tạo Tại Fubon Life Việt Nam</t>
        </is>
      </c>
      <c r="D4037" t="inlineStr">
        <is>
          <t>Fubon Life Insurance (Vietnam) Co., Ltd</t>
        </is>
      </c>
      <c r="E4037" t="inlineStr">
        <is>
          <t>Thương lượng</t>
        </is>
      </c>
      <c r="F4037" t="inlineStr">
        <is>
          <t>Hồ Chí Minh</t>
        </is>
      </c>
      <c r="G4037" t="inlineStr">
        <is>
          <t>Nhân viên</t>
        </is>
      </c>
      <c r="H4037" t="inlineStr">
        <is>
          <t>26/02/2026</t>
        </is>
      </c>
      <c r="I4037" t="inlineStr">
        <is>
          <t>28/03/2026</t>
        </is>
      </c>
      <c r="J4037" t="inlineStr">
        <is>
          <t>17/03/2026</t>
        </is>
      </c>
      <c r="K4037" t="inlineStr">
        <is>
          <t>N/A</t>
        </is>
      </c>
      <c r="L4037" t="inlineStr">
        <is>
          <t>Đào Tạo, Quản Lý Kinh Doanh, MS Office, Xây Dựng Mối Quan Hệ, Xây Dựng Chương Trình Đào Tạo</t>
        </is>
      </c>
      <c r="M4037" t="inlineStr">
        <is>
          <t>Bonus, Healthcare Plan, Training, Others</t>
        </is>
      </c>
      <c r="N4037" s="8">
        <f>HYPERLINK("https://www.vietnamworks.com/chuyen-vien-djao-tao-tai-fubon-life-viet-nam-2014762-jv","Xem chi tiết")</f>
        <v/>
      </c>
    </row>
    <row r="4038">
      <c r="B4038" s="9" t="n">
        <v>4036</v>
      </c>
      <c r="C4038" s="10" t="inlineStr">
        <is>
          <t>Solar Energy Sales Executive – Kinh Doanh Mảng Năng Lượng Mặt Trời</t>
        </is>
      </c>
      <c r="D4038" s="10" t="inlineStr">
        <is>
          <t>Zhejiang Uniview Technologies Co.,Ltd</t>
        </is>
      </c>
      <c r="E4038" s="10" t="inlineStr">
        <is>
          <t>$$ 1,000-2,000 /tháng</t>
        </is>
      </c>
      <c r="F4038" s="10" t="inlineStr">
        <is>
          <t>Hà Nội</t>
        </is>
      </c>
      <c r="G4038" s="10" t="inlineStr">
        <is>
          <t>Nhân viên</t>
        </is>
      </c>
      <c r="H4038" s="10" t="inlineStr">
        <is>
          <t>26/02/2026</t>
        </is>
      </c>
      <c r="I4038" s="10" t="inlineStr">
        <is>
          <t>28/03/2026</t>
        </is>
      </c>
      <c r="J4038" s="10" t="inlineStr">
        <is>
          <t>17/03/2026</t>
        </is>
      </c>
      <c r="K4038" s="10" t="inlineStr">
        <is>
          <t>N/A</t>
        </is>
      </c>
      <c r="L4038" s="10" t="inlineStr">
        <is>
          <t>Customer Care, Business Planning, B2B Sales, Nghiên Cứu Thị Trường, Tư Vấn Giải Pháp</t>
        </is>
      </c>
      <c r="M4038" s="10" t="inlineStr">
        <is>
          <t>Healthcare Plan, Training, Travel Opportunities, Team Activities, Transportation, Others</t>
        </is>
      </c>
      <c r="N4038" s="11">
        <f>HYPERLINK("https://www.vietnamworks.com/solar-energy-sales-executive-kinh-doanh-mang-nang-luong-mat-troi-2014754-jv","Xem chi tiết")</f>
        <v/>
      </c>
      <c r="O4038" s="10" t="n"/>
    </row>
    <row r="4039">
      <c r="B4039" s="7" t="n">
        <v>4037</v>
      </c>
      <c r="C4039" t="inlineStr">
        <is>
          <t>Kỹ Sư An Toàn</t>
        </is>
      </c>
      <c r="D4039" t="inlineStr">
        <is>
          <t>CÔNG TY TNHH ECOVANCE VIỆT NAM</t>
        </is>
      </c>
      <c r="E4039" t="inlineStr">
        <is>
          <t>Thương lượng</t>
        </is>
      </c>
      <c r="F4039" t="inlineStr">
        <is>
          <t>Hải Phòng</t>
        </is>
      </c>
      <c r="G4039" t="inlineStr">
        <is>
          <t>Nhân viên</t>
        </is>
      </c>
      <c r="H4039" t="inlineStr">
        <is>
          <t>26/02/2026</t>
        </is>
      </c>
      <c r="I4039" t="inlineStr">
        <is>
          <t>28/03/2026</t>
        </is>
      </c>
      <c r="J4039" t="inlineStr">
        <is>
          <t>17/03/2026</t>
        </is>
      </c>
      <c r="K4039" t="inlineStr">
        <is>
          <t>N/A</t>
        </is>
      </c>
      <c r="L4039" t="inlineStr">
        <is>
          <t>Kiểm Tra Chứng Từ, Đánh Giá Rủi Ro, Quản Lý Trang Thiết Bị, Bảo Hộ Lao Động, Giám Sát An Toàn</t>
        </is>
      </c>
      <c r="M4039" t="inlineStr">
        <is>
          <t>Bonus, Healthcare Plan, Paid Leave, Canteen, Others</t>
        </is>
      </c>
      <c r="N4039" s="8">
        <f>HYPERLINK("https://www.vietnamworks.com/ky-su-an-toan-2014741-jv","Xem chi tiết")</f>
        <v/>
      </c>
    </row>
    <row r="4040">
      <c r="B4040" s="9" t="n">
        <v>4038</v>
      </c>
      <c r="C4040" s="10" t="inlineStr">
        <is>
          <t>Nhân Viên Kĩ Thuật Điện Tử</t>
        </is>
      </c>
      <c r="D4040" s="10" t="inlineStr">
        <is>
          <t>Công ty TNHH Chuyển Giao Công Nghệ và Dịch Vụ Y Tế</t>
        </is>
      </c>
      <c r="E4040" s="10" t="inlineStr">
        <is>
          <t>10tr-15tr ₫/tháng</t>
        </is>
      </c>
      <c r="F4040" s="10" t="inlineStr">
        <is>
          <t>Hà Nội</t>
        </is>
      </c>
      <c r="G4040" s="10" t="inlineStr">
        <is>
          <t>Mới Tốt Nghiệp</t>
        </is>
      </c>
      <c r="H4040" s="10" t="inlineStr">
        <is>
          <t>26/02/2026</t>
        </is>
      </c>
      <c r="I4040" s="10" t="inlineStr">
        <is>
          <t>28/03/2026</t>
        </is>
      </c>
      <c r="J4040" s="10" t="inlineStr">
        <is>
          <t>17/03/2026</t>
        </is>
      </c>
      <c r="K4040" s="10" t="inlineStr">
        <is>
          <t>N/A</t>
        </is>
      </c>
      <c r="L4040" s="10" t="inlineStr">
        <is>
          <t>Hàn Mạch in, Kiểm Tra Bo Mạch Điện Tử, Nhanh nhẹn, Sửa Chữa Máy In, Đọc Bản Vẽ Cơ Khí</t>
        </is>
      </c>
      <c r="M4040" s="10" t="inlineStr">
        <is>
          <t>Bonus, Healthcare Plan, Travel Opportunities, Others</t>
        </is>
      </c>
      <c r="N4040" s="11">
        <f>HYPERLINK("https://www.vietnamworks.com/nhan-vien-ki-thuat-djien-tu-2014738-jv","Xem chi tiết")</f>
        <v/>
      </c>
      <c r="O4040" s="10" t="n"/>
    </row>
    <row r="4041">
      <c r="B4041" s="7" t="n">
        <v>4039</v>
      </c>
      <c r="C4041" t="inlineStr">
        <is>
          <t>Quản Đốc/ Trưởng Phòng Sản Xuất Trang Sức Lương Từ 30Tr + Thưởng</t>
        </is>
      </c>
      <c r="D4041" t="inlineStr">
        <is>
          <t>Công ty TNHH vàng bạc đá quý Phú Quý</t>
        </is>
      </c>
      <c r="E4041" t="inlineStr">
        <is>
          <t>Từ 30tr ₫/tháng</t>
        </is>
      </c>
      <c r="F4041" t="inlineStr">
        <is>
          <t>Hưng Yên</t>
        </is>
      </c>
      <c r="G4041" t="inlineStr">
        <is>
          <t>Trưởng phòng</t>
        </is>
      </c>
      <c r="H4041" t="inlineStr">
        <is>
          <t>26/02/2026</t>
        </is>
      </c>
      <c r="I4041" t="inlineStr">
        <is>
          <t>28/03/2026</t>
        </is>
      </c>
      <c r="J4041" t="inlineStr">
        <is>
          <t>17/03/2026</t>
        </is>
      </c>
      <c r="K4041" t="inlineStr">
        <is>
          <t>N/A</t>
        </is>
      </c>
      <c r="L4041" t="inlineStr">
        <is>
          <t>Quản Lý Sản Xuất, Lập Kế Hoạch, Giám Sát Sản Xuất, MS Excel, Tổng Hợp Số Liệu</t>
        </is>
      </c>
      <c r="M4041" t="inlineStr">
        <is>
          <t>Bonus, Healthcare Plan, Paid Leave, Canteen, Others</t>
        </is>
      </c>
      <c r="N4041" s="8">
        <f>HYPERLINK("https://www.vietnamworks.com/quan-djoc-truong-phong-san-xuat-trang-suc-luong-tu-30tr-thuong-2014755-jv","Xem chi tiết")</f>
        <v/>
      </c>
    </row>
    <row r="4042">
      <c r="B4042" s="9" t="n">
        <v>4040</v>
      </c>
      <c r="C4042" s="10" t="inlineStr">
        <is>
          <t>Nhân Viên Quản Lý Phòng Sản Xuất - PP</t>
        </is>
      </c>
      <c r="D4042" s="10" t="inlineStr">
        <is>
          <t>Công Ty TNHH Taishodo Việt Nam</t>
        </is>
      </c>
      <c r="E4042" s="10" t="inlineStr">
        <is>
          <t>Thương lượng</t>
        </is>
      </c>
      <c r="F4042" s="10" t="inlineStr">
        <is>
          <t>Hải Phòng, Hải Dương</t>
        </is>
      </c>
      <c r="G4042" s="10" t="inlineStr">
        <is>
          <t>Nhân viên</t>
        </is>
      </c>
      <c r="H4042" s="10" t="inlineStr">
        <is>
          <t>26/02/2026</t>
        </is>
      </c>
      <c r="I4042" s="10" t="inlineStr">
        <is>
          <t>28/03/2026</t>
        </is>
      </c>
      <c r="J4042" s="10" t="inlineStr">
        <is>
          <t>17/03/2026</t>
        </is>
      </c>
      <c r="K4042" s="10" t="inlineStr">
        <is>
          <t>N/A</t>
        </is>
      </c>
      <c r="L4042" s="10" t="inlineStr">
        <is>
          <t>Phân Tích Lỗi, Quản Lý Dây Chuyền Sản Xuất, Tiếng Nhật, Tự Động Hóa, Điện tử</t>
        </is>
      </c>
      <c r="M4042" s="10" t="inlineStr">
        <is>
          <t>Bonus, Healthcare Plan, Awards, Travel Opportunities, Team Activities, Others</t>
        </is>
      </c>
      <c r="N4042" s="11">
        <f>HYPERLINK("https://www.vietnamworks.com/nhan-vien-quan-ly-phong-san-xuat-pp-2014751-jv","Xem chi tiết")</f>
        <v/>
      </c>
      <c r="O4042" s="10" t="n"/>
    </row>
    <row r="4043">
      <c r="B4043" s="7" t="n">
        <v>4041</v>
      </c>
      <c r="C4043" t="inlineStr">
        <is>
          <t>Equipment Engineer (Lương Deal Không Giới Hạn)</t>
        </is>
      </c>
      <c r="D4043" t="inlineStr">
        <is>
          <t>CÔNG TY TNHH AMPHENOL COMMUNICATION ELECTRONICS VIỆT NAM</t>
        </is>
      </c>
      <c r="E4043" t="inlineStr">
        <is>
          <t>Thương lượng</t>
        </is>
      </c>
      <c r="F4043" t="inlineStr">
        <is>
          <t>Bắc Ninh</t>
        </is>
      </c>
      <c r="G4043" t="inlineStr">
        <is>
          <t>Nhân viên</t>
        </is>
      </c>
      <c r="H4043" t="inlineStr">
        <is>
          <t>26/02/2026</t>
        </is>
      </c>
      <c r="I4043" t="inlineStr">
        <is>
          <t>28/03/2026</t>
        </is>
      </c>
      <c r="J4043" t="inlineStr">
        <is>
          <t>17/03/2026</t>
        </is>
      </c>
      <c r="K4043" t="inlineStr">
        <is>
          <t>N/A</t>
        </is>
      </c>
      <c r="L4043" t="inlineStr">
        <is>
          <t>English, Chinese, Maintenance, PLC, PLC Programming</t>
        </is>
      </c>
      <c r="M4043" t="inlineStr">
        <is>
          <t>Bonus, Others</t>
        </is>
      </c>
      <c r="N4043" s="8">
        <f>HYPERLINK("https://www.vietnamworks.com/equipment-engineer-luong-deal-khong-gioi-han-2014757-jv","Xem chi tiết")</f>
        <v/>
      </c>
    </row>
    <row r="4044">
      <c r="B4044" s="9" t="n">
        <v>4042</v>
      </c>
      <c r="C4044" s="10" t="inlineStr">
        <is>
          <t>Performance Marketing Lead (Social Commerce)</t>
        </is>
      </c>
      <c r="D4044" s="10" t="inlineStr">
        <is>
          <t>Công Ty Cổ Phần Metub Việt Nam</t>
        </is>
      </c>
      <c r="E4044" s="10" t="inlineStr">
        <is>
          <t>Thương lượng</t>
        </is>
      </c>
      <c r="F4044" s="10" t="inlineStr">
        <is>
          <t>Hồ Chí Minh</t>
        </is>
      </c>
      <c r="G4044" s="10" t="inlineStr">
        <is>
          <t>Trưởng phòng</t>
        </is>
      </c>
      <c r="H4044" s="10" t="inlineStr">
        <is>
          <t>26/02/2026</t>
        </is>
      </c>
      <c r="I4044" s="10" t="inlineStr">
        <is>
          <t>28/03/2026</t>
        </is>
      </c>
      <c r="J4044" s="10" t="inlineStr">
        <is>
          <t>17/03/2026</t>
        </is>
      </c>
      <c r="K4044" s="10" t="inlineStr">
        <is>
          <t>N/A</t>
        </is>
      </c>
      <c r="L4044" s="10" t="inlineStr">
        <is>
          <t>performance marketing, Social Commerce, Data Analysis, Stakeholder Management, Goal-Oriented Mindset</t>
        </is>
      </c>
      <c r="M4044" s="10" t="inlineStr">
        <is>
          <t>Bonus, Others</t>
        </is>
      </c>
      <c r="N4044" s="11">
        <f>HYPERLINK("https://www.vietnamworks.com/performance-marketing-lead-social-commerce-2014758-jv","Xem chi tiết")</f>
        <v/>
      </c>
      <c r="O4044" s="10" t="n"/>
    </row>
    <row r="4045">
      <c r="B4045" s="7" t="n">
        <v>4043</v>
      </c>
      <c r="C4045" t="inlineStr">
        <is>
          <t>Kỹ Sư Cơ Khí (Thiết Kế Máy Tự Động Hóa)</t>
        </is>
      </c>
      <c r="D4045" t="inlineStr">
        <is>
          <t>Công Ty TNHH HKTM VINA</t>
        </is>
      </c>
      <c r="E4045" t="inlineStr">
        <is>
          <t>15tr-20tr ₫/tháng</t>
        </is>
      </c>
      <c r="F4045" t="inlineStr">
        <is>
          <t>Hải Phòng</t>
        </is>
      </c>
      <c r="G4045" t="inlineStr">
        <is>
          <t>Nhân viên</t>
        </is>
      </c>
      <c r="H4045" t="inlineStr">
        <is>
          <t>26/02/2026</t>
        </is>
      </c>
      <c r="I4045" t="inlineStr">
        <is>
          <t>28/03/2026</t>
        </is>
      </c>
      <c r="J4045" t="inlineStr">
        <is>
          <t>17/03/2026</t>
        </is>
      </c>
      <c r="K4045" t="inlineStr">
        <is>
          <t>N/A</t>
        </is>
      </c>
      <c r="L4045" t="inlineStr">
        <is>
          <t>Thiết Kế Máy Tự Động, Cải Tiến Quy Trình Sản Xuất, Kỹ sư Cơ khí, Mechanical, Thiết Kế Cơ Khí</t>
        </is>
      </c>
      <c r="M4045" t="inlineStr">
        <is>
          <t>Bonus, Healthcare Plan, Awards, Others</t>
        </is>
      </c>
      <c r="N4045" s="8">
        <f>HYPERLINK("https://www.vietnamworks.com/ky-su-co-khi-thiet-ke-may-tu-dong-hoa-2014747-jv","Xem chi tiết")</f>
        <v/>
      </c>
    </row>
    <row r="4046">
      <c r="B4046" s="9" t="n">
        <v>4044</v>
      </c>
      <c r="C4046" s="10" t="inlineStr">
        <is>
          <t>Trưởng Nhóm QMS/ Đi Làm Sau Tết</t>
        </is>
      </c>
      <c r="D4046" s="10" t="inlineStr">
        <is>
          <t>Công Ty TNHH Arion Electric Việt Nam</t>
        </is>
      </c>
      <c r="E4046" s="10" t="inlineStr">
        <is>
          <t>Thương lượng</t>
        </is>
      </c>
      <c r="F4046" s="10" t="inlineStr">
        <is>
          <t>Hải Dương</t>
        </is>
      </c>
      <c r="G4046" s="10" t="inlineStr">
        <is>
          <t>Nhân viên</t>
        </is>
      </c>
      <c r="H4046" s="10" t="inlineStr">
        <is>
          <t>26/02/2026</t>
        </is>
      </c>
      <c r="I4046" s="10" t="inlineStr">
        <is>
          <t>28/03/2026</t>
        </is>
      </c>
      <c r="J4046" s="10" t="inlineStr">
        <is>
          <t>17/03/2026</t>
        </is>
      </c>
      <c r="K4046" s="10" t="inlineStr">
        <is>
          <t>N/A</t>
        </is>
      </c>
      <c r="L4046" s="10" t="inlineStr">
        <is>
          <t>Cải Tiến, Iatf 16949 Knowledge, IQC, ISO 9001, Quản lý chất lượng</t>
        </is>
      </c>
      <c r="M4046" s="10" t="inlineStr">
        <is>
          <t>Bonus, Healthcare Plan, Travel Opportunities, Transportation, Canteen, Others</t>
        </is>
      </c>
      <c r="N4046" s="11">
        <f>HYPERLINK("https://www.vietnamworks.com/truong-nhom-qms-dji-lam-sau-tet-2014773-jv","Xem chi tiết")</f>
        <v/>
      </c>
      <c r="O4046" s="10" t="n"/>
    </row>
    <row r="4047">
      <c r="B4047" s="7" t="n">
        <v>4045</v>
      </c>
      <c r="C4047" t="inlineStr">
        <is>
          <t>Audit Senior | Hybrid – Flexible Working Time</t>
        </is>
      </c>
      <c r="D4047" t="inlineStr">
        <is>
          <t>First Trust ACPA Vietnam CO., LTD</t>
        </is>
      </c>
      <c r="E4047" t="inlineStr">
        <is>
          <t>Thương lượng</t>
        </is>
      </c>
      <c r="F4047" t="inlineStr">
        <is>
          <t>Hà Nội</t>
        </is>
      </c>
      <c r="G4047" t="inlineStr">
        <is>
          <t>Nhân viên</t>
        </is>
      </c>
      <c r="H4047" t="inlineStr">
        <is>
          <t>26/02/2026</t>
        </is>
      </c>
      <c r="I4047" t="inlineStr">
        <is>
          <t>28/03/2026</t>
        </is>
      </c>
      <c r="J4047" t="inlineStr">
        <is>
          <t>17/03/2026</t>
        </is>
      </c>
      <c r="K4047" t="inlineStr">
        <is>
          <t>N/A</t>
        </is>
      </c>
      <c r="L4047" t="inlineStr">
        <is>
          <t>Audit Management, Accounting Standards, Coaching, Software Auditing, English Communication</t>
        </is>
      </c>
      <c r="M4047" t="inlineStr">
        <is>
          <t>Training, Travel Opportunities, Others</t>
        </is>
      </c>
      <c r="N4047" s="8">
        <f>HYPERLINK("https://www.vietnamworks.com/audit-senior-or-hybrid-flexible-working-time-2014775-jv","Xem chi tiết")</f>
        <v/>
      </c>
    </row>
    <row r="4048">
      <c r="B4048" s="9" t="n">
        <v>4046</v>
      </c>
      <c r="C4048" s="10" t="inlineStr">
        <is>
          <t>Internship - Sales Admin</t>
        </is>
      </c>
      <c r="D4048" s="10" t="inlineStr">
        <is>
          <t>Air Liquide Viet Nam</t>
        </is>
      </c>
      <c r="E4048" s="10" t="inlineStr">
        <is>
          <t>Thương lượng</t>
        </is>
      </c>
      <c r="F4048" s="10" t="inlineStr">
        <is>
          <t>Hồ Chí Minh</t>
        </is>
      </c>
      <c r="G4048" s="10" t="inlineStr">
        <is>
          <t>Thực tập sinh/Sinh viên</t>
        </is>
      </c>
      <c r="H4048" s="10" t="inlineStr">
        <is>
          <t>26/02/2026</t>
        </is>
      </c>
      <c r="I4048" s="10" t="inlineStr">
        <is>
          <t>28/03/2026</t>
        </is>
      </c>
      <c r="J4048" s="10" t="inlineStr">
        <is>
          <t>17/03/2026</t>
        </is>
      </c>
      <c r="K4048" s="10" t="inlineStr">
        <is>
          <t>N/A</t>
        </is>
      </c>
      <c r="L4048" s="10" t="inlineStr">
        <is>
          <t>Sales Administration, Communication, Proactive initiative, Interpersonal Skill, English</t>
        </is>
      </c>
      <c r="M4048" s="10" t="inlineStr">
        <is>
          <t>Bonus, Healthcare Plan, Awards</t>
        </is>
      </c>
      <c r="N4048" s="11">
        <f>HYPERLINK("https://www.vietnamworks.com/internship-sales-admin--2014780-jv","Xem chi tiết")</f>
        <v/>
      </c>
      <c r="O4048" s="10" t="n"/>
    </row>
    <row r="4049">
      <c r="B4049" s="7" t="n">
        <v>4047</v>
      </c>
      <c r="C4049" t="inlineStr">
        <is>
          <t>Technical Department Supervisor</t>
        </is>
      </c>
      <c r="D4049" t="inlineStr">
        <is>
          <t>Alwin Vietnam LLC.</t>
        </is>
      </c>
      <c r="E4049" t="inlineStr">
        <is>
          <t>Thương lượng</t>
        </is>
      </c>
      <c r="F4049" t="inlineStr">
        <is>
          <t>Bình Dương</t>
        </is>
      </c>
      <c r="G4049" t="inlineStr">
        <is>
          <t>Nhân viên</t>
        </is>
      </c>
      <c r="H4049" t="inlineStr">
        <is>
          <t>26/02/2026</t>
        </is>
      </c>
      <c r="I4049" t="inlineStr">
        <is>
          <t>28/03/2026</t>
        </is>
      </c>
      <c r="J4049" t="inlineStr">
        <is>
          <t>17/03/2026</t>
        </is>
      </c>
      <c r="K4049" t="inlineStr">
        <is>
          <t>N/A</t>
        </is>
      </c>
      <c r="L4049" t="inlineStr">
        <is>
          <t>Mechanical, Mechanical Engineering, Kỹ Thuật Cơ Khí, Giám Sát Kỹ Thuật, English</t>
        </is>
      </c>
      <c r="M4049" t="inlineStr">
        <is>
          <t>Bonus, Healthcare Plan, Training</t>
        </is>
      </c>
      <c r="N4049" s="8">
        <f>HYPERLINK("https://www.vietnamworks.com/technical-department-supervisor--2014783-jv","Xem chi tiết")</f>
        <v/>
      </c>
    </row>
    <row r="4050">
      <c r="B4050" s="9" t="n">
        <v>4048</v>
      </c>
      <c r="C4050" s="10" t="inlineStr">
        <is>
          <t>Tax Associate | Global Career Path</t>
        </is>
      </c>
      <c r="D4050" s="10" t="inlineStr">
        <is>
          <t>First Trust ACPA Vietnam CO., LTD</t>
        </is>
      </c>
      <c r="E4050" s="10" t="inlineStr">
        <is>
          <t>Thương lượng</t>
        </is>
      </c>
      <c r="F4050" s="10" t="inlineStr">
        <is>
          <t>Hà Nội</t>
        </is>
      </c>
      <c r="G4050" s="10" t="inlineStr">
        <is>
          <t>Nhân viên</t>
        </is>
      </c>
      <c r="H4050" s="10" t="inlineStr">
        <is>
          <t>26/02/2026</t>
        </is>
      </c>
      <c r="I4050" s="10" t="inlineStr">
        <is>
          <t>28/03/2026</t>
        </is>
      </c>
      <c r="J4050" s="10" t="inlineStr">
        <is>
          <t>17/03/2026</t>
        </is>
      </c>
      <c r="K4050" s="10" t="inlineStr">
        <is>
          <t>N/A</t>
        </is>
      </c>
      <c r="L4050" s="10" t="inlineStr">
        <is>
          <t>Tax Calculation, Tax Filing, Client Interaction, Accounting, Interpersonal skills</t>
        </is>
      </c>
      <c r="M4050" s="10" t="inlineStr">
        <is>
          <t>Training, Travel Opportunities, Others</t>
        </is>
      </c>
      <c r="N4050" s="11">
        <f>HYPERLINK("https://www.vietnamworks.com/tax-associate-or-global-career-path-2014772-jv","Xem chi tiết")</f>
        <v/>
      </c>
      <c r="O4050" s="10" t="n"/>
    </row>
    <row r="4051">
      <c r="B4051" s="7" t="n">
        <v>4049</v>
      </c>
      <c r="C4051" t="inlineStr">
        <is>
          <t>Nhân Viên Phòng Quản Lý Thiết Bị/ Đi Làm Sau Tết</t>
        </is>
      </c>
      <c r="D4051" t="inlineStr">
        <is>
          <t>Công Ty TNHH Arion Electric Việt Nam</t>
        </is>
      </c>
      <c r="E4051" t="inlineStr">
        <is>
          <t>Thương lượng</t>
        </is>
      </c>
      <c r="F4051" t="inlineStr">
        <is>
          <t>Hải Dương</t>
        </is>
      </c>
      <c r="G4051" t="inlineStr">
        <is>
          <t>Nhân viên</t>
        </is>
      </c>
      <c r="H4051" t="inlineStr">
        <is>
          <t>26/02/2026</t>
        </is>
      </c>
      <c r="I4051" t="inlineStr">
        <is>
          <t>28/03/2026</t>
        </is>
      </c>
      <c r="J4051" t="inlineStr">
        <is>
          <t>17/03/2026</t>
        </is>
      </c>
      <c r="K4051" t="inlineStr">
        <is>
          <t>N/A</t>
        </is>
      </c>
      <c r="L4051" t="inlineStr">
        <is>
          <t>Điện Tự Động Hóa, Cơ Khí, Lập Trình PLC, Lập Kế Hoạch Bảo Trì, Quản Lý Thiết Bị</t>
        </is>
      </c>
      <c r="M4051" t="inlineStr">
        <is>
          <t>Bonus, Healthcare Plan, Travel Opportunities, Transportation, Canteen, Others</t>
        </is>
      </c>
      <c r="N4051" s="8">
        <f>HYPERLINK("https://www.vietnamworks.com/nhan-vien-phong-quan-ly-thiet-bi-dji-lam-sau-tet-2014768-jv","Xem chi tiết")</f>
        <v/>
      </c>
    </row>
    <row r="4052">
      <c r="B4052" s="9" t="n">
        <v>4050</v>
      </c>
      <c r="C4052" s="10" t="inlineStr">
        <is>
          <t>[Tuyển Gấp] Chuyên Viên Kinh Doanh Công Nghệ Sinh Học</t>
        </is>
      </c>
      <c r="D4052" s="10" t="inlineStr">
        <is>
          <t>Công Ty TNHH Mỹ Ân</t>
        </is>
      </c>
      <c r="E4052" s="10" t="inlineStr">
        <is>
          <t>Thương lượng</t>
        </is>
      </c>
      <c r="F4052" s="10" t="inlineStr">
        <is>
          <t>Hồ Chí Minh, Hà Nội</t>
        </is>
      </c>
      <c r="G4052" s="10" t="inlineStr">
        <is>
          <t>Nhân viên</t>
        </is>
      </c>
      <c r="H4052" s="10" t="inlineStr">
        <is>
          <t>26/02/2026</t>
        </is>
      </c>
      <c r="I4052" s="10" t="inlineStr">
        <is>
          <t>28/03/2026</t>
        </is>
      </c>
      <c r="J4052" s="10" t="inlineStr">
        <is>
          <t>17/03/2026</t>
        </is>
      </c>
      <c r="K4052" s="10" t="inlineStr">
        <is>
          <t>N/A</t>
        </is>
      </c>
      <c r="L4052" s="10" t="inlineStr">
        <is>
          <t>Giao Tiếp, Kinh Doanh, Làm Việc Nhóm, Tiếng Anh, Vi tính văn phòng</t>
        </is>
      </c>
      <c r="M4052" s="10" t="inlineStr">
        <is>
          <t>Bonus, Healthcare Plan, Paid Leave, Training, Team Activities, Others</t>
        </is>
      </c>
      <c r="N4052" s="11">
        <f>HYPERLINK("https://www.vietnamworks.com/tuyen-gap-chuyen-vien-kinh-doanh-cong-nghe-sinh-hoc-2014765-jv","Xem chi tiết")</f>
        <v/>
      </c>
      <c r="O4052" s="10" t="n"/>
    </row>
    <row r="4053">
      <c r="B4053" s="7" t="n">
        <v>4051</v>
      </c>
      <c r="C4053" t="inlineStr">
        <is>
          <t>Electronic Engineer</t>
        </is>
      </c>
      <c r="D4053" t="inlineStr">
        <is>
          <t>Alwin Vietnam LLC.</t>
        </is>
      </c>
      <c r="E4053" t="inlineStr">
        <is>
          <t>Thương lượng</t>
        </is>
      </c>
      <c r="F4053" t="inlineStr">
        <is>
          <t>Bình Dương</t>
        </is>
      </c>
      <c r="G4053" t="inlineStr">
        <is>
          <t>Nhân viên</t>
        </is>
      </c>
      <c r="H4053" t="inlineStr">
        <is>
          <t>26/02/2026</t>
        </is>
      </c>
      <c r="I4053" t="inlineStr">
        <is>
          <t>28/03/2026</t>
        </is>
      </c>
      <c r="J4053" t="inlineStr">
        <is>
          <t>17/03/2026</t>
        </is>
      </c>
      <c r="K4053" t="inlineStr">
        <is>
          <t>N/A</t>
        </is>
      </c>
      <c r="L4053" t="inlineStr">
        <is>
          <t>Electrical, Electronics, OrCAD, PCBA, DC motors</t>
        </is>
      </c>
      <c r="M4053" t="inlineStr">
        <is>
          <t>Bonus, Healthcare Plan, Training</t>
        </is>
      </c>
      <c r="N4053" s="8">
        <f>HYPERLINK("https://www.vietnamworks.com/electronic-engineer--2014784-jv","Xem chi tiết")</f>
        <v/>
      </c>
    </row>
    <row r="4054">
      <c r="B4054" s="9" t="n">
        <v>4052</v>
      </c>
      <c r="C4054" s="10" t="inlineStr">
        <is>
          <t>Social Media Manager</t>
        </is>
      </c>
      <c r="D4054" s="10" t="inlineStr">
        <is>
          <t>CÔNG TY CỔ PHẦN UNITY SPORT</t>
        </is>
      </c>
      <c r="E4054" s="10" t="inlineStr">
        <is>
          <t>Thương lượng</t>
        </is>
      </c>
      <c r="F4054" s="10" t="inlineStr">
        <is>
          <t>Hồ Chí Minh</t>
        </is>
      </c>
      <c r="G4054" s="10" t="inlineStr">
        <is>
          <t>Nhân viên</t>
        </is>
      </c>
      <c r="H4054" s="10" t="inlineStr">
        <is>
          <t>26/02/2026</t>
        </is>
      </c>
      <c r="I4054" s="10" t="inlineStr">
        <is>
          <t>28/03/2026</t>
        </is>
      </c>
      <c r="J4054" s="10" t="inlineStr">
        <is>
          <t>17/03/2026</t>
        </is>
      </c>
      <c r="K4054" s="10" t="inlineStr">
        <is>
          <t>N/A</t>
        </is>
      </c>
      <c r="L4054" s="10" t="inlineStr">
        <is>
          <t>Social Media Management, Community Outreach, Content Strategy, Adobe Analytics, Communication Skills</t>
        </is>
      </c>
      <c r="M4054" s="10" t="inlineStr">
        <is>
          <t>Bonus, Healthcare Plan, Training, Team Activities, Others</t>
        </is>
      </c>
      <c r="N4054" s="11">
        <f>HYPERLINK("https://www.vietnamworks.com/social-media-manager-2014781-jv","Xem chi tiết")</f>
        <v/>
      </c>
      <c r="O4054" s="10" t="n"/>
    </row>
    <row r="4055">
      <c r="B4055" s="7" t="n">
        <v>4053</v>
      </c>
      <c r="C4055" t="inlineStr">
        <is>
          <t>Phó Trưởng Phòng Hợp Tác Phát Triển</t>
        </is>
      </c>
      <c r="D4055" t="inlineStr">
        <is>
          <t>Trường Đại Học Đại Nam</t>
        </is>
      </c>
      <c r="E4055" t="inlineStr">
        <is>
          <t>Thương lượng</t>
        </is>
      </c>
      <c r="F4055" t="inlineStr">
        <is>
          <t>Hà Nội</t>
        </is>
      </c>
      <c r="G4055" t="inlineStr">
        <is>
          <t>Trưởng phòng</t>
        </is>
      </c>
      <c r="H4055" t="inlineStr">
        <is>
          <t>26/02/2026</t>
        </is>
      </c>
      <c r="I4055" t="inlineStr">
        <is>
          <t>28/03/2026</t>
        </is>
      </c>
      <c r="J4055" t="inlineStr">
        <is>
          <t>17/03/2026</t>
        </is>
      </c>
      <c r="K4055" t="inlineStr">
        <is>
          <t>N/A</t>
        </is>
      </c>
      <c r="L4055" t="inlineStr">
        <is>
          <t>Giáo Dục Đào Tạo, Kinh Tế, Quan Hệ Quốc Tế, Quản Trị Kinh Doanh, Đàm Phán</t>
        </is>
      </c>
      <c r="M4055" t="inlineStr">
        <is>
          <t>Paid Leave, Training, Others</t>
        </is>
      </c>
      <c r="N4055" s="8">
        <f>HYPERLINK("https://www.vietnamworks.com/pho-truong-phong-hop-tac-phat-trien-2014800-jv","Xem chi tiết")</f>
        <v/>
      </c>
    </row>
    <row r="4056">
      <c r="B4056" s="9" t="n">
        <v>4054</v>
      </c>
      <c r="C4056" s="10" t="inlineStr">
        <is>
          <t>Chuyên Viên Xuất Nhập Khẩu</t>
        </is>
      </c>
      <c r="D4056" s="10" t="inlineStr">
        <is>
          <t>Công Ty CP Tập Đoàn Đầu Tư Việt Phương</t>
        </is>
      </c>
      <c r="E4056" s="10" t="inlineStr">
        <is>
          <t>Thương lượng</t>
        </is>
      </c>
      <c r="F4056" s="10" t="inlineStr">
        <is>
          <t>Hà Nội</t>
        </is>
      </c>
      <c r="G4056" s="10" t="inlineStr">
        <is>
          <t>Nhân viên</t>
        </is>
      </c>
      <c r="H4056" s="10" t="inlineStr">
        <is>
          <t>26/02/2026</t>
        </is>
      </c>
      <c r="I4056" s="10" t="inlineStr">
        <is>
          <t>28/03/2026</t>
        </is>
      </c>
      <c r="J4056" s="10" t="inlineStr">
        <is>
          <t>17/03/2026</t>
        </is>
      </c>
      <c r="K4056" s="10" t="inlineStr">
        <is>
          <t>N/A</t>
        </is>
      </c>
      <c r="L4056" s="10" t="inlineStr">
        <is>
          <t>Logistics, Customs Procedures, Document Management, Communication Skills, Attention To Detail</t>
        </is>
      </c>
      <c r="M4056" s="10" t="inlineStr">
        <is>
          <t>Bonus, Healthcare Plan, Laptop</t>
        </is>
      </c>
      <c r="N4056" s="11">
        <f>HYPERLINK("https://www.vietnamworks.com/chuyen-vien-xuat-nhap-khau--2014774-jv","Xem chi tiết")</f>
        <v/>
      </c>
      <c r="O4056" s="10" t="n"/>
    </row>
    <row r="4057">
      <c r="B4057" s="7" t="n">
        <v>4055</v>
      </c>
      <c r="C4057" t="inlineStr">
        <is>
          <t>Manufacturing Talent Acquisition Management</t>
        </is>
      </c>
      <c r="D4057" t="inlineStr">
        <is>
          <t>VINFAST TRADING AND PRODUCTION JSC</t>
        </is>
      </c>
      <c r="E4057" t="inlineStr">
        <is>
          <t>Thương lượng</t>
        </is>
      </c>
      <c r="F4057" t="inlineStr">
        <is>
          <t>Hà Nội</t>
        </is>
      </c>
      <c r="G4057" t="inlineStr">
        <is>
          <t>Trưởng phòng</t>
        </is>
      </c>
      <c r="H4057" t="inlineStr">
        <is>
          <t>26/02/2026</t>
        </is>
      </c>
      <c r="I4057" t="inlineStr">
        <is>
          <t>28/03/2026</t>
        </is>
      </c>
      <c r="J4057" t="inlineStr">
        <is>
          <t>17/03/2026</t>
        </is>
      </c>
      <c r="K4057" t="inlineStr">
        <is>
          <t>N/A</t>
        </is>
      </c>
      <c r="L4057" t="inlineStr">
        <is>
          <t>Sales</t>
        </is>
      </c>
      <c r="M4057" t="inlineStr">
        <is>
          <t>Bonus, Healthcare Plan, Others</t>
        </is>
      </c>
      <c r="N4057" s="8">
        <f>HYPERLINK("https://www.vietnamworks.com/manufacturing-talent-acquisition-management-2014797-jv","Xem chi tiết")</f>
        <v/>
      </c>
    </row>
    <row r="4058">
      <c r="B4058" s="9" t="n">
        <v>4056</v>
      </c>
      <c r="C4058" s="10" t="inlineStr">
        <is>
          <t>Nhân Viên Kho/ Bảo Quản Dụng Cụ</t>
        </is>
      </c>
      <c r="D4058" s="10" t="inlineStr">
        <is>
          <t>CÔNG TY TNHH PHAN VINH SEIMITSU</t>
        </is>
      </c>
      <c r="E4058" s="10" t="inlineStr">
        <is>
          <t>Thương lượng</t>
        </is>
      </c>
      <c r="F4058" s="10" t="inlineStr">
        <is>
          <t>Hồ Chí Minh</t>
        </is>
      </c>
      <c r="G4058" s="10" t="inlineStr">
        <is>
          <t>Mới Tốt Nghiệp</t>
        </is>
      </c>
      <c r="H4058" s="10" t="inlineStr">
        <is>
          <t>26/02/2026</t>
        </is>
      </c>
      <c r="I4058" s="10" t="inlineStr">
        <is>
          <t>28/03/2026</t>
        </is>
      </c>
      <c r="J4058" s="10" t="inlineStr">
        <is>
          <t>17/03/2026</t>
        </is>
      </c>
      <c r="K4058" s="10" t="inlineStr">
        <is>
          <t>N/A</t>
        </is>
      </c>
      <c r="L4058" s="10" t="inlineStr">
        <is>
          <t>Kiểm Kê Kho Hàng, Trung Thực, Xếp Dỡ Hàng Hóa, Đóng Gói, Bảo Quản Dụng Cụ</t>
        </is>
      </c>
      <c r="M4058" s="10" t="inlineStr">
        <is>
          <t>Bonus, Healthcare Plan, Canteen, Others</t>
        </is>
      </c>
      <c r="N4058" s="11">
        <f>HYPERLINK("https://www.vietnamworks.com/nhan-vien-kho-bao-quan-dung-cu-2014794-jv","Xem chi tiết")</f>
        <v/>
      </c>
      <c r="O4058" s="10" t="n"/>
    </row>
    <row r="4059">
      <c r="B4059" s="7" t="n">
        <v>4057</v>
      </c>
      <c r="C4059" t="inlineStr">
        <is>
          <t>Procurement Specialist</t>
        </is>
      </c>
      <c r="D4059" t="inlineStr">
        <is>
          <t>Thang Long Joint Operating Company</t>
        </is>
      </c>
      <c r="E4059" t="inlineStr">
        <is>
          <t>Thương lượng</t>
        </is>
      </c>
      <c r="F4059" t="inlineStr">
        <is>
          <t>Hồ Chí Minh</t>
        </is>
      </c>
      <c r="G4059" t="inlineStr">
        <is>
          <t>Nhân viên</t>
        </is>
      </c>
      <c r="H4059" t="inlineStr">
        <is>
          <t>26/02/2026</t>
        </is>
      </c>
      <c r="I4059" t="inlineStr">
        <is>
          <t>28/03/2026</t>
        </is>
      </c>
      <c r="J4059" t="inlineStr">
        <is>
          <t>17/03/2026</t>
        </is>
      </c>
      <c r="K4059" t="inlineStr">
        <is>
          <t>N/A</t>
        </is>
      </c>
      <c r="L4059" t="inlineStr">
        <is>
          <t>Procurement, Contract Development, Supplier Assessment, Negotiation Skills, Good English Skills</t>
        </is>
      </c>
      <c r="M4059" t="inlineStr">
        <is>
          <t>Others</t>
        </is>
      </c>
      <c r="N4059" s="8">
        <f>HYPERLINK("https://www.vietnamworks.com/procurement-specialist-2014801-jv","Xem chi tiết")</f>
        <v/>
      </c>
    </row>
    <row r="4060">
      <c r="B4060" s="9" t="n">
        <v>4058</v>
      </c>
      <c r="C4060" s="10" t="inlineStr">
        <is>
          <t>Trưởng Phòng Vận Tải Giao Nhận (Logistics &amp; Transport Supervisor)</t>
        </is>
      </c>
      <c r="D4060" s="10" t="inlineStr">
        <is>
          <t>CÔNG TY CỔ PHẦN KHO VẬN VIỆT THÁI</t>
        </is>
      </c>
      <c r="E4060" s="10" t="inlineStr">
        <is>
          <t>Thương lượng</t>
        </is>
      </c>
      <c r="F4060" s="10" t="inlineStr">
        <is>
          <t>Hải Phòng</t>
        </is>
      </c>
      <c r="G4060" s="10" t="inlineStr">
        <is>
          <t>Trưởng phòng</t>
        </is>
      </c>
      <c r="H4060" s="10" t="inlineStr">
        <is>
          <t>26/02/2026</t>
        </is>
      </c>
      <c r="I4060" s="10" t="inlineStr">
        <is>
          <t>28/03/2026</t>
        </is>
      </c>
      <c r="J4060" s="10" t="inlineStr">
        <is>
          <t>17/03/2026</t>
        </is>
      </c>
      <c r="K4060" s="10" t="inlineStr">
        <is>
          <t>N/A</t>
        </is>
      </c>
      <c r="L4060" s="10" t="inlineStr">
        <is>
          <t>Logistics Management, Cost Optimization, Leadership Skills, Excel proficiency, Communication</t>
        </is>
      </c>
      <c r="M4060" s="10" t="inlineStr">
        <is>
          <t>Bonus, Healthcare Plan, Others</t>
        </is>
      </c>
      <c r="N4060" s="11">
        <f>HYPERLINK("https://www.vietnamworks.com/truong-phong-van-tai-giao-nhan-logistics-and-transport-supervisor-2014766-jv","Xem chi tiết")</f>
        <v/>
      </c>
      <c r="O4060" s="10" t="n"/>
    </row>
    <row r="4061">
      <c r="B4061" s="7" t="n">
        <v>4059</v>
      </c>
      <c r="C4061" t="inlineStr">
        <is>
          <t>Technical Manager - Outdoor Furniture (Good English)</t>
        </is>
      </c>
      <c r="D4061" t="inlineStr">
        <is>
          <t>An Viet Thinh Co., Ltd (Eurofar Internaltional B.V)</t>
        </is>
      </c>
      <c r="E4061" t="inlineStr">
        <is>
          <t>Thương lượng</t>
        </is>
      </c>
      <c r="F4061" t="inlineStr">
        <is>
          <t>Hồ Chí Minh</t>
        </is>
      </c>
      <c r="G4061" t="inlineStr">
        <is>
          <t>Trưởng phòng</t>
        </is>
      </c>
      <c r="H4061" t="inlineStr">
        <is>
          <t>26/02/2026</t>
        </is>
      </c>
      <c r="I4061" t="inlineStr">
        <is>
          <t>28/03/2026</t>
        </is>
      </c>
      <c r="J4061" t="inlineStr">
        <is>
          <t>17/03/2026</t>
        </is>
      </c>
      <c r="K4061" t="inlineStr">
        <is>
          <t>N/A</t>
        </is>
      </c>
      <c r="L4061" t="inlineStr">
        <is>
          <t>Cost Analysis, BOM Management, Pricing Strategy, FOB costing, Outdoor Furniture</t>
        </is>
      </c>
      <c r="M4061" t="inlineStr">
        <is>
          <t>Bonus, Awards, Others</t>
        </is>
      </c>
      <c r="N4061" s="8">
        <f>HYPERLINK("https://www.vietnamworks.com/technical-manager-outdoor-furniture-good-english-2014771-jv","Xem chi tiết")</f>
        <v/>
      </c>
    </row>
    <row r="4062">
      <c r="B4062" s="9" t="n">
        <v>4060</v>
      </c>
      <c r="C4062" s="10" t="inlineStr">
        <is>
          <t>Trợ Lý Tổng Giám Đốc (Nam)</t>
        </is>
      </c>
      <c r="D4062" s="10" t="inlineStr">
        <is>
          <t>Công ty TNHH Thương Mại Trí Khang</t>
        </is>
      </c>
      <c r="E4062" s="10" t="inlineStr">
        <is>
          <t>30tr-45tr ₫/tháng</t>
        </is>
      </c>
      <c r="F4062" s="10" t="inlineStr">
        <is>
          <t>Hà Nội</t>
        </is>
      </c>
      <c r="G4062" s="10" t="inlineStr">
        <is>
          <t>Nhân viên</t>
        </is>
      </c>
      <c r="H4062" s="10" t="inlineStr">
        <is>
          <t>26/02/2026</t>
        </is>
      </c>
      <c r="I4062" s="10" t="inlineStr">
        <is>
          <t>28/03/2026</t>
        </is>
      </c>
      <c r="J4062" s="10" t="inlineStr">
        <is>
          <t>17/03/2026</t>
        </is>
      </c>
      <c r="K4062" s="10" t="inlineStr">
        <is>
          <t>N/A</t>
        </is>
      </c>
      <c r="L4062" s="10" t="inlineStr">
        <is>
          <t>business analyst, Data Analysis, Excel Proficiency, Financial Analyst</t>
        </is>
      </c>
      <c r="M4062" s="10" t="inlineStr">
        <is>
          <t>Training, Others</t>
        </is>
      </c>
      <c r="N4062" s="11">
        <f>HYPERLINK("https://www.vietnamworks.com/tro-ly-tong-giam-djoc-nam-2014787-jv","Xem chi tiết")</f>
        <v/>
      </c>
      <c r="O4062" s="10" t="n"/>
    </row>
    <row r="4063">
      <c r="B4063" s="7" t="n">
        <v>4061</v>
      </c>
      <c r="C4063" t="inlineStr">
        <is>
          <t>Mechanical Engineer</t>
        </is>
      </c>
      <c r="D4063" t="inlineStr">
        <is>
          <t>Fushan Technology Vietnam</t>
        </is>
      </c>
      <c r="E4063" t="inlineStr">
        <is>
          <t>Thương lượng</t>
        </is>
      </c>
      <c r="F4063" t="inlineStr">
        <is>
          <t>Bắc Ninh, Hà Nội, Bắc Giang</t>
        </is>
      </c>
      <c r="G4063" t="inlineStr">
        <is>
          <t>Nhân viên</t>
        </is>
      </c>
      <c r="H4063" t="inlineStr">
        <is>
          <t>26/02/2026</t>
        </is>
      </c>
      <c r="I4063" t="inlineStr">
        <is>
          <t>28/03/2026</t>
        </is>
      </c>
      <c r="J4063" t="inlineStr">
        <is>
          <t>17/03/2026</t>
        </is>
      </c>
      <c r="K4063" t="inlineStr">
        <is>
          <t>N/A</t>
        </is>
      </c>
      <c r="L4063" t="inlineStr">
        <is>
          <t>Gia Công Cơ Khí, Giám Sát Thi Công, Lắp Ráp, Sửa Chữa, Đọc Hiểu Bản Vẽ</t>
        </is>
      </c>
      <c r="M4063" t="inlineStr">
        <is>
          <t>Bonus, Healthcare Plan, Paid Leave</t>
        </is>
      </c>
      <c r="N4063" s="8">
        <f>HYPERLINK("https://www.vietnamworks.com/mechanical-engineer-2014792-jv","Xem chi tiết")</f>
        <v/>
      </c>
    </row>
    <row r="4064">
      <c r="B4064" s="9" t="n">
        <v>4062</v>
      </c>
      <c r="C4064" s="10" t="inlineStr">
        <is>
          <t>Senior Reservoir Engineer</t>
        </is>
      </c>
      <c r="D4064" s="10" t="inlineStr">
        <is>
          <t>Thang Long Joint Operating Company</t>
        </is>
      </c>
      <c r="E4064" s="10" t="inlineStr">
        <is>
          <t>Thương lượng</t>
        </is>
      </c>
      <c r="F4064" s="10" t="inlineStr">
        <is>
          <t>Hồ Chí Minh</t>
        </is>
      </c>
      <c r="G4064" s="10" t="inlineStr">
        <is>
          <t>Nhân viên</t>
        </is>
      </c>
      <c r="H4064" s="10" t="inlineStr">
        <is>
          <t>26/02/2026</t>
        </is>
      </c>
      <c r="I4064" s="10" t="inlineStr">
        <is>
          <t>28/03/2026</t>
        </is>
      </c>
      <c r="J4064" s="10" t="inlineStr">
        <is>
          <t>17/03/2026</t>
        </is>
      </c>
      <c r="K4064" s="10" t="inlineStr">
        <is>
          <t>N/A</t>
        </is>
      </c>
      <c r="L4064" s="10" t="inlineStr">
        <is>
          <t>Reservoir Simulation, Geospatial Modeling, Reservoir Engineering, Plan Development, Communication Skills</t>
        </is>
      </c>
      <c r="M4064" s="10" t="inlineStr">
        <is>
          <t>Others</t>
        </is>
      </c>
      <c r="N4064" s="11">
        <f>HYPERLINK("https://www.vietnamworks.com/senior-reservoir-engineer-2014796-jv","Xem chi tiết")</f>
        <v/>
      </c>
      <c r="O4064" s="10" t="n"/>
    </row>
    <row r="4065">
      <c r="B4065" s="7" t="n">
        <v>4063</v>
      </c>
      <c r="C4065" t="inlineStr">
        <is>
          <t>[Tuyển Gấp] Social Media Leader</t>
        </is>
      </c>
      <c r="D4065" t="inlineStr">
        <is>
          <t>CÔNG TY TNHH MỘT THÀNH VIÊN NGHỆ THUẬT 1984 STUDIO</t>
        </is>
      </c>
      <c r="E4065" t="inlineStr">
        <is>
          <t>15tr-20tr ₫/tháng</t>
        </is>
      </c>
      <c r="F4065" t="inlineStr">
        <is>
          <t>Hà Nội, Quảng Nam, Thừa Thiên Huế</t>
        </is>
      </c>
      <c r="G4065" t="inlineStr">
        <is>
          <t>Nhân viên</t>
        </is>
      </c>
      <c r="H4065" t="inlineStr">
        <is>
          <t>26/02/2026</t>
        </is>
      </c>
      <c r="I4065" t="inlineStr">
        <is>
          <t>28/03/2026</t>
        </is>
      </c>
      <c r="J4065" t="inlineStr">
        <is>
          <t>17/03/2026</t>
        </is>
      </c>
      <c r="K4065" t="inlineStr">
        <is>
          <t>N/A</t>
        </is>
      </c>
      <c r="L4065" t="inlineStr">
        <is>
          <t>Social Media Marketing, Content Creation, Visual Communication, Leadership, Social Media Content</t>
        </is>
      </c>
      <c r="M4065" t="inlineStr">
        <is>
          <t>Others</t>
        </is>
      </c>
      <c r="N4065" s="8">
        <f>HYPERLINK("https://www.vietnamworks.com/tuyen-gap-social-media-leader-2014805-jv","Xem chi tiết")</f>
        <v/>
      </c>
    </row>
    <row r="4066">
      <c r="B4066" s="9" t="n">
        <v>4064</v>
      </c>
      <c r="C4066" s="10" t="inlineStr">
        <is>
          <t>Chuyên Viên Cao Cấp Đầu Tư</t>
        </is>
      </c>
      <c r="D4066" s="10" t="inlineStr">
        <is>
          <t>CÔNG TY CỔ PHẦN AMBER CAPITAL HOLDINGS</t>
        </is>
      </c>
      <c r="E4066" s="10" t="inlineStr">
        <is>
          <t>Thương lượng</t>
        </is>
      </c>
      <c r="F4066" s="10" t="inlineStr">
        <is>
          <t>Hà Nội</t>
        </is>
      </c>
      <c r="G4066" s="10" t="inlineStr">
        <is>
          <t>Nhân viên</t>
        </is>
      </c>
      <c r="H4066" s="10" t="inlineStr">
        <is>
          <t>26/02/2026</t>
        </is>
      </c>
      <c r="I4066" s="10" t="inlineStr">
        <is>
          <t>28/03/2026</t>
        </is>
      </c>
      <c r="J4066" s="10" t="inlineStr">
        <is>
          <t>17/03/2026</t>
        </is>
      </c>
      <c r="K4066" s="10" t="inlineStr">
        <is>
          <t>N/A</t>
        </is>
      </c>
      <c r="L4066" s="10" t="inlineStr">
        <is>
          <t>Phân Tích Tài Chính, Đàm Phán, Tin Học Văn Phòng, Tín Dụng Doanh Nghiệp, Đầu Tư</t>
        </is>
      </c>
      <c r="M4066" s="10" t="inlineStr">
        <is>
          <t>Bonus, Healthcare Plan, Travel Opportunities, Team Activities, Others</t>
        </is>
      </c>
      <c r="N4066" s="11">
        <f>HYPERLINK("https://www.vietnamworks.com/chuyen-vien-cao-cap-djau-tu-2014793-jv","Xem chi tiết")</f>
        <v/>
      </c>
      <c r="O4066" s="10" t="n"/>
    </row>
    <row r="4067">
      <c r="B4067" s="7" t="n">
        <v>4065</v>
      </c>
      <c r="C4067" t="inlineStr">
        <is>
          <t>Kỹ Thuật Lập Trình Máy CNC (Lương Cao Đi Làm Ngay)</t>
        </is>
      </c>
      <c r="D4067" t="inlineStr">
        <is>
          <t>CÔNG TY TNHH PHAN VINH SEIMITSU</t>
        </is>
      </c>
      <c r="E4067" t="inlineStr">
        <is>
          <t>Thương lượng</t>
        </is>
      </c>
      <c r="F4067" t="inlineStr">
        <is>
          <t>Hồ Chí Minh</t>
        </is>
      </c>
      <c r="G4067" t="inlineStr">
        <is>
          <t>Mới Tốt Nghiệp</t>
        </is>
      </c>
      <c r="H4067" t="inlineStr">
        <is>
          <t>26/02/2026</t>
        </is>
      </c>
      <c r="I4067" t="inlineStr">
        <is>
          <t>28/03/2026</t>
        </is>
      </c>
      <c r="J4067" t="inlineStr">
        <is>
          <t>17/03/2026</t>
        </is>
      </c>
      <c r="K4067" t="inlineStr">
        <is>
          <t>N/A</t>
        </is>
      </c>
      <c r="L4067" t="inlineStr">
        <is>
          <t>AutoCAD, Cơ Khí, Gia Công Cơ Khí, Master Cam</t>
        </is>
      </c>
      <c r="M4067" t="inlineStr">
        <is>
          <t>Bonus, Healthcare Plan, Canteen, Others</t>
        </is>
      </c>
      <c r="N4067" s="8">
        <f>HYPERLINK("https://www.vietnamworks.com/ky-thuat-lap-trinh-may-cnc-luong-cao-di-lam-ngay-2014799-jv","Xem chi tiết")</f>
        <v/>
      </c>
    </row>
    <row r="4068">
      <c r="B4068" s="9" t="n">
        <v>4066</v>
      </c>
      <c r="C4068" s="10" t="inlineStr">
        <is>
          <t>Chuyên Viên Kinh Doanh (B2B)</t>
        </is>
      </c>
      <c r="D4068" s="10" t="inlineStr">
        <is>
          <t>Công Ty TNHH Thương Mại Sản Xuất Tân Hùng Cơ</t>
        </is>
      </c>
      <c r="E4068" s="10" t="inlineStr">
        <is>
          <t>Thương lượng</t>
        </is>
      </c>
      <c r="F4068" s="10" t="inlineStr">
        <is>
          <t>Hồ Chí Minh</t>
        </is>
      </c>
      <c r="G4068" s="10" t="inlineStr">
        <is>
          <t>Nhân viên</t>
        </is>
      </c>
      <c r="H4068" s="10" t="inlineStr">
        <is>
          <t>26/02/2026</t>
        </is>
      </c>
      <c r="I4068" s="10" t="inlineStr">
        <is>
          <t>28/03/2026</t>
        </is>
      </c>
      <c r="J4068" s="10" t="inlineStr">
        <is>
          <t>17/03/2026</t>
        </is>
      </c>
      <c r="K4068" s="10" t="inlineStr">
        <is>
          <t>N/A</t>
        </is>
      </c>
      <c r="L4068" s="10" t="inlineStr">
        <is>
          <t>B2B Sales, Kinh Doanh Hàng Kỹ Thuật, Nhựa Hóa Chất, Tìm Kiếm Khách Hàng, Chăm Sóc Khách Hàng</t>
        </is>
      </c>
      <c r="M4068" s="10" t="inlineStr">
        <is>
          <t>Bonus, Training, Travel Opportunities</t>
        </is>
      </c>
      <c r="N4068" s="11">
        <f>HYPERLINK("https://www.vietnamworks.com/chuyen-vien-kinh-doanh-b2b--2014791-jv","Xem chi tiết")</f>
        <v/>
      </c>
      <c r="O4068" s="10" t="n"/>
    </row>
    <row r="4069">
      <c r="B4069" s="7" t="n">
        <v>4067</v>
      </c>
      <c r="C4069" t="inlineStr">
        <is>
          <t>Kế Toán Tổng Hợp kiêm Kế Toán Trưởng Lương Net: 20-25 Triệu</t>
        </is>
      </c>
      <c r="D4069" t="inlineStr">
        <is>
          <t>Công Ty TNHH Vinafoam Việt Nam</t>
        </is>
      </c>
      <c r="E4069" t="inlineStr">
        <is>
          <t>20tr-25tr ₫/tháng</t>
        </is>
      </c>
      <c r="F4069" t="inlineStr">
        <is>
          <t>Hà Nội</t>
        </is>
      </c>
      <c r="G4069" t="inlineStr">
        <is>
          <t>Nhân viên</t>
        </is>
      </c>
      <c r="H4069" t="inlineStr">
        <is>
          <t>26/02/2026</t>
        </is>
      </c>
      <c r="I4069" t="inlineStr">
        <is>
          <t>28/03/2026</t>
        </is>
      </c>
      <c r="J4069" t="inlineStr">
        <is>
          <t>17/03/2026</t>
        </is>
      </c>
      <c r="K4069" t="inlineStr">
        <is>
          <t>N/A</t>
        </is>
      </c>
      <c r="L4069" t="inlineStr">
        <is>
          <t>Kế Toán, Tài Chính, Lập Kế Hoạch Tài Chính, Quản Lý Tài Chính, Quyết Toán Thuế</t>
        </is>
      </c>
      <c r="M4069" t="inlineStr">
        <is>
          <t>Healthcare Plan, Paid Leave, Travel Opportunities, Others</t>
        </is>
      </c>
      <c r="N4069" s="8">
        <f>HYPERLINK("https://www.vietnamworks.com/ke-toan-tong-hop-kiem-ke-toan-truong-luong-net-20-25-trieu-2014802-jv","Xem chi tiết")</f>
        <v/>
      </c>
    </row>
    <row r="4070">
      <c r="B4070" s="9" t="n">
        <v>4068</v>
      </c>
      <c r="C4070" s="10" t="inlineStr">
        <is>
          <t>Phụ Trách Tài Chính</t>
        </is>
      </c>
      <c r="D4070" s="10" t="inlineStr">
        <is>
          <t>Công Ty TNHH Thiết Bị Đầu Tư Bình Minh</t>
        </is>
      </c>
      <c r="E4070" s="10" t="inlineStr">
        <is>
          <t>Thương lượng</t>
        </is>
      </c>
      <c r="F4070" s="10" t="inlineStr">
        <is>
          <t>Hà Nội</t>
        </is>
      </c>
      <c r="G4070" s="10" t="inlineStr">
        <is>
          <t>Nhân viên</t>
        </is>
      </c>
      <c r="H4070" s="10" t="inlineStr">
        <is>
          <t>26/02/2026</t>
        </is>
      </c>
      <c r="I4070" s="10" t="inlineStr">
        <is>
          <t>28/03/2026</t>
        </is>
      </c>
      <c r="J4070" s="10" t="inlineStr">
        <is>
          <t>17/03/2026</t>
        </is>
      </c>
      <c r="K4070" s="10" t="inlineStr">
        <is>
          <t>N/A</t>
        </is>
      </c>
      <c r="L4070" s="10" t="inlineStr">
        <is>
          <t>ACCA, CFA, Excel, Quản Lý Dòng Tiền, Tài Chính</t>
        </is>
      </c>
      <c r="M4070" s="10" t="inlineStr">
        <is>
          <t>Bonus, Healthcare Plan, Paid Leave, Travel Opportunities, Team Activities, Others</t>
        </is>
      </c>
      <c r="N4070" s="11">
        <f>HYPERLINK("https://www.vietnamworks.com/phu-trach-tai-chinh-2014816-jv","Xem chi tiết")</f>
        <v/>
      </c>
      <c r="O4070" s="10" t="n"/>
    </row>
    <row r="4071">
      <c r="B4071" s="7" t="n">
        <v>4069</v>
      </c>
      <c r="C4071" t="inlineStr">
        <is>
          <t>Trưởng Phòng Hành Chính Nhân Sự</t>
        </is>
      </c>
      <c r="D4071" t="inlineStr">
        <is>
          <t>Công Ty Cổ phần Đầu Tư Tài Chính và An Ninh Công Nghệ IFT</t>
        </is>
      </c>
      <c r="E4071" t="inlineStr">
        <is>
          <t>Thương lượng</t>
        </is>
      </c>
      <c r="F4071" t="inlineStr">
        <is>
          <t>Hà Nội</t>
        </is>
      </c>
      <c r="G4071" t="inlineStr">
        <is>
          <t>Trưởng phòng</t>
        </is>
      </c>
      <c r="H4071" t="inlineStr">
        <is>
          <t>26/02/2026</t>
        </is>
      </c>
      <c r="I4071" t="inlineStr">
        <is>
          <t>28/03/2026</t>
        </is>
      </c>
      <c r="J4071" t="inlineStr">
        <is>
          <t>17/03/2026</t>
        </is>
      </c>
      <c r="K4071" t="inlineStr">
        <is>
          <t>N/A</t>
        </is>
      </c>
      <c r="L4071" t="inlineStr">
        <is>
          <t>Giao Tiếp, Hành Chính Nhân Sự, Luật Lao Động, Quản Trị Nhân Sự, Tin Học Văn Phòng</t>
        </is>
      </c>
      <c r="M4071" t="inlineStr">
        <is>
          <t>Healthcare Plan, Training, Others</t>
        </is>
      </c>
      <c r="N4071" s="8">
        <f>HYPERLINK("https://www.vietnamworks.com/truong-phong-hanh-chinh-nhan-su-2014829-jv","Xem chi tiết")</f>
        <v/>
      </c>
    </row>
    <row r="4072">
      <c r="B4072" s="9" t="n">
        <v>4070</v>
      </c>
      <c r="C4072" s="10" t="inlineStr">
        <is>
          <t>Chuyên Viên Bảo Lãnh Viện Phí</t>
        </is>
      </c>
      <c r="D4072" s="10" t="inlineStr">
        <is>
          <t>Tổng Công Ty Bảo Hiểm Bảo Việt</t>
        </is>
      </c>
      <c r="E4072" s="10" t="inlineStr">
        <is>
          <t>Từ $ 500 /tháng</t>
        </is>
      </c>
      <c r="F4072" s="10" t="inlineStr">
        <is>
          <t>Hà Nội</t>
        </is>
      </c>
      <c r="G4072" s="10" t="inlineStr">
        <is>
          <t>Nhân viên</t>
        </is>
      </c>
      <c r="H4072" s="10" t="inlineStr">
        <is>
          <t>26/02/2026</t>
        </is>
      </c>
      <c r="I4072" s="10" t="inlineStr">
        <is>
          <t>28/03/2026</t>
        </is>
      </c>
      <c r="J4072" s="10" t="inlineStr">
        <is>
          <t>17/03/2026</t>
        </is>
      </c>
      <c r="K4072" s="10" t="inlineStr">
        <is>
          <t>N/A</t>
        </is>
      </c>
      <c r="L4072" s="10" t="inlineStr">
        <is>
          <t>Bảo Hiểm, Giao Tiếp, Giải Quyết Khiếu Nại, Quản Lý Bảo Lãnh, Tiếng Anh</t>
        </is>
      </c>
      <c r="M4072" s="10" t="inlineStr">
        <is>
          <t>Bonus, Healthcare Plan, Others</t>
        </is>
      </c>
      <c r="N4072" s="11">
        <f>HYPERLINK("https://www.vietnamworks.com/chuyen-vien-bao-lanh-vien-phi-2014806-jv","Xem chi tiết")</f>
        <v/>
      </c>
      <c r="O4072" s="10" t="n"/>
    </row>
    <row r="4073">
      <c r="B4073" s="7" t="n">
        <v>4071</v>
      </c>
      <c r="C4073" t="inlineStr">
        <is>
          <t>Nhân Viên Thiết Kế Đồ Họa</t>
        </is>
      </c>
      <c r="D4073" t="inlineStr">
        <is>
          <t>Công Ty TNHH Noble (Việt Nam)</t>
        </is>
      </c>
      <c r="E4073" t="inlineStr">
        <is>
          <t>Thương lượng</t>
        </is>
      </c>
      <c r="F4073" t="inlineStr">
        <is>
          <t>Hà Nội</t>
        </is>
      </c>
      <c r="G4073" t="inlineStr">
        <is>
          <t>Mới Tốt Nghiệp</t>
        </is>
      </c>
      <c r="H4073" t="inlineStr">
        <is>
          <t>26/02/2026</t>
        </is>
      </c>
      <c r="I4073" t="inlineStr">
        <is>
          <t>28/03/2026</t>
        </is>
      </c>
      <c r="J4073" t="inlineStr">
        <is>
          <t>17/03/2026</t>
        </is>
      </c>
      <c r="K4073" t="inlineStr">
        <is>
          <t>N/A</t>
        </is>
      </c>
      <c r="L4073" t="inlineStr">
        <is>
          <t>Graphic Design, Thiết Kế Banner, Thiết Kế Catalogue, Thiết Kế Đồ Họa, Truyền Thông</t>
        </is>
      </c>
      <c r="M4073" t="inlineStr">
        <is>
          <t>Healthcare Plan, Canteen</t>
        </is>
      </c>
      <c r="N4073" s="8">
        <f>HYPERLINK("https://www.vietnamworks.com/nhan-vien-thiet-ke-djo-hoa-2014813-jv","Xem chi tiết")</f>
        <v/>
      </c>
    </row>
    <row r="4074">
      <c r="B4074" s="9" t="n">
        <v>4072</v>
      </c>
      <c r="C4074" s="10" t="inlineStr">
        <is>
          <t>Chuyên Gia Môi Trường</t>
        </is>
      </c>
      <c r="D4074" s="10" t="inlineStr">
        <is>
          <t>Công ty Cổ phần Tư vấn Văn Phú</t>
        </is>
      </c>
      <c r="E4074" s="10" t="inlineStr">
        <is>
          <t>Thương lượng</t>
        </is>
      </c>
      <c r="F4074" s="10" t="inlineStr">
        <is>
          <t>Hà Nội</t>
        </is>
      </c>
      <c r="G4074" s="10" t="inlineStr">
        <is>
          <t>Nhân viên</t>
        </is>
      </c>
      <c r="H4074" s="10" t="inlineStr">
        <is>
          <t>26/02/2026</t>
        </is>
      </c>
      <c r="I4074" s="10" t="inlineStr">
        <is>
          <t>28/03/2026</t>
        </is>
      </c>
      <c r="J4074" s="10" t="inlineStr">
        <is>
          <t>17/03/2026</t>
        </is>
      </c>
      <c r="K4074" s="10" t="inlineStr">
        <is>
          <t>N/A</t>
        </is>
      </c>
      <c r="L4074" s="10" t="inlineStr">
        <is>
          <t>Tư Vấn Môi Trường, Lập Báo Cáo, Phân Tích Số Liệu, Giao Tiếp Tiếng Anh, Làm Việc Nhóm</t>
        </is>
      </c>
      <c r="M4074" s="10" t="inlineStr">
        <is>
          <t>Bonus, Healthcare Plan, Others</t>
        </is>
      </c>
      <c r="N4074" s="11">
        <f>HYPERLINK("https://www.vietnamworks.com/chuyen-gia-moi-truong-2014804-jv","Xem chi tiết")</f>
        <v/>
      </c>
      <c r="O4074" s="10" t="n"/>
    </row>
    <row r="4075">
      <c r="B4075" s="7" t="n">
        <v>4073</v>
      </c>
      <c r="C4075" t="inlineStr">
        <is>
          <t>Chuyên Gia Điều Tra Gian Lận</t>
        </is>
      </c>
      <c r="D4075" t="inlineStr">
        <is>
          <t>Ngân Hàng Thương Mại Cổ Phần Thịnh Vượng Và Phát Triển (PGBANK)</t>
        </is>
      </c>
      <c r="E4075" t="inlineStr">
        <is>
          <t>$$ 1,000-1,500 /tháng</t>
        </is>
      </c>
      <c r="F4075" t="inlineStr">
        <is>
          <t>Hà Nội</t>
        </is>
      </c>
      <c r="G4075" t="inlineStr">
        <is>
          <t>Nhân viên</t>
        </is>
      </c>
      <c r="H4075" t="inlineStr">
        <is>
          <t>26/02/2026</t>
        </is>
      </c>
      <c r="I4075" t="inlineStr">
        <is>
          <t>28/03/2026</t>
        </is>
      </c>
      <c r="J4075" t="inlineStr">
        <is>
          <t>17/03/2026</t>
        </is>
      </c>
      <c r="K4075" t="inlineStr">
        <is>
          <t>N/A</t>
        </is>
      </c>
      <c r="L4075" t="inlineStr">
        <is>
          <t>Điều Tra Gian Lận, Kiểm Soát Tuân Thủ, Điều Tra Gian Lận Tài Chính, Fraud Investigation</t>
        </is>
      </c>
      <c r="M4075" t="inlineStr">
        <is>
          <t>Bonus, Healthcare Plan, Transportation</t>
        </is>
      </c>
      <c r="N4075" s="8">
        <f>HYPERLINK("https://www.vietnamworks.com/chuyen-gia-dieu-tra-gian-lan-2014807-jv","Xem chi tiết")</f>
        <v/>
      </c>
    </row>
    <row r="4076">
      <c r="B4076" s="9" t="n">
        <v>4074</v>
      </c>
      <c r="C4076" s="10" t="inlineStr">
        <is>
          <t>Client Communication &amp; Engagement Coordinator</t>
        </is>
      </c>
      <c r="D4076" s="10" t="inlineStr">
        <is>
          <t>MiTek Việt Nam</t>
        </is>
      </c>
      <c r="E4076" s="10" t="inlineStr">
        <is>
          <t>Thương lượng</t>
        </is>
      </c>
      <c r="F4076" s="10" t="inlineStr">
        <is>
          <t>Hồ Chí Minh</t>
        </is>
      </c>
      <c r="G4076" s="10" t="inlineStr">
        <is>
          <t>Nhân viên</t>
        </is>
      </c>
      <c r="H4076" s="10" t="inlineStr">
        <is>
          <t>26/02/2026</t>
        </is>
      </c>
      <c r="I4076" s="10" t="inlineStr">
        <is>
          <t>28/03/2026</t>
        </is>
      </c>
      <c r="J4076" s="10" t="inlineStr">
        <is>
          <t>17/03/2026</t>
        </is>
      </c>
      <c r="K4076" s="10" t="inlineStr">
        <is>
          <t>N/A</t>
        </is>
      </c>
      <c r="L4076" s="10" t="inlineStr">
        <is>
          <t>English, Booking Management, Hospitality Knowledge, Travel Arrangement</t>
        </is>
      </c>
      <c r="M4076" s="10" t="inlineStr">
        <is>
          <t>Bonus, Team Activities, Others</t>
        </is>
      </c>
      <c r="N4076" s="11">
        <f>HYPERLINK("https://www.vietnamworks.com/client-communication-engagement-coordinator-2014837-jv","Xem chi tiết")</f>
        <v/>
      </c>
      <c r="O4076" s="10" t="n"/>
    </row>
    <row r="4077">
      <c r="B4077" s="7" t="n">
        <v>4075</v>
      </c>
      <c r="C4077" t="inlineStr">
        <is>
          <t>Phó Trưởng Phòng Pháp Chế</t>
        </is>
      </c>
      <c r="D4077" t="inlineStr">
        <is>
          <t>Trường Đại Học Đại Nam</t>
        </is>
      </c>
      <c r="E4077" t="inlineStr">
        <is>
          <t>25tr-30tr ₫/tháng</t>
        </is>
      </c>
      <c r="F4077" t="inlineStr">
        <is>
          <t>Hà Nội</t>
        </is>
      </c>
      <c r="G4077" t="inlineStr">
        <is>
          <t>Trưởng phòng</t>
        </is>
      </c>
      <c r="H4077" t="inlineStr">
        <is>
          <t>26/02/2026</t>
        </is>
      </c>
      <c r="I4077" t="inlineStr">
        <is>
          <t>28/03/2026</t>
        </is>
      </c>
      <c r="J4077" t="inlineStr">
        <is>
          <t>17/03/2026</t>
        </is>
      </c>
      <c r="K4077" t="inlineStr">
        <is>
          <t>N/A</t>
        </is>
      </c>
      <c r="L4077" t="inlineStr">
        <is>
          <t>Giáo dục kinh tế và pháp luật, Luật, Pháp Chế, Quản Lý Rủi Ro, Đàm Phán</t>
        </is>
      </c>
      <c r="M4077" t="inlineStr">
        <is>
          <t>Paid Leave, Training, Others</t>
        </is>
      </c>
      <c r="N4077" s="8">
        <f>HYPERLINK("https://www.vietnamworks.com/pho-truong-phong-phap-che-2014814-jv","Xem chi tiết")</f>
        <v/>
      </c>
    </row>
    <row r="4078">
      <c r="B4078" s="9" t="n">
        <v>4076</v>
      </c>
      <c r="C4078" s="10" t="inlineStr">
        <is>
          <t>Senior Customer Service Coordinator</t>
        </is>
      </c>
      <c r="D4078" s="10" t="inlineStr">
        <is>
          <t>Công Ty TNHH Thiết Kế Thương Mại DLS</t>
        </is>
      </c>
      <c r="E4078" s="10" t="inlineStr">
        <is>
          <t>Tới 35tr ₫/tháng</t>
        </is>
      </c>
      <c r="F4078" s="10" t="inlineStr">
        <is>
          <t>Thanh Hóa, Hà Nội</t>
        </is>
      </c>
      <c r="G4078" s="10" t="inlineStr">
        <is>
          <t>Nhân viên</t>
        </is>
      </c>
      <c r="H4078" s="10" t="inlineStr">
        <is>
          <t>26/02/2026</t>
        </is>
      </c>
      <c r="I4078" s="10" t="inlineStr">
        <is>
          <t>28/03/2026</t>
        </is>
      </c>
      <c r="J4078" s="10" t="inlineStr">
        <is>
          <t>17/03/2026</t>
        </is>
      </c>
      <c r="K4078" s="10" t="inlineStr">
        <is>
          <t>N/A</t>
        </is>
      </c>
      <c r="L4078" s="10" t="inlineStr">
        <is>
          <t>Customer Support, English, Mentorship, Process Improvement, Team Management</t>
        </is>
      </c>
      <c r="M4078" s="10" t="inlineStr">
        <is>
          <t>Bonus, Healthcare Plan, Paid Leave, Canteen</t>
        </is>
      </c>
      <c r="N4078" s="11">
        <f>HYPERLINK("https://www.vietnamworks.com/senior-customer-service-coordinator-2014826-jv","Xem chi tiết")</f>
        <v/>
      </c>
      <c r="O4078" s="10" t="n"/>
    </row>
    <row r="4079">
      <c r="B4079" s="7" t="n">
        <v>4077</v>
      </c>
      <c r="C4079" t="inlineStr">
        <is>
          <t>Sales Executive</t>
        </is>
      </c>
      <c r="D4079" t="inlineStr">
        <is>
          <t>Công Ty TNHH Nippon Paint Việt Nam (Hà Nội)</t>
        </is>
      </c>
      <c r="E4079" t="inlineStr">
        <is>
          <t>$$ 800-1,000 /tháng</t>
        </is>
      </c>
      <c r="F4079" t="inlineStr">
        <is>
          <t>Hà Nội</t>
        </is>
      </c>
      <c r="G4079" t="inlineStr">
        <is>
          <t>Nhân viên</t>
        </is>
      </c>
      <c r="H4079" t="inlineStr">
        <is>
          <t>26/02/2026</t>
        </is>
      </c>
      <c r="I4079" t="inlineStr">
        <is>
          <t>28/03/2026</t>
        </is>
      </c>
      <c r="J4079" t="inlineStr">
        <is>
          <t>17/03/2026</t>
        </is>
      </c>
      <c r="K4079" t="inlineStr">
        <is>
          <t>N/A</t>
        </is>
      </c>
      <c r="L4079" t="inlineStr">
        <is>
          <t>Pháp Lý, Pháp Chế Doanh Nghiệp, Luật Sản Xuất, Luật Môi Trường</t>
        </is>
      </c>
      <c r="M4079" t="inlineStr">
        <is>
          <t>Bonus, Healthcare Plan, Training</t>
        </is>
      </c>
      <c r="N4079" s="8">
        <f>HYPERLINK("https://www.vietnamworks.com/sales-executive--2014836-jv","Xem chi tiết")</f>
        <v/>
      </c>
    </row>
    <row r="4080">
      <c r="B4080" s="9" t="n">
        <v>4078</v>
      </c>
      <c r="C4080" s="10" t="inlineStr">
        <is>
          <t>Chuyên Viên Pháp Chế &amp; Tuân Thủ</t>
        </is>
      </c>
      <c r="D4080" s="10" t="inlineStr">
        <is>
          <t>Tập đoàn VINASEED</t>
        </is>
      </c>
      <c r="E4080" s="10" t="inlineStr">
        <is>
          <t>Thương lượng</t>
        </is>
      </c>
      <c r="F4080" s="10" t="inlineStr">
        <is>
          <t>Hà Nội</t>
        </is>
      </c>
      <c r="G4080" s="10" t="inlineStr">
        <is>
          <t>Trưởng phòng</t>
        </is>
      </c>
      <c r="H4080" s="10" t="inlineStr">
        <is>
          <t>26/02/2026</t>
        </is>
      </c>
      <c r="I4080" s="10" t="inlineStr">
        <is>
          <t>28/03/2026</t>
        </is>
      </c>
      <c r="J4080" s="10" t="inlineStr">
        <is>
          <t>17/03/2026</t>
        </is>
      </c>
      <c r="K4080" s="10" t="inlineStr">
        <is>
          <t>N/A</t>
        </is>
      </c>
      <c r="L4080" s="10" t="inlineStr">
        <is>
          <t>Kiểm Soát Tuân Thủ, Luật Doanh Nghiệp, Pháp Chế, Tư Vấn Pháp Lý, Xử Lý Tình Huống</t>
        </is>
      </c>
      <c r="M4080" s="10" t="inlineStr">
        <is>
          <t>Bonus, Healthcare Plan, Training, Others</t>
        </is>
      </c>
      <c r="N4080" s="11">
        <f>HYPERLINK("https://www.vietnamworks.com/chuyen-vien-phap-che-and-tuan-thu-2014831-jv","Xem chi tiết")</f>
        <v/>
      </c>
      <c r="O4080" s="10" t="n"/>
    </row>
    <row r="4081">
      <c r="B4081" s="7" t="n">
        <v>4079</v>
      </c>
      <c r="C4081" t="inlineStr">
        <is>
          <t>Chuyên Viên Tài Chính</t>
        </is>
      </c>
      <c r="D4081" t="inlineStr">
        <is>
          <t>Công Ty Cổ phần Đầu Tư Tài Chính và An Ninh Công Nghệ IFT</t>
        </is>
      </c>
      <c r="E4081" t="inlineStr">
        <is>
          <t>20tr-30tr ₫/tháng</t>
        </is>
      </c>
      <c r="F4081" t="inlineStr">
        <is>
          <t>Hà Nội</t>
        </is>
      </c>
      <c r="G4081" t="inlineStr">
        <is>
          <t>Nhân viên</t>
        </is>
      </c>
      <c r="H4081" t="inlineStr">
        <is>
          <t>26/02/2026</t>
        </is>
      </c>
      <c r="I4081" t="inlineStr">
        <is>
          <t>28/03/2026</t>
        </is>
      </c>
      <c r="J4081" t="inlineStr">
        <is>
          <t>17/03/2026</t>
        </is>
      </c>
      <c r="K4081" t="inlineStr">
        <is>
          <t>N/A</t>
        </is>
      </c>
      <c r="L4081" t="inlineStr">
        <is>
          <t>Lập Kế Hoạch Tài Chính, Phân Tích Tài Chính, Quản Lý Chi Phí, Quản Lý Dòng Tiền, Trung Thực</t>
        </is>
      </c>
      <c r="M4081" t="inlineStr">
        <is>
          <t>Bonus, Healthcare Plan, Training, Others</t>
        </is>
      </c>
      <c r="N4081" s="8">
        <f>HYPERLINK("https://www.vietnamworks.com/chuyen-vien-tai-chinh-2014817-jv","Xem chi tiết")</f>
        <v/>
      </c>
    </row>
    <row r="4082">
      <c r="B4082" s="9" t="n">
        <v>4080</v>
      </c>
      <c r="C4082" s="10" t="inlineStr">
        <is>
          <t>Trưởng Phòng Nhân Sự</t>
        </is>
      </c>
      <c r="D4082" s="10" t="inlineStr">
        <is>
          <t>Công ty TNHH Tập đoàn Phú Hồ Gia</t>
        </is>
      </c>
      <c r="E4082" s="10" t="inlineStr">
        <is>
          <t>Thương lượng</t>
        </is>
      </c>
      <c r="F4082" s="10" t="inlineStr">
        <is>
          <t>Hà Nội</t>
        </is>
      </c>
      <c r="G4082" s="10" t="inlineStr">
        <is>
          <t>Trưởng phòng</t>
        </is>
      </c>
      <c r="H4082" s="10" t="inlineStr">
        <is>
          <t>26/02/2026</t>
        </is>
      </c>
      <c r="I4082" s="10" t="inlineStr">
        <is>
          <t>28/03/2026</t>
        </is>
      </c>
      <c r="J4082" s="10" t="inlineStr">
        <is>
          <t>17/03/2026</t>
        </is>
      </c>
      <c r="K4082" s="10" t="inlineStr">
        <is>
          <t>N/A</t>
        </is>
      </c>
      <c r="L4082" s="10" t="inlineStr">
        <is>
          <t>Quản Trị Nhân Sự, Nhân Sự, HR, Du lịch, Du Lịch Khách Sạn</t>
        </is>
      </c>
      <c r="M4082" s="10" t="inlineStr">
        <is>
          <t>Bonus, Healthcare Plan, Others</t>
        </is>
      </c>
      <c r="N4082" s="11">
        <f>HYPERLINK("https://www.vietnamworks.com/truong-phong-nhan-su--2014833-jv","Xem chi tiết")</f>
        <v/>
      </c>
      <c r="O4082" s="10" t="n"/>
    </row>
    <row r="4083">
      <c r="B4083" s="7" t="n">
        <v>4081</v>
      </c>
      <c r="C4083" t="inlineStr">
        <is>
          <t>English Interpreter (Prefer to Have Mandarin Or Japanese)</t>
        </is>
      </c>
      <c r="D4083" t="inlineStr">
        <is>
          <t>Arup Vietnam Limited (Arup)</t>
        </is>
      </c>
      <c r="E4083" t="inlineStr">
        <is>
          <t>Thương lượng</t>
        </is>
      </c>
      <c r="F4083" t="inlineStr">
        <is>
          <t>Hồ Chí Minh</t>
        </is>
      </c>
      <c r="G4083" t="inlineStr">
        <is>
          <t>Nhân viên</t>
        </is>
      </c>
      <c r="H4083" t="inlineStr">
        <is>
          <t>26/02/2026</t>
        </is>
      </c>
      <c r="I4083" t="inlineStr">
        <is>
          <t>28/03/2026</t>
        </is>
      </c>
      <c r="J4083" t="inlineStr">
        <is>
          <t>17/03/2026</t>
        </is>
      </c>
      <c r="K4083" t="inlineStr">
        <is>
          <t>N/A</t>
        </is>
      </c>
      <c r="L4083" t="inlineStr">
        <is>
          <t>Translation, Interpretation, Technical Vocabulary, Proofreading, Communication</t>
        </is>
      </c>
      <c r="M4083" t="inlineStr">
        <is>
          <t>Bonus, Healthcare Plan, Paid Leave</t>
        </is>
      </c>
      <c r="N4083" s="8">
        <f>HYPERLINK("https://www.vietnamworks.com/english-interpreter-prefer-to-have-mandarin-or-japanese-2014822-jv","Xem chi tiết")</f>
        <v/>
      </c>
    </row>
    <row r="4084">
      <c r="B4084" s="9" t="n">
        <v>4082</v>
      </c>
      <c r="C4084" s="10" t="inlineStr">
        <is>
          <t>Quản Lý Nhà Hàng</t>
        </is>
      </c>
      <c r="D4084" s="10" t="inlineStr">
        <is>
          <t>Công Ty TNHH Noble (Việt Nam)</t>
        </is>
      </c>
      <c r="E4084" s="10" t="inlineStr">
        <is>
          <t>Thương lượng</t>
        </is>
      </c>
      <c r="F4084" s="10" t="inlineStr">
        <is>
          <t>Hà Nội</t>
        </is>
      </c>
      <c r="G4084" s="10" t="inlineStr">
        <is>
          <t>Trưởng phòng</t>
        </is>
      </c>
      <c r="H4084" s="10" t="inlineStr">
        <is>
          <t>26/02/2026</t>
        </is>
      </c>
      <c r="I4084" s="10" t="inlineStr">
        <is>
          <t>28/03/2026</t>
        </is>
      </c>
      <c r="J4084" s="10" t="inlineStr">
        <is>
          <t>17/03/2026</t>
        </is>
      </c>
      <c r="K4084" s="10" t="inlineStr">
        <is>
          <t>N/A</t>
        </is>
      </c>
      <c r="L4084" s="10" t="inlineStr">
        <is>
          <t>Giải Quyết Vấn Đề, Giao Tiếp Tiếng Anh, Quản Lý Nhà Hàng, Restaurant Management, Đào Tạo Nhân Sự</t>
        </is>
      </c>
      <c r="M4084" s="10" t="inlineStr">
        <is>
          <t>Healthcare Plan, Canteen</t>
        </is>
      </c>
      <c r="N4084" s="11">
        <f>HYPERLINK("https://www.vietnamworks.com/quan-ly-nha-hang-2014820-jv","Xem chi tiết")</f>
        <v/>
      </c>
      <c r="O4084" s="10" t="n"/>
    </row>
    <row r="4085">
      <c r="B4085" s="7" t="n">
        <v>4083</v>
      </c>
      <c r="C4085" t="inlineStr">
        <is>
          <t>Tổ Trưởng Cảnh Quan</t>
        </is>
      </c>
      <c r="D4085" t="inlineStr">
        <is>
          <t>Công Ty TNHH Noble (Việt Nam)</t>
        </is>
      </c>
      <c r="E4085" t="inlineStr">
        <is>
          <t>Thương lượng</t>
        </is>
      </c>
      <c r="F4085" t="inlineStr">
        <is>
          <t>Hà Nội</t>
        </is>
      </c>
      <c r="G4085" t="inlineStr">
        <is>
          <t>Nhân viên</t>
        </is>
      </c>
      <c r="H4085" t="inlineStr">
        <is>
          <t>26/02/2026</t>
        </is>
      </c>
      <c r="I4085" t="inlineStr">
        <is>
          <t>28/03/2026</t>
        </is>
      </c>
      <c r="J4085" t="inlineStr">
        <is>
          <t>17/03/2026</t>
        </is>
      </c>
      <c r="K4085" t="inlineStr">
        <is>
          <t>N/A</t>
        </is>
      </c>
      <c r="L4085" t="inlineStr">
        <is>
          <t>Giám Sát Cảnh Quan, Kỹ Thuật, Lâm Nghiệp, Nông Nghiệp Đô Thị, Quản Lý</t>
        </is>
      </c>
      <c r="M4085" t="inlineStr">
        <is>
          <t>Bonus</t>
        </is>
      </c>
      <c r="N4085" s="8">
        <f>HYPERLINK("https://www.vietnamworks.com/to-truong-canh-quan-2014818-jv","Xem chi tiết")</f>
        <v/>
      </c>
    </row>
    <row r="4086">
      <c r="B4086" s="9" t="n">
        <v>4084</v>
      </c>
      <c r="C4086" s="10" t="inlineStr">
        <is>
          <t>Nhân Viên Hành Chính – Nhân Sự</t>
        </is>
      </c>
      <c r="D4086" s="10" t="inlineStr">
        <is>
          <t>CÔNG TY TNHH PHAN VINH SEIMITSU</t>
        </is>
      </c>
      <c r="E4086" s="10" t="inlineStr">
        <is>
          <t>Thương lượng</t>
        </is>
      </c>
      <c r="F4086" s="10" t="inlineStr">
        <is>
          <t>Hồ Chí Minh</t>
        </is>
      </c>
      <c r="G4086" s="10" t="inlineStr">
        <is>
          <t>Nhân viên</t>
        </is>
      </c>
      <c r="H4086" s="10" t="inlineStr">
        <is>
          <t>26/02/2026</t>
        </is>
      </c>
      <c r="I4086" s="10" t="inlineStr">
        <is>
          <t>28/03/2026</t>
        </is>
      </c>
      <c r="J4086" s="10" t="inlineStr">
        <is>
          <t>17/03/2026</t>
        </is>
      </c>
      <c r="K4086" s="10" t="inlineStr">
        <is>
          <t>N/A</t>
        </is>
      </c>
      <c r="L4086" s="10" t="inlineStr">
        <is>
          <t>C&amp;B, Chấm Công, Hành Chính, HR, Lưu Trữ Hồ Sơ</t>
        </is>
      </c>
      <c r="M4086" s="10" t="inlineStr">
        <is>
          <t>Bonus, Healthcare Plan, Canteen, Others</t>
        </is>
      </c>
      <c r="N4086" s="11">
        <f>HYPERLINK("https://www.vietnamworks.com/nhan-vien-hanh-chinh-nhan-su-2014819-jv","Xem chi tiết")</f>
        <v/>
      </c>
      <c r="O4086" s="10" t="n"/>
    </row>
    <row r="4087">
      <c r="B4087" s="7" t="n">
        <v>4085</v>
      </c>
      <c r="C4087" t="inlineStr">
        <is>
          <t>[Hot Job] Sales Engineer (B2B)</t>
        </is>
      </c>
      <c r="D4087" t="inlineStr">
        <is>
          <t>Công Ty TNHH Trace - Tec Việt Nam</t>
        </is>
      </c>
      <c r="E4087" t="inlineStr">
        <is>
          <t>Thương lượng</t>
        </is>
      </c>
      <c r="F4087" t="inlineStr">
        <is>
          <t>Hà Nội</t>
        </is>
      </c>
      <c r="G4087" t="inlineStr">
        <is>
          <t>Mới Tốt Nghiệp</t>
        </is>
      </c>
      <c r="H4087" t="inlineStr">
        <is>
          <t>26/02/2026</t>
        </is>
      </c>
      <c r="I4087" t="inlineStr">
        <is>
          <t>28/03/2026</t>
        </is>
      </c>
      <c r="J4087" t="inlineStr">
        <is>
          <t>17/03/2026</t>
        </is>
      </c>
      <c r="K4087" t="inlineStr">
        <is>
          <t>N/A</t>
        </is>
      </c>
      <c r="L4087" t="inlineStr">
        <is>
          <t>B2B Sales, Báo Giá, Theo Dõi Đơn Hàng, Tìm Kiếm Khách Hàng, Đàm Phán Nhà Cung Cấp</t>
        </is>
      </c>
      <c r="M4087" t="inlineStr">
        <is>
          <t>Bonus, Healthcare Plan, Paid Leave, Canteen, Others</t>
        </is>
      </c>
      <c r="N4087" s="8">
        <f>HYPERLINK("https://www.vietnamworks.com/hot-job-sales-engineer-b2b-2014828-jv","Xem chi tiết")</f>
        <v/>
      </c>
    </row>
    <row r="4088">
      <c r="B4088" s="9" t="n">
        <v>4086</v>
      </c>
      <c r="C4088" s="10" t="inlineStr">
        <is>
          <t>Nhân Viên Kiểm Soát Chất Lượng - QC</t>
        </is>
      </c>
      <c r="D4088" s="10" t="inlineStr">
        <is>
          <t>Tập Đoàn Karofi Holding</t>
        </is>
      </c>
      <c r="E4088" s="10" t="inlineStr">
        <is>
          <t>$$ 500-1,000 /tháng</t>
        </is>
      </c>
      <c r="F4088" s="10" t="inlineStr">
        <is>
          <t>Hưng Yên</t>
        </is>
      </c>
      <c r="G4088" s="10" t="inlineStr">
        <is>
          <t>Nhân viên</t>
        </is>
      </c>
      <c r="H4088" s="10" t="inlineStr">
        <is>
          <t>26/02/2026</t>
        </is>
      </c>
      <c r="I4088" s="10" t="inlineStr">
        <is>
          <t>28/03/2026</t>
        </is>
      </c>
      <c r="J4088" s="10" t="inlineStr">
        <is>
          <t>17/03/2026</t>
        </is>
      </c>
      <c r="K4088" s="10" t="inlineStr">
        <is>
          <t>N/A</t>
        </is>
      </c>
      <c r="L4088" s="10" t="inlineStr">
        <is>
          <t>Technical Drawing, Statistical Quality Control, Quality Assurance</t>
        </is>
      </c>
      <c r="M4088" s="10" t="inlineStr">
        <is>
          <t>Bonus, Healthcare Plan, Laptop</t>
        </is>
      </c>
      <c r="N4088" s="11">
        <f>HYPERLINK("https://www.vietnamworks.com/nhan-vien-kiem-soat-chat-luong-qc--2014825-jv","Xem chi tiết")</f>
        <v/>
      </c>
      <c r="O4088" s="10" t="n"/>
    </row>
    <row r="4089">
      <c r="B4089" s="7" t="n">
        <v>4087</v>
      </c>
      <c r="C4089" t="inlineStr">
        <is>
          <t>Trưởng Phòng Quản Trị - Hành Chính</t>
        </is>
      </c>
      <c r="D4089" t="inlineStr">
        <is>
          <t>Công Ty Cổ Phần Công Nghệ Môi Trường Và Xây Dựng Sài Gòn (Senco)</t>
        </is>
      </c>
      <c r="E4089" t="inlineStr">
        <is>
          <t>Thương lượng</t>
        </is>
      </c>
      <c r="F4089" t="inlineStr">
        <is>
          <t>Hồ Chí Minh</t>
        </is>
      </c>
      <c r="G4089" t="inlineStr">
        <is>
          <t>Trưởng phòng</t>
        </is>
      </c>
      <c r="H4089" t="inlineStr">
        <is>
          <t>26/02/2026</t>
        </is>
      </c>
      <c r="I4089" t="inlineStr">
        <is>
          <t>28/03/2026</t>
        </is>
      </c>
      <c r="J4089" t="inlineStr">
        <is>
          <t>17/03/2026</t>
        </is>
      </c>
      <c r="K4089" t="inlineStr">
        <is>
          <t>N/A</t>
        </is>
      </c>
      <c r="L4089" t="inlineStr">
        <is>
          <t>Admin, Hành Chính, Operations</t>
        </is>
      </c>
      <c r="M4089" t="inlineStr">
        <is>
          <t>Bonus</t>
        </is>
      </c>
      <c r="N4089" s="8">
        <f>HYPERLINK("https://www.vietnamworks.com/truong-phong-quan-tri-hanh-chinh--2014834-jv","Xem chi tiết")</f>
        <v/>
      </c>
    </row>
    <row r="4090">
      <c r="B4090" s="9" t="n">
        <v>4088</v>
      </c>
      <c r="C4090" s="10" t="inlineStr">
        <is>
          <t>Kế Toán Trưởng Công Ty Thành Viên</t>
        </is>
      </c>
      <c r="D4090" s="10" t="inlineStr">
        <is>
          <t>Công Ty Cổ phần Đầu Tư Tài Chính và An Ninh Công Nghệ IFT</t>
        </is>
      </c>
      <c r="E4090" s="10" t="inlineStr">
        <is>
          <t>20tr-30tr ₫/tháng</t>
        </is>
      </c>
      <c r="F4090" s="10" t="inlineStr">
        <is>
          <t>Hà Nội</t>
        </is>
      </c>
      <c r="G4090" s="10" t="inlineStr">
        <is>
          <t>Trưởng phòng</t>
        </is>
      </c>
      <c r="H4090" s="10" t="inlineStr">
        <is>
          <t>26/02/2026</t>
        </is>
      </c>
      <c r="I4090" s="10" t="inlineStr">
        <is>
          <t>28/03/2026</t>
        </is>
      </c>
      <c r="J4090" s="10" t="inlineStr">
        <is>
          <t>17/03/2026</t>
        </is>
      </c>
      <c r="K4090" s="10" t="inlineStr">
        <is>
          <t>N/A</t>
        </is>
      </c>
      <c r="L4090" s="10" t="inlineStr">
        <is>
          <t>Kế Toán, Kế Toán Trưởng, Kiểm Toán, Lập Chứng Từ Kế Toán, Phần mềm kế toán</t>
        </is>
      </c>
      <c r="M4090" s="10" t="inlineStr">
        <is>
          <t>Healthcare Plan, Training, Others</t>
        </is>
      </c>
      <c r="N4090" s="11">
        <f>HYPERLINK("https://www.vietnamworks.com/ke-toan-truong-cong-ty-thanh-vien-2014821-jv","Xem chi tiết")</f>
        <v/>
      </c>
      <c r="O4090" s="10" t="n"/>
    </row>
    <row r="4091">
      <c r="B4091" s="7" t="n">
        <v>4089</v>
      </c>
      <c r="C4091" t="inlineStr">
        <is>
          <t>Admissions Consulting Sales Executive / Chuyên Viên Tư Vấn Tuyển Sinh</t>
        </is>
      </c>
      <c r="D4091" t="inlineStr">
        <is>
          <t>NextBold Capital</t>
        </is>
      </c>
      <c r="E4091" t="inlineStr">
        <is>
          <t>Thương lượng</t>
        </is>
      </c>
      <c r="F4091" t="inlineStr">
        <is>
          <t>Hà Nội</t>
        </is>
      </c>
      <c r="G4091" t="inlineStr">
        <is>
          <t>Nhân viên</t>
        </is>
      </c>
      <c r="H4091" t="inlineStr">
        <is>
          <t>26/02/2026</t>
        </is>
      </c>
      <c r="I4091" t="inlineStr">
        <is>
          <t>28/03/2026</t>
        </is>
      </c>
      <c r="J4091" t="inlineStr">
        <is>
          <t>17/03/2026</t>
        </is>
      </c>
      <c r="K4091" t="inlineStr">
        <is>
          <t>N/A</t>
        </is>
      </c>
      <c r="L4091" t="inlineStr">
        <is>
          <t>Sales, Sales Consulting, Education Consultant, Education Counselling, Sales Consultant</t>
        </is>
      </c>
      <c r="M4091" t="inlineStr">
        <is>
          <t>Bonus</t>
        </is>
      </c>
      <c r="N4091" s="8">
        <f>HYPERLINK("https://www.vietnamworks.com/admissions-consulting-sales-executive-chuyen-vien-tu-van-tuyen-sinh-2014842-jv","Xem chi tiết")</f>
        <v/>
      </c>
    </row>
    <row r="4092">
      <c r="B4092" s="9" t="n">
        <v>4090</v>
      </c>
      <c r="C4092" s="10" t="inlineStr">
        <is>
          <t>Nhân Viên Thiết Kế/ Edit (Social Media)</t>
        </is>
      </c>
      <c r="D4092" s="10" t="inlineStr">
        <is>
          <t>CÔNG TY TNHH GIÁO DỤC &amp; ĐẦU TƯ CANADA WAY</t>
        </is>
      </c>
      <c r="E4092" s="10" t="inlineStr">
        <is>
          <t>10tr-13tr ₫/tháng</t>
        </is>
      </c>
      <c r="F4092" s="10" t="inlineStr">
        <is>
          <t>Hồ Chí Minh</t>
        </is>
      </c>
      <c r="G4092" s="10" t="inlineStr">
        <is>
          <t>Mới Tốt Nghiệp</t>
        </is>
      </c>
      <c r="H4092" s="10" t="inlineStr">
        <is>
          <t>26/02/2026</t>
        </is>
      </c>
      <c r="I4092" s="10" t="inlineStr">
        <is>
          <t>28/03/2026</t>
        </is>
      </c>
      <c r="J4092" s="10" t="inlineStr">
        <is>
          <t>17/03/2026</t>
        </is>
      </c>
      <c r="K4092" s="10" t="inlineStr">
        <is>
          <t>N/A</t>
        </is>
      </c>
      <c r="L4092" s="10" t="inlineStr">
        <is>
          <t>Adobe Creative Suite, Dựng Video, Giao Tiếp, Sáng Tạo, Thiết Kế Đồ Họa</t>
        </is>
      </c>
      <c r="M4092" s="10" t="inlineStr">
        <is>
          <t>Healthcare Plan, Training, Others</t>
        </is>
      </c>
      <c r="N4092" s="11">
        <f>HYPERLINK("https://www.vietnamworks.com/nhan-vien-thiet-ke-edit-social-media-2014840-jv","Xem chi tiết")</f>
        <v/>
      </c>
      <c r="O4092" s="10" t="n"/>
    </row>
    <row r="4093">
      <c r="B4093" s="7" t="n">
        <v>4091</v>
      </c>
      <c r="C4093" t="inlineStr">
        <is>
          <t>Kế Toán Giá Thành/ Kế Toán Viên</t>
        </is>
      </c>
      <c r="D4093" t="inlineStr">
        <is>
          <t>Công Ty TNHH Trace - Tec Việt Nam</t>
        </is>
      </c>
      <c r="E4093" t="inlineStr">
        <is>
          <t>Thương lượng</t>
        </is>
      </c>
      <c r="F4093" t="inlineStr">
        <is>
          <t>Hà Nội</t>
        </is>
      </c>
      <c r="G4093" t="inlineStr">
        <is>
          <t>Nhân viên</t>
        </is>
      </c>
      <c r="H4093" t="inlineStr">
        <is>
          <t>26/02/2026</t>
        </is>
      </c>
      <c r="I4093" t="inlineStr">
        <is>
          <t>28/03/2026</t>
        </is>
      </c>
      <c r="J4093" t="inlineStr">
        <is>
          <t>17/03/2026</t>
        </is>
      </c>
      <c r="K4093" t="inlineStr">
        <is>
          <t>N/A</t>
        </is>
      </c>
      <c r="L4093" t="inlineStr">
        <is>
          <t>Tin Học Văn Phòng, Kế Toán Sản Xuất, Đối Chiếu Số Liệu, Kiểm Tra Chứng Từ, Kế Toán Chi Phí</t>
        </is>
      </c>
      <c r="M4093" t="inlineStr">
        <is>
          <t>Bonus, Healthcare Plan, Paid Leave</t>
        </is>
      </c>
      <c r="N4093" s="8">
        <f>HYPERLINK("https://www.vietnamworks.com/ke-toan-gia-thanh-ke-toan-vien-2014848-jv","Xem chi tiết")</f>
        <v/>
      </c>
    </row>
    <row r="4094">
      <c r="B4094" s="9" t="n">
        <v>4092</v>
      </c>
      <c r="C4094" s="10" t="inlineStr">
        <is>
          <t>HR &amp; Administration Executive</t>
        </is>
      </c>
      <c r="D4094" s="10" t="inlineStr">
        <is>
          <t>Intes Co., Ltd</t>
        </is>
      </c>
      <c r="E4094" s="10" t="inlineStr">
        <is>
          <t>$$ 400-700 /tháng</t>
        </is>
      </c>
      <c r="F4094" s="10" t="inlineStr">
        <is>
          <t>Hà Nội, Hồ Chí Minh</t>
        </is>
      </c>
      <c r="G4094" s="10" t="inlineStr">
        <is>
          <t>Nhân viên</t>
        </is>
      </c>
      <c r="H4094" s="10" t="inlineStr">
        <is>
          <t>26/02/2026</t>
        </is>
      </c>
      <c r="I4094" s="10" t="inlineStr">
        <is>
          <t>28/03/2026</t>
        </is>
      </c>
      <c r="J4094" s="10" t="inlineStr">
        <is>
          <t>17/03/2026</t>
        </is>
      </c>
      <c r="K4094" s="10" t="inlineStr">
        <is>
          <t>N/A</t>
        </is>
      </c>
      <c r="L4094" s="10" t="inlineStr">
        <is>
          <t>Hành Chính, Administrative, Hành Chính Nhân Sự, Nhân Sự, Administration Office</t>
        </is>
      </c>
      <c r="M4094" s="10" t="inlineStr">
        <is>
          <t>Bonus, Healthcare Plan, Training</t>
        </is>
      </c>
      <c r="N4094" s="11">
        <f>HYPERLINK("https://www.vietnamworks.com/hr-administration-executive--2014838-jv","Xem chi tiết")</f>
        <v/>
      </c>
      <c r="O4094" s="10" t="n"/>
    </row>
    <row r="4095">
      <c r="B4095" s="7" t="n">
        <v>4093</v>
      </c>
      <c r="C4095" t="inlineStr">
        <is>
          <t>Environment Concept Artist</t>
        </is>
      </c>
      <c r="D4095" t="inlineStr">
        <is>
          <t>Công ty TNHH NEXON Creative Studio VINA</t>
        </is>
      </c>
      <c r="E4095" t="inlineStr">
        <is>
          <t>Thương lượng</t>
        </is>
      </c>
      <c r="F4095" t="inlineStr">
        <is>
          <t>Hồ Chí Minh</t>
        </is>
      </c>
      <c r="G4095" t="inlineStr">
        <is>
          <t>Nhân viên</t>
        </is>
      </c>
      <c r="H4095" t="inlineStr">
        <is>
          <t>26/02/2026</t>
        </is>
      </c>
      <c r="I4095" t="inlineStr">
        <is>
          <t>28/03/2026</t>
        </is>
      </c>
      <c r="J4095" t="inlineStr">
        <is>
          <t>17/03/2026</t>
        </is>
      </c>
      <c r="K4095" t="inlineStr">
        <is>
          <t>N/A</t>
        </is>
      </c>
      <c r="L4095" t="inlineStr">
        <is>
          <t>3D Environment, Sketchup, Concept Drawing</t>
        </is>
      </c>
      <c r="M4095" t="inlineStr">
        <is>
          <t>Bonus, Travel Opportunities, Canteen</t>
        </is>
      </c>
      <c r="N4095" s="8">
        <f>HYPERLINK("https://www.vietnamworks.com/environment-concept-artist--2014862-jv","Xem chi tiết")</f>
        <v/>
      </c>
    </row>
    <row r="4096">
      <c r="B4096" s="9" t="n">
        <v>4094</v>
      </c>
      <c r="C4096" s="10" t="inlineStr">
        <is>
          <t>Phó Phòng Kế Hoạch Đầu Tư Dự Án</t>
        </is>
      </c>
      <c r="D4096" s="10" t="inlineStr">
        <is>
          <t>Công ty Cổ phần Bảo Tín An Lạc</t>
        </is>
      </c>
      <c r="E4096" s="10" t="inlineStr">
        <is>
          <t>Thương lượng</t>
        </is>
      </c>
      <c r="F4096" s="10" t="inlineStr">
        <is>
          <t>Hà Nội</t>
        </is>
      </c>
      <c r="G4096" s="10" t="inlineStr">
        <is>
          <t>Nhân viên</t>
        </is>
      </c>
      <c r="H4096" s="10" t="inlineStr">
        <is>
          <t>26/02/2026</t>
        </is>
      </c>
      <c r="I4096" s="10" t="inlineStr">
        <is>
          <t>28/03/2026</t>
        </is>
      </c>
      <c r="J4096" s="10" t="inlineStr">
        <is>
          <t>17/03/2026</t>
        </is>
      </c>
      <c r="K4096" s="10" t="inlineStr">
        <is>
          <t>N/A</t>
        </is>
      </c>
      <c r="L4096" s="10" t="inlineStr">
        <is>
          <t>Kinh Tế Đầu Tư, Quản Lý Dự Án, Xây Dựng, AutoCAD, Quy hoạch</t>
        </is>
      </c>
      <c r="M4096" s="10" t="inlineStr">
        <is>
          <t>Healthcare Plan, Others</t>
        </is>
      </c>
      <c r="N4096" s="11">
        <f>HYPERLINK("https://www.vietnamworks.com/pho-phong-ke-hoach-dau-tu-du-an-2014841-jv","Xem chi tiết")</f>
        <v/>
      </c>
      <c r="O4096" s="10" t="n"/>
    </row>
    <row r="4097">
      <c r="B4097" s="7" t="n">
        <v>4095</v>
      </c>
      <c r="C4097" t="inlineStr">
        <is>
          <t>Kỹ Thuật Viên Bảo Trì - Nhà Máy Long An</t>
        </is>
      </c>
      <c r="D4097" t="inlineStr">
        <is>
          <t>Suntory PepsiCo Vietnam Beverage</t>
        </is>
      </c>
      <c r="E4097" t="inlineStr">
        <is>
          <t>Thương lượng</t>
        </is>
      </c>
      <c r="F4097" t="inlineStr">
        <is>
          <t>Long An</t>
        </is>
      </c>
      <c r="G4097" t="inlineStr">
        <is>
          <t>Nhân viên</t>
        </is>
      </c>
      <c r="H4097" t="inlineStr">
        <is>
          <t>26/02/2026</t>
        </is>
      </c>
      <c r="I4097" t="inlineStr">
        <is>
          <t>28/03/2026</t>
        </is>
      </c>
      <c r="J4097" t="inlineStr">
        <is>
          <t>17/03/2026</t>
        </is>
      </c>
      <c r="K4097" t="inlineStr">
        <is>
          <t>N/A</t>
        </is>
      </c>
      <c r="L4097" t="inlineStr">
        <is>
          <t>Bảo Trì, Công Nghệ Thực Phẩm, Cơ Khí, Vệ Sinh An Toàn Thực Phẩm, Kiểm Soát Chất Lượng</t>
        </is>
      </c>
      <c r="M4097" t="inlineStr">
        <is>
          <t>Bonus, Healthcare Plan, Paid Leave</t>
        </is>
      </c>
      <c r="N4097" s="8">
        <f>HYPERLINK("https://www.vietnamworks.com/ky-thuat-vien-bao-tri-nha-may-long-an-2014839-jv","Xem chi tiết")</f>
        <v/>
      </c>
    </row>
    <row r="4098">
      <c r="B4098" s="9" t="n">
        <v>4096</v>
      </c>
      <c r="C4098" s="10" t="inlineStr">
        <is>
          <t>Production Planning Specialist</t>
        </is>
      </c>
      <c r="D4098" s="10" t="inlineStr">
        <is>
          <t>Công Ty TNHH Nature Story</t>
        </is>
      </c>
      <c r="E4098" s="10" t="inlineStr">
        <is>
          <t>Thương lượng</t>
        </is>
      </c>
      <c r="F4098" s="10" t="inlineStr">
        <is>
          <t>Long An, Hồ Chí Minh</t>
        </is>
      </c>
      <c r="G4098" s="10" t="inlineStr">
        <is>
          <t>Nhân viên</t>
        </is>
      </c>
      <c r="H4098" s="10" t="inlineStr">
        <is>
          <t>26/02/2026</t>
        </is>
      </c>
      <c r="I4098" s="10" t="inlineStr">
        <is>
          <t>28/03/2026</t>
        </is>
      </c>
      <c r="J4098" s="10" t="inlineStr">
        <is>
          <t>17/03/2026</t>
        </is>
      </c>
      <c r="K4098" s="10" t="inlineStr">
        <is>
          <t>N/A</t>
        </is>
      </c>
      <c r="L4098" s="10" t="inlineStr">
        <is>
          <t>Planning Management, Quản Lý Sản Xuất, Production Planning, Kế Hoạch Sản Xuất</t>
        </is>
      </c>
      <c r="M4098" s="10" t="inlineStr">
        <is>
          <t>Bonus, Paid Leave, Transportation</t>
        </is>
      </c>
      <c r="N4098" s="11">
        <f>HYPERLINK("https://www.vietnamworks.com/production-planning-specialist--2014846-jv","Xem chi tiết")</f>
        <v/>
      </c>
      <c r="O4098" s="10" t="n"/>
    </row>
    <row r="4099">
      <c r="B4099" s="7" t="n">
        <v>4097</v>
      </c>
      <c r="C4099" t="inlineStr">
        <is>
          <t>Kỹ Sư Lập Trình Robot (Yaskawa)</t>
        </is>
      </c>
      <c r="D4099" t="inlineStr">
        <is>
          <t>Công Ty TNHH HKTM VINA</t>
        </is>
      </c>
      <c r="E4099" t="inlineStr">
        <is>
          <t>15tr-25tr ₫/tháng</t>
        </is>
      </c>
      <c r="F4099" t="inlineStr">
        <is>
          <t>Hải Phòng</t>
        </is>
      </c>
      <c r="G4099" t="inlineStr">
        <is>
          <t>Nhân viên</t>
        </is>
      </c>
      <c r="H4099" t="inlineStr">
        <is>
          <t>26/02/2026</t>
        </is>
      </c>
      <c r="I4099" t="inlineStr">
        <is>
          <t>28/03/2026</t>
        </is>
      </c>
      <c r="J4099" t="inlineStr">
        <is>
          <t>17/03/2026</t>
        </is>
      </c>
      <c r="K4099" t="inlineStr">
        <is>
          <t>N/A</t>
        </is>
      </c>
      <c r="L4099" t="inlineStr">
        <is>
          <t>Lập Trình, ABB Robotics, Phân Tích Hệ Thống, Robot Tự Động Hoá, Robotic Programming</t>
        </is>
      </c>
      <c r="M4099" t="inlineStr">
        <is>
          <t>Bonus, Healthcare Plan, Paid Leave, Awards, Others</t>
        </is>
      </c>
      <c r="N4099" s="8">
        <f>HYPERLINK("https://www.vietnamworks.com/ky-su-lap-trinh-robot-yaskawa-2014849-jv","Xem chi tiết")</f>
        <v/>
      </c>
    </row>
    <row r="4100">
      <c r="B4100" s="9" t="n">
        <v>4098</v>
      </c>
      <c r="C4100" s="10" t="inlineStr">
        <is>
          <t>Character Concept Artist</t>
        </is>
      </c>
      <c r="D4100" s="10" t="inlineStr">
        <is>
          <t>Công ty TNHH NEXON Creative Studio VINA</t>
        </is>
      </c>
      <c r="E4100" s="10" t="inlineStr">
        <is>
          <t>Thương lượng</t>
        </is>
      </c>
      <c r="F4100" s="10" t="inlineStr">
        <is>
          <t>Hồ Chí Minh</t>
        </is>
      </c>
      <c r="G4100" s="10" t="inlineStr">
        <is>
          <t>Nhân viên</t>
        </is>
      </c>
      <c r="H4100" s="10" t="inlineStr">
        <is>
          <t>26/02/2026</t>
        </is>
      </c>
      <c r="I4100" s="10" t="inlineStr">
        <is>
          <t>28/03/2026</t>
        </is>
      </c>
      <c r="J4100" s="10" t="inlineStr">
        <is>
          <t>17/03/2026</t>
        </is>
      </c>
      <c r="K4100" s="10" t="inlineStr">
        <is>
          <t>N/A</t>
        </is>
      </c>
      <c r="L4100" s="10" t="inlineStr">
        <is>
          <t>Photoshop, 3D, Drawing, Painting</t>
        </is>
      </c>
      <c r="M4100" s="10" t="inlineStr">
        <is>
          <t>Bonus, Travel Opportunities, Canteen</t>
        </is>
      </c>
      <c r="N4100" s="11">
        <f>HYPERLINK("https://www.vietnamworks.com/character-concept-artist--2014864-jv","Xem chi tiết")</f>
        <v/>
      </c>
      <c r="O4100" s="10" t="n"/>
    </row>
    <row r="4101">
      <c r="B4101" s="7" t="n">
        <v>4099</v>
      </c>
      <c r="C4101" t="inlineStr">
        <is>
          <t>Technical Artist</t>
        </is>
      </c>
      <c r="D4101" t="inlineStr">
        <is>
          <t>Công ty TNHH NEXON Creative Studio VINA</t>
        </is>
      </c>
      <c r="E4101" t="inlineStr">
        <is>
          <t>Thương lượng</t>
        </is>
      </c>
      <c r="F4101" t="inlineStr">
        <is>
          <t>Hồ Chí Minh</t>
        </is>
      </c>
      <c r="G4101" t="inlineStr">
        <is>
          <t>Nhân viên</t>
        </is>
      </c>
      <c r="H4101" t="inlineStr">
        <is>
          <t>26/02/2026</t>
        </is>
      </c>
      <c r="I4101" t="inlineStr">
        <is>
          <t>28/03/2026</t>
        </is>
      </c>
      <c r="J4101" t="inlineStr">
        <is>
          <t>17/03/2026</t>
        </is>
      </c>
      <c r="K4101" t="inlineStr">
        <is>
          <t>N/A</t>
        </is>
      </c>
      <c r="L4101" t="inlineStr">
        <is>
          <t>VFX, Unity, C#, Maya 3D, HLSL</t>
        </is>
      </c>
      <c r="M4101" t="inlineStr">
        <is>
          <t>Bonus, Travel Opportunities, Canteen</t>
        </is>
      </c>
      <c r="N4101" s="8">
        <f>HYPERLINK("https://www.vietnamworks.com/technical-artist--2014857-jv","Xem chi tiết")</f>
        <v/>
      </c>
    </row>
    <row r="4102">
      <c r="B4102" s="9" t="n">
        <v>4100</v>
      </c>
      <c r="C4102" s="10" t="inlineStr">
        <is>
          <t xml:space="preserve">Production Planner Apparel </t>
        </is>
      </c>
      <c r="D4102" s="10" t="inlineStr">
        <is>
          <t>Columbia Sportswear Company</t>
        </is>
      </c>
      <c r="E4102" s="10" t="inlineStr">
        <is>
          <t>Thương lượng</t>
        </is>
      </c>
      <c r="F4102" s="10" t="inlineStr">
        <is>
          <t>Hà Nội</t>
        </is>
      </c>
      <c r="G4102" s="10" t="inlineStr">
        <is>
          <t>Nhân viên</t>
        </is>
      </c>
      <c r="H4102" s="10" t="inlineStr">
        <is>
          <t>26/02/2026</t>
        </is>
      </c>
      <c r="I4102" s="10" t="inlineStr">
        <is>
          <t>28/03/2026</t>
        </is>
      </c>
      <c r="J4102" s="10" t="inlineStr">
        <is>
          <t>17/03/2026</t>
        </is>
      </c>
      <c r="K4102" s="10" t="inlineStr">
        <is>
          <t>N/A</t>
        </is>
      </c>
      <c r="L4102" s="10" t="inlineStr">
        <is>
          <t>Data Analysis, Emotional Intelligence, Process Improvement, Production Planning, Supply Chain Management</t>
        </is>
      </c>
      <c r="M4102" s="10" t="inlineStr">
        <is>
          <t>Bonus</t>
        </is>
      </c>
      <c r="N4102" s="11">
        <f>HYPERLINK("https://www.vietnamworks.com/production-planner-apparel-2014845-jv","Xem chi tiết")</f>
        <v/>
      </c>
      <c r="O4102" s="10" t="n"/>
    </row>
    <row r="4103">
      <c r="B4103" s="7" t="n">
        <v>4101</v>
      </c>
      <c r="C4103" t="inlineStr">
        <is>
          <t>Trưởng Phòng Hành Chính Nhân Sự (VP Tập Đoàn)</t>
        </is>
      </c>
      <c r="D4103" t="inlineStr">
        <is>
          <t>Công Ty Cổ Phần Tập Đoàn Sunhouse</t>
        </is>
      </c>
      <c r="E4103" t="inlineStr">
        <is>
          <t>Thương lượng</t>
        </is>
      </c>
      <c r="F4103" t="inlineStr">
        <is>
          <t>Hà Nội</t>
        </is>
      </c>
      <c r="G4103" t="inlineStr">
        <is>
          <t>Trưởng phòng</t>
        </is>
      </c>
      <c r="H4103" t="inlineStr">
        <is>
          <t>26/02/2026</t>
        </is>
      </c>
      <c r="I4103" t="inlineStr">
        <is>
          <t>28/03/2026</t>
        </is>
      </c>
      <c r="J4103" t="inlineStr">
        <is>
          <t>17/03/2026</t>
        </is>
      </c>
      <c r="K4103" t="inlineStr">
        <is>
          <t>N/A</t>
        </is>
      </c>
      <c r="L4103" t="inlineStr">
        <is>
          <t>Hành Chính Nhân Sự, Quản Trị Nhân Sự, Tiếng Anh, Luật Lao Động, Luật Thuế</t>
        </is>
      </c>
      <c r="M4103" t="inlineStr">
        <is>
          <t>Bonus, Healthcare Plan, Training</t>
        </is>
      </c>
      <c r="N4103" s="8">
        <f>HYPERLINK("https://www.vietnamworks.com/truong-phong-hanh-chinh-nhan-su-vp-tap-doan--2014844-jv","Xem chi tiết")</f>
        <v/>
      </c>
    </row>
    <row r="4104">
      <c r="B4104" s="9" t="n">
        <v>4102</v>
      </c>
      <c r="C4104" s="10" t="inlineStr">
        <is>
          <t>FX Artist (Effect Artist)</t>
        </is>
      </c>
      <c r="D4104" s="10" t="inlineStr">
        <is>
          <t>Công ty TNHH NEXON Creative Studio VINA</t>
        </is>
      </c>
      <c r="E4104" s="10" t="inlineStr">
        <is>
          <t>Thương lượng</t>
        </is>
      </c>
      <c r="F4104" s="10" t="inlineStr">
        <is>
          <t>Hồ Chí Minh</t>
        </is>
      </c>
      <c r="G4104" s="10" t="inlineStr">
        <is>
          <t>Nhân viên</t>
        </is>
      </c>
      <c r="H4104" s="10" t="inlineStr">
        <is>
          <t>26/02/2026</t>
        </is>
      </c>
      <c r="I4104" s="10" t="inlineStr">
        <is>
          <t>28/03/2026</t>
        </is>
      </c>
      <c r="J4104" s="10" t="inlineStr">
        <is>
          <t>17/03/2026</t>
        </is>
      </c>
      <c r="K4104" s="10" t="inlineStr">
        <is>
          <t>N/A</t>
        </is>
      </c>
      <c r="L4104" s="10" t="inlineStr">
        <is>
          <t>Visual Fx, Maya 3D, Blender, Photoshop, After Effects</t>
        </is>
      </c>
      <c r="M4104" s="10" t="inlineStr">
        <is>
          <t>Bonus, Travel Opportunities, Canteen</t>
        </is>
      </c>
      <c r="N4104" s="11">
        <f>HYPERLINK("https://www.vietnamworks.com/fx-artist-effect-artist--2014861-jv","Xem chi tiết")</f>
        <v/>
      </c>
      <c r="O4104" s="10" t="n"/>
    </row>
    <row r="4105">
      <c r="B4105" s="7" t="n">
        <v>4103</v>
      </c>
      <c r="C4105" t="inlineStr">
        <is>
          <t>Supply Chain Logistics Specialist</t>
        </is>
      </c>
      <c r="D4105" t="inlineStr">
        <is>
          <t>Columbia Sportswear Company</t>
        </is>
      </c>
      <c r="E4105" t="inlineStr">
        <is>
          <t>Thương lượng</t>
        </is>
      </c>
      <c r="F4105" t="inlineStr">
        <is>
          <t>Hồ Chí Minh</t>
        </is>
      </c>
      <c r="G4105" t="inlineStr">
        <is>
          <t>Nhân viên</t>
        </is>
      </c>
      <c r="H4105" t="inlineStr">
        <is>
          <t>26/02/2026</t>
        </is>
      </c>
      <c r="I4105" t="inlineStr">
        <is>
          <t>28/03/2026</t>
        </is>
      </c>
      <c r="J4105" t="inlineStr">
        <is>
          <t>17/03/2026</t>
        </is>
      </c>
      <c r="K4105" t="inlineStr">
        <is>
          <t>N/A</t>
        </is>
      </c>
      <c r="L4105" t="inlineStr">
        <is>
          <t>Analytical Skills, Collaboration, Logistics Control, Problem-solving, Supply Chain Management</t>
        </is>
      </c>
      <c r="M4105" t="inlineStr">
        <is>
          <t>Bonus</t>
        </is>
      </c>
      <c r="N4105" s="8">
        <f>HYPERLINK("https://www.vietnamworks.com/supply-chain-logistics-specialist-2014851-jv","Xem chi tiết")</f>
        <v/>
      </c>
    </row>
    <row r="4106">
      <c r="B4106" s="9" t="n">
        <v>4104</v>
      </c>
      <c r="C4106" s="10" t="inlineStr">
        <is>
          <t>Kỹ Sư Thiết Kế (Cơ Khí)</t>
        </is>
      </c>
      <c r="D4106" s="10" t="inlineStr">
        <is>
          <t>Công Ty TNHH Trace - Tec Việt Nam</t>
        </is>
      </c>
      <c r="E4106" s="10" t="inlineStr">
        <is>
          <t>Thương lượng</t>
        </is>
      </c>
      <c r="F4106" s="10" t="inlineStr">
        <is>
          <t>Hà Nội</t>
        </is>
      </c>
      <c r="G4106" s="10" t="inlineStr">
        <is>
          <t>Nhân viên</t>
        </is>
      </c>
      <c r="H4106" s="10" t="inlineStr">
        <is>
          <t>26/02/2026</t>
        </is>
      </c>
      <c r="I4106" s="10" t="inlineStr">
        <is>
          <t>28/03/2026</t>
        </is>
      </c>
      <c r="J4106" s="10" t="inlineStr">
        <is>
          <t>17/03/2026</t>
        </is>
      </c>
      <c r="K4106" s="10" t="inlineStr">
        <is>
          <t>N/A</t>
        </is>
      </c>
      <c r="L4106" s="10" t="inlineStr">
        <is>
          <t>Làm Việc Nhóm, Lập Trình AutoCAD, Sử Dụng Solidworks, Thiết Kế Máy Tự Động, Sử Dụng Nx</t>
        </is>
      </c>
      <c r="M4106" s="10" t="inlineStr">
        <is>
          <t>Bonus, Healthcare Plan, Paid Leave, Canteen, Others</t>
        </is>
      </c>
      <c r="N4106" s="11">
        <f>HYPERLINK("https://www.vietnamworks.com/ky-su-thiet-ke-co-khi-2014860-jv","Xem chi tiết")</f>
        <v/>
      </c>
      <c r="O4106" s="10" t="n"/>
    </row>
    <row r="4107">
      <c r="B4107" s="7" t="n">
        <v>4105</v>
      </c>
      <c r="C4107" t="inlineStr">
        <is>
          <t>Chuyên Viên Quản Lý Thiết Kế Cơ Điện (MEP Design Management Specialist)</t>
        </is>
      </c>
      <c r="D4107" t="inlineStr">
        <is>
          <t>Công Ty Cổ Phần Kiến Trúc Tư Vấn Quản Lý Đông Dương</t>
        </is>
      </c>
      <c r="E4107" t="inlineStr">
        <is>
          <t>Thương lượng</t>
        </is>
      </c>
      <c r="F4107" t="inlineStr">
        <is>
          <t>Hồ Chí Minh</t>
        </is>
      </c>
      <c r="G4107" t="inlineStr">
        <is>
          <t>Nhân viên</t>
        </is>
      </c>
      <c r="H4107" t="inlineStr">
        <is>
          <t>26/02/2026</t>
        </is>
      </c>
      <c r="I4107" t="inlineStr">
        <is>
          <t>28/03/2026</t>
        </is>
      </c>
      <c r="J4107" t="inlineStr">
        <is>
          <t>17/03/2026</t>
        </is>
      </c>
      <c r="K4107" t="inlineStr">
        <is>
          <t>N/A</t>
        </is>
      </c>
      <c r="L4107" t="inlineStr">
        <is>
          <t>MEP Construction Design, MEP Engineering, MEPF Design management, Construction Design, Revit &amp; Auto CAD</t>
        </is>
      </c>
      <c r="M4107" t="inlineStr">
        <is>
          <t>Bonus, Healthcare Plan, Training, Travel Opportunities</t>
        </is>
      </c>
      <c r="N4107" s="8">
        <f>HYPERLINK("https://www.vietnamworks.com/chuyen-vien-quan-ly-thiet-ke-co-dien-mep-design-management-specialist-2014856-jv","Xem chi tiết")</f>
        <v/>
      </c>
    </row>
    <row r="4108">
      <c r="B4108" s="9" t="n">
        <v>4106</v>
      </c>
      <c r="C4108" s="10" t="inlineStr">
        <is>
          <t>Nhân Viên Hành Chính - Nhân Sự</t>
        </is>
      </c>
      <c r="D4108" s="10" t="inlineStr">
        <is>
          <t>CÔNG TY CỔ PHẦN OMNIARCH HEALTHCARE VIỆT NAM</t>
        </is>
      </c>
      <c r="E4108" s="10" t="inlineStr">
        <is>
          <t>Thương lượng</t>
        </is>
      </c>
      <c r="F4108" s="10" t="inlineStr">
        <is>
          <t>Hà Nội</t>
        </is>
      </c>
      <c r="G4108" s="10" t="inlineStr">
        <is>
          <t>Nhân viên</t>
        </is>
      </c>
      <c r="H4108" s="10" t="inlineStr">
        <is>
          <t>26/02/2026</t>
        </is>
      </c>
      <c r="I4108" s="10" t="inlineStr">
        <is>
          <t>28/03/2026</t>
        </is>
      </c>
      <c r="J4108" s="10" t="inlineStr">
        <is>
          <t>17/03/2026</t>
        </is>
      </c>
      <c r="K4108" s="10" t="inlineStr">
        <is>
          <t>N/A</t>
        </is>
      </c>
      <c r="L4108" s="10" t="inlineStr">
        <is>
          <t>Giao Tiếp, Hành Chính, Luật, Quản Trị Kinh Doanh, Quản Trị Nguồn Nhân Lực</t>
        </is>
      </c>
      <c r="M4108" s="10" t="inlineStr">
        <is>
          <t>Healthcare Plan, Paid Leave, Training, Travel Opportunities, Others</t>
        </is>
      </c>
      <c r="N4108" s="11">
        <f>HYPERLINK("https://www.vietnamworks.com/nhan-vien-hanh-chinh-nhan-su-2014866-jv","Xem chi tiết")</f>
        <v/>
      </c>
      <c r="O4108" s="10" t="n"/>
    </row>
    <row r="4109">
      <c r="B4109" s="7" t="n">
        <v>4107</v>
      </c>
      <c r="C4109" t="inlineStr">
        <is>
          <t>RF Mechanical Engineer</t>
        </is>
      </c>
      <c r="D4109" t="inlineStr">
        <is>
          <t>Công Ty TNHH Trace - Tec Việt Nam</t>
        </is>
      </c>
      <c r="E4109" t="inlineStr">
        <is>
          <t>Thương lượng</t>
        </is>
      </c>
      <c r="F4109" t="inlineStr">
        <is>
          <t>Hà Nội</t>
        </is>
      </c>
      <c r="G4109" t="inlineStr">
        <is>
          <t>Nhân viên</t>
        </is>
      </c>
      <c r="H4109" t="inlineStr">
        <is>
          <t>26/02/2026</t>
        </is>
      </c>
      <c r="I4109" t="inlineStr">
        <is>
          <t>28/03/2026</t>
        </is>
      </c>
      <c r="J4109" t="inlineStr">
        <is>
          <t>17/03/2026</t>
        </is>
      </c>
      <c r="K4109" t="inlineStr">
        <is>
          <t>N/A</t>
        </is>
      </c>
      <c r="L4109" t="inlineStr">
        <is>
          <t>N/A</t>
        </is>
      </c>
      <c r="M4109" t="inlineStr">
        <is>
          <t>Bonus, Healthcare Plan, Paid Leave, Canteen, Others</t>
        </is>
      </c>
      <c r="N4109" s="8">
        <f>HYPERLINK("https://www.vietnamworks.com/rf-mechanical-engineer-2014869-jv","Xem chi tiết")</f>
        <v/>
      </c>
    </row>
    <row r="4110">
      <c r="B4110" s="9" t="n">
        <v>4108</v>
      </c>
      <c r="C4110" s="10" t="inlineStr">
        <is>
          <t>Cộng Tác Viên Kế Toán – Nhập Liệu (Accounting Intern)</t>
        </is>
      </c>
      <c r="D4110" s="10" t="inlineStr">
        <is>
          <t>Công Ty Cổ Phần Chứng Khoán KAFI</t>
        </is>
      </c>
      <c r="E4110" s="10" t="inlineStr">
        <is>
          <t>3tr-5tr ₫/tháng</t>
        </is>
      </c>
      <c r="F4110" s="10" t="inlineStr">
        <is>
          <t>Hồ Chí Minh</t>
        </is>
      </c>
      <c r="G4110" s="10" t="inlineStr">
        <is>
          <t>Thực tập sinh/Sinh viên</t>
        </is>
      </c>
      <c r="H4110" s="10" t="inlineStr">
        <is>
          <t>26/02/2026</t>
        </is>
      </c>
      <c r="I4110" s="10" t="inlineStr">
        <is>
          <t>28/03/2026</t>
        </is>
      </c>
      <c r="J4110" s="10" t="inlineStr">
        <is>
          <t>17/03/2026</t>
        </is>
      </c>
      <c r="K4110" s="10" t="inlineStr">
        <is>
          <t>N/A</t>
        </is>
      </c>
      <c r="L4110" s="10" t="inlineStr">
        <is>
          <t>Excel Cơ Bản, Giao Tiếp, Kế Toán, Tài Chính, Đánh Máy Vi Tính</t>
        </is>
      </c>
      <c r="M4110" s="10" t="inlineStr">
        <is>
          <t>Training, Others</t>
        </is>
      </c>
      <c r="N4110" s="11">
        <f>HYPERLINK("https://www.vietnamworks.com/cong-tac-vien-ke-toan-nhap-lieu-accounting-intern-2014867-jv","Xem chi tiết")</f>
        <v/>
      </c>
      <c r="O4110" s="10" t="n"/>
    </row>
    <row r="4111">
      <c r="B4111" s="7" t="n">
        <v>4109</v>
      </c>
      <c r="C4111" t="inlineStr">
        <is>
          <t>Total Rewards Supervisor</t>
        </is>
      </c>
      <c r="D4111" t="inlineStr">
        <is>
          <t>Công Ty Cổ Phần Phúc Long Heritage</t>
        </is>
      </c>
      <c r="E4111" t="inlineStr">
        <is>
          <t>Thương lượng</t>
        </is>
      </c>
      <c r="F4111" t="inlineStr">
        <is>
          <t>Hồ Chí Minh</t>
        </is>
      </c>
      <c r="G4111" t="inlineStr">
        <is>
          <t>Nhân viên</t>
        </is>
      </c>
      <c r="H4111" t="inlineStr">
        <is>
          <t>26/02/2026</t>
        </is>
      </c>
      <c r="I4111" t="inlineStr">
        <is>
          <t>28/03/2026</t>
        </is>
      </c>
      <c r="J4111" t="inlineStr">
        <is>
          <t>17/03/2026</t>
        </is>
      </c>
      <c r="K4111" t="inlineStr">
        <is>
          <t>N/A</t>
        </is>
      </c>
      <c r="L4111" t="inlineStr">
        <is>
          <t>C&amp;B, Compensation &amp; Benefits, HR Policies, Total Rewards</t>
        </is>
      </c>
      <c r="M4111" t="inlineStr">
        <is>
          <t>Others</t>
        </is>
      </c>
      <c r="N4111" s="8">
        <f>HYPERLINK("https://www.vietnamworks.com/total-rewards-supervisor-2014876-jv","Xem chi tiết")</f>
        <v/>
      </c>
    </row>
    <row r="4112">
      <c r="B4112" s="9" t="n">
        <v>4110</v>
      </c>
      <c r="C4112" s="10" t="inlineStr">
        <is>
          <t>Kỹ Sư Bảo Trì Hệ Thống Điện (tòa nhà)</t>
        </is>
      </c>
      <c r="D4112" s="10" t="inlineStr">
        <is>
          <t>CÔNG TY TNHH LOTTE WORLD VIỆT NAM</t>
        </is>
      </c>
      <c r="E4112" s="10" t="inlineStr">
        <is>
          <t>Thương lượng</t>
        </is>
      </c>
      <c r="F4112" s="10" t="inlineStr">
        <is>
          <t>Hà Nội</t>
        </is>
      </c>
      <c r="G4112" s="10" t="inlineStr">
        <is>
          <t>Nhân viên</t>
        </is>
      </c>
      <c r="H4112" s="10" t="inlineStr">
        <is>
          <t>26/02/2026</t>
        </is>
      </c>
      <c r="I4112" s="10" t="inlineStr">
        <is>
          <t>28/03/2026</t>
        </is>
      </c>
      <c r="J4112" s="10" t="inlineStr">
        <is>
          <t>17/03/2026</t>
        </is>
      </c>
      <c r="K4112" s="10" t="inlineStr">
        <is>
          <t>N/A</t>
        </is>
      </c>
      <c r="L4112" s="10" t="inlineStr">
        <is>
          <t>Bảo Trì Hệ Thống, Giải Quyết Vấn Đề, Kỹ Năng Phân Tích Báo Cáo Tài Chính- Tình Hình Doanh Nghiệp, Sửa Chữa Cơ Khí, Vận Hành Thiết Bị</t>
        </is>
      </c>
      <c r="M4112" s="10" t="inlineStr">
        <is>
          <t>Bonus, Healthcare Plan, Paid Leave, Canteen</t>
        </is>
      </c>
      <c r="N4112" s="11">
        <f>HYPERLINK("https://www.vietnamworks.com/ky-su-bao-tri-he-thong-djien-toa-nha-2014881-jv","Xem chi tiết")</f>
        <v/>
      </c>
      <c r="O4112" s="10" t="n"/>
    </row>
    <row r="4113">
      <c r="B4113" s="7" t="n">
        <v>4111</v>
      </c>
      <c r="C4113" t="inlineStr">
        <is>
          <t>Content Moderator (Agent &amp; Super Agent) Music Social Platform (English / French / Korean / Japanese / Chinese Mandarin)</t>
        </is>
      </c>
      <c r="D4113" t="inlineStr">
        <is>
          <t>Concentrix</t>
        </is>
      </c>
      <c r="E4113" t="inlineStr">
        <is>
          <t>14tr-28tr ₫/tháng</t>
        </is>
      </c>
      <c r="F4113" t="inlineStr">
        <is>
          <t>Hồ Chí Minh</t>
        </is>
      </c>
      <c r="G4113" t="inlineStr">
        <is>
          <t>Nhân viên</t>
        </is>
      </c>
      <c r="H4113" t="inlineStr">
        <is>
          <t>26/02/2026</t>
        </is>
      </c>
      <c r="I4113" t="inlineStr">
        <is>
          <t>28/03/2026</t>
        </is>
      </c>
      <c r="J4113" t="inlineStr">
        <is>
          <t>17/03/2026</t>
        </is>
      </c>
      <c r="K4113" t="inlineStr">
        <is>
          <t>N/A</t>
        </is>
      </c>
      <c r="L4113" t="inlineStr">
        <is>
          <t>Chinese, English, French, Japanese, Korean</t>
        </is>
      </c>
      <c r="M4113" t="inlineStr">
        <is>
          <t>Bonus, Healthcare Plan, Paid Leave, Others</t>
        </is>
      </c>
      <c r="N4113" s="8">
        <f>HYPERLINK("https://www.vietnamworks.com/content-moderator-agent-and-super-agent-music-social-platform-english-french-korean-japanese-chinese-mandarin-2014883-jv","Xem chi tiết")</f>
        <v/>
      </c>
    </row>
    <row r="4114">
      <c r="B4114" s="9" t="n">
        <v>4112</v>
      </c>
      <c r="C4114" s="10" t="inlineStr">
        <is>
          <t>Revit Architect / BIM Architect</t>
        </is>
      </c>
      <c r="D4114" s="10" t="inlineStr">
        <is>
          <t>Công ty TNHH Ong &amp; Ong</t>
        </is>
      </c>
      <c r="E4114" s="10" t="inlineStr">
        <is>
          <t>25tr-30tr ₫/tháng</t>
        </is>
      </c>
      <c r="F4114" s="10" t="inlineStr">
        <is>
          <t>Hồ Chí Minh</t>
        </is>
      </c>
      <c r="G4114" s="10" t="inlineStr">
        <is>
          <t>Nhân viên</t>
        </is>
      </c>
      <c r="H4114" s="10" t="inlineStr">
        <is>
          <t>26/02/2026</t>
        </is>
      </c>
      <c r="I4114" s="10" t="inlineStr">
        <is>
          <t>28/03/2026</t>
        </is>
      </c>
      <c r="J4114" s="10" t="inlineStr">
        <is>
          <t>17/03/2026</t>
        </is>
      </c>
      <c r="K4114" s="10" t="inlineStr">
        <is>
          <t>N/A</t>
        </is>
      </c>
      <c r="L4114" s="10" t="inlineStr">
        <is>
          <t>Autocad, Autocad Structural Detailing, AUTODESK REVIT, Navisworks, Teamwork</t>
        </is>
      </c>
      <c r="M4114" s="10" t="inlineStr">
        <is>
          <t>Healthcare Plan, Paid Leave, Training, Library, Team Activities, Others</t>
        </is>
      </c>
      <c r="N4114" s="11">
        <f>HYPERLINK("https://www.vietnamworks.com/revit-architect-bim-architect-2014887-jv","Xem chi tiết")</f>
        <v/>
      </c>
      <c r="O4114" s="10" t="n"/>
    </row>
    <row r="4115">
      <c r="B4115" s="7" t="n">
        <v>4113</v>
      </c>
      <c r="C4115" t="inlineStr">
        <is>
          <t>[Viettel Asset]/ Kỹ sư Quản lý Dự toán (Chủ đầu tư)</t>
        </is>
      </c>
      <c r="D4115" t="inlineStr">
        <is>
          <t>Tập Đoàn Công Nghiệp - Viễn Thông Quân Đội - Công Ty Quản Lý Tài Sản Viettel</t>
        </is>
      </c>
      <c r="E4115" t="inlineStr">
        <is>
          <t>$$ 700-1,200 /tháng</t>
        </is>
      </c>
      <c r="F4115" t="inlineStr">
        <is>
          <t>Hà Nội</t>
        </is>
      </c>
      <c r="G4115" t="inlineStr">
        <is>
          <t>Nhân viên</t>
        </is>
      </c>
      <c r="H4115" t="inlineStr">
        <is>
          <t>26/02/2026</t>
        </is>
      </c>
      <c r="I4115" t="inlineStr">
        <is>
          <t>28/03/2026</t>
        </is>
      </c>
      <c r="J4115" t="inlineStr">
        <is>
          <t>17/03/2026</t>
        </is>
      </c>
      <c r="K4115" t="inlineStr">
        <is>
          <t>N/A</t>
        </is>
      </c>
      <c r="L4115" t="inlineStr">
        <is>
          <t>Dự Toán, Dự Toán Đấu Thầu Xây Dựng, Kiểm Tra Pháp Lý, Quản Lý Chi Phí Dự Án, Thanh Quyết Toán</t>
        </is>
      </c>
      <c r="M4115" t="inlineStr">
        <is>
          <t>Bonus, Healthcare Plan</t>
        </is>
      </c>
      <c r="N4115" s="8">
        <f>HYPERLINK("https://www.vietnamworks.com/viettel-asset-ky-su-quan-ly-du-toan-chu-djau-tu-2014877-jv","Xem chi tiết")</f>
        <v/>
      </c>
    </row>
    <row r="4116">
      <c r="B4116" s="9" t="n">
        <v>4114</v>
      </c>
      <c r="C4116" s="10" t="inlineStr">
        <is>
          <t>Project Executive</t>
        </is>
      </c>
      <c r="D4116" s="10" t="inlineStr">
        <is>
          <t>Công ty TNHH Ong &amp; Ong</t>
        </is>
      </c>
      <c r="E4116" s="10" t="inlineStr">
        <is>
          <t>20tr-25tr ₫/tháng</t>
        </is>
      </c>
      <c r="F4116" s="10" t="inlineStr">
        <is>
          <t>Hồ Chí Minh</t>
        </is>
      </c>
      <c r="G4116" s="10" t="inlineStr">
        <is>
          <t>Nhân viên</t>
        </is>
      </c>
      <c r="H4116" s="10" t="inlineStr">
        <is>
          <t>26/02/2026</t>
        </is>
      </c>
      <c r="I4116" s="10" t="inlineStr">
        <is>
          <t>28/03/2026</t>
        </is>
      </c>
      <c r="J4116" s="10" t="inlineStr">
        <is>
          <t>17/03/2026</t>
        </is>
      </c>
      <c r="K4116" s="10" t="inlineStr">
        <is>
          <t>N/A</t>
        </is>
      </c>
      <c r="L4116" s="10" t="inlineStr">
        <is>
          <t>Civil Drafting, Excel Skills, Gatekeeping, Solution Oriented, Confidential Ops</t>
        </is>
      </c>
      <c r="M4116" s="10" t="inlineStr">
        <is>
          <t>Healthcare Plan, Paid Leave, Travel Opportunities</t>
        </is>
      </c>
      <c r="N4116" s="11">
        <f>HYPERLINK("https://www.vietnamworks.com/project-executive-2014890-jv","Xem chi tiết")</f>
        <v/>
      </c>
      <c r="O4116" s="10" t="n"/>
    </row>
    <row r="4117">
      <c r="B4117" s="7" t="n">
        <v>4115</v>
      </c>
      <c r="C4117" t="inlineStr">
        <is>
          <t>HR Officer</t>
        </is>
      </c>
      <c r="D4117" t="inlineStr">
        <is>
          <t>PepsiCo Foods Vietnam Company</t>
        </is>
      </c>
      <c r="E4117" t="inlineStr">
        <is>
          <t>$$ 500-600 /tháng</t>
        </is>
      </c>
      <c r="F4117" t="inlineStr">
        <is>
          <t>Hồ Chí Minh</t>
        </is>
      </c>
      <c r="G4117" t="inlineStr">
        <is>
          <t>Nhân viên</t>
        </is>
      </c>
      <c r="H4117" t="inlineStr">
        <is>
          <t>26/02/2026</t>
        </is>
      </c>
      <c r="I4117" t="inlineStr">
        <is>
          <t>28/03/2026</t>
        </is>
      </c>
      <c r="J4117" t="inlineStr">
        <is>
          <t>17/03/2026</t>
        </is>
      </c>
      <c r="K4117" t="inlineStr">
        <is>
          <t>N/A</t>
        </is>
      </c>
      <c r="L4117" t="inlineStr">
        <is>
          <t>Recruitment, Human Resources, Nhân Sự, HR</t>
        </is>
      </c>
      <c r="M4117" t="inlineStr">
        <is>
          <t>Bonus, Healthcare Plan, Paid Leave</t>
        </is>
      </c>
      <c r="N4117" s="8">
        <f>HYPERLINK("https://www.vietnamworks.com/hr-officer--2014893-jv","Xem chi tiết")</f>
        <v/>
      </c>
    </row>
    <row r="4118">
      <c r="B4118" s="9" t="n">
        <v>4116</v>
      </c>
      <c r="C4118" s="10" t="inlineStr">
        <is>
          <t>Kế Toán Tổng Hợp</t>
        </is>
      </c>
      <c r="D4118" s="10" t="inlineStr">
        <is>
          <t>CÔNG TY TNHH AABIPORT VIETNAM</t>
        </is>
      </c>
      <c r="E4118" s="10" t="inlineStr">
        <is>
          <t>Thương lượng</t>
        </is>
      </c>
      <c r="F4118" s="10" t="inlineStr">
        <is>
          <t>Hồ Chí Minh</t>
        </is>
      </c>
      <c r="G4118" s="10" t="inlineStr">
        <is>
          <t>Nhân viên</t>
        </is>
      </c>
      <c r="H4118" s="10" t="inlineStr">
        <is>
          <t>16/12/2025</t>
        </is>
      </c>
      <c r="I4118" s="10" t="inlineStr">
        <is>
          <t>29/03/2026</t>
        </is>
      </c>
      <c r="J4118" s="10" t="inlineStr">
        <is>
          <t>17/03/2026</t>
        </is>
      </c>
      <c r="K4118" s="10" t="inlineStr">
        <is>
          <t>N/A</t>
        </is>
      </c>
      <c r="L4118" s="10" t="inlineStr">
        <is>
          <t>General Accounting Principals, Kế Toán Tổng Hợp, Báo Cáo Thuế</t>
        </is>
      </c>
      <c r="M4118" s="10" t="inlineStr">
        <is>
          <t>Bonus, Healthcare Plan, Team Activities, Others</t>
        </is>
      </c>
      <c r="N4118" s="11">
        <f>HYPERLINK("https://www.vietnamworks.com/ke-toan-tong-hop-1993254-jv","Xem chi tiết")</f>
        <v/>
      </c>
      <c r="O4118" s="10" t="n"/>
    </row>
    <row r="4119">
      <c r="B4119" s="7" t="n">
        <v>4117</v>
      </c>
      <c r="C4119" t="inlineStr">
        <is>
          <t>Production Artist (Ai-Enabled)</t>
        </is>
      </c>
      <c r="D4119" t="inlineStr">
        <is>
          <t>Asiafoods Corporation</t>
        </is>
      </c>
      <c r="E4119" t="inlineStr">
        <is>
          <t>Thương lượng</t>
        </is>
      </c>
      <c r="F4119" t="inlineStr">
        <is>
          <t>Hồ Chí Minh</t>
        </is>
      </c>
      <c r="G4119" t="inlineStr">
        <is>
          <t>Nhân viên</t>
        </is>
      </c>
      <c r="H4119" t="inlineStr">
        <is>
          <t>26/02/2026</t>
        </is>
      </c>
      <c r="I4119" t="inlineStr">
        <is>
          <t>28/03/2026</t>
        </is>
      </c>
      <c r="J4119" t="inlineStr">
        <is>
          <t>17/03/2026</t>
        </is>
      </c>
      <c r="K4119" t="inlineStr">
        <is>
          <t>N/A</t>
        </is>
      </c>
      <c r="L4119" t="inlineStr">
        <is>
          <t>AI, Multimedia, VFX, Film Editing, VFX Art</t>
        </is>
      </c>
      <c r="M4119" t="inlineStr">
        <is>
          <t>Bonus, Training, Laptop</t>
        </is>
      </c>
      <c r="N4119" s="8">
        <f>HYPERLINK("https://www.vietnamworks.com/production-artist-ai-enabled-2014892-jv","Xem chi tiết")</f>
        <v/>
      </c>
    </row>
    <row r="4120">
      <c r="B4120" s="9" t="n">
        <v>4118</v>
      </c>
      <c r="C4120" s="10" t="inlineStr">
        <is>
          <t>Senior Paralegal - Legal Services</t>
        </is>
      </c>
      <c r="D4120" s="10" t="inlineStr">
        <is>
          <t>PwC (Vietnam) Ltd.</t>
        </is>
      </c>
      <c r="E4120" s="10" t="inlineStr">
        <is>
          <t>Thương lượng</t>
        </is>
      </c>
      <c r="F4120" s="10" t="inlineStr">
        <is>
          <t>Hà Nội, Hồ Chí Minh</t>
        </is>
      </c>
      <c r="G4120" s="10" t="inlineStr">
        <is>
          <t>Nhân viên</t>
        </is>
      </c>
      <c r="H4120" s="10" t="inlineStr">
        <is>
          <t>26/02/2026</t>
        </is>
      </c>
      <c r="I4120" s="10" t="inlineStr">
        <is>
          <t>28/03/2026</t>
        </is>
      </c>
      <c r="J4120" s="10" t="inlineStr">
        <is>
          <t>17/03/2026</t>
        </is>
      </c>
      <c r="K4120" s="10" t="inlineStr">
        <is>
          <t>N/A</t>
        </is>
      </c>
      <c r="L4120" s="10" t="inlineStr">
        <is>
          <t>Legal Consultancy, Legal &amp; Law, Law Firms, M&amp;A Legal Frameworks, Legal Solutions</t>
        </is>
      </c>
      <c r="M4120" s="10" t="inlineStr">
        <is>
          <t>Bonus, Healthcare Plan, Training</t>
        </is>
      </c>
      <c r="N4120" s="11">
        <f>HYPERLINK("https://www.vietnamworks.com/senior-paralegal-legal-services--2014873-jv","Xem chi tiết")</f>
        <v/>
      </c>
      <c r="O4120" s="10" t="n"/>
    </row>
    <row r="4121">
      <c r="B4121" s="7" t="n">
        <v>4119</v>
      </c>
      <c r="C4121" t="inlineStr">
        <is>
          <t>HR/ Talent Acquisition Manager (Open to Relocate)</t>
        </is>
      </c>
      <c r="D4121" t="inlineStr">
        <is>
          <t>Công Ty Phát Triển Trạm Sạc Toàn Cầu V-Green</t>
        </is>
      </c>
      <c r="E4121" t="inlineStr">
        <is>
          <t>Thương lượng</t>
        </is>
      </c>
      <c r="F4121" t="inlineStr">
        <is>
          <t>Hà Nội</t>
        </is>
      </c>
      <c r="G4121" t="inlineStr">
        <is>
          <t>Nhân viên</t>
        </is>
      </c>
      <c r="H4121" t="inlineStr">
        <is>
          <t>26/02/2026</t>
        </is>
      </c>
      <c r="I4121" t="inlineStr">
        <is>
          <t>28/03/2026</t>
        </is>
      </c>
      <c r="J4121" t="inlineStr">
        <is>
          <t>17/03/2026</t>
        </is>
      </c>
      <c r="K4121" t="inlineStr">
        <is>
          <t>N/A</t>
        </is>
      </c>
      <c r="L4121" t="inlineStr">
        <is>
          <t>English, Human Resources (HR), Recruitment</t>
        </is>
      </c>
      <c r="M4121" t="inlineStr">
        <is>
          <t>Bonus, Healthcare Plan, Others</t>
        </is>
      </c>
      <c r="N4121" s="8">
        <f>HYPERLINK("https://www.vietnamworks.com/hr-talent-acquisition-manager-open-to-relocate--2014885-jv","Xem chi tiết")</f>
        <v/>
      </c>
    </row>
    <row r="4122">
      <c r="B4122" s="9" t="n">
        <v>4120</v>
      </c>
      <c r="C4122" s="10" t="inlineStr">
        <is>
          <t>Kế Toán Tổng Hợp Lương 18 Triệu</t>
        </is>
      </c>
      <c r="D4122" s="10" t="inlineStr">
        <is>
          <t>CÔNG TY CỔ PHẦN DƯỢC PHẨM LV PHARMA</t>
        </is>
      </c>
      <c r="E4122" s="10" t="inlineStr">
        <is>
          <t>Thương lượng</t>
        </is>
      </c>
      <c r="F4122" s="10" t="inlineStr">
        <is>
          <t>Hồ Chí Minh</t>
        </is>
      </c>
      <c r="G4122" s="10" t="inlineStr">
        <is>
          <t>Nhân viên</t>
        </is>
      </c>
      <c r="H4122" s="10" t="inlineStr">
        <is>
          <t>22/10/2025</t>
        </is>
      </c>
      <c r="I4122" s="10" t="inlineStr">
        <is>
          <t>29/03/2026</t>
        </is>
      </c>
      <c r="J4122" s="10" t="inlineStr">
        <is>
          <t>17/03/2026</t>
        </is>
      </c>
      <c r="K4122" s="10" t="inlineStr">
        <is>
          <t>N/A</t>
        </is>
      </c>
      <c r="L4122" s="10" t="inlineStr">
        <is>
          <t>Giao Tiếp, Kiểm Soát Công Nợ, Kỹ năng văn phòng</t>
        </is>
      </c>
      <c r="M4122" s="10" t="inlineStr">
        <is>
          <t>Bonus, Healthcare Plan, Paid Leave, Others</t>
        </is>
      </c>
      <c r="N4122" s="11">
        <f>HYPERLINK("https://www.vietnamworks.com/ke-toan-tong-hop-luong-18-trieu-1972458-jv","Xem chi tiết")</f>
        <v/>
      </c>
      <c r="O4122" s="10" t="n"/>
    </row>
    <row r="4123">
      <c r="B4123" s="7" t="n">
        <v>4121</v>
      </c>
      <c r="C4123" t="inlineStr">
        <is>
          <t>RECs and Admin Assistant</t>
        </is>
      </c>
      <c r="D4123" t="inlineStr">
        <is>
          <t>Monsoon Sustainability Company Limited</t>
        </is>
      </c>
      <c r="E4123" t="inlineStr">
        <is>
          <t>Thương lượng</t>
        </is>
      </c>
      <c r="F4123" t="inlineStr">
        <is>
          <t>Hồ Chí Minh</t>
        </is>
      </c>
      <c r="G4123" t="inlineStr">
        <is>
          <t>Mới Tốt Nghiệp</t>
        </is>
      </c>
      <c r="H4123" t="inlineStr">
        <is>
          <t>26/02/2026</t>
        </is>
      </c>
      <c r="I4123" t="inlineStr">
        <is>
          <t>28/03/2026</t>
        </is>
      </c>
      <c r="J4123" t="inlineStr">
        <is>
          <t>17/03/2026</t>
        </is>
      </c>
      <c r="K4123" t="inlineStr">
        <is>
          <t>N/A</t>
        </is>
      </c>
      <c r="L4123" t="inlineStr">
        <is>
          <t>Office Administration, Staff Coordination, Assistant, Environment, Renewable Energy Projects</t>
        </is>
      </c>
      <c r="M4123" t="inlineStr">
        <is>
          <t>Bonus, Training, Others</t>
        </is>
      </c>
      <c r="N4123" s="8">
        <f>HYPERLINK("https://www.vietnamworks.com/recs-and-admin-assistant-2014886-jv","Xem chi tiết")</f>
        <v/>
      </c>
    </row>
    <row r="4124">
      <c r="B4124" s="9" t="n">
        <v>4122</v>
      </c>
      <c r="C4124" s="10" t="inlineStr">
        <is>
          <t>Chuyên Viên CGI &amp; VFX</t>
        </is>
      </c>
      <c r="D4124" s="10" t="inlineStr">
        <is>
          <t>Asiafoods Corporation</t>
        </is>
      </c>
      <c r="E4124" s="10" t="inlineStr">
        <is>
          <t>Thương lượng</t>
        </is>
      </c>
      <c r="F4124" s="10" t="inlineStr">
        <is>
          <t>Hồ Chí Minh</t>
        </is>
      </c>
      <c r="G4124" s="10" t="inlineStr">
        <is>
          <t>Nhân viên</t>
        </is>
      </c>
      <c r="H4124" s="10" t="inlineStr">
        <is>
          <t>26/02/2026</t>
        </is>
      </c>
      <c r="I4124" s="10" t="inlineStr">
        <is>
          <t>28/03/2026</t>
        </is>
      </c>
      <c r="J4124" s="10" t="inlineStr">
        <is>
          <t>17/03/2026</t>
        </is>
      </c>
      <c r="K4124" s="10" t="inlineStr">
        <is>
          <t>N/A</t>
        </is>
      </c>
      <c r="L4124" s="10" t="inlineStr">
        <is>
          <t>3D Game, Multimedia, Game Art, Digital Media, Visual Effects</t>
        </is>
      </c>
      <c r="M4124" s="10" t="inlineStr">
        <is>
          <t>Bonus, Training, Laptop</t>
        </is>
      </c>
      <c r="N4124" s="11">
        <f>HYPERLINK("https://www.vietnamworks.com/chuyen-vien-cgi-vfx-2014891-jv","Xem chi tiết")</f>
        <v/>
      </c>
      <c r="O4124" s="10" t="n"/>
    </row>
    <row r="4125">
      <c r="B4125" s="7" t="n">
        <v>4123</v>
      </c>
      <c r="C4125" t="inlineStr">
        <is>
          <t>Project Architect</t>
        </is>
      </c>
      <c r="D4125" t="inlineStr">
        <is>
          <t>Công ty TNHH Ong &amp; Ong</t>
        </is>
      </c>
      <c r="E4125" t="inlineStr">
        <is>
          <t>45tr-50tr ₫/tháng</t>
        </is>
      </c>
      <c r="F4125" t="inlineStr">
        <is>
          <t>Hồ Chí Minh</t>
        </is>
      </c>
      <c r="G4125" t="inlineStr">
        <is>
          <t>Nhân viên</t>
        </is>
      </c>
      <c r="H4125" t="inlineStr">
        <is>
          <t>26/02/2026</t>
        </is>
      </c>
      <c r="I4125" t="inlineStr">
        <is>
          <t>28/03/2026</t>
        </is>
      </c>
      <c r="J4125" t="inlineStr">
        <is>
          <t>17/03/2026</t>
        </is>
      </c>
      <c r="K4125" t="inlineStr">
        <is>
          <t>N/A</t>
        </is>
      </c>
      <c r="L4125" t="inlineStr">
        <is>
          <t>AutoCAD Pro, Autocad Structural Detailing, BIM Revit, Leadership, Project Management</t>
        </is>
      </c>
      <c r="M4125" t="inlineStr">
        <is>
          <t>Healthcare Plan, Paid Leave, Training, Team Activities, Others</t>
        </is>
      </c>
      <c r="N4125" s="8">
        <f>HYPERLINK("https://www.vietnamworks.com/project-architect-2014889-jv","Xem chi tiết")</f>
        <v/>
      </c>
    </row>
    <row r="4126">
      <c r="B4126" s="9" t="n">
        <v>4124</v>
      </c>
      <c r="C4126" s="10" t="inlineStr">
        <is>
          <t>Chuyên Viên Quản Trị Rủi Ro (phụ Trách Rủi Ro Thị Trường, Thanh Khoản Và Vận Hành)</t>
        </is>
      </c>
      <c r="D4126" s="10" t="inlineStr">
        <is>
          <t>Công Ty Cổ Phần Chứng Khoán KAFI</t>
        </is>
      </c>
      <c r="E4126" s="10" t="inlineStr">
        <is>
          <t>Thương lượng</t>
        </is>
      </c>
      <c r="F4126" s="10" t="inlineStr">
        <is>
          <t>Hồ Chí Minh</t>
        </is>
      </c>
      <c r="G4126" s="10" t="inlineStr">
        <is>
          <t>Nhân viên</t>
        </is>
      </c>
      <c r="H4126" s="10" t="inlineStr">
        <is>
          <t>26/02/2026</t>
        </is>
      </c>
      <c r="I4126" s="10" t="inlineStr">
        <is>
          <t>28/03/2026</t>
        </is>
      </c>
      <c r="J4126" s="10" t="inlineStr">
        <is>
          <t>17/03/2026</t>
        </is>
      </c>
      <c r="K4126" s="10" t="inlineStr">
        <is>
          <t>N/A</t>
        </is>
      </c>
      <c r="L4126" s="10" t="inlineStr">
        <is>
          <t>Giao Tiếp, Phân Tích Số Liệu, Quản Trị Rủi Ro, Sử Dụng Excel, Tư Duy Logic</t>
        </is>
      </c>
      <c r="M4126" s="10" t="inlineStr">
        <is>
          <t>Bonus, Healthcare Plan, Training, Team Activities, Others</t>
        </is>
      </c>
      <c r="N4126" s="11">
        <f>HYPERLINK("https://www.vietnamworks.com/chuyen-vien-quan-tri-rui-ro-phu-trach-rui-ro-thi-truong-thanh-khoan-va-van-hanh-2014872-jv","Xem chi tiết")</f>
        <v/>
      </c>
      <c r="O4126" s="10" t="n"/>
    </row>
    <row r="4127">
      <c r="B4127" s="7" t="n">
        <v>4125</v>
      </c>
      <c r="C4127" t="inlineStr">
        <is>
          <t>C&amp;B Staff</t>
        </is>
      </c>
      <c r="D4127" t="inlineStr">
        <is>
          <t>Showa Gloves Vietnam</t>
        </is>
      </c>
      <c r="E4127" t="inlineStr">
        <is>
          <t>Thương lượng</t>
        </is>
      </c>
      <c r="F4127" t="inlineStr">
        <is>
          <t>Bình Dương</t>
        </is>
      </c>
      <c r="G4127" t="inlineStr">
        <is>
          <t>Nhân viên</t>
        </is>
      </c>
      <c r="H4127" t="inlineStr">
        <is>
          <t>29/05/2018</t>
        </is>
      </c>
      <c r="I4127" t="inlineStr">
        <is>
          <t>29/03/2026</t>
        </is>
      </c>
      <c r="J4127" t="inlineStr">
        <is>
          <t>17/03/2026</t>
        </is>
      </c>
      <c r="K4127" t="inlineStr">
        <is>
          <t>N/A</t>
        </is>
      </c>
      <c r="L4127" t="inlineStr">
        <is>
          <t>Communication, Administration</t>
        </is>
      </c>
      <c r="M4127" t="inlineStr">
        <is>
          <t>Bonus, Healthcare Plan, Others</t>
        </is>
      </c>
      <c r="N4127" s="8">
        <f>HYPERLINK("https://www.vietnamworks.com/c-b-staff--953876-jv","Xem chi tiết")</f>
        <v/>
      </c>
    </row>
    <row r="4128">
      <c r="B4128" s="9" t="n">
        <v>4126</v>
      </c>
      <c r="C4128" s="10" t="inlineStr">
        <is>
          <t>Senior Sales Executive (Freight Forwarding)</t>
        </is>
      </c>
      <c r="D4128" s="10" t="inlineStr">
        <is>
          <t>Delta International Logistics Co.,ltd</t>
        </is>
      </c>
      <c r="E4128" s="10" t="inlineStr">
        <is>
          <t>Thương lượng</t>
        </is>
      </c>
      <c r="F4128" s="10" t="inlineStr">
        <is>
          <t>Hồ Chí Minh</t>
        </is>
      </c>
      <c r="G4128" s="10" t="inlineStr">
        <is>
          <t>Nhân viên</t>
        </is>
      </c>
      <c r="H4128" s="10" t="inlineStr">
        <is>
          <t>02/12/2025</t>
        </is>
      </c>
      <c r="I4128" s="10" t="inlineStr">
        <is>
          <t>29/03/2026</t>
        </is>
      </c>
      <c r="J4128" s="10" t="inlineStr">
        <is>
          <t>17/03/2026</t>
        </is>
      </c>
      <c r="K4128" s="10" t="inlineStr">
        <is>
          <t>N/A</t>
        </is>
      </c>
      <c r="L4128" s="10" t="inlineStr">
        <is>
          <t>Business Development, Sales, Forwarding, Logistics Sales, B2B Sales</t>
        </is>
      </c>
      <c r="M4128" s="10" t="inlineStr">
        <is>
          <t>Bonus, Healthcare Plan, Training</t>
        </is>
      </c>
      <c r="N4128" s="11">
        <f>HYPERLINK("https://www.vietnamworks.com/senior-sales-executive-freight-forwarding--1988832-jv","Xem chi tiết")</f>
        <v/>
      </c>
      <c r="O4128" s="10" t="n"/>
    </row>
    <row r="4129">
      <c r="B4129" s="7" t="n">
        <v>4127</v>
      </c>
      <c r="C4129" t="inlineStr">
        <is>
          <t>Accountant</t>
        </is>
      </c>
      <c r="D4129" t="inlineStr">
        <is>
          <t>Serial Microelectronics Pte LTD</t>
        </is>
      </c>
      <c r="E4129" t="inlineStr">
        <is>
          <t>Thương lượng</t>
        </is>
      </c>
      <c r="F4129" t="inlineStr">
        <is>
          <t>Hồ Chí Minh</t>
        </is>
      </c>
      <c r="G4129" t="inlineStr">
        <is>
          <t>Nhân viên</t>
        </is>
      </c>
      <c r="H4129" t="inlineStr">
        <is>
          <t>19/09/2023</t>
        </is>
      </c>
      <c r="I4129" t="inlineStr">
        <is>
          <t>29/03/2026</t>
        </is>
      </c>
      <c r="J4129" t="inlineStr">
        <is>
          <t>17/03/2026</t>
        </is>
      </c>
      <c r="K4129" t="inlineStr">
        <is>
          <t>N/A</t>
        </is>
      </c>
      <c r="L4129" t="inlineStr">
        <is>
          <t>Finance, Tài Chính, Kiểm Toán, Kế Toán Tổng Hợp, Kế Toán</t>
        </is>
      </c>
      <c r="M4129" t="inlineStr">
        <is>
          <t>Healthcare Plan, Paid Leave</t>
        </is>
      </c>
      <c r="N4129" s="8">
        <f>HYPERLINK("https://www.vietnamworks.com/accountant--1694718-jv","Xem chi tiết")</f>
        <v/>
      </c>
    </row>
    <row r="4130">
      <c r="B4130" s="9" t="n">
        <v>4128</v>
      </c>
      <c r="C4130" s="10" t="inlineStr">
        <is>
          <t>Sales Operation Executive/ Chuyên Viên Vận Hành (Xuất Nhập Khẩu)</t>
        </is>
      </c>
      <c r="D4130" s="10" t="inlineStr">
        <is>
          <t>CTY TNHH Hình Tượng Ô Tô Việt Nam - Motor Image Vietnam Co., Ltd</t>
        </is>
      </c>
      <c r="E4130" s="10" t="inlineStr">
        <is>
          <t>Thương lượng</t>
        </is>
      </c>
      <c r="F4130" s="10" t="inlineStr">
        <is>
          <t>Hồ Chí Minh</t>
        </is>
      </c>
      <c r="G4130" s="10" t="inlineStr">
        <is>
          <t>Nhân viên</t>
        </is>
      </c>
      <c r="H4130" s="10" t="inlineStr">
        <is>
          <t>26/02/2026</t>
        </is>
      </c>
      <c r="I4130" s="10" t="inlineStr">
        <is>
          <t>28/03/2026</t>
        </is>
      </c>
      <c r="J4130" s="10" t="inlineStr">
        <is>
          <t>17/03/2026</t>
        </is>
      </c>
      <c r="K4130" s="10" t="inlineStr">
        <is>
          <t>N/A</t>
        </is>
      </c>
      <c r="L4130" s="10" t="inlineStr">
        <is>
          <t>Khai Báo Hải Quan, Xuất Nhập Khẩu, Giao Tiếp, Tiếng Anh, Quản Lý Kho</t>
        </is>
      </c>
      <c r="M4130" s="10" t="inlineStr">
        <is>
          <t>Bonus, Healthcare Plan, Paid Leave</t>
        </is>
      </c>
      <c r="N4130" s="11">
        <f>HYPERLINK("https://www.vietnamworks.com/sales-operation-executive-chuyen-vien-van-hanh-xuat-nhap-khau-2014678-jv","Xem chi tiết")</f>
        <v/>
      </c>
      <c r="O4130" s="10" t="n"/>
    </row>
    <row r="4131">
      <c r="B4131" s="7" t="n">
        <v>4129</v>
      </c>
      <c r="C4131" t="inlineStr">
        <is>
          <t>Kế Toán Nội Bộ</t>
        </is>
      </c>
      <c r="D4131" t="inlineStr">
        <is>
          <t>CÔNG TY TNHH THƯƠNG MẠI JETZT</t>
        </is>
      </c>
      <c r="E4131" t="inlineStr">
        <is>
          <t>10tr-18tr ₫/tháng</t>
        </is>
      </c>
      <c r="F4131" t="inlineStr">
        <is>
          <t>Hà Nội</t>
        </is>
      </c>
      <c r="G4131" t="inlineStr">
        <is>
          <t>Nhân viên</t>
        </is>
      </c>
      <c r="H4131" t="inlineStr">
        <is>
          <t>17/12/2025</t>
        </is>
      </c>
      <c r="I4131" t="inlineStr">
        <is>
          <t>29/03/2026</t>
        </is>
      </c>
      <c r="J4131" t="inlineStr">
        <is>
          <t>17/03/2026</t>
        </is>
      </c>
      <c r="K4131" t="inlineStr">
        <is>
          <t>N/A</t>
        </is>
      </c>
      <c r="L4131" t="inlineStr">
        <is>
          <t>Hạch Toán, Lập Báo Cáo Doanh Thu, Quản Lý Thu Chi, Kế Toán Thuế, Tiếng Trung</t>
        </is>
      </c>
      <c r="M4131" t="inlineStr">
        <is>
          <t>Bonus, Healthcare Plan, Training, Travel Opportunities, Others</t>
        </is>
      </c>
      <c r="N4131" s="8">
        <f>HYPERLINK("https://www.vietnamworks.com/ke-toan-noi-bo-1994003-jv","Xem chi tiết")</f>
        <v/>
      </c>
    </row>
    <row r="4132">
      <c r="B4132" s="9" t="n">
        <v>4130</v>
      </c>
      <c r="C4132" s="10" t="inlineStr">
        <is>
          <t>Hiệu Trưởng/ Quản Lý Set Up Trường Trung Cấp</t>
        </is>
      </c>
      <c r="D4132" s="10" t="inlineStr">
        <is>
          <t>Morris International Preschool</t>
        </is>
      </c>
      <c r="E4132" s="10" t="inlineStr">
        <is>
          <t>Thương lượng</t>
        </is>
      </c>
      <c r="F4132" s="10" t="inlineStr">
        <is>
          <t>Hồ Chí Minh</t>
        </is>
      </c>
      <c r="G4132" s="10" t="inlineStr">
        <is>
          <t>Trưởng phòng</t>
        </is>
      </c>
      <c r="H4132" s="10" t="inlineStr">
        <is>
          <t>30/12/2025</t>
        </is>
      </c>
      <c r="I4132" s="10" t="inlineStr">
        <is>
          <t>29/03/2026</t>
        </is>
      </c>
      <c r="J4132" s="10" t="inlineStr">
        <is>
          <t>17/03/2026</t>
        </is>
      </c>
      <c r="K4132" s="10" t="inlineStr">
        <is>
          <t>N/A</t>
        </is>
      </c>
      <c r="L4132" s="10" t="inlineStr">
        <is>
          <t>Quản Lý Giáo Dục, Thiết Kế Giáo Trình, Tiếng Anh, Quản Lý Học Thuật, Quản Lý Vận Hành</t>
        </is>
      </c>
      <c r="M4132" s="10" t="inlineStr">
        <is>
          <t>Team Activities, Others</t>
        </is>
      </c>
      <c r="N4132" s="11">
        <f>HYPERLINK("https://www.vietnamworks.com/hieu-truong-quan-ly-set-up-truong-trung-cap-1997779-jv","Xem chi tiết")</f>
        <v/>
      </c>
      <c r="O4132" s="10" t="n"/>
    </row>
    <row r="4133">
      <c r="B4133" s="7" t="n">
        <v>4131</v>
      </c>
      <c r="C4133" t="inlineStr">
        <is>
          <t>Nhân Viên Chứng Từ Xuất Nhập Khẩu (Customer Service And Documentation)</t>
        </is>
      </c>
      <c r="D4133" t="inlineStr">
        <is>
          <t>CÔNG TY TNHH AABIPORT VIETNAM</t>
        </is>
      </c>
      <c r="E4133" t="inlineStr">
        <is>
          <t>Thương lượng</t>
        </is>
      </c>
      <c r="F4133" t="inlineStr">
        <is>
          <t>Hồ Chí Minh</t>
        </is>
      </c>
      <c r="G4133" t="inlineStr">
        <is>
          <t>Nhân viên</t>
        </is>
      </c>
      <c r="H4133" t="inlineStr">
        <is>
          <t>31/12/2025</t>
        </is>
      </c>
      <c r="I4133" t="inlineStr">
        <is>
          <t>29/03/2026</t>
        </is>
      </c>
      <c r="J4133" t="inlineStr">
        <is>
          <t>17/03/2026</t>
        </is>
      </c>
      <c r="K4133" t="inlineStr">
        <is>
          <t>N/A</t>
        </is>
      </c>
      <c r="L4133" t="inlineStr">
        <is>
          <t>Customer Service, Attention To Detail, Documentation Skills, Booking, Vận Tải Quốc Tế</t>
        </is>
      </c>
      <c r="M4133" t="inlineStr">
        <is>
          <t>Bonus, Healthcare Plan, Team Activities, Others</t>
        </is>
      </c>
      <c r="N4133" s="8">
        <f>HYPERLINK("https://www.vietnamworks.com/nhan-vien-chung-tu-xuat-nhap-khau-customer-service-and-documentation-1998869-jv","Xem chi tiết")</f>
        <v/>
      </c>
    </row>
    <row r="4134">
      <c r="B4134" s="9" t="n">
        <v>4132</v>
      </c>
      <c r="C4134" s="10" t="inlineStr">
        <is>
          <t>Audit Assistant</t>
        </is>
      </c>
      <c r="D4134" s="10" t="inlineStr">
        <is>
          <t>Công Ty TNHH Nexia STT</t>
        </is>
      </c>
      <c r="E4134" s="10" t="inlineStr">
        <is>
          <t>$$ 227-305 /tháng</t>
        </is>
      </c>
      <c r="F4134" s="10" t="inlineStr">
        <is>
          <t>Hà Nội</t>
        </is>
      </c>
      <c r="G4134" s="10" t="inlineStr">
        <is>
          <t>Mới Tốt Nghiệp</t>
        </is>
      </c>
      <c r="H4134" s="10" t="inlineStr">
        <is>
          <t>05/01/2026</t>
        </is>
      </c>
      <c r="I4134" s="10" t="inlineStr">
        <is>
          <t>29/03/2026</t>
        </is>
      </c>
      <c r="J4134" s="10" t="inlineStr">
        <is>
          <t>17/03/2026</t>
        </is>
      </c>
      <c r="K4134" s="10" t="inlineStr">
        <is>
          <t>N/A</t>
        </is>
      </c>
      <c r="L4134" s="10" t="inlineStr">
        <is>
          <t>Tài Chính, Kiểm Toán, Báo Cáo Tài Chính, Audit, Kế Toán</t>
        </is>
      </c>
      <c r="M4134" s="10" t="inlineStr">
        <is>
          <t>Bonus, Healthcare Plan, Others</t>
        </is>
      </c>
      <c r="N4134" s="11">
        <f>HYPERLINK("https://www.vietnamworks.com/audit-assistant--1999448-jv","Xem chi tiết")</f>
        <v/>
      </c>
      <c r="O4134" s="10" t="n"/>
    </row>
    <row r="4135">
      <c r="B4135" s="7" t="n">
        <v>4133</v>
      </c>
      <c r="C4135" t="inlineStr">
        <is>
          <t>Trưởng Phòng Quản Lý Sản Xuất</t>
        </is>
      </c>
      <c r="D4135" t="inlineStr">
        <is>
          <t>Công Ty TNHH Công Nghiệp KYB Việt Nam</t>
        </is>
      </c>
      <c r="E4135" t="inlineStr">
        <is>
          <t>Thương lượng</t>
        </is>
      </c>
      <c r="F4135" t="inlineStr">
        <is>
          <t>Hà Nội</t>
        </is>
      </c>
      <c r="G4135" t="inlineStr">
        <is>
          <t>Trưởng phòng</t>
        </is>
      </c>
      <c r="H4135" t="inlineStr">
        <is>
          <t>05/01/2026</t>
        </is>
      </c>
      <c r="I4135" t="inlineStr">
        <is>
          <t>29/03/2026</t>
        </is>
      </c>
      <c r="J4135" t="inlineStr">
        <is>
          <t>17/03/2026</t>
        </is>
      </c>
      <c r="K4135" t="inlineStr">
        <is>
          <t>N/A</t>
        </is>
      </c>
      <c r="L4135" t="inlineStr">
        <is>
          <t>Kế Hoạch Sản Xuất, Quản Lý Kho, Quản Lý Nhân Sự, Quản Lý Tồn Kho, Tiếng Nhật</t>
        </is>
      </c>
      <c r="M4135" t="inlineStr">
        <is>
          <t>Bonus, Healthcare Plan, Others</t>
        </is>
      </c>
      <c r="N4135" s="8">
        <f>HYPERLINK("https://www.vietnamworks.com/truong-phong-quan-ly-san-xuat-1999537-jv","Xem chi tiết")</f>
        <v/>
      </c>
    </row>
    <row r="4136">
      <c r="B4136" s="9" t="n">
        <v>4134</v>
      </c>
      <c r="C4136" s="10" t="inlineStr">
        <is>
          <t>Nhân Viên CAD – Dự Toán (Chấp Nhận Fresher – Được Đào Tạo Từ Đầu)</t>
        </is>
      </c>
      <c r="D4136" s="10" t="inlineStr">
        <is>
          <t>Star J Co., Ltd</t>
        </is>
      </c>
      <c r="E4136" s="10" t="inlineStr">
        <is>
          <t>Thương lượng</t>
        </is>
      </c>
      <c r="F4136" s="10" t="inlineStr">
        <is>
          <t>Hồ Chí Minh</t>
        </is>
      </c>
      <c r="G4136" s="10" t="inlineStr">
        <is>
          <t>Nhân viên</t>
        </is>
      </c>
      <c r="H4136" s="10" t="inlineStr">
        <is>
          <t>08/01/2026</t>
        </is>
      </c>
      <c r="I4136" s="10" t="inlineStr">
        <is>
          <t>29/03/2026</t>
        </is>
      </c>
      <c r="J4136" s="10" t="inlineStr">
        <is>
          <t>17/03/2026</t>
        </is>
      </c>
      <c r="K4136" s="10" t="inlineStr">
        <is>
          <t>N/A</t>
        </is>
      </c>
      <c r="L4136" s="10" t="inlineStr">
        <is>
          <t>Dự Toán, CAD, Bóc tách dự toán, Đọc Hiểu Bản Vẽ, MEP Drawing</t>
        </is>
      </c>
      <c r="M4136" s="10" t="inlineStr">
        <is>
          <t>Bonus, Paid Leave, Training</t>
        </is>
      </c>
      <c r="N4136" s="11">
        <f>HYPERLINK("https://www.vietnamworks.com/nhan-vien-cad-du-toan-chap-nhan-fresher-duoc-dao-tao-tu-dau-2000588-jv","Xem chi tiết")</f>
        <v/>
      </c>
      <c r="O4136" s="10" t="n"/>
    </row>
    <row r="4137">
      <c r="B4137" s="7" t="n">
        <v>4135</v>
      </c>
      <c r="C4137" t="inlineStr">
        <is>
          <t>Nhân Viên Xuất Nhập Khẩu</t>
        </is>
      </c>
      <c r="D4137" t="inlineStr">
        <is>
          <t>Công Ty TNHH Thương Mại Agrimex Việt Nam</t>
        </is>
      </c>
      <c r="E4137" t="inlineStr">
        <is>
          <t>10tr-13tr ₫/tháng</t>
        </is>
      </c>
      <c r="F4137" t="inlineStr">
        <is>
          <t>Hà Nội</t>
        </is>
      </c>
      <c r="G4137" t="inlineStr">
        <is>
          <t>Nhân viên</t>
        </is>
      </c>
      <c r="H4137" t="inlineStr">
        <is>
          <t>31/12/2025</t>
        </is>
      </c>
      <c r="I4137" t="inlineStr">
        <is>
          <t>29/03/2026</t>
        </is>
      </c>
      <c r="J4137" t="inlineStr">
        <is>
          <t>17/03/2026</t>
        </is>
      </c>
      <c r="K4137" t="inlineStr">
        <is>
          <t>N/A</t>
        </is>
      </c>
      <c r="L4137" t="inlineStr">
        <is>
          <t>Chứng Từ Forwarding, Chứng Từ Xuất Nhập Khẩu, Incoterms</t>
        </is>
      </c>
      <c r="M4137" t="inlineStr">
        <is>
          <t>Bonus, Healthcare Plan, Paid Leave, Travel Opportunities, Transportation, Others</t>
        </is>
      </c>
      <c r="N4137" s="8">
        <f>HYPERLINK("https://www.vietnamworks.com/nhan-vien-xuat-nhap-khau-1998863-jv","Xem chi tiết")</f>
        <v/>
      </c>
    </row>
    <row r="4138">
      <c r="B4138" s="9" t="n">
        <v>4136</v>
      </c>
      <c r="C4138" s="10" t="inlineStr">
        <is>
          <t>Ecommerce Leader (Thu Nhập Từ 18 Triệu Trở Lên)</t>
        </is>
      </c>
      <c r="D4138" s="10" t="inlineStr">
        <is>
          <t>Tập Đoàn Belief Holdings</t>
        </is>
      </c>
      <c r="E4138" s="10" t="inlineStr">
        <is>
          <t>Từ 18tr ₫/tháng</t>
        </is>
      </c>
      <c r="F4138" s="10" t="inlineStr">
        <is>
          <t>Hà Nội</t>
        </is>
      </c>
      <c r="G4138" s="10" t="inlineStr">
        <is>
          <t>Trưởng phòng</t>
        </is>
      </c>
      <c r="H4138" s="10" t="inlineStr">
        <is>
          <t>05/01/2026</t>
        </is>
      </c>
      <c r="I4138" s="10" t="inlineStr">
        <is>
          <t>29/03/2026</t>
        </is>
      </c>
      <c r="J4138" s="10" t="inlineStr">
        <is>
          <t>17/03/2026</t>
        </is>
      </c>
      <c r="K4138" s="10" t="inlineStr">
        <is>
          <t>N/A</t>
        </is>
      </c>
      <c r="L4138" s="10" t="inlineStr">
        <is>
          <t>Phát Triển Thị Trường, Chăm Sóc Khách Hàng, Ecommerce, Thương Mại Điện Tử</t>
        </is>
      </c>
      <c r="M4138" s="10" t="inlineStr">
        <is>
          <t>Bonus, Awards, Vouchers</t>
        </is>
      </c>
      <c r="N4138" s="11">
        <f>HYPERLINK("https://www.vietnamworks.com/ecommerce-leader-thu-nhap-tu-18-trieu-tro-len-1999420-jv","Xem chi tiết")</f>
        <v/>
      </c>
      <c r="O4138" s="10" t="n"/>
    </row>
    <row r="4139">
      <c r="B4139" s="7" t="n">
        <v>4137</v>
      </c>
      <c r="C4139" t="inlineStr">
        <is>
          <t>Chuyên Viên Cao Cấp Tài Chính Kế Toán</t>
        </is>
      </c>
      <c r="D4139" t="inlineStr">
        <is>
          <t>Công ty Cổ phần Tập đoàn MHI Việt Nam</t>
        </is>
      </c>
      <c r="E4139" t="inlineStr">
        <is>
          <t>Thương lượng</t>
        </is>
      </c>
      <c r="F4139" t="inlineStr">
        <is>
          <t>Hà Nội</t>
        </is>
      </c>
      <c r="G4139" t="inlineStr">
        <is>
          <t>Nhân viên</t>
        </is>
      </c>
      <c r="H4139" t="inlineStr">
        <is>
          <t>07/01/2026</t>
        </is>
      </c>
      <c r="I4139" t="inlineStr">
        <is>
          <t>29/03/2026</t>
        </is>
      </c>
      <c r="J4139" t="inlineStr">
        <is>
          <t>17/03/2026</t>
        </is>
      </c>
      <c r="K4139" t="inlineStr">
        <is>
          <t>N/A</t>
        </is>
      </c>
      <c r="L4139" t="inlineStr">
        <is>
          <t>Kinh Tế, Tài Chính, Kế Toán, MISA Accounting</t>
        </is>
      </c>
      <c r="M4139" t="inlineStr">
        <is>
          <t>Bonus, Healthcare Plan, Canteen, Others</t>
        </is>
      </c>
      <c r="N4139" s="8">
        <f>HYPERLINK("https://www.vietnamworks.com/chuyen-vien-cao-cap-tai-chinh-ke-toan-2000143-jv","Xem chi tiết")</f>
        <v/>
      </c>
    </row>
    <row r="4140">
      <c r="B4140" s="9" t="n">
        <v>4138</v>
      </c>
      <c r="C4140" s="10" t="inlineStr">
        <is>
          <t>Experienced Audit Assistant</t>
        </is>
      </c>
      <c r="D4140" s="10" t="inlineStr">
        <is>
          <t>Công Ty TNHH Nexia STT</t>
        </is>
      </c>
      <c r="E4140" s="10" t="inlineStr">
        <is>
          <t>$$ 305-420 /tháng</t>
        </is>
      </c>
      <c r="F4140" s="10" t="inlineStr">
        <is>
          <t>Hà Nội</t>
        </is>
      </c>
      <c r="G4140" s="10" t="inlineStr">
        <is>
          <t>Nhân viên</t>
        </is>
      </c>
      <c r="H4140" s="10" t="inlineStr">
        <is>
          <t>05/01/2026</t>
        </is>
      </c>
      <c r="I4140" s="10" t="inlineStr">
        <is>
          <t>29/03/2026</t>
        </is>
      </c>
      <c r="J4140" s="10" t="inlineStr">
        <is>
          <t>17/03/2026</t>
        </is>
      </c>
      <c r="K4140" s="10" t="inlineStr">
        <is>
          <t>N/A</t>
        </is>
      </c>
      <c r="L4140" s="10" t="inlineStr">
        <is>
          <t>Kiểm toán, Kiểm Toán Độc Lập, Finance, Audit, Tài Chính</t>
        </is>
      </c>
      <c r="M4140" s="10" t="inlineStr">
        <is>
          <t>Bonus, Healthcare Plan, Others</t>
        </is>
      </c>
      <c r="N4140" s="11">
        <f>HYPERLINK("https://www.vietnamworks.com/experienced-audit-assistant--1999437-jv","Xem chi tiết")</f>
        <v/>
      </c>
      <c r="O4140" s="10" t="n"/>
    </row>
    <row r="4141">
      <c r="B4141" s="7" t="n">
        <v>4139</v>
      </c>
      <c r="C4141" t="inlineStr">
        <is>
          <t>Điều Phối Vận Tải và Hậu Cần/ Logistics Coordinator</t>
        </is>
      </c>
      <c r="D4141" t="inlineStr">
        <is>
          <t>Công ty TNHH TOP Solvent (Việt Nam)</t>
        </is>
      </c>
      <c r="E4141" t="inlineStr">
        <is>
          <t>Tới $ 1,000 /tháng</t>
        </is>
      </c>
      <c r="F4141" t="inlineStr">
        <is>
          <t>Hải Phòng</t>
        </is>
      </c>
      <c r="G4141" t="inlineStr">
        <is>
          <t>Nhân viên</t>
        </is>
      </c>
      <c r="H4141" t="inlineStr">
        <is>
          <t>08/01/2026</t>
        </is>
      </c>
      <c r="I4141" t="inlineStr">
        <is>
          <t>29/03/2026</t>
        </is>
      </c>
      <c r="J4141" t="inlineStr">
        <is>
          <t>17/03/2026</t>
        </is>
      </c>
      <c r="K4141" t="inlineStr">
        <is>
          <t>N/A</t>
        </is>
      </c>
      <c r="L4141" t="inlineStr">
        <is>
          <t>Quản Lý Kho, Hậu Cần, Quản Lý Kho Bãi, Phân Phối Hàng Hóa, Lập Kế Hoạch Vật Tư</t>
        </is>
      </c>
      <c r="M4141" t="inlineStr">
        <is>
          <t>Bonus, Healthcare Plan, Team Activities</t>
        </is>
      </c>
      <c r="N4141" s="8">
        <f>HYPERLINK("https://www.vietnamworks.com/dieu-phoi-van-tai-va-hau-can-logistics-coordinator-2000652-jv","Xem chi tiết")</f>
        <v/>
      </c>
    </row>
    <row r="4142">
      <c r="B4142" s="9" t="n">
        <v>4140</v>
      </c>
      <c r="C4142" s="10" t="inlineStr">
        <is>
          <t>Marketing Manager (Y/c Có KN BĐS)</t>
        </is>
      </c>
      <c r="D4142" s="10" t="inlineStr">
        <is>
          <t>Công Ty Cổ Phần DKRA Group</t>
        </is>
      </c>
      <c r="E4142" s="10" t="inlineStr">
        <is>
          <t>Thương lượng</t>
        </is>
      </c>
      <c r="F4142" s="10" t="inlineStr">
        <is>
          <t>Hồ Chí Minh</t>
        </is>
      </c>
      <c r="G4142" s="10" t="inlineStr">
        <is>
          <t>Giám Đốc và Cấp Cao Hơn</t>
        </is>
      </c>
      <c r="H4142" s="10" t="inlineStr">
        <is>
          <t>05/01/2026</t>
        </is>
      </c>
      <c r="I4142" s="10" t="inlineStr">
        <is>
          <t>29/03/2026</t>
        </is>
      </c>
      <c r="J4142" s="10" t="inlineStr">
        <is>
          <t>17/03/2026</t>
        </is>
      </c>
      <c r="K4142" s="10" t="inlineStr">
        <is>
          <t>N/A</t>
        </is>
      </c>
      <c r="L4142" s="10" t="inlineStr">
        <is>
          <t>Marketing Strategy, Digital Marketing, Project Management, Team Management, Problem Solving</t>
        </is>
      </c>
      <c r="M4142" s="10" t="inlineStr">
        <is>
          <t>Bonus, Training, Others</t>
        </is>
      </c>
      <c r="N4142" s="11">
        <f>HYPERLINK("https://www.vietnamworks.com/marketing-manager-yc-co-kn-bdjs-1999557-jv","Xem chi tiết")</f>
        <v/>
      </c>
      <c r="O4142" s="10" t="n"/>
    </row>
    <row r="4143">
      <c r="B4143" s="7" t="n">
        <v>4141</v>
      </c>
      <c r="C4143" t="inlineStr">
        <is>
          <t>Leed Engineer</t>
        </is>
      </c>
      <c r="D4143" t="inlineStr">
        <is>
          <t>Daewoo E&amp;C VINA</t>
        </is>
      </c>
      <c r="E4143" t="inlineStr">
        <is>
          <t>Thương lượng</t>
        </is>
      </c>
      <c r="F4143" t="inlineStr">
        <is>
          <t>Hà Nội</t>
        </is>
      </c>
      <c r="G4143" t="inlineStr">
        <is>
          <t>Nhân viên</t>
        </is>
      </c>
      <c r="H4143" t="inlineStr">
        <is>
          <t>08/01/2026</t>
        </is>
      </c>
      <c r="I4143" t="inlineStr">
        <is>
          <t>29/03/2026</t>
        </is>
      </c>
      <c r="J4143" t="inlineStr">
        <is>
          <t>17/03/2026</t>
        </is>
      </c>
      <c r="K4143" t="inlineStr">
        <is>
          <t>N/A</t>
        </is>
      </c>
      <c r="L4143" t="inlineStr">
        <is>
          <t>Leed Consultant, Construction Management, Civil Engineering, Microsoft Office, Problem-solving</t>
        </is>
      </c>
      <c r="M4143" t="inlineStr">
        <is>
          <t>Bonus, Healthcare Plan, Paid Leave, Training, Others</t>
        </is>
      </c>
      <c r="N4143" s="8">
        <f>HYPERLINK("https://www.vietnamworks.com/leed-engineer-2000593-jv","Xem chi tiết")</f>
        <v/>
      </c>
    </row>
    <row r="4144">
      <c r="B4144" s="9" t="n">
        <v>4142</v>
      </c>
      <c r="C4144" s="10" t="inlineStr">
        <is>
          <t>Sale Engineer ( Thiết bị PCCC, dự án)</t>
        </is>
      </c>
      <c r="D4144" s="10" t="inlineStr">
        <is>
          <t>CÔNG TY TNHH THIẾT BỊ CÔNG NGHIỆP NHẬT AN</t>
        </is>
      </c>
      <c r="E4144" s="10" t="inlineStr">
        <is>
          <t>12tr-20tr ₫/tháng</t>
        </is>
      </c>
      <c r="F4144" s="10" t="inlineStr">
        <is>
          <t>Hồ Chí Minh</t>
        </is>
      </c>
      <c r="G4144" s="10" t="inlineStr">
        <is>
          <t>Nhân viên</t>
        </is>
      </c>
      <c r="H4144" s="10" t="inlineStr">
        <is>
          <t>06/01/2026</t>
        </is>
      </c>
      <c r="I4144" s="10" t="inlineStr">
        <is>
          <t>29/03/2026</t>
        </is>
      </c>
      <c r="J4144" s="10" t="inlineStr">
        <is>
          <t>17/03/2026</t>
        </is>
      </c>
      <c r="K4144" s="10" t="inlineStr">
        <is>
          <t>N/A</t>
        </is>
      </c>
      <c r="L4144" s="10" t="inlineStr">
        <is>
          <t>Kỹ năng bán hàng, Đọc Dịch Bản Vẽ, Giao Tiếp Tiếng Anh, Làm Việc Nhóm</t>
        </is>
      </c>
      <c r="M4144" s="10" t="inlineStr">
        <is>
          <t>Bonus, Healthcare Plan, Paid Leave, Training, Travel Opportunities, Others</t>
        </is>
      </c>
      <c r="N4144" s="11">
        <f>HYPERLINK("https://www.vietnamworks.com/sale-engineer-thiet-bi-pccc-du-an-1999887-jv","Xem chi tiết")</f>
        <v/>
      </c>
      <c r="O4144" s="10" t="n"/>
    </row>
    <row r="4145">
      <c r="B4145" s="7" t="n">
        <v>4143</v>
      </c>
      <c r="C4145" t="inlineStr">
        <is>
          <t>Chuyên Viên Cao Cấp Pháp Lý Doanh Nghiệp</t>
        </is>
      </c>
      <c r="D4145" t="inlineStr">
        <is>
          <t>Công ty Cổ phần Tập đoàn MHI Việt Nam</t>
        </is>
      </c>
      <c r="E4145" t="inlineStr">
        <is>
          <t>15tr-20tr ₫/tháng</t>
        </is>
      </c>
      <c r="F4145" t="inlineStr">
        <is>
          <t>Hà Nội</t>
        </is>
      </c>
      <c r="G4145" t="inlineStr">
        <is>
          <t>Nhân viên</t>
        </is>
      </c>
      <c r="H4145" t="inlineStr">
        <is>
          <t>07/01/2026</t>
        </is>
      </c>
      <c r="I4145" t="inlineStr">
        <is>
          <t>29/03/2026</t>
        </is>
      </c>
      <c r="J4145" t="inlineStr">
        <is>
          <t>17/03/2026</t>
        </is>
      </c>
      <c r="K4145" t="inlineStr">
        <is>
          <t>N/A</t>
        </is>
      </c>
      <c r="L4145" t="inlineStr">
        <is>
          <t>Luật Kinh Tế, Pháp Lý, Pháp Lý Doanh Nghiệp, Tin Học Văn Phòng, Rà Soát Hợp Đồng</t>
        </is>
      </c>
      <c r="M4145" t="inlineStr">
        <is>
          <t>Healthcare Plan, Canteen, Others</t>
        </is>
      </c>
      <c r="N4145" s="8">
        <f>HYPERLINK("https://www.vietnamworks.com/chuyen-vien-cao-cap-phap-ly-doanh-nghiep-2000226-jv","Xem chi tiết")</f>
        <v/>
      </c>
    </row>
    <row r="4146">
      <c r="B4146" s="9" t="n">
        <v>4144</v>
      </c>
      <c r="C4146" s="10" t="inlineStr">
        <is>
          <t>Nhân Viên Kinh Doanh Logistics (Sales Logistics) [Hà Nội/ Hồ Chí Minh] - Thu Nhập Upto 25Tr+++, Từ 1 Năm Kinh Nghiệm</t>
        </is>
      </c>
      <c r="D4146" s="10" t="inlineStr">
        <is>
          <t>Công Ty Cổ Phần Giao Nhận Vận Tải Đa Quốc Gia ACT</t>
        </is>
      </c>
      <c r="E4146" s="10" t="inlineStr">
        <is>
          <t>Tới $ 1,000 /tháng</t>
        </is>
      </c>
      <c r="F4146" s="10" t="inlineStr">
        <is>
          <t>Hà Nội, Hồ Chí Minh</t>
        </is>
      </c>
      <c r="G4146" s="10" t="inlineStr">
        <is>
          <t>Nhân viên</t>
        </is>
      </c>
      <c r="H4146" s="10" t="inlineStr">
        <is>
          <t>07/01/2026</t>
        </is>
      </c>
      <c r="I4146" s="10" t="inlineStr">
        <is>
          <t>29/03/2026</t>
        </is>
      </c>
      <c r="J4146" s="10" t="inlineStr">
        <is>
          <t>17/03/2026</t>
        </is>
      </c>
      <c r="K4146" s="10" t="inlineStr">
        <is>
          <t>N/A</t>
        </is>
      </c>
      <c r="L4146" s="10" t="inlineStr">
        <is>
          <t>Logistics, Kinh Doanh, Logistics Sales, Sales, Phát Triển Kinh Doanh</t>
        </is>
      </c>
      <c r="M4146" s="10" t="inlineStr">
        <is>
          <t>Bonus, Healthcare Plan, Paid Leave</t>
        </is>
      </c>
      <c r="N4146" s="11">
        <f>HYPERLINK("https://www.vietnamworks.com/nhan-vien-kinh-doanh-logistics-sales-logistics-ha-noi-ho-chi-minh-thu-nhap-upto-25tr-tu-1-nam-kinh-nghiem--2000373-jv","Xem chi tiết")</f>
        <v/>
      </c>
      <c r="O4146" s="10" t="n"/>
    </row>
    <row r="4147">
      <c r="B4147" s="7" t="n">
        <v>4145</v>
      </c>
      <c r="C4147" t="inlineStr">
        <is>
          <t>International Sales Teamleader</t>
        </is>
      </c>
      <c r="D4147" t="inlineStr">
        <is>
          <t>Công ty Cổ phần Vĩnh Hoàn</t>
        </is>
      </c>
      <c r="E4147" t="inlineStr">
        <is>
          <t>Thương lượng</t>
        </is>
      </c>
      <c r="F4147" t="inlineStr">
        <is>
          <t>Hồ Chí Minh</t>
        </is>
      </c>
      <c r="G4147" t="inlineStr">
        <is>
          <t>Nhân viên</t>
        </is>
      </c>
      <c r="H4147" t="inlineStr">
        <is>
          <t>05/01/2026</t>
        </is>
      </c>
      <c r="I4147" t="inlineStr">
        <is>
          <t>29/03/2026</t>
        </is>
      </c>
      <c r="J4147" t="inlineStr">
        <is>
          <t>17/03/2026</t>
        </is>
      </c>
      <c r="K4147" t="inlineStr">
        <is>
          <t>N/A</t>
        </is>
      </c>
      <c r="L4147" t="inlineStr">
        <is>
          <t>Negotiation Skills, Sales Order Processing, Communication Skills, Lead Team</t>
        </is>
      </c>
      <c r="M4147" t="inlineStr">
        <is>
          <t>Bonus, Healthcare Plan, Transportation</t>
        </is>
      </c>
      <c r="N4147" s="8">
        <f>HYPERLINK("https://www.vietnamworks.com/international-sales-teamleader-1999461-jv","Xem chi tiết")</f>
        <v/>
      </c>
    </row>
    <row r="4148">
      <c r="B4148" s="9" t="n">
        <v>4146</v>
      </c>
      <c r="C4148" s="10" t="inlineStr">
        <is>
          <t>Kiến Trúc Sư Triển Khai (Revit, Archicad)</t>
        </is>
      </c>
      <c r="D4148" s="10" t="inlineStr">
        <is>
          <t>The Away Group Viet Nam LTD</t>
        </is>
      </c>
      <c r="E4148" s="10" t="inlineStr">
        <is>
          <t>Thương lượng</t>
        </is>
      </c>
      <c r="F4148" s="10" t="inlineStr">
        <is>
          <t>Hồ Chí Minh</t>
        </is>
      </c>
      <c r="G4148" s="10" t="inlineStr">
        <is>
          <t>Nhân viên</t>
        </is>
      </c>
      <c r="H4148" s="10" t="inlineStr">
        <is>
          <t>08/01/2026</t>
        </is>
      </c>
      <c r="I4148" s="10" t="inlineStr">
        <is>
          <t>29/03/2026</t>
        </is>
      </c>
      <c r="J4148" s="10" t="inlineStr">
        <is>
          <t>17/03/2026</t>
        </is>
      </c>
      <c r="K4148" s="10" t="inlineStr">
        <is>
          <t>N/A</t>
        </is>
      </c>
      <c r="L4148" s="10" t="inlineStr">
        <is>
          <t>Revit Drafter, Triển Khai Bản Vẽ REVIT, Revit, Architecture Drawing, Kiến Trúc 3D</t>
        </is>
      </c>
      <c r="M4148" s="10" t="inlineStr">
        <is>
          <t>Bonus, Healthcare Plan, Training</t>
        </is>
      </c>
      <c r="N4148" s="11">
        <f>HYPERLINK("https://www.vietnamworks.com/kien-truc-su-trien-khai-revit-archicad--2000885-jv","Xem chi tiết")</f>
        <v/>
      </c>
      <c r="O4148" s="10" t="n"/>
    </row>
    <row r="4149">
      <c r="B4149" s="7" t="n">
        <v>4147</v>
      </c>
      <c r="C4149" t="inlineStr">
        <is>
          <t>Nữ Nhân Viên Xuất Nhập Khẩu - Phỏng Vấn Đi Làm Ngay</t>
        </is>
      </c>
      <c r="D4149" t="inlineStr">
        <is>
          <t>CÔNG TY TNHH VIETSUN GREEN</t>
        </is>
      </c>
      <c r="E4149" t="inlineStr">
        <is>
          <t>15tr-25tr ₫/tháng</t>
        </is>
      </c>
      <c r="F4149" t="inlineStr">
        <is>
          <t>Hồ Chí Minh</t>
        </is>
      </c>
      <c r="G4149" t="inlineStr">
        <is>
          <t>Nhân viên</t>
        </is>
      </c>
      <c r="H4149" t="inlineStr">
        <is>
          <t>08/01/2026</t>
        </is>
      </c>
      <c r="I4149" t="inlineStr">
        <is>
          <t>29/03/2026</t>
        </is>
      </c>
      <c r="J4149" t="inlineStr">
        <is>
          <t>17/03/2026</t>
        </is>
      </c>
      <c r="K4149" t="inlineStr">
        <is>
          <t>N/A</t>
        </is>
      </c>
      <c r="L4149" t="inlineStr">
        <is>
          <t>Xuất Nhập Khẩu, Chứng Từ Thanh Toán, English, Import &amp; Export, Import Export</t>
        </is>
      </c>
      <c r="M4149" t="inlineStr">
        <is>
          <t>Bonus, Healthcare Plan, Paid Leave, Travel Opportunities, Team Activities</t>
        </is>
      </c>
      <c r="N4149" s="8">
        <f>HYPERLINK("https://www.vietnamworks.com/nu-nhan-vien-xuat-nhap-khau-phong-van-di-lam-ngay-2000549-jv","Xem chi tiết")</f>
        <v/>
      </c>
    </row>
    <row r="4150">
      <c r="B4150" s="9" t="n">
        <v>4148</v>
      </c>
      <c r="C4150" s="10" t="inlineStr">
        <is>
          <t>Trưởng Phòng R&amp;D và Phát Triển Đối Tác - Khối Giải Trí - Nghỉ Dưỡng</t>
        </is>
      </c>
      <c r="D4150" s="10" t="inlineStr">
        <is>
          <t>Sun Hospitality Group</t>
        </is>
      </c>
      <c r="E4150" s="10" t="inlineStr">
        <is>
          <t>Thương lượng</t>
        </is>
      </c>
      <c r="F4150" s="10" t="inlineStr">
        <is>
          <t>Hà Nội, Đà Nẵng, Kiên Giang</t>
        </is>
      </c>
      <c r="G4150" s="10" t="inlineStr">
        <is>
          <t>Trưởng phòng</t>
        </is>
      </c>
      <c r="H4150" s="10" t="inlineStr">
        <is>
          <t>08/01/2026</t>
        </is>
      </c>
      <c r="I4150" s="10" t="inlineStr">
        <is>
          <t>29/03/2026</t>
        </is>
      </c>
      <c r="J4150" s="10" t="inlineStr">
        <is>
          <t>17/03/2026</t>
        </is>
      </c>
      <c r="K4150" s="10" t="inlineStr">
        <is>
          <t>N/A</t>
        </is>
      </c>
      <c r="L4150" s="10" t="inlineStr">
        <is>
          <t>Nghiên Cứu Dự Án, Phát Triển Dự Án, Phát Triển Đối Tác, Quản Trị Khách Sạn</t>
        </is>
      </c>
      <c r="M4150" s="10" t="inlineStr">
        <is>
          <t>Bonus, Healthcare Plan, Training, Others</t>
        </is>
      </c>
      <c r="N4150" s="11">
        <f>HYPERLINK("https://www.vietnamworks.com/truong-phong-randd-va-phat-trien-djoi-tac-khoi-giai-tri-nghi-duong-2000915-jv","Xem chi tiết")</f>
        <v/>
      </c>
      <c r="O4150" s="10" t="n"/>
    </row>
    <row r="4151">
      <c r="B4151" s="7" t="n">
        <v>4149</v>
      </c>
      <c r="C4151" t="inlineStr">
        <is>
          <t>Chuyên Viên Cấp Cao R&amp;D Và Phát Triển Đối Tác - Sun Hospitality &amp; Entertainment Group</t>
        </is>
      </c>
      <c r="D4151" t="inlineStr">
        <is>
          <t>Sun Hospitality Group</t>
        </is>
      </c>
      <c r="E4151" t="inlineStr">
        <is>
          <t>Thương lượng</t>
        </is>
      </c>
      <c r="F4151" t="inlineStr">
        <is>
          <t>Hà Nội, Đà Nẵng, Kiên Giang</t>
        </is>
      </c>
      <c r="G4151" t="inlineStr">
        <is>
          <t>Trưởng phòng</t>
        </is>
      </c>
      <c r="H4151" t="inlineStr">
        <is>
          <t>08/01/2026</t>
        </is>
      </c>
      <c r="I4151" t="inlineStr">
        <is>
          <t>29/03/2026</t>
        </is>
      </c>
      <c r="J4151" t="inlineStr">
        <is>
          <t>17/03/2026</t>
        </is>
      </c>
      <c r="K4151" t="inlineStr">
        <is>
          <t>N/A</t>
        </is>
      </c>
      <c r="L4151" t="inlineStr">
        <is>
          <t>Nghiên Cứu Dự Án, Phát Triển Dự Án, Phát Triển Đối Tác, Quản Trị Khách Sạn, Đàm Phán Đối Tác</t>
        </is>
      </c>
      <c r="M4151" t="inlineStr">
        <is>
          <t>Bonus, Healthcare Plan, Training, Others</t>
        </is>
      </c>
      <c r="N4151" s="8">
        <f>HYPERLINK("https://www.vietnamworks.com/chuyen-vien-cap-cao-randd-va-phat-trien-djoi-tac-sun-hospitality-and-entertainment-group-2000924-jv","Xem chi tiết")</f>
        <v/>
      </c>
    </row>
    <row r="4152">
      <c r="B4152" s="9" t="n">
        <v>4150</v>
      </c>
      <c r="C4152" s="10" t="inlineStr">
        <is>
          <t>Business Development Executive - Chuyên Viên Phát Triển Kinh Doanh</t>
        </is>
      </c>
      <c r="D4152" s="10" t="inlineStr">
        <is>
          <t>Công ty TNHH Aden Services (Việt Nam)</t>
        </is>
      </c>
      <c r="E4152" s="10" t="inlineStr">
        <is>
          <t>Thương lượng</t>
        </is>
      </c>
      <c r="F4152" s="10" t="inlineStr">
        <is>
          <t>Hồ Chí Minh</t>
        </is>
      </c>
      <c r="G4152" s="10" t="inlineStr">
        <is>
          <t>Nhân viên</t>
        </is>
      </c>
      <c r="H4152" s="10" t="inlineStr">
        <is>
          <t>09/01/2026</t>
        </is>
      </c>
      <c r="I4152" s="10" t="inlineStr">
        <is>
          <t>29/03/2026</t>
        </is>
      </c>
      <c r="J4152" s="10" t="inlineStr">
        <is>
          <t>17/03/2026</t>
        </is>
      </c>
      <c r="K4152" s="10" t="inlineStr">
        <is>
          <t>N/A</t>
        </is>
      </c>
      <c r="L4152" s="10" t="inlineStr">
        <is>
          <t>Bán Hàng, Dịch Vụ Khách Hàng, Giải Quyết Vấn Đề, Giao Tiếp, Quản Lý Tài Chính</t>
        </is>
      </c>
      <c r="M4152" s="10" t="inlineStr">
        <is>
          <t>Bonus, Training, Others</t>
        </is>
      </c>
      <c r="N4152" s="11">
        <f>HYPERLINK("https://www.vietnamworks.com/business-development-executive-chuyen-vien-phat-trien-kinh-doanh-2000992-jv","Xem chi tiết")</f>
        <v/>
      </c>
      <c r="O4152" s="10" t="n"/>
    </row>
    <row r="4153">
      <c r="B4153" s="7" t="n">
        <v>4151</v>
      </c>
      <c r="C4153" t="inlineStr">
        <is>
          <t>Chuyên Viên Quản Lý Chất Lượng - Vinmec Phú Quốc</t>
        </is>
      </c>
      <c r="D4153" t="inlineStr">
        <is>
          <t>Công Ty CP Bệnh Viện Đa Khoa Quốc Tế Vinmec</t>
        </is>
      </c>
      <c r="E4153" t="inlineStr">
        <is>
          <t>Thương lượng</t>
        </is>
      </c>
      <c r="F4153" t="inlineStr">
        <is>
          <t>An Giang</t>
        </is>
      </c>
      <c r="G4153" t="inlineStr">
        <is>
          <t>Nhân viên</t>
        </is>
      </c>
      <c r="H4153" t="inlineStr">
        <is>
          <t>09/01/2026</t>
        </is>
      </c>
      <c r="I4153" t="inlineStr">
        <is>
          <t>29/03/2026</t>
        </is>
      </c>
      <c r="J4153" t="inlineStr">
        <is>
          <t>17/03/2026</t>
        </is>
      </c>
      <c r="K4153" t="inlineStr">
        <is>
          <t>N/A</t>
        </is>
      </c>
      <c r="L4153" t="inlineStr">
        <is>
          <t>Y Tế, Quản lý chất lượng</t>
        </is>
      </c>
      <c r="M4153" t="inlineStr">
        <is>
          <t>Bonus</t>
        </is>
      </c>
      <c r="N4153" s="8">
        <f>HYPERLINK("https://www.vietnamworks.com/chuyen-vien-quan-ly-chat-luong-vinmec-phu-quoc-2001163-jv","Xem chi tiết")</f>
        <v/>
      </c>
    </row>
    <row r="4154">
      <c r="B4154" s="9" t="n">
        <v>4152</v>
      </c>
      <c r="C4154" s="10" t="inlineStr">
        <is>
          <t>Trade &amp; Loan Operations Senior Specialist</t>
        </is>
      </c>
      <c r="D4154" s="10" t="inlineStr">
        <is>
          <t>Cathay United Bank</t>
        </is>
      </c>
      <c r="E4154" s="10" t="inlineStr">
        <is>
          <t>Thương lượng</t>
        </is>
      </c>
      <c r="F4154" s="10" t="inlineStr">
        <is>
          <t>Hồ Chí Minh</t>
        </is>
      </c>
      <c r="G4154" s="10" t="inlineStr">
        <is>
          <t>Nhân viên</t>
        </is>
      </c>
      <c r="H4154" s="10" t="inlineStr">
        <is>
          <t>12/01/2026</t>
        </is>
      </c>
      <c r="I4154" s="10" t="inlineStr">
        <is>
          <t>29/03/2026</t>
        </is>
      </c>
      <c r="J4154" s="10" t="inlineStr">
        <is>
          <t>17/03/2026</t>
        </is>
      </c>
      <c r="K4154" s="10" t="inlineStr">
        <is>
          <t>N/A</t>
        </is>
      </c>
      <c r="L4154" s="10" t="inlineStr">
        <is>
          <t>Cho Vay Tài Chính, Credit Management, English, Loan Processing</t>
        </is>
      </c>
      <c r="M4154" s="10" t="inlineStr">
        <is>
          <t>Bonus</t>
        </is>
      </c>
      <c r="N4154" s="11">
        <f>HYPERLINK("https://www.vietnamworks.com/trade-and-loan-operations-senior-specialist-2001451-jv","Xem chi tiết")</f>
        <v/>
      </c>
      <c r="O4154" s="10" t="n"/>
    </row>
    <row r="4155">
      <c r="B4155" s="7" t="n">
        <v>4153</v>
      </c>
      <c r="C4155" t="inlineStr">
        <is>
          <t>Accounting Executive</t>
        </is>
      </c>
      <c r="D4155" t="inlineStr">
        <is>
          <t>Công Ty TNHH Tư Vấn Phạm &amp; Các Cộng Sự</t>
        </is>
      </c>
      <c r="E4155" t="inlineStr">
        <is>
          <t>8tr-15tr ₫/tháng</t>
        </is>
      </c>
      <c r="F4155" t="inlineStr">
        <is>
          <t>Hồ Chí Minh</t>
        </is>
      </c>
      <c r="G4155" t="inlineStr">
        <is>
          <t>Nhân viên</t>
        </is>
      </c>
      <c r="H4155" t="inlineStr">
        <is>
          <t>12/01/2026</t>
        </is>
      </c>
      <c r="I4155" t="inlineStr">
        <is>
          <t>29/03/2026</t>
        </is>
      </c>
      <c r="J4155" t="inlineStr">
        <is>
          <t>17/03/2026</t>
        </is>
      </c>
      <c r="K4155" t="inlineStr">
        <is>
          <t>N/A</t>
        </is>
      </c>
      <c r="L4155" t="inlineStr">
        <is>
          <t>Auditing, Accounting, Tax Consulting, CPA, Thuế</t>
        </is>
      </c>
      <c r="M4155" t="inlineStr">
        <is>
          <t>Bonus, Healthcare Plan, Paid Leave, Training, Team Activities, Others</t>
        </is>
      </c>
      <c r="N4155" s="8">
        <f>HYPERLINK("https://www.vietnamworks.com/accounting-executive--2001329-jv","Xem chi tiết")</f>
        <v/>
      </c>
    </row>
    <row r="4156">
      <c r="B4156" s="9" t="n">
        <v>4154</v>
      </c>
      <c r="C4156" s="10" t="inlineStr">
        <is>
          <t>Giám Sát - Lắp Đặt Thiết Bị Điện</t>
        </is>
      </c>
      <c r="D4156" s="10" t="inlineStr">
        <is>
          <t>TTC Energy Joint Stock Company</t>
        </is>
      </c>
      <c r="E4156" s="10" t="inlineStr">
        <is>
          <t>Tới 25tr ₫/tháng</t>
        </is>
      </c>
      <c r="F4156" s="10" t="inlineStr">
        <is>
          <t>Hồ Chí Minh</t>
        </is>
      </c>
      <c r="G4156" s="10" t="inlineStr">
        <is>
          <t>Nhân viên</t>
        </is>
      </c>
      <c r="H4156" s="10" t="inlineStr">
        <is>
          <t>12/01/2026</t>
        </is>
      </c>
      <c r="I4156" s="10" t="inlineStr">
        <is>
          <t>29/03/2026</t>
        </is>
      </c>
      <c r="J4156" s="10" t="inlineStr">
        <is>
          <t>17/03/2026</t>
        </is>
      </c>
      <c r="K4156" s="10" t="inlineStr">
        <is>
          <t>N/A</t>
        </is>
      </c>
      <c r="L4156" s="10" t="inlineStr">
        <is>
          <t>AutoCAD, Kỹ sư Điện, Thiết Kế Kỹ Thuật, Electrical Engineering, Electrical Design</t>
        </is>
      </c>
      <c r="M4156" s="10" t="inlineStr">
        <is>
          <t>Bonus, Healthcare Plan, Training</t>
        </is>
      </c>
      <c r="N4156" s="11">
        <f>HYPERLINK("https://www.vietnamworks.com/giam-sat-lap-dat-thiet-bi-dien-2001336-jv","Xem chi tiết")</f>
        <v/>
      </c>
      <c r="O4156" s="10" t="n"/>
    </row>
    <row r="4157">
      <c r="B4157" s="7" t="n">
        <v>4155</v>
      </c>
      <c r="C4157" t="inlineStr">
        <is>
          <t>Khối Giải Trí Nghỉ Dưỡng (Phú Quốc) - Chuyên Viên Tuyển Dụng</t>
        </is>
      </c>
      <c r="D4157" t="inlineStr">
        <is>
          <t>Sun Hospitality Group</t>
        </is>
      </c>
      <c r="E4157" t="inlineStr">
        <is>
          <t>Thương lượng</t>
        </is>
      </c>
      <c r="F4157" t="inlineStr">
        <is>
          <t>Kiên Giang, An Giang</t>
        </is>
      </c>
      <c r="G4157" t="inlineStr">
        <is>
          <t>Nhân viên</t>
        </is>
      </c>
      <c r="H4157" t="inlineStr">
        <is>
          <t>08/01/2026</t>
        </is>
      </c>
      <c r="I4157" t="inlineStr">
        <is>
          <t>29/03/2026</t>
        </is>
      </c>
      <c r="J4157" t="inlineStr">
        <is>
          <t>17/03/2026</t>
        </is>
      </c>
      <c r="K4157" t="inlineStr">
        <is>
          <t>N/A</t>
        </is>
      </c>
      <c r="L4157" t="inlineStr">
        <is>
          <t>Tuyển Dụng, Quản Trị Nhân Sự, Mass Recruitment, Quản Lý Dữ Liệu, Talent Recruitment</t>
        </is>
      </c>
      <c r="M4157" t="inlineStr">
        <is>
          <t>Bonus, Healthcare Plan, Training, Others</t>
        </is>
      </c>
      <c r="N4157" s="8">
        <f>HYPERLINK("https://www.vietnamworks.com/khoi-giai-tri-nghi-duong-phu-quoc-chuyen-vien-tuyen-dung-2000925-jv","Xem chi tiết")</f>
        <v/>
      </c>
    </row>
    <row r="4158">
      <c r="B4158" s="9" t="n">
        <v>4156</v>
      </c>
      <c r="C4158" s="10" t="inlineStr">
        <is>
          <t>Nhân Viên IT - Phần Cứng (Hệ Thống Thông Tin và Mạng Máy Tính)</t>
        </is>
      </c>
      <c r="D4158" s="10" t="inlineStr">
        <is>
          <t>Công ty TNHH Hamaden Việt Nam</t>
        </is>
      </c>
      <c r="E4158" s="10" t="inlineStr">
        <is>
          <t>Thương lượng</t>
        </is>
      </c>
      <c r="F4158" s="10" t="inlineStr">
        <is>
          <t>Hải Dương, Hà Nội, Hưng Yên</t>
        </is>
      </c>
      <c r="G4158" s="10" t="inlineStr">
        <is>
          <t>Nhân viên</t>
        </is>
      </c>
      <c r="H4158" s="10" t="inlineStr">
        <is>
          <t>12/01/2026</t>
        </is>
      </c>
      <c r="I4158" s="10" t="inlineStr">
        <is>
          <t>29/03/2026</t>
        </is>
      </c>
      <c r="J4158" s="10" t="inlineStr">
        <is>
          <t>17/03/2026</t>
        </is>
      </c>
      <c r="K4158" s="10" t="inlineStr">
        <is>
          <t>N/A</t>
        </is>
      </c>
      <c r="L4158" s="10" t="inlineStr">
        <is>
          <t>LAN, Quản Trị Hệ Thống Mạng, Hỗ Trợ Kỹ Thuật, Mạng máy tính, Quản Lý Phần Mềm</t>
        </is>
      </c>
      <c r="M4158" s="10" t="inlineStr">
        <is>
          <t>Healthcare Plan, Transportation, Others</t>
        </is>
      </c>
      <c r="N4158" s="11">
        <f>HYPERLINK("https://www.vietnamworks.com/nhan-vien-it-phan-cung-he-thong-thong-tin-va-mang-may-tinh--2001428-jv","Xem chi tiết")</f>
        <v/>
      </c>
      <c r="O4158" s="10" t="n"/>
    </row>
    <row r="4159">
      <c r="B4159" s="7" t="n">
        <v>4157</v>
      </c>
      <c r="C4159" t="inlineStr">
        <is>
          <t>Business Development Manager In Immigration</t>
        </is>
      </c>
      <c r="D4159" t="inlineStr">
        <is>
          <t>Công Ty Luật TNHH Harvey Law Group Ltd.</t>
        </is>
      </c>
      <c r="E4159" t="inlineStr">
        <is>
          <t>Thương lượng</t>
        </is>
      </c>
      <c r="F4159" t="inlineStr">
        <is>
          <t>Hồ Chí Minh, Hà Nội</t>
        </is>
      </c>
      <c r="G4159" t="inlineStr">
        <is>
          <t>Trưởng phòng</t>
        </is>
      </c>
      <c r="H4159" t="inlineStr">
        <is>
          <t>12/01/2026</t>
        </is>
      </c>
      <c r="I4159" t="inlineStr">
        <is>
          <t>29/03/2026</t>
        </is>
      </c>
      <c r="J4159" t="inlineStr">
        <is>
          <t>17/03/2026</t>
        </is>
      </c>
      <c r="K4159" t="inlineStr">
        <is>
          <t>N/A</t>
        </is>
      </c>
      <c r="L4159" t="inlineStr">
        <is>
          <t>Business Development, Sales, Marketing Development, Client Service Management, Communication</t>
        </is>
      </c>
      <c r="M4159" t="inlineStr">
        <is>
          <t>Bonus, Healthcare Plan, Training, Travel Opportunities, Others</t>
        </is>
      </c>
      <c r="N4159" s="8">
        <f>HYPERLINK("https://www.vietnamworks.com/business-development-manager-in-immigration-2001357-jv","Xem chi tiết")</f>
        <v/>
      </c>
    </row>
    <row r="4160">
      <c r="B4160" s="9" t="n">
        <v>4158</v>
      </c>
      <c r="C4160" s="10" t="inlineStr">
        <is>
          <t>[Urgent] Sales Logistics Associate (Salary Min from $1,000)</t>
        </is>
      </c>
      <c r="D4160" s="10" t="inlineStr">
        <is>
          <t>Công ty TNHH LBS Logistics</t>
        </is>
      </c>
      <c r="E4160" s="10" t="inlineStr">
        <is>
          <t>Từ $ 1,000 /tháng</t>
        </is>
      </c>
      <c r="F4160" s="10" t="inlineStr">
        <is>
          <t>Hồ Chí Minh</t>
        </is>
      </c>
      <c r="G4160" s="10" t="inlineStr">
        <is>
          <t>Nhân viên</t>
        </is>
      </c>
      <c r="H4160" s="10" t="inlineStr">
        <is>
          <t>12/01/2026</t>
        </is>
      </c>
      <c r="I4160" s="10" t="inlineStr">
        <is>
          <t>29/03/2026</t>
        </is>
      </c>
      <c r="J4160" s="10" t="inlineStr">
        <is>
          <t>17/03/2026</t>
        </is>
      </c>
      <c r="K4160" s="10" t="inlineStr">
        <is>
          <t>N/A</t>
        </is>
      </c>
      <c r="L4160" s="10" t="inlineStr">
        <is>
          <t>Supply Chain, Logistic Forwarding, Client Management, Relationship Building, Sales Reporting</t>
        </is>
      </c>
      <c r="M4160" s="10" t="inlineStr">
        <is>
          <t>Bonus, Healthcare Plan, Training, Team Activities, Others</t>
        </is>
      </c>
      <c r="N4160" s="11">
        <f>HYPERLINK("https://www.vietnamworks.com/urgent-sales-logistics-associate-salary-min-from-1-000-2001463-jv","Xem chi tiết")</f>
        <v/>
      </c>
      <c r="O4160" s="10" t="n"/>
    </row>
    <row r="4161">
      <c r="B4161" s="7" t="n">
        <v>4159</v>
      </c>
      <c r="C4161" t="inlineStr">
        <is>
          <t>Quản Lý Thu Mua Nông Sản (Procurement Manager)</t>
        </is>
      </c>
      <c r="D4161" t="inlineStr">
        <is>
          <t>Công Ty TNHH MTV Nông Sản DK</t>
        </is>
      </c>
      <c r="E4161" t="inlineStr">
        <is>
          <t>Thương lượng</t>
        </is>
      </c>
      <c r="F4161" t="inlineStr">
        <is>
          <t>Hồ Chí Minh</t>
        </is>
      </c>
      <c r="G4161" t="inlineStr">
        <is>
          <t>Nhân viên</t>
        </is>
      </c>
      <c r="H4161" t="inlineStr">
        <is>
          <t>12/01/2026</t>
        </is>
      </c>
      <c r="I4161" t="inlineStr">
        <is>
          <t>29/03/2026</t>
        </is>
      </c>
      <c r="J4161" t="inlineStr">
        <is>
          <t>17/03/2026</t>
        </is>
      </c>
      <c r="K4161" t="inlineStr">
        <is>
          <t>N/A</t>
        </is>
      </c>
      <c r="L4161" t="inlineStr">
        <is>
          <t>Quản lý chất lượng, Purchasing</t>
        </is>
      </c>
      <c r="M4161" t="inlineStr">
        <is>
          <t>Bonus, Healthcare Plan, Paid Leave, Canteen</t>
        </is>
      </c>
      <c r="N4161" s="8">
        <f>HYPERLINK("https://www.vietnamworks.com/quan-ly-thu-mua-nong-san-procurement-manager-2001315-jv","Xem chi tiết")</f>
        <v/>
      </c>
    </row>
    <row r="4162">
      <c r="B4162" s="9" t="n">
        <v>4160</v>
      </c>
      <c r="C4162" s="10" t="inlineStr">
        <is>
          <t>HR Executive (C&amp;B)/ Chuyên Viên Nhân Sự Phụ Trách C&amp;B</t>
        </is>
      </c>
      <c r="D4162" s="10" t="inlineStr">
        <is>
          <t>Công Ty TNHH Cuckoovina</t>
        </is>
      </c>
      <c r="E4162" s="10" t="inlineStr">
        <is>
          <t>16tr-17tr ₫/tháng</t>
        </is>
      </c>
      <c r="F4162" s="10" t="inlineStr">
        <is>
          <t>Hà Nội</t>
        </is>
      </c>
      <c r="G4162" s="10" t="inlineStr">
        <is>
          <t>Nhân viên</t>
        </is>
      </c>
      <c r="H4162" s="10" t="inlineStr">
        <is>
          <t>12/01/2026</t>
        </is>
      </c>
      <c r="I4162" s="10" t="inlineStr">
        <is>
          <t>29/03/2026</t>
        </is>
      </c>
      <c r="J4162" s="10" t="inlineStr">
        <is>
          <t>17/03/2026</t>
        </is>
      </c>
      <c r="K4162" s="10" t="inlineStr">
        <is>
          <t>N/A</t>
        </is>
      </c>
      <c r="L4162" s="10" t="inlineStr">
        <is>
          <t>C&amp;B, HR, Labor Law, PIT, Social Insurance</t>
        </is>
      </c>
      <c r="M4162" s="10" t="inlineStr">
        <is>
          <t>Bonus, Healthcare Plan, Others</t>
        </is>
      </c>
      <c r="N4162" s="11">
        <f>HYPERLINK("https://www.vietnamworks.com/hr-executive-c-b-chuyen-vien-nhan-su-phu-trach-c-b-2001377-jv","Xem chi tiết")</f>
        <v/>
      </c>
      <c r="O4162" s="10" t="n"/>
    </row>
    <row r="4163">
      <c r="B4163" s="7" t="n">
        <v>4161</v>
      </c>
      <c r="C4163" t="inlineStr">
        <is>
          <t>Accountant (Temp Contract - 12 Months)</t>
        </is>
      </c>
      <c r="D4163" t="inlineStr">
        <is>
          <t>Mapletree Vietnam Management Consultancy Co., Ltd</t>
        </is>
      </c>
      <c r="E4163" t="inlineStr">
        <is>
          <t>Thương lượng</t>
        </is>
      </c>
      <c r="F4163" t="inlineStr">
        <is>
          <t>Hồ Chí Minh</t>
        </is>
      </c>
      <c r="G4163" t="inlineStr">
        <is>
          <t>Nhân viên</t>
        </is>
      </c>
      <c r="H4163" t="inlineStr">
        <is>
          <t>09/01/2026</t>
        </is>
      </c>
      <c r="I4163" t="inlineStr">
        <is>
          <t>29/03/2026</t>
        </is>
      </c>
      <c r="J4163" t="inlineStr">
        <is>
          <t>17/03/2026</t>
        </is>
      </c>
      <c r="K4163" t="inlineStr">
        <is>
          <t>N/A</t>
        </is>
      </c>
      <c r="L4163" t="inlineStr">
        <is>
          <t>Account Receivable, Accountant, SAP, Real Estate, General Accounting</t>
        </is>
      </c>
      <c r="M4163" t="inlineStr">
        <is>
          <t>Healthcare Plan, Paid Leave, Awards</t>
        </is>
      </c>
      <c r="N4163" s="8">
        <f>HYPERLINK("https://www.vietnamworks.com/accountant-temp-contract-12-months-2001149-jv","Xem chi tiết")</f>
        <v/>
      </c>
    </row>
    <row r="4164">
      <c r="B4164" s="9" t="n">
        <v>4162</v>
      </c>
      <c r="C4164" s="10" t="inlineStr">
        <is>
          <t>Nhân Viên Nhân Sự</t>
        </is>
      </c>
      <c r="D4164" s="10" t="inlineStr">
        <is>
          <t>Công Ty TNHH MTV Nông Sản DK</t>
        </is>
      </c>
      <c r="E4164" s="10" t="inlineStr">
        <is>
          <t>Thương lượng</t>
        </is>
      </c>
      <c r="F4164" s="10" t="inlineStr">
        <is>
          <t>Hồ Chí Minh</t>
        </is>
      </c>
      <c r="G4164" s="10" t="inlineStr">
        <is>
          <t>Nhân viên</t>
        </is>
      </c>
      <c r="H4164" s="10" t="inlineStr">
        <is>
          <t>12/01/2026</t>
        </is>
      </c>
      <c r="I4164" s="10" t="inlineStr">
        <is>
          <t>29/03/2026</t>
        </is>
      </c>
      <c r="J4164" s="10" t="inlineStr">
        <is>
          <t>17/03/2026</t>
        </is>
      </c>
      <c r="K4164" s="10" t="inlineStr">
        <is>
          <t>N/A</t>
        </is>
      </c>
      <c r="L4164" s="10" t="inlineStr">
        <is>
          <t>Quản Trị Nhân Lực, Hành Chính Nhân Sự, Tuyển Dụng, Luật Lao Động, Talent Acquisition</t>
        </is>
      </c>
      <c r="M4164" s="10" t="inlineStr">
        <is>
          <t>Bonus, Healthcare Plan, Paid Leave, Training, Travel Opportunities, Others</t>
        </is>
      </c>
      <c r="N4164" s="11">
        <f>HYPERLINK("https://www.vietnamworks.com/nhan-vien-nhan-su-2001317-jv","Xem chi tiết")</f>
        <v/>
      </c>
      <c r="O4164" s="10" t="n"/>
    </row>
    <row r="4165">
      <c r="B4165" s="7" t="n">
        <v>4163</v>
      </c>
      <c r="C4165" t="inlineStr">
        <is>
          <t>[Hanoi] Senior Garment Technician (Denim)</t>
        </is>
      </c>
      <c r="D4165" t="inlineStr">
        <is>
          <t>Newtimes Development LTD. - Vietnam Representative Office</t>
        </is>
      </c>
      <c r="E4165" t="inlineStr">
        <is>
          <t>Thương lượng</t>
        </is>
      </c>
      <c r="F4165" t="inlineStr">
        <is>
          <t>Hà Nội</t>
        </is>
      </c>
      <c r="G4165" t="inlineStr">
        <is>
          <t>Nhân viên</t>
        </is>
      </c>
      <c r="H4165" t="inlineStr">
        <is>
          <t>12/01/2026</t>
        </is>
      </c>
      <c r="I4165" t="inlineStr">
        <is>
          <t>29/03/2026</t>
        </is>
      </c>
      <c r="J4165" t="inlineStr">
        <is>
          <t>17/03/2026</t>
        </is>
      </c>
      <c r="K4165" t="inlineStr">
        <is>
          <t>N/A</t>
        </is>
      </c>
      <c r="L4165" t="inlineStr">
        <is>
          <t>Garment Technician, Denim Expertise, Denim Cut and Sew Knowledge, Patternmaking, Garment Technical Design</t>
        </is>
      </c>
      <c r="M4165" t="inlineStr">
        <is>
          <t>Bonus, Healthcare Plan, Team Activities</t>
        </is>
      </c>
      <c r="N4165" s="8">
        <f>HYPERLINK("https://www.vietnamworks.com/hanoi-senior-garment-technician-denim-2001476-jv","Xem chi tiết")</f>
        <v/>
      </c>
    </row>
    <row r="4166">
      <c r="B4166" s="9" t="n">
        <v>4164</v>
      </c>
      <c r="C4166" s="10" t="inlineStr">
        <is>
          <t>QS Engineer Làm Việc Tại VP HN hoặc Dự Án Hải Dương hoặc Dự Án Bình Định</t>
        </is>
      </c>
      <c r="D4166" s="10" t="inlineStr">
        <is>
          <t>KAS E&amp;C (Vietnam) Ltd Company</t>
        </is>
      </c>
      <c r="E4166" s="10" t="inlineStr">
        <is>
          <t>$$ 700-1,000 /tháng</t>
        </is>
      </c>
      <c r="F4166" s="10" t="inlineStr">
        <is>
          <t>Hà Nội, Bình Định, Hải Dương</t>
        </is>
      </c>
      <c r="G4166" s="10" t="inlineStr">
        <is>
          <t>Nhân viên</t>
        </is>
      </c>
      <c r="H4166" s="10" t="inlineStr">
        <is>
          <t>12/01/2026</t>
        </is>
      </c>
      <c r="I4166" s="10" t="inlineStr">
        <is>
          <t>29/03/2026</t>
        </is>
      </c>
      <c r="J4166" s="10" t="inlineStr">
        <is>
          <t>17/03/2026</t>
        </is>
      </c>
      <c r="K4166" s="10" t="inlineStr">
        <is>
          <t>N/A</t>
        </is>
      </c>
      <c r="L4166" s="10" t="inlineStr">
        <is>
          <t>Bóc Tách Khối Lượng, QS, Quản Lý Chi Phí</t>
        </is>
      </c>
      <c r="M4166" s="10" t="inlineStr">
        <is>
          <t>Bonus, Healthcare Plan, Team Activities</t>
        </is>
      </c>
      <c r="N4166" s="11">
        <f>HYPERLINK("https://www.vietnamworks.com/qs-engineer-lam-viec-tai-vp-hn-hoac-du-an-hai-duong-hoac-du-an-binh-dinh-2001455-jv","Xem chi tiết")</f>
        <v/>
      </c>
      <c r="O4166" s="10" t="n"/>
    </row>
    <row r="4167">
      <c r="B4167" s="7" t="n">
        <v>4165</v>
      </c>
      <c r="C4167" t="inlineStr">
        <is>
          <t>Consumer Loan Operation Staff( Junior)</t>
        </is>
      </c>
      <c r="D4167" t="inlineStr">
        <is>
          <t>Cathay United Bank</t>
        </is>
      </c>
      <c r="E4167" t="inlineStr">
        <is>
          <t>Thương lượng</t>
        </is>
      </c>
      <c r="F4167" t="inlineStr">
        <is>
          <t>Hồ Chí Minh</t>
        </is>
      </c>
      <c r="G4167" t="inlineStr">
        <is>
          <t>Nhân viên</t>
        </is>
      </c>
      <c r="H4167" t="inlineStr">
        <is>
          <t>12/01/2026</t>
        </is>
      </c>
      <c r="I4167" t="inlineStr">
        <is>
          <t>29/03/2026</t>
        </is>
      </c>
      <c r="J4167" t="inlineStr">
        <is>
          <t>17/03/2026</t>
        </is>
      </c>
      <c r="K4167" t="inlineStr">
        <is>
          <t>N/A</t>
        </is>
      </c>
      <c r="L4167" t="inlineStr">
        <is>
          <t>Cho Vay Tài Chính, Credit Management, English, Loan Processing</t>
        </is>
      </c>
      <c r="M4167" t="inlineStr">
        <is>
          <t>Bonus</t>
        </is>
      </c>
      <c r="N4167" s="8">
        <f>HYPERLINK("https://www.vietnamworks.com/consumer-loan-operation-staff-junior-2001450-jv","Xem chi tiết")</f>
        <v/>
      </c>
    </row>
    <row r="4168">
      <c r="B4168" s="9" t="n">
        <v>4166</v>
      </c>
      <c r="C4168" s="10" t="inlineStr">
        <is>
          <t>Giám Đốc Kinh Doanh Chuỗi Khách Sạn</t>
        </is>
      </c>
      <c r="D4168" s="10" t="inlineStr">
        <is>
          <t>Tập Đoàn APEC (APEC GROUP)</t>
        </is>
      </c>
      <c r="E4168" s="10" t="inlineStr">
        <is>
          <t>Từ $ 2,000 /tháng</t>
        </is>
      </c>
      <c r="F4168" s="10" t="inlineStr">
        <is>
          <t>Hồ Chí Minh, Hà Nội</t>
        </is>
      </c>
      <c r="G4168" s="10" t="inlineStr">
        <is>
          <t>Giám Đốc và Cấp Cao Hơn</t>
        </is>
      </c>
      <c r="H4168" s="10" t="inlineStr">
        <is>
          <t>12/01/2026</t>
        </is>
      </c>
      <c r="I4168" s="10" t="inlineStr">
        <is>
          <t>29/03/2026</t>
        </is>
      </c>
      <c r="J4168" s="10" t="inlineStr">
        <is>
          <t>17/03/2026</t>
        </is>
      </c>
      <c r="K4168" s="10" t="inlineStr">
        <is>
          <t>N/A</t>
        </is>
      </c>
      <c r="L4168" s="10" t="inlineStr">
        <is>
          <t>Sales Management, Hospitality, Giám Đốc Kinh Doanh, Kinh Doanh Khách Sạn, Quản Lý Kinh Doanh Du Lịch</t>
        </is>
      </c>
      <c r="M4168" s="10" t="inlineStr">
        <is>
          <t>Bonus, Travel Opportunities, Others</t>
        </is>
      </c>
      <c r="N4168" s="11">
        <f>HYPERLINK("https://www.vietnamworks.com/giam-doc-kinh-doanh-chuoi-khach-san-2001504-jv","Xem chi tiết")</f>
        <v/>
      </c>
      <c r="O4168" s="10" t="n"/>
    </row>
    <row r="4169">
      <c r="B4169" s="7" t="n">
        <v>4167</v>
      </c>
      <c r="C4169" t="inlineStr">
        <is>
          <t>Merchandise Manager – Production Management</t>
        </is>
      </c>
      <c r="D4169" t="inlineStr">
        <is>
          <t>Thygesen Textile Vietnam</t>
        </is>
      </c>
      <c r="E4169" t="inlineStr">
        <is>
          <t>$$ 3,000-4,000 /tháng</t>
        </is>
      </c>
      <c r="F4169" t="inlineStr">
        <is>
          <t>Hà Nội</t>
        </is>
      </c>
      <c r="G4169" t="inlineStr">
        <is>
          <t>Trưởng phòng</t>
        </is>
      </c>
      <c r="H4169" t="inlineStr">
        <is>
          <t>12/01/2026</t>
        </is>
      </c>
      <c r="I4169" t="inlineStr">
        <is>
          <t>29/03/2026</t>
        </is>
      </c>
      <c r="J4169" t="inlineStr">
        <is>
          <t>17/03/2026</t>
        </is>
      </c>
      <c r="K4169" t="inlineStr">
        <is>
          <t>N/A</t>
        </is>
      </c>
      <c r="L4169" t="inlineStr">
        <is>
          <t>Order Management, SAP, Fabric Production, Analytical Skills, Risk Management</t>
        </is>
      </c>
      <c r="M4169" t="inlineStr">
        <is>
          <t>Bonus, Healthcare Plan, Others</t>
        </is>
      </c>
      <c r="N4169" s="8">
        <f>HYPERLINK("https://www.vietnamworks.com/merchandise-manager-production-management-2001386-jv","Xem chi tiết")</f>
        <v/>
      </c>
    </row>
    <row r="4170">
      <c r="B4170" s="9" t="n">
        <v>4168</v>
      </c>
      <c r="C4170" s="10" t="inlineStr">
        <is>
          <t>Chief Revenue Officer (CRO)</t>
        </is>
      </c>
      <c r="D4170" s="10" t="inlineStr">
        <is>
          <t>Công Ty TNHH Hqsoft</t>
        </is>
      </c>
      <c r="E4170" s="10" t="inlineStr">
        <is>
          <t>Thương lượng</t>
        </is>
      </c>
      <c r="F4170" s="10" t="inlineStr">
        <is>
          <t>Hồ Chí Minh</t>
        </is>
      </c>
      <c r="G4170" s="10" t="inlineStr">
        <is>
          <t>Giám Đốc và Cấp Cao Hơn</t>
        </is>
      </c>
      <c r="H4170" s="10" t="inlineStr">
        <is>
          <t>12/01/2026</t>
        </is>
      </c>
      <c r="I4170" s="10" t="inlineStr">
        <is>
          <t>29/03/2026</t>
        </is>
      </c>
      <c r="J4170" s="10" t="inlineStr">
        <is>
          <t>17/03/2026</t>
        </is>
      </c>
      <c r="K4170" s="10" t="inlineStr">
        <is>
          <t>N/A</t>
        </is>
      </c>
      <c r="L4170" s="10" t="inlineStr">
        <is>
          <t>Sales, Revenue Growth, GTM, Pipeline Management, Strategic Thinking</t>
        </is>
      </c>
      <c r="M4170" s="10" t="inlineStr">
        <is>
          <t>Bonus, Healthcare Plan, Training, Team Activities, Others</t>
        </is>
      </c>
      <c r="N4170" s="11">
        <f>HYPERLINK("https://www.vietnamworks.com/chief-revenue-officer-cro-2001466-jv","Xem chi tiết")</f>
        <v/>
      </c>
      <c r="O4170" s="10" t="n"/>
    </row>
    <row r="4171">
      <c r="B4171" s="7" t="n">
        <v>4169</v>
      </c>
      <c r="C4171" t="inlineStr">
        <is>
          <t>Kỹ Sư Shopdawring Làm Việc Tại Dự Án Hải Dương hoặc Bình Định</t>
        </is>
      </c>
      <c r="D4171" t="inlineStr">
        <is>
          <t>KAS E&amp;C (Vietnam) Ltd Company</t>
        </is>
      </c>
      <c r="E4171" t="inlineStr">
        <is>
          <t>$$ 500-1,500 /tháng</t>
        </is>
      </c>
      <c r="F4171" t="inlineStr">
        <is>
          <t>Hà Nội, Bình Định, Hải Phòng</t>
        </is>
      </c>
      <c r="G4171" t="inlineStr">
        <is>
          <t>Nhân viên</t>
        </is>
      </c>
      <c r="H4171" t="inlineStr">
        <is>
          <t>12/01/2026</t>
        </is>
      </c>
      <c r="I4171" t="inlineStr">
        <is>
          <t>29/03/2026</t>
        </is>
      </c>
      <c r="J4171" t="inlineStr">
        <is>
          <t>17/03/2026</t>
        </is>
      </c>
      <c r="K4171" t="inlineStr">
        <is>
          <t>N/A</t>
        </is>
      </c>
      <c r="L4171" t="inlineStr">
        <is>
          <t>Xây Dựng Dân Dụng, Shopdrawing, AutoCAD</t>
        </is>
      </c>
      <c r="M4171" t="inlineStr">
        <is>
          <t>Bonus, Healthcare Plan, Paid Leave, Team Activities</t>
        </is>
      </c>
      <c r="N4171" s="8">
        <f>HYPERLINK("https://www.vietnamworks.com/ky-su-shopdawring-lam-viec-tai-du-an-hai-duong-hoac-binh-dinh-2001579-jv","Xem chi tiết")</f>
        <v/>
      </c>
    </row>
    <row r="4172">
      <c r="B4172" s="9" t="n">
        <v>4170</v>
      </c>
      <c r="C4172" s="10" t="inlineStr">
        <is>
          <t>Chuyên Gia Phát Triển Sản Phẩm Bất Động Sản Product Development Specialist (Lương Upto 2000$)</t>
        </is>
      </c>
      <c r="D4172" s="10" t="inlineStr">
        <is>
          <t>CÔNG TY CỔ PHẦN BOLT HOLDINGS</t>
        </is>
      </c>
      <c r="E4172" s="10" t="inlineStr">
        <is>
          <t>$$ 1,530-2,000 /tháng</t>
        </is>
      </c>
      <c r="F4172" s="10" t="inlineStr">
        <is>
          <t>Hà Nội</t>
        </is>
      </c>
      <c r="G4172" s="10" t="inlineStr">
        <is>
          <t>Nhân viên</t>
        </is>
      </c>
      <c r="H4172" s="10" t="inlineStr">
        <is>
          <t>12/01/2026</t>
        </is>
      </c>
      <c r="I4172" s="10" t="inlineStr">
        <is>
          <t>29/03/2026</t>
        </is>
      </c>
      <c r="J4172" s="10" t="inlineStr">
        <is>
          <t>17/03/2026</t>
        </is>
      </c>
      <c r="K4172" s="10" t="inlineStr">
        <is>
          <t>N/A</t>
        </is>
      </c>
      <c r="L4172" s="10" t="inlineStr">
        <is>
          <t>Phân Tích Thị Trường, Thiết Kế Quy Hoạch, Nghiên Cứu Thị Trường, Bất Động Sản, Phát Triển Bất Động Sản</t>
        </is>
      </c>
      <c r="M4172" s="10" t="inlineStr">
        <is>
          <t>Bonus, Healthcare Plan, Team Activities, Others</t>
        </is>
      </c>
      <c r="N4172" s="11">
        <f>HYPERLINK("https://www.vietnamworks.com/chuyen-gia-phat-trien-san-pham-bat-dong-san-product-development-specialist-luong-upto-2000-2001639-jv","Xem chi tiết")</f>
        <v/>
      </c>
      <c r="O4172" s="10" t="n"/>
    </row>
    <row r="4173">
      <c r="B4173" s="7" t="n">
        <v>4171</v>
      </c>
      <c r="C4173" t="inlineStr">
        <is>
          <t>Senior Sales Executive (Cơ Hội Phát Triển Lên Overseas Development Manager)</t>
        </is>
      </c>
      <c r="D4173" t="inlineStr">
        <is>
          <t>Sunrise Logistics Company Limited</t>
        </is>
      </c>
      <c r="E4173" t="inlineStr">
        <is>
          <t>Thương lượng</t>
        </is>
      </c>
      <c r="F4173" t="inlineStr">
        <is>
          <t>Hồ Chí Minh</t>
        </is>
      </c>
      <c r="G4173" t="inlineStr">
        <is>
          <t>Nhân viên</t>
        </is>
      </c>
      <c r="H4173" t="inlineStr">
        <is>
          <t>12/01/2026</t>
        </is>
      </c>
      <c r="I4173" t="inlineStr">
        <is>
          <t>29/03/2026</t>
        </is>
      </c>
      <c r="J4173" t="inlineStr">
        <is>
          <t>17/03/2026</t>
        </is>
      </c>
      <c r="K4173" t="inlineStr">
        <is>
          <t>N/A</t>
        </is>
      </c>
      <c r="L4173" t="inlineStr">
        <is>
          <t>Bán hàng, Business Development, Kinh Doanh, Sales Development, Tư Vấn</t>
        </is>
      </c>
      <c r="M4173" t="inlineStr">
        <is>
          <t>Bonus, Healthcare Plan, Paid Leave, Laptop, Team Activities, Others</t>
        </is>
      </c>
      <c r="N4173" s="8">
        <f>HYPERLINK("https://www.vietnamworks.com/senior-sales-executive-co-hoi-phat-trien-len-overseas-development-manager-2001811-jv","Xem chi tiết")</f>
        <v/>
      </c>
    </row>
    <row r="4174">
      <c r="B4174" s="9" t="n">
        <v>4172</v>
      </c>
      <c r="C4174" s="10" t="inlineStr">
        <is>
          <t>Sales Logistics Overseas (Freehand/ Agent) Thu Nhập Hấp Dẫn – Có Network Quốc Tế Sẵn</t>
        </is>
      </c>
      <c r="D4174" s="10" t="inlineStr">
        <is>
          <t>ocean trans</t>
        </is>
      </c>
      <c r="E4174" s="10" t="inlineStr">
        <is>
          <t>$$ 500-1,500 /tháng</t>
        </is>
      </c>
      <c r="F4174" s="10" t="inlineStr">
        <is>
          <t>Hà Nội, Hồ Chí Minh</t>
        </is>
      </c>
      <c r="G4174" s="10" t="inlineStr">
        <is>
          <t>Nhân viên</t>
        </is>
      </c>
      <c r="H4174" s="10" t="inlineStr">
        <is>
          <t>12/01/2026</t>
        </is>
      </c>
      <c r="I4174" s="10" t="inlineStr">
        <is>
          <t>29/03/2026</t>
        </is>
      </c>
      <c r="J4174" s="10" t="inlineStr">
        <is>
          <t>17/03/2026</t>
        </is>
      </c>
      <c r="K4174" s="10" t="inlineStr">
        <is>
          <t>N/A</t>
        </is>
      </c>
      <c r="L4174" s="10" t="inlineStr">
        <is>
          <t>Logistics Sales, Customer Care, Thủ Tục Hải Quan, Vận Tải Biển, Thương Mại Quốc Tế</t>
        </is>
      </c>
      <c r="M4174" s="10" t="inlineStr">
        <is>
          <t>Bonus, Healthcare Plan, Training, Travel Opportunities, Others</t>
        </is>
      </c>
      <c r="N4174" s="11">
        <f>HYPERLINK("https://www.vietnamworks.com/sales-logistics-overseas-freehand-agent-thu-nhap-hap-dan-co-network-quoc-te-san-2001726-jv","Xem chi tiết")</f>
        <v/>
      </c>
      <c r="O4174" s="10" t="n"/>
    </row>
    <row r="4175">
      <c r="B4175" s="7" t="n">
        <v>4173</v>
      </c>
      <c r="C4175" t="inlineStr">
        <is>
          <t>Cán Bộ Tuyển Sinh</t>
        </is>
      </c>
      <c r="D4175" t="inlineStr">
        <is>
          <t>Đại học CMC</t>
        </is>
      </c>
      <c r="E4175" t="inlineStr">
        <is>
          <t>Thương lượng</t>
        </is>
      </c>
      <c r="F4175" t="inlineStr">
        <is>
          <t>Hồ Chí Minh</t>
        </is>
      </c>
      <c r="G4175" t="inlineStr">
        <is>
          <t>Nhân viên</t>
        </is>
      </c>
      <c r="H4175" t="inlineStr">
        <is>
          <t>12/01/2026</t>
        </is>
      </c>
      <c r="I4175" t="inlineStr">
        <is>
          <t>29/03/2026</t>
        </is>
      </c>
      <c r="J4175" t="inlineStr">
        <is>
          <t>17/03/2026</t>
        </is>
      </c>
      <c r="K4175" t="inlineStr">
        <is>
          <t>N/A</t>
        </is>
      </c>
      <c r="L4175" t="inlineStr">
        <is>
          <t>Giáo Dục, Quản Lý Dự Án, Tổ Chức Sự Kiện, Tuyển Sinh, Tư Vấn Tuyển Sinh</t>
        </is>
      </c>
      <c r="M4175" t="inlineStr">
        <is>
          <t>Bonus, Healthcare Plan, Paid Leave</t>
        </is>
      </c>
      <c r="N4175" s="8">
        <f>HYPERLINK("https://www.vietnamworks.com/can-bo-tuyen-sinh--2001869-jv","Xem chi tiết")</f>
        <v/>
      </c>
    </row>
    <row r="4176">
      <c r="B4176" s="9" t="n">
        <v>4174</v>
      </c>
      <c r="C4176" s="10" t="inlineStr">
        <is>
          <t>Java Developer</t>
        </is>
      </c>
      <c r="D4176" s="10" t="inlineStr">
        <is>
          <t>Ngân Hàng TNHH MTV Woori Việt Nam</t>
        </is>
      </c>
      <c r="E4176" s="10" t="inlineStr">
        <is>
          <t>Thương lượng</t>
        </is>
      </c>
      <c r="F4176" s="10" t="inlineStr">
        <is>
          <t>Hà Nội</t>
        </is>
      </c>
      <c r="G4176" s="10" t="inlineStr">
        <is>
          <t>Nhân viên</t>
        </is>
      </c>
      <c r="H4176" s="10" t="inlineStr">
        <is>
          <t>12/01/2026</t>
        </is>
      </c>
      <c r="I4176" s="10" t="inlineStr">
        <is>
          <t>29/03/2026</t>
        </is>
      </c>
      <c r="J4176" s="10" t="inlineStr">
        <is>
          <t>17/03/2026</t>
        </is>
      </c>
      <c r="K4176" s="10" t="inlineStr">
        <is>
          <t>N/A</t>
        </is>
      </c>
      <c r="L4176" s="10" t="inlineStr">
        <is>
          <t>API Development, Back-end Programming, Linux, Oracle Database, Spring Framework</t>
        </is>
      </c>
      <c r="M4176" s="10" t="inlineStr">
        <is>
          <t>Bonus, Healthcare Plan, Paid Leave, Training, Team Activities, Others</t>
        </is>
      </c>
      <c r="N4176" s="11">
        <f>HYPERLINK("https://www.vietnamworks.com/java-developer-2001538-jv","Xem chi tiết")</f>
        <v/>
      </c>
      <c r="O4176" s="10" t="n"/>
    </row>
    <row r="4177">
      <c r="B4177" s="7" t="n">
        <v>4175</v>
      </c>
      <c r="C4177" t="inlineStr">
        <is>
          <t>Trưởng Bộ Phận Phát Triển Dự Án (Làm Việc Tại Phú Quốc)</t>
        </is>
      </c>
      <c r="D4177" t="inlineStr">
        <is>
          <t>Công Ty Cổ Phần Thaiholdings</t>
        </is>
      </c>
      <c r="E4177" t="inlineStr">
        <is>
          <t>Thương lượng</t>
        </is>
      </c>
      <c r="F4177" t="inlineStr">
        <is>
          <t>An Giang</t>
        </is>
      </c>
      <c r="G4177" t="inlineStr">
        <is>
          <t>Trưởng phòng</t>
        </is>
      </c>
      <c r="H4177" t="inlineStr">
        <is>
          <t>12/01/2026</t>
        </is>
      </c>
      <c r="I4177" t="inlineStr">
        <is>
          <t>29/03/2026</t>
        </is>
      </c>
      <c r="J4177" t="inlineStr">
        <is>
          <t>17/03/2026</t>
        </is>
      </c>
      <c r="K4177" t="inlineStr">
        <is>
          <t>N/A</t>
        </is>
      </c>
      <c r="L4177" t="inlineStr">
        <is>
          <t>Phát Triển Dự Án, Pháp Lý Dự Án, Pháp Lý Bất Động Sản, Phát Triển Bất Động Sản, Bất Động Sản</t>
        </is>
      </c>
      <c r="M4177" t="inlineStr">
        <is>
          <t>Bonus, Healthcare Plan, Team Activities</t>
        </is>
      </c>
      <c r="N4177" s="8">
        <f>HYPERLINK("https://www.vietnamworks.com/truong-bo-phan-phat-trien-du-an-lam-viec-tai-phu-quoc-2001621-jv","Xem chi tiết")</f>
        <v/>
      </c>
    </row>
    <row r="4178">
      <c r="B4178" s="9" t="n">
        <v>4176</v>
      </c>
      <c r="C4178" s="10" t="inlineStr">
        <is>
          <t>Giám Sát Bán Hàng / Sales Leader (F&amp;B) - Thu Nhập Upto 20Tr/ Tháng</t>
        </is>
      </c>
      <c r="D4178" s="10" t="inlineStr">
        <is>
          <t>Cổ Phần Đầu Tư Thương Mại Ho.re.ca Việt Nam</t>
        </is>
      </c>
      <c r="E4178" s="10" t="inlineStr">
        <is>
          <t>Tới 20tr ₫/tháng</t>
        </is>
      </c>
      <c r="F4178" s="10" t="inlineStr">
        <is>
          <t>Hà Nội</t>
        </is>
      </c>
      <c r="G4178" s="10" t="inlineStr">
        <is>
          <t>Nhân viên</t>
        </is>
      </c>
      <c r="H4178" s="10" t="inlineStr">
        <is>
          <t>04/02/2026</t>
        </is>
      </c>
      <c r="I4178" s="10" t="inlineStr">
        <is>
          <t>29/03/2026</t>
        </is>
      </c>
      <c r="J4178" s="10" t="inlineStr">
        <is>
          <t>17/03/2026</t>
        </is>
      </c>
      <c r="K4178" s="10" t="inlineStr">
        <is>
          <t>N/A</t>
        </is>
      </c>
      <c r="L4178" s="10" t="inlineStr">
        <is>
          <t>Giám Sát Bán Hàng, Bán hàng, Sales, F&amp;B, Food &amp; Beverage</t>
        </is>
      </c>
      <c r="M4178" s="10" t="inlineStr">
        <is>
          <t>Bonus, Healthcare Plan, Training, Team Activities, Others</t>
        </is>
      </c>
      <c r="N4178" s="11">
        <f>HYPERLINK("https://www.vietnamworks.com/giam-sat-ban-hang-sales-leader-fandb-thu-nhap-upto-20tr-thang-2009545-jv","Xem chi tiết")</f>
        <v/>
      </c>
      <c r="O4178" s="10" t="n"/>
    </row>
    <row r="4179">
      <c r="B4179" s="7" t="n">
        <v>4177</v>
      </c>
      <c r="C4179" t="inlineStr">
        <is>
          <t>Trưởng Phòng Marketing (Performance &amp; Growth) - Ngành Y Tế, Làm Đẹp</t>
        </is>
      </c>
      <c r="D4179" t="inlineStr">
        <is>
          <t>CÔNG TY TNHH THẨM MỸ AZ NOSE</t>
        </is>
      </c>
      <c r="E4179" t="inlineStr">
        <is>
          <t>$$ 50tr-80tr /tháng</t>
        </is>
      </c>
      <c r="F4179" t="inlineStr">
        <is>
          <t>Hồ Chí Minh</t>
        </is>
      </c>
      <c r="G4179" t="inlineStr">
        <is>
          <t>Trưởng phòng</t>
        </is>
      </c>
      <c r="H4179" t="inlineStr">
        <is>
          <t>12/01/2026</t>
        </is>
      </c>
      <c r="I4179" t="inlineStr">
        <is>
          <t>29/03/2026</t>
        </is>
      </c>
      <c r="J4179" t="inlineStr">
        <is>
          <t>17/03/2026</t>
        </is>
      </c>
      <c r="K4179" t="inlineStr">
        <is>
          <t>N/A</t>
        </is>
      </c>
      <c r="L4179" t="inlineStr">
        <is>
          <t>Marketing &amp; Advertising Strategy, Branding, Google Ads, Lập Kế Hoạch Marketing, Marketing Planning</t>
        </is>
      </c>
      <c r="M4179" t="inlineStr">
        <is>
          <t>Bonus, Healthcare Plan, Others</t>
        </is>
      </c>
      <c r="N4179" s="8">
        <f>HYPERLINK("https://www.vietnamworks.com/truong-phong-marketing-performance-growth-nganh-y-te-lam-dep-2001847-jv","Xem chi tiết")</f>
        <v/>
      </c>
    </row>
    <row r="4180">
      <c r="B4180" s="9" t="n">
        <v>4178</v>
      </c>
      <c r="C4180" s="10" t="inlineStr">
        <is>
          <t>Import-Export Staff/ Nhân Viên Xuất Nhập Khẩu Thời Vụ 8 Tháng</t>
        </is>
      </c>
      <c r="D4180" s="10" t="inlineStr">
        <is>
          <t>Sumitomo NACCO Forklift Vietnam Co., Ltd.</t>
        </is>
      </c>
      <c r="E4180" s="10" t="inlineStr">
        <is>
          <t>Thương lượng</t>
        </is>
      </c>
      <c r="F4180" s="10" t="inlineStr">
        <is>
          <t>Hà Nội</t>
        </is>
      </c>
      <c r="G4180" s="10" t="inlineStr">
        <is>
          <t>Nhân viên</t>
        </is>
      </c>
      <c r="H4180" s="10" t="inlineStr">
        <is>
          <t>12/01/2026</t>
        </is>
      </c>
      <c r="I4180" s="10" t="inlineStr">
        <is>
          <t>29/03/2026</t>
        </is>
      </c>
      <c r="J4180" s="10" t="inlineStr">
        <is>
          <t>17/03/2026</t>
        </is>
      </c>
      <c r="K4180" s="10" t="inlineStr">
        <is>
          <t>N/A</t>
        </is>
      </c>
      <c r="L4180" s="10" t="inlineStr">
        <is>
          <t>Manufacturing Control, Production Analysis, Production Management, Production Planning, Production Technology</t>
        </is>
      </c>
      <c r="M4180" s="10" t="inlineStr">
        <is>
          <t>Bonus, Transportation, Kindergarten, Others</t>
        </is>
      </c>
      <c r="N4180" s="11">
        <f>HYPERLINK("https://www.vietnamworks.com/import-export-staff-nhan-vien-xuat-nhap-khau-thoi-vu-8-thang-2001675-jv","Xem chi tiết")</f>
        <v/>
      </c>
      <c r="O4180" s="10" t="n"/>
    </row>
    <row r="4181">
      <c r="B4181" s="7" t="n">
        <v>4179</v>
      </c>
      <c r="C4181" t="inlineStr">
        <is>
          <t>Kỹ Sư Thiết Kế Cơ Khí - Làm Việc Tại Đông Anh, Hà Nội</t>
        </is>
      </c>
      <c r="D4181" t="inlineStr">
        <is>
          <t>Công Ty Cổ phần Công nghiệp TCI</t>
        </is>
      </c>
      <c r="E4181" t="inlineStr">
        <is>
          <t>$$ 500-1,500 /tháng</t>
        </is>
      </c>
      <c r="F4181" t="inlineStr">
        <is>
          <t>Hà Nội</t>
        </is>
      </c>
      <c r="G4181" t="inlineStr">
        <is>
          <t>Nhân viên</t>
        </is>
      </c>
      <c r="H4181" t="inlineStr">
        <is>
          <t>12/01/2026</t>
        </is>
      </c>
      <c r="I4181" t="inlineStr">
        <is>
          <t>29/03/2026</t>
        </is>
      </c>
      <c r="J4181" t="inlineStr">
        <is>
          <t>17/03/2026</t>
        </is>
      </c>
      <c r="K4181" t="inlineStr">
        <is>
          <t>N/A</t>
        </is>
      </c>
      <c r="L4181" t="inlineStr">
        <is>
          <t>Kỹ Thuật Cơ Khí, Thiết Kế Cơ Khí, Cơ Khí Chế Tạo, Mechanical Design, SolidWorks</t>
        </is>
      </c>
      <c r="M4181" t="inlineStr">
        <is>
          <t>Bonus, Paid Leave, Transportation</t>
        </is>
      </c>
      <c r="N4181" s="8">
        <f>HYPERLINK("https://www.vietnamworks.com/ky-su-thiet-ke-co-khi-lam-viec-tai-dong-anh-ha-noi-2001736-jv","Xem chi tiết")</f>
        <v/>
      </c>
    </row>
    <row r="4182">
      <c r="B4182" s="9" t="n">
        <v>4180</v>
      </c>
      <c r="C4182" s="10" t="inlineStr">
        <is>
          <t>Lighting Technical Engineer / Kỹ Sư Thiết Kế &amp; Kỹ Thuật Chiếu Sáng (Dialux, AutoCAD)</t>
        </is>
      </c>
      <c r="D4182" s="10" t="inlineStr">
        <is>
          <t>Unios Vietnam</t>
        </is>
      </c>
      <c r="E4182" s="10" t="inlineStr">
        <is>
          <t>Thương lượng</t>
        </is>
      </c>
      <c r="F4182" s="10" t="inlineStr">
        <is>
          <t>Hà Nội, Hồ Chí Minh</t>
        </is>
      </c>
      <c r="G4182" s="10" t="inlineStr">
        <is>
          <t>Nhân viên</t>
        </is>
      </c>
      <c r="H4182" s="10" t="inlineStr">
        <is>
          <t>12/01/2026</t>
        </is>
      </c>
      <c r="I4182" s="10" t="inlineStr">
        <is>
          <t>29/03/2026</t>
        </is>
      </c>
      <c r="J4182" s="10" t="inlineStr">
        <is>
          <t>17/03/2026</t>
        </is>
      </c>
      <c r="K4182" s="10" t="inlineStr">
        <is>
          <t>N/A</t>
        </is>
      </c>
      <c r="L4182" s="10" t="inlineStr">
        <is>
          <t>Lighting, Lighting Design, Dialux (Tính toán chiếu sáng), AutoCAD, Electrical Engineer</t>
        </is>
      </c>
      <c r="M4182" s="10" t="inlineStr">
        <is>
          <t>Bonus, Healthcare Plan, Travel Opportunities, Team Activities</t>
        </is>
      </c>
      <c r="N4182" s="11">
        <f>HYPERLINK("https://www.vietnamworks.com/lighting-technical-engineer-ky-su-thiet-ke-and-ky-thuat-chieu-sang-dialux-autocad-2001532-jv","Xem chi tiết")</f>
        <v/>
      </c>
      <c r="O4182" s="10" t="n"/>
    </row>
    <row r="4183">
      <c r="B4183" s="7" t="n">
        <v>4181</v>
      </c>
      <c r="C4183" t="inlineStr">
        <is>
          <t>Sales Engineer (Tiếng Trung) – Kết Cấu Thép | Nhận Fresher</t>
        </is>
      </c>
      <c r="D4183" t="inlineStr">
        <is>
          <t>BMB&amp;A JSC.</t>
        </is>
      </c>
      <c r="E4183" t="inlineStr">
        <is>
          <t>14tr-20tr ₫/tháng</t>
        </is>
      </c>
      <c r="F4183" t="inlineStr">
        <is>
          <t>Hồ Chí Minh, Hà Nội</t>
        </is>
      </c>
      <c r="G4183" t="inlineStr">
        <is>
          <t>Nhân viên</t>
        </is>
      </c>
      <c r="H4183" t="inlineStr">
        <is>
          <t>12/01/2026</t>
        </is>
      </c>
      <c r="I4183" t="inlineStr">
        <is>
          <t>29/03/2026</t>
        </is>
      </c>
      <c r="J4183" t="inlineStr">
        <is>
          <t>17/03/2026</t>
        </is>
      </c>
      <c r="K4183" t="inlineStr">
        <is>
          <t>N/A</t>
        </is>
      </c>
      <c r="L4183" t="inlineStr">
        <is>
          <t>Bán Hàng Kỹ Thuật, sales engineer, Sales, Kinh Doanh, Tiếng Trung</t>
        </is>
      </c>
      <c r="M4183" t="inlineStr">
        <is>
          <t>Bonus, Healthcare Plan, Training, Travel Opportunities, Others</t>
        </is>
      </c>
      <c r="N4183" s="8">
        <f>HYPERLINK("https://www.vietnamworks.com/sales-engineer-tieng-trung-ket-cau-thep-or-nhan-fresher-2001613-jv","Xem chi tiết")</f>
        <v/>
      </c>
    </row>
    <row r="4184">
      <c r="B4184" s="9" t="n">
        <v>4182</v>
      </c>
      <c r="C4184" s="10" t="inlineStr">
        <is>
          <t>Trưởng Nhóm C&amp;B</t>
        </is>
      </c>
      <c r="D4184" s="10" t="inlineStr">
        <is>
          <t>RT Holdings</t>
        </is>
      </c>
      <c r="E4184" s="10" t="inlineStr">
        <is>
          <t>Thương lượng</t>
        </is>
      </c>
      <c r="F4184" s="10" t="inlineStr">
        <is>
          <t>Hồ Chí Minh</t>
        </is>
      </c>
      <c r="G4184" s="10" t="inlineStr">
        <is>
          <t>Trưởng phòng</t>
        </is>
      </c>
      <c r="H4184" s="10" t="inlineStr">
        <is>
          <t>12/01/2026</t>
        </is>
      </c>
      <c r="I4184" s="10" t="inlineStr">
        <is>
          <t>29/03/2026</t>
        </is>
      </c>
      <c r="J4184" s="10" t="inlineStr">
        <is>
          <t>17/03/2026</t>
        </is>
      </c>
      <c r="K4184" s="10" t="inlineStr">
        <is>
          <t>N/A</t>
        </is>
      </c>
      <c r="L4184" s="10" t="inlineStr">
        <is>
          <t>HR Management, C&amp;B, Compensation, Human Resources, Quản lý Chiến lược Nhân sự</t>
        </is>
      </c>
      <c r="M4184" s="10" t="inlineStr">
        <is>
          <t>Bonus, Travel Opportunities, Canteen</t>
        </is>
      </c>
      <c r="N4184" s="11">
        <f>HYPERLINK("https://www.vietnamworks.com/truong-nhom-c-b--2001710-jv","Xem chi tiết")</f>
        <v/>
      </c>
      <c r="O4184" s="10" t="n"/>
    </row>
    <row r="4185">
      <c r="B4185" s="7" t="n">
        <v>4183</v>
      </c>
      <c r="C4185" t="inlineStr">
        <is>
          <t>Trưởng Nhóm Tuyển Sinh</t>
        </is>
      </c>
      <c r="D4185" t="inlineStr">
        <is>
          <t>Đại học CMC</t>
        </is>
      </c>
      <c r="E4185" t="inlineStr">
        <is>
          <t>Thương lượng</t>
        </is>
      </c>
      <c r="F4185" t="inlineStr">
        <is>
          <t>Hồ Chí Minh</t>
        </is>
      </c>
      <c r="G4185" t="inlineStr">
        <is>
          <t>Trưởng phòng</t>
        </is>
      </c>
      <c r="H4185" t="inlineStr">
        <is>
          <t>12/01/2026</t>
        </is>
      </c>
      <c r="I4185" t="inlineStr">
        <is>
          <t>29/03/2026</t>
        </is>
      </c>
      <c r="J4185" t="inlineStr">
        <is>
          <t>17/03/2026</t>
        </is>
      </c>
      <c r="K4185" t="inlineStr">
        <is>
          <t>N/A</t>
        </is>
      </c>
      <c r="L4185" t="inlineStr">
        <is>
          <t>Giáo Dục, Tổ Chức Sự Kiện, Tư Vấn Tuyển Sinh, Tuyển Sinh, Chăm Sóc Khách Hàng</t>
        </is>
      </c>
      <c r="M4185" t="inlineStr">
        <is>
          <t>Bonus, Healthcare Plan, Paid Leave</t>
        </is>
      </c>
      <c r="N4185" s="8">
        <f>HYPERLINK("https://www.vietnamworks.com/truong-nhom-tuyen-sinh--2001868-jv","Xem chi tiết")</f>
        <v/>
      </c>
    </row>
    <row r="4186">
      <c r="B4186" s="9" t="n">
        <v>4184</v>
      </c>
      <c r="C4186" s="10" t="inlineStr">
        <is>
          <t>Phân Tích Nghiệp Vụ - Business Analyst - Yêu Cầu Tiếng Hàn</t>
        </is>
      </c>
      <c r="D4186" s="10" t="inlineStr">
        <is>
          <t>Ngân Hàng TNHH MTV Woori Việt Nam</t>
        </is>
      </c>
      <c r="E4186" s="10" t="inlineStr">
        <is>
          <t>$$ 700-1,000 /tháng</t>
        </is>
      </c>
      <c r="F4186" s="10" t="inlineStr">
        <is>
          <t>Hà Nội</t>
        </is>
      </c>
      <c r="G4186" s="10" t="inlineStr">
        <is>
          <t>Nhân viên</t>
        </is>
      </c>
      <c r="H4186" s="10" t="inlineStr">
        <is>
          <t>12/01/2026</t>
        </is>
      </c>
      <c r="I4186" s="10" t="inlineStr">
        <is>
          <t>29/03/2026</t>
        </is>
      </c>
      <c r="J4186" s="10" t="inlineStr">
        <is>
          <t>17/03/2026</t>
        </is>
      </c>
      <c r="K4186" s="10" t="inlineStr">
        <is>
          <t>N/A</t>
        </is>
      </c>
      <c r="L4186" s="10" t="inlineStr">
        <is>
          <t>Tiếng Hàn, Phân Tích Nghiệp Vụ, Business Analysis, MS Office</t>
        </is>
      </c>
      <c r="M4186" s="10" t="inlineStr">
        <is>
          <t>Bonus, Mobile, Others</t>
        </is>
      </c>
      <c r="N4186" s="11">
        <f>HYPERLINK("https://www.vietnamworks.com/phan-tich-nghiep-vu-business-analyst-yeu-cau-tieng-han-2001733-jv","Xem chi tiết")</f>
        <v/>
      </c>
      <c r="O4186" s="10" t="n"/>
    </row>
    <row r="4187">
      <c r="B4187" s="7" t="n">
        <v>4185</v>
      </c>
      <c r="C4187" t="inlineStr">
        <is>
          <t>Tổng Giám Đốc Công Ty Bất Động Sản</t>
        </is>
      </c>
      <c r="D4187" t="inlineStr">
        <is>
          <t>Tập Đoàn APEC (APEC GROUP)</t>
        </is>
      </c>
      <c r="E4187" t="inlineStr">
        <is>
          <t>$$ 2,500-3,500 /tháng</t>
        </is>
      </c>
      <c r="F4187" t="inlineStr">
        <is>
          <t>Hà Nội</t>
        </is>
      </c>
      <c r="G4187" t="inlineStr">
        <is>
          <t>Giám Đốc và Cấp Cao Hơn</t>
        </is>
      </c>
      <c r="H4187" t="inlineStr">
        <is>
          <t>12/01/2026</t>
        </is>
      </c>
      <c r="I4187" t="inlineStr">
        <is>
          <t>29/03/2026</t>
        </is>
      </c>
      <c r="J4187" t="inlineStr">
        <is>
          <t>17/03/2026</t>
        </is>
      </c>
      <c r="K4187" t="inlineStr">
        <is>
          <t>N/A</t>
        </is>
      </c>
      <c r="L4187" t="inlineStr">
        <is>
          <t>Management, Real Estate Strategic, Real Estate Management, Real Estate Business, Finance/Investment/Business Development</t>
        </is>
      </c>
      <c r="M4187" t="inlineStr">
        <is>
          <t>Bonus, Travel Opportunities, Others</t>
        </is>
      </c>
      <c r="N4187" s="8">
        <f>HYPERLINK("https://www.vietnamworks.com/tong-giam-doc-cong-ty-bat-dong-san--2001853-jv","Xem chi tiết")</f>
        <v/>
      </c>
    </row>
    <row r="4188">
      <c r="B4188" s="9" t="n">
        <v>4186</v>
      </c>
      <c r="C4188" s="10" t="inlineStr">
        <is>
          <t>Kỹ Sư Năng Lượng</t>
        </is>
      </c>
      <c r="D4188" s="10" t="inlineStr">
        <is>
          <t>Công Ty Cổ Phần Đầu Tư Xây Dựng Trung Nam</t>
        </is>
      </c>
      <c r="E4188" s="10" t="inlineStr">
        <is>
          <t>Thương lượng</t>
        </is>
      </c>
      <c r="F4188" s="10" t="inlineStr">
        <is>
          <t>Hồ Chí Minh</t>
        </is>
      </c>
      <c r="G4188" s="10" t="inlineStr">
        <is>
          <t>Nhân viên</t>
        </is>
      </c>
      <c r="H4188" s="10" t="inlineStr">
        <is>
          <t>12/01/2026</t>
        </is>
      </c>
      <c r="I4188" s="10" t="inlineStr">
        <is>
          <t>29/03/2026</t>
        </is>
      </c>
      <c r="J4188" s="10" t="inlineStr">
        <is>
          <t>17/03/2026</t>
        </is>
      </c>
      <c r="K4188" s="10" t="inlineStr">
        <is>
          <t>N/A</t>
        </is>
      </c>
      <c r="L4188" s="10" t="inlineStr">
        <is>
          <t>MEP</t>
        </is>
      </c>
      <c r="M4188" s="10" t="inlineStr">
        <is>
          <t>Bonus, Training, Travel Opportunities</t>
        </is>
      </c>
      <c r="N4188" s="11">
        <f>HYPERLINK("https://www.vietnamworks.com/ky-su-nang-luong--2001856-jv","Xem chi tiết")</f>
        <v/>
      </c>
      <c r="O4188" s="10" t="n"/>
    </row>
    <row r="4189">
      <c r="B4189" s="7" t="n">
        <v>4187</v>
      </c>
      <c r="C4189" t="inlineStr">
        <is>
          <t>Internal Academic Quality Assurance Officer</t>
        </is>
      </c>
      <c r="D4189" t="inlineStr">
        <is>
          <t>VGU - Vietnamese German University</t>
        </is>
      </c>
      <c r="E4189" t="inlineStr">
        <is>
          <t>$$ 800-1,200 /tháng</t>
        </is>
      </c>
      <c r="F4189" t="inlineStr">
        <is>
          <t>Bình Dương, Hồ Chí Minh</t>
        </is>
      </c>
      <c r="G4189" t="inlineStr">
        <is>
          <t>Nhân viên</t>
        </is>
      </c>
      <c r="H4189" t="inlineStr">
        <is>
          <t>12/01/2026</t>
        </is>
      </c>
      <c r="I4189" t="inlineStr">
        <is>
          <t>29/03/2026</t>
        </is>
      </c>
      <c r="J4189" t="inlineStr">
        <is>
          <t>17/03/2026</t>
        </is>
      </c>
      <c r="K4189" t="inlineStr">
        <is>
          <t>N/A</t>
        </is>
      </c>
      <c r="L4189" t="inlineStr">
        <is>
          <t>Excellent English, Quality Assurance</t>
        </is>
      </c>
      <c r="M4189" t="inlineStr">
        <is>
          <t>Bonus, Laptop, Transportation</t>
        </is>
      </c>
      <c r="N4189" s="8">
        <f>HYPERLINK("https://www.vietnamworks.com/internal-academic-quality-assurance-officer-2001757-jv","Xem chi tiết")</f>
        <v/>
      </c>
    </row>
    <row r="4190">
      <c r="B4190" s="9" t="n">
        <v>4188</v>
      </c>
      <c r="C4190" s="10" t="inlineStr">
        <is>
          <t>Chuyên Viên Phòng Mua Hàng (Tiếng Nhật/ Tiếng Anh)</t>
        </is>
      </c>
      <c r="D4190" s="10" t="inlineStr">
        <is>
          <t>Công ty TNHH Hamaden Việt Nam</t>
        </is>
      </c>
      <c r="E4190" s="10" t="inlineStr">
        <is>
          <t>Thương lượng</t>
        </is>
      </c>
      <c r="F4190" s="10" t="inlineStr">
        <is>
          <t>Hải Dương, Hà Nội, Hưng Yên</t>
        </is>
      </c>
      <c r="G4190" s="10" t="inlineStr">
        <is>
          <t>Nhân viên</t>
        </is>
      </c>
      <c r="H4190" s="10" t="inlineStr">
        <is>
          <t>12/01/2026</t>
        </is>
      </c>
      <c r="I4190" s="10" t="inlineStr">
        <is>
          <t>29/03/2026</t>
        </is>
      </c>
      <c r="J4190" s="10" t="inlineStr">
        <is>
          <t>17/03/2026</t>
        </is>
      </c>
      <c r="K4190" s="10" t="inlineStr">
        <is>
          <t>N/A</t>
        </is>
      </c>
      <c r="L4190" s="10" t="inlineStr">
        <is>
          <t>Tiếng Nhật, Purchase Management, Mua Hàng, Lập Kế Hoạch Mua Hàng, Đàm Phán Nhà Cung Cấp</t>
        </is>
      </c>
      <c r="M4190" s="10" t="inlineStr">
        <is>
          <t>Bonus, Healthcare Plan, Transportation</t>
        </is>
      </c>
      <c r="N4190" s="11">
        <f>HYPERLINK("https://www.vietnamworks.com/chuyen-vien-phong-mua-hang-tieng-nhat-tieng-anh-2001700-jv","Xem chi tiết")</f>
        <v/>
      </c>
      <c r="O4190" s="10" t="n"/>
    </row>
    <row r="4191">
      <c r="B4191" s="7" t="n">
        <v>4189</v>
      </c>
      <c r="C4191" t="inlineStr">
        <is>
          <t>Sales Logistics (Nhân Viên Kinh Doanh Logistics)</t>
        </is>
      </c>
      <c r="D4191" t="inlineStr">
        <is>
          <t>K PLUS SUPPLY CHAIN MANAGEMENT COMPANY LIMITED</t>
        </is>
      </c>
      <c r="E4191" t="inlineStr">
        <is>
          <t>$$ 400-1,300 /tháng</t>
        </is>
      </c>
      <c r="F4191" t="inlineStr">
        <is>
          <t>Hồ Chí Minh</t>
        </is>
      </c>
      <c r="G4191" t="inlineStr">
        <is>
          <t>Nhân viên</t>
        </is>
      </c>
      <c r="H4191" t="inlineStr">
        <is>
          <t>06/02/2026</t>
        </is>
      </c>
      <c r="I4191" t="inlineStr">
        <is>
          <t>29/03/2026</t>
        </is>
      </c>
      <c r="J4191" t="inlineStr">
        <is>
          <t>17/03/2026</t>
        </is>
      </c>
      <c r="K4191" t="inlineStr">
        <is>
          <t>N/A</t>
        </is>
      </c>
      <c r="L4191" t="inlineStr">
        <is>
          <t>Communication, Export Import, Incoterms 2000, Logistics, Shipping Logistics</t>
        </is>
      </c>
      <c r="M4191" t="inlineStr">
        <is>
          <t>Bonus, Healthcare Plan, Training, Others</t>
        </is>
      </c>
      <c r="N4191" s="8">
        <f>HYPERLINK("https://www.vietnamworks.com/sales-logistics-nhan-vien-kinh-doanh-logistics-2010371-jv","Xem chi tiết")</f>
        <v/>
      </c>
    </row>
    <row r="4192">
      <c r="B4192" s="9" t="n">
        <v>4190</v>
      </c>
      <c r="C4192" s="10" t="inlineStr">
        <is>
          <t>Nhân Viên Kỹ Thuật - Phỏng Vấn Đi Làm Luôn</t>
        </is>
      </c>
      <c r="D4192" s="10" t="inlineStr">
        <is>
          <t>Công ty TNHH Echarging</t>
        </is>
      </c>
      <c r="E4192" s="10" t="inlineStr">
        <is>
          <t>9tr-15tr ₫/tháng</t>
        </is>
      </c>
      <c r="F4192" s="10" t="inlineStr">
        <is>
          <t>Hà Nội, Hưng Yên, Vĩnh Phúc</t>
        </is>
      </c>
      <c r="G4192" s="10" t="inlineStr">
        <is>
          <t>Nhân viên</t>
        </is>
      </c>
      <c r="H4192" s="10" t="inlineStr">
        <is>
          <t>09/02/2026</t>
        </is>
      </c>
      <c r="I4192" s="10" t="inlineStr">
        <is>
          <t>29/03/2026</t>
        </is>
      </c>
      <c r="J4192" s="10" t="inlineStr">
        <is>
          <t>17/03/2026</t>
        </is>
      </c>
      <c r="K4192" s="10" t="inlineStr">
        <is>
          <t>N/A</t>
        </is>
      </c>
      <c r="L4192" s="10" t="inlineStr">
        <is>
          <t>Lắp Đặt Điện, Giám Sát Thi Công, Bảo Trì, Cài Đặt Hệ Thống, Sửa Chữa</t>
        </is>
      </c>
      <c r="M4192" s="10" t="inlineStr">
        <is>
          <t>Bonus, Healthcare Plan, Paid Leave, Training, Travel Opportunities, Transportation, Others</t>
        </is>
      </c>
      <c r="N4192" s="11">
        <f>HYPERLINK("https://www.vietnamworks.com/nhan-vien-ky-thuat-phong-van-di-lam-luon-2010722-jv","Xem chi tiết")</f>
        <v/>
      </c>
      <c r="O4192" s="10" t="n"/>
    </row>
    <row r="4193">
      <c r="B4193" s="7" t="n">
        <v>4191</v>
      </c>
      <c r="C4193" t="inlineStr">
        <is>
          <t>Accountant (Remotely)</t>
        </is>
      </c>
      <c r="D4193" t="inlineStr">
        <is>
          <t>Alpha8tax Accounting Pty Ltd</t>
        </is>
      </c>
      <c r="E4193" t="inlineStr">
        <is>
          <t>13tr-22tr ₫/tháng</t>
        </is>
      </c>
      <c r="F4193" t="inlineStr">
        <is>
          <t>Hồ Chí Minh</t>
        </is>
      </c>
      <c r="G4193" t="inlineStr">
        <is>
          <t>Nhân viên</t>
        </is>
      </c>
      <c r="H4193" t="inlineStr">
        <is>
          <t>09/02/2026</t>
        </is>
      </c>
      <c r="I4193" t="inlineStr">
        <is>
          <t>29/03/2026</t>
        </is>
      </c>
      <c r="J4193" t="inlineStr">
        <is>
          <t>17/03/2026</t>
        </is>
      </c>
      <c r="K4193" t="inlineStr">
        <is>
          <t>N/A</t>
        </is>
      </c>
      <c r="L4193" t="inlineStr">
        <is>
          <t>Accounting, Analytical Thinking, Finance, Tax Legislation, Myob Or Xero</t>
        </is>
      </c>
      <c r="M4193" t="inlineStr">
        <is>
          <t>Others</t>
        </is>
      </c>
      <c r="N4193" s="8">
        <f>HYPERLINK("https://www.vietnamworks.com/accountant-remotely-2010813-jv","Xem chi tiết")</f>
        <v/>
      </c>
    </row>
    <row r="4194">
      <c r="B4194" s="9" t="n">
        <v>4192</v>
      </c>
      <c r="C4194" s="10" t="inlineStr">
        <is>
          <t>Giám Đốc Điều Hành Công Ty Thang Máy</t>
        </is>
      </c>
      <c r="D4194" s="10" t="inlineStr">
        <is>
          <t>NESTA HOTEL GROUP</t>
        </is>
      </c>
      <c r="E4194" s="10" t="inlineStr">
        <is>
          <t>Thương lượng</t>
        </is>
      </c>
      <c r="F4194" s="10" t="inlineStr">
        <is>
          <t>Hà Nội</t>
        </is>
      </c>
      <c r="G4194" s="10" t="inlineStr">
        <is>
          <t>Giám Đốc và Cấp Cao Hơn</t>
        </is>
      </c>
      <c r="H4194" s="10" t="inlineStr">
        <is>
          <t>10/02/2026</t>
        </is>
      </c>
      <c r="I4194" s="10" t="inlineStr">
        <is>
          <t>29/03/2026</t>
        </is>
      </c>
      <c r="J4194" s="10" t="inlineStr">
        <is>
          <t>17/03/2026</t>
        </is>
      </c>
      <c r="K4194" s="10" t="inlineStr">
        <is>
          <t>N/A</t>
        </is>
      </c>
      <c r="L4194" s="10" t="inlineStr">
        <is>
          <t>Quản Lý Tài Chính, Kinh Doanh, Điều Hành, Business Development, Tiếng Anh</t>
        </is>
      </c>
      <c r="M4194" s="10" t="inlineStr">
        <is>
          <t>Bonus, Healthcare Plan, Laptop</t>
        </is>
      </c>
      <c r="N4194" s="11">
        <f>HYPERLINK("https://www.vietnamworks.com/giam-doc-dieu-hanh-cong-ty-thang-may-2011033-jv","Xem chi tiết")</f>
        <v/>
      </c>
      <c r="O4194" s="10" t="n"/>
    </row>
    <row r="4195">
      <c r="B4195" s="7" t="n">
        <v>4193</v>
      </c>
      <c r="C4195" t="inlineStr">
        <is>
          <t>Chuyên Viên Kinh Doanh</t>
        </is>
      </c>
      <c r="D4195" t="inlineStr">
        <is>
          <t>GRACE INTERIORS</t>
        </is>
      </c>
      <c r="E4195" t="inlineStr">
        <is>
          <t>15tr-20tr ₫/tháng</t>
        </is>
      </c>
      <c r="F4195" t="inlineStr">
        <is>
          <t>Hồ Chí Minh</t>
        </is>
      </c>
      <c r="G4195" t="inlineStr">
        <is>
          <t>Nhân viên</t>
        </is>
      </c>
      <c r="H4195" t="inlineStr">
        <is>
          <t>11/02/2026</t>
        </is>
      </c>
      <c r="I4195" t="inlineStr">
        <is>
          <t>29/03/2026</t>
        </is>
      </c>
      <c r="J4195" t="inlineStr">
        <is>
          <t>17/03/2026</t>
        </is>
      </c>
      <c r="K4195" t="inlineStr">
        <is>
          <t>N/A</t>
        </is>
      </c>
      <c r="L4195" t="inlineStr">
        <is>
          <t>Kinh Doanh B2B, Kinh Doanh Nội Thất, Lập Kế Hoạch Kinh Doanh, Phát Triển Thị Trường, Tư Vấn Bán Hàng</t>
        </is>
      </c>
      <c r="M4195" t="inlineStr">
        <is>
          <t>Bonus, Healthcare Plan, Training, Awards, Others</t>
        </is>
      </c>
      <c r="N4195" s="8">
        <f>HYPERLINK("https://www.vietnamworks.com/chuyen-vien-kinh-doanh-2011564-jv","Xem chi tiết")</f>
        <v/>
      </c>
    </row>
    <row r="4196">
      <c r="B4196" s="9" t="n">
        <v>4194</v>
      </c>
      <c r="C4196" s="10" t="inlineStr">
        <is>
          <t>Purchasing Specialist</t>
        </is>
      </c>
      <c r="D4196" s="10" t="inlineStr">
        <is>
          <t>KONECRANES MATERIAL HANDLING (VIETNAM) COMPANY LIMITED</t>
        </is>
      </c>
      <c r="E4196" s="10" t="inlineStr">
        <is>
          <t>Thương lượng</t>
        </is>
      </c>
      <c r="F4196" s="10" t="inlineStr">
        <is>
          <t>Bình Dương</t>
        </is>
      </c>
      <c r="G4196" s="10" t="inlineStr">
        <is>
          <t>Nhân viên</t>
        </is>
      </c>
      <c r="H4196" s="10" t="inlineStr">
        <is>
          <t>11/02/2026</t>
        </is>
      </c>
      <c r="I4196" s="10" t="inlineStr">
        <is>
          <t>29/03/2026</t>
        </is>
      </c>
      <c r="J4196" s="10" t="inlineStr">
        <is>
          <t>17/03/2026</t>
        </is>
      </c>
      <c r="K4196" s="10" t="inlineStr">
        <is>
          <t>N/A</t>
        </is>
      </c>
      <c r="L4196" s="10" t="inlineStr">
        <is>
          <t>Sales Contract Negotiation, Customer Experience Management, Market Research, Import Export Experience, SAP</t>
        </is>
      </c>
      <c r="M4196" s="10" t="inlineStr">
        <is>
          <t>Bonus, Healthcare Plan, Travel Opportunities</t>
        </is>
      </c>
      <c r="N4196" s="11">
        <f>HYPERLINK("https://www.vietnamworks.com/purchasing-specialist-2011515-jv","Xem chi tiết")</f>
        <v/>
      </c>
      <c r="O4196" s="10" t="n"/>
    </row>
    <row r="4197">
      <c r="B4197" s="7" t="n">
        <v>4195</v>
      </c>
      <c r="C4197" t="inlineStr">
        <is>
          <t>Equipment Control and M&amp;R</t>
        </is>
      </c>
      <c r="D4197" t="inlineStr">
        <is>
          <t>Matson Navigation Inc.</t>
        </is>
      </c>
      <c r="E4197" t="inlineStr">
        <is>
          <t>$$ 1,500-2,000 /tháng</t>
        </is>
      </c>
      <c r="F4197" t="inlineStr">
        <is>
          <t>Hồ Chí Minh</t>
        </is>
      </c>
      <c r="G4197" t="inlineStr">
        <is>
          <t>Nhân viên</t>
        </is>
      </c>
      <c r="H4197" t="inlineStr">
        <is>
          <t>11/02/2026</t>
        </is>
      </c>
      <c r="I4197" t="inlineStr">
        <is>
          <t>29/03/2026</t>
        </is>
      </c>
      <c r="J4197" t="inlineStr">
        <is>
          <t>17/03/2026</t>
        </is>
      </c>
      <c r="K4197" t="inlineStr">
        <is>
          <t>N/A</t>
        </is>
      </c>
      <c r="L4197" t="inlineStr">
        <is>
          <t>Customs Clearance, Demand Forecasting, Equipment Damage Estimate, English/Vietnamese Communication</t>
        </is>
      </c>
      <c r="M4197" t="inlineStr">
        <is>
          <t>Bonus, Healthcare Plan, Paid Leave</t>
        </is>
      </c>
      <c r="N4197" s="8">
        <f>HYPERLINK("https://www.vietnamworks.com/equipment-control-and-mandr-2011529-jv","Xem chi tiết")</f>
        <v/>
      </c>
    </row>
    <row r="4198">
      <c r="B4198" s="9" t="n">
        <v>4196</v>
      </c>
      <c r="C4198" s="10" t="inlineStr">
        <is>
          <t>Cargo Operations</t>
        </is>
      </c>
      <c r="D4198" s="10" t="inlineStr">
        <is>
          <t>Matson Navigation Inc.</t>
        </is>
      </c>
      <c r="E4198" s="10" t="inlineStr">
        <is>
          <t>$$ 1,500-2,000 /tháng</t>
        </is>
      </c>
      <c r="F4198" s="10" t="inlineStr">
        <is>
          <t>Hồ Chí Minh</t>
        </is>
      </c>
      <c r="G4198" s="10" t="inlineStr">
        <is>
          <t>Nhân viên</t>
        </is>
      </c>
      <c r="H4198" s="10" t="inlineStr">
        <is>
          <t>11/02/2026</t>
        </is>
      </c>
      <c r="I4198" s="10" t="inlineStr">
        <is>
          <t>29/03/2026</t>
        </is>
      </c>
      <c r="J4198" s="10" t="inlineStr">
        <is>
          <t>17/03/2026</t>
        </is>
      </c>
      <c r="K4198" s="10" t="inlineStr">
        <is>
          <t>N/A</t>
        </is>
      </c>
      <c r="L4198" s="10" t="inlineStr">
        <is>
          <t>Booking Forecast Coordination, Cargo Operation, Shipping Lines Experience, Terminal Operations, English/Vietnamese Communication</t>
        </is>
      </c>
      <c r="M4198" s="10" t="inlineStr">
        <is>
          <t>Bonus, Healthcare Plan, Paid Leave</t>
        </is>
      </c>
      <c r="N4198" s="11">
        <f>HYPERLINK("https://www.vietnamworks.com/cargo-operations-2011531-jv","Xem chi tiết")</f>
        <v/>
      </c>
      <c r="O4198" s="10" t="n"/>
    </row>
    <row r="4199">
      <c r="B4199" s="7" t="n">
        <v>4197</v>
      </c>
      <c r="C4199" t="inlineStr">
        <is>
          <t>Trưởng Phòng Xuất Nhập Khẩu (Long An cũ)</t>
        </is>
      </c>
      <c r="D4199" t="inlineStr">
        <is>
          <t>Công ty TNHH MTV Semitec Electronics VIỆT NAM</t>
        </is>
      </c>
      <c r="E4199" t="inlineStr">
        <is>
          <t>Thương lượng</t>
        </is>
      </c>
      <c r="F4199" t="inlineStr">
        <is>
          <t>Long An</t>
        </is>
      </c>
      <c r="G4199" t="inlineStr">
        <is>
          <t>Trưởng phòng</t>
        </is>
      </c>
      <c r="H4199" t="inlineStr">
        <is>
          <t>11/02/2026</t>
        </is>
      </c>
      <c r="I4199" t="inlineStr">
        <is>
          <t>29/03/2026</t>
        </is>
      </c>
      <c r="J4199" t="inlineStr">
        <is>
          <t>17/03/2026</t>
        </is>
      </c>
      <c r="K4199" t="inlineStr">
        <is>
          <t>N/A</t>
        </is>
      </c>
      <c r="L4199" t="inlineStr">
        <is>
          <t>Xuất Nhập Khẩu, Quy Trình Hải Quan, Thủ Tục Hải Quan, Xuất Nhập Khẩu Hàng Hải, Lưu Trữ Chứng Từ</t>
        </is>
      </c>
      <c r="M4199" t="inlineStr">
        <is>
          <t>Bonus, Healthcare Plan, Training, Travel Opportunities, Others</t>
        </is>
      </c>
      <c r="N4199" s="8">
        <f>HYPERLINK("https://www.vietnamworks.com/truong-phong-xuat-nhap-khau-long-an-cu-2011375-jv","Xem chi tiết")</f>
        <v/>
      </c>
    </row>
    <row r="4200">
      <c r="B4200" s="9" t="n">
        <v>4198</v>
      </c>
      <c r="C4200" s="10" t="inlineStr">
        <is>
          <t>Quản Lý Phòng Công Nghệ Ép Dán (May Mặc) - Bonding</t>
        </is>
      </c>
      <c r="D4200" s="10" t="inlineStr">
        <is>
          <t>Linea Aqua Vietnam Company Limited (Lavn)</t>
        </is>
      </c>
      <c r="E4200" s="10" t="inlineStr">
        <is>
          <t>Thương lượng</t>
        </is>
      </c>
      <c r="F4200" s="10" t="inlineStr">
        <is>
          <t>Hưng Yên, Hải Dương, Hà Nội</t>
        </is>
      </c>
      <c r="G4200" s="10" t="inlineStr">
        <is>
          <t>Trưởng phòng</t>
        </is>
      </c>
      <c r="H4200" s="10" t="inlineStr">
        <is>
          <t>11/02/2026</t>
        </is>
      </c>
      <c r="I4200" s="10" t="inlineStr">
        <is>
          <t>29/03/2026</t>
        </is>
      </c>
      <c r="J4200" s="10" t="inlineStr">
        <is>
          <t>17/03/2026</t>
        </is>
      </c>
      <c r="K4200" s="10" t="inlineStr">
        <is>
          <t>N/A</t>
        </is>
      </c>
      <c r="L4200" s="10" t="inlineStr">
        <is>
          <t>English, Garment Technical Design, Printing Label, Embroidery, Design</t>
        </is>
      </c>
      <c r="M4200" s="10" t="inlineStr">
        <is>
          <t>Bonus, Healthcare Plan, Transportation</t>
        </is>
      </c>
      <c r="N4200" s="11">
        <f>HYPERLINK("https://www.vietnamworks.com/quan-ly-phong-cong-nghe-ep-dan-may-mac-bonding-2011552-jv","Xem chi tiết")</f>
        <v/>
      </c>
      <c r="O4200" s="10" t="n"/>
    </row>
    <row r="4201">
      <c r="B4201" s="7" t="n">
        <v>4199</v>
      </c>
      <c r="C4201" t="inlineStr">
        <is>
          <t>GT- Assistant Sales Manager</t>
        </is>
      </c>
      <c r="D4201" t="inlineStr">
        <is>
          <t>Công Ty TNHH Kleen-Pak Industries (Việt Nam)</t>
        </is>
      </c>
      <c r="E4201" t="inlineStr">
        <is>
          <t>Thương lượng</t>
        </is>
      </c>
      <c r="F4201" t="inlineStr">
        <is>
          <t>Hồ Chí Minh</t>
        </is>
      </c>
      <c r="G4201" t="inlineStr">
        <is>
          <t>Trưởng phòng</t>
        </is>
      </c>
      <c r="H4201" t="inlineStr">
        <is>
          <t>11/02/2026</t>
        </is>
      </c>
      <c r="I4201" t="inlineStr">
        <is>
          <t>29/03/2026</t>
        </is>
      </c>
      <c r="J4201" t="inlineStr">
        <is>
          <t>17/03/2026</t>
        </is>
      </c>
      <c r="K4201" t="inlineStr">
        <is>
          <t>N/A</t>
        </is>
      </c>
      <c r="L4201" t="inlineStr">
        <is>
          <t>FMCG, Sales Management, Communication Skills, Distributor GTM, GT Chanel</t>
        </is>
      </c>
      <c r="M4201" t="inlineStr">
        <is>
          <t>Bonus, Healthcare Plan, Others</t>
        </is>
      </c>
      <c r="N4201" s="8">
        <f>HYPERLINK("https://www.vietnamworks.com/gt-assistant-sales-manager-2011439-jv","Xem chi tiết")</f>
        <v/>
      </c>
    </row>
    <row r="4202">
      <c r="B4202" s="9" t="n">
        <v>4200</v>
      </c>
      <c r="C4202" s="10" t="inlineStr">
        <is>
          <t>Academic Support Officer (Cán Bộ Phụ Trách Đào Tạo )</t>
        </is>
      </c>
      <c r="D4202" s="10" t="inlineStr">
        <is>
          <t>The London College For Design &amp; Fashion (Hanoi)</t>
        </is>
      </c>
      <c r="E4202" s="10" t="inlineStr">
        <is>
          <t>Thương lượng</t>
        </is>
      </c>
      <c r="F4202" s="10" t="inlineStr">
        <is>
          <t>Hà Nội</t>
        </is>
      </c>
      <c r="G4202" s="10" t="inlineStr">
        <is>
          <t>Nhân viên</t>
        </is>
      </c>
      <c r="H4202" s="10" t="inlineStr">
        <is>
          <t>12/02/2026</t>
        </is>
      </c>
      <c r="I4202" s="10" t="inlineStr">
        <is>
          <t>29/03/2026</t>
        </is>
      </c>
      <c r="J4202" s="10" t="inlineStr">
        <is>
          <t>17/03/2026</t>
        </is>
      </c>
      <c r="K4202" s="10" t="inlineStr">
        <is>
          <t>N/A</t>
        </is>
      </c>
      <c r="L4202" s="10" t="inlineStr">
        <is>
          <t>Academic Management, Customer Focused Design, People Motivation, Academic Engagement, Student Assessment</t>
        </is>
      </c>
      <c r="M4202" s="10" t="inlineStr">
        <is>
          <t>Bonus, Healthcare Plan, Others</t>
        </is>
      </c>
      <c r="N4202" s="11">
        <f>HYPERLINK("https://www.vietnamworks.com/academic-support-officer-can-bo-phu-trach-djao-tao-2011592-jv","Xem chi tiết")</f>
        <v/>
      </c>
      <c r="O4202" s="10" t="n"/>
    </row>
    <row r="4203">
      <c r="B4203" s="7" t="n">
        <v>4201</v>
      </c>
      <c r="C4203" t="inlineStr">
        <is>
          <t>Steel Structure Supervisor</t>
        </is>
      </c>
      <c r="D4203" t="inlineStr">
        <is>
          <t>KONECRANES MATERIAL HANDLING (VIETNAM) COMPANY LIMITED</t>
        </is>
      </c>
      <c r="E4203" t="inlineStr">
        <is>
          <t>Thương lượng</t>
        </is>
      </c>
      <c r="F4203" t="inlineStr">
        <is>
          <t>Bình Dương</t>
        </is>
      </c>
      <c r="G4203" t="inlineStr">
        <is>
          <t>Nhân viên</t>
        </is>
      </c>
      <c r="H4203" t="inlineStr">
        <is>
          <t>11/02/2026</t>
        </is>
      </c>
      <c r="I4203" t="inlineStr">
        <is>
          <t>29/03/2026</t>
        </is>
      </c>
      <c r="J4203" t="inlineStr">
        <is>
          <t>17/03/2026</t>
        </is>
      </c>
      <c r="K4203" t="inlineStr">
        <is>
          <t>N/A</t>
        </is>
      </c>
      <c r="L4203" t="inlineStr">
        <is>
          <t>Crane, English proficiency, Manufacturing Engineering, Mechanical engineer, Safety Inspection</t>
        </is>
      </c>
      <c r="M4203" t="inlineStr">
        <is>
          <t>Bonus, Healthcare Plan, Travel Opportunities, Others</t>
        </is>
      </c>
      <c r="N4203" s="8">
        <f>HYPERLINK("https://www.vietnamworks.com/steel-structure-supervisor-2011511-jv","Xem chi tiết")</f>
        <v/>
      </c>
    </row>
    <row r="4204">
      <c r="B4204" s="9" t="n">
        <v>4202</v>
      </c>
      <c r="C4204" s="10" t="inlineStr">
        <is>
          <t>Kỹ Sư Cơ Khí (Thiết Kế) – Làm Việc Tại Hải Phòng</t>
        </is>
      </c>
      <c r="D4204" s="10" t="inlineStr">
        <is>
          <t>Công Ty TNHH Công Nghiệp Nặng BUMHAN VINA (Tên Cũ DOOSAN VINA Hai Phong)</t>
        </is>
      </c>
      <c r="E4204" s="10" t="inlineStr">
        <is>
          <t>Thương lượng</t>
        </is>
      </c>
      <c r="F4204" s="10" t="inlineStr">
        <is>
          <t>Hải Dương, Hải Phòng</t>
        </is>
      </c>
      <c r="G4204" s="10" t="inlineStr">
        <is>
          <t>Nhân viên</t>
        </is>
      </c>
      <c r="H4204" s="10" t="inlineStr">
        <is>
          <t>11/02/2026</t>
        </is>
      </c>
      <c r="I4204" s="10" t="inlineStr">
        <is>
          <t>29/03/2026</t>
        </is>
      </c>
      <c r="J4204" s="10" t="inlineStr">
        <is>
          <t>17/03/2026</t>
        </is>
      </c>
      <c r="K4204" s="10" t="inlineStr">
        <is>
          <t>N/A</t>
        </is>
      </c>
      <c r="L4204" s="10" t="inlineStr">
        <is>
          <t>Cơ Khí Kỹ Thuật, Thiết Kế Chế Tạo Máy, Thiết Kế Cơ Khí, Thiết Kế Máy Tự Động, AutoCAD</t>
        </is>
      </c>
      <c r="M4204" s="10" t="inlineStr">
        <is>
          <t>Bonus, Healthcare Plan, Awards</t>
        </is>
      </c>
      <c r="N4204" s="11">
        <f>HYPERLINK("https://www.vietnamworks.com/ky-su-co-khi-thiet-ke-lam-viec-tai-hai-phong-2011580-jv","Xem chi tiết")</f>
        <v/>
      </c>
      <c r="O4204" s="10" t="n"/>
    </row>
    <row r="4205">
      <c r="B4205" s="7" t="n">
        <v>4203</v>
      </c>
      <c r="C4205" t="inlineStr">
        <is>
          <t>Junior Accountant Associate (International Branches Support)</t>
        </is>
      </c>
      <c r="D4205" t="inlineStr">
        <is>
          <t>Công Ty TNHH Ống Si-Li-Con Việt Nam</t>
        </is>
      </c>
      <c r="E4205" t="inlineStr">
        <is>
          <t>Thương lượng</t>
        </is>
      </c>
      <c r="F4205" t="inlineStr">
        <is>
          <t>Hồ Chí Minh</t>
        </is>
      </c>
      <c r="G4205" t="inlineStr">
        <is>
          <t>Nhân viên</t>
        </is>
      </c>
      <c r="H4205" t="inlineStr">
        <is>
          <t>11/02/2026</t>
        </is>
      </c>
      <c r="I4205" t="inlineStr">
        <is>
          <t>29/03/2026</t>
        </is>
      </c>
      <c r="J4205" t="inlineStr">
        <is>
          <t>17/03/2026</t>
        </is>
      </c>
      <c r="K4205" t="inlineStr">
        <is>
          <t>N/A</t>
        </is>
      </c>
      <c r="L4205" t="inlineStr">
        <is>
          <t>Accounting, Cash Flow Report, English, SAP, Outsourcing</t>
        </is>
      </c>
      <c r="M4205" t="inlineStr">
        <is>
          <t>Bonus, Training, Laptop</t>
        </is>
      </c>
      <c r="N4205" s="8">
        <f>HYPERLINK("https://www.vietnamworks.com/junior-accountant-associate-international-branches-support-2011478-jv","Xem chi tiết")</f>
        <v/>
      </c>
    </row>
    <row r="4206">
      <c r="B4206" s="9" t="n">
        <v>4204</v>
      </c>
      <c r="C4206" s="10" t="inlineStr">
        <is>
          <t>Modern Trade (MT) Key Account Executive/ Chuyên Viên Kinh Doanh Kênh Thương Mại Hiện Đại</t>
        </is>
      </c>
      <c r="D4206" s="10" t="inlineStr">
        <is>
          <t>Công Ty TNHH Kleen-Pak Industries (Việt Nam)</t>
        </is>
      </c>
      <c r="E4206" s="10" t="inlineStr">
        <is>
          <t>Thương lượng</t>
        </is>
      </c>
      <c r="F4206" s="10" t="inlineStr">
        <is>
          <t>Hồ Chí Minh</t>
        </is>
      </c>
      <c r="G4206" s="10" t="inlineStr">
        <is>
          <t>Nhân viên</t>
        </is>
      </c>
      <c r="H4206" s="10" t="inlineStr">
        <is>
          <t>11/02/2026</t>
        </is>
      </c>
      <c r="I4206" s="10" t="inlineStr">
        <is>
          <t>29/03/2026</t>
        </is>
      </c>
      <c r="J4206" s="10" t="inlineStr">
        <is>
          <t>17/03/2026</t>
        </is>
      </c>
      <c r="K4206" s="10" t="inlineStr">
        <is>
          <t>N/A</t>
        </is>
      </c>
      <c r="L4206" s="10" t="inlineStr">
        <is>
          <t>Trade Marketing, Merchandising, Key Account Management, Modern Trade Planning, MT Channel</t>
        </is>
      </c>
      <c r="M4206" s="10" t="inlineStr">
        <is>
          <t>Bonus, Healthcare Plan, Others</t>
        </is>
      </c>
      <c r="N4206" s="11">
        <f>HYPERLINK("https://www.vietnamworks.com/modern-trade-mt-key-account-executive-chuyen-vien-kinh-doanh-kenh-thuong-mai-hien-djai-2011497-jv","Xem chi tiết")</f>
        <v/>
      </c>
      <c r="O4206" s="10" t="n"/>
    </row>
    <row r="4207">
      <c r="B4207" s="7" t="n">
        <v>4205</v>
      </c>
      <c r="C4207" t="inlineStr">
        <is>
          <t>Kỹ Sư Quản Lý Dự Án Module (Project Engineer) - Mảng Piping &amp; Cutting Plan - Làm Việc Tại Hải Phòng</t>
        </is>
      </c>
      <c r="D4207" t="inlineStr">
        <is>
          <t>Công Ty TNHH Công Nghiệp Nặng BUMHAN VINA (Tên Cũ DOOSAN VINA Hai Phong)</t>
        </is>
      </c>
      <c r="E4207" t="inlineStr">
        <is>
          <t>Thương lượng</t>
        </is>
      </c>
      <c r="F4207" t="inlineStr">
        <is>
          <t>Hải Dương, Hải Phòng</t>
        </is>
      </c>
      <c r="G4207" t="inlineStr">
        <is>
          <t>Nhân viên</t>
        </is>
      </c>
      <c r="H4207" t="inlineStr">
        <is>
          <t>11/02/2026</t>
        </is>
      </c>
      <c r="I4207" t="inlineStr">
        <is>
          <t>29/03/2026</t>
        </is>
      </c>
      <c r="J4207" t="inlineStr">
        <is>
          <t>17/03/2026</t>
        </is>
      </c>
      <c r="K4207" t="inlineStr">
        <is>
          <t>N/A</t>
        </is>
      </c>
      <c r="L4207" t="inlineStr">
        <is>
          <t>Cơ Khí, Thiết Kế Cơ Khí, AutoCAD, Shop Drawing, Piping Design</t>
        </is>
      </c>
      <c r="M4207" t="inlineStr">
        <is>
          <t>Bonus, Healthcare Plan, Awards</t>
        </is>
      </c>
      <c r="N4207" s="8">
        <f>HYPERLINK("https://www.vietnamworks.com/ky-su-quan-ly-du-an-module-project-engineer-mang-piping-cutting-plan-lam-viec-tai-hai-phong-2011579-jv","Xem chi tiết")</f>
        <v/>
      </c>
    </row>
    <row r="4208">
      <c r="B4208" s="9" t="n">
        <v>4206</v>
      </c>
      <c r="C4208" s="10" t="inlineStr">
        <is>
          <t>[Hà Nội] Chuyên viên cao cấp/Chuyên viên chính Quản trị kế hoạch và Hiệu suất</t>
        </is>
      </c>
      <c r="D4208" s="10" t="inlineStr">
        <is>
          <t>Ngân hàng Lộc Phát Việt Nam LPBank</t>
        </is>
      </c>
      <c r="E4208" s="10" t="inlineStr">
        <is>
          <t>Thương lượng</t>
        </is>
      </c>
      <c r="F4208" s="10" t="inlineStr">
        <is>
          <t>Hà Nội</t>
        </is>
      </c>
      <c r="G4208" s="10" t="inlineStr">
        <is>
          <t>Nhân viên</t>
        </is>
      </c>
      <c r="H4208" s="10" t="inlineStr">
        <is>
          <t>12/02/2026</t>
        </is>
      </c>
      <c r="I4208" s="10" t="inlineStr">
        <is>
          <t>29/03/2026</t>
        </is>
      </c>
      <c r="J4208" s="10" t="inlineStr">
        <is>
          <t>17/03/2026</t>
        </is>
      </c>
      <c r="K4208" s="10" t="inlineStr">
        <is>
          <t>N/A</t>
        </is>
      </c>
      <c r="L4208" s="10" t="inlineStr">
        <is>
          <t>Ngân hàng</t>
        </is>
      </c>
      <c r="M4208" s="10" t="inlineStr">
        <is>
          <t>Bonus, Healthcare Plan, Paid Leave, Laptop, Canteen, Others</t>
        </is>
      </c>
      <c r="N4208" s="11">
        <f>HYPERLINK("https://www.vietnamworks.com/ha-noi-chuyen-vien-cao-capchuyen-vien-chinh-quan-tri-ke-hoach-va-hieu-suat-2011593-jv","Xem chi tiết")</f>
        <v/>
      </c>
      <c r="O4208" s="10" t="n"/>
    </row>
    <row r="4209">
      <c r="B4209" s="7" t="n">
        <v>4207</v>
      </c>
      <c r="C4209" t="inlineStr">
        <is>
          <t>Nhân Viên Kỹ Thuật Tòa Nhà Văn Phòng</t>
        </is>
      </c>
      <c r="D4209" t="inlineStr">
        <is>
          <t>Công Ty Cổ Phần Chứng Khoán SSI</t>
        </is>
      </c>
      <c r="E4209" t="inlineStr">
        <is>
          <t>Thương lượng</t>
        </is>
      </c>
      <c r="F4209" t="inlineStr">
        <is>
          <t>Hà Nội</t>
        </is>
      </c>
      <c r="G4209" t="inlineStr">
        <is>
          <t>Nhân viên</t>
        </is>
      </c>
      <c r="H4209" t="inlineStr">
        <is>
          <t>11/02/2026</t>
        </is>
      </c>
      <c r="I4209" t="inlineStr">
        <is>
          <t>29/03/2026</t>
        </is>
      </c>
      <c r="J4209" t="inlineStr">
        <is>
          <t>17/03/2026</t>
        </is>
      </c>
      <c r="K4209" t="inlineStr">
        <is>
          <t>N/A</t>
        </is>
      </c>
      <c r="L4209" t="inlineStr">
        <is>
          <t>Kỹ Thuật Toà Nhà, Bảo Trì Định Kỳ, Cơ Điện Lạnh, Sửa Chữa Điện Lạnh, Vận Hành</t>
        </is>
      </c>
      <c r="M4209" t="inlineStr">
        <is>
          <t>Bonus, Healthcare Plan, Paid Leave, Training, Team Activities</t>
        </is>
      </c>
      <c r="N4209" s="8">
        <f>HYPERLINK("https://www.vietnamworks.com/nhan-vien-ky-thuat-toa-nha-van-phong-2011576-jv","Xem chi tiết")</f>
        <v/>
      </c>
    </row>
    <row r="4210">
      <c r="B4210" s="9" t="n">
        <v>4208</v>
      </c>
      <c r="C4210" s="10" t="inlineStr">
        <is>
          <t>[ Hot Job ] Trưởng Ban Nhân Sự - Hành Chính</t>
        </is>
      </c>
      <c r="D4210" s="10" t="inlineStr">
        <is>
          <t>Công Ty Cổ Phần Tập Đoàn Amdi</t>
        </is>
      </c>
      <c r="E4210" s="10" t="inlineStr">
        <is>
          <t>Từ 30tr ₫/tháng</t>
        </is>
      </c>
      <c r="F4210" s="10" t="inlineStr">
        <is>
          <t>Hà Nội</t>
        </is>
      </c>
      <c r="G4210" s="10" t="inlineStr">
        <is>
          <t>Trưởng phòng</t>
        </is>
      </c>
      <c r="H4210" s="10" t="inlineStr">
        <is>
          <t>12/02/2026</t>
        </is>
      </c>
      <c r="I4210" s="10" t="inlineStr">
        <is>
          <t>29/03/2026</t>
        </is>
      </c>
      <c r="J4210" s="10" t="inlineStr">
        <is>
          <t>17/03/2026</t>
        </is>
      </c>
      <c r="K4210" s="10" t="inlineStr">
        <is>
          <t>N/A</t>
        </is>
      </c>
      <c r="L4210" s="10" t="inlineStr">
        <is>
          <t>Quản Lý Nhân Sự, Hành Chính Nhân Sự, Tuyển Dụng, Quản Trị Nguồn Nhân Lực, Quan Hệ Lao Động</t>
        </is>
      </c>
      <c r="M4210" s="10" t="inlineStr">
        <is>
          <t>Bonus, Healthcare Plan, Others</t>
        </is>
      </c>
      <c r="N4210" s="11">
        <f>HYPERLINK("https://www.vietnamworks.com/hot-job-truong-ban-nhan-su-hanh-chinh-2011594-jv","Xem chi tiết")</f>
        <v/>
      </c>
      <c r="O4210" s="10" t="n"/>
    </row>
    <row r="4211">
      <c r="B4211" s="7" t="n">
        <v>4209</v>
      </c>
      <c r="C4211" t="inlineStr">
        <is>
          <t>Chuyên Viên Pháp Chế - Hải Phòng</t>
        </is>
      </c>
      <c r="D4211" t="inlineStr">
        <is>
          <t>New World Fashion Group</t>
        </is>
      </c>
      <c r="E4211" t="inlineStr">
        <is>
          <t>Thương lượng</t>
        </is>
      </c>
      <c r="F4211" t="inlineStr">
        <is>
          <t>Hải Phòng</t>
        </is>
      </c>
      <c r="G4211" t="inlineStr">
        <is>
          <t>Nhân viên</t>
        </is>
      </c>
      <c r="H4211" t="inlineStr">
        <is>
          <t>12/02/2026</t>
        </is>
      </c>
      <c r="I4211" t="inlineStr">
        <is>
          <t>29/03/2026</t>
        </is>
      </c>
      <c r="J4211" t="inlineStr">
        <is>
          <t>17/03/2026</t>
        </is>
      </c>
      <c r="K4211" t="inlineStr">
        <is>
          <t>N/A</t>
        </is>
      </c>
      <c r="L4211" t="inlineStr">
        <is>
          <t>Bất Động Sản Công Nghiệp, Thủ Tục Pháp lý, Tư Vấn Pháp Lý, Văn Bản Pháp Chế, Đầu Tư Xây Dựng</t>
        </is>
      </c>
      <c r="M4211" t="inlineStr">
        <is>
          <t>Bonus</t>
        </is>
      </c>
      <c r="N4211" s="8">
        <f>HYPERLINK("https://www.vietnamworks.com/chuyen-vien-phap-che-hai-phong-2011618-jv","Xem chi tiết")</f>
        <v/>
      </c>
    </row>
    <row r="4212">
      <c r="B4212" s="9" t="n">
        <v>4210</v>
      </c>
      <c r="C4212" s="10" t="inlineStr">
        <is>
          <t>[Toàn Quốc] Chuyên Viên Khách Hàng Cá Nhân</t>
        </is>
      </c>
      <c r="D4212" s="10" t="inlineStr">
        <is>
          <t>Ngân hàng TNHH MTV Việt Nam Hiện Đại (Modern Bank of Vietnam - MBV)</t>
        </is>
      </c>
      <c r="E4212" s="10" t="inlineStr">
        <is>
          <t>Thương lượng</t>
        </is>
      </c>
      <c r="F4212" s="10" t="inlineStr">
        <is>
          <t>Hồ Chí Minh, Hà Nội, Đà Nẵng</t>
        </is>
      </c>
      <c r="G4212" s="10" t="inlineStr">
        <is>
          <t>Nhân viên</t>
        </is>
      </c>
      <c r="H4212" s="10" t="inlineStr">
        <is>
          <t>12/02/2026</t>
        </is>
      </c>
      <c r="I4212" s="10" t="inlineStr">
        <is>
          <t>29/03/2026</t>
        </is>
      </c>
      <c r="J4212" s="10" t="inlineStr">
        <is>
          <t>17/03/2026</t>
        </is>
      </c>
      <c r="K4212" s="10" t="inlineStr">
        <is>
          <t>N/A</t>
        </is>
      </c>
      <c r="L4212" s="10" t="inlineStr">
        <is>
          <t>Tài Chính Ngân Hàng, Quan Hệ Khách Hàng Cá Nhân, Khách Hàng Cá Nhân, Dịch Vụ Ngân Hàng, Bán hàng</t>
        </is>
      </c>
      <c r="M4212" s="10" t="inlineStr">
        <is>
          <t>Bonus, Healthcare Plan, Paid Leave</t>
        </is>
      </c>
      <c r="N4212" s="11">
        <f>HYPERLINK("https://www.vietnamworks.com/toan-quoc-chuyen-vien-khach-hang-ca-nhan--2011601-jv","Xem chi tiết")</f>
        <v/>
      </c>
      <c r="O4212" s="10" t="n"/>
    </row>
    <row r="4213">
      <c r="B4213" s="7" t="n">
        <v>4211</v>
      </c>
      <c r="C4213" t="inlineStr">
        <is>
          <t>Nhân Viên Báo Giá - Pricing Logistic (Tiếng Trung)</t>
        </is>
      </c>
      <c r="D4213" t="inlineStr">
        <is>
          <t>Công Ty TNHH Tiếp Vận Quốc Tế Trusttrans</t>
        </is>
      </c>
      <c r="E4213" t="inlineStr">
        <is>
          <t>15tr-20tr ₫/tháng</t>
        </is>
      </c>
      <c r="F4213" t="inlineStr">
        <is>
          <t>Hồ Chí Minh</t>
        </is>
      </c>
      <c r="G4213" t="inlineStr">
        <is>
          <t>Nhân viên</t>
        </is>
      </c>
      <c r="H4213" t="inlineStr">
        <is>
          <t>12/02/2026</t>
        </is>
      </c>
      <c r="I4213" t="inlineStr">
        <is>
          <t>29/03/2026</t>
        </is>
      </c>
      <c r="J4213" t="inlineStr">
        <is>
          <t>17/03/2026</t>
        </is>
      </c>
      <c r="K4213" t="inlineStr">
        <is>
          <t>N/A</t>
        </is>
      </c>
      <c r="L4213" t="inlineStr">
        <is>
          <t>Dịch Vụ Khách Hàng, Kỹ Năng Thương Thảo Đàm Phán, Tiếng Trung</t>
        </is>
      </c>
      <c r="M4213" t="inlineStr">
        <is>
          <t>Bonus, Healthcare Plan, Training, Team Activities, Others</t>
        </is>
      </c>
      <c r="N4213" s="8">
        <f>HYPERLINK("https://www.vietnamworks.com/nhan-vien-bao-gia-pricing-logistic-tieng-trung-2011609-jv","Xem chi tiết")</f>
        <v/>
      </c>
    </row>
    <row r="4214">
      <c r="B4214" s="9" t="n">
        <v>4212</v>
      </c>
      <c r="C4214" s="10" t="inlineStr">
        <is>
          <t>Design Development Architect - Kiến Trúc Sư Phát Triển Thiết Kế</t>
        </is>
      </c>
      <c r="D4214" s="10" t="inlineStr">
        <is>
          <t>Obayashi Viet Nam Corporation – Hanoi Branch Office</t>
        </is>
      </c>
      <c r="E4214" s="10" t="inlineStr">
        <is>
          <t>Thương lượng</t>
        </is>
      </c>
      <c r="F4214" s="10" t="inlineStr">
        <is>
          <t>Hà Nội</t>
        </is>
      </c>
      <c r="G4214" s="10" t="inlineStr">
        <is>
          <t>Nhân viên</t>
        </is>
      </c>
      <c r="H4214" s="10" t="inlineStr">
        <is>
          <t>12/02/2026</t>
        </is>
      </c>
      <c r="I4214" s="10" t="inlineStr">
        <is>
          <t>29/03/2026</t>
        </is>
      </c>
      <c r="J4214" s="10" t="inlineStr">
        <is>
          <t>17/03/2026</t>
        </is>
      </c>
      <c r="K4214" s="10" t="inlineStr">
        <is>
          <t>N/A</t>
        </is>
      </c>
      <c r="L4214" s="10" t="inlineStr">
        <is>
          <t>AutoCAD, English, Tender Evaluation, BIM, Shop Drawing</t>
        </is>
      </c>
      <c r="M4214" s="10" t="inlineStr">
        <is>
          <t>Bonus, Healthcare Plan, Training, Awards, Others</t>
        </is>
      </c>
      <c r="N4214" s="11">
        <f>HYPERLINK("https://www.vietnamworks.com/design-development-architect-kien-truc-su-phat-trien-thiet-ke-2011617-jv","Xem chi tiết")</f>
        <v/>
      </c>
      <c r="O4214" s="10" t="n"/>
    </row>
    <row r="4215">
      <c r="B4215" s="7" t="n">
        <v>4213</v>
      </c>
      <c r="C4215" t="inlineStr">
        <is>
          <t>Nhân Viên IT</t>
        </is>
      </c>
      <c r="D4215" t="inlineStr">
        <is>
          <t>Công ty TNHH Toyota Hiroshima Tân Cảng - HT</t>
        </is>
      </c>
      <c r="E4215" t="inlineStr">
        <is>
          <t>15tr-22tr ₫/tháng</t>
        </is>
      </c>
      <c r="F4215" t="inlineStr">
        <is>
          <t>Hồ Chí Minh</t>
        </is>
      </c>
      <c r="G4215" t="inlineStr">
        <is>
          <t>Nhân viên</t>
        </is>
      </c>
      <c r="H4215" t="inlineStr">
        <is>
          <t>12/02/2026</t>
        </is>
      </c>
      <c r="I4215" t="inlineStr">
        <is>
          <t>29/03/2026</t>
        </is>
      </c>
      <c r="J4215" t="inlineStr">
        <is>
          <t>17/03/2026</t>
        </is>
      </c>
      <c r="K4215" t="inlineStr">
        <is>
          <t>N/A</t>
        </is>
      </c>
      <c r="L4215" t="inlineStr">
        <is>
          <t>Cài Đặt Thiết Bị, Giao Tiếp Tiếng Anh, Khắc Phục Sự Cố Mạng, Quản Trị Hệ Thống Mạng, Thiết Bị Mạng Cisco</t>
        </is>
      </c>
      <c r="M4215" t="inlineStr">
        <is>
          <t>Bonus, Healthcare Plan, Training, Others</t>
        </is>
      </c>
      <c r="N4215" s="8">
        <f>HYPERLINK("https://www.vietnamworks.com/nhan-vien-it-2011614-jv","Xem chi tiết")</f>
        <v/>
      </c>
    </row>
    <row r="4216">
      <c r="B4216" s="9" t="n">
        <v>4214</v>
      </c>
      <c r="C4216" s="10" t="inlineStr">
        <is>
          <t>Trưởng Phòng Chăm Sóc Khách Hàng</t>
        </is>
      </c>
      <c r="D4216" s="10" t="inlineStr">
        <is>
          <t>CÔNG TY CỔ PHẦN PICO RETAIL</t>
        </is>
      </c>
      <c r="E4216" s="10" t="inlineStr">
        <is>
          <t>20tr-30tr ₫/tháng</t>
        </is>
      </c>
      <c r="F4216" s="10" t="inlineStr">
        <is>
          <t>Hà Nội</t>
        </is>
      </c>
      <c r="G4216" s="10" t="inlineStr">
        <is>
          <t>Trưởng phòng</t>
        </is>
      </c>
      <c r="H4216" s="10" t="inlineStr">
        <is>
          <t>12/02/2026</t>
        </is>
      </c>
      <c r="I4216" s="10" t="inlineStr">
        <is>
          <t>29/03/2026</t>
        </is>
      </c>
      <c r="J4216" s="10" t="inlineStr">
        <is>
          <t>17/03/2026</t>
        </is>
      </c>
      <c r="K4216" s="10" t="inlineStr">
        <is>
          <t>N/A</t>
        </is>
      </c>
      <c r="L4216" s="10" t="inlineStr">
        <is>
          <t>FMCG, Chăm sóc &amp; duy trì khách hàng, CSKH, Điện Máy Gia Dụng, Bán Lẻ</t>
        </is>
      </c>
      <c r="M4216" s="10" t="inlineStr">
        <is>
          <t>Bonus, Healthcare Plan, Team Activities, Transportation, Others</t>
        </is>
      </c>
      <c r="N4216" s="11">
        <f>HYPERLINK("https://www.vietnamworks.com/truong-phong-cham-soc-khach-hang--2011621-jv","Xem chi tiết")</f>
        <v/>
      </c>
      <c r="O4216" s="10" t="n"/>
    </row>
    <row r="4217">
      <c r="B4217" s="7" t="n">
        <v>4215</v>
      </c>
      <c r="C4217" t="inlineStr">
        <is>
          <t>Purchasing Manager (Furniture/ Sofa)</t>
        </is>
      </c>
      <c r="D4217" t="inlineStr">
        <is>
          <t>Wendelbo SEA JSC</t>
        </is>
      </c>
      <c r="E4217" t="inlineStr">
        <is>
          <t>Thương lượng</t>
        </is>
      </c>
      <c r="F4217" t="inlineStr">
        <is>
          <t>Hồ Chí Minh</t>
        </is>
      </c>
      <c r="G4217" t="inlineStr">
        <is>
          <t>Trưởng phòng</t>
        </is>
      </c>
      <c r="H4217" t="inlineStr">
        <is>
          <t>12/02/2026</t>
        </is>
      </c>
      <c r="I4217" t="inlineStr">
        <is>
          <t>29/03/2026</t>
        </is>
      </c>
      <c r="J4217" t="inlineStr">
        <is>
          <t>17/03/2026</t>
        </is>
      </c>
      <c r="K4217" t="inlineStr">
        <is>
          <t>N/A</t>
        </is>
      </c>
      <c r="L4217" t="inlineStr">
        <is>
          <t>Cost Analysis, Cost Management, Furniture, Negotiation Skills, Risk Management</t>
        </is>
      </c>
      <c r="M4217" t="inlineStr">
        <is>
          <t>Bonus, Healthcare Plan, Travel Opportunities</t>
        </is>
      </c>
      <c r="N4217" s="8">
        <f>HYPERLINK("https://www.vietnamworks.com/purchasing-manager-furniture-sofa-2011606-jv","Xem chi tiết")</f>
        <v/>
      </c>
    </row>
    <row r="4218">
      <c r="B4218" s="9" t="n">
        <v>4216</v>
      </c>
      <c r="C4218" s="10" t="inlineStr">
        <is>
          <t>Nhân Viên Hành Chính - Nhân Sự - Đãi Ngộ Hấp Dẫn</t>
        </is>
      </c>
      <c r="D4218" s="10" t="inlineStr">
        <is>
          <t>Công Ty TNHH MyAusVisa Định Cư - Du Học Úc</t>
        </is>
      </c>
      <c r="E4218" s="10" t="inlineStr">
        <is>
          <t>8tr-10tr ₫/tháng</t>
        </is>
      </c>
      <c r="F4218" s="10" t="inlineStr">
        <is>
          <t>Hà Nội</t>
        </is>
      </c>
      <c r="G4218" s="10" t="inlineStr">
        <is>
          <t>Nhân viên</t>
        </is>
      </c>
      <c r="H4218" s="10" t="inlineStr">
        <is>
          <t>12/02/2026</t>
        </is>
      </c>
      <c r="I4218" s="10" t="inlineStr">
        <is>
          <t>29/03/2026</t>
        </is>
      </c>
      <c r="J4218" s="10" t="inlineStr">
        <is>
          <t>17/03/2026</t>
        </is>
      </c>
      <c r="K4218" s="10" t="inlineStr">
        <is>
          <t>N/A</t>
        </is>
      </c>
      <c r="L4218" s="10" t="inlineStr">
        <is>
          <t>Administrative, Hành Chính, Human Resource &amp; Admin management, Nhân sự - HR, Nhân sự (Luật lao động, luật Bảo hiểm)</t>
        </is>
      </c>
      <c r="M4218" s="10" t="inlineStr">
        <is>
          <t>Bonus, Paid Leave, Others</t>
        </is>
      </c>
      <c r="N4218" s="11">
        <f>HYPERLINK("https://www.vietnamworks.com/nhan-vien-hanh-chinh-nhan-su-dai-ngo-hap-dan-2011598-jv","Xem chi tiết")</f>
        <v/>
      </c>
      <c r="O4218" s="10" t="n"/>
    </row>
    <row r="4219">
      <c r="B4219" s="7" t="n">
        <v>4217</v>
      </c>
      <c r="C4219" t="inlineStr">
        <is>
          <t>Senior Production Supervisor</t>
        </is>
      </c>
      <c r="D4219" t="inlineStr">
        <is>
          <t>Coherent Vietnam</t>
        </is>
      </c>
      <c r="E4219" t="inlineStr">
        <is>
          <t>Thương lượng</t>
        </is>
      </c>
      <c r="F4219" t="inlineStr">
        <is>
          <t>Bình Dương</t>
        </is>
      </c>
      <c r="G4219" t="inlineStr">
        <is>
          <t>Nhân viên</t>
        </is>
      </c>
      <c r="H4219" t="inlineStr">
        <is>
          <t>12/02/2026</t>
        </is>
      </c>
      <c r="I4219" t="inlineStr">
        <is>
          <t>29/03/2026</t>
        </is>
      </c>
      <c r="J4219" t="inlineStr">
        <is>
          <t>17/03/2026</t>
        </is>
      </c>
      <c r="K4219" t="inlineStr">
        <is>
          <t>N/A</t>
        </is>
      </c>
      <c r="L4219" t="inlineStr">
        <is>
          <t>Production Management, Mechanical Engineering, Production Supervisor, Manufacturing, Electrical Engineering</t>
        </is>
      </c>
      <c r="M4219" t="inlineStr">
        <is>
          <t>Bonus, Healthcare Plan, Transportation</t>
        </is>
      </c>
      <c r="N4219" s="8">
        <f>HYPERLINK("https://www.vietnamworks.com/senior-production-supervisor--2011605-jv","Xem chi tiết")</f>
        <v/>
      </c>
    </row>
    <row r="4220">
      <c r="B4220" s="9" t="n">
        <v>4218</v>
      </c>
      <c r="C4220" s="10" t="inlineStr">
        <is>
          <t>Nhân Viên Chăm Sóc Khách Hàng Nhập Khẩu (Chinese Speaking)</t>
        </is>
      </c>
      <c r="D4220" s="10" t="inlineStr">
        <is>
          <t>Công Ty TNHH Tiếp Vận Quốc Tế Trusttrans</t>
        </is>
      </c>
      <c r="E4220" s="10" t="inlineStr">
        <is>
          <t>15tr-20tr ₫/tháng</t>
        </is>
      </c>
      <c r="F4220" s="10" t="inlineStr">
        <is>
          <t>Hồ Chí Minh</t>
        </is>
      </c>
      <c r="G4220" s="10" t="inlineStr">
        <is>
          <t>Nhân viên</t>
        </is>
      </c>
      <c r="H4220" s="10" t="inlineStr">
        <is>
          <t>12/02/2026</t>
        </is>
      </c>
      <c r="I4220" s="10" t="inlineStr">
        <is>
          <t>29/03/2026</t>
        </is>
      </c>
      <c r="J4220" s="10" t="inlineStr">
        <is>
          <t>17/03/2026</t>
        </is>
      </c>
      <c r="K4220" s="10" t="inlineStr">
        <is>
          <t>N/A</t>
        </is>
      </c>
      <c r="L4220" s="10" t="inlineStr">
        <is>
          <t>Chăm Sóc Khách Hàng, Tin Học Văn Phòng, Tiếng Trung, Chứng Từ Xuất Nhập Khẩu, Quản Lý Giao Hàng</t>
        </is>
      </c>
      <c r="M4220" s="10" t="inlineStr">
        <is>
          <t>Bonus, Healthcare Plan, Training, Team Activities, Others</t>
        </is>
      </c>
      <c r="N4220" s="11">
        <f>HYPERLINK("https://www.vietnamworks.com/nhan-vien-cham-soc-khach-hang-nhap-khau-chinese-speaking-2011613-jv","Xem chi tiết")</f>
        <v/>
      </c>
      <c r="O4220" s="10" t="n"/>
    </row>
    <row r="4221">
      <c r="B4221" s="7" t="n">
        <v>4219</v>
      </c>
      <c r="C4221" t="inlineStr">
        <is>
          <t>PMO</t>
        </is>
      </c>
      <c r="D4221" t="inlineStr">
        <is>
          <t>VINFAST TRADING AND PRODUCTION JSC</t>
        </is>
      </c>
      <c r="E4221" t="inlineStr">
        <is>
          <t>Thương lượng</t>
        </is>
      </c>
      <c r="F4221" t="inlineStr">
        <is>
          <t>Hà Nội</t>
        </is>
      </c>
      <c r="G4221" t="inlineStr">
        <is>
          <t>Nhân viên</t>
        </is>
      </c>
      <c r="H4221" t="inlineStr">
        <is>
          <t>12/02/2026</t>
        </is>
      </c>
      <c r="I4221" t="inlineStr">
        <is>
          <t>29/03/2026</t>
        </is>
      </c>
      <c r="J4221" t="inlineStr">
        <is>
          <t>17/03/2026</t>
        </is>
      </c>
      <c r="K4221" t="inlineStr">
        <is>
          <t>N/A</t>
        </is>
      </c>
      <c r="L4221" t="inlineStr">
        <is>
          <t>Project Management, Technical skills, Automotive</t>
        </is>
      </c>
      <c r="M4221" t="inlineStr">
        <is>
          <t>Bonus, Healthcare Plan, Others</t>
        </is>
      </c>
      <c r="N4221" s="8">
        <f>HYPERLINK("https://www.vietnamworks.com/pmo-3-2011602-jv","Xem chi tiết")</f>
        <v/>
      </c>
    </row>
    <row r="4222">
      <c r="B4222" s="9" t="n">
        <v>4220</v>
      </c>
      <c r="C4222" s="10" t="inlineStr">
        <is>
          <t>Window Covering Product &amp; Fabrics Collection Development</t>
        </is>
      </c>
      <c r="D4222" s="10" t="inlineStr">
        <is>
          <t>Công ty TNHH Sản xuất Vinh Quang (BLAZE MANUFACTURING CO.,LTD)</t>
        </is>
      </c>
      <c r="E4222" s="10" t="inlineStr">
        <is>
          <t>Thương lượng</t>
        </is>
      </c>
      <c r="F4222" s="10" t="inlineStr">
        <is>
          <t>Hà Nội</t>
        </is>
      </c>
      <c r="G4222" s="10" t="inlineStr">
        <is>
          <t>Nhân viên</t>
        </is>
      </c>
      <c r="H4222" s="10" t="inlineStr">
        <is>
          <t>12/02/2026</t>
        </is>
      </c>
      <c r="I4222" s="10" t="inlineStr">
        <is>
          <t>29/03/2026</t>
        </is>
      </c>
      <c r="J4222" s="10" t="inlineStr">
        <is>
          <t>17/03/2026</t>
        </is>
      </c>
      <c r="K4222" s="10" t="inlineStr">
        <is>
          <t>N/A</t>
        </is>
      </c>
      <c r="L4222" s="10" t="inlineStr">
        <is>
          <t>Tiếng Anh, Product Development, Phát Triển Sản Phẩm, Nghiên Cứu Sản Phẩm, Chuỗi Cung Ứng</t>
        </is>
      </c>
      <c r="M4222" s="10" t="inlineStr">
        <is>
          <t>Bonus, Transportation, Canteen</t>
        </is>
      </c>
      <c r="N4222" s="11">
        <f>HYPERLINK("https://www.vietnamworks.com/window-covering-product-fabrics-collection-development--2011610-jv","Xem chi tiết")</f>
        <v/>
      </c>
      <c r="O4222" s="10" t="n"/>
    </row>
    <row r="4223">
      <c r="B4223" s="7" t="n">
        <v>4221</v>
      </c>
      <c r="C4223" t="inlineStr">
        <is>
          <t>Nhân Viên Hành Chính - Nhân Sự (Part Time) - Đãi Ngộ Hấp Dẫn</t>
        </is>
      </c>
      <c r="D4223" t="inlineStr">
        <is>
          <t>Công Ty TNHH MyAusVisa Định Cư - Du Học Úc</t>
        </is>
      </c>
      <c r="E4223" t="inlineStr">
        <is>
          <t>4tr-5tr ₫/tháng</t>
        </is>
      </c>
      <c r="F4223" t="inlineStr">
        <is>
          <t>Hà Nội</t>
        </is>
      </c>
      <c r="G4223" t="inlineStr">
        <is>
          <t>Nhân viên</t>
        </is>
      </c>
      <c r="H4223" t="inlineStr">
        <is>
          <t>12/02/2026</t>
        </is>
      </c>
      <c r="I4223" t="inlineStr">
        <is>
          <t>29/03/2026</t>
        </is>
      </c>
      <c r="J4223" t="inlineStr">
        <is>
          <t>17/03/2026</t>
        </is>
      </c>
      <c r="K4223" t="inlineStr">
        <is>
          <t>N/A</t>
        </is>
      </c>
      <c r="L4223" t="inlineStr">
        <is>
          <t>Hành Chính, Nhân Sự, human rescources, Admin</t>
        </is>
      </c>
      <c r="M4223" t="inlineStr">
        <is>
          <t>Bonus, Paid Leave, Others</t>
        </is>
      </c>
      <c r="N4223" s="8">
        <f>HYPERLINK("https://www.vietnamworks.com/nhan-vien-hanh-chinh-nhan-su-part-time-dai-ngo-hap-dan-2011600-jv","Xem chi tiết")</f>
        <v/>
      </c>
    </row>
    <row r="4224">
      <c r="B4224" s="9" t="n">
        <v>4222</v>
      </c>
      <c r="C4224" s="10" t="inlineStr">
        <is>
          <t>[Toàn Quốc] Chuyên Viên UB</t>
        </is>
      </c>
      <c r="D4224" s="10" t="inlineStr">
        <is>
          <t>Ngân hàng TNHH MTV Việt Nam Hiện Đại (Modern Bank of Vietnam - MBV)</t>
        </is>
      </c>
      <c r="E4224" s="10" t="inlineStr">
        <is>
          <t>Thương lượng</t>
        </is>
      </c>
      <c r="F4224" s="10" t="inlineStr">
        <is>
          <t>Hồ Chí Minh, Hà Nội, Đà Nẵng</t>
        </is>
      </c>
      <c r="G4224" s="10" t="inlineStr">
        <is>
          <t>Nhân viên</t>
        </is>
      </c>
      <c r="H4224" s="10" t="inlineStr">
        <is>
          <t>12/02/2026</t>
        </is>
      </c>
      <c r="I4224" s="10" t="inlineStr">
        <is>
          <t>29/03/2026</t>
        </is>
      </c>
      <c r="J4224" s="10" t="inlineStr">
        <is>
          <t>17/03/2026</t>
        </is>
      </c>
      <c r="K4224" s="10" t="inlineStr">
        <is>
          <t>N/A</t>
        </is>
      </c>
      <c r="L4224" s="10" t="inlineStr">
        <is>
          <t>Tài Chính Ngân Hàng, Quan Hệ Khách Hàng Cá Nhân, Dịch Vụ Ngân Hàng, Bán hàng, Giao tiếp</t>
        </is>
      </c>
      <c r="M4224" s="10" t="inlineStr">
        <is>
          <t>Bonus, Healthcare Plan, Paid Leave</t>
        </is>
      </c>
      <c r="N4224" s="11">
        <f>HYPERLINK("https://www.vietnamworks.com/toan-quoc-chuyen-vien-ub-2011608-jv","Xem chi tiết")</f>
        <v/>
      </c>
      <c r="O4224" s="10" t="n"/>
    </row>
    <row r="4225">
      <c r="B4225" s="7" t="n">
        <v>4223</v>
      </c>
      <c r="C4225" t="inlineStr">
        <is>
          <t>Chuyên Viên Kiểm Soát Chất Lượng Sản Phẩm (PQC)</t>
        </is>
      </c>
      <c r="D4225" t="inlineStr">
        <is>
          <t>Công ty TNHH CRESYN Hà Nội - Nhà máy Bắc Ninh</t>
        </is>
      </c>
      <c r="E4225" t="inlineStr">
        <is>
          <t>Thương lượng</t>
        </is>
      </c>
      <c r="F4225" t="inlineStr">
        <is>
          <t>Bắc Ninh</t>
        </is>
      </c>
      <c r="G4225" t="inlineStr">
        <is>
          <t>Nhân viên</t>
        </is>
      </c>
      <c r="H4225" t="inlineStr">
        <is>
          <t>12/02/2026</t>
        </is>
      </c>
      <c r="I4225" t="inlineStr">
        <is>
          <t>29/03/2026</t>
        </is>
      </c>
      <c r="J4225" t="inlineStr">
        <is>
          <t>17/03/2026</t>
        </is>
      </c>
      <c r="K4225" t="inlineStr">
        <is>
          <t>N/A</t>
        </is>
      </c>
      <c r="L4225" t="inlineStr">
        <is>
          <t>Cơ Khí, Quản Lý Chất Lượng PQC, Kỹ Thuật Điện, Kiểm Soát Chất Lượng</t>
        </is>
      </c>
      <c r="M4225" t="inlineStr">
        <is>
          <t>Bonus, Healthcare Plan, Others</t>
        </is>
      </c>
      <c r="N4225" s="8">
        <f>HYPERLINK("https://www.vietnamworks.com/chuyen-vien-kiem-soat-chat-luong-san-pham-pqc--2011623-jv","Xem chi tiết")</f>
        <v/>
      </c>
    </row>
    <row r="4226">
      <c r="B4226" s="9" t="n">
        <v>4224</v>
      </c>
      <c r="C4226" s="10" t="inlineStr">
        <is>
          <t>Giám Đốc Marketing</t>
        </is>
      </c>
      <c r="D4226" s="10" t="inlineStr">
        <is>
          <t>CÔNG TY CỔ PHẦN PICO RETAIL</t>
        </is>
      </c>
      <c r="E4226" s="10" t="inlineStr">
        <is>
          <t>$$ 2,000-5,000 /tháng</t>
        </is>
      </c>
      <c r="F4226" s="10" t="inlineStr">
        <is>
          <t>Hà Nội</t>
        </is>
      </c>
      <c r="G4226" s="10" t="inlineStr">
        <is>
          <t>Giám Đốc và Cấp Cao Hơn</t>
        </is>
      </c>
      <c r="H4226" s="10" t="inlineStr">
        <is>
          <t>12/02/2026</t>
        </is>
      </c>
      <c r="I4226" s="10" t="inlineStr">
        <is>
          <t>29/03/2026</t>
        </is>
      </c>
      <c r="J4226" s="10" t="inlineStr">
        <is>
          <t>17/03/2026</t>
        </is>
      </c>
      <c r="K4226" s="10" t="inlineStr">
        <is>
          <t>N/A</t>
        </is>
      </c>
      <c r="L4226" s="10" t="inlineStr">
        <is>
          <t>Marketing Strategy, Market Analysis, Online Marketing, Offline Marketing, Leadership</t>
        </is>
      </c>
      <c r="M4226" s="10" t="inlineStr">
        <is>
          <t>Healthcare Plan, Team Activities, Others</t>
        </is>
      </c>
      <c r="N4226" s="11">
        <f>HYPERLINK("https://www.vietnamworks.com/giam-djoc-marketing-2011619-jv","Xem chi tiết")</f>
        <v/>
      </c>
      <c r="O4226" s="10" t="n"/>
    </row>
    <row r="4227">
      <c r="B4227" s="7" t="n">
        <v>4225</v>
      </c>
      <c r="C4227" t="inlineStr">
        <is>
          <t>Giám Đốc Marketing Ngành Hàng (Senior Marketing Manager)</t>
        </is>
      </c>
      <c r="D4227" t="inlineStr">
        <is>
          <t>Công Ty Cổ Phần Hợp Trí Summit</t>
        </is>
      </c>
      <c r="E4227" t="inlineStr">
        <is>
          <t>Thương lượng</t>
        </is>
      </c>
      <c r="F4227" t="inlineStr">
        <is>
          <t>Hồ Chí Minh</t>
        </is>
      </c>
      <c r="G4227" t="inlineStr">
        <is>
          <t>Trưởng phòng</t>
        </is>
      </c>
      <c r="H4227" t="inlineStr">
        <is>
          <t>12/02/2026</t>
        </is>
      </c>
      <c r="I4227" t="inlineStr">
        <is>
          <t>29/03/2026</t>
        </is>
      </c>
      <c r="J4227" t="inlineStr">
        <is>
          <t>17/03/2026</t>
        </is>
      </c>
      <c r="K4227" t="inlineStr">
        <is>
          <t>N/A</t>
        </is>
      </c>
      <c r="L4227" t="inlineStr">
        <is>
          <t>Tư Vấn Chiến Lược Marketing, Nghiên Cứu Thị Trường, Quản Lý Thương Hiệu, Triển Khai Kế Hoạch, Quản Lý Chi Phí</t>
        </is>
      </c>
      <c r="M4227" t="inlineStr">
        <is>
          <t>Bonus, Healthcare Plan, Others</t>
        </is>
      </c>
      <c r="N4227" s="8">
        <f>HYPERLINK("https://www.vietnamworks.com/giam-djoc-marketing-nganh-hang-senior-marketing-manager-2011607-jv","Xem chi tiết")</f>
        <v/>
      </c>
    </row>
    <row r="4228">
      <c r="B4228" s="9" t="n">
        <v>4226</v>
      </c>
      <c r="C4228" s="10" t="inlineStr">
        <is>
          <t>[SPA] - BCC - Tổng Đài Viên (Call Center)</t>
        </is>
      </c>
      <c r="D4228" s="10" t="inlineStr">
        <is>
          <t>Công ty TNHH Hàng không Mặt trời Phú Quốc</t>
        </is>
      </c>
      <c r="E4228" s="10" t="inlineStr">
        <is>
          <t>Thương lượng</t>
        </is>
      </c>
      <c r="F4228" s="10" t="inlineStr">
        <is>
          <t>Hà Nội</t>
        </is>
      </c>
      <c r="G4228" s="10" t="inlineStr">
        <is>
          <t>Mới Tốt Nghiệp</t>
        </is>
      </c>
      <c r="H4228" s="10" t="inlineStr">
        <is>
          <t>12/02/2026</t>
        </is>
      </c>
      <c r="I4228" s="10" t="inlineStr">
        <is>
          <t>29/03/2026</t>
        </is>
      </c>
      <c r="J4228" s="10" t="inlineStr">
        <is>
          <t>17/03/2026</t>
        </is>
      </c>
      <c r="K4228" s="10" t="inlineStr">
        <is>
          <t>N/A</t>
        </is>
      </c>
      <c r="L4228" s="10" t="inlineStr">
        <is>
          <t>Customer Service, Listening, Problem-solving, Sales, Teamwork</t>
        </is>
      </c>
      <c r="M4228" s="10" t="inlineStr">
        <is>
          <t>Bonus, Healthcare Plan, Paid Leave, Others</t>
        </is>
      </c>
      <c r="N4228" s="11">
        <f>HYPERLINK("https://www.vietnamworks.com/spa-bcc-tong-djai-vien-call-center-2011620-jv","Xem chi tiết")</f>
        <v/>
      </c>
      <c r="O4228" s="10" t="n"/>
    </row>
    <row r="4229">
      <c r="B4229" s="7" t="n">
        <v>4227</v>
      </c>
      <c r="C4229" t="inlineStr">
        <is>
          <t>Data Enablement Regional Lead</t>
        </is>
      </c>
      <c r="D4229" t="inlineStr">
        <is>
          <t>Avery Dennison Vietnam</t>
        </is>
      </c>
      <c r="E4229" t="inlineStr">
        <is>
          <t>Thương lượng</t>
        </is>
      </c>
      <c r="F4229" t="inlineStr">
        <is>
          <t>Long An</t>
        </is>
      </c>
      <c r="G4229" t="inlineStr">
        <is>
          <t>Nhân viên</t>
        </is>
      </c>
      <c r="H4229" t="inlineStr">
        <is>
          <t>12/02/2026</t>
        </is>
      </c>
      <c r="I4229" t="inlineStr">
        <is>
          <t>29/03/2026</t>
        </is>
      </c>
      <c r="J4229" t="inlineStr">
        <is>
          <t>17/03/2026</t>
        </is>
      </c>
      <c r="K4229" t="inlineStr">
        <is>
          <t>N/A</t>
        </is>
      </c>
      <c r="L4229" t="inlineStr">
        <is>
          <t>Data Calculation, Dashboard</t>
        </is>
      </c>
      <c r="M4229" t="inlineStr">
        <is>
          <t>Bonus, Healthcare Plan, Paid Leave</t>
        </is>
      </c>
      <c r="N4229" s="8">
        <f>HYPERLINK("https://www.vietnamworks.com/data-enablement-regional-lead-2011595-jv","Xem chi tiết")</f>
        <v/>
      </c>
    </row>
    <row r="4230">
      <c r="B4230" s="9" t="n">
        <v>4228</v>
      </c>
      <c r="C4230" s="10" t="inlineStr">
        <is>
          <t>Chuyên Viên Đối Ứng Audit QC</t>
        </is>
      </c>
      <c r="D4230" s="10" t="inlineStr">
        <is>
          <t>Công ty TNHH CRESYN Hà Nội - Nhà máy Bắc Ninh</t>
        </is>
      </c>
      <c r="E4230" s="10" t="inlineStr">
        <is>
          <t>Thương lượng</t>
        </is>
      </c>
      <c r="F4230" s="10" t="inlineStr">
        <is>
          <t>Bắc Ninh</t>
        </is>
      </c>
      <c r="G4230" s="10" t="inlineStr">
        <is>
          <t>Nhân viên</t>
        </is>
      </c>
      <c r="H4230" s="10" t="inlineStr">
        <is>
          <t>12/02/2026</t>
        </is>
      </c>
      <c r="I4230" s="10" t="inlineStr">
        <is>
          <t>29/03/2026</t>
        </is>
      </c>
      <c r="J4230" s="10" t="inlineStr">
        <is>
          <t>17/03/2026</t>
        </is>
      </c>
      <c r="K4230" s="10" t="inlineStr">
        <is>
          <t>N/A</t>
        </is>
      </c>
      <c r="L4230" s="10" t="inlineStr">
        <is>
          <t>Audit, Kỹ Thuật Điện, Kiểm Soát Chất Lượng, QC</t>
        </is>
      </c>
      <c r="M4230" s="10" t="inlineStr">
        <is>
          <t>Bonus, Healthcare Plan, Others</t>
        </is>
      </c>
      <c r="N4230" s="11">
        <f>HYPERLINK("https://www.vietnamworks.com/chuyen-vien-doi-ung-audit-qc--2011622-jv","Xem chi tiết")</f>
        <v/>
      </c>
      <c r="O4230" s="10" t="n"/>
    </row>
    <row r="4231">
      <c r="B4231" s="7" t="n">
        <v>4229</v>
      </c>
      <c r="C4231" t="inlineStr">
        <is>
          <t>MEP Modeler (HVAC)</t>
        </is>
      </c>
      <c r="D4231" t="inlineStr">
        <is>
          <t>CÔNG TY TNHH MAC ZT VIỆT NAM</t>
        </is>
      </c>
      <c r="E4231" t="inlineStr">
        <is>
          <t>Thương lượng</t>
        </is>
      </c>
      <c r="F4231" t="inlineStr">
        <is>
          <t>Hồ Chí Minh</t>
        </is>
      </c>
      <c r="G4231" t="inlineStr">
        <is>
          <t>Nhân viên</t>
        </is>
      </c>
      <c r="H4231" t="inlineStr">
        <is>
          <t>12/02/2026</t>
        </is>
      </c>
      <c r="I4231" t="inlineStr">
        <is>
          <t>29/03/2026</t>
        </is>
      </c>
      <c r="J4231" t="inlineStr">
        <is>
          <t>17/03/2026</t>
        </is>
      </c>
      <c r="K4231" t="inlineStr">
        <is>
          <t>N/A</t>
        </is>
      </c>
      <c r="L4231" t="inlineStr">
        <is>
          <t>HVAC Design, 3D Modeling, Revit, MEP, Auto Cad</t>
        </is>
      </c>
      <c r="M4231" t="inlineStr">
        <is>
          <t>Bonus, Awards, Others</t>
        </is>
      </c>
      <c r="N4231" s="8">
        <f>HYPERLINK("https://www.vietnamworks.com/mep-modeler-hvac-2011629-jv","Xem chi tiết")</f>
        <v/>
      </c>
    </row>
    <row r="4232">
      <c r="B4232" s="9" t="n">
        <v>4230</v>
      </c>
      <c r="C4232" s="10" t="inlineStr">
        <is>
          <t>Nhân Viên Mua Hàng Tiếng Trung/ Hàn (Purchase Team) - Làm Việc Tại Bắc Ninh</t>
        </is>
      </c>
      <c r="D4232" s="10" t="inlineStr">
        <is>
          <t>Công ty TNHH CRESYN Hà Nội - Nhà máy Bắc Ninh</t>
        </is>
      </c>
      <c r="E4232" s="10" t="inlineStr">
        <is>
          <t>$$ 400-1,000 /tháng</t>
        </is>
      </c>
      <c r="F4232" s="10" t="inlineStr">
        <is>
          <t>Bắc Ninh</t>
        </is>
      </c>
      <c r="G4232" s="10" t="inlineStr">
        <is>
          <t>Nhân viên</t>
        </is>
      </c>
      <c r="H4232" s="10" t="inlineStr">
        <is>
          <t>12/02/2026</t>
        </is>
      </c>
      <c r="I4232" s="10" t="inlineStr">
        <is>
          <t>29/03/2026</t>
        </is>
      </c>
      <c r="J4232" s="10" t="inlineStr">
        <is>
          <t>17/03/2026</t>
        </is>
      </c>
      <c r="K4232" s="10" t="inlineStr">
        <is>
          <t>N/A</t>
        </is>
      </c>
      <c r="L4232" s="10" t="inlineStr">
        <is>
          <t>Tiếng Trung, Mua Hàng Điện Tử, Mua Hàng, Mua Hàng Nước Ngoài, Quản Lý Thu Mua</t>
        </is>
      </c>
      <c r="M4232" s="10" t="inlineStr">
        <is>
          <t>Bonus, Healthcare Plan, Others</t>
        </is>
      </c>
      <c r="N4232" s="11">
        <f>HYPERLINK("https://www.vietnamworks.com/nhan-vien-mua-hang-tieng-trung-han-purchase-team-lam-viec-tai-bac-ninh--2011625-jv","Xem chi tiết")</f>
        <v/>
      </c>
      <c r="O4232" s="10" t="n"/>
    </row>
    <row r="4233">
      <c r="B4233" s="7" t="n">
        <v>4231</v>
      </c>
      <c r="C4233" t="inlineStr">
        <is>
          <t>Assistant Manager, Talent Acquisition</t>
        </is>
      </c>
      <c r="D4233" t="inlineStr">
        <is>
          <t>DHL Supply Chain</t>
        </is>
      </c>
      <c r="E4233" t="inlineStr">
        <is>
          <t>Thương lượng</t>
        </is>
      </c>
      <c r="F4233" t="inlineStr">
        <is>
          <t>Hồ Chí Minh</t>
        </is>
      </c>
      <c r="G4233" t="inlineStr">
        <is>
          <t>Nhân viên</t>
        </is>
      </c>
      <c r="H4233" t="inlineStr">
        <is>
          <t>12/02/2026</t>
        </is>
      </c>
      <c r="I4233" t="inlineStr">
        <is>
          <t>29/03/2026</t>
        </is>
      </c>
      <c r="J4233" t="inlineStr">
        <is>
          <t>17/03/2026</t>
        </is>
      </c>
      <c r="K4233" t="inlineStr">
        <is>
          <t>N/A</t>
        </is>
      </c>
      <c r="L4233" t="inlineStr">
        <is>
          <t>Talent Acquisition, Recruitment, Human Resources, HR</t>
        </is>
      </c>
      <c r="M4233" t="inlineStr">
        <is>
          <t>Bonus, Training, Others</t>
        </is>
      </c>
      <c r="N4233" s="8">
        <f>HYPERLINK("https://www.vietnamworks.com/assistant-manager-talent-acquisition--2011637-jv","Xem chi tiết")</f>
        <v/>
      </c>
    </row>
    <row r="4234">
      <c r="B4234" s="9" t="n">
        <v>4232</v>
      </c>
      <c r="C4234" s="10" t="inlineStr">
        <is>
          <t>Trưởng Phòng Kinh Doanh Dự Án B2B (Xi Măng)</t>
        </is>
      </c>
      <c r="D4234" s="10" t="inlineStr">
        <is>
          <t>CÔNG TY CỔ PHẦN THƯƠNG MẠI XI MĂNG SAO MAI</t>
        </is>
      </c>
      <c r="E4234" s="10" t="inlineStr">
        <is>
          <t>Thương lượng</t>
        </is>
      </c>
      <c r="F4234" s="10" t="inlineStr">
        <is>
          <t>Hồ Chí Minh</t>
        </is>
      </c>
      <c r="G4234" s="10" t="inlineStr">
        <is>
          <t>Trưởng phòng</t>
        </is>
      </c>
      <c r="H4234" s="10" t="inlineStr">
        <is>
          <t>12/02/2026</t>
        </is>
      </c>
      <c r="I4234" s="10" t="inlineStr">
        <is>
          <t>29/03/2026</t>
        </is>
      </c>
      <c r="J4234" s="10" t="inlineStr">
        <is>
          <t>17/03/2026</t>
        </is>
      </c>
      <c r="K4234" s="10" t="inlineStr">
        <is>
          <t>N/A</t>
        </is>
      </c>
      <c r="L4234" s="10" t="inlineStr">
        <is>
          <t>Lãnh Đạo, Quản Lý Kinh Doanh, Cầu Đường, Tìm Kiếm Khách Hàng, Vật liệu xây dựng</t>
        </is>
      </c>
      <c r="M4234" s="10" t="inlineStr">
        <is>
          <t>Bonus, Healthcare Plan, Training, Transportation, Others</t>
        </is>
      </c>
      <c r="N4234" s="11">
        <f>HYPERLINK("https://www.vietnamworks.com/truong-phong-kinh-doanh-du-an-b2b-xi-mang-2011641-jv","Xem chi tiết")</f>
        <v/>
      </c>
      <c r="O4234" s="10" t="n"/>
    </row>
    <row r="4235">
      <c r="B4235" s="7" t="n">
        <v>4233</v>
      </c>
      <c r="C4235" t="inlineStr">
        <is>
          <t>Account Executive (Level: Executive/senior) - HCMC | English CV Required</t>
        </is>
      </c>
      <c r="D4235" t="inlineStr">
        <is>
          <t>Daiko Vietnam</t>
        </is>
      </c>
      <c r="E4235" t="inlineStr">
        <is>
          <t>Thương lượng</t>
        </is>
      </c>
      <c r="F4235" t="inlineStr">
        <is>
          <t>Hồ Chí Minh</t>
        </is>
      </c>
      <c r="G4235" t="inlineStr">
        <is>
          <t>Nhân viên</t>
        </is>
      </c>
      <c r="H4235" t="inlineStr">
        <is>
          <t>12/02/2026</t>
        </is>
      </c>
      <c r="I4235" t="inlineStr">
        <is>
          <t>29/03/2026</t>
        </is>
      </c>
      <c r="J4235" t="inlineStr">
        <is>
          <t>17/03/2026</t>
        </is>
      </c>
      <c r="K4235" t="inlineStr">
        <is>
          <t>N/A</t>
        </is>
      </c>
      <c r="L4235" t="inlineStr">
        <is>
          <t>Business Development, Client Service Management, Project Management, Japanese, Kinh Doanh</t>
        </is>
      </c>
      <c r="M4235" t="inlineStr">
        <is>
          <t>Bonus, Healthcare Plan, Others</t>
        </is>
      </c>
      <c r="N4235" s="8">
        <f>HYPERLINK("https://www.vietnamworks.com/account-executive-level-executive-senior-hcmc-english-cv-required-2011634-jv","Xem chi tiết")</f>
        <v/>
      </c>
    </row>
    <row r="4236">
      <c r="B4236" s="9" t="n">
        <v>4234</v>
      </c>
      <c r="C4236" s="10" t="inlineStr">
        <is>
          <t>Kế Toán Tổng Hợp</t>
        </is>
      </c>
      <c r="D4236" s="10" t="inlineStr">
        <is>
          <t>Holcom Vietnam Co.,Ltd</t>
        </is>
      </c>
      <c r="E4236" s="10" t="inlineStr">
        <is>
          <t>Thương lượng</t>
        </is>
      </c>
      <c r="F4236" s="10" t="inlineStr">
        <is>
          <t>Bắc Ninh</t>
        </is>
      </c>
      <c r="G4236" s="10" t="inlineStr">
        <is>
          <t>Nhân viên</t>
        </is>
      </c>
      <c r="H4236" s="10" t="inlineStr">
        <is>
          <t>12/02/2026</t>
        </is>
      </c>
      <c r="I4236" s="10" t="inlineStr">
        <is>
          <t>29/03/2026</t>
        </is>
      </c>
      <c r="J4236" s="10" t="inlineStr">
        <is>
          <t>17/03/2026</t>
        </is>
      </c>
      <c r="K4236" s="10" t="inlineStr">
        <is>
          <t>N/A</t>
        </is>
      </c>
      <c r="L4236" s="10" t="inlineStr">
        <is>
          <t>Kế Toán Tổng Hợp, Quy Định Thuế, Báo Cáo Tài Chính, Hạch Toán, Theo Dõi Công Nợ</t>
        </is>
      </c>
      <c r="M4236" s="10" t="inlineStr">
        <is>
          <t>Bonus, Healthcare Plan, Paid Leave, Travel Opportunities, Others</t>
        </is>
      </c>
      <c r="N4236" s="11">
        <f>HYPERLINK("https://www.vietnamworks.com/ke-toan-tong-hop-2011626-jv","Xem chi tiết")</f>
        <v/>
      </c>
      <c r="O4236" s="10" t="n"/>
    </row>
    <row r="4237">
      <c r="B4237" s="7" t="n">
        <v>4235</v>
      </c>
      <c r="C4237" t="inlineStr">
        <is>
          <t>Quản Lý Sản Xuất</t>
        </is>
      </c>
      <c r="D4237" t="inlineStr">
        <is>
          <t>Công ty TNHH CRESYN Hà Nội - Nhà máy Bắc Ninh</t>
        </is>
      </c>
      <c r="E4237" t="inlineStr">
        <is>
          <t>Thương lượng</t>
        </is>
      </c>
      <c r="F4237" t="inlineStr">
        <is>
          <t>Bắc Ninh</t>
        </is>
      </c>
      <c r="G4237" t="inlineStr">
        <is>
          <t>Nhân viên</t>
        </is>
      </c>
      <c r="H4237" t="inlineStr">
        <is>
          <t>12/02/2026</t>
        </is>
      </c>
      <c r="I4237" t="inlineStr">
        <is>
          <t>29/03/2026</t>
        </is>
      </c>
      <c r="J4237" t="inlineStr">
        <is>
          <t>17/03/2026</t>
        </is>
      </c>
      <c r="K4237" t="inlineStr">
        <is>
          <t>N/A</t>
        </is>
      </c>
      <c r="L4237" t="inlineStr">
        <is>
          <t>Quản Lý Dây Chuyền Sản Xuất, Giám Sát Chất Lượng Sản Xuất, Lắp Ráp Điện Tử, Production Management, Cơ Khí</t>
        </is>
      </c>
      <c r="M4237" t="inlineStr">
        <is>
          <t>Bonus, Healthcare Plan, Others</t>
        </is>
      </c>
      <c r="N4237" s="8">
        <f>HYPERLINK("https://www.vietnamworks.com/quan-ly-san-xuat--2011624-jv","Xem chi tiết")</f>
        <v/>
      </c>
    </row>
    <row r="4238">
      <c r="B4238" s="9" t="n">
        <v>4236</v>
      </c>
      <c r="C4238" s="10" t="inlineStr">
        <is>
          <t>Nhân Viên Kỹ Thuật Máy Sản Xuất</t>
        </is>
      </c>
      <c r="D4238" s="10" t="inlineStr">
        <is>
          <t>Công Ty TNHH Kai Việt Nam</t>
        </is>
      </c>
      <c r="E4238" s="10" t="inlineStr">
        <is>
          <t>Thương lượng</t>
        </is>
      </c>
      <c r="F4238" s="10" t="inlineStr">
        <is>
          <t>Hà Nội</t>
        </is>
      </c>
      <c r="G4238" s="10" t="inlineStr">
        <is>
          <t>Nhân viên</t>
        </is>
      </c>
      <c r="H4238" s="10" t="inlineStr">
        <is>
          <t>12/02/2026</t>
        </is>
      </c>
      <c r="I4238" s="10" t="inlineStr">
        <is>
          <t>29/03/2026</t>
        </is>
      </c>
      <c r="J4238" s="10" t="inlineStr">
        <is>
          <t>17/03/2026</t>
        </is>
      </c>
      <c r="K4238" s="10" t="inlineStr">
        <is>
          <t>N/A</t>
        </is>
      </c>
      <c r="L4238" s="10" t="inlineStr">
        <is>
          <t>Thiết Kế Thiết Bị, Cơ Điện Tử, Điện Tử, AutoCAD, Tự Động Hóa</t>
        </is>
      </c>
      <c r="M4238" s="10" t="inlineStr">
        <is>
          <t>Bonus, Healthcare Plan, Paid Leave, Training, Others</t>
        </is>
      </c>
      <c r="N4238" s="11">
        <f>HYPERLINK("https://www.vietnamworks.com/nhan-vien-ky-thuat-may-san-xuat-2011644-jv","Xem chi tiết")</f>
        <v/>
      </c>
      <c r="O4238" s="10" t="n"/>
    </row>
    <row r="4239">
      <c r="B4239" s="7" t="n">
        <v>4237</v>
      </c>
      <c r="C4239" t="inlineStr">
        <is>
          <t>Trợ Lý Tổng Giám Đốc</t>
        </is>
      </c>
      <c r="D4239" t="inlineStr">
        <is>
          <t>Công Ty Cổ Phần Thương Mại Dịch Vụ Vận Tải Quốc Thịnh</t>
        </is>
      </c>
      <c r="E4239" t="inlineStr">
        <is>
          <t>Thương lượng</t>
        </is>
      </c>
      <c r="F4239" t="inlineStr">
        <is>
          <t>Hồ Chí Minh</t>
        </is>
      </c>
      <c r="G4239" t="inlineStr">
        <is>
          <t>Nhân viên</t>
        </is>
      </c>
      <c r="H4239" t="inlineStr">
        <is>
          <t>12/02/2026</t>
        </is>
      </c>
      <c r="I4239" t="inlineStr">
        <is>
          <t>29/03/2026</t>
        </is>
      </c>
      <c r="J4239" t="inlineStr">
        <is>
          <t>17/03/2026</t>
        </is>
      </c>
      <c r="K4239" t="inlineStr">
        <is>
          <t>N/A</t>
        </is>
      </c>
      <c r="L4239" t="inlineStr">
        <is>
          <t>Kiểm Soát Chi Phí, Quản Lý Bãi Container, Quản Trị Chiến Lược, Xây Dựng Quy Trình, Điều Phối Vận Hành</t>
        </is>
      </c>
      <c r="M4239" t="inlineStr">
        <is>
          <t>Bonus, Healthcare Plan, Paid Leave</t>
        </is>
      </c>
      <c r="N4239" s="8">
        <f>HYPERLINK("https://www.vietnamworks.com/tro-ly-tong-giam-djoc-2011649-jv","Xem chi tiết")</f>
        <v/>
      </c>
    </row>
    <row r="4240">
      <c r="B4240" s="9" t="n">
        <v>4238</v>
      </c>
      <c r="C4240" s="10" t="inlineStr">
        <is>
          <t>Trưởng Phòng Kỹ Thuật Khối Quản Lý Khai Thác Vận Hành</t>
        </is>
      </c>
      <c r="D4240" s="10" t="inlineStr">
        <is>
          <t>Eurowindow Holding</t>
        </is>
      </c>
      <c r="E4240" s="10" t="inlineStr">
        <is>
          <t>Thương lượng</t>
        </is>
      </c>
      <c r="F4240" s="10" t="inlineStr">
        <is>
          <t>Hà Nội</t>
        </is>
      </c>
      <c r="G4240" s="10" t="inlineStr">
        <is>
          <t>Trưởng phòng</t>
        </is>
      </c>
      <c r="H4240" s="10" t="inlineStr">
        <is>
          <t>12/02/2026</t>
        </is>
      </c>
      <c r="I4240" s="10" t="inlineStr">
        <is>
          <t>29/03/2026</t>
        </is>
      </c>
      <c r="J4240" s="10" t="inlineStr">
        <is>
          <t>17/03/2026</t>
        </is>
      </c>
      <c r="K4240" s="10" t="inlineStr">
        <is>
          <t>N/A</t>
        </is>
      </c>
      <c r="L4240" s="10" t="inlineStr">
        <is>
          <t>Quản Lý Tài Chính, Giám Sát Ngân Sách, Lãnh Đạo, Cơ Điện, Quản Lý Vận Hành</t>
        </is>
      </c>
      <c r="M4240" s="10" t="inlineStr">
        <is>
          <t>Travel Opportunities, Team Activities, Others</t>
        </is>
      </c>
      <c r="N4240" s="11">
        <f>HYPERLINK("https://www.vietnamworks.com/truong-phong-ky-thuat-khoi-quan-ly-khai-thac-van-hanh-2011640-jv","Xem chi tiết")</f>
        <v/>
      </c>
      <c r="O4240" s="10" t="n"/>
    </row>
    <row r="4241">
      <c r="B4241" s="7" t="n">
        <v>4239</v>
      </c>
      <c r="C4241" t="inlineStr">
        <is>
          <t>Customer Service Executive</t>
        </is>
      </c>
      <c r="D4241" t="inlineStr">
        <is>
          <t>Công Ty TNHH Space T</t>
        </is>
      </c>
      <c r="E4241" t="inlineStr">
        <is>
          <t>$$ 500-1,000 /tháng</t>
        </is>
      </c>
      <c r="F4241" t="inlineStr">
        <is>
          <t>Hồ Chí Minh</t>
        </is>
      </c>
      <c r="G4241" t="inlineStr">
        <is>
          <t>Nhân viên</t>
        </is>
      </c>
      <c r="H4241" t="inlineStr">
        <is>
          <t>12/02/2026</t>
        </is>
      </c>
      <c r="I4241" t="inlineStr">
        <is>
          <t>29/03/2026</t>
        </is>
      </c>
      <c r="J4241" t="inlineStr">
        <is>
          <t>17/03/2026</t>
        </is>
      </c>
      <c r="K4241" t="inlineStr">
        <is>
          <t>N/A</t>
        </is>
      </c>
      <c r="L4241" t="inlineStr">
        <is>
          <t>Communication, Customer Service, Google Suite, Problem-solving, Time Management</t>
        </is>
      </c>
      <c r="M4241" t="inlineStr">
        <is>
          <t>Bonus, Training, Team Activities, Others</t>
        </is>
      </c>
      <c r="N4241" s="8">
        <f>HYPERLINK("https://www.vietnamworks.com/customer-service-executive-2011630-jv","Xem chi tiết")</f>
        <v/>
      </c>
    </row>
    <row r="4242">
      <c r="B4242" s="9" t="n">
        <v>4240</v>
      </c>
      <c r="C4242" s="10" t="inlineStr">
        <is>
          <t>Phó Giám Đốc Kinh Doanh</t>
        </is>
      </c>
      <c r="D4242" s="10" t="inlineStr">
        <is>
          <t>Tổng Công ty Bảo hiểm PVI - Chi nhánh Bảo hiểm PVI Link</t>
        </is>
      </c>
      <c r="E4242" s="10" t="inlineStr">
        <is>
          <t>Thương lượng</t>
        </is>
      </c>
      <c r="F4242" s="10" t="inlineStr">
        <is>
          <t>Đồng Tháp, Tây Ninh, An Giang</t>
        </is>
      </c>
      <c r="G4242" s="10" t="inlineStr">
        <is>
          <t>Giám Đốc và Cấp Cao Hơn</t>
        </is>
      </c>
      <c r="H4242" s="10" t="inlineStr">
        <is>
          <t>12/02/2026</t>
        </is>
      </c>
      <c r="I4242" s="10" t="inlineStr">
        <is>
          <t>29/03/2026</t>
        </is>
      </c>
      <c r="J4242" s="10" t="inlineStr">
        <is>
          <t>17/03/2026</t>
        </is>
      </c>
      <c r="K4242" s="10" t="inlineStr">
        <is>
          <t>N/A</t>
        </is>
      </c>
      <c r="L4242" s="10" t="inlineStr">
        <is>
          <t>Kinh Doanh Bảo Hiểm, Tiếng Anh, Lập Kế Hoạch Kinh Doanh, Kinh Doanh Thương Mại Điện Tử, Business Development</t>
        </is>
      </c>
      <c r="M4242" s="10" t="inlineStr">
        <is>
          <t>Bonus, Healthcare Plan, Training</t>
        </is>
      </c>
      <c r="N4242" s="11">
        <f>HYPERLINK("https://www.vietnamworks.com/pho-giam-doc-kinh-doanh--2011642-jv","Xem chi tiết")</f>
        <v/>
      </c>
      <c r="O4242" s="10" t="n"/>
    </row>
    <row r="4243">
      <c r="B4243" s="7" t="n">
        <v>4241</v>
      </c>
      <c r="C4243" t="inlineStr">
        <is>
          <t>Kế Toán Tổng Hợp</t>
        </is>
      </c>
      <c r="D4243" t="inlineStr">
        <is>
          <t>Công Ty Cổ Phần Halcom Việt Nam</t>
        </is>
      </c>
      <c r="E4243" t="inlineStr">
        <is>
          <t>Thương lượng</t>
        </is>
      </c>
      <c r="F4243" t="inlineStr">
        <is>
          <t>Hà Nội</t>
        </is>
      </c>
      <c r="G4243" t="inlineStr">
        <is>
          <t>Nhân viên</t>
        </is>
      </c>
      <c r="H4243" t="inlineStr">
        <is>
          <t>12/02/2026</t>
        </is>
      </c>
      <c r="I4243" t="inlineStr">
        <is>
          <t>29/03/2026</t>
        </is>
      </c>
      <c r="J4243" t="inlineStr">
        <is>
          <t>17/03/2026</t>
        </is>
      </c>
      <c r="K4243" t="inlineStr">
        <is>
          <t>N/A</t>
        </is>
      </c>
      <c r="L4243" t="inlineStr">
        <is>
          <t>Phân Tích Tài Chính, Báo Cáo Tài Chính, Chứng Từ Thanh Toán, Khai Thuế, Tài Chính Kế Toán</t>
        </is>
      </c>
      <c r="M4243" t="inlineStr">
        <is>
          <t>Bonus, Training, Awards</t>
        </is>
      </c>
      <c r="N4243" s="8">
        <f>HYPERLINK("https://www.vietnamworks.com/ke-toan-tong-hop-2011643-jv","Xem chi tiết")</f>
        <v/>
      </c>
    </row>
    <row r="4244">
      <c r="B4244" s="9" t="n">
        <v>4242</v>
      </c>
      <c r="C4244" s="10" t="inlineStr">
        <is>
          <t>Key Account Supervisor</t>
        </is>
      </c>
      <c r="D4244" s="10" t="inlineStr">
        <is>
          <t>Amway Vietnam Co., Ltd.</t>
        </is>
      </c>
      <c r="E4244" s="10" t="inlineStr">
        <is>
          <t>Thương lượng</t>
        </is>
      </c>
      <c r="F4244" s="10" t="inlineStr">
        <is>
          <t>Hồ Chí Minh</t>
        </is>
      </c>
      <c r="G4244" s="10" t="inlineStr">
        <is>
          <t>Nhân viên</t>
        </is>
      </c>
      <c r="H4244" s="10" t="inlineStr">
        <is>
          <t>12/02/2026</t>
        </is>
      </c>
      <c r="I4244" s="10" t="inlineStr">
        <is>
          <t>29/03/2026</t>
        </is>
      </c>
      <c r="J4244" s="10" t="inlineStr">
        <is>
          <t>17/03/2026</t>
        </is>
      </c>
      <c r="K4244" s="10" t="inlineStr">
        <is>
          <t>N/A</t>
        </is>
      </c>
      <c r="L4244" s="10" t="inlineStr">
        <is>
          <t>Xây Dựng Mối Quan Hệ, Key Account Management, Data Analytics, Consulting Effective Solutions, Lập Kế Hoạch Bán Hàng</t>
        </is>
      </c>
      <c r="M4244" s="10" t="inlineStr">
        <is>
          <t>Bonus, Healthcare Plan, Team Activities</t>
        </is>
      </c>
      <c r="N4244" s="11">
        <f>HYPERLINK("https://www.vietnamworks.com/key-account-supervisor--2011647-jv","Xem chi tiết")</f>
        <v/>
      </c>
      <c r="O4244" s="10" t="n"/>
    </row>
    <row r="4245">
      <c r="B4245" s="7" t="n">
        <v>4243</v>
      </c>
      <c r="C4245" t="inlineStr">
        <is>
          <t>Kiến Trúc Sư / Kiến Trúc Sư Quy Hoạch Cao Cấp (Senior Architect/ Urban Planner)</t>
        </is>
      </c>
      <c r="D4245" t="inlineStr">
        <is>
          <t>Công Ty TNHH Arep Việt Nam</t>
        </is>
      </c>
      <c r="E4245" t="inlineStr">
        <is>
          <t>Thương lượng</t>
        </is>
      </c>
      <c r="F4245" t="inlineStr">
        <is>
          <t>Hà Nội</t>
        </is>
      </c>
      <c r="G4245" t="inlineStr">
        <is>
          <t>Nhân viên</t>
        </is>
      </c>
      <c r="H4245" t="inlineStr">
        <is>
          <t>12/02/2026</t>
        </is>
      </c>
      <c r="I4245" t="inlineStr">
        <is>
          <t>29/03/2026</t>
        </is>
      </c>
      <c r="J4245" t="inlineStr">
        <is>
          <t>17/03/2026</t>
        </is>
      </c>
      <c r="K4245" t="inlineStr">
        <is>
          <t>N/A</t>
        </is>
      </c>
      <c r="L4245" t="inlineStr">
        <is>
          <t>Urban Planning, Architecture Drawing, Environmental Sustainability, Regulatory Knowledge, Architecture Concept</t>
        </is>
      </c>
      <c r="M4245" t="inlineStr">
        <is>
          <t>Bonus, Healthcare Plan, Paid Leave, Mobile, Canteen</t>
        </is>
      </c>
      <c r="N4245" s="8">
        <f>HYPERLINK("https://www.vietnamworks.com/kien-truc-su-kien-truc-su-quy-hoach-cao-cap-senior-architect-urban-planner-2011635-jv","Xem chi tiết")</f>
        <v/>
      </c>
    </row>
    <row r="4246">
      <c r="B4246" s="9" t="n">
        <v>4244</v>
      </c>
      <c r="C4246" s="10" t="inlineStr">
        <is>
          <t>Purchasing Executive</t>
        </is>
      </c>
      <c r="D4246" s="10" t="inlineStr">
        <is>
          <t>Công ty TNHH công nghiệp Vĩnh Tường miền bắc Việt Nam</t>
        </is>
      </c>
      <c r="E4246" s="10" t="inlineStr">
        <is>
          <t>Thương lượng</t>
        </is>
      </c>
      <c r="F4246" s="10" t="inlineStr">
        <is>
          <t>Hà Nội</t>
        </is>
      </c>
      <c r="G4246" s="10" t="inlineStr">
        <is>
          <t>Nhân viên</t>
        </is>
      </c>
      <c r="H4246" s="10" t="inlineStr">
        <is>
          <t>12/02/2026</t>
        </is>
      </c>
      <c r="I4246" s="10" t="inlineStr">
        <is>
          <t>29/03/2026</t>
        </is>
      </c>
      <c r="J4246" s="10" t="inlineStr">
        <is>
          <t>17/03/2026</t>
        </is>
      </c>
      <c r="K4246" s="10" t="inlineStr">
        <is>
          <t>N/A</t>
        </is>
      </c>
      <c r="L4246" s="10" t="inlineStr">
        <is>
          <t>Cost Saving, Negotiation Skills, Purchasing Skill, Sourcing Materials, Supplier Management</t>
        </is>
      </c>
      <c r="M4246" s="10" t="inlineStr">
        <is>
          <t>Bonus, Healthcare Plan, Paid Leave, Laptop, Travel Opportunities</t>
        </is>
      </c>
      <c r="N4246" s="11">
        <f>HYPERLINK("https://www.vietnamworks.com/purchasing-executive-2011636-jv","Xem chi tiết")</f>
        <v/>
      </c>
      <c r="O4246" s="10" t="n"/>
    </row>
    <row r="4247">
      <c r="B4247" s="7" t="n">
        <v>4245</v>
      </c>
      <c r="C4247" t="inlineStr">
        <is>
          <t>Nhân Viên Chứng Từ XNK và Thủ Tục Hải Quan</t>
        </is>
      </c>
      <c r="D4247" t="inlineStr">
        <is>
          <t>Naigai Nitto Logistics Vietnam Co.,ltd</t>
        </is>
      </c>
      <c r="E4247" t="inlineStr">
        <is>
          <t>Thương lượng</t>
        </is>
      </c>
      <c r="F4247" t="inlineStr">
        <is>
          <t>Hà Nội</t>
        </is>
      </c>
      <c r="G4247" t="inlineStr">
        <is>
          <t>Nhân viên</t>
        </is>
      </c>
      <c r="H4247" t="inlineStr">
        <is>
          <t>12/02/2026</t>
        </is>
      </c>
      <c r="I4247" t="inlineStr">
        <is>
          <t>29/03/2026</t>
        </is>
      </c>
      <c r="J4247" t="inlineStr">
        <is>
          <t>17/03/2026</t>
        </is>
      </c>
      <c r="K4247" t="inlineStr">
        <is>
          <t>N/A</t>
        </is>
      </c>
      <c r="L4247" t="inlineStr">
        <is>
          <t>Xuất Nhập Khẩu, Thủ Tục Hải Quan, Thanh Toán, Tiếng Anh, Khai Báo Hải Quan</t>
        </is>
      </c>
      <c r="M4247" t="inlineStr">
        <is>
          <t>Bonus, Healthcare Plan, Paid Leave, Training, Travel Opportunities</t>
        </is>
      </c>
      <c r="N4247" s="8">
        <f>HYPERLINK("https://www.vietnamworks.com/nhan-vien-chung-tu-xnk-va-thu-tuc-hai-quan-2011648-jv","Xem chi tiết")</f>
        <v/>
      </c>
    </row>
    <row r="4248">
      <c r="B4248" s="9" t="n">
        <v>4246</v>
      </c>
      <c r="C4248" s="10" t="inlineStr">
        <is>
          <t>Executive Search (Us/eu Timezone, Salary Upto $1200)</t>
        </is>
      </c>
      <c r="D4248" s="10" t="inlineStr">
        <is>
          <t>Arches Corporation</t>
        </is>
      </c>
      <c r="E4248" s="10" t="inlineStr">
        <is>
          <t>$$ 800-1,200 /tháng</t>
        </is>
      </c>
      <c r="F4248" s="10" t="inlineStr">
        <is>
          <t>Hồ Chí Minh</t>
        </is>
      </c>
      <c r="G4248" s="10" t="inlineStr">
        <is>
          <t>Nhân viên</t>
        </is>
      </c>
      <c r="H4248" s="10" t="inlineStr">
        <is>
          <t>12/02/2026</t>
        </is>
      </c>
      <c r="I4248" s="10" t="inlineStr">
        <is>
          <t>29/03/2026</t>
        </is>
      </c>
      <c r="J4248" s="10" t="inlineStr">
        <is>
          <t>17/03/2026</t>
        </is>
      </c>
      <c r="K4248" s="10" t="inlineStr">
        <is>
          <t>N/A</t>
        </is>
      </c>
      <c r="L4248" s="10" t="inlineStr">
        <is>
          <t>Recruitment Tools, Client Service, Consulting, Recruitment Consulting, Sales</t>
        </is>
      </c>
      <c r="M4248" s="10" t="inlineStr">
        <is>
          <t>Bonus, Healthcare Plan, Paid Leave, Training, Team Activities, Others</t>
        </is>
      </c>
      <c r="N4248" s="11">
        <f>HYPERLINK("https://www.vietnamworks.com/executive-search-us-eu-timezone-salary-upto-1200-2011645-jv","Xem chi tiết")</f>
        <v/>
      </c>
      <c r="O4248" s="10" t="n"/>
    </row>
    <row r="4249">
      <c r="B4249" s="7" t="n">
        <v>4247</v>
      </c>
      <c r="C4249" t="inlineStr">
        <is>
          <t>Kiến Trúc Sư/ Kiến Trúc Sư Quy Hoạch (Junior Architect/ Urban Planner)</t>
        </is>
      </c>
      <c r="D4249" t="inlineStr">
        <is>
          <t>Công Ty TNHH Arep Việt Nam</t>
        </is>
      </c>
      <c r="E4249" t="inlineStr">
        <is>
          <t>Thương lượng</t>
        </is>
      </c>
      <c r="F4249" t="inlineStr">
        <is>
          <t>Hà Nội</t>
        </is>
      </c>
      <c r="G4249" t="inlineStr">
        <is>
          <t>Nhân viên</t>
        </is>
      </c>
      <c r="H4249" t="inlineStr">
        <is>
          <t>12/02/2026</t>
        </is>
      </c>
      <c r="I4249" t="inlineStr">
        <is>
          <t>29/03/2026</t>
        </is>
      </c>
      <c r="J4249" t="inlineStr">
        <is>
          <t>17/03/2026</t>
        </is>
      </c>
      <c r="K4249" t="inlineStr">
        <is>
          <t>N/A</t>
        </is>
      </c>
      <c r="L4249" t="inlineStr">
        <is>
          <t>Urban Planning, Architecture Drawing, AutoCAD, Sketchup, Quy hoạch</t>
        </is>
      </c>
      <c r="M4249" t="inlineStr">
        <is>
          <t>Bonus, Healthcare Plan, Paid Leave, Mobile, Canteen, Others</t>
        </is>
      </c>
      <c r="N4249" s="8">
        <f>HYPERLINK("https://www.vietnamworks.com/kien-truc-su-kien-truc-su-quy-hoach-junior-architect-urban-planner-2011633-jv","Xem chi tiết")</f>
        <v/>
      </c>
    </row>
    <row r="4250">
      <c r="B4250" s="9" t="n">
        <v>4248</v>
      </c>
      <c r="C4250" s="10" t="inlineStr">
        <is>
          <t>Marketing Officer (Third Party Contract - 12 Months)</t>
        </is>
      </c>
      <c r="D4250" s="10" t="inlineStr">
        <is>
          <t>CÔNG TY TNHH DE HEUS</t>
        </is>
      </c>
      <c r="E4250" s="10" t="inlineStr">
        <is>
          <t>Thương lượng</t>
        </is>
      </c>
      <c r="F4250" s="10" t="inlineStr">
        <is>
          <t>Hồ Chí Minh</t>
        </is>
      </c>
      <c r="G4250" s="10" t="inlineStr">
        <is>
          <t>Nhân viên</t>
        </is>
      </c>
      <c r="H4250" s="10" t="inlineStr">
        <is>
          <t>12/02/2026</t>
        </is>
      </c>
      <c r="I4250" s="10" t="inlineStr">
        <is>
          <t>29/03/2026</t>
        </is>
      </c>
      <c r="J4250" s="10" t="inlineStr">
        <is>
          <t>17/03/2026</t>
        </is>
      </c>
      <c r="K4250" s="10" t="inlineStr">
        <is>
          <t>N/A</t>
        </is>
      </c>
      <c r="L4250" s="10" t="inlineStr">
        <is>
          <t>Marketing, Digital Marketing, Social Listening Tools, SEO, Marketing Content</t>
        </is>
      </c>
      <c r="M4250" s="10" t="inlineStr">
        <is>
          <t>Bonus</t>
        </is>
      </c>
      <c r="N4250" s="11">
        <f>HYPERLINK("https://www.vietnamworks.com/marketing-officer-third-party-contract-12-months-2011651-jv","Xem chi tiết")</f>
        <v/>
      </c>
      <c r="O4250" s="10" t="n"/>
    </row>
    <row r="4251">
      <c r="B4251" s="7" t="n">
        <v>4249</v>
      </c>
      <c r="C4251" t="inlineStr">
        <is>
          <t>Inside Sales</t>
        </is>
      </c>
      <c r="D4251" t="inlineStr">
        <is>
          <t>Cargo - Partner Logistics Viet Nam Co., Ltd.</t>
        </is>
      </c>
      <c r="E4251" t="inlineStr">
        <is>
          <t>Thương lượng</t>
        </is>
      </c>
      <c r="F4251" t="inlineStr">
        <is>
          <t>Hà Nội</t>
        </is>
      </c>
      <c r="G4251" t="inlineStr">
        <is>
          <t>Nhân viên</t>
        </is>
      </c>
      <c r="H4251" t="inlineStr">
        <is>
          <t>12/02/2026</t>
        </is>
      </c>
      <c r="I4251" t="inlineStr">
        <is>
          <t>29/03/2026</t>
        </is>
      </c>
      <c r="J4251" t="inlineStr">
        <is>
          <t>17/03/2026</t>
        </is>
      </c>
      <c r="K4251" t="inlineStr">
        <is>
          <t>N/A</t>
        </is>
      </c>
      <c r="L4251" t="inlineStr">
        <is>
          <t>Sales Support, Sales Administration, Import-Export, Customer Service, CRM</t>
        </is>
      </c>
      <c r="M4251" t="inlineStr">
        <is>
          <t>Bonus, Healthcare Plan, Training</t>
        </is>
      </c>
      <c r="N4251" s="8">
        <f>HYPERLINK("https://www.vietnamworks.com/inside-sales--2011664-jv","Xem chi tiết")</f>
        <v/>
      </c>
    </row>
    <row r="4252">
      <c r="B4252" s="9" t="n">
        <v>4250</v>
      </c>
      <c r="C4252" s="10" t="inlineStr">
        <is>
          <t>Nhân Viên Chăm Sóc Khách Hàng - Thu Nhập 10-17 Triệu</t>
        </is>
      </c>
      <c r="D4252" s="10" t="inlineStr">
        <is>
          <t>CÔNG TY TNHH THỂ THAO VÀ THƯƠNG MẠI MIỀN BẮC</t>
        </is>
      </c>
      <c r="E4252" s="10" t="inlineStr">
        <is>
          <t>10tr-17tr ₫/tháng</t>
        </is>
      </c>
      <c r="F4252" s="10" t="inlineStr">
        <is>
          <t>Hà Nội</t>
        </is>
      </c>
      <c r="G4252" s="10" t="inlineStr">
        <is>
          <t>Mới Tốt Nghiệp</t>
        </is>
      </c>
      <c r="H4252" s="10" t="inlineStr">
        <is>
          <t>12/02/2026</t>
        </is>
      </c>
      <c r="I4252" s="10" t="inlineStr">
        <is>
          <t>29/03/2026</t>
        </is>
      </c>
      <c r="J4252" s="10" t="inlineStr">
        <is>
          <t>17/03/2026</t>
        </is>
      </c>
      <c r="K4252" s="10" t="inlineStr">
        <is>
          <t>N/A</t>
        </is>
      </c>
      <c r="L4252" s="10" t="inlineStr">
        <is>
          <t>Chăm Sóc Khách Hàng, Telesales, Customer Service, Customer Care, sales admin</t>
        </is>
      </c>
      <c r="M4252" s="10" t="inlineStr">
        <is>
          <t>Bonus, Training, Others</t>
        </is>
      </c>
      <c r="N4252" s="11">
        <f>HYPERLINK("https://www.vietnamworks.com/nhan-vien-cham-soc-khach-hang-thu-nhap-10-17-trieu-2011666-jv","Xem chi tiết")</f>
        <v/>
      </c>
      <c r="O4252" s="10" t="n"/>
    </row>
    <row r="4253">
      <c r="B4253" s="7" t="n">
        <v>4251</v>
      </c>
      <c r="C4253" t="inlineStr">
        <is>
          <t>Head of Business Finance</t>
        </is>
      </c>
      <c r="D4253" t="inlineStr">
        <is>
          <t>Michael Page Vietnam</t>
        </is>
      </c>
      <c r="E4253" t="inlineStr">
        <is>
          <t>Thương lượng</t>
        </is>
      </c>
      <c r="F4253" t="inlineStr">
        <is>
          <t>Hồ Chí Minh</t>
        </is>
      </c>
      <c r="G4253" t="inlineStr">
        <is>
          <t>Giám Đốc và Cấp Cao Hơn</t>
        </is>
      </c>
      <c r="H4253" t="inlineStr">
        <is>
          <t>12/02/2026</t>
        </is>
      </c>
      <c r="I4253" t="inlineStr">
        <is>
          <t>29/03/2026</t>
        </is>
      </c>
      <c r="J4253" t="inlineStr">
        <is>
          <t>17/03/2026</t>
        </is>
      </c>
      <c r="K4253" t="inlineStr">
        <is>
          <t>N/A</t>
        </is>
      </c>
      <c r="L4253" t="inlineStr">
        <is>
          <t>Finance, Reporting, Financial Planning, ERP, Accounting</t>
        </is>
      </c>
      <c r="M4253" t="inlineStr">
        <is>
          <t>Bonus</t>
        </is>
      </c>
      <c r="N4253" s="8">
        <f>HYPERLINK("https://www.vietnamworks.com/head-of-business-finance-2011677-jv","Xem chi tiết")</f>
        <v/>
      </c>
    </row>
    <row r="4254">
      <c r="B4254" s="9" t="n">
        <v>4252</v>
      </c>
      <c r="C4254" s="10" t="inlineStr">
        <is>
          <t>Brand Lead - VN Market</t>
        </is>
      </c>
      <c r="D4254" s="10" t="inlineStr">
        <is>
          <t>CÔNG TY TNHH PETOUR VIỆT NAM</t>
        </is>
      </c>
      <c r="E4254" s="10" t="inlineStr">
        <is>
          <t>15tr-20tr ₫/tháng</t>
        </is>
      </c>
      <c r="F4254" s="10" t="inlineStr">
        <is>
          <t>Hà Nội</t>
        </is>
      </c>
      <c r="G4254" s="10" t="inlineStr">
        <is>
          <t>Nhân viên</t>
        </is>
      </c>
      <c r="H4254" s="10" t="inlineStr">
        <is>
          <t>12/02/2026</t>
        </is>
      </c>
      <c r="I4254" s="10" t="inlineStr">
        <is>
          <t>29/03/2026</t>
        </is>
      </c>
      <c r="J4254" s="10" t="inlineStr">
        <is>
          <t>17/03/2026</t>
        </is>
      </c>
      <c r="K4254" s="10" t="inlineStr">
        <is>
          <t>N/A</t>
        </is>
      </c>
      <c r="L4254" s="10" t="inlineStr">
        <is>
          <t>Branding, Digital Marketing, Content Strategy, Leadership, Social Media Development</t>
        </is>
      </c>
      <c r="M4254" s="10" t="inlineStr">
        <is>
          <t>Bonus, Training, Others</t>
        </is>
      </c>
      <c r="N4254" s="11">
        <f>HYPERLINK("https://www.vietnamworks.com/brand-lead-vn-market-2011655-jv","Xem chi tiết")</f>
        <v/>
      </c>
      <c r="O4254" s="10" t="n"/>
    </row>
    <row r="4255">
      <c r="B4255" s="7" t="n">
        <v>4253</v>
      </c>
      <c r="C4255" t="inlineStr">
        <is>
          <t>Nhân Viên Chứng Từ Xuất Khẩu</t>
        </is>
      </c>
      <c r="D4255" t="inlineStr">
        <is>
          <t>Công Ty Cổ Phần Đầu Tư Nhật Huy</t>
        </is>
      </c>
      <c r="E4255" t="inlineStr">
        <is>
          <t>12tr-15tr ₫/tháng</t>
        </is>
      </c>
      <c r="F4255" t="inlineStr">
        <is>
          <t>Hà Nội</t>
        </is>
      </c>
      <c r="G4255" t="inlineStr">
        <is>
          <t>Nhân viên</t>
        </is>
      </c>
      <c r="H4255" t="inlineStr">
        <is>
          <t>12/02/2026</t>
        </is>
      </c>
      <c r="I4255" t="inlineStr">
        <is>
          <t>29/03/2026</t>
        </is>
      </c>
      <c r="J4255" t="inlineStr">
        <is>
          <t>17/03/2026</t>
        </is>
      </c>
      <c r="K4255" t="inlineStr">
        <is>
          <t>N/A</t>
        </is>
      </c>
      <c r="L4255" t="inlineStr">
        <is>
          <t>Chứng Từ Thanh Toán, Giải Quyết Vấn Đề, Giao Tiếp, Tin Học Văn Phòng, Xuất Nhập Khẩu</t>
        </is>
      </c>
      <c r="M4255" t="inlineStr">
        <is>
          <t>Bonus, Healthcare Plan, Team Activities</t>
        </is>
      </c>
      <c r="N4255" s="8">
        <f>HYPERLINK("https://www.vietnamworks.com/nhan-vien-chung-tu-xuat-khau-2011657-jv","Xem chi tiết")</f>
        <v/>
      </c>
    </row>
    <row r="4256">
      <c r="B4256" s="9" t="n">
        <v>4254</v>
      </c>
      <c r="C4256" s="10" t="inlineStr">
        <is>
          <t>Kỹ Sư Thiết Kế Cơ Khí (Mechanical Design Engineer)</t>
        </is>
      </c>
      <c r="D4256" s="10" t="inlineStr">
        <is>
          <t>CÔNG TY TNHH JCV CORP</t>
        </is>
      </c>
      <c r="E4256" s="10" t="inlineStr">
        <is>
          <t>Thương lượng</t>
        </is>
      </c>
      <c r="F4256" s="10" t="inlineStr">
        <is>
          <t>Hải Phòng</t>
        </is>
      </c>
      <c r="G4256" s="10" t="inlineStr">
        <is>
          <t>Nhân viên</t>
        </is>
      </c>
      <c r="H4256" s="10" t="inlineStr">
        <is>
          <t>12/02/2026</t>
        </is>
      </c>
      <c r="I4256" s="10" t="inlineStr">
        <is>
          <t>29/03/2026</t>
        </is>
      </c>
      <c r="J4256" s="10" t="inlineStr">
        <is>
          <t>17/03/2026</t>
        </is>
      </c>
      <c r="K4256" s="10" t="inlineStr">
        <is>
          <t>N/A</t>
        </is>
      </c>
      <c r="L4256" s="10" t="inlineStr">
        <is>
          <t>English, NX CAD, Thiết Kế Cơ Khí (NX), Thiết kế cơ khí (CAD), Kỹ sư thiết kế</t>
        </is>
      </c>
      <c r="M4256" s="10" t="inlineStr">
        <is>
          <t>Bonus, Healthcare Plan, Training, Team Activities, Canteen, Others</t>
        </is>
      </c>
      <c r="N4256" s="11">
        <f>HYPERLINK("https://www.vietnamworks.com/ky-su-thiet-ke-co-khi-mechanical-design-engineer-2011654-jv","Xem chi tiết")</f>
        <v/>
      </c>
      <c r="O4256" s="10" t="n"/>
    </row>
    <row r="4257">
      <c r="B4257" s="7" t="n">
        <v>4255</v>
      </c>
      <c r="C4257" t="inlineStr">
        <is>
          <t>Nhân Viên Kỹ Thuật Cơ Khí (Phay, Tiện CNC)</t>
        </is>
      </c>
      <c r="D4257" t="inlineStr">
        <is>
          <t>CÔNG TY CỔ PHẦN TẬP ĐOÀN Ô TÔ HIỆP HÒA</t>
        </is>
      </c>
      <c r="E4257" t="inlineStr">
        <is>
          <t>7tr-15tr ₫/tháng</t>
        </is>
      </c>
      <c r="F4257" t="inlineStr">
        <is>
          <t>Hưng Yên, Hà Nội</t>
        </is>
      </c>
      <c r="G4257" t="inlineStr">
        <is>
          <t>Nhân viên</t>
        </is>
      </c>
      <c r="H4257" t="inlineStr">
        <is>
          <t>12/02/2026</t>
        </is>
      </c>
      <c r="I4257" t="inlineStr">
        <is>
          <t>29/03/2026</t>
        </is>
      </c>
      <c r="J4257" t="inlineStr">
        <is>
          <t>17/03/2026</t>
        </is>
      </c>
      <c r="K4257" t="inlineStr">
        <is>
          <t>N/A</t>
        </is>
      </c>
      <c r="L4257" t="inlineStr">
        <is>
          <t>Mastercam, SolidWorks, Sửa Chữa Cơ Khí, Vận Hành Máy CNC, Đọc Bản Vẽ Kỹ Thuật</t>
        </is>
      </c>
      <c r="M4257" t="inlineStr">
        <is>
          <t>Bonus, Healthcare Plan, Training, Awards, Others</t>
        </is>
      </c>
      <c r="N4257" s="8">
        <f>HYPERLINK("https://www.vietnamworks.com/nhan-vien-ky-thuat-co-khi-phay-tien-cnc-2011652-jv","Xem chi tiết")</f>
        <v/>
      </c>
    </row>
    <row r="4258">
      <c r="B4258" s="9" t="n">
        <v>4256</v>
      </c>
      <c r="C4258" s="10" t="inlineStr">
        <is>
          <t>Project Coordinator (12 months &amp; Third-Party Contract)</t>
        </is>
      </c>
      <c r="D4258" s="10" t="inlineStr">
        <is>
          <t>RMIT University Vietnam</t>
        </is>
      </c>
      <c r="E4258" s="10" t="inlineStr">
        <is>
          <t>Thương lượng</t>
        </is>
      </c>
      <c r="F4258" s="10" t="inlineStr">
        <is>
          <t>Hồ Chí Minh</t>
        </is>
      </c>
      <c r="G4258" s="10" t="inlineStr">
        <is>
          <t>Nhân viên</t>
        </is>
      </c>
      <c r="H4258" s="10" t="inlineStr">
        <is>
          <t>12/02/2026</t>
        </is>
      </c>
      <c r="I4258" s="10" t="inlineStr">
        <is>
          <t>29/03/2026</t>
        </is>
      </c>
      <c r="J4258" s="10" t="inlineStr">
        <is>
          <t>17/03/2026</t>
        </is>
      </c>
      <c r="K4258" s="10" t="inlineStr">
        <is>
          <t>N/A</t>
        </is>
      </c>
      <c r="L4258" s="10" t="inlineStr">
        <is>
          <t>Communication Skills, Microsoft Office, Project Coordination, Risk Management, Time Management</t>
        </is>
      </c>
      <c r="M4258" s="10" t="inlineStr">
        <is>
          <t>Healthcare Plan, Paid Leave, Library, Others</t>
        </is>
      </c>
      <c r="N4258" s="11">
        <f>HYPERLINK("https://www.vietnamworks.com/project-coordinator-12-months-and-third-party-contract-2011656-jv","Xem chi tiết")</f>
        <v/>
      </c>
      <c r="O4258" s="10" t="n"/>
    </row>
    <row r="4259">
      <c r="B4259" s="7" t="n">
        <v>4257</v>
      </c>
      <c r="C4259" t="inlineStr">
        <is>
          <t>Kế toán / Accountant Staff</t>
        </is>
      </c>
      <c r="D4259" t="inlineStr">
        <is>
          <t>Công ty Cổ Phần Mecsu</t>
        </is>
      </c>
      <c r="E4259" t="inlineStr">
        <is>
          <t>8tr-14tr ₫/tháng</t>
        </is>
      </c>
      <c r="F4259" t="inlineStr">
        <is>
          <t>Hồ Chí Minh</t>
        </is>
      </c>
      <c r="G4259" t="inlineStr">
        <is>
          <t>Mới Tốt Nghiệp</t>
        </is>
      </c>
      <c r="H4259" t="inlineStr">
        <is>
          <t>12/02/2026</t>
        </is>
      </c>
      <c r="I4259" t="inlineStr">
        <is>
          <t>29/03/2026</t>
        </is>
      </c>
      <c r="J4259" t="inlineStr">
        <is>
          <t>17/03/2026</t>
        </is>
      </c>
      <c r="K4259" t="inlineStr">
        <is>
          <t>N/A</t>
        </is>
      </c>
      <c r="L4259" t="inlineStr">
        <is>
          <t>Chủ Động Học Hỏi, Excel, Giao Tiếp, Kế Toán</t>
        </is>
      </c>
      <c r="M4259" t="inlineStr">
        <is>
          <t>Bonus, Healthcare Plan, Training, Team Activities, Others</t>
        </is>
      </c>
      <c r="N4259" s="8">
        <f>HYPERLINK("https://www.vietnamworks.com/ke-toan-accountant-staff-2011667-jv","Xem chi tiết")</f>
        <v/>
      </c>
    </row>
    <row r="4260">
      <c r="B4260" s="9" t="n">
        <v>4258</v>
      </c>
      <c r="C4260" s="10" t="inlineStr">
        <is>
          <t>Chuyên Viên Kiểm Soát Tiến Độ Dự Án</t>
        </is>
      </c>
      <c r="D4260" s="10" t="inlineStr">
        <is>
          <t>Tập Đoàn APEC (APEC GROUP)</t>
        </is>
      </c>
      <c r="E4260" s="10" t="inlineStr">
        <is>
          <t>Thương lượng</t>
        </is>
      </c>
      <c r="F4260" s="10" t="inlineStr">
        <is>
          <t>Hà Nội</t>
        </is>
      </c>
      <c r="G4260" s="10" t="inlineStr">
        <is>
          <t>Nhân viên</t>
        </is>
      </c>
      <c r="H4260" s="10" t="inlineStr">
        <is>
          <t>12/02/2026</t>
        </is>
      </c>
      <c r="I4260" s="10" t="inlineStr">
        <is>
          <t>29/03/2026</t>
        </is>
      </c>
      <c r="J4260" s="10" t="inlineStr">
        <is>
          <t>17/03/2026</t>
        </is>
      </c>
      <c r="K4260" s="10" t="inlineStr">
        <is>
          <t>N/A</t>
        </is>
      </c>
      <c r="L4260" s="10" t="inlineStr">
        <is>
          <t>Quản Lý Tiến Độ, Kiểm Soát Tiến Độ Dự Án, Kế Hoạch Dự Án, Giám Sát Thi Công, Lập Báo Cáo</t>
        </is>
      </c>
      <c r="M4260" s="10" t="inlineStr">
        <is>
          <t>Bonus, Travel Opportunities, Others</t>
        </is>
      </c>
      <c r="N4260" s="11">
        <f>HYPERLINK("https://www.vietnamworks.com/chuyen-vien-kiem-soat-tien-do-du-an-2011663-jv","Xem chi tiết")</f>
        <v/>
      </c>
      <c r="O4260" s="10" t="n"/>
    </row>
    <row r="4261">
      <c r="B4261" s="7" t="n">
        <v>4259</v>
      </c>
      <c r="C4261" t="inlineStr">
        <is>
          <t>Senior Change Analyst (12 months &amp; Third-Party Contract)</t>
        </is>
      </c>
      <c r="D4261" t="inlineStr">
        <is>
          <t>RMIT University Vietnam</t>
        </is>
      </c>
      <c r="E4261" t="inlineStr">
        <is>
          <t>Thương lượng</t>
        </is>
      </c>
      <c r="F4261" t="inlineStr">
        <is>
          <t>Hồ Chí Minh</t>
        </is>
      </c>
      <c r="G4261" t="inlineStr">
        <is>
          <t>Nhân viên</t>
        </is>
      </c>
      <c r="H4261" t="inlineStr">
        <is>
          <t>12/02/2026</t>
        </is>
      </c>
      <c r="I4261" t="inlineStr">
        <is>
          <t>29/03/2026</t>
        </is>
      </c>
      <c r="J4261" t="inlineStr">
        <is>
          <t>17/03/2026</t>
        </is>
      </c>
      <c r="K4261" t="inlineStr">
        <is>
          <t>N/A</t>
        </is>
      </c>
      <c r="L4261" t="inlineStr">
        <is>
          <t>Organizational Change Management, Organizational Management, Planning, Relationship Management, Stakeholder Management</t>
        </is>
      </c>
      <c r="M4261" t="inlineStr">
        <is>
          <t>Healthcare Plan, Paid Leave, Library, Others</t>
        </is>
      </c>
      <c r="N4261" s="8">
        <f>HYPERLINK("https://www.vietnamworks.com/senior-change-analyst-12-months-and-third-party-contract-2011662-jv","Xem chi tiết")</f>
        <v/>
      </c>
    </row>
    <row r="4262">
      <c r="B4262" s="9" t="n">
        <v>4260</v>
      </c>
      <c r="C4262" s="10" t="inlineStr">
        <is>
          <t>Sales Thị Trường - Thu Nhập TB 15-25 Triệu</t>
        </is>
      </c>
      <c r="D4262" s="10" t="inlineStr">
        <is>
          <t>CÔNG TY TNHH THỂ THAO VÀ THƯƠNG MẠI MIỀN BẮC</t>
        </is>
      </c>
      <c r="E4262" s="10" t="inlineStr">
        <is>
          <t>15tr-25tr ₫/tháng</t>
        </is>
      </c>
      <c r="F4262" s="10" t="inlineStr">
        <is>
          <t>Hà Nội</t>
        </is>
      </c>
      <c r="G4262" s="10" t="inlineStr">
        <is>
          <t>Mới Tốt Nghiệp</t>
        </is>
      </c>
      <c r="H4262" s="10" t="inlineStr">
        <is>
          <t>12/02/2026</t>
        </is>
      </c>
      <c r="I4262" s="10" t="inlineStr">
        <is>
          <t>29/03/2026</t>
        </is>
      </c>
      <c r="J4262" s="10" t="inlineStr">
        <is>
          <t>17/03/2026</t>
        </is>
      </c>
      <c r="K4262" s="10" t="inlineStr">
        <is>
          <t>N/A</t>
        </is>
      </c>
      <c r="L4262" s="10" t="inlineStr">
        <is>
          <t>Kinh Doanh Thị Trường, Nhân viên kinh doanh, Phát Triển Thị Trường, Bán Hàng Trực Tiếp, Sales Executive</t>
        </is>
      </c>
      <c r="M4262" s="10" t="inlineStr">
        <is>
          <t>Bonus, Healthcare Plan</t>
        </is>
      </c>
      <c r="N4262" s="11">
        <f>HYPERLINK("https://www.vietnamworks.com/sales-thi-truong-thu-nhap-tb-15-25-trieu-2011672-jv","Xem chi tiết")</f>
        <v/>
      </c>
      <c r="O4262" s="10" t="n"/>
    </row>
    <row r="4263">
      <c r="B4263" s="7" t="n">
        <v>4261</v>
      </c>
      <c r="C4263" t="inlineStr">
        <is>
          <t>CONTENT MARKETING- PHÁT TRIỂN NỘI DUNG &amp; THƯƠNG HIỆU</t>
        </is>
      </c>
      <c r="D4263" t="inlineStr">
        <is>
          <t>Solid English</t>
        </is>
      </c>
      <c r="E4263" t="inlineStr">
        <is>
          <t>9tr-15tr ₫/tháng</t>
        </is>
      </c>
      <c r="F4263" t="inlineStr">
        <is>
          <t>Hà Nội</t>
        </is>
      </c>
      <c r="G4263" t="inlineStr">
        <is>
          <t>Nhân viên</t>
        </is>
      </c>
      <c r="H4263" t="inlineStr">
        <is>
          <t>12/02/2026</t>
        </is>
      </c>
      <c r="I4263" t="inlineStr">
        <is>
          <t>29/03/2026</t>
        </is>
      </c>
      <c r="J4263" t="inlineStr">
        <is>
          <t>17/03/2026</t>
        </is>
      </c>
      <c r="K4263" t="inlineStr">
        <is>
          <t>N/A</t>
        </is>
      </c>
      <c r="L4263" t="inlineStr">
        <is>
          <t>Giáo Dục Đào Tạo, Content, Digital Content, Thiết Kế Cơ Bản, Trend Update</t>
        </is>
      </c>
      <c r="M4263" t="inlineStr">
        <is>
          <t>Bonus, Healthcare Plan, Paid Leave, Training, Travel Opportunities, Others</t>
        </is>
      </c>
      <c r="N4263" s="8">
        <f>HYPERLINK("https://www.vietnamworks.com/content-marketing-phat-trien-noi-dung-and-thuong-hieu-2011670-jv","Xem chi tiết")</f>
        <v/>
      </c>
    </row>
    <row r="4264">
      <c r="B4264" s="9" t="n">
        <v>4262</v>
      </c>
      <c r="C4264" s="10" t="inlineStr">
        <is>
          <t>Giám Sát MEP</t>
        </is>
      </c>
      <c r="D4264" s="10" t="inlineStr">
        <is>
          <t>Công Ty Cổ Phần Trang Trí Nội Thất Sen</t>
        </is>
      </c>
      <c r="E4264" s="10" t="inlineStr">
        <is>
          <t>17tr-20tr ₫/tháng</t>
        </is>
      </c>
      <c r="F4264" s="10" t="inlineStr">
        <is>
          <t>Hưng Yên, Bình Thuận, Hồ Chí Minh</t>
        </is>
      </c>
      <c r="G4264" s="10" t="inlineStr">
        <is>
          <t>Nhân viên</t>
        </is>
      </c>
      <c r="H4264" s="10" t="inlineStr">
        <is>
          <t>12/02/2026</t>
        </is>
      </c>
      <c r="I4264" s="10" t="inlineStr">
        <is>
          <t>29/03/2026</t>
        </is>
      </c>
      <c r="J4264" s="10" t="inlineStr">
        <is>
          <t>17/03/2026</t>
        </is>
      </c>
      <c r="K4264" s="10" t="inlineStr">
        <is>
          <t>N/A</t>
        </is>
      </c>
      <c r="L4264" s="10" t="inlineStr">
        <is>
          <t>MEP Construction, Project Management, Điện, Nội Thất, Xây Dựng</t>
        </is>
      </c>
      <c r="M4264" s="10" t="inlineStr">
        <is>
          <t>Bonus, Healthcare Plan, Others</t>
        </is>
      </c>
      <c r="N4264" s="11">
        <f>HYPERLINK("https://www.vietnamworks.com/giam-sat-mep-2011665-jv","Xem chi tiết")</f>
        <v/>
      </c>
      <c r="O4264" s="10" t="n"/>
    </row>
    <row r="4265">
      <c r="B4265" s="7" t="n">
        <v>4263</v>
      </c>
      <c r="C4265" t="inlineStr">
        <is>
          <t>Nhân Viên Hành Chính Nhân Sự</t>
        </is>
      </c>
      <c r="D4265" t="inlineStr">
        <is>
          <t>CÔNG TY CỔ PHẦN ĐẦU TƯ MÁY XÂY DỰNG HẢI ÂU</t>
        </is>
      </c>
      <c r="E4265" t="inlineStr">
        <is>
          <t>10tr-12tr ₫/tháng</t>
        </is>
      </c>
      <c r="F4265" t="inlineStr">
        <is>
          <t>Hà Nội</t>
        </is>
      </c>
      <c r="G4265" t="inlineStr">
        <is>
          <t>Nhân viên</t>
        </is>
      </c>
      <c r="H4265" t="inlineStr">
        <is>
          <t>12/02/2026</t>
        </is>
      </c>
      <c r="I4265" t="inlineStr">
        <is>
          <t>29/03/2026</t>
        </is>
      </c>
      <c r="J4265" t="inlineStr">
        <is>
          <t>17/03/2026</t>
        </is>
      </c>
      <c r="K4265" t="inlineStr">
        <is>
          <t>N/A</t>
        </is>
      </c>
      <c r="L4265" t="inlineStr">
        <is>
          <t>Tuyển Dụng, Quản Lý Hồ Sơ, Tin Học Văn Phòng, Human Resource, Hành Chính Nhân Sự</t>
        </is>
      </c>
      <c r="M4265" t="inlineStr">
        <is>
          <t>Bonus, Healthcare Plan, Awards, Others</t>
        </is>
      </c>
      <c r="N4265" s="8">
        <f>HYPERLINK("https://www.vietnamworks.com/nhan-vien-hanh-chinh-nhan-su-2011669-jv","Xem chi tiết")</f>
        <v/>
      </c>
    </row>
    <row r="4266">
      <c r="B4266" s="9" t="n">
        <v>4264</v>
      </c>
      <c r="C4266" s="10" t="inlineStr">
        <is>
          <t>CNC Manufacturing Factory Accountant</t>
        </is>
      </c>
      <c r="D4266" s="10" t="inlineStr">
        <is>
          <t>LEMBAK VIETNAM LIMITED LIABILITY COMPANY</t>
        </is>
      </c>
      <c r="E4266" s="10" t="inlineStr">
        <is>
          <t>Thương lượng</t>
        </is>
      </c>
      <c r="F4266" s="10" t="inlineStr">
        <is>
          <t>Bình Dương</t>
        </is>
      </c>
      <c r="G4266" s="10" t="inlineStr">
        <is>
          <t>Nhân viên</t>
        </is>
      </c>
      <c r="H4266" s="10" t="inlineStr">
        <is>
          <t>12/02/2026</t>
        </is>
      </c>
      <c r="I4266" s="10" t="inlineStr">
        <is>
          <t>29/03/2026</t>
        </is>
      </c>
      <c r="J4266" s="10" t="inlineStr">
        <is>
          <t>17/03/2026</t>
        </is>
      </c>
      <c r="K4266" s="10" t="inlineStr">
        <is>
          <t>N/A</t>
        </is>
      </c>
      <c r="L4266" s="10" t="inlineStr">
        <is>
          <t>Cost Accounting, Cost Analysis, Financial Reporting, Inventory Control, MS Excel</t>
        </is>
      </c>
      <c r="M4266" s="10" t="inlineStr">
        <is>
          <t>Bonus, Paid Leave, Training</t>
        </is>
      </c>
      <c r="N4266" s="11">
        <f>HYPERLINK("https://www.vietnamworks.com/cnc-manufacturing-factory-accountant-2011676-jv","Xem chi tiết")</f>
        <v/>
      </c>
      <c r="O4266" s="10" t="n"/>
    </row>
    <row r="4267">
      <c r="B4267" s="7" t="n">
        <v>4265</v>
      </c>
      <c r="C4267" t="inlineStr">
        <is>
          <t>TRỢ LÝ CEO - PHÁT TRIỂN THƯƠNG HIỆU &amp; ĐIỀU PHỐI HỆ THỐNG</t>
        </is>
      </c>
      <c r="D4267" t="inlineStr">
        <is>
          <t>Solid English</t>
        </is>
      </c>
      <c r="E4267" t="inlineStr">
        <is>
          <t>15tr-25tr ₫/tháng</t>
        </is>
      </c>
      <c r="F4267" t="inlineStr">
        <is>
          <t>Hà Nội</t>
        </is>
      </c>
      <c r="G4267" t="inlineStr">
        <is>
          <t>Nhân viên</t>
        </is>
      </c>
      <c r="H4267" t="inlineStr">
        <is>
          <t>12/02/2026</t>
        </is>
      </c>
      <c r="I4267" t="inlineStr">
        <is>
          <t>29/03/2026</t>
        </is>
      </c>
      <c r="J4267" t="inlineStr">
        <is>
          <t>17/03/2026</t>
        </is>
      </c>
      <c r="K4267" t="inlineStr">
        <is>
          <t>N/A</t>
        </is>
      </c>
      <c r="L4267" t="inlineStr">
        <is>
          <t>Giáo Dục Đào Tạo, Trend Update, Marketing, Phát Triển Thương Hiệu, Truyền Thông</t>
        </is>
      </c>
      <c r="M4267" t="inlineStr">
        <is>
          <t>Bonus, Healthcare Plan, Paid Leave, Training, Travel Opportunities, Others</t>
        </is>
      </c>
      <c r="N4267" s="8">
        <f>HYPERLINK("https://www.vietnamworks.com/tro-ly-ceo-phat-trien-thuong-hieu-and-djieu-phoi-he-thong-2011675-jv","Xem chi tiết")</f>
        <v/>
      </c>
    </row>
    <row r="4268">
      <c r="B4268" s="9" t="n">
        <v>4266</v>
      </c>
      <c r="C4268" s="10" t="inlineStr">
        <is>
          <t>Chemical Service Engineer (Kỹ Sư Dịch Vụ Kỹ Thuật Hóa Học)</t>
        </is>
      </c>
      <c r="D4268" s="10" t="inlineStr">
        <is>
          <t>TORRECID VIETNAM</t>
        </is>
      </c>
      <c r="E4268" s="10" t="inlineStr">
        <is>
          <t>Thương lượng</t>
        </is>
      </c>
      <c r="F4268" s="10" t="inlineStr">
        <is>
          <t>Vĩnh Phúc</t>
        </is>
      </c>
      <c r="G4268" s="10" t="inlineStr">
        <is>
          <t>Mới Tốt Nghiệp</t>
        </is>
      </c>
      <c r="H4268" s="10" t="inlineStr">
        <is>
          <t>12/02/2026</t>
        </is>
      </c>
      <c r="I4268" s="10" t="inlineStr">
        <is>
          <t>29/03/2026</t>
        </is>
      </c>
      <c r="J4268" s="10" t="inlineStr">
        <is>
          <t>17/03/2026</t>
        </is>
      </c>
      <c r="K4268" s="10" t="inlineStr">
        <is>
          <t>N/A</t>
        </is>
      </c>
      <c r="L4268" s="10" t="inlineStr">
        <is>
          <t>Chemical Knowledge, Technical Communications, Customer Support, Ceramic Technology, Relationship Building</t>
        </is>
      </c>
      <c r="M4268" s="10" t="inlineStr">
        <is>
          <t>Healthcare Plan, Paid Leave, Training, Others</t>
        </is>
      </c>
      <c r="N4268" s="11">
        <f>HYPERLINK("https://www.vietnamworks.com/chemical-service-engineer-ky-su-dich-vu-ky-thuat-hoa-hoc-2011679-jv","Xem chi tiết")</f>
        <v/>
      </c>
      <c r="O4268" s="10" t="n"/>
    </row>
    <row r="4269">
      <c r="B4269" s="7" t="n">
        <v>4267</v>
      </c>
      <c r="C4269" t="inlineStr">
        <is>
          <t>Human Resources (Business Administration)</t>
        </is>
      </c>
      <c r="D4269" t="inlineStr">
        <is>
          <t>CÔNG TY TNHH AORA CORPORATION VINA</t>
        </is>
      </c>
      <c r="E4269" t="inlineStr">
        <is>
          <t>7tr-12tr ₫/tháng</t>
        </is>
      </c>
      <c r="F4269" t="inlineStr">
        <is>
          <t>Hà Nội</t>
        </is>
      </c>
      <c r="G4269" t="inlineStr">
        <is>
          <t>Nhân viên</t>
        </is>
      </c>
      <c r="H4269" t="inlineStr">
        <is>
          <t>12/02/2026</t>
        </is>
      </c>
      <c r="I4269" t="inlineStr">
        <is>
          <t>29/03/2026</t>
        </is>
      </c>
      <c r="J4269" t="inlineStr">
        <is>
          <t>17/03/2026</t>
        </is>
      </c>
      <c r="K4269" t="inlineStr">
        <is>
          <t>N/A</t>
        </is>
      </c>
      <c r="L4269" t="inlineStr">
        <is>
          <t>Accounting, MISA Accounting Software, MS Office, Reporting Skills, Human Resources</t>
        </is>
      </c>
      <c r="M4269" t="inlineStr">
        <is>
          <t>Bonus, Healthcare Plan, Paid Leave, Others</t>
        </is>
      </c>
      <c r="N4269" s="8">
        <f>HYPERLINK("https://www.vietnamworks.com/human-resources-business-administration-2011678-jv","Xem chi tiết")</f>
        <v/>
      </c>
    </row>
    <row r="4270">
      <c r="B4270" s="9" t="n">
        <v>4268</v>
      </c>
      <c r="C4270" s="10" t="inlineStr">
        <is>
          <t>CENTER MANAGER - QUẢN LÝ TRUNG TÂM ( Nữ )</t>
        </is>
      </c>
      <c r="D4270" s="10" t="inlineStr">
        <is>
          <t>Solid English</t>
        </is>
      </c>
      <c r="E4270" s="10" t="inlineStr">
        <is>
          <t>30tr-45tr ₫/tháng</t>
        </is>
      </c>
      <c r="F4270" s="10" t="inlineStr">
        <is>
          <t>Hà Nội</t>
        </is>
      </c>
      <c r="G4270" s="10" t="inlineStr">
        <is>
          <t>Trưởng phòng</t>
        </is>
      </c>
      <c r="H4270" s="10" t="inlineStr">
        <is>
          <t>12/02/2026</t>
        </is>
      </c>
      <c r="I4270" s="10" t="inlineStr">
        <is>
          <t>29/03/2026</t>
        </is>
      </c>
      <c r="J4270" s="10" t="inlineStr">
        <is>
          <t>17/03/2026</t>
        </is>
      </c>
      <c r="K4270" s="10" t="inlineStr">
        <is>
          <t>N/A</t>
        </is>
      </c>
      <c r="L4270" s="10" t="inlineStr">
        <is>
          <t>Giáo Dục Đào Tạo, Giao Tiếp, Operation Management, Quản Lý Doanh Thu, Quản Trị Đội Ngũ</t>
        </is>
      </c>
      <c r="M4270" s="10" t="inlineStr">
        <is>
          <t>Bonus, Healthcare Plan, Paid Leave, Training, Travel Opportunities, Others</t>
        </is>
      </c>
      <c r="N4270" s="11">
        <f>HYPERLINK("https://www.vietnamworks.com/center-manager-quan-ly-trung-tam-nu-2011668-jv","Xem chi tiết")</f>
        <v/>
      </c>
      <c r="O4270" s="10" t="n"/>
    </row>
    <row r="4271">
      <c r="B4271" s="7" t="n">
        <v>4269</v>
      </c>
      <c r="C4271" t="inlineStr">
        <is>
          <t>Document Staff</t>
        </is>
      </c>
      <c r="D4271" t="inlineStr">
        <is>
          <t>CHI NHÁNH HẢI PHÒNG - CÔNG TY TNHH JINJIANG SHIPPING (VIỆT NAM)</t>
        </is>
      </c>
      <c r="E4271" t="inlineStr">
        <is>
          <t>Thương lượng</t>
        </is>
      </c>
      <c r="F4271" t="inlineStr">
        <is>
          <t>Hải Phòng</t>
        </is>
      </c>
      <c r="G4271" t="inlineStr">
        <is>
          <t>Nhân viên</t>
        </is>
      </c>
      <c r="H4271" t="inlineStr">
        <is>
          <t>12/02/2026</t>
        </is>
      </c>
      <c r="I4271" t="inlineStr">
        <is>
          <t>29/03/2026</t>
        </is>
      </c>
      <c r="J4271" t="inlineStr">
        <is>
          <t>17/03/2026</t>
        </is>
      </c>
      <c r="K4271" t="inlineStr">
        <is>
          <t>N/A</t>
        </is>
      </c>
      <c r="L4271" t="inlineStr">
        <is>
          <t>Export Documents, Import Management, English Language Proficiency, Office Software, Chinese proficiency</t>
        </is>
      </c>
      <c r="M4271" t="inlineStr">
        <is>
          <t>Bonus, Healthcare Plan, Transportation, Canteen</t>
        </is>
      </c>
      <c r="N4271" s="8">
        <f>HYPERLINK("https://www.vietnamworks.com/document-staff-2011689-jv","Xem chi tiết")</f>
        <v/>
      </c>
    </row>
    <row r="4272">
      <c r="B4272" s="9" t="n">
        <v>4270</v>
      </c>
      <c r="C4272" s="10" t="inlineStr">
        <is>
          <t>Sourcing Position (Purchaser)</t>
        </is>
      </c>
      <c r="D4272" s="10" t="inlineStr">
        <is>
          <t>CÔNG TY TNHH AORA CORPORATION VINA</t>
        </is>
      </c>
      <c r="E4272" s="10" t="inlineStr">
        <is>
          <t>7tr-14tr ₫/tháng</t>
        </is>
      </c>
      <c r="F4272" s="10" t="inlineStr">
        <is>
          <t>Hà Nội</t>
        </is>
      </c>
      <c r="G4272" s="10" t="inlineStr">
        <is>
          <t>Mới Tốt Nghiệp</t>
        </is>
      </c>
      <c r="H4272" s="10" t="inlineStr">
        <is>
          <t>12/02/2026</t>
        </is>
      </c>
      <c r="I4272" s="10" t="inlineStr">
        <is>
          <t>29/03/2026</t>
        </is>
      </c>
      <c r="J4272" s="10" t="inlineStr">
        <is>
          <t>17/03/2026</t>
        </is>
      </c>
      <c r="K4272" s="10" t="inlineStr">
        <is>
          <t>N/A</t>
        </is>
      </c>
      <c r="L4272" s="10" t="inlineStr">
        <is>
          <t>English, Market Research, MS Office, Sourcing</t>
        </is>
      </c>
      <c r="M4272" s="10" t="inlineStr">
        <is>
          <t>Bonus, Healthcare Plan, Others</t>
        </is>
      </c>
      <c r="N4272" s="11">
        <f>HYPERLINK("https://www.vietnamworks.com/sourcing-position-purchaser-2011687-jv","Xem chi tiết")</f>
        <v/>
      </c>
      <c r="O4272" s="10" t="n"/>
    </row>
    <row r="4273">
      <c r="B4273" s="7" t="n">
        <v>4271</v>
      </c>
      <c r="C4273" t="inlineStr">
        <is>
          <t>Sales &amp; Customer Communications</t>
        </is>
      </c>
      <c r="D4273" t="inlineStr">
        <is>
          <t>CÔNG TY TNHH AORA CORPORATION VINA</t>
        </is>
      </c>
      <c r="E4273" t="inlineStr">
        <is>
          <t>7tr-14tr ₫/tháng</t>
        </is>
      </c>
      <c r="F4273" t="inlineStr">
        <is>
          <t>Hà Nội</t>
        </is>
      </c>
      <c r="G4273" t="inlineStr">
        <is>
          <t>Mới Tốt Nghiệp</t>
        </is>
      </c>
      <c r="H4273" t="inlineStr">
        <is>
          <t>12/02/2026</t>
        </is>
      </c>
      <c r="I4273" t="inlineStr">
        <is>
          <t>29/03/2026</t>
        </is>
      </c>
      <c r="J4273" t="inlineStr">
        <is>
          <t>17/03/2026</t>
        </is>
      </c>
      <c r="K4273" t="inlineStr">
        <is>
          <t>N/A</t>
        </is>
      </c>
      <c r="L4273" t="inlineStr">
        <is>
          <t>Customer Communication, English, MS Office, Sales</t>
        </is>
      </c>
      <c r="M4273" t="inlineStr">
        <is>
          <t>Bonus, Others</t>
        </is>
      </c>
      <c r="N4273" s="8">
        <f>HYPERLINK("https://www.vietnamworks.com/sales-and-customer-communications-2011682-jv","Xem chi tiết")</f>
        <v/>
      </c>
    </row>
    <row r="4274">
      <c r="B4274" s="9" t="n">
        <v>4272</v>
      </c>
      <c r="C4274" s="10" t="inlineStr">
        <is>
          <t>Phó Phòng Hành Chính – Nhân Sự</t>
        </is>
      </c>
      <c r="D4274" s="10" t="inlineStr">
        <is>
          <t>Công Ty Cổ Phần ZME</t>
        </is>
      </c>
      <c r="E4274" s="10" t="inlineStr">
        <is>
          <t>Thương lượng</t>
        </is>
      </c>
      <c r="F4274" s="10" t="inlineStr">
        <is>
          <t>Hà Nội</t>
        </is>
      </c>
      <c r="G4274" s="10" t="inlineStr">
        <is>
          <t>Trưởng phòng</t>
        </is>
      </c>
      <c r="H4274" s="10" t="inlineStr">
        <is>
          <t>12/02/2026</t>
        </is>
      </c>
      <c r="I4274" s="10" t="inlineStr">
        <is>
          <t>29/03/2026</t>
        </is>
      </c>
      <c r="J4274" s="10" t="inlineStr">
        <is>
          <t>17/03/2026</t>
        </is>
      </c>
      <c r="K4274" s="10" t="inlineStr">
        <is>
          <t>N/A</t>
        </is>
      </c>
      <c r="L4274" s="10" t="inlineStr">
        <is>
          <t>Quản Trị Nhân Lực, Quản Trị Nhân Sự, Truyền Thông Nội Bộ, Tuyển Dụng, Đào Tạo</t>
        </is>
      </c>
      <c r="M4274" s="10" t="inlineStr">
        <is>
          <t>Bonus, Healthcare Plan, Training, Awards, Team Activities, Others</t>
        </is>
      </c>
      <c r="N4274" s="11">
        <f>HYPERLINK("https://www.vietnamworks.com/pho-phong-hanh-chinh-nhan-su-2011681-jv","Xem chi tiết")</f>
        <v/>
      </c>
      <c r="O4274" s="10" t="n"/>
    </row>
    <row r="4275">
      <c r="B4275" s="7" t="n">
        <v>4273</v>
      </c>
      <c r="C4275" t="inlineStr">
        <is>
          <t>Sales Staff</t>
        </is>
      </c>
      <c r="D4275" t="inlineStr">
        <is>
          <t>CHI NHÁNH HẢI PHÒNG - CÔNG TY TNHH JINJIANG SHIPPING (VIỆT NAM)</t>
        </is>
      </c>
      <c r="E4275" t="inlineStr">
        <is>
          <t>Thương lượng</t>
        </is>
      </c>
      <c r="F4275" t="inlineStr">
        <is>
          <t>Hải Phòng</t>
        </is>
      </c>
      <c r="G4275" t="inlineStr">
        <is>
          <t>Nhân viên</t>
        </is>
      </c>
      <c r="H4275" t="inlineStr">
        <is>
          <t>12/02/2026</t>
        </is>
      </c>
      <c r="I4275" t="inlineStr">
        <is>
          <t>29/03/2026</t>
        </is>
      </c>
      <c r="J4275" t="inlineStr">
        <is>
          <t>17/03/2026</t>
        </is>
      </c>
      <c r="K4275" t="inlineStr">
        <is>
          <t>N/A</t>
        </is>
      </c>
      <c r="L4275" t="inlineStr">
        <is>
          <t>Sales experience, English Language Proficiency, Chinese proficiency, Freight Brokerage, Communication Skills</t>
        </is>
      </c>
      <c r="M4275" t="inlineStr">
        <is>
          <t>Bonus, Healthcare Plan, Transportation, Canteen</t>
        </is>
      </c>
      <c r="N4275" s="8">
        <f>HYPERLINK("https://www.vietnamworks.com/sales-staff-2011693-jv","Xem chi tiết")</f>
        <v/>
      </c>
    </row>
    <row r="4276">
      <c r="B4276" s="9" t="n">
        <v>4274</v>
      </c>
      <c r="C4276" s="10" t="inlineStr">
        <is>
          <t>Commercial Operations Executive (SEA Expansion)</t>
        </is>
      </c>
      <c r="D4276" s="10" t="inlineStr">
        <is>
          <t>Anheuser- Busch Inbev (AB Inbev)</t>
        </is>
      </c>
      <c r="E4276" s="10" t="inlineStr">
        <is>
          <t>Thương lượng</t>
        </is>
      </c>
      <c r="F4276" s="10" t="inlineStr">
        <is>
          <t>Hồ Chí Minh</t>
        </is>
      </c>
      <c r="G4276" s="10" t="inlineStr">
        <is>
          <t>Nhân viên</t>
        </is>
      </c>
      <c r="H4276" s="10" t="inlineStr">
        <is>
          <t>12/02/2026</t>
        </is>
      </c>
      <c r="I4276" s="10" t="inlineStr">
        <is>
          <t>29/03/2026</t>
        </is>
      </c>
      <c r="J4276" s="10" t="inlineStr">
        <is>
          <t>17/03/2026</t>
        </is>
      </c>
      <c r="K4276" s="10" t="inlineStr">
        <is>
          <t>N/A</t>
        </is>
      </c>
      <c r="L4276" s="10" t="inlineStr">
        <is>
          <t>Account Receivable, Collaboration, Communication Skills, Contract Processing, Data Management</t>
        </is>
      </c>
      <c r="M4276" s="10" t="inlineStr">
        <is>
          <t>Bonus, Healthcare Plan, Paid Leave, Training, Others</t>
        </is>
      </c>
      <c r="N4276" s="11">
        <f>HYPERLINK("https://www.vietnamworks.com/commercial-operations-executive-sea-expansion-2011688-jv","Xem chi tiết")</f>
        <v/>
      </c>
      <c r="O4276" s="10" t="n"/>
    </row>
    <row r="4277">
      <c r="B4277" s="7" t="n">
        <v>4275</v>
      </c>
      <c r="C4277" t="inlineStr">
        <is>
          <t>HR Generalist (Focus in Timekeeping &amp; HR Software)</t>
        </is>
      </c>
      <c r="D4277" t="inlineStr">
        <is>
          <t>MiTek Việt Nam</t>
        </is>
      </c>
      <c r="E4277" t="inlineStr">
        <is>
          <t>Thương lượng</t>
        </is>
      </c>
      <c r="F4277" t="inlineStr">
        <is>
          <t>Hồ Chí Minh</t>
        </is>
      </c>
      <c r="G4277" t="inlineStr">
        <is>
          <t>Nhân viên</t>
        </is>
      </c>
      <c r="H4277" t="inlineStr">
        <is>
          <t>12/02/2026</t>
        </is>
      </c>
      <c r="I4277" t="inlineStr">
        <is>
          <t>29/03/2026</t>
        </is>
      </c>
      <c r="J4277" t="inlineStr">
        <is>
          <t>17/03/2026</t>
        </is>
      </c>
      <c r="K4277" t="inlineStr">
        <is>
          <t>N/A</t>
        </is>
      </c>
      <c r="L4277" t="inlineStr">
        <is>
          <t>Chấm Công, PIT, Hr Software, Reporting Skill, Human Resources (HR)</t>
        </is>
      </c>
      <c r="M4277" t="inlineStr">
        <is>
          <t>Bonus, Team Activities, Others</t>
        </is>
      </c>
      <c r="N4277" s="8">
        <f>HYPERLINK("https://www.vietnamworks.com/hr-generalist-focus-in-timekeeping-hr-software-2011680-jv","Xem chi tiết")</f>
        <v/>
      </c>
    </row>
    <row r="4278">
      <c r="B4278" s="9" t="n">
        <v>4276</v>
      </c>
      <c r="C4278" s="10" t="inlineStr">
        <is>
          <t>HRBP Executive - Chuyên Viên Đối Tác Nhân Sự</t>
        </is>
      </c>
      <c r="D4278" s="10" t="inlineStr">
        <is>
          <t>Mirae Asset Finance Company (Viet Nam) Ltd.</t>
        </is>
      </c>
      <c r="E4278" s="10" t="inlineStr">
        <is>
          <t>Thương lượng</t>
        </is>
      </c>
      <c r="F4278" s="10" t="inlineStr">
        <is>
          <t>Hồ Chí Minh</t>
        </is>
      </c>
      <c r="G4278" s="10" t="inlineStr">
        <is>
          <t>Nhân viên</t>
        </is>
      </c>
      <c r="H4278" s="10" t="inlineStr">
        <is>
          <t>12/02/2026</t>
        </is>
      </c>
      <c r="I4278" s="10" t="inlineStr">
        <is>
          <t>29/03/2026</t>
        </is>
      </c>
      <c r="J4278" s="10" t="inlineStr">
        <is>
          <t>17/03/2026</t>
        </is>
      </c>
      <c r="K4278" s="10" t="inlineStr">
        <is>
          <t>N/A</t>
        </is>
      </c>
      <c r="L4278" s="10" t="inlineStr">
        <is>
          <t>Bilingual Proficiency, HR Policy Execution, Labour Discipline Management, MS Office, Performance Appraisal</t>
        </is>
      </c>
      <c r="M4278" s="10" t="inlineStr">
        <is>
          <t>Bonus, Healthcare Plan, Paid Leave, Others</t>
        </is>
      </c>
      <c r="N4278" s="11">
        <f>HYPERLINK("https://www.vietnamworks.com/hrbp-executive-chuyen-vien-djoi-tac-nhan-su-2011696-jv","Xem chi tiết")</f>
        <v/>
      </c>
      <c r="O4278" s="10" t="n"/>
    </row>
    <row r="4279">
      <c r="B4279" s="7" t="n">
        <v>4277</v>
      </c>
      <c r="C4279" t="inlineStr">
        <is>
          <t>Organization Development Executive - Chuyên Viên Phát Triển Tổ Chức</t>
        </is>
      </c>
      <c r="D4279" t="inlineStr">
        <is>
          <t>Mirae Asset Finance Company (Viet Nam) Ltd.</t>
        </is>
      </c>
      <c r="E4279" t="inlineStr">
        <is>
          <t>Thương lượng</t>
        </is>
      </c>
      <c r="F4279" t="inlineStr">
        <is>
          <t>Hồ Chí Minh</t>
        </is>
      </c>
      <c r="G4279" t="inlineStr">
        <is>
          <t>Nhân viên</t>
        </is>
      </c>
      <c r="H4279" t="inlineStr">
        <is>
          <t>12/02/2026</t>
        </is>
      </c>
      <c r="I4279" t="inlineStr">
        <is>
          <t>29/03/2026</t>
        </is>
      </c>
      <c r="J4279" t="inlineStr">
        <is>
          <t>17/03/2026</t>
        </is>
      </c>
      <c r="K4279" t="inlineStr">
        <is>
          <t>N/A</t>
        </is>
      </c>
      <c r="L4279" t="inlineStr">
        <is>
          <t>Analytical Thinking, Communication, MES System Management, Organizational Design, Performance Management</t>
        </is>
      </c>
      <c r="M4279" t="inlineStr">
        <is>
          <t>Bonus, Paid Leave, Travel Opportunities</t>
        </is>
      </c>
      <c r="N4279" s="8">
        <f>HYPERLINK("https://www.vietnamworks.com/organization-development-executive-chuyen-vien-phat-trien-to-chuc-2011692-jv","Xem chi tiết")</f>
        <v/>
      </c>
    </row>
    <row r="4280">
      <c r="B4280" s="9" t="n">
        <v>4278</v>
      </c>
      <c r="C4280" s="10" t="inlineStr">
        <is>
          <t>Nhân Viên Kinh Doanh Dự Án – Xi Măng (B2B)</t>
        </is>
      </c>
      <c r="D4280" s="10" t="inlineStr">
        <is>
          <t>CÔNG TY CỔ PHẦN THƯƠNG MẠI XI MĂNG SAO MAI</t>
        </is>
      </c>
      <c r="E4280" s="10" t="inlineStr">
        <is>
          <t>15tr-50tr ₫/tháng</t>
        </is>
      </c>
      <c r="F4280" s="10" t="inlineStr">
        <is>
          <t>Hồ Chí Minh</t>
        </is>
      </c>
      <c r="G4280" s="10" t="inlineStr">
        <is>
          <t>Nhân viên</t>
        </is>
      </c>
      <c r="H4280" s="10" t="inlineStr">
        <is>
          <t>12/02/2026</t>
        </is>
      </c>
      <c r="I4280" s="10" t="inlineStr">
        <is>
          <t>29/03/2026</t>
        </is>
      </c>
      <c r="J4280" s="10" t="inlineStr">
        <is>
          <t>17/03/2026</t>
        </is>
      </c>
      <c r="K4280" s="10" t="inlineStr">
        <is>
          <t>N/A</t>
        </is>
      </c>
      <c r="L4280" s="10" t="inlineStr">
        <is>
          <t>Kinh Tế Xây Dựng, Quản trị Kinh doanh, Sales B2B, Dự Án Công Nghiệp, Vật liệu xây dựng</t>
        </is>
      </c>
      <c r="M4280" s="10" t="inlineStr">
        <is>
          <t>Bonus, Healthcare Plan, Paid Leave, Training, Team Activities, Others</t>
        </is>
      </c>
      <c r="N4280" s="11">
        <f>HYPERLINK("https://www.vietnamworks.com/nhan-vien-kinh-doanh-du-an-xi-mang-b2b-2011691-jv","Xem chi tiết")</f>
        <v/>
      </c>
      <c r="O4280" s="10" t="n"/>
    </row>
    <row r="4281">
      <c r="B4281" s="7" t="n">
        <v>4279</v>
      </c>
      <c r="C4281" t="inlineStr">
        <is>
          <t>Area Pull Sales Executive</t>
        </is>
      </c>
      <c r="D4281" t="inlineStr">
        <is>
          <t>Công ty TNHH công nghiệp Vĩnh Tường miền bắc Việt Nam</t>
        </is>
      </c>
      <c r="E4281" t="inlineStr">
        <is>
          <t>Thương lượng</t>
        </is>
      </c>
      <c r="F4281" t="inlineStr">
        <is>
          <t>Cà Mau</t>
        </is>
      </c>
      <c r="G4281" t="inlineStr">
        <is>
          <t>Nhân viên</t>
        </is>
      </c>
      <c r="H4281" t="inlineStr">
        <is>
          <t>12/02/2026</t>
        </is>
      </c>
      <c r="I4281" t="inlineStr">
        <is>
          <t>29/03/2026</t>
        </is>
      </c>
      <c r="J4281" t="inlineStr">
        <is>
          <t>17/03/2026</t>
        </is>
      </c>
      <c r="K4281" t="inlineStr">
        <is>
          <t>N/A</t>
        </is>
      </c>
      <c r="L4281" t="inlineStr">
        <is>
          <t>Bán Hàng, Kinh Doanh, Kinh Doanh Khu Vực</t>
        </is>
      </c>
      <c r="M4281" t="inlineStr">
        <is>
          <t>Bonus, Healthcare Plan, Training</t>
        </is>
      </c>
      <c r="N4281" s="8">
        <f>HYPERLINK("https://www.vietnamworks.com/area-pull-sales-executive-2011703-jv","Xem chi tiết")</f>
        <v/>
      </c>
    </row>
    <row r="4282">
      <c r="B4282" s="9" t="n">
        <v>4280</v>
      </c>
      <c r="C4282" s="10" t="inlineStr">
        <is>
          <t>Kỹ Sư Cơ Điện/ Điện/ Điện Nhẹ/ HVAC</t>
        </is>
      </c>
      <c r="D4282" s="10" t="inlineStr">
        <is>
          <t>Công Ty Cổ Phần ZME</t>
        </is>
      </c>
      <c r="E4282" s="10" t="inlineStr">
        <is>
          <t>25tr-30tr ₫/tháng</t>
        </is>
      </c>
      <c r="F4282" s="10" t="inlineStr">
        <is>
          <t>Hà Nội</t>
        </is>
      </c>
      <c r="G4282" s="10" t="inlineStr">
        <is>
          <t>Nhân viên</t>
        </is>
      </c>
      <c r="H4282" s="10" t="inlineStr">
        <is>
          <t>12/02/2026</t>
        </is>
      </c>
      <c r="I4282" s="10" t="inlineStr">
        <is>
          <t>29/03/2026</t>
        </is>
      </c>
      <c r="J4282" s="10" t="inlineStr">
        <is>
          <t>17/03/2026</t>
        </is>
      </c>
      <c r="K4282" s="10" t="inlineStr">
        <is>
          <t>N/A</t>
        </is>
      </c>
      <c r="L4282" s="10" t="inlineStr">
        <is>
          <t>Autocad, Chiller System, Giám Sát Thi Công HVAC, Quản Lý Dự Án, Điện Lạnh</t>
        </is>
      </c>
      <c r="M4282" s="10" t="inlineStr">
        <is>
          <t>Bonus, Healthcare Plan, Training, Awards, Team Activities, Others</t>
        </is>
      </c>
      <c r="N4282" s="11">
        <f>HYPERLINK("https://www.vietnamworks.com/ky-su-co-djien-djien-djien-nhe-hvac-2011695-jv","Xem chi tiết")</f>
        <v/>
      </c>
      <c r="O4282" s="10" t="n"/>
    </row>
    <row r="4283">
      <c r="B4283" s="7" t="n">
        <v>4281</v>
      </c>
      <c r="C4283" t="inlineStr">
        <is>
          <t>Chỉ Huy Trưởng| Điều Phối Dự Án MEP</t>
        </is>
      </c>
      <c r="D4283" t="inlineStr">
        <is>
          <t>Công Ty Cổ Phần ZME</t>
        </is>
      </c>
      <c r="E4283" t="inlineStr">
        <is>
          <t>$$ 1,000-2,000 /tháng</t>
        </is>
      </c>
      <c r="F4283" t="inlineStr">
        <is>
          <t>Hà Nội</t>
        </is>
      </c>
      <c r="G4283" t="inlineStr">
        <is>
          <t>Nhân viên</t>
        </is>
      </c>
      <c r="H4283" t="inlineStr">
        <is>
          <t>12/02/2026</t>
        </is>
      </c>
      <c r="I4283" t="inlineStr">
        <is>
          <t>29/03/2026</t>
        </is>
      </c>
      <c r="J4283" t="inlineStr">
        <is>
          <t>17/03/2026</t>
        </is>
      </c>
      <c r="K4283" t="inlineStr">
        <is>
          <t>N/A</t>
        </is>
      </c>
      <c r="L4283" t="inlineStr">
        <is>
          <t>Autocad, MS Office, Quản Lý Dự Án, Thiết Kế Hệ Thống MEP, Thiết Kế Biện Pháp Thi Công</t>
        </is>
      </c>
      <c r="M4283" t="inlineStr">
        <is>
          <t>Bonus, Healthcare Plan, Paid Leave, Training, Awards, Team Activities</t>
        </is>
      </c>
      <c r="N4283" s="8">
        <f>HYPERLINK("https://www.vietnamworks.com/chi-huy-truongor-djieu-phoi-du-an-mep-2011685-jv","Xem chi tiết")</f>
        <v/>
      </c>
    </row>
    <row r="4284">
      <c r="B4284" s="9" t="n">
        <v>4282</v>
      </c>
      <c r="C4284" s="10" t="inlineStr">
        <is>
          <t>Kỹ Sư Tư Vấn Giải Pháp Cơ Điện (Presales)</t>
        </is>
      </c>
      <c r="D4284" s="10" t="inlineStr">
        <is>
          <t>Công Ty Cổ Phần ZME</t>
        </is>
      </c>
      <c r="E4284" s="10" t="inlineStr">
        <is>
          <t>$$ 1,000-2,000 /tháng</t>
        </is>
      </c>
      <c r="F4284" s="10" t="inlineStr">
        <is>
          <t>Hà Nội</t>
        </is>
      </c>
      <c r="G4284" s="10" t="inlineStr">
        <is>
          <t>Nhân viên</t>
        </is>
      </c>
      <c r="H4284" s="10" t="inlineStr">
        <is>
          <t>12/02/2026</t>
        </is>
      </c>
      <c r="I4284" s="10" t="inlineStr">
        <is>
          <t>29/03/2026</t>
        </is>
      </c>
      <c r="J4284" s="10" t="inlineStr">
        <is>
          <t>17/03/2026</t>
        </is>
      </c>
      <c r="K4284" s="10" t="inlineStr">
        <is>
          <t>N/A</t>
        </is>
      </c>
      <c r="L4284" s="10" t="inlineStr">
        <is>
          <t>Kinh Doanh, Kinh Doanh Kỹ Thuật, Kinh Tế, Phát Triển Thị Trường, Tư Vấn Giải Pháp</t>
        </is>
      </c>
      <c r="M4284" s="10" t="inlineStr">
        <is>
          <t>Bonus, Healthcare Plan, Awards, Team Activities, Others</t>
        </is>
      </c>
      <c r="N4284" s="11">
        <f>HYPERLINK("https://www.vietnamworks.com/ky-su-tu-van-giai-phap-co-djien-presales-2011694-jv","Xem chi tiết")</f>
        <v/>
      </c>
      <c r="O4284" s="10" t="n"/>
    </row>
    <row r="4285">
      <c r="B4285" s="7" t="n">
        <v>4283</v>
      </c>
      <c r="C4285" t="inlineStr">
        <is>
          <t>Telesales/CS-Customer Service /Chăm sóc khách hàng</t>
        </is>
      </c>
      <c r="D4285" t="inlineStr">
        <is>
          <t>Công ty Cổ Phần Mecsu</t>
        </is>
      </c>
      <c r="E4285" t="inlineStr">
        <is>
          <t>8tr-12tr ₫/tháng</t>
        </is>
      </c>
      <c r="F4285" t="inlineStr">
        <is>
          <t>Hồ Chí Minh</t>
        </is>
      </c>
      <c r="G4285" t="inlineStr">
        <is>
          <t>Mới Tốt Nghiệp</t>
        </is>
      </c>
      <c r="H4285" t="inlineStr">
        <is>
          <t>12/02/2026</t>
        </is>
      </c>
      <c r="I4285" t="inlineStr">
        <is>
          <t>29/03/2026</t>
        </is>
      </c>
      <c r="J4285" t="inlineStr">
        <is>
          <t>17/03/2026</t>
        </is>
      </c>
      <c r="K4285" t="inlineStr">
        <is>
          <t>N/A</t>
        </is>
      </c>
      <c r="L4285" t="inlineStr">
        <is>
          <t>Gia Công Áp Lực, Giao Tiếp, Giao Tiếp Chủ Động, Làm Việc Nhóm, Tin Học Văn Phòng</t>
        </is>
      </c>
      <c r="M4285" t="inlineStr">
        <is>
          <t>Bonus, Healthcare Plan, Team Activities, Others</t>
        </is>
      </c>
      <c r="N4285" s="8">
        <f>HYPERLINK("https://www.vietnamworks.com/telesalescs-customer-service-cham-soc-khach-hang-2011698-jv","Xem chi tiết")</f>
        <v/>
      </c>
    </row>
    <row r="4286">
      <c r="B4286" s="9" t="n">
        <v>4284</v>
      </c>
      <c r="C4286" s="10" t="inlineStr">
        <is>
          <t>Technical Solution Development Executive</t>
        </is>
      </c>
      <c r="D4286" s="10" t="inlineStr">
        <is>
          <t>Công ty TNHH công nghiệp Vĩnh Tường miền bắc Việt Nam</t>
        </is>
      </c>
      <c r="E4286" s="10" t="inlineStr">
        <is>
          <t>Thương lượng</t>
        </is>
      </c>
      <c r="F4286" s="10" t="inlineStr">
        <is>
          <t>Hồ Chí Minh</t>
        </is>
      </c>
      <c r="G4286" s="10" t="inlineStr">
        <is>
          <t>Nhân viên</t>
        </is>
      </c>
      <c r="H4286" s="10" t="inlineStr">
        <is>
          <t>12/02/2026</t>
        </is>
      </c>
      <c r="I4286" s="10" t="inlineStr">
        <is>
          <t>29/03/2026</t>
        </is>
      </c>
      <c r="J4286" s="10" t="inlineStr">
        <is>
          <t>17/03/2026</t>
        </is>
      </c>
      <c r="K4286" s="10" t="inlineStr">
        <is>
          <t>N/A</t>
        </is>
      </c>
      <c r="L4286" s="10" t="inlineStr">
        <is>
          <t>Material Applications Knowledge, Material Development, Technical Solutions, Engineering Product, Technical Support</t>
        </is>
      </c>
      <c r="M4286" s="10" t="inlineStr">
        <is>
          <t>Healthcare Plan, Training, Laptop</t>
        </is>
      </c>
      <c r="N4286" s="11">
        <f>HYPERLINK("https://www.vietnamworks.com/technical-solution-development-executive--2011700-jv","Xem chi tiết")</f>
        <v/>
      </c>
      <c r="O4286" s="10" t="n"/>
    </row>
    <row r="4287">
      <c r="B4287" s="7" t="n">
        <v>4285</v>
      </c>
      <c r="C4287" t="inlineStr">
        <is>
          <t>Nhân Viên QC/ PQC</t>
        </is>
      </c>
      <c r="D4287" t="inlineStr">
        <is>
          <t>Minebea AccessSolutions Vietnam Ltd.</t>
        </is>
      </c>
      <c r="E4287" t="inlineStr">
        <is>
          <t>$$ 400-550 /tháng</t>
        </is>
      </c>
      <c r="F4287" t="inlineStr">
        <is>
          <t>Hà Nam</t>
        </is>
      </c>
      <c r="G4287" t="inlineStr">
        <is>
          <t>Nhân viên</t>
        </is>
      </c>
      <c r="H4287" t="inlineStr">
        <is>
          <t>12/02/2026</t>
        </is>
      </c>
      <c r="I4287" t="inlineStr">
        <is>
          <t>29/03/2026</t>
        </is>
      </c>
      <c r="J4287" t="inlineStr">
        <is>
          <t>17/03/2026</t>
        </is>
      </c>
      <c r="K4287" t="inlineStr">
        <is>
          <t>N/A</t>
        </is>
      </c>
      <c r="L4287" t="inlineStr">
        <is>
          <t>Quality Control, QC, Quản Lý Chất Lượng PQC, Tiếng Anh, Tiếng Nhật</t>
        </is>
      </c>
      <c r="M4287" t="inlineStr">
        <is>
          <t>Bonus, Library, Others</t>
        </is>
      </c>
      <c r="N4287" s="8">
        <f>HYPERLINK("https://www.vietnamworks.com/nhan-vien-qc-pqc-2011701-jv","Xem chi tiết")</f>
        <v/>
      </c>
    </row>
    <row r="4288">
      <c r="B4288" s="9" t="n">
        <v>4286</v>
      </c>
      <c r="C4288" s="10" t="inlineStr">
        <is>
          <t>Kế Toán Tổng Hợp (Tương Lai Lên Kế Toán Trưởng)</t>
        </is>
      </c>
      <c r="D4288" s="10" t="inlineStr">
        <is>
          <t>CÔNG TY TNHH FUJIX ELECTRONIC VIỆT NAM</t>
        </is>
      </c>
      <c r="E4288" s="10" t="inlineStr">
        <is>
          <t>22tr-25tr ₫/tháng</t>
        </is>
      </c>
      <c r="F4288" s="10" t="inlineStr">
        <is>
          <t>Quảng Ninh</t>
        </is>
      </c>
      <c r="G4288" s="10" t="inlineStr">
        <is>
          <t>Nhân viên</t>
        </is>
      </c>
      <c r="H4288" s="10" t="inlineStr">
        <is>
          <t>12/02/2026</t>
        </is>
      </c>
      <c r="I4288" s="10" t="inlineStr">
        <is>
          <t>29/03/2026</t>
        </is>
      </c>
      <c r="J4288" s="10" t="inlineStr">
        <is>
          <t>17/03/2026</t>
        </is>
      </c>
      <c r="K4288" s="10" t="inlineStr">
        <is>
          <t>N/A</t>
        </is>
      </c>
      <c r="L4288" s="10" t="inlineStr">
        <is>
          <t>Kế Toán Tổng Hợp, Phân Tích Số Liệu, Báo Cáo Thuế, Hạch Toán, Tài Chính Kế Toán</t>
        </is>
      </c>
      <c r="M4288" s="10" t="inlineStr">
        <is>
          <t>Bonus, Healthcare Plan, Paid Leave, Transportation, Others</t>
        </is>
      </c>
      <c r="N4288" s="11">
        <f>HYPERLINK("https://www.vietnamworks.com/ke-toan-tong-hop-tuong-lai-len-ke-toan-truong-2011705-jv","Xem chi tiết")</f>
        <v/>
      </c>
      <c r="O4288" s="10" t="n"/>
    </row>
    <row r="4289">
      <c r="B4289" s="7" t="n">
        <v>4287</v>
      </c>
      <c r="C4289" t="inlineStr">
        <is>
          <t>Chuyên Viên Kinh Doanh Thương Mại Quốc Tế / International Trade Sales Specialist</t>
        </is>
      </c>
      <c r="D4289" t="inlineStr">
        <is>
          <t>Công Ty Cổ Phần ZME</t>
        </is>
      </c>
      <c r="E4289" t="inlineStr">
        <is>
          <t>$$ 1,000-2,000 /tháng</t>
        </is>
      </c>
      <c r="F4289" t="inlineStr">
        <is>
          <t>Hà Nội</t>
        </is>
      </c>
      <c r="G4289" t="inlineStr">
        <is>
          <t>Nhân viên</t>
        </is>
      </c>
      <c r="H4289" t="inlineStr">
        <is>
          <t>12/02/2026</t>
        </is>
      </c>
      <c r="I4289" t="inlineStr">
        <is>
          <t>29/03/2026</t>
        </is>
      </c>
      <c r="J4289" t="inlineStr">
        <is>
          <t>17/03/2026</t>
        </is>
      </c>
      <c r="K4289" t="inlineStr">
        <is>
          <t>N/A</t>
        </is>
      </c>
      <c r="L4289" t="inlineStr">
        <is>
          <t>B2B Sales, Kinh Doanh B2B, Quản trị Kinh doanh, Giao dịch thương mại quốc tế</t>
        </is>
      </c>
      <c r="M4289" t="inlineStr">
        <is>
          <t>Bonus, Healthcare Plan, Paid Leave, Awards, Team Activities, Others</t>
        </is>
      </c>
      <c r="N4289" s="8">
        <f>HYPERLINK("https://www.vietnamworks.com/chuyen-vien-kinh-doanh-thuong-mai-quoc-te-international-trade-sales-specialist-2011690-jv","Xem chi tiết")</f>
        <v/>
      </c>
    </row>
    <row r="4290">
      <c r="B4290" s="9" t="n">
        <v>4288</v>
      </c>
      <c r="C4290" s="10" t="inlineStr">
        <is>
          <t>Customer Support (Chinese Speaking)</t>
        </is>
      </c>
      <c r="D4290" s="10" t="inlineStr">
        <is>
          <t>KEYENCE CORPORATION</t>
        </is>
      </c>
      <c r="E4290" s="10" t="inlineStr">
        <is>
          <t>13tr-15tr ₫/tháng</t>
        </is>
      </c>
      <c r="F4290" s="10" t="inlineStr">
        <is>
          <t>Hà Nội, Hồ Chí Minh</t>
        </is>
      </c>
      <c r="G4290" s="10" t="inlineStr">
        <is>
          <t>Mới Tốt Nghiệp</t>
        </is>
      </c>
      <c r="H4290" s="10" t="inlineStr">
        <is>
          <t>12/02/2026</t>
        </is>
      </c>
      <c r="I4290" s="10" t="inlineStr">
        <is>
          <t>29/03/2026</t>
        </is>
      </c>
      <c r="J4290" s="10" t="inlineStr">
        <is>
          <t>17/03/2026</t>
        </is>
      </c>
      <c r="K4290" s="10" t="inlineStr">
        <is>
          <t>N/A</t>
        </is>
      </c>
      <c r="L4290" s="10" t="inlineStr">
        <is>
          <t>Chinese Speaking, Customer Support, Quản Lý Đơn Hàng, Tiếng Anh, Xuất Nhập Khẩu</t>
        </is>
      </c>
      <c r="M4290" s="10" t="inlineStr">
        <is>
          <t>Bonus, Healthcare Plan, Paid Leave, Laptop, Mobile, Others</t>
        </is>
      </c>
      <c r="N4290" s="11">
        <f>HYPERLINK("https://www.vietnamworks.com/customer-support-chinese-speaking-2011704-jv","Xem chi tiết")</f>
        <v/>
      </c>
      <c r="O4290" s="10" t="n"/>
    </row>
    <row r="4291">
      <c r="B4291" s="7" t="n">
        <v>4289</v>
      </c>
      <c r="C4291" t="inlineStr">
        <is>
          <t>Junior IT Support (15 - 25M)</t>
        </is>
      </c>
      <c r="D4291" t="inlineStr">
        <is>
          <t>KEYENCE CORPORATION</t>
        </is>
      </c>
      <c r="E4291" t="inlineStr">
        <is>
          <t>15tr-25tr ₫/tháng</t>
        </is>
      </c>
      <c r="F4291" t="inlineStr">
        <is>
          <t>Hà Nội</t>
        </is>
      </c>
      <c r="G4291" t="inlineStr">
        <is>
          <t>Mới Tốt Nghiệp</t>
        </is>
      </c>
      <c r="H4291" t="inlineStr">
        <is>
          <t>12/02/2026</t>
        </is>
      </c>
      <c r="I4291" t="inlineStr">
        <is>
          <t>29/03/2026</t>
        </is>
      </c>
      <c r="J4291" t="inlineStr">
        <is>
          <t>17/03/2026</t>
        </is>
      </c>
      <c r="K4291" t="inlineStr">
        <is>
          <t>N/A</t>
        </is>
      </c>
      <c r="L4291" t="inlineStr">
        <is>
          <t>English, IT Support, Active Directory, MS365, Networking</t>
        </is>
      </c>
      <c r="M4291" t="inlineStr">
        <is>
          <t>Bonus, Healthcare Plan, Paid Leave, Laptop, Others</t>
        </is>
      </c>
      <c r="N4291" s="8">
        <f>HYPERLINK("https://www.vietnamworks.com/junior-it-support-15-25m-2011706-jv","Xem chi tiết")</f>
        <v/>
      </c>
    </row>
    <row r="4292">
      <c r="B4292" s="9" t="n">
        <v>4290</v>
      </c>
      <c r="C4292" s="10" t="inlineStr">
        <is>
          <t>Legal - Contract Management (Chinese &amp; English Speaking)</t>
        </is>
      </c>
      <c r="D4292" s="10" t="inlineStr">
        <is>
          <t>KEYENCE CORPORATION</t>
        </is>
      </c>
      <c r="E4292" s="10" t="inlineStr">
        <is>
          <t>Thương lượng</t>
        </is>
      </c>
      <c r="F4292" s="10" t="inlineStr">
        <is>
          <t>Hà Nội</t>
        </is>
      </c>
      <c r="G4292" s="10" t="inlineStr">
        <is>
          <t>Nhân viên</t>
        </is>
      </c>
      <c r="H4292" s="10" t="inlineStr">
        <is>
          <t>12/02/2026</t>
        </is>
      </c>
      <c r="I4292" s="10" t="inlineStr">
        <is>
          <t>29/03/2026</t>
        </is>
      </c>
      <c r="J4292" s="10" t="inlineStr">
        <is>
          <t>17/03/2026</t>
        </is>
      </c>
      <c r="K4292" s="10" t="inlineStr">
        <is>
          <t>N/A</t>
        </is>
      </c>
      <c r="L4292" s="10" t="inlineStr">
        <is>
          <t>Contract Management, Documentation Handling, Legal Counseling, Microsoft Office, Bilingual (Chinese &amp; English)</t>
        </is>
      </c>
      <c r="M4292" s="10" t="inlineStr">
        <is>
          <t>Bonus, Healthcare Plan, Paid Leave, Laptop, Others</t>
        </is>
      </c>
      <c r="N4292" s="11">
        <f>HYPERLINK("https://www.vietnamworks.com/legal-contract-management-chinese-english-speaking-2011708-jv","Xem chi tiết")</f>
        <v/>
      </c>
      <c r="O4292" s="10" t="n"/>
    </row>
    <row r="4293">
      <c r="B4293" s="7" t="n">
        <v>4291</v>
      </c>
      <c r="C4293" t="inlineStr">
        <is>
          <t>QC Inspector</t>
        </is>
      </c>
      <c r="D4293" t="inlineStr">
        <is>
          <t>CÔNG TY TNHH THƯƠNG MẠI MEDLINE VIỆT NAM</t>
        </is>
      </c>
      <c r="E4293" t="inlineStr">
        <is>
          <t>Thương lượng</t>
        </is>
      </c>
      <c r="F4293" t="inlineStr">
        <is>
          <t>Hà Nội</t>
        </is>
      </c>
      <c r="G4293" t="inlineStr">
        <is>
          <t>Nhân viên</t>
        </is>
      </c>
      <c r="H4293" t="inlineStr">
        <is>
          <t>12/02/2026</t>
        </is>
      </c>
      <c r="I4293" t="inlineStr">
        <is>
          <t>29/03/2026</t>
        </is>
      </c>
      <c r="J4293" t="inlineStr">
        <is>
          <t>17/03/2026</t>
        </is>
      </c>
      <c r="K4293" t="inlineStr">
        <is>
          <t>N/A</t>
        </is>
      </c>
      <c r="L4293" t="inlineStr">
        <is>
          <t>Quality Control, MS Office, 7QC, English, Quality Inspection</t>
        </is>
      </c>
      <c r="M4293" t="inlineStr">
        <is>
          <t>Training, Library, Others</t>
        </is>
      </c>
      <c r="N4293" s="8">
        <f>HYPERLINK("https://www.vietnamworks.com/qc-inspector-2011713-jv","Xem chi tiết")</f>
        <v/>
      </c>
    </row>
    <row r="4294">
      <c r="B4294" s="9" t="n">
        <v>4292</v>
      </c>
      <c r="C4294" s="10" t="inlineStr">
        <is>
          <t>Nhân Viên Xuất Nhập Khẩu</t>
        </is>
      </c>
      <c r="D4294" s="10" t="inlineStr">
        <is>
          <t>CÔNG TY TNHH ASSA ABLOY ENTRANCE SYSTEMS VIỆT NAM</t>
        </is>
      </c>
      <c r="E4294" s="10" t="inlineStr">
        <is>
          <t>12tr-15tr ₫/tháng</t>
        </is>
      </c>
      <c r="F4294" s="10" t="inlineStr">
        <is>
          <t>Hồ Chí Minh</t>
        </is>
      </c>
      <c r="G4294" s="10" t="inlineStr">
        <is>
          <t>Nhân viên</t>
        </is>
      </c>
      <c r="H4294" s="10" t="inlineStr">
        <is>
          <t>12/02/2026</t>
        </is>
      </c>
      <c r="I4294" s="10" t="inlineStr">
        <is>
          <t>29/03/2026</t>
        </is>
      </c>
      <c r="J4294" s="10" t="inlineStr">
        <is>
          <t>17/03/2026</t>
        </is>
      </c>
      <c r="K4294" s="10" t="inlineStr">
        <is>
          <t>N/A</t>
        </is>
      </c>
      <c r="L4294" s="10" t="inlineStr">
        <is>
          <t>Cẩn Thận, Chứng Từ Tiếng Trung, Hải Quan, Logistics, Xuất Nhập Khẩu</t>
        </is>
      </c>
      <c r="M4294" s="10" t="inlineStr">
        <is>
          <t>Bonus, Healthcare Plan, Paid Leave, Others</t>
        </is>
      </c>
      <c r="N4294" s="11">
        <f>HYPERLINK("https://www.vietnamworks.com/nhan-vien-xuat-nhap-khau-2011717-jv","Xem chi tiết")</f>
        <v/>
      </c>
      <c r="O4294" s="10" t="n"/>
    </row>
    <row r="4295">
      <c r="B4295" s="7" t="n">
        <v>4293</v>
      </c>
      <c r="C4295" t="inlineStr">
        <is>
          <t>Electrical Engineers/MEP Engineers/Supervisors</t>
        </is>
      </c>
      <c r="D4295" t="inlineStr">
        <is>
          <t>Bureau Veritas Vietnam Ltd.</t>
        </is>
      </c>
      <c r="E4295" t="inlineStr">
        <is>
          <t>$$ 500-1,000 /tháng</t>
        </is>
      </c>
      <c r="F4295" t="inlineStr">
        <is>
          <t>Hồ Chí Minh, Đà Nẵng, Hải Phòng</t>
        </is>
      </c>
      <c r="G4295" t="inlineStr">
        <is>
          <t>Nhân viên</t>
        </is>
      </c>
      <c r="H4295" t="inlineStr">
        <is>
          <t>12/02/2026</t>
        </is>
      </c>
      <c r="I4295" t="inlineStr">
        <is>
          <t>29/03/2026</t>
        </is>
      </c>
      <c r="J4295" t="inlineStr">
        <is>
          <t>17/03/2026</t>
        </is>
      </c>
      <c r="K4295" t="inlineStr">
        <is>
          <t>N/A</t>
        </is>
      </c>
      <c r="L4295" t="inlineStr">
        <is>
          <t>Electrical Engineering, independent work, Maintenance Engineering, Safety Compliance, Troubleshooting</t>
        </is>
      </c>
      <c r="M4295" t="inlineStr">
        <is>
          <t>Bonus, Healthcare Plan, Paid Leave, Travel Opportunities</t>
        </is>
      </c>
      <c r="N4295" s="8">
        <f>HYPERLINK("https://www.vietnamworks.com/electrical-engineersmep-engineerssupervisors-2011711-jv","Xem chi tiết")</f>
        <v/>
      </c>
    </row>
    <row r="4296">
      <c r="B4296" s="9" t="n">
        <v>4294</v>
      </c>
      <c r="C4296" s="10" t="inlineStr">
        <is>
          <t>Video Editor - Đi Làm Ngay - Đãi Ngộ Hấp Dẫn</t>
        </is>
      </c>
      <c r="D4296" s="10" t="inlineStr">
        <is>
          <t>Công Ty TNHH MyAusVisa Định Cư - Du Học Úc</t>
        </is>
      </c>
      <c r="E4296" s="10" t="inlineStr">
        <is>
          <t>8tr-10tr ₫/tháng</t>
        </is>
      </c>
      <c r="F4296" s="10" t="inlineStr">
        <is>
          <t>Hà Nội</t>
        </is>
      </c>
      <c r="G4296" s="10" t="inlineStr">
        <is>
          <t>Nhân viên</t>
        </is>
      </c>
      <c r="H4296" s="10" t="inlineStr">
        <is>
          <t>12/02/2026</t>
        </is>
      </c>
      <c r="I4296" s="10" t="inlineStr">
        <is>
          <t>29/03/2026</t>
        </is>
      </c>
      <c r="J4296" s="10" t="inlineStr">
        <is>
          <t>17/03/2026</t>
        </is>
      </c>
      <c r="K4296" s="10" t="inlineStr">
        <is>
          <t>N/A</t>
        </is>
      </c>
      <c r="L4296" s="10" t="inlineStr">
        <is>
          <t>Marketing, Adobe Premiere</t>
        </is>
      </c>
      <c r="M4296" s="10" t="inlineStr">
        <is>
          <t>Bonus, Paid Leave, Others</t>
        </is>
      </c>
      <c r="N4296" s="11">
        <f>HYPERLINK("https://www.vietnamworks.com/video-editor-di-lam-ngay-dai-ngo-hap-dan-2011719-jv","Xem chi tiết")</f>
        <v/>
      </c>
      <c r="O4296" s="10" t="n"/>
    </row>
    <row r="4297">
      <c r="B4297" s="7" t="n">
        <v>4295</v>
      </c>
      <c r="C4297" t="inlineStr">
        <is>
          <t>TRƯỞNG BỘ PHẬN QUẢN LÝ VẬN HÀNH</t>
        </is>
      </c>
      <c r="D4297" t="inlineStr">
        <is>
          <t>Công Ty Cổ Phần Đầu Tư Và Kinh Doanh Nhà Khang Điền</t>
        </is>
      </c>
      <c r="E4297" t="inlineStr">
        <is>
          <t>Thương lượng</t>
        </is>
      </c>
      <c r="F4297" t="inlineStr">
        <is>
          <t>Hồ Chí Minh</t>
        </is>
      </c>
      <c r="G4297" t="inlineStr">
        <is>
          <t>Nhân viên</t>
        </is>
      </c>
      <c r="H4297" t="inlineStr">
        <is>
          <t>12/02/2026</t>
        </is>
      </c>
      <c r="I4297" t="inlineStr">
        <is>
          <t>29/03/2026</t>
        </is>
      </c>
      <c r="J4297" t="inlineStr">
        <is>
          <t>17/03/2026</t>
        </is>
      </c>
      <c r="K4297" t="inlineStr">
        <is>
          <t>N/A</t>
        </is>
      </c>
      <c r="L4297" t="inlineStr">
        <is>
          <t>Kinh Nghiệm Với Chủ Đầu Tư, Quản Lý Dự Án, Quản Lý Vận Hành Bất Động Sản</t>
        </is>
      </c>
      <c r="M4297" t="inlineStr">
        <is>
          <t>Bonus</t>
        </is>
      </c>
      <c r="N4297" s="8">
        <f>HYPERLINK("https://www.vietnamworks.com/truong-bo-phan-quan-ly-van-hanh-2011721-jv","Xem chi tiết")</f>
        <v/>
      </c>
    </row>
    <row r="4298">
      <c r="B4298" s="9" t="n">
        <v>4296</v>
      </c>
      <c r="C4298" s="10" t="inlineStr">
        <is>
          <t>Kỹ Sư Hóa - Làm Việc Tại Hà Nam/ Công Ty Nhật Bản</t>
        </is>
      </c>
      <c r="D4298" s="10" t="inlineStr">
        <is>
          <t>CÔNG TY TNHH NATOCO VIỆT NAM</t>
        </is>
      </c>
      <c r="E4298" s="10" t="inlineStr">
        <is>
          <t>Thương lượng</t>
        </is>
      </c>
      <c r="F4298" s="10" t="inlineStr">
        <is>
          <t>Hà Nam</t>
        </is>
      </c>
      <c r="G4298" s="10" t="inlineStr">
        <is>
          <t>Nhân viên</t>
        </is>
      </c>
      <c r="H4298" s="10" t="inlineStr">
        <is>
          <t>12/02/2026</t>
        </is>
      </c>
      <c r="I4298" s="10" t="inlineStr">
        <is>
          <t>29/03/2026</t>
        </is>
      </c>
      <c r="J4298" s="10" t="inlineStr">
        <is>
          <t>17/03/2026</t>
        </is>
      </c>
      <c r="K4298" s="10" t="inlineStr">
        <is>
          <t>N/A</t>
        </is>
      </c>
      <c r="L4298" s="10" t="inlineStr">
        <is>
          <t>Phân Tích Số Liệu, Kiểm Tra Mẫu, MS Excel, Quản Lý Kho, Quản Lý Sản Xuất</t>
        </is>
      </c>
      <c r="M4298" s="10" t="inlineStr">
        <is>
          <t>Bonus, Healthcare Plan, Team Activities</t>
        </is>
      </c>
      <c r="N4298" s="11">
        <f>HYPERLINK("https://www.vietnamworks.com/ky-su-hoa-lam-viec-tai-ha-nam-cong-ty-nhat-ban-2011716-jv","Xem chi tiết")</f>
        <v/>
      </c>
      <c r="O4298" s="10" t="n"/>
    </row>
    <row r="4299">
      <c r="B4299" s="7" t="n">
        <v>4297</v>
      </c>
      <c r="C4299" t="inlineStr">
        <is>
          <t>Talent Acquisition Teamleader</t>
        </is>
      </c>
      <c r="D4299" t="inlineStr">
        <is>
          <t>Tập Đoàn APEC (APEC GROUP)</t>
        </is>
      </c>
      <c r="E4299" t="inlineStr">
        <is>
          <t>Thương lượng</t>
        </is>
      </c>
      <c r="F4299" t="inlineStr">
        <is>
          <t>Hà Nội</t>
        </is>
      </c>
      <c r="G4299" t="inlineStr">
        <is>
          <t>Trưởng phòng</t>
        </is>
      </c>
      <c r="H4299" t="inlineStr">
        <is>
          <t>12/02/2026</t>
        </is>
      </c>
      <c r="I4299" t="inlineStr">
        <is>
          <t>29/03/2026</t>
        </is>
      </c>
      <c r="J4299" t="inlineStr">
        <is>
          <t>17/03/2026</t>
        </is>
      </c>
      <c r="K4299" t="inlineStr">
        <is>
          <t>N/A</t>
        </is>
      </c>
      <c r="L4299" t="inlineStr">
        <is>
          <t>Recruitment, Talent Acquisition &amp; Candidate Sourcing, Talent Recruitment</t>
        </is>
      </c>
      <c r="M4299" t="inlineStr">
        <is>
          <t>Bonus, Travel Opportunities, Others</t>
        </is>
      </c>
      <c r="N4299" s="8">
        <f>HYPERLINK("https://www.vietnamworks.com/talent-acquisition-teamleader-2011710-jv","Xem chi tiết")</f>
        <v/>
      </c>
    </row>
    <row r="4300">
      <c r="B4300" s="9" t="n">
        <v>4298</v>
      </c>
      <c r="C4300" s="10" t="inlineStr">
        <is>
          <t>Nurse</t>
        </is>
      </c>
      <c r="D4300" s="10" t="inlineStr">
        <is>
          <t>Công Ty TNHH Giáo Dục Và Đào Tạo Vinacademy</t>
        </is>
      </c>
      <c r="E4300" s="10" t="inlineStr">
        <is>
          <t>Thương lượng</t>
        </is>
      </c>
      <c r="F4300" s="10" t="inlineStr">
        <is>
          <t>Hà Nội</t>
        </is>
      </c>
      <c r="G4300" s="10" t="inlineStr">
        <is>
          <t>Nhân viên</t>
        </is>
      </c>
      <c r="H4300" s="10" t="inlineStr">
        <is>
          <t>12/02/2026</t>
        </is>
      </c>
      <c r="I4300" s="10" t="inlineStr">
        <is>
          <t>29/03/2026</t>
        </is>
      </c>
      <c r="J4300" s="10" t="inlineStr">
        <is>
          <t>17/03/2026</t>
        </is>
      </c>
      <c r="K4300" s="10" t="inlineStr">
        <is>
          <t>N/A</t>
        </is>
      </c>
      <c r="L4300" s="10" t="inlineStr">
        <is>
          <t>Nursing, Healthcare, Problem Solving, Critical Thinking, communication</t>
        </is>
      </c>
      <c r="M4300" s="10" t="inlineStr">
        <is>
          <t>Healthcare Plan, Training, Laptop</t>
        </is>
      </c>
      <c r="N4300" s="11">
        <f>HYPERLINK("https://www.vietnamworks.com/nurse--2011714-jv","Xem chi tiết")</f>
        <v/>
      </c>
      <c r="O4300" s="10" t="n"/>
    </row>
    <row r="4301">
      <c r="B4301" s="7" t="n">
        <v>4299</v>
      </c>
      <c r="C4301" t="inlineStr">
        <is>
          <t>Sales Support Executive</t>
        </is>
      </c>
      <c r="D4301" t="inlineStr">
        <is>
          <t>Shinhan Vietnam Finance Company Limited</t>
        </is>
      </c>
      <c r="E4301" t="inlineStr">
        <is>
          <t>Thương lượng</t>
        </is>
      </c>
      <c r="F4301" t="inlineStr">
        <is>
          <t>Hồ Chí Minh</t>
        </is>
      </c>
      <c r="G4301" t="inlineStr">
        <is>
          <t>Nhân viên</t>
        </is>
      </c>
      <c r="H4301" t="inlineStr">
        <is>
          <t>12/02/2026</t>
        </is>
      </c>
      <c r="I4301" t="inlineStr">
        <is>
          <t>29/03/2026</t>
        </is>
      </c>
      <c r="J4301" t="inlineStr">
        <is>
          <t>17/03/2026</t>
        </is>
      </c>
      <c r="K4301" t="inlineStr">
        <is>
          <t>N/A</t>
        </is>
      </c>
      <c r="L4301" t="inlineStr">
        <is>
          <t>Payment Reconciliation, Dealer Support, Accounting, Payments, Payment Processing</t>
        </is>
      </c>
      <c r="M4301" t="inlineStr">
        <is>
          <t>Bonus, Healthcare Plan, Paid Leave</t>
        </is>
      </c>
      <c r="N4301" s="8">
        <f>HYPERLINK("https://www.vietnamworks.com/sales-support-executive--2011727-jv","Xem chi tiết")</f>
        <v/>
      </c>
    </row>
    <row r="4302">
      <c r="B4302" s="9" t="n">
        <v>4300</v>
      </c>
      <c r="C4302" s="10" t="inlineStr">
        <is>
          <t>Chuyên Viên Cấp Cao/ Chuyên Gia Quan Hệ Khách Hàng Doanh Nghiệp Lớn - Trung Tâm Khách Hàng Doanh Nghiệp Lớn - Khối Khách Hàng Doanh Nghiệp</t>
        </is>
      </c>
      <c r="D4302" s="10" t="inlineStr">
        <is>
          <t>Ngân Hàng TMCP Quốc Dân ( NCB )</t>
        </is>
      </c>
      <c r="E4302" s="10" t="inlineStr">
        <is>
          <t>Thương lượng</t>
        </is>
      </c>
      <c r="F4302" s="10" t="inlineStr">
        <is>
          <t>Hà Nội, Hồ Chí Minh</t>
        </is>
      </c>
      <c r="G4302" s="10" t="inlineStr">
        <is>
          <t>Nhân viên</t>
        </is>
      </c>
      <c r="H4302" s="10" t="inlineStr">
        <is>
          <t>12/02/2026</t>
        </is>
      </c>
      <c r="I4302" s="10" t="inlineStr">
        <is>
          <t>29/03/2026</t>
        </is>
      </c>
      <c r="J4302" s="10" t="inlineStr">
        <is>
          <t>17/03/2026</t>
        </is>
      </c>
      <c r="K4302" s="10" t="inlineStr">
        <is>
          <t>N/A</t>
        </is>
      </c>
      <c r="L4302" s="10" t="inlineStr">
        <is>
          <t>Quan hệ khách hàng doanh nghiệp, Tín Dụng Doanh Nghiệp, Phân Tích Báo Cáo Tài Chính, Bán hàng, Tin Học Văn Phòng</t>
        </is>
      </c>
      <c r="M4302" s="10" t="inlineStr">
        <is>
          <t>Bonus, Training, Awards</t>
        </is>
      </c>
      <c r="N4302" s="11">
        <f>HYPERLINK("https://www.vietnamworks.com/chuyen-vien-cap-cao-chuyen-gia-quan-he-khach-hang-doanh-nghiep-lon-trung-tam-khach-hang-doanh-nghiep-lon-khoi-khach-hang-doanh-nghiep--2011726-jv","Xem chi tiết")</f>
        <v/>
      </c>
      <c r="O4302" s="10" t="n"/>
    </row>
    <row r="4303">
      <c r="B4303" s="7" t="n">
        <v>4301</v>
      </c>
      <c r="C4303" t="inlineStr">
        <is>
          <t>Kỹ Sư Thiết Kế - Giám Sát Đường Ống – Đi Nhật Kanagawa Miễn Phí</t>
        </is>
      </c>
      <c r="D4303" t="inlineStr">
        <is>
          <t>Công Ty TNHH R Techno Việt Nam</t>
        </is>
      </c>
      <c r="E4303" t="inlineStr">
        <is>
          <t>¥ 370,000-450,000 /tháng</t>
        </is>
      </c>
      <c r="F4303" t="inlineStr">
        <is>
          <t>Quốc tế</t>
        </is>
      </c>
      <c r="G4303" t="inlineStr">
        <is>
          <t>Nhân viên</t>
        </is>
      </c>
      <c r="H4303" t="inlineStr">
        <is>
          <t>12/02/2026</t>
        </is>
      </c>
      <c r="I4303" t="inlineStr">
        <is>
          <t>29/03/2026</t>
        </is>
      </c>
      <c r="J4303" t="inlineStr">
        <is>
          <t>17/03/2026</t>
        </is>
      </c>
      <c r="K4303" t="inlineStr">
        <is>
          <t>N/A</t>
        </is>
      </c>
      <c r="L4303" t="inlineStr">
        <is>
          <t>3D CAD, Autocad, Communication Skills, Japanese N3, P&amp;ID Design</t>
        </is>
      </c>
      <c r="M4303" t="inlineStr">
        <is>
          <t>Healthcare Plan, Paid Leave, Others</t>
        </is>
      </c>
      <c r="N4303" s="8">
        <f>HYPERLINK("https://www.vietnamworks.com/ky-su-thiet-ke-giam-sat-djuong-ong-dji-nhat-kanagawa-mien-phi-2011723-jv","Xem chi tiết")</f>
        <v/>
      </c>
    </row>
    <row r="4304">
      <c r="B4304" s="9" t="n">
        <v>4302</v>
      </c>
      <c r="C4304" s="10" t="inlineStr">
        <is>
          <t>Maintenance Planning &amp; Technical System Senior Supervisor/lead</t>
        </is>
      </c>
      <c r="D4304" s="10" t="inlineStr">
        <is>
          <t>CÔNG TY TNHH ILD COFFEE VIỆT NAM</t>
        </is>
      </c>
      <c r="E4304" s="10" t="inlineStr">
        <is>
          <t>Thương lượng</t>
        </is>
      </c>
      <c r="F4304" s="10" t="inlineStr">
        <is>
          <t>Hồ Chí Minh</t>
        </is>
      </c>
      <c r="G4304" s="10" t="inlineStr">
        <is>
          <t>Nhân viên</t>
        </is>
      </c>
      <c r="H4304" s="10" t="inlineStr">
        <is>
          <t>12/02/2026</t>
        </is>
      </c>
      <c r="I4304" s="10" t="inlineStr">
        <is>
          <t>29/03/2026</t>
        </is>
      </c>
      <c r="J4304" s="10" t="inlineStr">
        <is>
          <t>17/03/2026</t>
        </is>
      </c>
      <c r="K4304" s="10" t="inlineStr">
        <is>
          <t>N/A</t>
        </is>
      </c>
      <c r="L4304" s="10" t="inlineStr">
        <is>
          <t>Maintenance, Mechanical, Electrical, Engineering, SAP PM</t>
        </is>
      </c>
      <c r="M4304" s="10" t="inlineStr">
        <is>
          <t>Bonus, Healthcare Plan, Others</t>
        </is>
      </c>
      <c r="N4304" s="11">
        <f>HYPERLINK("https://www.vietnamworks.com/maintenance-planning-technical-system-senior-supervisor-lead-2011718-jv","Xem chi tiết")</f>
        <v/>
      </c>
      <c r="O4304" s="10" t="n"/>
    </row>
    <row r="4305">
      <c r="B4305" s="7" t="n">
        <v>4303</v>
      </c>
      <c r="C4305" t="inlineStr">
        <is>
          <t>Trợ Lý Kiểm Toán Viên Xây Dựng</t>
        </is>
      </c>
      <c r="D4305" t="inlineStr">
        <is>
          <t>Công ty TNHH Kiểm toán và Thẩm định giá Hà Nội</t>
        </is>
      </c>
      <c r="E4305" t="inlineStr">
        <is>
          <t>12tr-25tr ₫/tháng</t>
        </is>
      </c>
      <c r="F4305" t="inlineStr">
        <is>
          <t>Hà Nội</t>
        </is>
      </c>
      <c r="G4305" t="inlineStr">
        <is>
          <t>Nhân viên</t>
        </is>
      </c>
      <c r="H4305" t="inlineStr">
        <is>
          <t>12/02/2026</t>
        </is>
      </c>
      <c r="I4305" t="inlineStr">
        <is>
          <t>29/03/2026</t>
        </is>
      </c>
      <c r="J4305" t="inlineStr">
        <is>
          <t>17/03/2026</t>
        </is>
      </c>
      <c r="K4305" t="inlineStr">
        <is>
          <t>N/A</t>
        </is>
      </c>
      <c r="L4305" t="inlineStr">
        <is>
          <t>Autocad, Dự Toán, Giao Tiếp, Kỹ Sư Xây Dựng, Quản Lý Quỹ Đầu Tư</t>
        </is>
      </c>
      <c r="M4305" t="inlineStr">
        <is>
          <t>Bonus, Healthcare Plan, Others</t>
        </is>
      </c>
      <c r="N4305" s="8">
        <f>HYPERLINK("https://www.vietnamworks.com/tro-ly-kiem-toan-vien-xay-dung-2011724-jv","Xem chi tiết")</f>
        <v/>
      </c>
    </row>
    <row r="4306">
      <c r="B4306" s="9" t="n">
        <v>4304</v>
      </c>
      <c r="C4306" s="10" t="inlineStr">
        <is>
          <t>Chuyên Viên IT</t>
        </is>
      </c>
      <c r="D4306" s="10" t="inlineStr">
        <is>
          <t>Công Ty TNHH NIPRO Pharma Việt Nam</t>
        </is>
      </c>
      <c r="E4306" s="10" t="inlineStr">
        <is>
          <t>Thương lượng</t>
        </is>
      </c>
      <c r="F4306" s="10" t="inlineStr">
        <is>
          <t>Hải Phòng</t>
        </is>
      </c>
      <c r="G4306" s="10" t="inlineStr">
        <is>
          <t>Nhân viên</t>
        </is>
      </c>
      <c r="H4306" s="10" t="inlineStr">
        <is>
          <t>12/02/2026</t>
        </is>
      </c>
      <c r="I4306" s="10" t="inlineStr">
        <is>
          <t>29/03/2026</t>
        </is>
      </c>
      <c r="J4306" s="10" t="inlineStr">
        <is>
          <t>17/03/2026</t>
        </is>
      </c>
      <c r="K4306" s="10" t="inlineStr">
        <is>
          <t>N/A</t>
        </is>
      </c>
      <c r="L4306" s="10" t="inlineStr">
        <is>
          <t>IT System Administration, IT Helpdesk, IT Administration, Helpdesk, Công Nghệ Thông Tin</t>
        </is>
      </c>
      <c r="M4306" s="10" t="inlineStr">
        <is>
          <t>Bonus, Healthcare Plan, Others</t>
        </is>
      </c>
      <c r="N4306" s="11">
        <f>HYPERLINK("https://www.vietnamworks.com/chuyen-vien-it--2011730-jv","Xem chi tiết")</f>
        <v/>
      </c>
      <c r="O4306" s="10" t="n"/>
    </row>
    <row r="4307">
      <c r="B4307" s="7" t="n">
        <v>4305</v>
      </c>
      <c r="C4307" t="inlineStr">
        <is>
          <t>Process Quality Engineer</t>
        </is>
      </c>
      <c r="D4307" t="inlineStr">
        <is>
          <t>Coherent Vietnam</t>
        </is>
      </c>
      <c r="E4307" t="inlineStr">
        <is>
          <t>Thương lượng</t>
        </is>
      </c>
      <c r="F4307" t="inlineStr">
        <is>
          <t>Hồ Chí Minh</t>
        </is>
      </c>
      <c r="G4307" t="inlineStr">
        <is>
          <t>Nhân viên</t>
        </is>
      </c>
      <c r="H4307" t="inlineStr">
        <is>
          <t>12/02/2026</t>
        </is>
      </c>
      <c r="I4307" t="inlineStr">
        <is>
          <t>29/03/2026</t>
        </is>
      </c>
      <c r="J4307" t="inlineStr">
        <is>
          <t>17/03/2026</t>
        </is>
      </c>
      <c r="K4307" t="inlineStr">
        <is>
          <t>N/A</t>
        </is>
      </c>
      <c r="L4307" t="inlineStr">
        <is>
          <t>Quality Management, Quality Control, Quality Assurance, QA, Process Quality Assurance</t>
        </is>
      </c>
      <c r="M4307" t="inlineStr">
        <is>
          <t>Bonus, Healthcare Plan, Transportation</t>
        </is>
      </c>
      <c r="N4307" s="8">
        <f>HYPERLINK("https://www.vietnamworks.com/process-quality-engineer--2011729-jv","Xem chi tiết")</f>
        <v/>
      </c>
    </row>
    <row r="4308">
      <c r="B4308" s="9" t="n">
        <v>4306</v>
      </c>
      <c r="C4308" s="10" t="inlineStr">
        <is>
          <t>Trưởng Phòng Thẩm Định Tài Sản Bảo Đảm Miền Nam (Làm Việc Tại TP Hồ Chí Minh)</t>
        </is>
      </c>
      <c r="D4308" s="10" t="inlineStr">
        <is>
          <t>Ngân Hàng TMCP Quốc Dân ( NCB )</t>
        </is>
      </c>
      <c r="E4308" s="10" t="inlineStr">
        <is>
          <t>Thương lượng</t>
        </is>
      </c>
      <c r="F4308" s="10" t="inlineStr">
        <is>
          <t>Hồ Chí Minh</t>
        </is>
      </c>
      <c r="G4308" s="10" t="inlineStr">
        <is>
          <t>Trưởng phòng</t>
        </is>
      </c>
      <c r="H4308" s="10" t="inlineStr">
        <is>
          <t>12/02/2026</t>
        </is>
      </c>
      <c r="I4308" s="10" t="inlineStr">
        <is>
          <t>29/03/2026</t>
        </is>
      </c>
      <c r="J4308" s="10" t="inlineStr">
        <is>
          <t>17/03/2026</t>
        </is>
      </c>
      <c r="K4308" s="10" t="inlineStr">
        <is>
          <t>N/A</t>
        </is>
      </c>
      <c r="L4308" s="10" t="inlineStr">
        <is>
          <t>Thẩm Định Tài Sản, Định Giá, Nghiệp Vụ Tín Dụng, Kiểm Soát Tuân Thủ, Banking Law</t>
        </is>
      </c>
      <c r="M4308" s="10" t="inlineStr">
        <is>
          <t>Bonus, Training, Awards</t>
        </is>
      </c>
      <c r="N4308" s="11">
        <f>HYPERLINK("https://www.vietnamworks.com/truong-phong-tham-dinh-tai-san-bao-dam-mien-nam-lam-viec-tai-tp-ho-chi-minh-2011722-jv","Xem chi tiết")</f>
        <v/>
      </c>
      <c r="O4308" s="10" t="n"/>
    </row>
    <row r="4309">
      <c r="B4309" s="7" t="n">
        <v>4307</v>
      </c>
      <c r="C4309" t="inlineStr">
        <is>
          <t>Compliance Team Head</t>
        </is>
      </c>
      <c r="D4309" t="inlineStr">
        <is>
          <t>KOREA DEVELOPMENT BANK</t>
        </is>
      </c>
      <c r="E4309" t="inlineStr">
        <is>
          <t>Thương lượng</t>
        </is>
      </c>
      <c r="F4309" t="inlineStr">
        <is>
          <t>Hà Nội</t>
        </is>
      </c>
      <c r="G4309" t="inlineStr">
        <is>
          <t>Trưởng phòng</t>
        </is>
      </c>
      <c r="H4309" t="inlineStr">
        <is>
          <t>12/02/2026</t>
        </is>
      </c>
      <c r="I4309" t="inlineStr">
        <is>
          <t>29/03/2026</t>
        </is>
      </c>
      <c r="J4309" t="inlineStr">
        <is>
          <t>17/03/2026</t>
        </is>
      </c>
      <c r="K4309" t="inlineStr">
        <is>
          <t>N/A</t>
        </is>
      </c>
      <c r="L4309" t="inlineStr">
        <is>
          <t>Compliance Management, Banking Regulation, Risk Management, Stakeholder Management, Transaction Management</t>
        </is>
      </c>
      <c r="M4309" t="inlineStr">
        <is>
          <t>Bonus, Healthcare Plan, Paid Leave, Training, Others</t>
        </is>
      </c>
      <c r="N4309" s="8">
        <f>HYPERLINK("https://www.vietnamworks.com/compliance-team-head-2011728-jv","Xem chi tiết")</f>
        <v/>
      </c>
    </row>
    <row r="4310">
      <c r="B4310" s="9" t="n">
        <v>4308</v>
      </c>
      <c r="C4310" s="10" t="inlineStr">
        <is>
          <t>Sales Logistics (HCMC &amp; Hanoi)</t>
        </is>
      </c>
      <c r="D4310" s="10" t="inlineStr">
        <is>
          <t>FedEx Express Vietnam Co., Ltd.</t>
        </is>
      </c>
      <c r="E4310" s="10" t="inlineStr">
        <is>
          <t>Thương lượng</t>
        </is>
      </c>
      <c r="F4310" s="10" t="inlineStr">
        <is>
          <t>Hà Nội, Hồ Chí Minh</t>
        </is>
      </c>
      <c r="G4310" s="10" t="inlineStr">
        <is>
          <t>Nhân viên</t>
        </is>
      </c>
      <c r="H4310" s="10" t="inlineStr">
        <is>
          <t>12/02/2026</t>
        </is>
      </c>
      <c r="I4310" s="10" t="inlineStr">
        <is>
          <t>29/03/2026</t>
        </is>
      </c>
      <c r="J4310" s="10" t="inlineStr">
        <is>
          <t>17/03/2026</t>
        </is>
      </c>
      <c r="K4310" s="10" t="inlineStr">
        <is>
          <t>N/A</t>
        </is>
      </c>
      <c r="L4310" s="10" t="inlineStr">
        <is>
          <t>Sales Logistics, Account Management, Sales Experience, Supply Chain, Sales Freight Forwarding</t>
        </is>
      </c>
      <c r="M4310" s="10" t="inlineStr">
        <is>
          <t>Bonus, Healthcare Plan, Training, Awards, Vouchers, Others</t>
        </is>
      </c>
      <c r="N4310" s="11">
        <f>HYPERLINK("https://www.vietnamworks.com/sales-logistics-hcmc-hanoi-2011720-jv","Xem chi tiết")</f>
        <v/>
      </c>
      <c r="O4310" s="10" t="n"/>
    </row>
    <row r="4311">
      <c r="B4311" s="7" t="n">
        <v>4309</v>
      </c>
      <c r="C4311" t="inlineStr">
        <is>
          <t>Quản Lý Dự Án Điện Mặt Trời</t>
        </is>
      </c>
      <c r="D4311" t="inlineStr">
        <is>
          <t>HWANTAI SOLAR VIỆT NAM</t>
        </is>
      </c>
      <c r="E4311" t="inlineStr">
        <is>
          <t>Thương lượng</t>
        </is>
      </c>
      <c r="F4311" t="inlineStr">
        <is>
          <t>Hồ Chí Minh</t>
        </is>
      </c>
      <c r="G4311" t="inlineStr">
        <is>
          <t>Nhân viên</t>
        </is>
      </c>
      <c r="H4311" t="inlineStr">
        <is>
          <t>12/02/2026</t>
        </is>
      </c>
      <c r="I4311" t="inlineStr">
        <is>
          <t>29/03/2026</t>
        </is>
      </c>
      <c r="J4311" t="inlineStr">
        <is>
          <t>17/03/2026</t>
        </is>
      </c>
      <c r="K4311" t="inlineStr">
        <is>
          <t>N/A</t>
        </is>
      </c>
      <c r="L4311" t="inlineStr">
        <is>
          <t>Quản Lý Dự Án, Giám Sát Thi Công, Kỹ Thuật Điện, Solar Energy, Điện Mặt Trời</t>
        </is>
      </c>
      <c r="M4311" t="inlineStr">
        <is>
          <t>Paid Leave, Laptop</t>
        </is>
      </c>
      <c r="N4311" s="8">
        <f>HYPERLINK("https://www.vietnamworks.com/quan-ly-du-an-djien-mat-troi-2011736-jv","Xem chi tiết")</f>
        <v/>
      </c>
    </row>
    <row r="4312">
      <c r="B4312" s="9" t="n">
        <v>4310</v>
      </c>
      <c r="C4312" s="10" t="inlineStr">
        <is>
          <t>Chuyên Viên Cấp Cao/ Chuyên Gia Sản Phẩm Khách Hàng Doanh Nghiệp Lớn - Trung Tâm Khách Hàng Doanh Nghiệp Lớn - Khối Khách Hàng Doanh Nghiệp</t>
        </is>
      </c>
      <c r="D4312" s="10" t="inlineStr">
        <is>
          <t>Ngân Hàng TMCP Quốc Dân ( NCB )</t>
        </is>
      </c>
      <c r="E4312" s="10" t="inlineStr">
        <is>
          <t>Thương lượng</t>
        </is>
      </c>
      <c r="F4312" s="10" t="inlineStr">
        <is>
          <t>Hà Nội</t>
        </is>
      </c>
      <c r="G4312" s="10" t="inlineStr">
        <is>
          <t>Nhân viên</t>
        </is>
      </c>
      <c r="H4312" s="10" t="inlineStr">
        <is>
          <t>12/02/2026</t>
        </is>
      </c>
      <c r="I4312" s="10" t="inlineStr">
        <is>
          <t>29/03/2026</t>
        </is>
      </c>
      <c r="J4312" s="10" t="inlineStr">
        <is>
          <t>17/03/2026</t>
        </is>
      </c>
      <c r="K4312" s="10" t="inlineStr">
        <is>
          <t>N/A</t>
        </is>
      </c>
      <c r="L4312" s="10" t="inlineStr">
        <is>
          <t>Tín Dụng Doanh Nghiệp, Phát Triển Sản Phẩm, Financial Products, Bán hàng, Phân Tích Báo Cáo Tài Chính</t>
        </is>
      </c>
      <c r="M4312" s="10" t="inlineStr">
        <is>
          <t>Bonus, Training, Awards</t>
        </is>
      </c>
      <c r="N4312" s="11">
        <f>HYPERLINK("https://www.vietnamworks.com/chuyen-vien-cap-cao-chuyen-gia-san-pham-khach-hang-doanh-nghiep-lon-trung-tam-khach-hang-doanh-nghiep-lon-khoi-khach-hang-doanh-nghiep--2011731-jv","Xem chi tiết")</f>
        <v/>
      </c>
      <c r="O4312" s="10" t="n"/>
    </row>
    <row r="4313">
      <c r="B4313" s="7" t="n">
        <v>4311</v>
      </c>
      <c r="C4313" t="inlineStr">
        <is>
          <t xml:space="preserve"> Personal Assistant to CEO</t>
        </is>
      </c>
      <c r="D4313" t="inlineStr">
        <is>
          <t>VUS - The English Center</t>
        </is>
      </c>
      <c r="E4313" t="inlineStr">
        <is>
          <t>Thương lượng</t>
        </is>
      </c>
      <c r="F4313" t="inlineStr">
        <is>
          <t>Hồ Chí Minh</t>
        </is>
      </c>
      <c r="G4313" t="inlineStr">
        <is>
          <t>Nhân viên</t>
        </is>
      </c>
      <c r="H4313" t="inlineStr">
        <is>
          <t>12/02/2026</t>
        </is>
      </c>
      <c r="I4313" t="inlineStr">
        <is>
          <t>29/03/2026</t>
        </is>
      </c>
      <c r="J4313" t="inlineStr">
        <is>
          <t>17/03/2026</t>
        </is>
      </c>
      <c r="K4313" t="inlineStr">
        <is>
          <t>N/A</t>
        </is>
      </c>
      <c r="L4313" t="inlineStr">
        <is>
          <t>Communication Skills, Confidentiality, Organizational skills, Solution Oriented, Time Management</t>
        </is>
      </c>
      <c r="M4313" t="inlineStr">
        <is>
          <t>Bonus, Healthcare Plan, Training, Awards, Laptop, Travel Opportunities</t>
        </is>
      </c>
      <c r="N4313" s="8">
        <f>HYPERLINK("https://www.vietnamworks.com/personal-assistant-to-ceo-2011734-jv","Xem chi tiết")</f>
        <v/>
      </c>
    </row>
    <row r="4314">
      <c r="B4314" s="9" t="n">
        <v>4312</v>
      </c>
      <c r="C4314" s="10" t="inlineStr">
        <is>
          <t>Nhân Viên Bộ Phận Quản Lý Cơ Sở Hạ Tầng (Cơ Điện)</t>
        </is>
      </c>
      <c r="D4314" s="10" t="inlineStr">
        <is>
          <t>Công Ty TNHH NIPRO Pharma Việt Nam</t>
        </is>
      </c>
      <c r="E4314" s="10" t="inlineStr">
        <is>
          <t>Thương lượng</t>
        </is>
      </c>
      <c r="F4314" s="10" t="inlineStr">
        <is>
          <t>Hải Phòng</t>
        </is>
      </c>
      <c r="G4314" s="10" t="inlineStr">
        <is>
          <t>Nhân viên</t>
        </is>
      </c>
      <c r="H4314" s="10" t="inlineStr">
        <is>
          <t>12/02/2026</t>
        </is>
      </c>
      <c r="I4314" s="10" t="inlineStr">
        <is>
          <t>29/03/2026</t>
        </is>
      </c>
      <c r="J4314" s="10" t="inlineStr">
        <is>
          <t>17/03/2026</t>
        </is>
      </c>
      <c r="K4314" s="10" t="inlineStr">
        <is>
          <t>N/A</t>
        </is>
      </c>
      <c r="L4314" s="10" t="inlineStr">
        <is>
          <t>HVAC, Điện, Bảo Dưỡng, Bảo Trì, Hệ Thống Báo Cháy</t>
        </is>
      </c>
      <c r="M4314" s="10" t="inlineStr">
        <is>
          <t>Bonus, Healthcare Plan, Others</t>
        </is>
      </c>
      <c r="N4314" s="11">
        <f>HYPERLINK("https://www.vietnamworks.com/nhan-vien-bo-phan-quan-ly-co-so-ha-tang-co-dien-2011733-jv","Xem chi tiết")</f>
        <v/>
      </c>
      <c r="O4314" s="10" t="n"/>
    </row>
    <row r="4315">
      <c r="B4315" s="7" t="n">
        <v>4313</v>
      </c>
      <c r="C4315" t="inlineStr">
        <is>
          <t>Chuyên Viên Kinh Doanh (Lương Cứng Từ 20-28Tr/tháng; Thành Thạo Tiếng Anh hoặc Tiếng Trung)</t>
        </is>
      </c>
      <c r="D4315" t="inlineStr">
        <is>
          <t>Công Ty Kinh Doanh Bất Động Sản Viglacera</t>
        </is>
      </c>
      <c r="E4315" t="inlineStr">
        <is>
          <t>20tr-28tr ₫/tháng</t>
        </is>
      </c>
      <c r="F4315" t="inlineStr">
        <is>
          <t>Hà Nội, Thừa Thiên Huế, Lào Cai</t>
        </is>
      </c>
      <c r="G4315" t="inlineStr">
        <is>
          <t>Nhân viên</t>
        </is>
      </c>
      <c r="H4315" t="inlineStr">
        <is>
          <t>12/02/2026</t>
        </is>
      </c>
      <c r="I4315" t="inlineStr">
        <is>
          <t>29/03/2026</t>
        </is>
      </c>
      <c r="J4315" t="inlineStr">
        <is>
          <t>17/03/2026</t>
        </is>
      </c>
      <c r="K4315" t="inlineStr">
        <is>
          <t>N/A</t>
        </is>
      </c>
      <c r="L4315" t="inlineStr">
        <is>
          <t>Giao Tiếp, Kinh Doanh, Phân Tích Thị Trường, Thông Thạo Tiếng Anh, Tin Học Văn Phòng</t>
        </is>
      </c>
      <c r="M4315" t="inlineStr">
        <is>
          <t>Bonus, Healthcare Plan, Training, Travel Opportunities, Team Activities, Canteen, Others</t>
        </is>
      </c>
      <c r="N4315" s="8">
        <f>HYPERLINK("https://www.vietnamworks.com/chuyen-vien-kinh-doanh-luong-cung-tu-20-28trthang-thanh-thao-tieng-anh-hoac-tieng-trung-2011740-jv","Xem chi tiết")</f>
        <v/>
      </c>
    </row>
    <row r="4316">
      <c r="B4316" s="9" t="n">
        <v>4314</v>
      </c>
      <c r="C4316" s="10" t="inlineStr">
        <is>
          <t>Trưởng Phòng Phát Triển Kinh Doanh</t>
        </is>
      </c>
      <c r="D4316" s="10" t="inlineStr">
        <is>
          <t>Ecozen International JSC</t>
        </is>
      </c>
      <c r="E4316" s="10" t="inlineStr">
        <is>
          <t>20tr-30tr ₫/tháng</t>
        </is>
      </c>
      <c r="F4316" s="10" t="inlineStr">
        <is>
          <t>Hà Nội</t>
        </is>
      </c>
      <c r="G4316" s="10" t="inlineStr">
        <is>
          <t>Trưởng phòng</t>
        </is>
      </c>
      <c r="H4316" s="10" t="inlineStr">
        <is>
          <t>12/02/2026</t>
        </is>
      </c>
      <c r="I4316" s="10" t="inlineStr">
        <is>
          <t>29/03/2026</t>
        </is>
      </c>
      <c r="J4316" s="10" t="inlineStr">
        <is>
          <t>17/03/2026</t>
        </is>
      </c>
      <c r="K4316" s="10" t="inlineStr">
        <is>
          <t>N/A</t>
        </is>
      </c>
      <c r="L4316" s="10" t="inlineStr">
        <is>
          <t>Phân Tích Thị Trường, Duy Trì Mối Quan Hệ, Lập Kế Hoạch Kinh Doanh, Phát Triển Khách Hàng, Quản Lý Kinh Doanh</t>
        </is>
      </c>
      <c r="M4316" s="10" t="inlineStr">
        <is>
          <t>Bonus, Healthcare Plan, Laptop, Team Activities, Others</t>
        </is>
      </c>
      <c r="N4316" s="11">
        <f>HYPERLINK("https://www.vietnamworks.com/truong-phong-phat-trien-kinh-doanh-2011743-jv","Xem chi tiết")</f>
        <v/>
      </c>
      <c r="O4316" s="10" t="n"/>
    </row>
    <row r="4317">
      <c r="B4317" s="7" t="n">
        <v>4315</v>
      </c>
      <c r="C4317" t="inlineStr">
        <is>
          <t>Customer Service - Big Bike Hồ Chí Minh</t>
        </is>
      </c>
      <c r="D4317" t="inlineStr">
        <is>
          <t>Yamaha Motor Vietnam</t>
        </is>
      </c>
      <c r="E4317" t="inlineStr">
        <is>
          <t>Thương lượng</t>
        </is>
      </c>
      <c r="F4317" t="inlineStr">
        <is>
          <t>Hồ Chí Minh</t>
        </is>
      </c>
      <c r="G4317" t="inlineStr">
        <is>
          <t>Nhân viên</t>
        </is>
      </c>
      <c r="H4317" t="inlineStr">
        <is>
          <t>12/02/2026</t>
        </is>
      </c>
      <c r="I4317" t="inlineStr">
        <is>
          <t>29/03/2026</t>
        </is>
      </c>
      <c r="J4317" t="inlineStr">
        <is>
          <t>17/03/2026</t>
        </is>
      </c>
      <c r="K4317" t="inlineStr">
        <is>
          <t>N/A</t>
        </is>
      </c>
      <c r="L4317" t="inlineStr">
        <is>
          <t>Communication Skills, Customer Service, Data Analysis, Microsoft Office, Problem Solving</t>
        </is>
      </c>
      <c r="M4317" t="inlineStr">
        <is>
          <t>Bonus, Healthcare Plan, Training, Travel Opportunities, Team Activities, Others</t>
        </is>
      </c>
      <c r="N4317" s="8">
        <f>HYPERLINK("https://www.vietnamworks.com/customer-service-big-bike-ho-chi-minh-2011748-jv","Xem chi tiết")</f>
        <v/>
      </c>
    </row>
    <row r="4318">
      <c r="B4318" s="9" t="n">
        <v>4316</v>
      </c>
      <c r="C4318" s="10" t="inlineStr">
        <is>
          <t>Treasury Team Head</t>
        </is>
      </c>
      <c r="D4318" s="10" t="inlineStr">
        <is>
          <t>KOREA DEVELOPMENT BANK</t>
        </is>
      </c>
      <c r="E4318" s="10" t="inlineStr">
        <is>
          <t>Thương lượng</t>
        </is>
      </c>
      <c r="F4318" s="10" t="inlineStr">
        <is>
          <t>Hà Nội</t>
        </is>
      </c>
      <c r="G4318" s="10" t="inlineStr">
        <is>
          <t>Trưởng phòng</t>
        </is>
      </c>
      <c r="H4318" s="10" t="inlineStr">
        <is>
          <t>12/02/2026</t>
        </is>
      </c>
      <c r="I4318" s="10" t="inlineStr">
        <is>
          <t>29/03/2026</t>
        </is>
      </c>
      <c r="J4318" s="10" t="inlineStr">
        <is>
          <t>17/03/2026</t>
        </is>
      </c>
      <c r="K4318" s="10" t="inlineStr">
        <is>
          <t>N/A</t>
        </is>
      </c>
      <c r="L4318" s="10" t="inlineStr">
        <is>
          <t>Treasury Operations, Financial Market, Leadership, CPA, Financial Service</t>
        </is>
      </c>
      <c r="M4318" s="10" t="inlineStr">
        <is>
          <t>Bonus, Healthcare Plan, Paid Leave, Training, Others</t>
        </is>
      </c>
      <c r="N4318" s="11">
        <f>HYPERLINK("https://www.vietnamworks.com/treasury-team-head-2011732-jv","Xem chi tiết")</f>
        <v/>
      </c>
      <c r="O4318" s="10" t="n"/>
    </row>
    <row r="4319">
      <c r="B4319" s="7" t="n">
        <v>4317</v>
      </c>
      <c r="C4319" t="inlineStr">
        <is>
          <t>Financial Accountant / Nhân Viên Kế Toán</t>
        </is>
      </c>
      <c r="D4319" t="inlineStr">
        <is>
          <t>Unios Vietnam</t>
        </is>
      </c>
      <c r="E4319" t="inlineStr">
        <is>
          <t>Thương lượng</t>
        </is>
      </c>
      <c r="F4319" t="inlineStr">
        <is>
          <t>Hồ Chí Minh, Hà Nội</t>
        </is>
      </c>
      <c r="G4319" t="inlineStr">
        <is>
          <t>Nhân viên</t>
        </is>
      </c>
      <c r="H4319" t="inlineStr">
        <is>
          <t>12/02/2026</t>
        </is>
      </c>
      <c r="I4319" t="inlineStr">
        <is>
          <t>29/03/2026</t>
        </is>
      </c>
      <c r="J4319" t="inlineStr">
        <is>
          <t>17/03/2026</t>
        </is>
      </c>
      <c r="K4319" t="inlineStr">
        <is>
          <t>N/A</t>
        </is>
      </c>
      <c r="L4319" t="inlineStr">
        <is>
          <t>Kế Toán, Kiểm Toán, Tài Chính, Phần mềm kế toán, Giao Tiếp</t>
        </is>
      </c>
      <c r="M4319" t="inlineStr">
        <is>
          <t>Bonus, Healthcare Plan, Laptop, Travel Opportunities, Team Activities, Others</t>
        </is>
      </c>
      <c r="N4319" s="8">
        <f>HYPERLINK("https://www.vietnamworks.com/financial-accountant-nhan-vien-ke-toan-2011751-jv","Xem chi tiết")</f>
        <v/>
      </c>
    </row>
    <row r="4320">
      <c r="B4320" s="9" t="n">
        <v>4318</v>
      </c>
      <c r="C4320" s="10" t="inlineStr">
        <is>
          <t>Head of Quality - Pharmaceutical</t>
        </is>
      </c>
      <c r="D4320" s="10" t="inlineStr">
        <is>
          <t>Michael Page Vietnam</t>
        </is>
      </c>
      <c r="E4320" s="10" t="inlineStr">
        <is>
          <t>$$ 6,000-8,000 /tháng</t>
        </is>
      </c>
      <c r="F4320" s="10" t="inlineStr">
        <is>
          <t>Hồ Chí Minh</t>
        </is>
      </c>
      <c r="G4320" s="10" t="inlineStr">
        <is>
          <t>Giám Đốc và Cấp Cao Hơn</t>
        </is>
      </c>
      <c r="H4320" s="10" t="inlineStr">
        <is>
          <t>12/02/2026</t>
        </is>
      </c>
      <c r="I4320" s="10" t="inlineStr">
        <is>
          <t>29/03/2026</t>
        </is>
      </c>
      <c r="J4320" s="10" t="inlineStr">
        <is>
          <t>17/03/2026</t>
        </is>
      </c>
      <c r="K4320" s="10" t="inlineStr">
        <is>
          <t>N/A</t>
        </is>
      </c>
      <c r="L4320" s="10" t="inlineStr">
        <is>
          <t>QA/ QC, Pharmaceutical QC, GMP, LIMS, Leadership</t>
        </is>
      </c>
      <c r="M4320" s="10" t="inlineStr">
        <is>
          <t>Bonus, Healthcare Plan, Transportation</t>
        </is>
      </c>
      <c r="N4320" s="11">
        <f>HYPERLINK("https://www.vietnamworks.com/head-of-quality-pharmaceutical-2011742-jv","Xem chi tiết")</f>
        <v/>
      </c>
      <c r="O4320" s="10" t="n"/>
    </row>
    <row r="4321">
      <c r="B4321" s="7" t="n">
        <v>4319</v>
      </c>
      <c r="C4321" t="inlineStr">
        <is>
          <t>Chuyên Viên Cấp Cao/ Chuyên Gia Tái Thẩm Định Tín Dụng Khách Hàng Doanh Nghiệp Lớn - Khối Quản Lý Tín Dụng - Hội Sở</t>
        </is>
      </c>
      <c r="D4321" t="inlineStr">
        <is>
          <t>Ngân Hàng TMCP Quốc Dân ( NCB )</t>
        </is>
      </c>
      <c r="E4321" t="inlineStr">
        <is>
          <t>Thương lượng</t>
        </is>
      </c>
      <c r="F4321" t="inlineStr">
        <is>
          <t>Hồ Chí Minh</t>
        </is>
      </c>
      <c r="G4321" t="inlineStr">
        <is>
          <t>Nhân viên</t>
        </is>
      </c>
      <c r="H4321" t="inlineStr">
        <is>
          <t>12/02/2026</t>
        </is>
      </c>
      <c r="I4321" t="inlineStr">
        <is>
          <t>29/03/2026</t>
        </is>
      </c>
      <c r="J4321" t="inlineStr">
        <is>
          <t>17/03/2026</t>
        </is>
      </c>
      <c r="K4321" t="inlineStr">
        <is>
          <t>N/A</t>
        </is>
      </c>
      <c r="L4321" t="inlineStr">
        <is>
          <t>Tái Thẩm Định, Tín Dụng Doanh Nghiệp, Bảo Mật Thông Tin, Phân Tích Tín Dụng, Quản Lý Thông Tin</t>
        </is>
      </c>
      <c r="M4321" t="inlineStr">
        <is>
          <t>Bonus, Training, Awards</t>
        </is>
      </c>
      <c r="N4321" s="8">
        <f>HYPERLINK("https://www.vietnamworks.com/chuyen-vien-cap-cao-chuyen-gia-tai-tham-dinh-tin-dung-khach-hang-doanh-nghiep-lon-khoi-quan-ly-tin-dung-hoi-so-2011737-jv","Xem chi tiết")</f>
        <v/>
      </c>
    </row>
    <row r="4322">
      <c r="B4322" s="9" t="n">
        <v>4320</v>
      </c>
      <c r="C4322" s="10" t="inlineStr">
        <is>
          <t>Business Development Manager</t>
        </is>
      </c>
      <c r="D4322" s="10" t="inlineStr">
        <is>
          <t>CBA (China) Pte Ltd</t>
        </is>
      </c>
      <c r="E4322" s="10" t="inlineStr">
        <is>
          <t>Thương lượng</t>
        </is>
      </c>
      <c r="F4322" s="10" t="inlineStr">
        <is>
          <t>Hồ Chí Minh</t>
        </is>
      </c>
      <c r="G4322" s="10" t="inlineStr">
        <is>
          <t>Trưởng phòng</t>
        </is>
      </c>
      <c r="H4322" s="10" t="inlineStr">
        <is>
          <t>12/02/2026</t>
        </is>
      </c>
      <c r="I4322" s="10" t="inlineStr">
        <is>
          <t>29/03/2026</t>
        </is>
      </c>
      <c r="J4322" s="10" t="inlineStr">
        <is>
          <t>17/03/2026</t>
        </is>
      </c>
      <c r="K4322" s="10" t="inlineStr">
        <is>
          <t>N/A</t>
        </is>
      </c>
      <c r="L4322" s="10" t="inlineStr">
        <is>
          <t>Kinh Doanh B2B, Account Management, Sales B2B, Customer Service, Business Development</t>
        </is>
      </c>
      <c r="M4322" s="10" t="inlineStr">
        <is>
          <t>Paid Leave</t>
        </is>
      </c>
      <c r="N4322" s="11">
        <f>HYPERLINK("https://www.vietnamworks.com/business-development-manager-2011752-jv","Xem chi tiết")</f>
        <v/>
      </c>
      <c r="O4322" s="10" t="n"/>
    </row>
    <row r="4323">
      <c r="B4323" s="7" t="n">
        <v>4321</v>
      </c>
      <c r="C4323" t="inlineStr">
        <is>
          <t>Senior Sales Engineer</t>
        </is>
      </c>
      <c r="D4323" t="inlineStr">
        <is>
          <t>Dunham-Bush Vietnam</t>
        </is>
      </c>
      <c r="E4323" t="inlineStr">
        <is>
          <t>Thương lượng</t>
        </is>
      </c>
      <c r="F4323" t="inlineStr">
        <is>
          <t>Hồ Chí Minh</t>
        </is>
      </c>
      <c r="G4323" t="inlineStr">
        <is>
          <t>Nhân viên</t>
        </is>
      </c>
      <c r="H4323" t="inlineStr">
        <is>
          <t>12/02/2026</t>
        </is>
      </c>
      <c r="I4323" t="inlineStr">
        <is>
          <t>29/03/2026</t>
        </is>
      </c>
      <c r="J4323" t="inlineStr">
        <is>
          <t>17/03/2026</t>
        </is>
      </c>
      <c r="K4323" t="inlineStr">
        <is>
          <t>N/A</t>
        </is>
      </c>
      <c r="L4323" t="inlineStr">
        <is>
          <t>Business Planning, Sales Strategy, Expense Management, Problem Solving, Performance Management</t>
        </is>
      </c>
      <c r="M4323" t="inlineStr">
        <is>
          <t>Bonus, Healthcare Plan, Training</t>
        </is>
      </c>
      <c r="N4323" s="8">
        <f>HYPERLINK("https://www.vietnamworks.com/senior-sales-engineer--2011738-jv","Xem chi tiết")</f>
        <v/>
      </c>
    </row>
    <row r="4324">
      <c r="B4324" s="9" t="n">
        <v>4322</v>
      </c>
      <c r="C4324" s="10" t="inlineStr">
        <is>
          <t>Kế Toán - Hành Chính Nhân Sự</t>
        </is>
      </c>
      <c r="D4324" s="10" t="inlineStr">
        <is>
          <t>Công ty TNHH Kiểm toán và Thẩm định giá Hà Nội</t>
        </is>
      </c>
      <c r="E4324" s="10" t="inlineStr">
        <is>
          <t>8tr-15tr ₫/tháng</t>
        </is>
      </c>
      <c r="F4324" s="10" t="inlineStr">
        <is>
          <t>Hà Nội</t>
        </is>
      </c>
      <c r="G4324" s="10" t="inlineStr">
        <is>
          <t>Nhân viên</t>
        </is>
      </c>
      <c r="H4324" s="10" t="inlineStr">
        <is>
          <t>12/02/2026</t>
        </is>
      </c>
      <c r="I4324" s="10" t="inlineStr">
        <is>
          <t>29/03/2026</t>
        </is>
      </c>
      <c r="J4324" s="10" t="inlineStr">
        <is>
          <t>17/03/2026</t>
        </is>
      </c>
      <c r="K4324" s="10" t="inlineStr">
        <is>
          <t>N/A</t>
        </is>
      </c>
      <c r="L4324" s="10" t="inlineStr">
        <is>
          <t>Kế Toán, Quản Trị Kinh Doanh, Quản Trị Nhân Sự, Sử Dụng Excel, Trung Thực</t>
        </is>
      </c>
      <c r="M4324" s="10" t="inlineStr">
        <is>
          <t>Bonus, Healthcare Plan, Others</t>
        </is>
      </c>
      <c r="N4324" s="11">
        <f>HYPERLINK("https://www.vietnamworks.com/ke-toan-hanh-chinh-nhan-su-2011750-jv","Xem chi tiết")</f>
        <v/>
      </c>
      <c r="O4324" s="10" t="n"/>
    </row>
    <row r="4325">
      <c r="B4325" s="7" t="n">
        <v>4323</v>
      </c>
      <c r="C4325" t="inlineStr">
        <is>
          <t>QAQC Engineer/ Kỹ Sư Quản Lý Chất Lượng (Phỏng Vấn Và Đi Làm Sau Tết)</t>
        </is>
      </c>
      <c r="D4325" t="inlineStr">
        <is>
          <t>Proterial Vietnam Co., Ltd.</t>
        </is>
      </c>
      <c r="E4325" t="inlineStr">
        <is>
          <t>Thương lượng</t>
        </is>
      </c>
      <c r="F4325" t="inlineStr">
        <is>
          <t>Hải Dương</t>
        </is>
      </c>
      <c r="G4325" t="inlineStr">
        <is>
          <t>Nhân viên</t>
        </is>
      </c>
      <c r="H4325" t="inlineStr">
        <is>
          <t>12/02/2026</t>
        </is>
      </c>
      <c r="I4325" t="inlineStr">
        <is>
          <t>29/03/2026</t>
        </is>
      </c>
      <c r="J4325" t="inlineStr">
        <is>
          <t>17/03/2026</t>
        </is>
      </c>
      <c r="K4325" t="inlineStr">
        <is>
          <t>N/A</t>
        </is>
      </c>
      <c r="L4325" t="inlineStr">
        <is>
          <t>Mechanical Engineering, Electrical Engineering, Automation, Quality Assessment, Quality Tools</t>
        </is>
      </c>
      <c r="M4325" t="inlineStr">
        <is>
          <t>Bonus, Paid Leave, Training, Team Activities, Transportation, Others</t>
        </is>
      </c>
      <c r="N4325" s="8">
        <f>HYPERLINK("https://www.vietnamworks.com/qaqc-engineer-ky-su-quan-ly-chat-luong-phong-van-va-dji-lam-sau-tet-2011747-jv","Xem chi tiết")</f>
        <v/>
      </c>
    </row>
    <row r="4326">
      <c r="B4326" s="9" t="n">
        <v>4324</v>
      </c>
      <c r="C4326" s="10" t="inlineStr">
        <is>
          <t>Chuyên Viên Cấp Cao/ Chuyên Gia Chuyển Đổi Số Khách Hàng Doanh Nghiệp Lớn - Trung Tâm Khách Hàng Doanh Nghiệp Lớn - Khối Khách Hàng Doanh Nghiệp</t>
        </is>
      </c>
      <c r="D4326" s="10" t="inlineStr">
        <is>
          <t>Ngân Hàng TMCP Quốc Dân ( NCB )</t>
        </is>
      </c>
      <c r="E4326" s="10" t="inlineStr">
        <is>
          <t>Thương lượng</t>
        </is>
      </c>
      <c r="F4326" s="10" t="inlineStr">
        <is>
          <t>Hà Nội</t>
        </is>
      </c>
      <c r="G4326" s="10" t="inlineStr">
        <is>
          <t>Nhân viên</t>
        </is>
      </c>
      <c r="H4326" s="10" t="inlineStr">
        <is>
          <t>12/02/2026</t>
        </is>
      </c>
      <c r="I4326" s="10" t="inlineStr">
        <is>
          <t>29/03/2026</t>
        </is>
      </c>
      <c r="J4326" s="10" t="inlineStr">
        <is>
          <t>17/03/2026</t>
        </is>
      </c>
      <c r="K4326" s="10" t="inlineStr">
        <is>
          <t>N/A</t>
        </is>
      </c>
      <c r="L4326" s="10" t="inlineStr">
        <is>
          <t>Tín Dụng Doanh Nghiệp, Phát Triển Sản Phẩm, Chuyển Đổi Số, Bán hàng, Core Banking</t>
        </is>
      </c>
      <c r="M4326" s="10" t="inlineStr">
        <is>
          <t>Bonus, Training, Awards</t>
        </is>
      </c>
      <c r="N4326" s="11">
        <f>HYPERLINK("https://www.vietnamworks.com/chuyen-vien-cap-cao-chuyen-gia-chuyen-doi-so-khach-hang-doanh-nghiep-lon-trung-tam-khach-hang-doanh-nghiep-lon-khoi-khach-hang-doanh-nghiep-2011735-jv","Xem chi tiết")</f>
        <v/>
      </c>
      <c r="O4326" s="10" t="n"/>
    </row>
    <row r="4327">
      <c r="B4327" s="7" t="n">
        <v>4325</v>
      </c>
      <c r="C4327" t="inlineStr">
        <is>
          <t>Design Engineer / Kỹ Sư Thiết Kế (Phỏng Vấn Và Đi Làm Sau Tết)</t>
        </is>
      </c>
      <c r="D4327" t="inlineStr">
        <is>
          <t>Proterial Vietnam Co., Ltd.</t>
        </is>
      </c>
      <c r="E4327" t="inlineStr">
        <is>
          <t>Thương lượng</t>
        </is>
      </c>
      <c r="F4327" t="inlineStr">
        <is>
          <t>Hải Dương</t>
        </is>
      </c>
      <c r="G4327" t="inlineStr">
        <is>
          <t>Nhân viên</t>
        </is>
      </c>
      <c r="H4327" t="inlineStr">
        <is>
          <t>12/02/2026</t>
        </is>
      </c>
      <c r="I4327" t="inlineStr">
        <is>
          <t>29/03/2026</t>
        </is>
      </c>
      <c r="J4327" t="inlineStr">
        <is>
          <t>17/03/2026</t>
        </is>
      </c>
      <c r="K4327" t="inlineStr">
        <is>
          <t>N/A</t>
        </is>
      </c>
      <c r="L4327" t="inlineStr">
        <is>
          <t>English Communication, Product Development, NPI, PQE, QA QC</t>
        </is>
      </c>
      <c r="M4327" t="inlineStr">
        <is>
          <t>Bonus, Paid Leave, Team Activities, Transportation, Others</t>
        </is>
      </c>
      <c r="N4327" s="8">
        <f>HYPERLINK("https://www.vietnamworks.com/design-engineer-ky-su-thiet-ke-phong-van-va-dji-lam-sau-tet-2011746-jv","Xem chi tiết")</f>
        <v/>
      </c>
    </row>
    <row r="4328">
      <c r="B4328" s="9" t="n">
        <v>4326</v>
      </c>
      <c r="C4328" s="10" t="inlineStr">
        <is>
          <t>Module Engineer (Contract Role)</t>
        </is>
      </c>
      <c r="D4328" s="10" t="inlineStr">
        <is>
          <t>Intel Products Vietnam</t>
        </is>
      </c>
      <c r="E4328" s="10" t="inlineStr">
        <is>
          <t>Thương lượng</t>
        </is>
      </c>
      <c r="F4328" s="10" t="inlineStr">
        <is>
          <t>Hồ Chí Minh</t>
        </is>
      </c>
      <c r="G4328" s="10" t="inlineStr">
        <is>
          <t>Mới Tốt Nghiệp</t>
        </is>
      </c>
      <c r="H4328" s="10" t="inlineStr">
        <is>
          <t>12/02/2026</t>
        </is>
      </c>
      <c r="I4328" s="10" t="inlineStr">
        <is>
          <t>29/03/2026</t>
        </is>
      </c>
      <c r="J4328" s="10" t="inlineStr">
        <is>
          <t>17/03/2026</t>
        </is>
      </c>
      <c r="K4328" s="10" t="inlineStr">
        <is>
          <t>N/A</t>
        </is>
      </c>
      <c r="L4328" s="10" t="inlineStr">
        <is>
          <t>Electrical Engineer, Communication Skills, Mechatronics Engineering, Mechanical Engineering, Data-Driven</t>
        </is>
      </c>
      <c r="M4328" s="10" t="inlineStr">
        <is>
          <t>Bonus, Healthcare Plan, Training</t>
        </is>
      </c>
      <c r="N4328" s="11">
        <f>HYPERLINK("https://www.vietnamworks.com/module-engineer-contract-role--2011741-jv","Xem chi tiết")</f>
        <v/>
      </c>
      <c r="O4328" s="10" t="n"/>
    </row>
    <row r="4329">
      <c r="B4329" s="7" t="n">
        <v>4327</v>
      </c>
      <c r="C4329" t="inlineStr">
        <is>
          <t>Kỹ Sư Thuật Toán (Algorithm Engineer) Mô Hình Ngôn Ngữ Lớn (LLM)</t>
        </is>
      </c>
      <c r="D4329" t="inlineStr">
        <is>
          <t>VIỆN PHÁT TRIỂN CHUYỂN ĐỔI XANH, CHUYỂN ĐỔI SỐ VIỆT NAM</t>
        </is>
      </c>
      <c r="E4329" t="inlineStr">
        <is>
          <t>Thương lượng</t>
        </is>
      </c>
      <c r="F4329" t="inlineStr">
        <is>
          <t>Hà Nội</t>
        </is>
      </c>
      <c r="G4329" t="inlineStr">
        <is>
          <t>Nhân viên</t>
        </is>
      </c>
      <c r="H4329" t="inlineStr">
        <is>
          <t>12/02/2026</t>
        </is>
      </c>
      <c r="I4329" t="inlineStr">
        <is>
          <t>29/03/2026</t>
        </is>
      </c>
      <c r="J4329" t="inlineStr">
        <is>
          <t>17/03/2026</t>
        </is>
      </c>
      <c r="K4329" t="inlineStr">
        <is>
          <t>N/A</t>
        </is>
      </c>
      <c r="L4329" t="inlineStr">
        <is>
          <t>Công Nghệ</t>
        </is>
      </c>
      <c r="M4329" t="inlineStr">
        <is>
          <t>Bonus, Healthcare Plan</t>
        </is>
      </c>
      <c r="N4329" s="8">
        <f>HYPERLINK("https://www.vietnamworks.com/ky-su-thuat-toan-algorithm-engineer-mo-hinh-ngon-ngu-lon-llm-2011749-jv","Xem chi tiết")</f>
        <v/>
      </c>
    </row>
    <row r="4330">
      <c r="B4330" s="9" t="n">
        <v>4328</v>
      </c>
      <c r="C4330" s="10" t="inlineStr">
        <is>
          <t>Chuyên Viên Phát Triển Nhãn Hiệu</t>
        </is>
      </c>
      <c r="D4330" s="10" t="inlineStr">
        <is>
          <t>Công Ty Cổ Phần Chuỗi Thực Phẩm TH</t>
        </is>
      </c>
      <c r="E4330" s="10" t="inlineStr">
        <is>
          <t>Thương lượng</t>
        </is>
      </c>
      <c r="F4330" s="10" t="inlineStr">
        <is>
          <t>Hà Nội</t>
        </is>
      </c>
      <c r="G4330" s="10" t="inlineStr">
        <is>
          <t>Nhân viên</t>
        </is>
      </c>
      <c r="H4330" s="10" t="inlineStr">
        <is>
          <t>12/02/2026</t>
        </is>
      </c>
      <c r="I4330" s="10" t="inlineStr">
        <is>
          <t>29/03/2026</t>
        </is>
      </c>
      <c r="J4330" s="10" t="inlineStr">
        <is>
          <t>17/03/2026</t>
        </is>
      </c>
      <c r="K4330" s="10" t="inlineStr">
        <is>
          <t>N/A</t>
        </is>
      </c>
      <c r="L4330" s="10" t="inlineStr">
        <is>
          <t>Quản Trị Marketing, Phát Triển Thương Hiệu, Branding, Nghiên Cứu Thị Trường, Marketing B2B</t>
        </is>
      </c>
      <c r="M4330" s="10" t="inlineStr">
        <is>
          <t>Training</t>
        </is>
      </c>
      <c r="N4330" s="11">
        <f>HYPERLINK("https://www.vietnamworks.com/chuyen-vien-phat-trien-nhan-hieu--2011753-jv","Xem chi tiết")</f>
        <v/>
      </c>
      <c r="O4330" s="10" t="n"/>
    </row>
    <row r="4331">
      <c r="B4331" s="7" t="n">
        <v>4329</v>
      </c>
      <c r="C4331" t="inlineStr">
        <is>
          <t>Tuyển Dụng Trợ Lý Văn Phòng Miền Bắc Việt Nam</t>
        </is>
      </c>
      <c r="D4331" t="inlineStr">
        <is>
          <t>Vietnamworks' Client</t>
        </is>
      </c>
      <c r="E4331" t="inlineStr">
        <is>
          <t>$$ 650-1,000 /tháng</t>
        </is>
      </c>
      <c r="F4331" t="inlineStr">
        <is>
          <t>Hải Phòng</t>
        </is>
      </c>
      <c r="G4331" t="inlineStr">
        <is>
          <t>Nhân viên</t>
        </is>
      </c>
      <c r="H4331" t="inlineStr">
        <is>
          <t>12/02/2026</t>
        </is>
      </c>
      <c r="I4331" t="inlineStr">
        <is>
          <t>29/03/2026</t>
        </is>
      </c>
      <c r="J4331" t="inlineStr">
        <is>
          <t>17/03/2026</t>
        </is>
      </c>
      <c r="K4331" t="inlineStr">
        <is>
          <t>N/A</t>
        </is>
      </c>
      <c r="L4331" t="inlineStr">
        <is>
          <t>語言能力, Excel, Accounting Standards</t>
        </is>
      </c>
      <c r="M4331" t="inlineStr">
        <is>
          <t>Bonus</t>
        </is>
      </c>
      <c r="N4331" s="8">
        <f>HYPERLINK("https://www.vietnamworks.com/tuyen-dung-tro-ly-van-phong-mien-bac-viet-nam-2011759-jv","Xem chi tiết")</f>
        <v/>
      </c>
    </row>
    <row r="4332">
      <c r="B4332" s="9" t="n">
        <v>4330</v>
      </c>
      <c r="C4332" s="10" t="inlineStr">
        <is>
          <t>Payroll Consultant</t>
        </is>
      </c>
      <c r="D4332" s="10" t="inlineStr">
        <is>
          <t>Deloitte Vietnam</t>
        </is>
      </c>
      <c r="E4332" s="10" t="inlineStr">
        <is>
          <t>Thương lượng</t>
        </is>
      </c>
      <c r="F4332" s="10" t="inlineStr">
        <is>
          <t>Hồ Chí Minh</t>
        </is>
      </c>
      <c r="G4332" s="10" t="inlineStr">
        <is>
          <t>Nhân viên</t>
        </is>
      </c>
      <c r="H4332" s="10" t="inlineStr">
        <is>
          <t>12/02/2026</t>
        </is>
      </c>
      <c r="I4332" s="10" t="inlineStr">
        <is>
          <t>29/03/2026</t>
        </is>
      </c>
      <c r="J4332" s="10" t="inlineStr">
        <is>
          <t>17/03/2026</t>
        </is>
      </c>
      <c r="K4332" s="10" t="inlineStr">
        <is>
          <t>N/A</t>
        </is>
      </c>
      <c r="L4332" s="10" t="inlineStr">
        <is>
          <t>Payroll, Payroll Calculation, Payroll processing, Payroll Service, Payroll Tax</t>
        </is>
      </c>
      <c r="M4332" s="10" t="inlineStr">
        <is>
          <t>Bonus, Healthcare Plan, Laptop</t>
        </is>
      </c>
      <c r="N4332" s="11">
        <f>HYPERLINK("https://www.vietnamworks.com/payroll-consultant-2011755-jv","Xem chi tiết")</f>
        <v/>
      </c>
      <c r="O4332" s="10" t="n"/>
    </row>
    <row r="4333">
      <c r="B4333" s="7" t="n">
        <v>4331</v>
      </c>
      <c r="C4333" t="inlineStr">
        <is>
          <t>Electrical Engineer</t>
        </is>
      </c>
      <c r="D4333" t="inlineStr">
        <is>
          <t>Công Ty TNHH Điện Nghi Sơn 2</t>
        </is>
      </c>
      <c r="E4333" t="inlineStr">
        <is>
          <t>Thương lượng</t>
        </is>
      </c>
      <c r="F4333" t="inlineStr">
        <is>
          <t>Thanh Hóa</t>
        </is>
      </c>
      <c r="G4333" t="inlineStr">
        <is>
          <t>Nhân viên</t>
        </is>
      </c>
      <c r="H4333" t="inlineStr">
        <is>
          <t>12/02/2026</t>
        </is>
      </c>
      <c r="I4333" t="inlineStr">
        <is>
          <t>29/03/2026</t>
        </is>
      </c>
      <c r="J4333" t="inlineStr">
        <is>
          <t>17/03/2026</t>
        </is>
      </c>
      <c r="K4333" t="inlineStr">
        <is>
          <t>N/A</t>
        </is>
      </c>
      <c r="L4333" t="inlineStr">
        <is>
          <t>Kỹ Thuật Điện, Electrical Engineering, Bảo Trì Điện, Điện Công Nghiệp</t>
        </is>
      </c>
      <c r="M4333" t="inlineStr">
        <is>
          <t>Bonus, Healthcare Plan, Others</t>
        </is>
      </c>
      <c r="N4333" s="8">
        <f>HYPERLINK("https://www.vietnamworks.com/electrical-engineer--2011756-jv","Xem chi tiết")</f>
        <v/>
      </c>
    </row>
    <row r="4334">
      <c r="B4334" s="9" t="n">
        <v>4332</v>
      </c>
      <c r="C4334" s="10" t="inlineStr">
        <is>
          <t>Product Manager (R&amp;D) / Quản Lý Phát Triển Sản Phẩm (Architectural Lighting)</t>
        </is>
      </c>
      <c r="D4334" s="10" t="inlineStr">
        <is>
          <t>Unios Vietnam</t>
        </is>
      </c>
      <c r="E4334" s="10" t="inlineStr">
        <is>
          <t>60tr-80tr ₫/tháng</t>
        </is>
      </c>
      <c r="F4334" s="10" t="inlineStr">
        <is>
          <t>Hồ Chí Minh, Hà Nội</t>
        </is>
      </c>
      <c r="G4334" s="10" t="inlineStr">
        <is>
          <t>Trưởng phòng</t>
        </is>
      </c>
      <c r="H4334" s="10" t="inlineStr">
        <is>
          <t>12/02/2026</t>
        </is>
      </c>
      <c r="I4334" s="10" t="inlineStr">
        <is>
          <t>29/03/2026</t>
        </is>
      </c>
      <c r="J4334" s="10" t="inlineStr">
        <is>
          <t>17/03/2026</t>
        </is>
      </c>
      <c r="K4334" s="10" t="inlineStr">
        <is>
          <t>N/A</t>
        </is>
      </c>
      <c r="L4334" s="10" t="inlineStr">
        <is>
          <t>Architecture Drawing, Interior Design, Lighting Design, Product Management, Commercial Discipline</t>
        </is>
      </c>
      <c r="M4334" s="10" t="inlineStr">
        <is>
          <t>Bonus, Healthcare Plan, Laptop, Travel Opportunities, Team Activities, Others</t>
        </is>
      </c>
      <c r="N4334" s="11">
        <f>HYPERLINK("https://www.vietnamworks.com/product-manager-randd-quan-ly-phat-trien-san-pham-architectural-lighting-2011754-jv","Xem chi tiết")</f>
        <v/>
      </c>
      <c r="O4334" s="10" t="n"/>
    </row>
    <row r="4335">
      <c r="B4335" s="7" t="n">
        <v>4333</v>
      </c>
      <c r="C4335" t="inlineStr">
        <is>
          <t>HN - Solution Engineer</t>
        </is>
      </c>
      <c r="D4335" t="inlineStr">
        <is>
          <t>Organo (Vietnam) Company Limited</t>
        </is>
      </c>
      <c r="E4335" t="inlineStr">
        <is>
          <t>Tới 23tr ₫/tháng</t>
        </is>
      </c>
      <c r="F4335" t="inlineStr">
        <is>
          <t>Hà Nội</t>
        </is>
      </c>
      <c r="G4335" t="inlineStr">
        <is>
          <t>Nhân viên</t>
        </is>
      </c>
      <c r="H4335" t="inlineStr">
        <is>
          <t>12/02/2026</t>
        </is>
      </c>
      <c r="I4335" t="inlineStr">
        <is>
          <t>29/03/2026</t>
        </is>
      </c>
      <c r="J4335" t="inlineStr">
        <is>
          <t>17/03/2026</t>
        </is>
      </c>
      <c r="K4335" t="inlineStr">
        <is>
          <t>N/A</t>
        </is>
      </c>
      <c r="L4335" t="inlineStr">
        <is>
          <t>English, System Operations, Electrical, Water Treatment, Maintenance</t>
        </is>
      </c>
      <c r="M4335" t="inlineStr">
        <is>
          <t>Healthcare Plan, Canteen, Others</t>
        </is>
      </c>
      <c r="N4335" s="8">
        <f>HYPERLINK("https://www.vietnamworks.com/hn-solution-engineer-2011744-jv","Xem chi tiết")</f>
        <v/>
      </c>
    </row>
    <row r="4336">
      <c r="B4336" s="9" t="n">
        <v>4334</v>
      </c>
      <c r="C4336" s="10" t="inlineStr">
        <is>
          <t>Talent Acquisition Executive</t>
        </is>
      </c>
      <c r="D4336" s="10" t="inlineStr">
        <is>
          <t>Bureau Veritas Vietnam Ltd.</t>
        </is>
      </c>
      <c r="E4336" s="10" t="inlineStr">
        <is>
          <t>$$ 500-1,000 /tháng</t>
        </is>
      </c>
      <c r="F4336" s="10" t="inlineStr">
        <is>
          <t>Hồ Chí Minh</t>
        </is>
      </c>
      <c r="G4336" s="10" t="inlineStr">
        <is>
          <t>Nhân viên</t>
        </is>
      </c>
      <c r="H4336" s="10" t="inlineStr">
        <is>
          <t>12/02/2026</t>
        </is>
      </c>
      <c r="I4336" s="10" t="inlineStr">
        <is>
          <t>29/03/2026</t>
        </is>
      </c>
      <c r="J4336" s="10" t="inlineStr">
        <is>
          <t>17/03/2026</t>
        </is>
      </c>
      <c r="K4336" s="10" t="inlineStr">
        <is>
          <t>N/A</t>
        </is>
      </c>
      <c r="L4336" s="10" t="inlineStr">
        <is>
          <t>Communication and negotiation skills, English Language Proficiency, Recruitment, Sourcing &amp; Hunting , Talent Acquisition</t>
        </is>
      </c>
      <c r="M4336" s="10" t="inlineStr">
        <is>
          <t>Bonus, Healthcare Plan, Paid Leave, Training, Awards, Team Activities</t>
        </is>
      </c>
      <c r="N4336" s="11">
        <f>HYPERLINK("https://www.vietnamworks.com/talent-acquisition-executive-2011764-jv","Xem chi tiết")</f>
        <v/>
      </c>
      <c r="O4336" s="10" t="n"/>
    </row>
    <row r="4337">
      <c r="B4337" s="7" t="n">
        <v>4335</v>
      </c>
      <c r="C4337" t="inlineStr">
        <is>
          <t>Nhân Viên Kỹ Thuật Sản Xuất (Phòng Sản Xuất)</t>
        </is>
      </c>
      <c r="D4337" t="inlineStr">
        <is>
          <t>CÔNG TY TNHH MITSUBISHI ELECTRIC FP AUTOMATION VIỆT NAM</t>
        </is>
      </c>
      <c r="E4337" t="inlineStr">
        <is>
          <t>Thương lượng</t>
        </is>
      </c>
      <c r="F4337" t="inlineStr">
        <is>
          <t>Hưng Yên</t>
        </is>
      </c>
      <c r="G4337" t="inlineStr">
        <is>
          <t>Nhân viên</t>
        </is>
      </c>
      <c r="H4337" t="inlineStr">
        <is>
          <t>12/02/2026</t>
        </is>
      </c>
      <c r="I4337" t="inlineStr">
        <is>
          <t>29/03/2026</t>
        </is>
      </c>
      <c r="J4337" t="inlineStr">
        <is>
          <t>17/03/2026</t>
        </is>
      </c>
      <c r="K4337" t="inlineStr">
        <is>
          <t>N/A</t>
        </is>
      </c>
      <c r="L4337" t="inlineStr">
        <is>
          <t>Lắp Ráp Máy Móc, Bảo Dưỡng Máy Móc, Lập Trình PLC, AutoCAD, Kỹ Thuật</t>
        </is>
      </c>
      <c r="M4337" t="inlineStr">
        <is>
          <t>Bonus, Healthcare Plan, Paid Leave, Training, Transportation</t>
        </is>
      </c>
      <c r="N4337" s="8">
        <f>HYPERLINK("https://www.vietnamworks.com/nhan-vien-ky-thuat-san-xuat-phong-san-xuat-2011772-jv","Xem chi tiết")</f>
        <v/>
      </c>
    </row>
    <row r="4338">
      <c r="B4338" s="9" t="n">
        <v>4336</v>
      </c>
      <c r="C4338" s="10" t="inlineStr">
        <is>
          <t>Trưởng Nhóm Kinh Doanh B2B</t>
        </is>
      </c>
      <c r="D4338" s="10" t="inlineStr">
        <is>
          <t>CÔNG TY CỔ PHẦN SHIELD DOOR</t>
        </is>
      </c>
      <c r="E4338" s="10" t="inlineStr">
        <is>
          <t>20tr-50tr ₫/tháng</t>
        </is>
      </c>
      <c r="F4338" s="10" t="inlineStr">
        <is>
          <t>Hà Nội</t>
        </is>
      </c>
      <c r="G4338" s="10" t="inlineStr">
        <is>
          <t>Trưởng phòng</t>
        </is>
      </c>
      <c r="H4338" s="10" t="inlineStr">
        <is>
          <t>12/02/2026</t>
        </is>
      </c>
      <c r="I4338" s="10" t="inlineStr">
        <is>
          <t>29/03/2026</t>
        </is>
      </c>
      <c r="J4338" s="10" t="inlineStr">
        <is>
          <t>17/03/2026</t>
        </is>
      </c>
      <c r="K4338" s="10" t="inlineStr">
        <is>
          <t>N/A</t>
        </is>
      </c>
      <c r="L4338" s="10" t="inlineStr">
        <is>
          <t>Kinh Doanh B2B, Kỹ năng lập kế hoạch, Đàm Phán, Giải quyết vấn đề, Phân Tích Chiến Lược</t>
        </is>
      </c>
      <c r="M4338" s="10" t="inlineStr">
        <is>
          <t>Bonus, Training, Others</t>
        </is>
      </c>
      <c r="N4338" s="11">
        <f>HYPERLINK("https://www.vietnamworks.com/truong-nhom-kinh-doanh-b2b-2011762-jv","Xem chi tiết")</f>
        <v/>
      </c>
      <c r="O4338" s="10" t="n"/>
    </row>
    <row r="4339">
      <c r="B4339" s="7" t="n">
        <v>4337</v>
      </c>
      <c r="C4339" t="inlineStr">
        <is>
          <t>BD Executive/Manager (Training/Sustainability/Building/Construction/Oil &amp; Gas)</t>
        </is>
      </c>
      <c r="D4339" t="inlineStr">
        <is>
          <t>Bureau Veritas Vietnam Ltd.</t>
        </is>
      </c>
      <c r="E4339" t="inlineStr">
        <is>
          <t>$$ 500-1,000 /tháng</t>
        </is>
      </c>
      <c r="F4339" t="inlineStr">
        <is>
          <t>Hà Nội, Hồ Chí Minh</t>
        </is>
      </c>
      <c r="G4339" t="inlineStr">
        <is>
          <t>Nhân viên</t>
        </is>
      </c>
      <c r="H4339" t="inlineStr">
        <is>
          <t>12/02/2026</t>
        </is>
      </c>
      <c r="I4339" t="inlineStr">
        <is>
          <t>29/03/2026</t>
        </is>
      </c>
      <c r="J4339" t="inlineStr">
        <is>
          <t>17/03/2026</t>
        </is>
      </c>
      <c r="K4339" t="inlineStr">
        <is>
          <t>N/A</t>
        </is>
      </c>
      <c r="L4339" t="inlineStr">
        <is>
          <t>Business Development, communication, English/Chinese, Negotiation, Sales</t>
        </is>
      </c>
      <c r="M4339" t="inlineStr">
        <is>
          <t>Bonus, Healthcare Plan, Paid Leave, Training, Laptop, Travel Opportunities</t>
        </is>
      </c>
      <c r="N4339" s="8">
        <f>HYPERLINK("https://www.vietnamworks.com/bd-executivemanager-trainingsustainabilitybuildingconstructionoil-and-gas-2011774-jv","Xem chi tiết")</f>
        <v/>
      </c>
    </row>
    <row r="4340">
      <c r="B4340" s="9" t="n">
        <v>4338</v>
      </c>
      <c r="C4340" s="10" t="inlineStr">
        <is>
          <t>Kỹ Sư Trắc Đạc</t>
        </is>
      </c>
      <c r="D4340" s="10" t="inlineStr">
        <is>
          <t>Công Ty Cổ Phần Xây Dựng Long Việt (Thuộc Tập Đoàn Hòa Phát)</t>
        </is>
      </c>
      <c r="E4340" s="10" t="inlineStr">
        <is>
          <t>12tr-25tr ₫/tháng</t>
        </is>
      </c>
      <c r="F4340" s="10" t="inlineStr">
        <is>
          <t>Bắc Giang, Hưng Yên</t>
        </is>
      </c>
      <c r="G4340" s="10" t="inlineStr">
        <is>
          <t>Nhân viên</t>
        </is>
      </c>
      <c r="H4340" s="10" t="inlineStr">
        <is>
          <t>12/02/2026</t>
        </is>
      </c>
      <c r="I4340" s="10" t="inlineStr">
        <is>
          <t>29/03/2026</t>
        </is>
      </c>
      <c r="J4340" s="10" t="inlineStr">
        <is>
          <t>17/03/2026</t>
        </is>
      </c>
      <c r="K4340" s="10" t="inlineStr">
        <is>
          <t>N/A</t>
        </is>
      </c>
      <c r="L4340" s="10" t="inlineStr">
        <is>
          <t>Kiểm Tra Kết Cấu, Làm việc nhóm, Trắc Đạc, Trắc Đạc Thi Công, Đo Đạc</t>
        </is>
      </c>
      <c r="M4340" s="10" t="inlineStr">
        <is>
          <t>Bonus, Canteen, Others</t>
        </is>
      </c>
      <c r="N4340" s="11">
        <f>HYPERLINK("https://www.vietnamworks.com/ky-su-trac-djac-2011781-jv","Xem chi tiết")</f>
        <v/>
      </c>
      <c r="O4340" s="10" t="n"/>
    </row>
    <row r="4341">
      <c r="B4341" s="7" t="n">
        <v>4339</v>
      </c>
      <c r="C4341" t="inlineStr">
        <is>
          <t>Trưởng Phòng Xe Máy Thiết Bị</t>
        </is>
      </c>
      <c r="D4341" t="inlineStr">
        <is>
          <t>Công Ty Cổ Phần Xây Dựng Long Việt (Thuộc Tập Đoàn Hòa Phát)</t>
        </is>
      </c>
      <c r="E4341" t="inlineStr">
        <is>
          <t>20tr-30tr ₫/tháng</t>
        </is>
      </c>
      <c r="F4341" t="inlineStr">
        <is>
          <t>Hưng Yên</t>
        </is>
      </c>
      <c r="G4341" t="inlineStr">
        <is>
          <t>Trưởng phòng</t>
        </is>
      </c>
      <c r="H4341" t="inlineStr">
        <is>
          <t>12/02/2026</t>
        </is>
      </c>
      <c r="I4341" t="inlineStr">
        <is>
          <t>29/03/2026</t>
        </is>
      </c>
      <c r="J4341" t="inlineStr">
        <is>
          <t>17/03/2026</t>
        </is>
      </c>
      <c r="K4341" t="inlineStr">
        <is>
          <t>N/A</t>
        </is>
      </c>
      <c r="L4341" t="inlineStr">
        <is>
          <t>Cơ Khí, Giám Sát Thiết Bị Xây Dựng, Quản Lý Thiết Bị, Quản Lý Đội Nhóm, Sử Dụng Phần Mềm</t>
        </is>
      </c>
      <c r="M4341" t="inlineStr">
        <is>
          <t>Bonus, Others</t>
        </is>
      </c>
      <c r="N4341" s="8">
        <f>HYPERLINK("https://www.vietnamworks.com/truong-phong-xe-may-thiet-bi-2011779-jv","Xem chi tiết")</f>
        <v/>
      </c>
    </row>
    <row r="4342">
      <c r="B4342" s="9" t="n">
        <v>4340</v>
      </c>
      <c r="C4342" s="10" t="inlineStr">
        <is>
          <t>Trưởng Phòng Thiết Kế</t>
        </is>
      </c>
      <c r="D4342" s="10" t="inlineStr">
        <is>
          <t>Công Ty Cổ Phần Xây Dựng Long Việt (Thuộc Tập Đoàn Hòa Phát)</t>
        </is>
      </c>
      <c r="E4342" s="10" t="inlineStr">
        <is>
          <t>30tr-35tr ₫/tháng</t>
        </is>
      </c>
      <c r="F4342" s="10" t="inlineStr">
        <is>
          <t>Hà Nội</t>
        </is>
      </c>
      <c r="G4342" s="10" t="inlineStr">
        <is>
          <t>Trưởng phòng</t>
        </is>
      </c>
      <c r="H4342" s="10" t="inlineStr">
        <is>
          <t>12/02/2026</t>
        </is>
      </c>
      <c r="I4342" s="10" t="inlineStr">
        <is>
          <t>29/03/2026</t>
        </is>
      </c>
      <c r="J4342" s="10" t="inlineStr">
        <is>
          <t>17/03/2026</t>
        </is>
      </c>
      <c r="K4342" s="10" t="inlineStr">
        <is>
          <t>N/A</t>
        </is>
      </c>
      <c r="L4342" s="10" t="inlineStr">
        <is>
          <t>phần mềm thiết kế, Quản Lý Hồ Sơ Thiết Kế, Thiết Kế Bản Vẽ Xây Dựng, Thiết Kế Kỹ Thuật</t>
        </is>
      </c>
      <c r="M4342" s="10" t="inlineStr">
        <is>
          <t>Bonus, Canteen, Others</t>
        </is>
      </c>
      <c r="N4342" s="11">
        <f>HYPERLINK("https://www.vietnamworks.com/truong-phong-thiet-ke-2011785-jv","Xem chi tiết")</f>
        <v/>
      </c>
      <c r="O4342" s="10" t="n"/>
    </row>
    <row r="4343">
      <c r="B4343" s="7" t="n">
        <v>4341</v>
      </c>
      <c r="C4343" t="inlineStr">
        <is>
          <t>Customer Service Executive - Chuyên Viên Dịch Vụ Khách Hàng</t>
        </is>
      </c>
      <c r="D4343" t="inlineStr">
        <is>
          <t>Lotte Shopping Plaza Vietnam</t>
        </is>
      </c>
      <c r="E4343" t="inlineStr">
        <is>
          <t>Thương lượng</t>
        </is>
      </c>
      <c r="F4343" t="inlineStr">
        <is>
          <t>Hà Nội</t>
        </is>
      </c>
      <c r="G4343" t="inlineStr">
        <is>
          <t>Nhân viên</t>
        </is>
      </c>
      <c r="H4343" t="inlineStr">
        <is>
          <t>12/02/2026</t>
        </is>
      </c>
      <c r="I4343" t="inlineStr">
        <is>
          <t>29/03/2026</t>
        </is>
      </c>
      <c r="J4343" t="inlineStr">
        <is>
          <t>17/03/2026</t>
        </is>
      </c>
      <c r="K4343" t="inlineStr">
        <is>
          <t>N/A</t>
        </is>
      </c>
      <c r="L4343" t="inlineStr">
        <is>
          <t>Customer Support, Problem-solving, Communication, Customer Centric, Hospitality</t>
        </is>
      </c>
      <c r="M4343" t="inlineStr">
        <is>
          <t>Bonus, Healthcare Plan, Paid Leave, Training, Transportation, Canteen, Vouchers, Others</t>
        </is>
      </c>
      <c r="N4343" s="8">
        <f>HYPERLINK("https://www.vietnamworks.com/customer-service-executive-chuyen-vien-dich-vu-khach-hang--2011777-jv","Xem chi tiết")</f>
        <v/>
      </c>
    </row>
    <row r="4344">
      <c r="B4344" s="9" t="n">
        <v>4342</v>
      </c>
      <c r="C4344" s="10" t="inlineStr">
        <is>
          <t>[Hải Phòng &amp; Hồ Chí Minh] Kỹ Sư Giám Sát/ Site Engineer</t>
        </is>
      </c>
      <c r="D4344" s="10" t="inlineStr">
        <is>
          <t>Công Ty TNHH Nippon Express Engineering (Việt Nam)</t>
        </is>
      </c>
      <c r="E4344" s="10" t="inlineStr">
        <is>
          <t>Thương lượng</t>
        </is>
      </c>
      <c r="F4344" s="10" t="inlineStr">
        <is>
          <t>Hải Phòng, Hồ Chí Minh</t>
        </is>
      </c>
      <c r="G4344" s="10" t="inlineStr">
        <is>
          <t>Nhân viên</t>
        </is>
      </c>
      <c r="H4344" s="10" t="inlineStr">
        <is>
          <t>12/02/2026</t>
        </is>
      </c>
      <c r="I4344" s="10" t="inlineStr">
        <is>
          <t>29/03/2026</t>
        </is>
      </c>
      <c r="J4344" s="10" t="inlineStr">
        <is>
          <t>17/03/2026</t>
        </is>
      </c>
      <c r="K4344" s="10" t="inlineStr">
        <is>
          <t>N/A</t>
        </is>
      </c>
      <c r="L4344" s="10" t="inlineStr">
        <is>
          <t>AutoCAD, Quản Lý Kỹ Thuật, Giám Sát Thi Công, Site Inspection, Xây Dựng Dân Dụng</t>
        </is>
      </c>
      <c r="M4344" s="10" t="inlineStr">
        <is>
          <t>Bonus, Healthcare Plan, Paid Leave</t>
        </is>
      </c>
      <c r="N4344" s="11">
        <f>HYPERLINK("https://www.vietnamworks.com/hai-phong-ho-chi-minh-ky-su-giam-sat-site-engineer-2011786-jv","Xem chi tiết")</f>
        <v/>
      </c>
      <c r="O4344" s="10" t="n"/>
    </row>
    <row r="4345">
      <c r="B4345" s="7" t="n">
        <v>4343</v>
      </c>
      <c r="C4345" t="inlineStr">
        <is>
          <t>Product Marketing Associate</t>
        </is>
      </c>
      <c r="D4345" t="inlineStr">
        <is>
          <t>Renn Labs</t>
        </is>
      </c>
      <c r="E4345" t="inlineStr">
        <is>
          <t>$$ 800-1,500 /tháng</t>
        </is>
      </c>
      <c r="F4345" t="inlineStr">
        <is>
          <t>Hồ Chí Minh</t>
        </is>
      </c>
      <c r="G4345" t="inlineStr">
        <is>
          <t>Nhân viên</t>
        </is>
      </c>
      <c r="H4345" t="inlineStr">
        <is>
          <t>12/02/2026</t>
        </is>
      </c>
      <c r="I4345" t="inlineStr">
        <is>
          <t>29/03/2026</t>
        </is>
      </c>
      <c r="J4345" t="inlineStr">
        <is>
          <t>17/03/2026</t>
        </is>
      </c>
      <c r="K4345" t="inlineStr">
        <is>
          <t>N/A</t>
        </is>
      </c>
      <c r="L4345" t="inlineStr">
        <is>
          <t>Product Marketing, Digital Marketing, Content Strategy, Data Analytics, Marketing Planning</t>
        </is>
      </c>
      <c r="M4345" t="inlineStr">
        <is>
          <t>Paid Leave, Training, Team Activities</t>
        </is>
      </c>
      <c r="N4345" s="8">
        <f>HYPERLINK("https://www.vietnamworks.com/product-marketing-associate-2011780-jv","Xem chi tiết")</f>
        <v/>
      </c>
    </row>
    <row r="4346">
      <c r="B4346" s="9" t="n">
        <v>4344</v>
      </c>
      <c r="C4346" s="10" t="inlineStr">
        <is>
          <t>Booking Coordinator - Logistics Centre of Excellence (CoE)</t>
        </is>
      </c>
      <c r="D4346" s="10" t="inlineStr">
        <is>
          <t>CÔNG TY TNHH VISY GLOBAL LOGISTICS (VIỆT NAM)</t>
        </is>
      </c>
      <c r="E4346" s="10" t="inlineStr">
        <is>
          <t>Thương lượng</t>
        </is>
      </c>
      <c r="F4346" s="10" t="inlineStr">
        <is>
          <t>Hồ Chí Minh</t>
        </is>
      </c>
      <c r="G4346" s="10" t="inlineStr">
        <is>
          <t>Nhân viên</t>
        </is>
      </c>
      <c r="H4346" s="10" t="inlineStr">
        <is>
          <t>12/02/2026</t>
        </is>
      </c>
      <c r="I4346" s="10" t="inlineStr">
        <is>
          <t>29/03/2026</t>
        </is>
      </c>
      <c r="J4346" s="10" t="inlineStr">
        <is>
          <t>17/03/2026</t>
        </is>
      </c>
      <c r="K4346" s="10" t="inlineStr">
        <is>
          <t>N/A</t>
        </is>
      </c>
      <c r="L4346" s="10" t="inlineStr">
        <is>
          <t>Multimodal Booking Execution, Transportation Management System, Điều Phối Vận Tải, Vận Hành Logistics, Booking Management</t>
        </is>
      </c>
      <c r="M4346" s="10" t="inlineStr">
        <is>
          <t>Bonus, Healthcare Plan, Paid Leave, Training, Mobile, Travel Opportunities, Team Activities, Transportation, Others</t>
        </is>
      </c>
      <c r="N4346" s="11">
        <f>HYPERLINK("https://www.vietnamworks.com/booking-coordinator-logistics-centre-of-excellence-coe-2011768-jv","Xem chi tiết")</f>
        <v/>
      </c>
      <c r="O4346" s="10" t="n"/>
    </row>
    <row r="4347">
      <c r="B4347" s="7" t="n">
        <v>4345</v>
      </c>
      <c r="C4347" t="inlineStr">
        <is>
          <t>Business Development &amp; Operations Manager (Vietnam - Startup Phase)</t>
        </is>
      </c>
      <c r="D4347" t="inlineStr">
        <is>
          <t>MAKEIO COMPANY LIMITED</t>
        </is>
      </c>
      <c r="E4347" t="inlineStr">
        <is>
          <t>$$ 800-1,200 /tháng</t>
        </is>
      </c>
      <c r="F4347" t="inlineStr">
        <is>
          <t>Hà Nội, Hồ Chí Minh</t>
        </is>
      </c>
      <c r="G4347" t="inlineStr">
        <is>
          <t>Nhân viên</t>
        </is>
      </c>
      <c r="H4347" t="inlineStr">
        <is>
          <t>12/02/2026</t>
        </is>
      </c>
      <c r="I4347" t="inlineStr">
        <is>
          <t>29/03/2026</t>
        </is>
      </c>
      <c r="J4347" t="inlineStr">
        <is>
          <t>17/03/2026</t>
        </is>
      </c>
      <c r="K4347" t="inlineStr">
        <is>
          <t>N/A</t>
        </is>
      </c>
      <c r="L4347" t="inlineStr">
        <is>
          <t>English Language Proficiency, Business Strategy Development</t>
        </is>
      </c>
      <c r="M4347" t="inlineStr">
        <is>
          <t>Bonus, Paid Leave, Laptop</t>
        </is>
      </c>
      <c r="N4347" s="8">
        <f>HYPERLINK("https://www.vietnamworks.com/business-development-operations-manager-vietnam-startup-phase-2011765-jv","Xem chi tiết")</f>
        <v/>
      </c>
    </row>
    <row r="4348">
      <c r="B4348" s="9" t="n">
        <v>4346</v>
      </c>
      <c r="C4348" s="10" t="inlineStr">
        <is>
          <t>Sales Administrator</t>
        </is>
      </c>
      <c r="D4348" s="10" t="inlineStr">
        <is>
          <t>Stäubli (H.k.) Ltd. Representative Office In Ho Chi Minh City</t>
        </is>
      </c>
      <c r="E4348" s="10" t="inlineStr">
        <is>
          <t>Thương lượng</t>
        </is>
      </c>
      <c r="F4348" s="10" t="inlineStr">
        <is>
          <t>Hồ Chí Minh</t>
        </is>
      </c>
      <c r="G4348" s="10" t="inlineStr">
        <is>
          <t>Nhân viên</t>
        </is>
      </c>
      <c r="H4348" s="10" t="inlineStr">
        <is>
          <t>12/02/2026</t>
        </is>
      </c>
      <c r="I4348" s="10" t="inlineStr">
        <is>
          <t>29/03/2026</t>
        </is>
      </c>
      <c r="J4348" s="10" t="inlineStr">
        <is>
          <t>17/03/2026</t>
        </is>
      </c>
      <c r="K4348" s="10" t="inlineStr">
        <is>
          <t>N/A</t>
        </is>
      </c>
      <c r="L4348" s="10" t="inlineStr">
        <is>
          <t>Tiếng Anh, Sales Support, Sales Administration, Kinh Doanh, Chăm Sóc Khách Hàng</t>
        </is>
      </c>
      <c r="M4348" s="10" t="inlineStr">
        <is>
          <t>Bonus, Healthcare Plan, Training</t>
        </is>
      </c>
      <c r="N4348" s="11">
        <f>HYPERLINK("https://www.vietnamworks.com/sales-administrator--2011763-jv","Xem chi tiết")</f>
        <v/>
      </c>
      <c r="O4348" s="10" t="n"/>
    </row>
    <row r="4349">
      <c r="B4349" s="7" t="n">
        <v>4347</v>
      </c>
      <c r="C4349" t="inlineStr">
        <is>
          <t>Quản Lý Vận Hành</t>
        </is>
      </c>
      <c r="D4349" t="inlineStr">
        <is>
          <t>Công ty cổ phần thời trang thể thao chuyên nghiệp Giao Thủy</t>
        </is>
      </c>
      <c r="E4349" t="inlineStr">
        <is>
          <t>12tr-15tr ₫/tháng</t>
        </is>
      </c>
      <c r="F4349" t="inlineStr">
        <is>
          <t>Hà Nội</t>
        </is>
      </c>
      <c r="G4349" t="inlineStr">
        <is>
          <t>Nhân viên</t>
        </is>
      </c>
      <c r="H4349" t="inlineStr">
        <is>
          <t>12/02/2026</t>
        </is>
      </c>
      <c r="I4349" t="inlineStr">
        <is>
          <t>29/03/2026</t>
        </is>
      </c>
      <c r="J4349" t="inlineStr">
        <is>
          <t>17/03/2026</t>
        </is>
      </c>
      <c r="K4349" t="inlineStr">
        <is>
          <t>N/A</t>
        </is>
      </c>
      <c r="L4349" t="inlineStr">
        <is>
          <t>Kế Toán, Kiểm Toán, Audit Management, Internal Control, Đánh Giá Rủi Ro</t>
        </is>
      </c>
      <c r="M4349" t="inlineStr">
        <is>
          <t>Bonus, Healthcare Plan, Travel Opportunities</t>
        </is>
      </c>
      <c r="N4349" s="8">
        <f>HYPERLINK("https://www.vietnamworks.com/quan-ly-van-hanh-2011770-jv","Xem chi tiết")</f>
        <v/>
      </c>
    </row>
    <row r="4350">
      <c r="B4350" s="9" t="n">
        <v>4348</v>
      </c>
      <c r="C4350" s="10" t="inlineStr">
        <is>
          <t>Chuyên Viên Quản Lý Rủi Ro</t>
        </is>
      </c>
      <c r="D4350" s="10" t="inlineStr">
        <is>
          <t>Công ty cổ phần thời trang thể thao chuyên nghiệp Giao Thủy</t>
        </is>
      </c>
      <c r="E4350" s="10" t="inlineStr">
        <is>
          <t>12tr-15tr ₫/tháng</t>
        </is>
      </c>
      <c r="F4350" s="10" t="inlineStr">
        <is>
          <t>Hà Nội</t>
        </is>
      </c>
      <c r="G4350" s="10" t="inlineStr">
        <is>
          <t>Nhân viên</t>
        </is>
      </c>
      <c r="H4350" s="10" t="inlineStr">
        <is>
          <t>12/02/2026</t>
        </is>
      </c>
      <c r="I4350" s="10" t="inlineStr">
        <is>
          <t>29/03/2026</t>
        </is>
      </c>
      <c r="J4350" s="10" t="inlineStr">
        <is>
          <t>17/03/2026</t>
        </is>
      </c>
      <c r="K4350" s="10" t="inlineStr">
        <is>
          <t>N/A</t>
        </is>
      </c>
      <c r="L4350" s="10" t="inlineStr">
        <is>
          <t>Kiểm Toán, Quản Lý Rủi Ro, COSO ERM, Kiểm Soát Nội Bộ</t>
        </is>
      </c>
      <c r="M4350" s="10" t="inlineStr">
        <is>
          <t>Bonus, Healthcare Plan, Travel Opportunities</t>
        </is>
      </c>
      <c r="N4350" s="11">
        <f>HYPERLINK("https://www.vietnamworks.com/chuyen-vien-quan-ly-rui-ro-2011769-jv","Xem chi tiết")</f>
        <v/>
      </c>
      <c r="O4350" s="10" t="n"/>
    </row>
    <row r="4351">
      <c r="B4351" s="7" t="n">
        <v>4349</v>
      </c>
      <c r="C4351" t="inlineStr">
        <is>
          <t>Chỉ Huy Trưởng Công Trường (Hạ Tầng Kỹ Thuật &amp; Xây Dựng Dân Dụng Và Công Nghiệp)</t>
        </is>
      </c>
      <c r="D4351" t="inlineStr">
        <is>
          <t>Công Ty Cổ Phần Xây Dựng Long Việt (Thuộc Tập Đoàn Hòa Phát)</t>
        </is>
      </c>
      <c r="E4351" t="inlineStr">
        <is>
          <t>Thương lượng</t>
        </is>
      </c>
      <c r="F4351" t="inlineStr">
        <is>
          <t>Bắc Giang, Hưng Yên</t>
        </is>
      </c>
      <c r="G4351" t="inlineStr">
        <is>
          <t>Trưởng phòng</t>
        </is>
      </c>
      <c r="H4351" t="inlineStr">
        <is>
          <t>12/02/2026</t>
        </is>
      </c>
      <c r="I4351" t="inlineStr">
        <is>
          <t>29/03/2026</t>
        </is>
      </c>
      <c r="J4351" t="inlineStr">
        <is>
          <t>17/03/2026</t>
        </is>
      </c>
      <c r="K4351" t="inlineStr">
        <is>
          <t>N/A</t>
        </is>
      </c>
      <c r="L4351" t="inlineStr">
        <is>
          <t>Chứng Chỉ Hành Nghề, Hạ Tầng Kỹ Thuật, Kỹ Thuật Xây Dựng, Quản Lý Dự Án, Xây Dựng Dân Dụng và Công Nghiệp</t>
        </is>
      </c>
      <c r="M4351" t="inlineStr">
        <is>
          <t>Bonus, Healthcare Plan, Canteen, Others</t>
        </is>
      </c>
      <c r="N4351" s="8">
        <f>HYPERLINK("https://www.vietnamworks.com/chi-huy-truong-cong-truong-ha-tang-ky-thuat-and-xay-dung-dan-dung-va-cong-nghiep-2011773-jv","Xem chi tiết")</f>
        <v/>
      </c>
    </row>
    <row r="4352">
      <c r="B4352" s="9" t="n">
        <v>4350</v>
      </c>
      <c r="C4352" s="10" t="inlineStr">
        <is>
          <t>Nhân Viên IT</t>
        </is>
      </c>
      <c r="D4352" s="10" t="inlineStr">
        <is>
          <t>CÔNG TY TNHH MITSUBISHI ELECTRIC FP AUTOMATION VIỆT NAM</t>
        </is>
      </c>
      <c r="E4352" s="10" t="inlineStr">
        <is>
          <t>Tới 18tr ₫/tháng</t>
        </is>
      </c>
      <c r="F4352" s="10" t="inlineStr">
        <is>
          <t>Hưng Yên</t>
        </is>
      </c>
      <c r="G4352" s="10" t="inlineStr">
        <is>
          <t>Nhân viên</t>
        </is>
      </c>
      <c r="H4352" s="10" t="inlineStr">
        <is>
          <t>12/02/2026</t>
        </is>
      </c>
      <c r="I4352" s="10" t="inlineStr">
        <is>
          <t>29/03/2026</t>
        </is>
      </c>
      <c r="J4352" s="10" t="inlineStr">
        <is>
          <t>17/03/2026</t>
        </is>
      </c>
      <c r="K4352" s="10" t="inlineStr">
        <is>
          <t>N/A</t>
        </is>
      </c>
      <c r="L4352" s="10" t="inlineStr">
        <is>
          <t>Technical Support, System Administration, Windows Server, WAN, IT Administration</t>
        </is>
      </c>
      <c r="M4352" s="10" t="inlineStr">
        <is>
          <t>Bonus, Healthcare Plan, Paid Leave, Training, Transportation, Others</t>
        </is>
      </c>
      <c r="N4352" s="11">
        <f>HYPERLINK("https://www.vietnamworks.com/nhan-vien-it-2011771-jv","Xem chi tiết")</f>
        <v/>
      </c>
      <c r="O4352" s="10" t="n"/>
    </row>
    <row r="4353">
      <c r="B4353" s="7" t="n">
        <v>4351</v>
      </c>
      <c r="C4353" t="inlineStr">
        <is>
          <t>Cán Bộ Nghiên Cứu Phát Triển Sản Phẩm Tín Dụng</t>
        </is>
      </c>
      <c r="D4353" t="inlineStr">
        <is>
          <t>Tổ chức tài chính vi mô TNHH MTV Tình Thương (TYM)</t>
        </is>
      </c>
      <c r="E4353" t="inlineStr">
        <is>
          <t>Thương lượng</t>
        </is>
      </c>
      <c r="F4353" t="inlineStr">
        <is>
          <t>Hà Nội</t>
        </is>
      </c>
      <c r="G4353" t="inlineStr">
        <is>
          <t>Nhân viên</t>
        </is>
      </c>
      <c r="H4353" t="inlineStr">
        <is>
          <t>12/02/2026</t>
        </is>
      </c>
      <c r="I4353" t="inlineStr">
        <is>
          <t>29/03/2026</t>
        </is>
      </c>
      <c r="J4353" t="inlineStr">
        <is>
          <t>17/03/2026</t>
        </is>
      </c>
      <c r="K4353" t="inlineStr">
        <is>
          <t>N/A</t>
        </is>
      </c>
      <c r="L4353" t="inlineStr">
        <is>
          <t>Phân Tích Tài Chính, Ngân hàng, Tài Chính, Phát Triển Sản Phẩm, Tín Dụng Ngân Hàng</t>
        </is>
      </c>
      <c r="M4353" t="inlineStr">
        <is>
          <t>Bonus, Others</t>
        </is>
      </c>
      <c r="N4353" s="8">
        <f>HYPERLINK("https://www.vietnamworks.com/can-bo-nghien-cuu-phat-trien-san-pham-tin-dung-2011775-jv","Xem chi tiết")</f>
        <v/>
      </c>
    </row>
    <row r="4354">
      <c r="B4354" s="9" t="n">
        <v>4352</v>
      </c>
      <c r="C4354" s="10" t="inlineStr">
        <is>
          <t>Chuyên Viên Content Marketing (Sử Dụng Tiếng Anh)</t>
        </is>
      </c>
      <c r="D4354" s="10" t="inlineStr">
        <is>
          <t>Asia Pioneer Travel</t>
        </is>
      </c>
      <c r="E4354" s="10" t="inlineStr">
        <is>
          <t>Thương lượng</t>
        </is>
      </c>
      <c r="F4354" s="10" t="inlineStr">
        <is>
          <t>Hà Nội</t>
        </is>
      </c>
      <c r="G4354" s="10" t="inlineStr">
        <is>
          <t>Nhân viên</t>
        </is>
      </c>
      <c r="H4354" s="10" t="inlineStr">
        <is>
          <t>12/02/2026</t>
        </is>
      </c>
      <c r="I4354" s="10" t="inlineStr">
        <is>
          <t>29/03/2026</t>
        </is>
      </c>
      <c r="J4354" s="10" t="inlineStr">
        <is>
          <t>17/03/2026</t>
        </is>
      </c>
      <c r="K4354" s="10" t="inlineStr">
        <is>
          <t>N/A</t>
        </is>
      </c>
      <c r="L4354" s="10" t="inlineStr">
        <is>
          <t>Biên Tập Nội Dung, Google Analytics, Quản Lý Nội Dung, Sáng Tạo Nội Dung, SEO</t>
        </is>
      </c>
      <c r="M4354" s="10" t="inlineStr">
        <is>
          <t>Bonus, Healthcare Plan, Training, Travel Opportunities, Others</t>
        </is>
      </c>
      <c r="N4354" s="11">
        <f>HYPERLINK("https://www.vietnamworks.com/chuyen-vien-content-marketing-su-dung-tieng-anh-2011766-jv","Xem chi tiết")</f>
        <v/>
      </c>
      <c r="O4354" s="10" t="n"/>
    </row>
    <row r="4355">
      <c r="B4355" s="7" t="n">
        <v>4353</v>
      </c>
      <c r="C4355" t="inlineStr">
        <is>
          <t>Trưởng Phòng Phát Triển Kinh Doanh</t>
        </is>
      </c>
      <c r="D4355" t="inlineStr">
        <is>
          <t>CÔNG TY CỔ PHẦN TỰ ĐỘNG HÓA VÀ ROBOTICS AUBOT</t>
        </is>
      </c>
      <c r="E4355" t="inlineStr">
        <is>
          <t>Từ 25tr ₫/tháng</t>
        </is>
      </c>
      <c r="F4355" t="inlineStr">
        <is>
          <t>Hà Nội</t>
        </is>
      </c>
      <c r="G4355" t="inlineStr">
        <is>
          <t>Trưởng phòng</t>
        </is>
      </c>
      <c r="H4355" t="inlineStr">
        <is>
          <t>12/02/2026</t>
        </is>
      </c>
      <c r="I4355" t="inlineStr">
        <is>
          <t>29/03/2026</t>
        </is>
      </c>
      <c r="J4355" t="inlineStr">
        <is>
          <t>17/03/2026</t>
        </is>
      </c>
      <c r="K4355" t="inlineStr">
        <is>
          <t>N/A</t>
        </is>
      </c>
      <c r="L4355" t="inlineStr">
        <is>
          <t>B2B Sales, B2B Sales Planning, Kinh Doanh, Nghiên Cứu Thị Trường, Phát Triển Kinh Doanh</t>
        </is>
      </c>
      <c r="M4355" t="inlineStr">
        <is>
          <t>Bonus, Healthcare Plan, Training, Travel Opportunities, Team Activities, Others</t>
        </is>
      </c>
      <c r="N4355" s="8">
        <f>HYPERLINK("https://www.vietnamworks.com/truong-phong-phat-trien-kinh-doanh-2011794-jv","Xem chi tiết")</f>
        <v/>
      </c>
    </row>
    <row r="4356">
      <c r="B4356" s="9" t="n">
        <v>4354</v>
      </c>
      <c r="C4356" s="10" t="inlineStr">
        <is>
          <t>Invoice Accountant</t>
        </is>
      </c>
      <c r="D4356" s="10" t="inlineStr">
        <is>
          <t>Ben Line Vietnam</t>
        </is>
      </c>
      <c r="E4356" s="10" t="inlineStr">
        <is>
          <t>Thương lượng</t>
        </is>
      </c>
      <c r="F4356" s="10" t="inlineStr">
        <is>
          <t>Hồ Chí Minh</t>
        </is>
      </c>
      <c r="G4356" s="10" t="inlineStr">
        <is>
          <t>Nhân viên</t>
        </is>
      </c>
      <c r="H4356" s="10" t="inlineStr">
        <is>
          <t>12/02/2026</t>
        </is>
      </c>
      <c r="I4356" s="10" t="inlineStr">
        <is>
          <t>29/03/2026</t>
        </is>
      </c>
      <c r="J4356" s="10" t="inlineStr">
        <is>
          <t>17/03/2026</t>
        </is>
      </c>
      <c r="K4356" s="10" t="inlineStr">
        <is>
          <t>N/A</t>
        </is>
      </c>
      <c r="L4356" s="10" t="inlineStr">
        <is>
          <t>E-Invoice, Payment, Business Accounting, Invoice Management, Invoice Processing</t>
        </is>
      </c>
      <c r="M4356" s="10" t="inlineStr">
        <is>
          <t>Bonus, Paid Leave, Others</t>
        </is>
      </c>
      <c r="N4356" s="11">
        <f>HYPERLINK("https://www.vietnamworks.com/invoice-accountant--2011767-jv","Xem chi tiết")</f>
        <v/>
      </c>
      <c r="O4356" s="10" t="n"/>
    </row>
    <row r="4357">
      <c r="B4357" s="7" t="n">
        <v>4355</v>
      </c>
      <c r="C4357" t="inlineStr">
        <is>
          <t>Kỹ Sư Xây Dựng (Dân Dụng/ Hạ Tầng Kỹ Thuật)</t>
        </is>
      </c>
      <c r="D4357" t="inlineStr">
        <is>
          <t>Công Ty Cổ Phần Xây Dựng Long Việt (Thuộc Tập Đoàn Hòa Phát)</t>
        </is>
      </c>
      <c r="E4357" t="inlineStr">
        <is>
          <t>18tr-30tr ₫/tháng</t>
        </is>
      </c>
      <c r="F4357" t="inlineStr">
        <is>
          <t>Bắc Giang, Hà Nội, Hưng Yên</t>
        </is>
      </c>
      <c r="G4357" t="inlineStr">
        <is>
          <t>Nhân viên</t>
        </is>
      </c>
      <c r="H4357" t="inlineStr">
        <is>
          <t>12/02/2026</t>
        </is>
      </c>
      <c r="I4357" t="inlineStr">
        <is>
          <t>29/03/2026</t>
        </is>
      </c>
      <c r="J4357" t="inlineStr">
        <is>
          <t>17/03/2026</t>
        </is>
      </c>
      <c r="K4357" t="inlineStr">
        <is>
          <t>N/A</t>
        </is>
      </c>
      <c r="L4357" t="inlineStr">
        <is>
          <t>Autocad, Bóc Tách Khối Lượng, Làm Hồ Sơ Thanh Quyết Toán, Lập Bản Vẽ Shopdrawing</t>
        </is>
      </c>
      <c r="M4357" t="inlineStr">
        <is>
          <t>Bonus, Others</t>
        </is>
      </c>
      <c r="N4357" s="8">
        <f>HYPERLINK("https://www.vietnamworks.com/ky-su-xay-dung-dan-dung-ha-tang-ky-thuat-2011788-jv","Xem chi tiết")</f>
        <v/>
      </c>
    </row>
    <row r="4358">
      <c r="B4358" s="9" t="n">
        <v>4356</v>
      </c>
      <c r="C4358" s="10" t="inlineStr">
        <is>
          <t>Art Director/Giám đốc Nghệ thuật for Orange marketing Agency</t>
        </is>
      </c>
      <c r="D4358" s="10" t="inlineStr">
        <is>
          <t>Asiafoods Corporation</t>
        </is>
      </c>
      <c r="E4358" s="10" t="inlineStr">
        <is>
          <t>30tr-40tr ₫/tháng</t>
        </is>
      </c>
      <c r="F4358" s="10" t="inlineStr">
        <is>
          <t>Hồ Chí Minh</t>
        </is>
      </c>
      <c r="G4358" s="10" t="inlineStr">
        <is>
          <t>Trưởng phòng</t>
        </is>
      </c>
      <c r="H4358" s="10" t="inlineStr">
        <is>
          <t>12/02/2026</t>
        </is>
      </c>
      <c r="I4358" s="10" t="inlineStr">
        <is>
          <t>29/03/2026</t>
        </is>
      </c>
      <c r="J4358" s="10" t="inlineStr">
        <is>
          <t>17/03/2026</t>
        </is>
      </c>
      <c r="K4358" s="10" t="inlineStr">
        <is>
          <t>N/A</t>
        </is>
      </c>
      <c r="L4358" s="10" t="inlineStr">
        <is>
          <t>Art Direction, Collaboration, Packaging Design, Typography, Visual Design</t>
        </is>
      </c>
      <c r="M4358" s="10" t="inlineStr">
        <is>
          <t>Bonus</t>
        </is>
      </c>
      <c r="N4358" s="11">
        <f>HYPERLINK("https://www.vietnamworks.com/art-directorgiam-djoc-nghe-thuat-for-orange-marketing-agency-2011787-jv","Xem chi tiết")</f>
        <v/>
      </c>
      <c r="O4358" s="10" t="n"/>
    </row>
    <row r="4359">
      <c r="B4359" s="7" t="n">
        <v>4357</v>
      </c>
      <c r="C4359" t="inlineStr">
        <is>
          <t>Nhân Viên Xuất Nhập Khẩu</t>
        </is>
      </c>
      <c r="D4359" t="inlineStr">
        <is>
          <t>Công ty cổ phần Famiviet</t>
        </is>
      </c>
      <c r="E4359" t="inlineStr">
        <is>
          <t>Thương lượng</t>
        </is>
      </c>
      <c r="F4359" t="inlineStr">
        <is>
          <t>Hà Nội</t>
        </is>
      </c>
      <c r="G4359" t="inlineStr">
        <is>
          <t>Nhân viên</t>
        </is>
      </c>
      <c r="H4359" t="inlineStr">
        <is>
          <t>12/02/2026</t>
        </is>
      </c>
      <c r="I4359" t="inlineStr">
        <is>
          <t>29/03/2026</t>
        </is>
      </c>
      <c r="J4359" t="inlineStr">
        <is>
          <t>17/03/2026</t>
        </is>
      </c>
      <c r="K4359" t="inlineStr">
        <is>
          <t>N/A</t>
        </is>
      </c>
      <c r="L4359" t="inlineStr">
        <is>
          <t>Thương Mại, Ngoại Thương, Khai Hải Quan Điện Tử, Khai Hải quan, Xuất Nhập Khẩu</t>
        </is>
      </c>
      <c r="M4359" t="inlineStr">
        <is>
          <t>Bonus, Travel Opportunities, Others</t>
        </is>
      </c>
      <c r="N4359" s="8">
        <f>HYPERLINK("https://www.vietnamworks.com/nhan-vien-xuat-nhap-khau-2011797-jv","Xem chi tiết")</f>
        <v/>
      </c>
    </row>
    <row r="4360">
      <c r="B4360" s="9" t="n">
        <v>4358</v>
      </c>
      <c r="C4360" s="10" t="inlineStr">
        <is>
          <t>[HCM/Hai Phong] Planner/Senior, Transportation Operations</t>
        </is>
      </c>
      <c r="D4360" s="10" t="inlineStr">
        <is>
          <t>APL Logistics Vietnam Company Limited</t>
        </is>
      </c>
      <c r="E4360" s="10" t="inlineStr">
        <is>
          <t>Thương lượng</t>
        </is>
      </c>
      <c r="F4360" s="10" t="inlineStr">
        <is>
          <t>Hải Phòng, Hồ Chí Minh</t>
        </is>
      </c>
      <c r="G4360" s="10" t="inlineStr">
        <is>
          <t>Nhân viên</t>
        </is>
      </c>
      <c r="H4360" s="10" t="inlineStr">
        <is>
          <t>12/02/2026</t>
        </is>
      </c>
      <c r="I4360" s="10" t="inlineStr">
        <is>
          <t>29/03/2026</t>
        </is>
      </c>
      <c r="J4360" s="10" t="inlineStr">
        <is>
          <t>17/03/2026</t>
        </is>
      </c>
      <c r="K4360" s="10" t="inlineStr">
        <is>
          <t>N/A</t>
        </is>
      </c>
      <c r="L4360" s="10" t="inlineStr">
        <is>
          <t>Custom Declaration, Transportation Operations, Trucking Management, Vendor Relationship Management, Pricing Strategy</t>
        </is>
      </c>
      <c r="M4360" s="10" t="inlineStr">
        <is>
          <t>Bonus, Healthcare Plan, Paid Leave, Training</t>
        </is>
      </c>
      <c r="N4360" s="11">
        <f>HYPERLINK("https://www.vietnamworks.com/hcmhai-phong-plannersenior-transportation-operations-2011789-jv","Xem chi tiết")</f>
        <v/>
      </c>
      <c r="O4360" s="10" t="n"/>
    </row>
    <row r="4361">
      <c r="B4361" s="7" t="n">
        <v>4359</v>
      </c>
      <c r="C4361" t="inlineStr">
        <is>
          <t>Coordinator/Senior Coordinator, Warehouse Operations</t>
        </is>
      </c>
      <c r="D4361" t="inlineStr">
        <is>
          <t>APL Logistics Vietnam Company Limited</t>
        </is>
      </c>
      <c r="E4361" t="inlineStr">
        <is>
          <t>Thương lượng</t>
        </is>
      </c>
      <c r="F4361" t="inlineStr">
        <is>
          <t>Hồ Chí Minh</t>
        </is>
      </c>
      <c r="G4361" t="inlineStr">
        <is>
          <t>Nhân viên</t>
        </is>
      </c>
      <c r="H4361" t="inlineStr">
        <is>
          <t>12/02/2026</t>
        </is>
      </c>
      <c r="I4361" t="inlineStr">
        <is>
          <t>29/03/2026</t>
        </is>
      </c>
      <c r="J4361" t="inlineStr">
        <is>
          <t>17/03/2026</t>
        </is>
      </c>
      <c r="K4361" t="inlineStr">
        <is>
          <t>N/A</t>
        </is>
      </c>
      <c r="L4361" t="inlineStr">
        <is>
          <t>3PL, Supply Chain Logistics, Warehouse Operation, WMS</t>
        </is>
      </c>
      <c r="M4361" t="inlineStr">
        <is>
          <t>Bonus, Healthcare Plan, Paid Leave, Training</t>
        </is>
      </c>
      <c r="N4361" s="8">
        <f>HYPERLINK("https://www.vietnamworks.com/coordinatorsenior-coordinator-warehouse-operations-2011790-jv","Xem chi tiết")</f>
        <v/>
      </c>
    </row>
    <row r="4362">
      <c r="B4362" s="9" t="n">
        <v>4360</v>
      </c>
      <c r="C4362" s="10" t="inlineStr">
        <is>
          <t xml:space="preserve">[TUYỂN GẤP] NHÂN VIÊN XUẤT NHẬP KHẨU/LOGISTICS OFFICER </t>
        </is>
      </c>
      <c r="D4362" s="10" t="inlineStr">
        <is>
          <t>CÔNG TY TNHH ACE ENGINEERING VINA</t>
        </is>
      </c>
      <c r="E4362" s="10" t="inlineStr">
        <is>
          <t>Thương lượng</t>
        </is>
      </c>
      <c r="F4362" s="10" t="inlineStr">
        <is>
          <t>Bắc Ninh</t>
        </is>
      </c>
      <c r="G4362" s="10" t="inlineStr">
        <is>
          <t>Nhân viên</t>
        </is>
      </c>
      <c r="H4362" s="10" t="inlineStr">
        <is>
          <t>12/02/2026</t>
        </is>
      </c>
      <c r="I4362" s="10" t="inlineStr">
        <is>
          <t>29/03/2026</t>
        </is>
      </c>
      <c r="J4362" s="10" t="inlineStr">
        <is>
          <t>17/03/2026</t>
        </is>
      </c>
      <c r="K4362" s="10" t="inlineStr">
        <is>
          <t>N/A</t>
        </is>
      </c>
      <c r="L4362" s="10" t="inlineStr">
        <is>
          <t>Logistic Arrangement, Logistics operations, Quản Lý Hoạt Động Xuất Nhập Khẩu, Xuất Nhập Khẩu</t>
        </is>
      </c>
      <c r="M4362" s="10" t="inlineStr">
        <is>
          <t>Bonus, Paid Leave, Laptop</t>
        </is>
      </c>
      <c r="N4362" s="11">
        <f>HYPERLINK("https://www.vietnamworks.com/tuyen-gap-nhan-vien-xuat-nhap-khaulogistics-officer-2011809-jv","Xem chi tiết")</f>
        <v/>
      </c>
      <c r="O4362" s="10" t="n"/>
    </row>
    <row r="4363">
      <c r="B4363" s="7" t="n">
        <v>4361</v>
      </c>
      <c r="C4363" t="inlineStr">
        <is>
          <t>Quality Manager</t>
        </is>
      </c>
      <c r="D4363" t="inlineStr">
        <is>
          <t>CÔNG TY TNHH SX BAO BÌ NAM VIỆT</t>
        </is>
      </c>
      <c r="E4363" t="inlineStr">
        <is>
          <t>Thương lượng</t>
        </is>
      </c>
      <c r="F4363" t="inlineStr">
        <is>
          <t>Đồng Nai</t>
        </is>
      </c>
      <c r="G4363" t="inlineStr">
        <is>
          <t>Trưởng phòng</t>
        </is>
      </c>
      <c r="H4363" t="inlineStr">
        <is>
          <t>12/02/2026</t>
        </is>
      </c>
      <c r="I4363" t="inlineStr">
        <is>
          <t>29/03/2026</t>
        </is>
      </c>
      <c r="J4363" t="inlineStr">
        <is>
          <t>17/03/2026</t>
        </is>
      </c>
      <c r="K4363" t="inlineStr">
        <is>
          <t>N/A</t>
        </is>
      </c>
      <c r="L4363" t="inlineStr">
        <is>
          <t>ISO Quality Management, Qc, Quality Assurance, Quality Control, Quality Management</t>
        </is>
      </c>
      <c r="M4363" t="inlineStr">
        <is>
          <t>Bonus, Healthcare Plan, Others</t>
        </is>
      </c>
      <c r="N4363" s="8">
        <f>HYPERLINK("https://www.vietnamworks.com/quality-manager-2011799-jv","Xem chi tiết")</f>
        <v/>
      </c>
    </row>
    <row r="4364">
      <c r="B4364" s="9" t="n">
        <v>4362</v>
      </c>
      <c r="C4364" s="10" t="inlineStr">
        <is>
          <t>Chemical Procurement Staff/ Nhân Viên Thu Mua Hóa Chất</t>
        </is>
      </c>
      <c r="D4364" s="10" t="inlineStr">
        <is>
          <t>Branch of Goshu Kohsan (Vietnam) Co., Ltd.</t>
        </is>
      </c>
      <c r="E4364" s="10" t="inlineStr">
        <is>
          <t>Thương lượng</t>
        </is>
      </c>
      <c r="F4364" s="10" t="inlineStr">
        <is>
          <t>Bình Dương</t>
        </is>
      </c>
      <c r="G4364" s="10" t="inlineStr">
        <is>
          <t>Nhân viên</t>
        </is>
      </c>
      <c r="H4364" s="10" t="inlineStr">
        <is>
          <t>12/02/2026</t>
        </is>
      </c>
      <c r="I4364" s="10" t="inlineStr">
        <is>
          <t>29/03/2026</t>
        </is>
      </c>
      <c r="J4364" s="10" t="inlineStr">
        <is>
          <t>17/03/2026</t>
        </is>
      </c>
      <c r="K4364" s="10" t="inlineStr">
        <is>
          <t>N/A</t>
        </is>
      </c>
      <c r="L4364" s="10" t="inlineStr">
        <is>
          <t>Risk Management, Inventory Control, Hóa Chất, Procurement, Thu Mua</t>
        </is>
      </c>
      <c r="M4364" s="10" t="inlineStr">
        <is>
          <t>Bonus, Healthcare Plan, Paid Leave, Team Activities, Transportation</t>
        </is>
      </c>
      <c r="N4364" s="11">
        <f>HYPERLINK("https://www.vietnamworks.com/chemical-procurement-staff-nhan-vien-thu-mua-hoa-chat-2011791-jv","Xem chi tiết")</f>
        <v/>
      </c>
      <c r="O4364" s="10" t="n"/>
    </row>
    <row r="4365">
      <c r="B4365" s="7" t="n">
        <v>4363</v>
      </c>
      <c r="C4365" t="inlineStr">
        <is>
          <t>National Director</t>
        </is>
      </c>
      <c r="D4365" t="inlineStr">
        <is>
          <t>Habitat For Humanity International In Vietnam</t>
        </is>
      </c>
      <c r="E4365" t="inlineStr">
        <is>
          <t>Thương lượng</t>
        </is>
      </c>
      <c r="F4365" t="inlineStr">
        <is>
          <t>Hồ Chí Minh</t>
        </is>
      </c>
      <c r="G4365" t="inlineStr">
        <is>
          <t>Giám Đốc và Cấp Cao Hơn</t>
        </is>
      </c>
      <c r="H4365" t="inlineStr">
        <is>
          <t>12/02/2026</t>
        </is>
      </c>
      <c r="I4365" t="inlineStr">
        <is>
          <t>29/03/2026</t>
        </is>
      </c>
      <c r="J4365" t="inlineStr">
        <is>
          <t>17/03/2026</t>
        </is>
      </c>
      <c r="K4365" t="inlineStr">
        <is>
          <t>N/A</t>
        </is>
      </c>
      <c r="L4365" t="inlineStr">
        <is>
          <t>Strategic Management, Stakeholder Engagement, Advocacy, Resource Development, Organizational Growth</t>
        </is>
      </c>
      <c r="M4365" t="inlineStr">
        <is>
          <t>Bonus, Healthcare Plan, Others</t>
        </is>
      </c>
      <c r="N4365" s="8">
        <f>HYPERLINK("https://www.vietnamworks.com/national-director-2011796-jv","Xem chi tiết")</f>
        <v/>
      </c>
    </row>
    <row r="4366">
      <c r="B4366" s="9" t="n">
        <v>4364</v>
      </c>
      <c r="C4366" s="10" t="inlineStr">
        <is>
          <t xml:space="preserve">Kế Toán Tổng Hợp </t>
        </is>
      </c>
      <c r="D4366" s="10" t="inlineStr">
        <is>
          <t>CÔNG TY CP CÔNG NGHỆ CHIẾU SÁNG ĐẠI DƯƠNG XANH - GREEN OCEAN LIGHTING TECHNOLOGY JSC.,</t>
        </is>
      </c>
      <c r="E4366" s="10" t="inlineStr">
        <is>
          <t>Thương lượng</t>
        </is>
      </c>
      <c r="F4366" s="10" t="inlineStr">
        <is>
          <t>Đà Nẵng</t>
        </is>
      </c>
      <c r="G4366" s="10" t="inlineStr">
        <is>
          <t>Nhân viên</t>
        </is>
      </c>
      <c r="H4366" s="10" t="inlineStr">
        <is>
          <t>12/02/2026</t>
        </is>
      </c>
      <c r="I4366" s="10" t="inlineStr">
        <is>
          <t>29/03/2026</t>
        </is>
      </c>
      <c r="J4366" s="10" t="inlineStr">
        <is>
          <t>17/03/2026</t>
        </is>
      </c>
      <c r="K4366" s="10" t="inlineStr">
        <is>
          <t>N/A</t>
        </is>
      </c>
      <c r="L4366" s="10" t="inlineStr">
        <is>
          <t>General Accountant, General Accountant Experience, General Accounting, General accounting /kế toán tổng hợp, General Accounting Principals</t>
        </is>
      </c>
      <c r="M4366" s="10" t="inlineStr">
        <is>
          <t>Bonus, Paid Leave, Training, Transportation, Others</t>
        </is>
      </c>
      <c r="N4366" s="11">
        <f>HYPERLINK("https://www.vietnamworks.com/ke-toan-tong-hop-2011808-jv","Xem chi tiết")</f>
        <v/>
      </c>
      <c r="O4366" s="10" t="n"/>
    </row>
    <row r="4367">
      <c r="B4367" s="7" t="n">
        <v>4365</v>
      </c>
      <c r="C4367" t="inlineStr">
        <is>
          <t>Nhân Viên Bán Hàng Kỹ Thuật | Senior Sales Engineer (Thu Nhập Trên 30 Triệu)</t>
        </is>
      </c>
      <c r="D4367" t="inlineStr">
        <is>
          <t>Công Ty TNHH Kỹ Thuật Công Nghệ Hợp Tiến</t>
        </is>
      </c>
      <c r="E4367" t="inlineStr">
        <is>
          <t>15tr-30tr ₫/tháng</t>
        </is>
      </c>
      <c r="F4367" t="inlineStr">
        <is>
          <t>Hồ Chí Minh</t>
        </is>
      </c>
      <c r="G4367" t="inlineStr">
        <is>
          <t>Nhân viên</t>
        </is>
      </c>
      <c r="H4367" t="inlineStr">
        <is>
          <t>12/02/2026</t>
        </is>
      </c>
      <c r="I4367" t="inlineStr">
        <is>
          <t>29/03/2026</t>
        </is>
      </c>
      <c r="J4367" t="inlineStr">
        <is>
          <t>17/03/2026</t>
        </is>
      </c>
      <c r="K4367" t="inlineStr">
        <is>
          <t>N/A</t>
        </is>
      </c>
      <c r="L4367" t="inlineStr">
        <is>
          <t>Tư Vấn Bán Hàng, Business Development, Sales Kỹ Thuật, Chăm Sóc Khách Hàng, Sales Engineering</t>
        </is>
      </c>
      <c r="M4367" t="inlineStr">
        <is>
          <t>Bonus, Healthcare Plan, Others</t>
        </is>
      </c>
      <c r="N4367" s="8">
        <f>HYPERLINK("https://www.vietnamworks.com/nhan-vien-ban-hang-ky-thuat-senior-sales-engineer-thu-nhap-tren-30-trieu--2011802-jv","Xem chi tiết")</f>
        <v/>
      </c>
    </row>
    <row r="4368">
      <c r="B4368" s="9" t="n">
        <v>4366</v>
      </c>
      <c r="C4368" s="10" t="inlineStr">
        <is>
          <t>Nhân Viên Kinh Doanh Nội Bộ (Sales Executive)</t>
        </is>
      </c>
      <c r="D4368" s="10" t="inlineStr">
        <is>
          <t>Keding Enterprises Co., Ltd.</t>
        </is>
      </c>
      <c r="E4368" s="10" t="inlineStr">
        <is>
          <t>$$ 1,000-1,500 /tháng</t>
        </is>
      </c>
      <c r="F4368" s="10" t="inlineStr">
        <is>
          <t>Hồ Chí Minh</t>
        </is>
      </c>
      <c r="G4368" s="10" t="inlineStr">
        <is>
          <t>Nhân viên</t>
        </is>
      </c>
      <c r="H4368" s="10" t="inlineStr">
        <is>
          <t>12/02/2026</t>
        </is>
      </c>
      <c r="I4368" s="10" t="inlineStr">
        <is>
          <t>29/03/2026</t>
        </is>
      </c>
      <c r="J4368" s="10" t="inlineStr">
        <is>
          <t>17/03/2026</t>
        </is>
      </c>
      <c r="K4368" s="10" t="inlineStr">
        <is>
          <t>N/A</t>
        </is>
      </c>
      <c r="L4368" s="10" t="inlineStr">
        <is>
          <t>Kinh Doanh, Chăm Sóc Khách Hàng, Sales Hunter, Phát Triển Thị Trường, Sales Consultant</t>
        </is>
      </c>
      <c r="M4368" s="10" t="inlineStr">
        <is>
          <t>Bonus, Training</t>
        </is>
      </c>
      <c r="N4368" s="11">
        <f>HYPERLINK("https://www.vietnamworks.com/nhan-vien-kinh-doanh-noi-bo-sales-executive-2011805-jv","Xem chi tiết")</f>
        <v/>
      </c>
      <c r="O4368" s="10" t="n"/>
    </row>
    <row r="4369">
      <c r="B4369" s="7" t="n">
        <v>4367</v>
      </c>
      <c r="C4369" t="inlineStr">
        <is>
          <t>Chuyên Viên Kinh Doanh B2B (Export &amp; Domestic)</t>
        </is>
      </c>
      <c r="D4369" t="inlineStr">
        <is>
          <t>Công Ty Cổ Phần Everpia</t>
        </is>
      </c>
      <c r="E4369" t="inlineStr">
        <is>
          <t>Thương lượng</t>
        </is>
      </c>
      <c r="F4369" t="inlineStr">
        <is>
          <t>Hưng Yên, Hà Nội, Đà Nẵng</t>
        </is>
      </c>
      <c r="G4369" t="inlineStr">
        <is>
          <t>Nhân viên</t>
        </is>
      </c>
      <c r="H4369" t="inlineStr">
        <is>
          <t>12/02/2026</t>
        </is>
      </c>
      <c r="I4369" t="inlineStr">
        <is>
          <t>29/03/2026</t>
        </is>
      </c>
      <c r="J4369" t="inlineStr">
        <is>
          <t>17/03/2026</t>
        </is>
      </c>
      <c r="K4369" t="inlineStr">
        <is>
          <t>N/A</t>
        </is>
      </c>
      <c r="L4369" t="inlineStr">
        <is>
          <t>B2B Sales, Kế Hoạch Kinh Doanh, Phát Triển Khách Hàng, Tìm Kiếm Khách Hàng, Đàm Phán Hợp Đồng</t>
        </is>
      </c>
      <c r="M4369" t="inlineStr">
        <is>
          <t>Bonus, Healthcare Plan, Others</t>
        </is>
      </c>
      <c r="N4369" s="8">
        <f>HYPERLINK("https://www.vietnamworks.com/chuyen-vien-kinh-doanh-b2b-export-and-domestic-2011812-jv","Xem chi tiết")</f>
        <v/>
      </c>
    </row>
    <row r="4370">
      <c r="B4370" s="9" t="n">
        <v>4368</v>
      </c>
      <c r="C4370" s="10" t="inlineStr">
        <is>
          <t>Project Manager (Property Manager)</t>
        </is>
      </c>
      <c r="D4370" s="10" t="inlineStr">
        <is>
          <t>CÔNG TY CỔ PHẦN RIVIERA</t>
        </is>
      </c>
      <c r="E4370" s="10" t="inlineStr">
        <is>
          <t>$$ 1,000-1,500 /tháng</t>
        </is>
      </c>
      <c r="F4370" s="10" t="inlineStr">
        <is>
          <t>Hồ Chí Minh</t>
        </is>
      </c>
      <c r="G4370" s="10" t="inlineStr">
        <is>
          <t>Trưởng phòng</t>
        </is>
      </c>
      <c r="H4370" s="10" t="inlineStr">
        <is>
          <t>12/02/2026</t>
        </is>
      </c>
      <c r="I4370" s="10" t="inlineStr">
        <is>
          <t>29/03/2026</t>
        </is>
      </c>
      <c r="J4370" s="10" t="inlineStr">
        <is>
          <t>17/03/2026</t>
        </is>
      </c>
      <c r="K4370" s="10" t="inlineStr">
        <is>
          <t>N/A</t>
        </is>
      </c>
      <c r="L4370" s="10" t="inlineStr">
        <is>
          <t>Chiến Lược Kinh Doanh, Quản Lý Dự Án, Quản Lý Bất Động Sản, Quản Lý Khu Dân Cư, Quan Hệ Khách Hàng</t>
        </is>
      </c>
      <c r="M4370" s="10" t="inlineStr">
        <is>
          <t>Healthcare Plan, Paid Leave, Laptop</t>
        </is>
      </c>
      <c r="N4370" s="11">
        <f>HYPERLINK("https://www.vietnamworks.com/project-manager-property-manager-2011810-jv","Xem chi tiết")</f>
        <v/>
      </c>
      <c r="O4370" s="10" t="n"/>
    </row>
    <row r="4371">
      <c r="B4371" s="7" t="n">
        <v>4369</v>
      </c>
      <c r="C4371" t="inlineStr">
        <is>
          <t xml:space="preserve">Nhân Viên Mua Hàng </t>
        </is>
      </c>
      <c r="D4371" t="inlineStr">
        <is>
          <t>CÔNG TY CP CÔNG NGHỆ CHIẾU SÁNG ĐẠI DƯƠNG XANH - GREEN OCEAN LIGHTING TECHNOLOGY JSC.,</t>
        </is>
      </c>
      <c r="E4371" t="inlineStr">
        <is>
          <t>Thương lượng</t>
        </is>
      </c>
      <c r="F4371" t="inlineStr">
        <is>
          <t>Đà Nẵng</t>
        </is>
      </c>
      <c r="G4371" t="inlineStr">
        <is>
          <t>Nhân viên</t>
        </is>
      </c>
      <c r="H4371" t="inlineStr">
        <is>
          <t>12/02/2026</t>
        </is>
      </c>
      <c r="I4371" t="inlineStr">
        <is>
          <t>29/03/2026</t>
        </is>
      </c>
      <c r="J4371" t="inlineStr">
        <is>
          <t>17/03/2026</t>
        </is>
      </c>
      <c r="K4371" t="inlineStr">
        <is>
          <t>N/A</t>
        </is>
      </c>
      <c r="L4371" t="inlineStr">
        <is>
          <t>Mua Hàng, Mua Hàng Phụ Kiện, Purchasing Logistics, Purchasing Skill, Thu Mua</t>
        </is>
      </c>
      <c r="M4371" t="inlineStr">
        <is>
          <t>Bonus, Paid Leave, Training, Transportation, Others</t>
        </is>
      </c>
      <c r="N4371" s="8">
        <f>HYPERLINK("https://www.vietnamworks.com/nhan-vien-mua-hang-2011811-jv","Xem chi tiết")</f>
        <v/>
      </c>
    </row>
    <row r="4372">
      <c r="B4372" s="9" t="n">
        <v>4370</v>
      </c>
      <c r="C4372" s="10" t="inlineStr">
        <is>
          <t>Nhân Viên Thiết Kế Đồ Họa</t>
        </is>
      </c>
      <c r="D4372" s="10" t="inlineStr">
        <is>
          <t>CÔNG TY CP CÔNG NGHỆ CHIẾU SÁNG ĐẠI DƯƠNG XANH - GREEN OCEAN LIGHTING TECHNOLOGY JSC.,</t>
        </is>
      </c>
      <c r="E4372" s="10" t="inlineStr">
        <is>
          <t>Thương lượng</t>
        </is>
      </c>
      <c r="F4372" s="10" t="inlineStr">
        <is>
          <t>Đà Nẵng</t>
        </is>
      </c>
      <c r="G4372" s="10" t="inlineStr">
        <is>
          <t>Nhân viên</t>
        </is>
      </c>
      <c r="H4372" s="10" t="inlineStr">
        <is>
          <t>12/02/2026</t>
        </is>
      </c>
      <c r="I4372" s="10" t="inlineStr">
        <is>
          <t>29/03/2026</t>
        </is>
      </c>
      <c r="J4372" s="10" t="inlineStr">
        <is>
          <t>17/03/2026</t>
        </is>
      </c>
      <c r="K4372" s="10" t="inlineStr">
        <is>
          <t>N/A</t>
        </is>
      </c>
      <c r="L4372" s="10" t="inlineStr">
        <is>
          <t>D5 Render, Graphic Design, illustrator, In Design, Sketchup Rendering</t>
        </is>
      </c>
      <c r="M4372" s="10" t="inlineStr">
        <is>
          <t>Bonus, Paid Leave, Training, Transportation, Others</t>
        </is>
      </c>
      <c r="N4372" s="11">
        <f>HYPERLINK("https://www.vietnamworks.com/nhan-vien-thiet-ke-djo-hoa-2011801-jv","Xem chi tiết")</f>
        <v/>
      </c>
      <c r="O4372" s="10" t="n"/>
    </row>
    <row r="4373">
      <c r="B4373" s="7" t="n">
        <v>4371</v>
      </c>
      <c r="C4373" t="inlineStr">
        <is>
          <t>Trợ lý Tổng Giám Đốc</t>
        </is>
      </c>
      <c r="D4373" t="inlineStr">
        <is>
          <t>CÔNG TY CP CÔNG NGHỆ CHIẾU SÁNG ĐẠI DƯƠNG XANH - GREEN OCEAN LIGHTING TECHNOLOGY JSC.,</t>
        </is>
      </c>
      <c r="E4373" t="inlineStr">
        <is>
          <t>Thương lượng</t>
        </is>
      </c>
      <c r="F4373" t="inlineStr">
        <is>
          <t>Đà Nẵng</t>
        </is>
      </c>
      <c r="G4373" t="inlineStr">
        <is>
          <t>Nhân viên</t>
        </is>
      </c>
      <c r="H4373" t="inlineStr">
        <is>
          <t>12/02/2026</t>
        </is>
      </c>
      <c r="I4373" t="inlineStr">
        <is>
          <t>29/03/2026</t>
        </is>
      </c>
      <c r="J4373" t="inlineStr">
        <is>
          <t>17/03/2026</t>
        </is>
      </c>
      <c r="K4373" t="inlineStr">
        <is>
          <t>N/A</t>
        </is>
      </c>
      <c r="L4373" t="inlineStr">
        <is>
          <t>Kiến Trúc, Quản Lý Dự Án, Thư Ký, Trợ Lý, Xây Dựng</t>
        </is>
      </c>
      <c r="M4373" t="inlineStr">
        <is>
          <t>Bonus, Paid Leave, Training, Transportation, Others</t>
        </is>
      </c>
      <c r="N4373" s="8">
        <f>HYPERLINK("https://www.vietnamworks.com/tro-ly-tong-giam-djoc-2011804-jv","Xem chi tiết")</f>
        <v/>
      </c>
    </row>
    <row r="4374">
      <c r="B4374" s="9" t="n">
        <v>4372</v>
      </c>
      <c r="C4374" s="10" t="inlineStr">
        <is>
          <t>Nhân Viên Kinh Doanh</t>
        </is>
      </c>
      <c r="D4374" s="10" t="inlineStr">
        <is>
          <t>CÔNG TY CP CÔNG NGHỆ CHIẾU SÁNG ĐẠI DƯƠNG XANH - GREEN OCEAN LIGHTING TECHNOLOGY JSC.,</t>
        </is>
      </c>
      <c r="E4374" s="10" t="inlineStr">
        <is>
          <t>Thương lượng</t>
        </is>
      </c>
      <c r="F4374" s="10" t="inlineStr">
        <is>
          <t>Đà Nẵng, Hà Nội, Hồ Chí Minh</t>
        </is>
      </c>
      <c r="G4374" s="10" t="inlineStr">
        <is>
          <t>Nhân viên</t>
        </is>
      </c>
      <c r="H4374" s="10" t="inlineStr">
        <is>
          <t>12/02/2026</t>
        </is>
      </c>
      <c r="I4374" s="10" t="inlineStr">
        <is>
          <t>29/03/2026</t>
        </is>
      </c>
      <c r="J4374" s="10" t="inlineStr">
        <is>
          <t>17/03/2026</t>
        </is>
      </c>
      <c r="K4374" s="10" t="inlineStr">
        <is>
          <t>N/A</t>
        </is>
      </c>
      <c r="L4374" s="10" t="inlineStr">
        <is>
          <t>Giao Tiếp, Kinh Doanh, Kỹ Thuật Điện, Tư Vấn, Điện Tử Viễn Thông</t>
        </is>
      </c>
      <c r="M4374" s="10" t="inlineStr">
        <is>
          <t>Bonus, Paid Leave, Training, Transportation, Others</t>
        </is>
      </c>
      <c r="N4374" s="11">
        <f>HYPERLINK("https://www.vietnamworks.com/nhan-vien-kinh-doanh-2011798-jv","Xem chi tiết")</f>
        <v/>
      </c>
      <c r="O4374" s="10" t="n"/>
    </row>
    <row r="4375">
      <c r="B4375" s="7" t="n">
        <v>4373</v>
      </c>
      <c r="C4375" t="inlineStr">
        <is>
          <t>Data Foundation Analyst &amp; Auditor</t>
        </is>
      </c>
      <c r="D4375" t="inlineStr">
        <is>
          <t>Hanesbrands Inc. (HY Plant)</t>
        </is>
      </c>
      <c r="E4375" t="inlineStr">
        <is>
          <t>Thương lượng</t>
        </is>
      </c>
      <c r="F4375" t="inlineStr">
        <is>
          <t>Hưng Yên, Hà Nội</t>
        </is>
      </c>
      <c r="G4375" t="inlineStr">
        <is>
          <t>Nhân viên</t>
        </is>
      </c>
      <c r="H4375" t="inlineStr">
        <is>
          <t>12/02/2026</t>
        </is>
      </c>
      <c r="I4375" t="inlineStr">
        <is>
          <t>29/03/2026</t>
        </is>
      </c>
      <c r="J4375" t="inlineStr">
        <is>
          <t>17/03/2026</t>
        </is>
      </c>
      <c r="K4375" t="inlineStr">
        <is>
          <t>N/A</t>
        </is>
      </c>
      <c r="L4375" t="inlineStr">
        <is>
          <t>Data-Driven, MS Office, Scripting, Database Tool, Data Mining</t>
        </is>
      </c>
      <c r="M4375" t="inlineStr">
        <is>
          <t>Healthcare Plan, Paid Leave, Transportation</t>
        </is>
      </c>
      <c r="N4375" s="8">
        <f>HYPERLINK("https://www.vietnamworks.com/data-foundation-analyst-auditor-2011803-jv","Xem chi tiết")</f>
        <v/>
      </c>
    </row>
    <row r="4376">
      <c r="B4376" s="9" t="n">
        <v>4374</v>
      </c>
      <c r="C4376" s="10" t="inlineStr">
        <is>
          <t>Environmental Engineer</t>
        </is>
      </c>
      <c r="D4376" s="10" t="inlineStr">
        <is>
          <t>Công Ty Cổ Phần Halcom Việt Nam</t>
        </is>
      </c>
      <c r="E4376" s="10" t="inlineStr">
        <is>
          <t>Thương lượng</t>
        </is>
      </c>
      <c r="F4376" s="10" t="inlineStr">
        <is>
          <t>Hà Nội</t>
        </is>
      </c>
      <c r="G4376" s="10" t="inlineStr">
        <is>
          <t>Nhân viên</t>
        </is>
      </c>
      <c r="H4376" s="10" t="inlineStr">
        <is>
          <t>12/02/2026</t>
        </is>
      </c>
      <c r="I4376" s="10" t="inlineStr">
        <is>
          <t>29/03/2026</t>
        </is>
      </c>
      <c r="J4376" s="10" t="inlineStr">
        <is>
          <t>17/03/2026</t>
        </is>
      </c>
      <c r="K4376" s="10" t="inlineStr">
        <is>
          <t>N/A</t>
        </is>
      </c>
      <c r="L4376" s="10" t="inlineStr">
        <is>
          <t>Auto Cad, Environmental Analysis, Environmental engineering, Industrial Inspection, Site Supervision</t>
        </is>
      </c>
      <c r="M4376" s="10" t="inlineStr">
        <is>
          <t>Bonus, Training, Awards</t>
        </is>
      </c>
      <c r="N4376" s="11">
        <f>HYPERLINK("https://www.vietnamworks.com/environmental-engineer-2011813-jv","Xem chi tiết")</f>
        <v/>
      </c>
      <c r="O4376" s="10" t="n"/>
    </row>
    <row r="4377">
      <c r="B4377" s="7" t="n">
        <v>4375</v>
      </c>
      <c r="C4377" t="inlineStr">
        <is>
          <t>[HN/HCMC] Quản Lý Dịch Vụ Hậu Mãi Khu Vực (Service Zone Manager)</t>
        </is>
      </c>
      <c r="D4377" t="inlineStr">
        <is>
          <t>CÔNG TY TNHH Ô TÔ BYD (VIỆT NAM)</t>
        </is>
      </c>
      <c r="E4377" t="inlineStr">
        <is>
          <t>Tới 45tr ₫/tháng</t>
        </is>
      </c>
      <c r="F4377" t="inlineStr">
        <is>
          <t>Hồ Chí Minh, Hà Nội</t>
        </is>
      </c>
      <c r="G4377" t="inlineStr">
        <is>
          <t>Nhân viên</t>
        </is>
      </c>
      <c r="H4377" t="inlineStr">
        <is>
          <t>12/02/2026</t>
        </is>
      </c>
      <c r="I4377" t="inlineStr">
        <is>
          <t>29/03/2026</t>
        </is>
      </c>
      <c r="J4377" t="inlineStr">
        <is>
          <t>17/03/2026</t>
        </is>
      </c>
      <c r="K4377" t="inlineStr">
        <is>
          <t>N/A</t>
        </is>
      </c>
      <c r="L4377" t="inlineStr">
        <is>
          <t>Dịch Vụ Ngành Ô Tô, Kỹ Năng Chăm Sóc Khách Hàng, Lãnh Đạo, Mô Phỏng Phân Tích, Quản Lý Kinh Doanh Chuỗi</t>
        </is>
      </c>
      <c r="M4377" t="inlineStr">
        <is>
          <t>Bonus, Healthcare Plan, Training, Team Activities, Others</t>
        </is>
      </c>
      <c r="N4377" s="8">
        <f>HYPERLINK("https://www.vietnamworks.com/hnhcmc-quan-ly-dich-vu-hau-mai-khu-vuc-service-zone-manager-2011815-jv","Xem chi tiết")</f>
        <v/>
      </c>
    </row>
    <row r="4378">
      <c r="B4378" s="9" t="n">
        <v>4376</v>
      </c>
      <c r="C4378" s="10" t="inlineStr">
        <is>
          <t>Kế Toán Tổng Hợp</t>
        </is>
      </c>
      <c r="D4378" s="10" t="inlineStr">
        <is>
          <t>Công ty cổ phần Famiviet</t>
        </is>
      </c>
      <c r="E4378" s="10" t="inlineStr">
        <is>
          <t>Thương lượng</t>
        </is>
      </c>
      <c r="F4378" s="10" t="inlineStr">
        <is>
          <t>Hà Nội</t>
        </is>
      </c>
      <c r="G4378" s="10" t="inlineStr">
        <is>
          <t>Nhân viên</t>
        </is>
      </c>
      <c r="H4378" s="10" t="inlineStr">
        <is>
          <t>12/02/2026</t>
        </is>
      </c>
      <c r="I4378" s="10" t="inlineStr">
        <is>
          <t>29/03/2026</t>
        </is>
      </c>
      <c r="J4378" s="10" t="inlineStr">
        <is>
          <t>17/03/2026</t>
        </is>
      </c>
      <c r="K4378" s="10" t="inlineStr">
        <is>
          <t>N/A</t>
        </is>
      </c>
      <c r="L4378" s="10" t="inlineStr">
        <is>
          <t>General Accountant, General Accountant Experience, General Accounting, General accounting /kế toán tổng hợp, General Accounting Principals</t>
        </is>
      </c>
      <c r="M4378" s="10" t="inlineStr">
        <is>
          <t>Bonus, Healthcare Plan, Training, Travel Opportunities, Others</t>
        </is>
      </c>
      <c r="N4378" s="11">
        <f>HYPERLINK("https://www.vietnamworks.com/ke-toan-tong-hop-2011795-jv","Xem chi tiết")</f>
        <v/>
      </c>
      <c r="O4378" s="10" t="n"/>
    </row>
    <row r="4379">
      <c r="B4379" s="7" t="n">
        <v>4377</v>
      </c>
      <c r="C4379" t="inlineStr">
        <is>
          <t>Nhân Viên Kỹ Thuật Điện</t>
        </is>
      </c>
      <c r="D4379" t="inlineStr">
        <is>
          <t>CÔNG TY CP CÔNG NGHỆ CHIẾU SÁNG ĐẠI DƯƠNG XANH - GREEN OCEAN LIGHTING TECHNOLOGY JSC.,</t>
        </is>
      </c>
      <c r="E4379" t="inlineStr">
        <is>
          <t>Thương lượng</t>
        </is>
      </c>
      <c r="F4379" t="inlineStr">
        <is>
          <t>Đà Nẵng, Hà Nội, Hồ Chí Minh</t>
        </is>
      </c>
      <c r="G4379" t="inlineStr">
        <is>
          <t>Nhân viên</t>
        </is>
      </c>
      <c r="H4379" t="inlineStr">
        <is>
          <t>12/02/2026</t>
        </is>
      </c>
      <c r="I4379" t="inlineStr">
        <is>
          <t>29/03/2026</t>
        </is>
      </c>
      <c r="J4379" t="inlineStr">
        <is>
          <t>17/03/2026</t>
        </is>
      </c>
      <c r="K4379" t="inlineStr">
        <is>
          <t>N/A</t>
        </is>
      </c>
      <c r="L4379" t="inlineStr">
        <is>
          <t>Kỹ Thuật Điện, Electrical Engineer, Electrical Engineering, Tự Động Hóa, Điện tử</t>
        </is>
      </c>
      <c r="M4379" t="inlineStr">
        <is>
          <t>Bonus, Paid Leave, Training, Transportation, Others</t>
        </is>
      </c>
      <c r="N4379" s="8">
        <f>HYPERLINK("https://www.vietnamworks.com/nhan-vien-ky-thuat-djien-2011800-jv","Xem chi tiết")</f>
        <v/>
      </c>
    </row>
    <row r="4380">
      <c r="B4380" s="9" t="n">
        <v>4378</v>
      </c>
      <c r="C4380" s="10" t="inlineStr">
        <is>
          <t>[Hà Nội] Giám Đốc Kinh Doanh Miền</t>
        </is>
      </c>
      <c r="D4380" s="10" t="inlineStr">
        <is>
          <t>Công ty Cổ phần Ô tô GMG</t>
        </is>
      </c>
      <c r="E4380" s="10" t="inlineStr">
        <is>
          <t>$$ 1,000-2,000 /tháng</t>
        </is>
      </c>
      <c r="F4380" s="10" t="inlineStr">
        <is>
          <t>Hà Nội</t>
        </is>
      </c>
      <c r="G4380" s="10" t="inlineStr">
        <is>
          <t>Giám Đốc và Cấp Cao Hơn</t>
        </is>
      </c>
      <c r="H4380" s="10" t="inlineStr">
        <is>
          <t>12/02/2026</t>
        </is>
      </c>
      <c r="I4380" s="10" t="inlineStr">
        <is>
          <t>29/03/2026</t>
        </is>
      </c>
      <c r="J4380" s="10" t="inlineStr">
        <is>
          <t>17/03/2026</t>
        </is>
      </c>
      <c r="K4380" s="10" t="inlineStr">
        <is>
          <t>N/A</t>
        </is>
      </c>
      <c r="L4380" s="10" t="inlineStr">
        <is>
          <t>Đàm Phán, Lãnh Đạo, Quản trị Kinh doanh, B2B Sale, Phân Tích Thị Trường</t>
        </is>
      </c>
      <c r="M4380" s="10" t="inlineStr">
        <is>
          <t>Bonus, Healthcare Plan, Training</t>
        </is>
      </c>
      <c r="N4380" s="11">
        <f>HYPERLINK("https://www.vietnamworks.com/ha-noi-giam-doc-kinh-doanh-mien-2011818-jv","Xem chi tiết")</f>
        <v/>
      </c>
      <c r="O4380" s="10" t="n"/>
    </row>
    <row r="4381">
      <c r="B4381" s="7" t="n">
        <v>4379</v>
      </c>
      <c r="C4381" t="inlineStr">
        <is>
          <t>Procurement and Sourcing Manager</t>
        </is>
      </c>
      <c r="D4381" t="inlineStr">
        <is>
          <t>CÔNG TY TNHH RVN FIBERS</t>
        </is>
      </c>
      <c r="E4381" t="inlineStr">
        <is>
          <t>Thương lượng</t>
        </is>
      </c>
      <c r="F4381" t="inlineStr">
        <is>
          <t>Đồng Nai</t>
        </is>
      </c>
      <c r="G4381" t="inlineStr">
        <is>
          <t>Trưởng phòng</t>
        </is>
      </c>
      <c r="H4381" t="inlineStr">
        <is>
          <t>12/02/2026</t>
        </is>
      </c>
      <c r="I4381" t="inlineStr">
        <is>
          <t>29/03/2026</t>
        </is>
      </c>
      <c r="J4381" t="inlineStr">
        <is>
          <t>17/03/2026</t>
        </is>
      </c>
      <c r="K4381" t="inlineStr">
        <is>
          <t>N/A</t>
        </is>
      </c>
      <c r="L4381" t="inlineStr">
        <is>
          <t>Textile Purchasing, Cross-Functional Engagement, Procurement Management, Sourcing Management</t>
        </is>
      </c>
      <c r="M4381" t="inlineStr">
        <is>
          <t>Bonus, Healthcare Plan, Transportation</t>
        </is>
      </c>
      <c r="N4381" s="8">
        <f>HYPERLINK("https://www.vietnamworks.com/procurement-and-sourcing-manager-2011819-jv","Xem chi tiết")</f>
        <v/>
      </c>
    </row>
    <row r="4382">
      <c r="B4382" s="9" t="n">
        <v>4380</v>
      </c>
      <c r="C4382" s="10" t="inlineStr">
        <is>
          <t>Chinese Sales Representative - Audit Service</t>
        </is>
      </c>
      <c r="D4382" s="10" t="inlineStr">
        <is>
          <t>Helmsman Quality &amp; Technology Services Co., Ltd.</t>
        </is>
      </c>
      <c r="E4382" s="10" t="inlineStr">
        <is>
          <t>$$ 1,000-2,000 /tháng</t>
        </is>
      </c>
      <c r="F4382" s="10" t="inlineStr">
        <is>
          <t>Bắc Ninh, Hồ Chí Minh</t>
        </is>
      </c>
      <c r="G4382" s="10" t="inlineStr">
        <is>
          <t>Nhân viên</t>
        </is>
      </c>
      <c r="H4382" s="10" t="inlineStr">
        <is>
          <t>12/02/2026</t>
        </is>
      </c>
      <c r="I4382" s="10" t="inlineStr">
        <is>
          <t>29/03/2026</t>
        </is>
      </c>
      <c r="J4382" s="10" t="inlineStr">
        <is>
          <t>17/03/2026</t>
        </is>
      </c>
      <c r="K4382" s="10" t="inlineStr">
        <is>
          <t>N/A</t>
        </is>
      </c>
      <c r="L4382" s="10" t="inlineStr">
        <is>
          <t>Audit ISO, Audit Quality System, Chinese Language, English Communicate</t>
        </is>
      </c>
      <c r="M4382" s="10" t="inlineStr">
        <is>
          <t>Bonus, Healthcare Plan, Laptop</t>
        </is>
      </c>
      <c r="N4382" s="11">
        <f>HYPERLINK("https://www.vietnamworks.com/chinese-sales-representative-audit-service-2011834-jv","Xem chi tiết")</f>
        <v/>
      </c>
      <c r="O4382" s="10" t="n"/>
    </row>
    <row r="4383">
      <c r="B4383" s="7" t="n">
        <v>4381</v>
      </c>
      <c r="C4383" t="inlineStr">
        <is>
          <t>Admin Staff / Admin Manager</t>
        </is>
      </c>
      <c r="D4383" t="inlineStr">
        <is>
          <t>MBS PARTNERS</t>
        </is>
      </c>
      <c r="E4383" t="inlineStr">
        <is>
          <t>8tr-13tr ₫/tháng</t>
        </is>
      </c>
      <c r="F4383" t="inlineStr">
        <is>
          <t>Hồ Chí Minh</t>
        </is>
      </c>
      <c r="G4383" t="inlineStr">
        <is>
          <t>Nhân viên</t>
        </is>
      </c>
      <c r="H4383" t="inlineStr">
        <is>
          <t>12/02/2026</t>
        </is>
      </c>
      <c r="I4383" t="inlineStr">
        <is>
          <t>29/03/2026</t>
        </is>
      </c>
      <c r="J4383" t="inlineStr">
        <is>
          <t>17/03/2026</t>
        </is>
      </c>
      <c r="K4383" t="inlineStr">
        <is>
          <t>N/A</t>
        </is>
      </c>
      <c r="L4383" t="inlineStr">
        <is>
          <t>hành chánh, Admin, F&amp;B, Mua hàng &amp; quản lý chuỗi cung ứng, Hospitality</t>
        </is>
      </c>
      <c r="M4383" t="inlineStr">
        <is>
          <t>Bonus, Others</t>
        </is>
      </c>
      <c r="N4383" s="8">
        <f>HYPERLINK("https://www.vietnamworks.com/admin-staff-admin-manager-2011822-jv","Xem chi tiết")</f>
        <v/>
      </c>
    </row>
    <row r="4384">
      <c r="B4384" s="9" t="n">
        <v>4382</v>
      </c>
      <c r="C4384" s="10" t="inlineStr">
        <is>
          <t>[Hot Job ] Kế Toán Trưởng (Lương + Phụ Cấp 35-50Tr+/tháng)</t>
        </is>
      </c>
      <c r="D4384" s="10" t="inlineStr">
        <is>
          <t>Công Ty Cổ Phần Khoáng Sản Công Nghiệp Yên Bái (YBM)</t>
        </is>
      </c>
      <c r="E4384" s="10" t="inlineStr">
        <is>
          <t>35tr-50tr ₫/tháng</t>
        </is>
      </c>
      <c r="F4384" s="10" t="inlineStr">
        <is>
          <t>Hà Nội</t>
        </is>
      </c>
      <c r="G4384" s="10" t="inlineStr">
        <is>
          <t>Trưởng phòng</t>
        </is>
      </c>
      <c r="H4384" s="10" t="inlineStr">
        <is>
          <t>12/02/2026</t>
        </is>
      </c>
      <c r="I4384" s="10" t="inlineStr">
        <is>
          <t>29/03/2026</t>
        </is>
      </c>
      <c r="J4384" s="10" t="inlineStr">
        <is>
          <t>17/03/2026</t>
        </is>
      </c>
      <c r="K4384" s="10" t="inlineStr">
        <is>
          <t>N/A</t>
        </is>
      </c>
      <c r="L4384" s="10" t="inlineStr">
        <is>
          <t>Báo Cáo Tài Chính, Kế Toán, Luật Thuế, Tài Chính</t>
        </is>
      </c>
      <c r="M4384" s="10" t="inlineStr">
        <is>
          <t>Bonus, Healthcare Plan, Canteen, Others</t>
        </is>
      </c>
      <c r="N4384" s="11">
        <f>HYPERLINK("https://www.vietnamworks.com/hot-job-ke-toan-truong-luong-phu-cap-35-50trthang-2011825-jv","Xem chi tiết")</f>
        <v/>
      </c>
      <c r="O4384" s="10" t="n"/>
    </row>
    <row r="4385">
      <c r="B4385" s="7" t="n">
        <v>4383</v>
      </c>
      <c r="C4385" t="inlineStr">
        <is>
          <t>AP &amp; Bank Accountant</t>
        </is>
      </c>
      <c r="D4385" t="inlineStr">
        <is>
          <t>Intes Co., Ltd</t>
        </is>
      </c>
      <c r="E4385" t="inlineStr">
        <is>
          <t>$$ 400-600 /tháng</t>
        </is>
      </c>
      <c r="F4385" t="inlineStr">
        <is>
          <t>Hồ Chí Minh</t>
        </is>
      </c>
      <c r="G4385" t="inlineStr">
        <is>
          <t>Nhân viên</t>
        </is>
      </c>
      <c r="H4385" t="inlineStr">
        <is>
          <t>12/02/2026</t>
        </is>
      </c>
      <c r="I4385" t="inlineStr">
        <is>
          <t>29/03/2026</t>
        </is>
      </c>
      <c r="J4385" t="inlineStr">
        <is>
          <t>17/03/2026</t>
        </is>
      </c>
      <c r="K4385" t="inlineStr">
        <is>
          <t>N/A</t>
        </is>
      </c>
      <c r="L4385" t="inlineStr">
        <is>
          <t>Tài Chính, Kế Toán Thanh Toán, Kế Toán Tổng Hợp, Kế Toán, Tiếng Anh thành thạo</t>
        </is>
      </c>
      <c r="M4385" t="inlineStr">
        <is>
          <t>Bonus, Healthcare Plan, Training</t>
        </is>
      </c>
      <c r="N4385" s="8">
        <f>HYPERLINK("https://www.vietnamworks.com/ap-bank-accountant-2011820-jv","Xem chi tiết")</f>
        <v/>
      </c>
    </row>
    <row r="4386">
      <c r="B4386" s="9" t="n">
        <v>4384</v>
      </c>
      <c r="C4386" s="10" t="inlineStr">
        <is>
          <t>Deputy General Manager</t>
        </is>
      </c>
      <c r="D4386" s="10" t="inlineStr">
        <is>
          <t>Helmsman Quality &amp; Technology Services Co., Ltd.</t>
        </is>
      </c>
      <c r="E4386" s="10" t="inlineStr">
        <is>
          <t>$$ 1,500-2,500 /tháng</t>
        </is>
      </c>
      <c r="F4386" s="10" t="inlineStr">
        <is>
          <t>Hồ Chí Minh</t>
        </is>
      </c>
      <c r="G4386" s="10" t="inlineStr">
        <is>
          <t>Trưởng phòng</t>
        </is>
      </c>
      <c r="H4386" s="10" t="inlineStr">
        <is>
          <t>12/02/2026</t>
        </is>
      </c>
      <c r="I4386" s="10" t="inlineStr">
        <is>
          <t>29/03/2026</t>
        </is>
      </c>
      <c r="J4386" s="10" t="inlineStr">
        <is>
          <t>17/03/2026</t>
        </is>
      </c>
      <c r="K4386" s="10" t="inlineStr">
        <is>
          <t>N/A</t>
        </is>
      </c>
      <c r="L4386" s="10" t="inlineStr">
        <is>
          <t>Dệt May, Product Testing, Chemical Laboratory, Laboratory Administration, Laboratory Setup</t>
        </is>
      </c>
      <c r="M4386" s="10" t="inlineStr">
        <is>
          <t>Bonus, Healthcare Plan, Laptop</t>
        </is>
      </c>
      <c r="N4386" s="11">
        <f>HYPERLINK("https://www.vietnamworks.com/deputy-general-manager--2011827-jv","Xem chi tiết")</f>
        <v/>
      </c>
      <c r="O4386" s="10" t="n"/>
    </row>
    <row r="4387">
      <c r="B4387" s="7" t="n">
        <v>4385</v>
      </c>
      <c r="C4387" t="inlineStr">
        <is>
          <t>Nhân Viên Dự Án</t>
        </is>
      </c>
      <c r="D4387" t="inlineStr">
        <is>
          <t>Công Ty Cổ Phần Y Tế SCP</t>
        </is>
      </c>
      <c r="E4387" t="inlineStr">
        <is>
          <t>Thương lượng</t>
        </is>
      </c>
      <c r="F4387" t="inlineStr">
        <is>
          <t>Hà Nội</t>
        </is>
      </c>
      <c r="G4387" t="inlineStr">
        <is>
          <t>Nhân viên</t>
        </is>
      </c>
      <c r="H4387" t="inlineStr">
        <is>
          <t>12/02/2026</t>
        </is>
      </c>
      <c r="I4387" t="inlineStr">
        <is>
          <t>29/03/2026</t>
        </is>
      </c>
      <c r="J4387" t="inlineStr">
        <is>
          <t>17/03/2026</t>
        </is>
      </c>
      <c r="K4387" t="inlineStr">
        <is>
          <t>N/A</t>
        </is>
      </c>
      <c r="L4387" t="inlineStr">
        <is>
          <t>Soạn Thảo Văn Bản, Chăm Sóc Khách Hàng, Hỗ Trợ Kinh Doanh, Triển Khai Bán Hàng, Tư Vấn Kỹ Thuật</t>
        </is>
      </c>
      <c r="M4387" t="inlineStr">
        <is>
          <t>Bonus, Healthcare Plan, Paid Leave, Training, Awards, Laptop, Travel Opportunities, Others</t>
        </is>
      </c>
      <c r="N4387" s="8">
        <f>HYPERLINK("https://www.vietnamworks.com/nhan-vien-du-an-2011838-jv","Xem chi tiết")</f>
        <v/>
      </c>
    </row>
    <row r="4388">
      <c r="B4388" s="9" t="n">
        <v>4386</v>
      </c>
      <c r="C4388" s="10" t="inlineStr">
        <is>
          <t>(Outsource) Credit Transaction Associate - Corporate Administration Department</t>
        </is>
      </c>
      <c r="D4388" s="10" t="inlineStr">
        <is>
          <t>Mizuho Bank, Ltd. - HCMC Branch</t>
        </is>
      </c>
      <c r="E4388" s="10" t="inlineStr">
        <is>
          <t>Thương lượng</t>
        </is>
      </c>
      <c r="F4388" s="10" t="inlineStr">
        <is>
          <t>Hồ Chí Minh</t>
        </is>
      </c>
      <c r="G4388" s="10" t="inlineStr">
        <is>
          <t>Nhân viên</t>
        </is>
      </c>
      <c r="H4388" s="10" t="inlineStr">
        <is>
          <t>12/02/2026</t>
        </is>
      </c>
      <c r="I4388" s="10" t="inlineStr">
        <is>
          <t>29/03/2026</t>
        </is>
      </c>
      <c r="J4388" s="10" t="inlineStr">
        <is>
          <t>17/03/2026</t>
        </is>
      </c>
      <c r="K4388" s="10" t="inlineStr">
        <is>
          <t>N/A</t>
        </is>
      </c>
      <c r="L4388" s="10" t="inlineStr">
        <is>
          <t>Teamwork, Time Management, Communication, English, Banking Transaction</t>
        </is>
      </c>
      <c r="M4388" s="10" t="inlineStr">
        <is>
          <t>Bonus, Healthcare Plan</t>
        </is>
      </c>
      <c r="N4388" s="11">
        <f>HYPERLINK("https://www.vietnamworks.com/outsource-credit-transaction-associate-corporate-administration-department-2011836-jv","Xem chi tiết")</f>
        <v/>
      </c>
      <c r="O4388" s="10" t="n"/>
    </row>
    <row r="4389">
      <c r="B4389" s="7" t="n">
        <v>4387</v>
      </c>
      <c r="C4389" t="inlineStr">
        <is>
          <t>Giám Sát Bán Hàng (Ngành Hàng Bánh Kẹo - (Bình Dương, Long Khánh)</t>
        </is>
      </c>
      <c r="D4389" t="inlineStr">
        <is>
          <t>Perfetti Van Melle (Viet Nam) Limited</t>
        </is>
      </c>
      <c r="E4389" t="inlineStr">
        <is>
          <t>17tr-30tr ₫/tháng</t>
        </is>
      </c>
      <c r="F4389" t="inlineStr">
        <is>
          <t>Tây Ninh, Đồng Nai, Bình Dương</t>
        </is>
      </c>
      <c r="G4389" t="inlineStr">
        <is>
          <t>Trưởng phòng</t>
        </is>
      </c>
      <c r="H4389" t="inlineStr">
        <is>
          <t>12/02/2026</t>
        </is>
      </c>
      <c r="I4389" t="inlineStr">
        <is>
          <t>29/03/2026</t>
        </is>
      </c>
      <c r="J4389" t="inlineStr">
        <is>
          <t>17/03/2026</t>
        </is>
      </c>
      <c r="K4389" t="inlineStr">
        <is>
          <t>N/A</t>
        </is>
      </c>
      <c r="L4389" t="inlineStr">
        <is>
          <t>Chăm Sóc Khách Hàng, Giám Sát Kênh Phân Phối, Bán hàng, FMCG</t>
        </is>
      </c>
      <c r="M4389" t="inlineStr">
        <is>
          <t>Bonus, Healthcare Plan, Paid Leave</t>
        </is>
      </c>
      <c r="N4389" s="8">
        <f>HYPERLINK("https://www.vietnamworks.com/giam-sat-ban-hang-nganh-hang-banh-keo-binh-duong-long-khanh-2011835-jv","Xem chi tiết")</f>
        <v/>
      </c>
    </row>
    <row r="4390">
      <c r="B4390" s="9" t="n">
        <v>4388</v>
      </c>
      <c r="C4390" s="10" t="inlineStr">
        <is>
          <t>Nhân Viên Back Office (BO) – Báo Giá</t>
        </is>
      </c>
      <c r="D4390" s="10" t="inlineStr">
        <is>
          <t>Star Asia JSC</t>
        </is>
      </c>
      <c r="E4390" s="10" t="inlineStr">
        <is>
          <t>13tr-15tr ₫/tháng</t>
        </is>
      </c>
      <c r="F4390" s="10" t="inlineStr">
        <is>
          <t>Hà Nội</t>
        </is>
      </c>
      <c r="G4390" s="10" t="inlineStr">
        <is>
          <t>Mới Tốt Nghiệp</t>
        </is>
      </c>
      <c r="H4390" s="10" t="inlineStr">
        <is>
          <t>12/02/2026</t>
        </is>
      </c>
      <c r="I4390" s="10" t="inlineStr">
        <is>
          <t>29/03/2026</t>
        </is>
      </c>
      <c r="J4390" s="10" t="inlineStr">
        <is>
          <t>17/03/2026</t>
        </is>
      </c>
      <c r="K4390" s="10" t="inlineStr">
        <is>
          <t>N/A</t>
        </is>
      </c>
      <c r="L4390" s="10" t="inlineStr">
        <is>
          <t>Báo Giá, Cẩn Thận, Kỹ Thuật Cơ Khí, Quản Trị, Tiếng Anh</t>
        </is>
      </c>
      <c r="M4390" s="10" t="inlineStr">
        <is>
          <t>Bonus, Healthcare Plan, Training, Others</t>
        </is>
      </c>
      <c r="N4390" s="11">
        <f>HYPERLINK("https://www.vietnamworks.com/nhan-vien-back-office-bo-bao-gia-2011837-jv","Xem chi tiết")</f>
        <v/>
      </c>
      <c r="O4390" s="10" t="n"/>
    </row>
    <row r="4391">
      <c r="B4391" s="7" t="n">
        <v>4389</v>
      </c>
      <c r="C4391" t="inlineStr">
        <is>
          <t>Finance &amp; Accounting Manager</t>
        </is>
      </c>
      <c r="D4391" t="inlineStr">
        <is>
          <t>Intes Co., Ltd</t>
        </is>
      </c>
      <c r="E4391" t="inlineStr">
        <is>
          <t>$$ 1,000-1,800 /tháng</t>
        </is>
      </c>
      <c r="F4391" t="inlineStr">
        <is>
          <t>Hồ Chí Minh</t>
        </is>
      </c>
      <c r="G4391" t="inlineStr">
        <is>
          <t>Trưởng phòng</t>
        </is>
      </c>
      <c r="H4391" t="inlineStr">
        <is>
          <t>12/02/2026</t>
        </is>
      </c>
      <c r="I4391" t="inlineStr">
        <is>
          <t>29/03/2026</t>
        </is>
      </c>
      <c r="J4391" t="inlineStr">
        <is>
          <t>17/03/2026</t>
        </is>
      </c>
      <c r="K4391" t="inlineStr">
        <is>
          <t>N/A</t>
        </is>
      </c>
      <c r="L4391" t="inlineStr">
        <is>
          <t>Tài Chính Kế Toán, Kiểm Toán, Kế Toán, Finance, Tài Chính</t>
        </is>
      </c>
      <c r="M4391" t="inlineStr">
        <is>
          <t>Bonus, Healthcare Plan, Training</t>
        </is>
      </c>
      <c r="N4391" s="8">
        <f>HYPERLINK("https://www.vietnamworks.com/finance-accounting-manager--2011816-jv","Xem chi tiết")</f>
        <v/>
      </c>
    </row>
    <row r="4392">
      <c r="B4392" s="9" t="n">
        <v>4390</v>
      </c>
      <c r="C4392" s="10" t="inlineStr">
        <is>
          <t>Ecommerce QA and Launch Lead</t>
        </is>
      </c>
      <c r="D4392" s="10" t="inlineStr">
        <is>
          <t>WOWSUITE SOFTWARE</t>
        </is>
      </c>
      <c r="E4392" s="10" t="inlineStr">
        <is>
          <t>Thương lượng</t>
        </is>
      </c>
      <c r="F4392" s="10" t="inlineStr">
        <is>
          <t>Hồ Chí Minh</t>
        </is>
      </c>
      <c r="G4392" s="10" t="inlineStr">
        <is>
          <t>Nhân viên</t>
        </is>
      </c>
      <c r="H4392" s="10" t="inlineStr">
        <is>
          <t>12/02/2026</t>
        </is>
      </c>
      <c r="I4392" s="10" t="inlineStr">
        <is>
          <t>29/03/2026</t>
        </is>
      </c>
      <c r="J4392" s="10" t="inlineStr">
        <is>
          <t>17/03/2026</t>
        </is>
      </c>
      <c r="K4392" s="10" t="inlineStr">
        <is>
          <t>N/A</t>
        </is>
      </c>
      <c r="L4392" s="10" t="inlineStr">
        <is>
          <t>QA, Manual Testing, Testing, IELTS 6.0, Ecommerce</t>
        </is>
      </c>
      <c r="M4392" s="10" t="inlineStr">
        <is>
          <t>Bonus, Healthcare Plan, Training, Travel Opportunities, Others</t>
        </is>
      </c>
      <c r="N4392" s="11">
        <f>HYPERLINK("https://www.vietnamworks.com/ecommerce-qa-and-launch-lead-2011832-jv","Xem chi tiết")</f>
        <v/>
      </c>
      <c r="O4392" s="10" t="n"/>
    </row>
    <row r="4393">
      <c r="B4393" s="7" t="n">
        <v>4391</v>
      </c>
      <c r="C4393" t="inlineStr">
        <is>
          <t>Giám Đốc Phòng Quản Lý Khách Hàng Ưu Tiên</t>
        </is>
      </c>
      <c r="D4393" t="inlineStr">
        <is>
          <t>Ngân Hàng TMCP Quốc Tế Việt Nam (VIB)</t>
        </is>
      </c>
      <c r="E4393" t="inlineStr">
        <is>
          <t>Thương lượng</t>
        </is>
      </c>
      <c r="F4393" t="inlineStr">
        <is>
          <t>Bà Rịa - Vũng Tàu, Bình Thuận, Đồng Nai</t>
        </is>
      </c>
      <c r="G4393" t="inlineStr">
        <is>
          <t>Trưởng phòng</t>
        </is>
      </c>
      <c r="H4393" t="inlineStr">
        <is>
          <t>12/02/2026</t>
        </is>
      </c>
      <c r="I4393" t="inlineStr">
        <is>
          <t>29/03/2026</t>
        </is>
      </c>
      <c r="J4393" t="inlineStr">
        <is>
          <t>17/03/2026</t>
        </is>
      </c>
      <c r="K4393" t="inlineStr">
        <is>
          <t>N/A</t>
        </is>
      </c>
      <c r="L4393" t="inlineStr">
        <is>
          <t>Kinh Doanh, Ngân hàng, Quản Lý Tài Chính Ngân Hàng, Quản Trị Khách Hàng, Tư Vấn Sản Phẩm Ngân Hàng</t>
        </is>
      </c>
      <c r="M4393" t="inlineStr">
        <is>
          <t>Bonus, Healthcare Plan, Paid Leave, Training, Laptop, Travel Opportunities</t>
        </is>
      </c>
      <c r="N4393" s="8">
        <f>HYPERLINK("https://www.vietnamworks.com/giam-djoc-phong-quan-ly-khach-hang-uu-tien-2011824-jv","Xem chi tiết")</f>
        <v/>
      </c>
    </row>
    <row r="4394">
      <c r="B4394" s="9" t="n">
        <v>4392</v>
      </c>
      <c r="C4394" s="10" t="inlineStr">
        <is>
          <t>EHS Supervisor - Giám Sát Bộ Phận An Toàn</t>
        </is>
      </c>
      <c r="D4394" s="10" t="inlineStr">
        <is>
          <t>Công ty TNHH Aden Services (Việt Nam)</t>
        </is>
      </c>
      <c r="E4394" s="10" t="inlineStr">
        <is>
          <t>Thương lượng</t>
        </is>
      </c>
      <c r="F4394" s="10" t="inlineStr">
        <is>
          <t>Bình Dương, Đồng Nai</t>
        </is>
      </c>
      <c r="G4394" s="10" t="inlineStr">
        <is>
          <t>Nhân viên</t>
        </is>
      </c>
      <c r="H4394" s="10" t="inlineStr">
        <is>
          <t>12/02/2026</t>
        </is>
      </c>
      <c r="I4394" s="10" t="inlineStr">
        <is>
          <t>29/03/2026</t>
        </is>
      </c>
      <c r="J4394" s="10" t="inlineStr">
        <is>
          <t>17/03/2026</t>
        </is>
      </c>
      <c r="K4394" s="10" t="inlineStr">
        <is>
          <t>N/A</t>
        </is>
      </c>
      <c r="L4394" s="10" t="inlineStr">
        <is>
          <t>Environmental Technology, Occupational Safety, EHS &amp; Process Engineering, EHS (Environment Health and Safety), Safety &amp; Compliance (FM Global, ISO 9001, Local HSE laws)</t>
        </is>
      </c>
      <c r="M4394" s="10" t="inlineStr">
        <is>
          <t>Training, Team Activities, Others</t>
        </is>
      </c>
      <c r="N4394" s="11">
        <f>HYPERLINK("https://www.vietnamworks.com/ehs-supervisor-giam-sat-bo-phan-an-toan-2011839-jv","Xem chi tiết")</f>
        <v/>
      </c>
      <c r="O4394" s="10" t="n"/>
    </row>
    <row r="4395">
      <c r="B4395" s="7" t="n">
        <v>4393</v>
      </c>
      <c r="C4395" t="inlineStr">
        <is>
          <t>Solution Architect (Spring Boot/.net, Togaf, Microservices)</t>
        </is>
      </c>
      <c r="D4395" t="inlineStr">
        <is>
          <t>Công Ty Tài Chính Trách Nhiệm Hữu Hạn MB Shinsei (Mcredit)</t>
        </is>
      </c>
      <c r="E4395" t="inlineStr">
        <is>
          <t>Thương lượng</t>
        </is>
      </c>
      <c r="F4395" t="inlineStr">
        <is>
          <t>Hà Nội</t>
        </is>
      </c>
      <c r="G4395" t="inlineStr">
        <is>
          <t>Nhân viên</t>
        </is>
      </c>
      <c r="H4395" t="inlineStr">
        <is>
          <t>12/02/2026</t>
        </is>
      </c>
      <c r="I4395" t="inlineStr">
        <is>
          <t>29/03/2026</t>
        </is>
      </c>
      <c r="J4395" t="inlineStr">
        <is>
          <t>17/03/2026</t>
        </is>
      </c>
      <c r="K4395" t="inlineStr">
        <is>
          <t>N/A</t>
        </is>
      </c>
      <c r="L4395" t="inlineStr">
        <is>
          <t>bảo mật, Microservices, Solution Architecture, Chứng Chỉ Togaf, Springboot</t>
        </is>
      </c>
      <c r="M4395" t="inlineStr">
        <is>
          <t>Bonus, Healthcare Plan, Travel Opportunities</t>
        </is>
      </c>
      <c r="N4395" s="8">
        <f>HYPERLINK("https://www.vietnamworks.com/solution-architect-spring-boot-net-togaf-microservices-2011817-jv","Xem chi tiết")</f>
        <v/>
      </c>
    </row>
    <row r="4396">
      <c r="B4396" s="9" t="n">
        <v>4394</v>
      </c>
      <c r="C4396" s="10" t="inlineStr">
        <is>
          <t>Geo Data Analyst - Junior</t>
        </is>
      </c>
      <c r="D4396" s="10" t="inlineStr">
        <is>
          <t>CÔNG TY TNHH EXPORT TRADING COMMODITIES VIỆT NAM</t>
        </is>
      </c>
      <c r="E4396" s="10" t="inlineStr">
        <is>
          <t>Thương lượng</t>
        </is>
      </c>
      <c r="F4396" s="10" t="inlineStr">
        <is>
          <t>Hồ Chí Minh</t>
        </is>
      </c>
      <c r="G4396" s="10" t="inlineStr">
        <is>
          <t>Mới Tốt Nghiệp</t>
        </is>
      </c>
      <c r="H4396" s="10" t="inlineStr">
        <is>
          <t>12/02/2026</t>
        </is>
      </c>
      <c r="I4396" s="10" t="inlineStr">
        <is>
          <t>29/03/2026</t>
        </is>
      </c>
      <c r="J4396" s="10" t="inlineStr">
        <is>
          <t>17/03/2026</t>
        </is>
      </c>
      <c r="K4396" s="10" t="inlineStr">
        <is>
          <t>N/A</t>
        </is>
      </c>
      <c r="L4396" s="10" t="inlineStr">
        <is>
          <t>Data Cleaning, Data Analysis, Geo Information System, Excel proficiency, English Fluency</t>
        </is>
      </c>
      <c r="M4396" s="10" t="inlineStr">
        <is>
          <t>Bonus, Healthcare Plan, Others</t>
        </is>
      </c>
      <c r="N4396" s="11">
        <f>HYPERLINK("https://www.vietnamworks.com/geo-data-analyst-junior-2011828-jv","Xem chi tiết")</f>
        <v/>
      </c>
      <c r="O4396" s="10" t="n"/>
    </row>
    <row r="4397">
      <c r="B4397" s="7" t="n">
        <v>4395</v>
      </c>
      <c r="C4397" t="inlineStr">
        <is>
          <t>Kế Toán Công Nợ / Kế Toán Doanh Thu</t>
        </is>
      </c>
      <c r="D4397" t="inlineStr">
        <is>
          <t>CÔNG TY CỔ PHẦN NĂNG LƯỢNG VINENERGO</t>
        </is>
      </c>
      <c r="E4397" t="inlineStr">
        <is>
          <t>Thương lượng</t>
        </is>
      </c>
      <c r="F4397" t="inlineStr">
        <is>
          <t>Hà Nội</t>
        </is>
      </c>
      <c r="G4397" t="inlineStr">
        <is>
          <t>Nhân viên</t>
        </is>
      </c>
      <c r="H4397" t="inlineStr">
        <is>
          <t>12/02/2026</t>
        </is>
      </c>
      <c r="I4397" t="inlineStr">
        <is>
          <t>29/03/2026</t>
        </is>
      </c>
      <c r="J4397" t="inlineStr">
        <is>
          <t>17/03/2026</t>
        </is>
      </c>
      <c r="K4397" t="inlineStr">
        <is>
          <t>N/A</t>
        </is>
      </c>
      <c r="L4397" t="inlineStr">
        <is>
          <t>Giám Sát Công Việc, Giao Tiếp, Kế Toán, Kiểm Toán, Tài Chính</t>
        </is>
      </c>
      <c r="M4397" t="inlineStr">
        <is>
          <t>Bonus, Healthcare Plan, Training, Others</t>
        </is>
      </c>
      <c r="N4397" s="8">
        <f>HYPERLINK("https://www.vietnamworks.com/ke-toan-cong-no-ke-toan-doanh-thu-2011840-jv","Xem chi tiết")</f>
        <v/>
      </c>
    </row>
    <row r="4398">
      <c r="B4398" s="9" t="n">
        <v>4396</v>
      </c>
      <c r="C4398" s="10" t="inlineStr">
        <is>
          <t>Ecommerce Funnel Builder, Shopify and Ctrwow, HTML CSS, Junior</t>
        </is>
      </c>
      <c r="D4398" s="10" t="inlineStr">
        <is>
          <t>WOWSUITE SOFTWARE</t>
        </is>
      </c>
      <c r="E4398" s="10" t="inlineStr">
        <is>
          <t>Thương lượng</t>
        </is>
      </c>
      <c r="F4398" s="10" t="inlineStr">
        <is>
          <t>Hồ Chí Minh</t>
        </is>
      </c>
      <c r="G4398" s="10" t="inlineStr">
        <is>
          <t>Nhân viên</t>
        </is>
      </c>
      <c r="H4398" s="10" t="inlineStr">
        <is>
          <t>12/02/2026</t>
        </is>
      </c>
      <c r="I4398" s="10" t="inlineStr">
        <is>
          <t>29/03/2026</t>
        </is>
      </c>
      <c r="J4398" s="10" t="inlineStr">
        <is>
          <t>17/03/2026</t>
        </is>
      </c>
      <c r="K4398" s="10" t="inlineStr">
        <is>
          <t>N/A</t>
        </is>
      </c>
      <c r="L4398" s="10" t="inlineStr">
        <is>
          <t>Shopify, Content Operations, Ecommerce Support, Page Builders, HTML &amp; CSS</t>
        </is>
      </c>
      <c r="M4398" s="10" t="inlineStr">
        <is>
          <t>Bonus, Healthcare Plan, Training, Travel Opportunities, Others</t>
        </is>
      </c>
      <c r="N4398" s="11">
        <f>HYPERLINK("https://www.vietnamworks.com/ecommerce-funnel-builder-shopify-and-ctrwow-html-css-junior-2011833-jv","Xem chi tiết")</f>
        <v/>
      </c>
      <c r="O4398" s="10" t="n"/>
    </row>
    <row r="4399">
      <c r="B4399" s="7" t="n">
        <v>4397</v>
      </c>
      <c r="C4399" t="inlineStr">
        <is>
          <t>Kỹ Sư Nghiên Cứu &amp; Phát Triển (R&amp;D Engineer)</t>
        </is>
      </c>
      <c r="D4399" t="inlineStr">
        <is>
          <t>Công Ty TNHH Một Thành Viên Relats Viêt Nam</t>
        </is>
      </c>
      <c r="E4399" t="inlineStr">
        <is>
          <t>Thương lượng</t>
        </is>
      </c>
      <c r="F4399" t="inlineStr">
        <is>
          <t>Đà Nẵng</t>
        </is>
      </c>
      <c r="G4399" t="inlineStr">
        <is>
          <t>Nhân viên</t>
        </is>
      </c>
      <c r="H4399" t="inlineStr">
        <is>
          <t>12/02/2026</t>
        </is>
      </c>
      <c r="I4399" t="inlineStr">
        <is>
          <t>29/03/2026</t>
        </is>
      </c>
      <c r="J4399" t="inlineStr">
        <is>
          <t>17/03/2026</t>
        </is>
      </c>
      <c r="K4399" t="inlineStr">
        <is>
          <t>N/A</t>
        </is>
      </c>
      <c r="L4399" t="inlineStr">
        <is>
          <t>Cơ Khí, Nghiên Cứu Sản Xuất, Process Development, Tự Động Hóa, Điện tử</t>
        </is>
      </c>
      <c r="M4399" t="inlineStr">
        <is>
          <t>Bonus, Healthcare Plan, Team Activities</t>
        </is>
      </c>
      <c r="N4399" s="8">
        <f>HYPERLINK("https://www.vietnamworks.com/ky-su-nghien-cuu-and-phat-trien-randd-engineer-2011821-jv","Xem chi tiết")</f>
        <v/>
      </c>
    </row>
    <row r="4400">
      <c r="B4400" s="9" t="n">
        <v>4398</v>
      </c>
      <c r="C4400" s="10" t="inlineStr">
        <is>
          <t>Pricing Logistics</t>
        </is>
      </c>
      <c r="D4400" s="10" t="inlineStr">
        <is>
          <t>Công ty TNHH VNFT GROUP</t>
        </is>
      </c>
      <c r="E4400" s="10" t="inlineStr">
        <is>
          <t>8tr-12tr ₫/tháng</t>
        </is>
      </c>
      <c r="F4400" s="10" t="inlineStr">
        <is>
          <t>Hồ Chí Minh</t>
        </is>
      </c>
      <c r="G4400" s="10" t="inlineStr">
        <is>
          <t>Nhân viên</t>
        </is>
      </c>
      <c r="H4400" s="10" t="inlineStr">
        <is>
          <t>12/02/2026</t>
        </is>
      </c>
      <c r="I4400" s="10" t="inlineStr">
        <is>
          <t>29/03/2026</t>
        </is>
      </c>
      <c r="J4400" s="10" t="inlineStr">
        <is>
          <t>17/03/2026</t>
        </is>
      </c>
      <c r="K4400" s="10" t="inlineStr">
        <is>
          <t>N/A</t>
        </is>
      </c>
      <c r="L4400" s="10" t="inlineStr">
        <is>
          <t>Logistics, Logistics operations, Pricing Management, Sales Export</t>
        </is>
      </c>
      <c r="M4400" s="10" t="inlineStr">
        <is>
          <t>Bonus, Healthcare Plan, Laptop, Travel Opportunities, Others</t>
        </is>
      </c>
      <c r="N4400" s="11">
        <f>HYPERLINK("https://www.vietnamworks.com/pricing-logistics-2011848-jv","Xem chi tiết")</f>
        <v/>
      </c>
      <c r="O4400" s="10" t="n"/>
    </row>
    <row r="4401">
      <c r="B4401" s="7" t="n">
        <v>4399</v>
      </c>
      <c r="C4401" t="inlineStr">
        <is>
          <t>Customs Manager (Trưởng Phòng Quản Lý Thủ Tục Hải Quan)</t>
        </is>
      </c>
      <c r="D4401" t="inlineStr">
        <is>
          <t>Worldwide Logistic Co, Ltd</t>
        </is>
      </c>
      <c r="E4401" t="inlineStr">
        <is>
          <t>Thương lượng</t>
        </is>
      </c>
      <c r="F4401" t="inlineStr">
        <is>
          <t>Hồ Chí Minh</t>
        </is>
      </c>
      <c r="G4401" t="inlineStr">
        <is>
          <t>Trưởng phòng</t>
        </is>
      </c>
      <c r="H4401" t="inlineStr">
        <is>
          <t>12/02/2026</t>
        </is>
      </c>
      <c r="I4401" t="inlineStr">
        <is>
          <t>29/03/2026</t>
        </is>
      </c>
      <c r="J4401" t="inlineStr">
        <is>
          <t>17/03/2026</t>
        </is>
      </c>
      <c r="K4401" t="inlineStr">
        <is>
          <t>N/A</t>
        </is>
      </c>
      <c r="L4401" t="inlineStr">
        <is>
          <t>Luật Hải Quan, Giao Tiếp, Customs Declaration, Khai Báo Hải Quan, Thủ Tục Hải Quan</t>
        </is>
      </c>
      <c r="M4401" t="inlineStr">
        <is>
          <t>Bonus, Healthcare Plan, Others</t>
        </is>
      </c>
      <c r="N4401" s="8">
        <f>HYPERLINK("https://www.vietnamworks.com/customs-manager-truong-phong-quan-ly-thu-tuc-hai-quan-2011841-jv","Xem chi tiết")</f>
        <v/>
      </c>
    </row>
    <row r="4402">
      <c r="B4402" s="9" t="n">
        <v>4400</v>
      </c>
      <c r="C4402" s="10" t="inlineStr">
        <is>
          <t>Trưởng Phòng Công Nghệ Thông Tin</t>
        </is>
      </c>
      <c r="D4402" s="10" t="inlineStr">
        <is>
          <t>Vietnamworks' Client</t>
        </is>
      </c>
      <c r="E4402" s="10" t="inlineStr">
        <is>
          <t>Thương lượng</t>
        </is>
      </c>
      <c r="F4402" s="10" t="inlineStr">
        <is>
          <t>Hồ Chí Minh</t>
        </is>
      </c>
      <c r="G4402" s="10" t="inlineStr">
        <is>
          <t>Trưởng phòng</t>
        </is>
      </c>
      <c r="H4402" s="10" t="inlineStr">
        <is>
          <t>12/02/2026</t>
        </is>
      </c>
      <c r="I4402" s="10" t="inlineStr">
        <is>
          <t>29/03/2026</t>
        </is>
      </c>
      <c r="J4402" s="10" t="inlineStr">
        <is>
          <t>17/03/2026</t>
        </is>
      </c>
      <c r="K4402" s="10" t="inlineStr">
        <is>
          <t>N/A</t>
        </is>
      </c>
      <c r="L4402" s="10" t="inlineStr">
        <is>
          <t>IT System Administration, IT Operations, IT Management, ERP, Project Management</t>
        </is>
      </c>
      <c r="M4402" s="10" t="inlineStr">
        <is>
          <t>Bonus, Healthcare Plan, Paid Leave</t>
        </is>
      </c>
      <c r="N4402" s="11">
        <f>HYPERLINK("https://www.vietnamworks.com/truong-phong-cong-nghe-thong-tin--2011847-jv","Xem chi tiết")</f>
        <v/>
      </c>
      <c r="O4402" s="10" t="n"/>
    </row>
    <row r="4403">
      <c r="B4403" s="7" t="n">
        <v>4401</v>
      </c>
      <c r="C4403" t="inlineStr">
        <is>
          <t>Kế Toán Trưởng</t>
        </is>
      </c>
      <c r="D4403" t="inlineStr">
        <is>
          <t>Công ty TNHH Dịch vụ tư vấn Thuận Phát VN</t>
        </is>
      </c>
      <c r="E4403" t="inlineStr">
        <is>
          <t>25tr-30tr ₫/tháng</t>
        </is>
      </c>
      <c r="F4403" t="inlineStr">
        <is>
          <t>Hồ Chí Minh</t>
        </is>
      </c>
      <c r="G4403" t="inlineStr">
        <is>
          <t>Trưởng phòng</t>
        </is>
      </c>
      <c r="H4403" t="inlineStr">
        <is>
          <t>12/02/2026</t>
        </is>
      </c>
      <c r="I4403" t="inlineStr">
        <is>
          <t>29/03/2026</t>
        </is>
      </c>
      <c r="J4403" t="inlineStr">
        <is>
          <t>17/03/2026</t>
        </is>
      </c>
      <c r="K4403" t="inlineStr">
        <is>
          <t>N/A</t>
        </is>
      </c>
      <c r="L4403" t="inlineStr">
        <is>
          <t>Giao Tiếp, Kế Toán, Luật Thuế, Tài Chính, Đào Tạo</t>
        </is>
      </c>
      <c r="M4403" t="inlineStr">
        <is>
          <t>Bonus, Healthcare Plan, Training, Others</t>
        </is>
      </c>
      <c r="N4403" s="8">
        <f>HYPERLINK("https://www.vietnamworks.com/ke-toan-truong-2011844-jv","Xem chi tiết")</f>
        <v/>
      </c>
    </row>
    <row r="4404">
      <c r="B4404" s="9" t="n">
        <v>4402</v>
      </c>
      <c r="C4404" s="10" t="inlineStr">
        <is>
          <t>Recruitment Specialist</t>
        </is>
      </c>
      <c r="D4404" s="10" t="inlineStr">
        <is>
          <t>Tập Đoàn APEC (APEC GROUP)</t>
        </is>
      </c>
      <c r="E4404" s="10" t="inlineStr">
        <is>
          <t>Thương lượng</t>
        </is>
      </c>
      <c r="F4404" s="10" t="inlineStr">
        <is>
          <t>Hà Nội</t>
        </is>
      </c>
      <c r="G4404" s="10" t="inlineStr">
        <is>
          <t>Nhân viên</t>
        </is>
      </c>
      <c r="H4404" s="10" t="inlineStr">
        <is>
          <t>12/02/2026</t>
        </is>
      </c>
      <c r="I4404" s="10" t="inlineStr">
        <is>
          <t>29/03/2026</t>
        </is>
      </c>
      <c r="J4404" s="10" t="inlineStr">
        <is>
          <t>17/03/2026</t>
        </is>
      </c>
      <c r="K4404" s="10" t="inlineStr">
        <is>
          <t>N/A</t>
        </is>
      </c>
      <c r="L4404" s="10" t="inlineStr">
        <is>
          <t>Talent Acquisition, Tuyển Dụng Nhân Sự, Recruitment, Tuyển Dụng</t>
        </is>
      </c>
      <c r="M4404" s="10" t="inlineStr">
        <is>
          <t>Bonus, Travel Opportunities, Others</t>
        </is>
      </c>
      <c r="N4404" s="11">
        <f>HYPERLINK("https://www.vietnamworks.com/recruitment-specialist--2011842-jv","Xem chi tiết")</f>
        <v/>
      </c>
      <c r="O4404" s="10" t="n"/>
    </row>
    <row r="4405">
      <c r="B4405" s="7" t="n">
        <v>4403</v>
      </c>
      <c r="C4405" t="inlineStr">
        <is>
          <t>Vietnam Market - Marketing Senior Manager</t>
        </is>
      </c>
      <c r="D4405" t="inlineStr">
        <is>
          <t>Piaggio Vietnam Co., Ltd (Pvn)</t>
        </is>
      </c>
      <c r="E4405" t="inlineStr">
        <is>
          <t>Thương lượng</t>
        </is>
      </c>
      <c r="F4405" t="inlineStr">
        <is>
          <t>Hà Nội, Hồ Chí Minh</t>
        </is>
      </c>
      <c r="G4405" t="inlineStr">
        <is>
          <t>Trưởng phòng</t>
        </is>
      </c>
      <c r="H4405" t="inlineStr">
        <is>
          <t>12/02/2026</t>
        </is>
      </c>
      <c r="I4405" t="inlineStr">
        <is>
          <t>29/03/2026</t>
        </is>
      </c>
      <c r="J4405" t="inlineStr">
        <is>
          <t>17/03/2026</t>
        </is>
      </c>
      <c r="K4405" t="inlineStr">
        <is>
          <t>N/A</t>
        </is>
      </c>
      <c r="L4405" t="inlineStr">
        <is>
          <t>Budget Management, English, Market Analysis, Marketing Strategy, Product Management</t>
        </is>
      </c>
      <c r="M4405" t="inlineStr">
        <is>
          <t>Bonus, Healthcare Plan, Paid Leave, Training, Travel Opportunities, Team Activities, Vouchers</t>
        </is>
      </c>
      <c r="N4405" s="8">
        <f>HYPERLINK("https://www.vietnamworks.com/vietnam-market-marketing-senior-manager-2011853-jv","Xem chi tiết")</f>
        <v/>
      </c>
    </row>
    <row r="4406">
      <c r="B4406" s="9" t="n">
        <v>4404</v>
      </c>
      <c r="C4406" s="10" t="inlineStr">
        <is>
          <t>Công Nhân Cơ Điện</t>
        </is>
      </c>
      <c r="D4406" s="10" t="inlineStr">
        <is>
          <t>A.I.S Vietnam Co., Ltd</t>
        </is>
      </c>
      <c r="E4406" s="10" t="inlineStr">
        <is>
          <t>Thương lượng</t>
        </is>
      </c>
      <c r="F4406" s="10" t="inlineStr">
        <is>
          <t>Bắc Ninh</t>
        </is>
      </c>
      <c r="G4406" s="10" t="inlineStr">
        <is>
          <t>Nhân viên</t>
        </is>
      </c>
      <c r="H4406" s="10" t="inlineStr">
        <is>
          <t>12/02/2026</t>
        </is>
      </c>
      <c r="I4406" s="10" t="inlineStr">
        <is>
          <t>29/03/2026</t>
        </is>
      </c>
      <c r="J4406" s="10" t="inlineStr">
        <is>
          <t>17/03/2026</t>
        </is>
      </c>
      <c r="K4406" s="10" t="inlineStr">
        <is>
          <t>N/A</t>
        </is>
      </c>
      <c r="L4406" s="10" t="inlineStr">
        <is>
          <t>Bảo Trì Máy CNC, Cơ Điện, Gia Công Cơ Khí, Lập Trình PLC, Sửa Chữa Bảo Trì Máy</t>
        </is>
      </c>
      <c r="M4406" s="10" t="inlineStr">
        <is>
          <t>Bonus, Healthcare Plan, Travel Opportunities, Others</t>
        </is>
      </c>
      <c r="N4406" s="11">
        <f>HYPERLINK("https://www.vietnamworks.com/cong-nhan-co-djien-2011849-jv","Xem chi tiết")</f>
        <v/>
      </c>
      <c r="O4406" s="10" t="n"/>
    </row>
    <row r="4407">
      <c r="B4407" s="7" t="n">
        <v>4405</v>
      </c>
      <c r="C4407" t="inlineStr">
        <is>
          <t>Kỹ Sư Thiết Kế Cấp Thoát Nước (Lương Thưởng và Đãi Ngộ Hấp Dẫn)</t>
        </is>
      </c>
      <c r="D4407" t="inlineStr">
        <is>
          <t>Công Ty Cổ Phần Tư Vấn Xây Dựng Thành Nam</t>
        </is>
      </c>
      <c r="E4407" t="inlineStr">
        <is>
          <t>Thương lượng</t>
        </is>
      </c>
      <c r="F4407" t="inlineStr">
        <is>
          <t>Hà Nội</t>
        </is>
      </c>
      <c r="G4407" t="inlineStr">
        <is>
          <t>Nhân viên</t>
        </is>
      </c>
      <c r="H4407" t="inlineStr">
        <is>
          <t>12/02/2026</t>
        </is>
      </c>
      <c r="I4407" t="inlineStr">
        <is>
          <t>29/03/2026</t>
        </is>
      </c>
      <c r="J4407" t="inlineStr">
        <is>
          <t>17/03/2026</t>
        </is>
      </c>
      <c r="K4407" t="inlineStr">
        <is>
          <t>N/A</t>
        </is>
      </c>
      <c r="L4407" t="inlineStr">
        <is>
          <t>Thiết Kế Cấp Thoát Nước, AutoCAD, Revit MEP, Civil 3D, Water Engineering</t>
        </is>
      </c>
      <c r="M4407" t="inlineStr">
        <is>
          <t>Bonus, Healthcare Plan, Training, Others</t>
        </is>
      </c>
      <c r="N4407" s="8">
        <f>HYPERLINK("https://www.vietnamworks.com/ky-su-thiet-ke-cap-thoat-nuoc-luong-thuong-va-djai-ngo-hap-dan-2011852-jv","Xem chi tiết")</f>
        <v/>
      </c>
    </row>
    <row r="4408">
      <c r="B4408" s="9" t="n">
        <v>4406</v>
      </c>
      <c r="C4408" s="10" t="inlineStr">
        <is>
          <t>Nhân Viên Kỹ Thuật Sơn</t>
        </is>
      </c>
      <c r="D4408" s="10" t="inlineStr">
        <is>
          <t>A.I.S Vietnam Co., Ltd</t>
        </is>
      </c>
      <c r="E4408" s="10" t="inlineStr">
        <is>
          <t>Thương lượng</t>
        </is>
      </c>
      <c r="F4408" s="10" t="inlineStr">
        <is>
          <t>Bắc Ninh</t>
        </is>
      </c>
      <c r="G4408" s="10" t="inlineStr">
        <is>
          <t>Nhân viên</t>
        </is>
      </c>
      <c r="H4408" s="10" t="inlineStr">
        <is>
          <t>12/02/2026</t>
        </is>
      </c>
      <c r="I4408" s="10" t="inlineStr">
        <is>
          <t>29/03/2026</t>
        </is>
      </c>
      <c r="J4408" s="10" t="inlineStr">
        <is>
          <t>17/03/2026</t>
        </is>
      </c>
      <c r="K4408" s="10" t="inlineStr">
        <is>
          <t>N/A</t>
        </is>
      </c>
      <c r="L4408" s="10" t="inlineStr">
        <is>
          <t>AutoCAD 2D, Kỹ Thuật Sơn, Thiết Kế Jig, Tin Học Văn Phòng, Đọc Hiểu Bản Vẽ</t>
        </is>
      </c>
      <c r="M4408" s="10" t="inlineStr">
        <is>
          <t>Others</t>
        </is>
      </c>
      <c r="N4408" s="11">
        <f>HYPERLINK("https://www.vietnamworks.com/nhan-vien-ky-thuat-son-2011845-jv","Xem chi tiết")</f>
        <v/>
      </c>
      <c r="O4408" s="10" t="n"/>
    </row>
    <row r="4409">
      <c r="B4409" s="7" t="n">
        <v>4407</v>
      </c>
      <c r="C4409" t="inlineStr">
        <is>
          <t>Product</t>
        </is>
      </c>
      <c r="D4409" t="inlineStr">
        <is>
          <t>Công Ty Cổ Phần Y Tế SCP</t>
        </is>
      </c>
      <c r="E4409" t="inlineStr">
        <is>
          <t>Thương lượng</t>
        </is>
      </c>
      <c r="F4409" t="inlineStr">
        <is>
          <t>Hà Nội</t>
        </is>
      </c>
      <c r="G4409" t="inlineStr">
        <is>
          <t>Nhân viên</t>
        </is>
      </c>
      <c r="H4409" t="inlineStr">
        <is>
          <t>12/02/2026</t>
        </is>
      </c>
      <c r="I4409" t="inlineStr">
        <is>
          <t>29/03/2026</t>
        </is>
      </c>
      <c r="J4409" t="inlineStr">
        <is>
          <t>17/03/2026</t>
        </is>
      </c>
      <c r="K4409" t="inlineStr">
        <is>
          <t>N/A</t>
        </is>
      </c>
      <c r="L4409" t="inlineStr">
        <is>
          <t>Marketing Development, Sales Support, Customer Care, Event Organizing, Communication</t>
        </is>
      </c>
      <c r="M4409" t="inlineStr">
        <is>
          <t>Bonus, Healthcare Plan, Paid Leave, Training, Laptop, Travel Opportunities, Others</t>
        </is>
      </c>
      <c r="N4409" s="8">
        <f>HYPERLINK("https://www.vietnamworks.com/product-2011850-jv","Xem chi tiết")</f>
        <v/>
      </c>
    </row>
    <row r="4410">
      <c r="B4410" s="9" t="n">
        <v>4408</v>
      </c>
      <c r="C4410" s="10" t="inlineStr">
        <is>
          <t>Kỹ Sư Xây Dựng (Lương 15-20 Triệu)</t>
        </is>
      </c>
      <c r="D4410" s="10" t="inlineStr">
        <is>
          <t>Công ty Cổ phần Đầu tư Phát triển Công nghiệp SPE Việt Nam</t>
        </is>
      </c>
      <c r="E4410" s="10" t="inlineStr">
        <is>
          <t>15tr-20tr ₫/tháng</t>
        </is>
      </c>
      <c r="F4410" s="10" t="inlineStr">
        <is>
          <t>Hà Nội</t>
        </is>
      </c>
      <c r="G4410" s="10" t="inlineStr">
        <is>
          <t>Nhân viên</t>
        </is>
      </c>
      <c r="H4410" s="10" t="inlineStr">
        <is>
          <t>12/02/2026</t>
        </is>
      </c>
      <c r="I4410" s="10" t="inlineStr">
        <is>
          <t>29/03/2026</t>
        </is>
      </c>
      <c r="J4410" s="10" t="inlineStr">
        <is>
          <t>17/03/2026</t>
        </is>
      </c>
      <c r="K4410" s="10" t="inlineStr">
        <is>
          <t>N/A</t>
        </is>
      </c>
      <c r="L4410" s="10" t="inlineStr">
        <is>
          <t>Auto CAD, Quản Lý Chất Lượng, Thi Công Cơ Điện, Thi Công Công Trình, Xây Dựng</t>
        </is>
      </c>
      <c r="M4410" s="10" t="inlineStr">
        <is>
          <t>Bonus, Healthcare Plan, Paid Leave, Travel Opportunities, Others</t>
        </is>
      </c>
      <c r="N4410" s="11">
        <f>HYPERLINK("https://www.vietnamworks.com/ky-su-xay-dung-luong-15-20-trieu--2011843-jv","Xem chi tiết")</f>
        <v/>
      </c>
      <c r="O4410" s="10" t="n"/>
    </row>
    <row r="4411">
      <c r="B4411" s="7" t="n">
        <v>4409</v>
      </c>
      <c r="C4411" t="inlineStr">
        <is>
          <t>Nhân Viên Kỹ Thuật Gia Công CNC</t>
        </is>
      </c>
      <c r="D4411" t="inlineStr">
        <is>
          <t>A.I.S Vietnam Co., Ltd</t>
        </is>
      </c>
      <c r="E4411" t="inlineStr">
        <is>
          <t>Thương lượng</t>
        </is>
      </c>
      <c r="F4411" t="inlineStr">
        <is>
          <t>Bắc Ninh</t>
        </is>
      </c>
      <c r="G4411" t="inlineStr">
        <is>
          <t>Mới Tốt Nghiệp</t>
        </is>
      </c>
      <c r="H4411" t="inlineStr">
        <is>
          <t>12/02/2026</t>
        </is>
      </c>
      <c r="I4411" t="inlineStr">
        <is>
          <t>29/03/2026</t>
        </is>
      </c>
      <c r="J4411" t="inlineStr">
        <is>
          <t>17/03/2026</t>
        </is>
      </c>
      <c r="K4411" t="inlineStr">
        <is>
          <t>N/A</t>
        </is>
      </c>
      <c r="L4411" t="inlineStr">
        <is>
          <t>Autocad, CNC Programming, Lập Trình CNC, Mastercam, Thiết Kế Công Đoạn</t>
        </is>
      </c>
      <c r="M4411" t="inlineStr">
        <is>
          <t>Healthcare Plan, Others</t>
        </is>
      </c>
      <c r="N4411" s="8">
        <f>HYPERLINK("https://www.vietnamworks.com/nhan-vien-ky-thuat-gia-cong-cnc-2011855-jv","Xem chi tiết")</f>
        <v/>
      </c>
    </row>
    <row r="4412">
      <c r="B4412" s="9" t="n">
        <v>4410</v>
      </c>
      <c r="C4412" s="10" t="inlineStr">
        <is>
          <t>Quản Lý Setup Dự Án (Điện gió/ Điện Mặt trời/ LNG)</t>
        </is>
      </c>
      <c r="D4412" s="10" t="inlineStr">
        <is>
          <t>CÔNG TY CỔ PHẦN NĂNG LƯỢNG VINENERGO</t>
        </is>
      </c>
      <c r="E4412" s="10" t="inlineStr">
        <is>
          <t>Thương lượng</t>
        </is>
      </c>
      <c r="F4412" s="10" t="inlineStr">
        <is>
          <t>Hà Nội</t>
        </is>
      </c>
      <c r="G4412" s="10" t="inlineStr">
        <is>
          <t>Trưởng phòng</t>
        </is>
      </c>
      <c r="H4412" s="10" t="inlineStr">
        <is>
          <t>12/02/2026</t>
        </is>
      </c>
      <c r="I4412" s="10" t="inlineStr">
        <is>
          <t>29/03/2026</t>
        </is>
      </c>
      <c r="J4412" s="10" t="inlineStr">
        <is>
          <t>17/03/2026</t>
        </is>
      </c>
      <c r="K4412" s="10" t="inlineStr">
        <is>
          <t>N/A</t>
        </is>
      </c>
      <c r="L4412" s="10" t="inlineStr">
        <is>
          <t>Giám Sát Thi Công, Giao Tiếp Tiếng Anh, Quản Lý Dự Án, Sử Dụng Phần Mềm, Thiết Kế Xây Dựng</t>
        </is>
      </c>
      <c r="M4412" s="10" t="inlineStr">
        <is>
          <t>Bonus, Healthcare Plan, Training, Others</t>
        </is>
      </c>
      <c r="N4412" s="11">
        <f>HYPERLINK("https://www.vietnamworks.com/quan-ly-setup-du-an-djien-gio-djien-mat-troi-lng-2011854-jv","Xem chi tiết")</f>
        <v/>
      </c>
      <c r="O4412" s="10" t="n"/>
    </row>
    <row r="4413">
      <c r="B4413" s="7" t="n">
        <v>4411</v>
      </c>
      <c r="C4413" t="inlineStr">
        <is>
          <t>Operations Team Lead - Logistics Centre Of Excellence</t>
        </is>
      </c>
      <c r="D4413" t="inlineStr">
        <is>
          <t>CÔNG TY TNHH VISY GLOBAL LOGISTICS (VIỆT NAM)</t>
        </is>
      </c>
      <c r="E4413" t="inlineStr">
        <is>
          <t>$$ 1,000-1,100 /tháng</t>
        </is>
      </c>
      <c r="F4413" t="inlineStr">
        <is>
          <t>Hồ Chí Minh</t>
        </is>
      </c>
      <c r="G4413" t="inlineStr">
        <is>
          <t>Trưởng phòng</t>
        </is>
      </c>
      <c r="H4413" t="inlineStr">
        <is>
          <t>12/02/2026</t>
        </is>
      </c>
      <c r="I4413" t="inlineStr">
        <is>
          <t>29/03/2026</t>
        </is>
      </c>
      <c r="J4413" t="inlineStr">
        <is>
          <t>17/03/2026</t>
        </is>
      </c>
      <c r="K4413" t="inlineStr">
        <is>
          <t>N/A</t>
        </is>
      </c>
      <c r="L4413" t="inlineStr">
        <is>
          <t>Booking Management, Carrier Relationship Management, Freight Forwarding, Logistics, Logistics operations</t>
        </is>
      </c>
      <c r="M4413" t="inlineStr">
        <is>
          <t>Bonus, Healthcare Plan, Paid Leave, Awards, Mobile, Travel Opportunities, Team Activities, Transportation, Others</t>
        </is>
      </c>
      <c r="N4413" s="8">
        <f>HYPERLINK("https://www.vietnamworks.com/operations-team-lead-logistics-centre-of-excellence-2011846-jv","Xem chi tiết")</f>
        <v/>
      </c>
    </row>
    <row r="4414">
      <c r="B4414" s="9" t="n">
        <v>4412</v>
      </c>
      <c r="C4414" s="10" t="inlineStr">
        <is>
          <t>Senior Learning &amp; Development Executive (L&amp;D)</t>
        </is>
      </c>
      <c r="D4414" s="10" t="inlineStr">
        <is>
          <t>Bosch Global Software Technologies Company Limited</t>
        </is>
      </c>
      <c r="E4414" s="10" t="inlineStr">
        <is>
          <t>Thương lượng</t>
        </is>
      </c>
      <c r="F4414" s="10" t="inlineStr">
        <is>
          <t>Hồ Chí Minh</t>
        </is>
      </c>
      <c r="G4414" s="10" t="inlineStr">
        <is>
          <t>Nhân viên</t>
        </is>
      </c>
      <c r="H4414" s="10" t="inlineStr">
        <is>
          <t>12/02/2026</t>
        </is>
      </c>
      <c r="I4414" s="10" t="inlineStr">
        <is>
          <t>29/03/2026</t>
        </is>
      </c>
      <c r="J4414" s="10" t="inlineStr">
        <is>
          <t>17/03/2026</t>
        </is>
      </c>
      <c r="K4414" s="10" t="inlineStr">
        <is>
          <t>N/A</t>
        </is>
      </c>
      <c r="L4414" s="10" t="inlineStr">
        <is>
          <t>Communication, Data Analysis, Instructional Design, People Development, Training coordination</t>
        </is>
      </c>
      <c r="M4414" s="10" t="inlineStr">
        <is>
          <t>Bonus, Healthcare Plan, Paid Leave, Team Activities, Others</t>
        </is>
      </c>
      <c r="N4414" s="11">
        <f>HYPERLINK("https://www.vietnamworks.com/senior-learning-and-development-executive-landd-2011857-jv","Xem chi tiết")</f>
        <v/>
      </c>
      <c r="O4414" s="10" t="n"/>
    </row>
    <row r="4415">
      <c r="B4415" s="7" t="n">
        <v>4413</v>
      </c>
      <c r="C4415" t="inlineStr">
        <is>
          <t>Nhân Viên Phòng Thiết Kế</t>
        </is>
      </c>
      <c r="D4415" t="inlineStr">
        <is>
          <t>Công Ty TNHH DENSO Việt Nam</t>
        </is>
      </c>
      <c r="E4415" t="inlineStr">
        <is>
          <t>$$ 450-500 /tháng</t>
        </is>
      </c>
      <c r="F4415" t="inlineStr">
        <is>
          <t>Hà Nội</t>
        </is>
      </c>
      <c r="G4415" t="inlineStr">
        <is>
          <t>Mới Tốt Nghiệp</t>
        </is>
      </c>
      <c r="H4415" t="inlineStr">
        <is>
          <t>12/02/2026</t>
        </is>
      </c>
      <c r="I4415" t="inlineStr">
        <is>
          <t>29/03/2026</t>
        </is>
      </c>
      <c r="J4415" t="inlineStr">
        <is>
          <t>17/03/2026</t>
        </is>
      </c>
      <c r="K4415" t="inlineStr">
        <is>
          <t>N/A</t>
        </is>
      </c>
      <c r="L4415" t="inlineStr">
        <is>
          <t>Thiết Kế Tự Động Hóa, Phân Tích Thiết Kế, Cơ Khí, Điện, Ô Tô</t>
        </is>
      </c>
      <c r="M4415" t="inlineStr">
        <is>
          <t>Healthcare Plan, Training, Transportation</t>
        </is>
      </c>
      <c r="N4415" s="8">
        <f>HYPERLINK("https://www.vietnamworks.com/nhan-vien-phong-thiet-ke--2011851-jv","Xem chi tiết")</f>
        <v/>
      </c>
    </row>
    <row r="4416">
      <c r="B4416" s="9" t="n">
        <v>4414</v>
      </c>
      <c r="C4416" s="10" t="inlineStr">
        <is>
          <t>Subleader Phòng Đo QA/QC</t>
        </is>
      </c>
      <c r="D4416" s="10" t="inlineStr">
        <is>
          <t>A.I.S Vietnam Co., Ltd</t>
        </is>
      </c>
      <c r="E4416" s="10" t="inlineStr">
        <is>
          <t>Thương lượng</t>
        </is>
      </c>
      <c r="F4416" s="10" t="inlineStr">
        <is>
          <t>Bắc Ninh</t>
        </is>
      </c>
      <c r="G4416" s="10" t="inlineStr">
        <is>
          <t>Nhân viên</t>
        </is>
      </c>
      <c r="H4416" s="10" t="inlineStr">
        <is>
          <t>12/02/2026</t>
        </is>
      </c>
      <c r="I4416" s="10" t="inlineStr">
        <is>
          <t>29/03/2026</t>
        </is>
      </c>
      <c r="J4416" s="10" t="inlineStr">
        <is>
          <t>17/03/2026</t>
        </is>
      </c>
      <c r="K4416" s="10" t="inlineStr">
        <is>
          <t>N/A</t>
        </is>
      </c>
      <c r="L4416" s="10" t="inlineStr">
        <is>
          <t>Auto CAD, Lập Báo Cáo, Sử dụng dụng cụ đo mạch, Đo Kích Thước Chi Tiết, Đọc Hiểu Bản Vẽ Kỹ Thuật</t>
        </is>
      </c>
      <c r="M4416" s="10" t="inlineStr">
        <is>
          <t>Healthcare Plan, Others</t>
        </is>
      </c>
      <c r="N4416" s="11">
        <f>HYPERLINK("https://www.vietnamworks.com/subleader-phong-do-qa-qc-2011860-jv","Xem chi tiết")</f>
        <v/>
      </c>
      <c r="O4416" s="10" t="n"/>
    </row>
    <row r="4417">
      <c r="B4417" s="7" t="n">
        <v>4415</v>
      </c>
      <c r="C4417" t="inlineStr">
        <is>
          <t>Telemarketer</t>
        </is>
      </c>
      <c r="D4417" t="inlineStr">
        <is>
          <t>Charlton Media Group</t>
        </is>
      </c>
      <c r="E4417" t="inlineStr">
        <is>
          <t>$$ 300-350 /tháng</t>
        </is>
      </c>
      <c r="F4417" t="inlineStr">
        <is>
          <t>Hồ Chí Minh</t>
        </is>
      </c>
      <c r="G4417" t="inlineStr">
        <is>
          <t>Mới Tốt Nghiệp</t>
        </is>
      </c>
      <c r="H4417" t="inlineStr">
        <is>
          <t>12/02/2026</t>
        </is>
      </c>
      <c r="I4417" t="inlineStr">
        <is>
          <t>29/03/2026</t>
        </is>
      </c>
      <c r="J4417" t="inlineStr">
        <is>
          <t>17/03/2026</t>
        </is>
      </c>
      <c r="K4417" t="inlineStr">
        <is>
          <t>N/A</t>
        </is>
      </c>
      <c r="L4417" t="inlineStr">
        <is>
          <t>Telemarketing, Research skills, Persuasion Skills, Email Marketing, Communication</t>
        </is>
      </c>
      <c r="M4417" t="inlineStr">
        <is>
          <t>Bonus, Travel Opportunities</t>
        </is>
      </c>
      <c r="N4417" s="8">
        <f>HYPERLINK("https://www.vietnamworks.com/telemarketer--2011856-jv","Xem chi tiết")</f>
        <v/>
      </c>
    </row>
    <row r="4418">
      <c r="B4418" s="9" t="n">
        <v>4416</v>
      </c>
      <c r="C4418" s="10" t="inlineStr">
        <is>
          <t>Customer Quality Engineer (CQE) (Mandarin/chinese)</t>
        </is>
      </c>
      <c r="D4418" s="10" t="inlineStr">
        <is>
          <t>Bosch Global Software Technologies Company Limited</t>
        </is>
      </c>
      <c r="E4418" s="10" t="inlineStr">
        <is>
          <t>Thương lượng</t>
        </is>
      </c>
      <c r="F4418" s="10" t="inlineStr">
        <is>
          <t>Hà Nội</t>
        </is>
      </c>
      <c r="G4418" s="10" t="inlineStr">
        <is>
          <t>Nhân viên</t>
        </is>
      </c>
      <c r="H4418" s="10" t="inlineStr">
        <is>
          <t>12/02/2026</t>
        </is>
      </c>
      <c r="I4418" s="10" t="inlineStr">
        <is>
          <t>29/03/2026</t>
        </is>
      </c>
      <c r="J4418" s="10" t="inlineStr">
        <is>
          <t>17/03/2026</t>
        </is>
      </c>
      <c r="K4418" s="10" t="inlineStr">
        <is>
          <t>N/A</t>
        </is>
      </c>
      <c r="L4418" s="10" t="inlineStr">
        <is>
          <t>Quality Engineer, Quality Process Improvement, QA/ QC, Mandarin, Customer Support</t>
        </is>
      </c>
      <c r="M4418" s="10" t="inlineStr">
        <is>
          <t>Bonus, Healthcare Plan, Paid Leave</t>
        </is>
      </c>
      <c r="N4418" s="11">
        <f>HYPERLINK("https://www.vietnamworks.com/customer-quality-engineer-cqe-mandarin-chinese--2011859-jv","Xem chi tiết")</f>
        <v/>
      </c>
      <c r="O4418" s="10" t="n"/>
    </row>
    <row r="4419">
      <c r="B4419" s="7" t="n">
        <v>4417</v>
      </c>
      <c r="C4419" t="inlineStr">
        <is>
          <t>D365 Developer - Business Central (1-Year Contractor)</t>
        </is>
      </c>
      <c r="D4419" t="inlineStr">
        <is>
          <t>Bosch Global Software Technologies Company Limited</t>
        </is>
      </c>
      <c r="E4419" t="inlineStr">
        <is>
          <t>Thương lượng</t>
        </is>
      </c>
      <c r="F4419" t="inlineStr">
        <is>
          <t>Hồ Chí Minh</t>
        </is>
      </c>
      <c r="G4419" t="inlineStr">
        <is>
          <t>Nhân viên</t>
        </is>
      </c>
      <c r="H4419" t="inlineStr">
        <is>
          <t>12/02/2026</t>
        </is>
      </c>
      <c r="I4419" t="inlineStr">
        <is>
          <t>29/03/2026</t>
        </is>
      </c>
      <c r="J4419" t="inlineStr">
        <is>
          <t>17/03/2026</t>
        </is>
      </c>
      <c r="K4419" t="inlineStr">
        <is>
          <t>N/A</t>
        </is>
      </c>
      <c r="L4419" t="inlineStr">
        <is>
          <t>English Communication, Microsoft Dynamics 365, Microsoft Dynamics Navision, Problem-solving</t>
        </is>
      </c>
      <c r="M4419" t="inlineStr">
        <is>
          <t>Bonus, Healthcare Plan, Paid Leave, Training, Team Activities, Others</t>
        </is>
      </c>
      <c r="N4419" s="8">
        <f>HYPERLINK("https://www.vietnamworks.com/d365-developer-business-central-1-year-contractor-2011861-jv","Xem chi tiết")</f>
        <v/>
      </c>
    </row>
    <row r="4420">
      <c r="B4420" s="9" t="n">
        <v>4418</v>
      </c>
      <c r="C4420" s="10" t="inlineStr">
        <is>
          <t>Business Controlling Specialist</t>
        </is>
      </c>
      <c r="D4420" s="10" t="inlineStr">
        <is>
          <t>Piaggio Vietnam Co., Ltd (Pvn)</t>
        </is>
      </c>
      <c r="E4420" s="10" t="inlineStr">
        <is>
          <t>Thương lượng</t>
        </is>
      </c>
      <c r="F4420" s="10" t="inlineStr">
        <is>
          <t>Hồ Chí Minh</t>
        </is>
      </c>
      <c r="G4420" s="10" t="inlineStr">
        <is>
          <t>Nhân viên</t>
        </is>
      </c>
      <c r="H4420" s="10" t="inlineStr">
        <is>
          <t>12/02/2026</t>
        </is>
      </c>
      <c r="I4420" s="10" t="inlineStr">
        <is>
          <t>29/03/2026</t>
        </is>
      </c>
      <c r="J4420" s="10" t="inlineStr">
        <is>
          <t>17/03/2026</t>
        </is>
      </c>
      <c r="K4420" s="10" t="inlineStr">
        <is>
          <t>N/A</t>
        </is>
      </c>
      <c r="L4420" s="10" t="inlineStr">
        <is>
          <t>ACCA, English, Analytical Skills, Budget Forecasting, Cost Control</t>
        </is>
      </c>
      <c r="M4420" s="10" t="inlineStr">
        <is>
          <t>Bonus, Healthcare Plan, Paid Leave, Training, Travel Opportunities, Team Activities, Vouchers</t>
        </is>
      </c>
      <c r="N4420" s="11">
        <f>HYPERLINK("https://www.vietnamworks.com/business-controlling-specialist-2011862-jv","Xem chi tiết")</f>
        <v/>
      </c>
      <c r="O4420" s="10" t="n"/>
    </row>
    <row r="4421">
      <c r="B4421" s="7" t="n">
        <v>4419</v>
      </c>
      <c r="C4421" t="inlineStr">
        <is>
          <t xml:space="preserve">Dược Sĩ Nghiên Cứu </t>
        </is>
      </c>
      <c r="D4421" t="inlineStr">
        <is>
          <t>Công Ty Cổ Phần Dược Phẩm SaVi</t>
        </is>
      </c>
      <c r="E4421" t="inlineStr">
        <is>
          <t>Thương lượng</t>
        </is>
      </c>
      <c r="F4421" t="inlineStr">
        <is>
          <t>Hồ Chí Minh</t>
        </is>
      </c>
      <c r="G4421" t="inlineStr">
        <is>
          <t>Nhân viên</t>
        </is>
      </c>
      <c r="H4421" t="inlineStr">
        <is>
          <t>12/02/2026</t>
        </is>
      </c>
      <c r="I4421" t="inlineStr">
        <is>
          <t>29/03/2026</t>
        </is>
      </c>
      <c r="J4421" t="inlineStr">
        <is>
          <t>17/03/2026</t>
        </is>
      </c>
      <c r="K4421" t="inlineStr">
        <is>
          <t>N/A</t>
        </is>
      </c>
      <c r="L4421" t="inlineStr">
        <is>
          <t>Dược, Làm Tài Liệu Kỹ Thuật, Nghiên Cứu Sản Phẩm, Xây Dựng Quy Trình, Đọc Tiếng Anh</t>
        </is>
      </c>
      <c r="M4421" t="inlineStr">
        <is>
          <t>Bonus, Healthcare Plan, Training, Canteen</t>
        </is>
      </c>
      <c r="N4421" s="8">
        <f>HYPERLINK("https://www.vietnamworks.com/duoc-si-nghien-cuu-2011875-jv","Xem chi tiết")</f>
        <v/>
      </c>
    </row>
    <row r="4422">
      <c r="B4422" s="9" t="n">
        <v>4420</v>
      </c>
      <c r="C4422" s="10" t="inlineStr">
        <is>
          <t>HR Service Officer (Digitalization and Admin)</t>
        </is>
      </c>
      <c r="D4422" s="10" t="inlineStr">
        <is>
          <t>Bosch Global Software Technologies Company Limited</t>
        </is>
      </c>
      <c r="E4422" s="10" t="inlineStr">
        <is>
          <t>Thương lượng</t>
        </is>
      </c>
      <c r="F4422" s="10" t="inlineStr">
        <is>
          <t>Hồ Chí Minh</t>
        </is>
      </c>
      <c r="G4422" s="10" t="inlineStr">
        <is>
          <t>Nhân viên</t>
        </is>
      </c>
      <c r="H4422" s="10" t="inlineStr">
        <is>
          <t>12/02/2026</t>
        </is>
      </c>
      <c r="I4422" s="10" t="inlineStr">
        <is>
          <t>29/03/2026</t>
        </is>
      </c>
      <c r="J4422" s="10" t="inlineStr">
        <is>
          <t>17/03/2026</t>
        </is>
      </c>
      <c r="K4422" s="10" t="inlineStr">
        <is>
          <t>N/A</t>
        </is>
      </c>
      <c r="L4422" s="10" t="inlineStr">
        <is>
          <t>SAP, Digitalization, HR Shared Services, Power Automates, VBA code</t>
        </is>
      </c>
      <c r="M4422" s="10" t="inlineStr">
        <is>
          <t>Bonus, Healthcare Plan, Paid Leave, Team Activities, Others</t>
        </is>
      </c>
      <c r="N4422" s="11">
        <f>HYPERLINK("https://www.vietnamworks.com/hr-service-officer-digitalization-and-admin-2011865-jv","Xem chi tiết")</f>
        <v/>
      </c>
      <c r="O4422" s="10" t="n"/>
    </row>
    <row r="4423">
      <c r="B4423" s="7" t="n">
        <v>4421</v>
      </c>
      <c r="C4423" t="inlineStr">
        <is>
          <t>Kỹ Sư Điện</t>
        </is>
      </c>
      <c r="D4423" t="inlineStr">
        <is>
          <t>CÔNG TY CỔ PHẦN NĂNG LƯỢNG VINENERGO</t>
        </is>
      </c>
      <c r="E4423" t="inlineStr">
        <is>
          <t>Thương lượng</t>
        </is>
      </c>
      <c r="F4423" t="inlineStr">
        <is>
          <t>Hà Nội</t>
        </is>
      </c>
      <c r="G4423" t="inlineStr">
        <is>
          <t>Nhân viên</t>
        </is>
      </c>
      <c r="H4423" t="inlineStr">
        <is>
          <t>12/02/2026</t>
        </is>
      </c>
      <c r="I4423" t="inlineStr">
        <is>
          <t>29/03/2026</t>
        </is>
      </c>
      <c r="J4423" t="inlineStr">
        <is>
          <t>17/03/2026</t>
        </is>
      </c>
      <c r="K4423" t="inlineStr">
        <is>
          <t>N/A</t>
        </is>
      </c>
      <c r="L4423" t="inlineStr">
        <is>
          <t>Giao Tiếp, Hệ Thống Điện, Kỹ Thuật Điện, Quản Lý Dự Án, Tự Động Hóa</t>
        </is>
      </c>
      <c r="M4423" t="inlineStr">
        <is>
          <t>Bonus, Healthcare Plan, Training, Others</t>
        </is>
      </c>
      <c r="N4423" s="8">
        <f>HYPERLINK("https://www.vietnamworks.com/ky-su-djien-2011884-jv","Xem chi tiết")</f>
        <v/>
      </c>
    </row>
    <row r="4424">
      <c r="B4424" s="9" t="n">
        <v>4422</v>
      </c>
      <c r="C4424" s="10" t="inlineStr">
        <is>
          <t>Embedded Software Project Manager (ADAS) (Japanese Speaking)</t>
        </is>
      </c>
      <c r="D4424" s="10" t="inlineStr">
        <is>
          <t>Bosch Global Software Technologies Company Limited</t>
        </is>
      </c>
      <c r="E4424" s="10" t="inlineStr">
        <is>
          <t>Thương lượng</t>
        </is>
      </c>
      <c r="F4424" s="10" t="inlineStr">
        <is>
          <t>Hồ Chí Minh</t>
        </is>
      </c>
      <c r="G4424" s="10" t="inlineStr">
        <is>
          <t>Trưởng phòng</t>
        </is>
      </c>
      <c r="H4424" s="10" t="inlineStr">
        <is>
          <t>12/02/2026</t>
        </is>
      </c>
      <c r="I4424" s="10" t="inlineStr">
        <is>
          <t>29/03/2026</t>
        </is>
      </c>
      <c r="J4424" s="10" t="inlineStr">
        <is>
          <t>17/03/2026</t>
        </is>
      </c>
      <c r="K4424" s="10" t="inlineStr">
        <is>
          <t>N/A</t>
        </is>
      </c>
      <c r="L4424" s="10" t="inlineStr">
        <is>
          <t>Japanese, Automotive, Embedded, JLPT N2, Mechatronics Engineering</t>
        </is>
      </c>
      <c r="M4424" s="10" t="inlineStr">
        <is>
          <t>Bonus, Healthcare Plan, Paid Leave, Team Activities, Others</t>
        </is>
      </c>
      <c r="N4424" s="11">
        <f>HYPERLINK("https://www.vietnamworks.com/embedded-software-project-manager-adas-japanese-speaking-2011867-jv","Xem chi tiết")</f>
        <v/>
      </c>
      <c r="O4424" s="10" t="n"/>
    </row>
    <row r="4425">
      <c r="B4425" s="7" t="n">
        <v>4423</v>
      </c>
      <c r="C4425" t="inlineStr">
        <is>
          <t>Urgent - Sales Executive (MT Channel) - English Required</t>
        </is>
      </c>
      <c r="D4425" t="inlineStr">
        <is>
          <t>Mitsubishi Electric Vietnam Co. Ltd.</t>
        </is>
      </c>
      <c r="E4425" t="inlineStr">
        <is>
          <t>Thương lượng</t>
        </is>
      </c>
      <c r="F4425" t="inlineStr">
        <is>
          <t>Hà Nội</t>
        </is>
      </c>
      <c r="G4425" t="inlineStr">
        <is>
          <t>Nhân viên</t>
        </is>
      </c>
      <c r="H4425" t="inlineStr">
        <is>
          <t>12/02/2026</t>
        </is>
      </c>
      <c r="I4425" t="inlineStr">
        <is>
          <t>29/03/2026</t>
        </is>
      </c>
      <c r="J4425" t="inlineStr">
        <is>
          <t>17/03/2026</t>
        </is>
      </c>
      <c r="K4425" t="inlineStr">
        <is>
          <t>N/A</t>
        </is>
      </c>
      <c r="L4425" t="inlineStr">
        <is>
          <t>Communication Skills, Electrical, Interpersonal Skills, Sales Oriented, Teamwork</t>
        </is>
      </c>
      <c r="M4425" t="inlineStr">
        <is>
          <t>Bonus, Healthcare Plan, Paid Leave, Laptop</t>
        </is>
      </c>
      <c r="N4425" s="8">
        <f>HYPERLINK("https://www.vietnamworks.com/urgent-sales-executive-mt-channel-english-required-2011881-jv","Xem chi tiết")</f>
        <v/>
      </c>
    </row>
    <row r="4426">
      <c r="B4426" s="9" t="n">
        <v>4424</v>
      </c>
      <c r="C4426" s="10" t="inlineStr">
        <is>
          <t>Chuyên Viên Môi Giới</t>
        </is>
      </c>
      <c r="D4426" s="10" t="inlineStr">
        <is>
          <t>Công ty Cổ phần Chứng khoán An Bình</t>
        </is>
      </c>
      <c r="E4426" s="10" t="inlineStr">
        <is>
          <t>Thương lượng</t>
        </is>
      </c>
      <c r="F4426" s="10" t="inlineStr">
        <is>
          <t>Hà Nội, Đà Nẵng, Hồ Chí Minh</t>
        </is>
      </c>
      <c r="G4426" s="10" t="inlineStr">
        <is>
          <t>Nhân viên</t>
        </is>
      </c>
      <c r="H4426" s="10" t="inlineStr">
        <is>
          <t>12/02/2026</t>
        </is>
      </c>
      <c r="I4426" s="10" t="inlineStr">
        <is>
          <t>29/03/2026</t>
        </is>
      </c>
      <c r="J4426" s="10" t="inlineStr">
        <is>
          <t>17/03/2026</t>
        </is>
      </c>
      <c r="K4426" s="10" t="inlineStr">
        <is>
          <t>N/A</t>
        </is>
      </c>
      <c r="L4426" s="10" t="inlineStr">
        <is>
          <t>Phân Tích Số Liệu, Chứng Khoán Đầu Tư, Môi Giới Chứng Khoán, Tìm Kiếm Khách Hàng, Môi Giới</t>
        </is>
      </c>
      <c r="M4426" s="10" t="inlineStr">
        <is>
          <t>Bonus, Healthcare Plan, Training</t>
        </is>
      </c>
      <c r="N4426" s="11">
        <f>HYPERLINK("https://www.vietnamworks.com/chuyen-vien-moi-gioi-2011883-jv","Xem chi tiết")</f>
        <v/>
      </c>
      <c r="O4426" s="10" t="n"/>
    </row>
    <row r="4427">
      <c r="B4427" s="7" t="n">
        <v>4425</v>
      </c>
      <c r="C4427" t="inlineStr">
        <is>
          <t>Kỹ Sư Đo Lường – Điều Khiển</t>
        </is>
      </c>
      <c r="D4427" t="inlineStr">
        <is>
          <t>CÔNG TY CỔ PHẦN NĂNG LƯỢNG VINENERGO</t>
        </is>
      </c>
      <c r="E4427" t="inlineStr">
        <is>
          <t>Thương lượng</t>
        </is>
      </c>
      <c r="F4427" t="inlineStr">
        <is>
          <t>Hà Nội</t>
        </is>
      </c>
      <c r="G4427" t="inlineStr">
        <is>
          <t>Nhân viên</t>
        </is>
      </c>
      <c r="H4427" t="inlineStr">
        <is>
          <t>12/02/2026</t>
        </is>
      </c>
      <c r="I4427" t="inlineStr">
        <is>
          <t>29/03/2026</t>
        </is>
      </c>
      <c r="J4427" t="inlineStr">
        <is>
          <t>17/03/2026</t>
        </is>
      </c>
      <c r="K4427" t="inlineStr">
        <is>
          <t>N/A</t>
        </is>
      </c>
      <c r="L4427" t="inlineStr">
        <is>
          <t>Giám Sát Thi Công, Giao Tiếp Tiếng Anh, Lập Trình SCADA, Quản Lý Dự Án, Thiết Kế Hệ Thống Tự Động</t>
        </is>
      </c>
      <c r="M4427" t="inlineStr">
        <is>
          <t>Bonus, Healthcare Plan, Training, Others</t>
        </is>
      </c>
      <c r="N4427" s="8">
        <f>HYPERLINK("https://www.vietnamworks.com/ky-su-djo-luong-djieu-khien-2011870-jv","Xem chi tiết")</f>
        <v/>
      </c>
    </row>
    <row r="4428">
      <c r="B4428" s="9" t="n">
        <v>4426</v>
      </c>
      <c r="C4428" s="10" t="inlineStr">
        <is>
          <t>Senior Embedded Software Engineer (Parking System, ADAS) (Japanese Speaking)</t>
        </is>
      </c>
      <c r="D4428" s="10" t="inlineStr">
        <is>
          <t>Bosch Global Software Technologies Company Limited</t>
        </is>
      </c>
      <c r="E4428" s="10" t="inlineStr">
        <is>
          <t>Thương lượng</t>
        </is>
      </c>
      <c r="F4428" s="10" t="inlineStr">
        <is>
          <t>Hồ Chí Minh</t>
        </is>
      </c>
      <c r="G4428" s="10" t="inlineStr">
        <is>
          <t>Nhân viên</t>
        </is>
      </c>
      <c r="H4428" s="10" t="inlineStr">
        <is>
          <t>12/02/2026</t>
        </is>
      </c>
      <c r="I4428" s="10" t="inlineStr">
        <is>
          <t>29/03/2026</t>
        </is>
      </c>
      <c r="J4428" s="10" t="inlineStr">
        <is>
          <t>17/03/2026</t>
        </is>
      </c>
      <c r="K4428" s="10" t="inlineStr">
        <is>
          <t>N/A</t>
        </is>
      </c>
      <c r="L4428" s="10" t="inlineStr">
        <is>
          <t>ADAS testing, Automotive software development, C/C++, Embedded, Japanese</t>
        </is>
      </c>
      <c r="M4428" s="10" t="inlineStr">
        <is>
          <t>Paid Leave, Training, Team Activities, Others</t>
        </is>
      </c>
      <c r="N4428" s="11">
        <f>HYPERLINK("https://www.vietnamworks.com/senior-embedded-software-engineer-parking-system-adas-japanese-speaking-2011866-jv","Xem chi tiết")</f>
        <v/>
      </c>
      <c r="O4428" s="10" t="n"/>
    </row>
    <row r="4429">
      <c r="B4429" s="7" t="n">
        <v>4427</v>
      </c>
      <c r="C4429" t="inlineStr">
        <is>
          <t>Giám Đốc Kinh Doanh Vùng Dầu Nhớt | Regional Sales Manager (RSM)</t>
        </is>
      </c>
      <c r="D4429" t="inlineStr">
        <is>
          <t>CÔNG TY TNHH DAICHI VIỆT NAM</t>
        </is>
      </c>
      <c r="E4429" t="inlineStr">
        <is>
          <t>20tr-40tr ₫/tháng</t>
        </is>
      </c>
      <c r="F4429" t="inlineStr">
        <is>
          <t>Hồ Chí Minh</t>
        </is>
      </c>
      <c r="G4429" t="inlineStr">
        <is>
          <t>Trưởng phòng</t>
        </is>
      </c>
      <c r="H4429" t="inlineStr">
        <is>
          <t>12/02/2026</t>
        </is>
      </c>
      <c r="I4429" t="inlineStr">
        <is>
          <t>29/03/2026</t>
        </is>
      </c>
      <c r="J4429" t="inlineStr">
        <is>
          <t>17/03/2026</t>
        </is>
      </c>
      <c r="K4429" t="inlineStr">
        <is>
          <t>N/A</t>
        </is>
      </c>
      <c r="L4429" t="inlineStr">
        <is>
          <t>Quản Lý Đội Nhóm, Quản Lý Kinh Doanh, Business Management, Kinh Doanh Dầu Nhớt, Sales Planning</t>
        </is>
      </c>
      <c r="M4429" t="inlineStr">
        <is>
          <t>Bonus, Healthcare Plan</t>
        </is>
      </c>
      <c r="N4429" s="8">
        <f>HYPERLINK("https://www.vietnamworks.com/giam-djoc-kinh-doanh-vung-dau-nhot-or-regional-sales-manager-rsm-2011874-jv","Xem chi tiết")</f>
        <v/>
      </c>
    </row>
    <row r="4430">
      <c r="B4430" s="9" t="n">
        <v>4428</v>
      </c>
      <c r="C4430" s="10" t="inlineStr">
        <is>
          <t>Travel to Expense Process Expert (Asean)</t>
        </is>
      </c>
      <c r="D4430" s="10" t="inlineStr">
        <is>
          <t>Bosch Global Software Technologies Company Limited</t>
        </is>
      </c>
      <c r="E4430" s="10" t="inlineStr">
        <is>
          <t>Thương lượng</t>
        </is>
      </c>
      <c r="F4430" s="10" t="inlineStr">
        <is>
          <t>Hồ Chí Minh</t>
        </is>
      </c>
      <c r="G4430" s="10" t="inlineStr">
        <is>
          <t>Nhân viên</t>
        </is>
      </c>
      <c r="H4430" s="10" t="inlineStr">
        <is>
          <t>12/02/2026</t>
        </is>
      </c>
      <c r="I4430" s="10" t="inlineStr">
        <is>
          <t>29/03/2026</t>
        </is>
      </c>
      <c r="J4430" s="10" t="inlineStr">
        <is>
          <t>17/03/2026</t>
        </is>
      </c>
      <c r="K4430" s="10" t="inlineStr">
        <is>
          <t>N/A</t>
        </is>
      </c>
      <c r="L4430" s="10" t="inlineStr">
        <is>
          <t>Communication Skills, Customer Mindset, Stakeholder Management, Travel Booking, Travel Services</t>
        </is>
      </c>
      <c r="M4430" s="10" t="inlineStr">
        <is>
          <t>Bonus, Healthcare Plan, Paid Leave, Training, Team Activities, Transportation, Others</t>
        </is>
      </c>
      <c r="N4430" s="11">
        <f>HYPERLINK("https://www.vietnamworks.com/travel-to-expense-process-expert-asean-2011876-jv","Xem chi tiết")</f>
        <v/>
      </c>
      <c r="O4430" s="10" t="n"/>
    </row>
    <row r="4431">
      <c r="B4431" s="7" t="n">
        <v>4429</v>
      </c>
      <c r="C4431" t="inlineStr">
        <is>
          <t>Accounts Payable / CTRM Data Entry Specialist</t>
        </is>
      </c>
      <c r="D4431" t="inlineStr">
        <is>
          <t>CÔNG TY TNHH EXPORT TRADING COMMODITIES VIỆT NAM</t>
        </is>
      </c>
      <c r="E4431" t="inlineStr">
        <is>
          <t>Thương lượng</t>
        </is>
      </c>
      <c r="F4431" t="inlineStr">
        <is>
          <t>Hồ Chí Minh</t>
        </is>
      </c>
      <c r="G4431" t="inlineStr">
        <is>
          <t>Nhân viên</t>
        </is>
      </c>
      <c r="H4431" t="inlineStr">
        <is>
          <t>12/02/2026</t>
        </is>
      </c>
      <c r="I4431" t="inlineStr">
        <is>
          <t>29/03/2026</t>
        </is>
      </c>
      <c r="J4431" t="inlineStr">
        <is>
          <t>17/03/2026</t>
        </is>
      </c>
      <c r="K4431" t="inlineStr">
        <is>
          <t>N/A</t>
        </is>
      </c>
      <c r="L4431" t="inlineStr">
        <is>
          <t>Accounts Payable, Microsoft Excel, ERP Systems, Kế Toán Thanh Toán, Kế Toán Tổng Hợp</t>
        </is>
      </c>
      <c r="M4431" t="inlineStr">
        <is>
          <t>Bonus, Healthcare Plan</t>
        </is>
      </c>
      <c r="N4431" s="8">
        <f>HYPERLINK("https://www.vietnamworks.com/accounts-payable-ctrm-data-entry-specialist-2011877-jv","Xem chi tiết")</f>
        <v/>
      </c>
    </row>
    <row r="4432">
      <c r="B4432" s="9" t="n">
        <v>4430</v>
      </c>
      <c r="C4432" s="10" t="inlineStr">
        <is>
          <t>[HN/HCMC] Chuyên Viên Marketing (Marketing Specialist)</t>
        </is>
      </c>
      <c r="D4432" s="10" t="inlineStr">
        <is>
          <t>CÔNG TY TNHH Ô TÔ BYD (VIỆT NAM)</t>
        </is>
      </c>
      <c r="E4432" s="10" t="inlineStr">
        <is>
          <t>Thương lượng</t>
        </is>
      </c>
      <c r="F4432" s="10" t="inlineStr">
        <is>
          <t>Hà Nội, Hồ Chí Minh</t>
        </is>
      </c>
      <c r="G4432" s="10" t="inlineStr">
        <is>
          <t>Nhân viên</t>
        </is>
      </c>
      <c r="H4432" s="10" t="inlineStr">
        <is>
          <t>12/02/2026</t>
        </is>
      </c>
      <c r="I4432" s="10" t="inlineStr">
        <is>
          <t>29/03/2026</t>
        </is>
      </c>
      <c r="J4432" s="10" t="inlineStr">
        <is>
          <t>17/03/2026</t>
        </is>
      </c>
      <c r="K4432" s="10" t="inlineStr">
        <is>
          <t>N/A</t>
        </is>
      </c>
      <c r="L4432" s="10" t="inlineStr">
        <is>
          <t>Automotive, Motion Design , Multimedia Design, Video Editor, Video Motion Graphic</t>
        </is>
      </c>
      <c r="M4432" s="10" t="inlineStr">
        <is>
          <t>Bonus, Healthcare Plan, Training, Team Activities, Others</t>
        </is>
      </c>
      <c r="N4432" s="11">
        <f>HYPERLINK("https://www.vietnamworks.com/hnhcmc-chuyen-vien-marketing-marketing-specialist-2011879-jv","Xem chi tiết")</f>
        <v/>
      </c>
      <c r="O4432" s="10" t="n"/>
    </row>
    <row r="4433">
      <c r="B4433" s="7" t="n">
        <v>4431</v>
      </c>
      <c r="C4433" t="inlineStr">
        <is>
          <t>Senior Embedded Verification Engineer Automotive Chiplet Platform</t>
        </is>
      </c>
      <c r="D4433" t="inlineStr">
        <is>
          <t>Bosch Global Software Technologies Company Limited</t>
        </is>
      </c>
      <c r="E4433" t="inlineStr">
        <is>
          <t>Thương lượng</t>
        </is>
      </c>
      <c r="F4433" t="inlineStr">
        <is>
          <t>Hồ Chí Minh</t>
        </is>
      </c>
      <c r="G4433" t="inlineStr">
        <is>
          <t>Nhân viên</t>
        </is>
      </c>
      <c r="H4433" t="inlineStr">
        <is>
          <t>12/02/2026</t>
        </is>
      </c>
      <c r="I4433" t="inlineStr">
        <is>
          <t>29/03/2026</t>
        </is>
      </c>
      <c r="J4433" t="inlineStr">
        <is>
          <t>17/03/2026</t>
        </is>
      </c>
      <c r="K4433" t="inlineStr">
        <is>
          <t>N/A</t>
        </is>
      </c>
      <c r="L4433" t="inlineStr">
        <is>
          <t>Embedded Systems, ARM Cortex-M, Linux Kernel, SOC, English</t>
        </is>
      </c>
      <c r="M4433" t="inlineStr">
        <is>
          <t>Bonus, Healthcare Plan, Paid Leave</t>
        </is>
      </c>
      <c r="N4433" s="8">
        <f>HYPERLINK("https://www.vietnamworks.com/senior-embedded-verification-engineer-automotive-chiplet-platform--2011864-jv","Xem chi tiết")</f>
        <v/>
      </c>
    </row>
    <row r="4434">
      <c r="B4434" s="9" t="n">
        <v>4432</v>
      </c>
      <c r="C4434" s="10" t="inlineStr">
        <is>
          <t>Associate Manager - HR Business Partner</t>
        </is>
      </c>
      <c r="D4434" s="10" t="inlineStr">
        <is>
          <t>Bosch Global Software Technologies Company Limited</t>
        </is>
      </c>
      <c r="E4434" s="10" t="inlineStr">
        <is>
          <t>Thương lượng</t>
        </is>
      </c>
      <c r="F4434" s="10" t="inlineStr">
        <is>
          <t>Hồ Chí Minh</t>
        </is>
      </c>
      <c r="G4434" s="10" t="inlineStr">
        <is>
          <t>Nhân viên</t>
        </is>
      </c>
      <c r="H4434" s="10" t="inlineStr">
        <is>
          <t>12/02/2026</t>
        </is>
      </c>
      <c r="I4434" s="10" t="inlineStr">
        <is>
          <t>29/03/2026</t>
        </is>
      </c>
      <c r="J4434" s="10" t="inlineStr">
        <is>
          <t>17/03/2026</t>
        </is>
      </c>
      <c r="K4434" s="10" t="inlineStr">
        <is>
          <t>N/A</t>
        </is>
      </c>
      <c r="L4434" s="10" t="inlineStr">
        <is>
          <t>HRBP, HR Business Partner, Change Management, Performance Management, Employee Engagement</t>
        </is>
      </c>
      <c r="M4434" s="10" t="inlineStr">
        <is>
          <t>Bonus, Healthcare Plan, Paid Leave</t>
        </is>
      </c>
      <c r="N4434" s="11">
        <f>HYPERLINK("https://www.vietnamworks.com/associate-manager-hr-business-partner--2011869-jv","Xem chi tiết")</f>
        <v/>
      </c>
      <c r="O4434" s="10" t="n"/>
    </row>
    <row r="4435">
      <c r="B4435" s="7" t="n">
        <v>4433</v>
      </c>
      <c r="C4435" t="inlineStr">
        <is>
          <t>Android HMI App Developer (1-Year Contractor)</t>
        </is>
      </c>
      <c r="D4435" t="inlineStr">
        <is>
          <t>Bosch Global Software Technologies Company Limited</t>
        </is>
      </c>
      <c r="E4435" t="inlineStr">
        <is>
          <t>Thương lượng</t>
        </is>
      </c>
      <c r="F4435" t="inlineStr">
        <is>
          <t>Hà Nội</t>
        </is>
      </c>
      <c r="G4435" t="inlineStr">
        <is>
          <t>Nhân viên</t>
        </is>
      </c>
      <c r="H4435" t="inlineStr">
        <is>
          <t>12/02/2026</t>
        </is>
      </c>
      <c r="I4435" t="inlineStr">
        <is>
          <t>29/03/2026</t>
        </is>
      </c>
      <c r="J4435" t="inlineStr">
        <is>
          <t>17/03/2026</t>
        </is>
      </c>
      <c r="K4435" t="inlineStr">
        <is>
          <t>N/A</t>
        </is>
      </c>
      <c r="L4435" t="inlineStr">
        <is>
          <t>HMI, Android, Java, Kotlin, Mvc</t>
        </is>
      </c>
      <c r="M4435" t="inlineStr">
        <is>
          <t>Bonus, Healthcare Plan, Paid Leave</t>
        </is>
      </c>
      <c r="N4435" s="8">
        <f>HYPERLINK("https://www.vietnamworks.com/android-hmi-app-developer-1-year-contractor--2011871-jv","Xem chi tiết")</f>
        <v/>
      </c>
    </row>
    <row r="4436">
      <c r="B4436" s="9" t="n">
        <v>4434</v>
      </c>
      <c r="C4436" s="10" t="inlineStr">
        <is>
          <t>Export Control/tariff Code Classification Associate</t>
        </is>
      </c>
      <c r="D4436" s="10" t="inlineStr">
        <is>
          <t>Bosch Global Software Technologies Company Limited</t>
        </is>
      </c>
      <c r="E4436" s="10" t="inlineStr">
        <is>
          <t>Thương lượng</t>
        </is>
      </c>
      <c r="F4436" s="10" t="inlineStr">
        <is>
          <t>Hồ Chí Minh</t>
        </is>
      </c>
      <c r="G4436" s="10" t="inlineStr">
        <is>
          <t>Nhân viên</t>
        </is>
      </c>
      <c r="H4436" s="10" t="inlineStr">
        <is>
          <t>12/02/2026</t>
        </is>
      </c>
      <c r="I4436" s="10" t="inlineStr">
        <is>
          <t>29/03/2026</t>
        </is>
      </c>
      <c r="J4436" s="10" t="inlineStr">
        <is>
          <t>17/03/2026</t>
        </is>
      </c>
      <c r="K4436" s="10" t="inlineStr">
        <is>
          <t>N/A</t>
        </is>
      </c>
      <c r="L4436" s="10" t="inlineStr">
        <is>
          <t>Analytical Skills, Communication Skills, Export Control, Tariff Classification, AutoCAD</t>
        </is>
      </c>
      <c r="M4436" s="10" t="inlineStr">
        <is>
          <t>Bonus, Healthcare Plan, Paid Leave, Training, Team Activities, Others</t>
        </is>
      </c>
      <c r="N4436" s="11">
        <f>HYPERLINK("https://www.vietnamworks.com/export-controltariff-code-classification-associate-2011878-jv","Xem chi tiết")</f>
        <v/>
      </c>
      <c r="O4436" s="10" t="n"/>
    </row>
    <row r="4437">
      <c r="B4437" s="7" t="n">
        <v>4435</v>
      </c>
      <c r="C4437" t="inlineStr">
        <is>
          <t>ADAS System Testing Engineer (1-Year Contractor)</t>
        </is>
      </c>
      <c r="D4437" t="inlineStr">
        <is>
          <t>Bosch Global Software Technologies Company Limited</t>
        </is>
      </c>
      <c r="E4437" t="inlineStr">
        <is>
          <t>Thương lượng</t>
        </is>
      </c>
      <c r="F4437" t="inlineStr">
        <is>
          <t>Hà Nội</t>
        </is>
      </c>
      <c r="G4437" t="inlineStr">
        <is>
          <t>Nhân viên</t>
        </is>
      </c>
      <c r="H4437" t="inlineStr">
        <is>
          <t>12/02/2026</t>
        </is>
      </c>
      <c r="I4437" t="inlineStr">
        <is>
          <t>29/03/2026</t>
        </is>
      </c>
      <c r="J4437" t="inlineStr">
        <is>
          <t>17/03/2026</t>
        </is>
      </c>
      <c r="K4437" t="inlineStr">
        <is>
          <t>N/A</t>
        </is>
      </c>
      <c r="L4437" t="inlineStr">
        <is>
          <t>ADAS testing, Automotive, Embedded Testing, Ethernet</t>
        </is>
      </c>
      <c r="M4437" t="inlineStr">
        <is>
          <t>Bonus, Healthcare Plan, Paid Leave</t>
        </is>
      </c>
      <c r="N4437" s="8">
        <f>HYPERLINK("https://www.vietnamworks.com/adas-system-testing-engineer-1-year-contractor--2011872-jv","Xem chi tiết")</f>
        <v/>
      </c>
    </row>
    <row r="4438">
      <c r="B4438" s="9" t="n">
        <v>4436</v>
      </c>
      <c r="C4438" s="10" t="inlineStr">
        <is>
          <t>HR Operations Lead</t>
        </is>
      </c>
      <c r="D4438" s="10" t="inlineStr">
        <is>
          <t>Netcompany</t>
        </is>
      </c>
      <c r="E4438" s="10" t="inlineStr">
        <is>
          <t>Thương lượng</t>
        </is>
      </c>
      <c r="F4438" s="10" t="inlineStr">
        <is>
          <t>Hồ Chí Minh</t>
        </is>
      </c>
      <c r="G4438" s="10" t="inlineStr">
        <is>
          <t>Nhân viên</t>
        </is>
      </c>
      <c r="H4438" s="10" t="inlineStr">
        <is>
          <t>12/02/2026</t>
        </is>
      </c>
      <c r="I4438" s="10" t="inlineStr">
        <is>
          <t>29/03/2026</t>
        </is>
      </c>
      <c r="J4438" s="10" t="inlineStr">
        <is>
          <t>17/03/2026</t>
        </is>
      </c>
      <c r="K4438" s="10" t="inlineStr">
        <is>
          <t>N/A</t>
        </is>
      </c>
      <c r="L4438" s="10" t="inlineStr">
        <is>
          <t>English, HR Admin, HR Operations, Vietnam Labor Laws</t>
        </is>
      </c>
      <c r="M4438" s="10" t="inlineStr">
        <is>
          <t>Bonus, Healthcare Plan, Training, Mobile, Team Activities, Others</t>
        </is>
      </c>
      <c r="N4438" s="11">
        <f>HYPERLINK("https://www.vietnamworks.com/hr-operations-lead-2011882-jv","Xem chi tiết")</f>
        <v/>
      </c>
      <c r="O4438" s="10" t="n"/>
    </row>
    <row r="4439">
      <c r="B4439" s="7" t="n">
        <v>4437</v>
      </c>
      <c r="C4439" t="inlineStr">
        <is>
          <t>Chuyên Viên Phát Triển Sản Phẩm</t>
        </is>
      </c>
      <c r="D4439" t="inlineStr">
        <is>
          <t>Công ty Cổ phần Chứng khoán An Bình</t>
        </is>
      </c>
      <c r="E4439" t="inlineStr">
        <is>
          <t>Thương lượng</t>
        </is>
      </c>
      <c r="F4439" t="inlineStr">
        <is>
          <t>Hà Nội</t>
        </is>
      </c>
      <c r="G4439" t="inlineStr">
        <is>
          <t>Nhân viên</t>
        </is>
      </c>
      <c r="H4439" t="inlineStr">
        <is>
          <t>12/02/2026</t>
        </is>
      </c>
      <c r="I4439" t="inlineStr">
        <is>
          <t>29/03/2026</t>
        </is>
      </c>
      <c r="J4439" t="inlineStr">
        <is>
          <t>17/03/2026</t>
        </is>
      </c>
      <c r="K4439" t="inlineStr">
        <is>
          <t>N/A</t>
        </is>
      </c>
      <c r="L4439" t="inlineStr">
        <is>
          <t>Đầu Tư Chứng Khoán, Tài Chính Đầu Tư, Nghiên Cứu Sản Phẩm, Phát Triển Sản Phẩm, Chứng Khoán</t>
        </is>
      </c>
      <c r="M4439" t="inlineStr">
        <is>
          <t>Bonus, Healthcare Plan, Paid Leave</t>
        </is>
      </c>
      <c r="N4439" s="8">
        <f>HYPERLINK("https://www.vietnamworks.com/chuyen-vien-phat-trien-san-pham--2011886-jv","Xem chi tiết")</f>
        <v/>
      </c>
    </row>
    <row r="4440">
      <c r="B4440" s="9" t="n">
        <v>4438</v>
      </c>
      <c r="C4440" s="10" t="inlineStr">
        <is>
          <t>Giám Sát Kênh MT (MT Supervisor)</t>
        </is>
      </c>
      <c r="D4440" s="10" t="inlineStr">
        <is>
          <t>Perfetti Van Melle (Viet Nam) Limited</t>
        </is>
      </c>
      <c r="E4440" s="10" t="inlineStr">
        <is>
          <t>$$ 471-808 /tháng</t>
        </is>
      </c>
      <c r="F4440" s="10" t="inlineStr">
        <is>
          <t>Bình Dương</t>
        </is>
      </c>
      <c r="G4440" s="10" t="inlineStr">
        <is>
          <t>Trưởng phòng</t>
        </is>
      </c>
      <c r="H4440" s="10" t="inlineStr">
        <is>
          <t>12/02/2026</t>
        </is>
      </c>
      <c r="I4440" s="10" t="inlineStr">
        <is>
          <t>29/03/2026</t>
        </is>
      </c>
      <c r="J4440" s="10" t="inlineStr">
        <is>
          <t>17/03/2026</t>
        </is>
      </c>
      <c r="K4440" s="10" t="inlineStr">
        <is>
          <t>N/A</t>
        </is>
      </c>
      <c r="L4440" s="10" t="inlineStr">
        <is>
          <t>Kỹ năng giao tiếp, Làm Việc Nhóm, Quản Lý Bán Hàng, Thẩm Định Vấn Đề, Theo Dõi Doanh Thu</t>
        </is>
      </c>
      <c r="M4440" s="10" t="inlineStr">
        <is>
          <t>Bonus, Healthcare Plan, Team Activities, Others</t>
        </is>
      </c>
      <c r="N4440" s="11">
        <f>HYPERLINK("https://www.vietnamworks.com/giam-sat-kenh-mt-mt-supervisor-2011892-jv","Xem chi tiết")</f>
        <v/>
      </c>
      <c r="O4440" s="10" t="n"/>
    </row>
    <row r="4441">
      <c r="B4441" s="7" t="n">
        <v>4439</v>
      </c>
      <c r="C4441" t="inlineStr">
        <is>
          <t>Chuyên Viên Cao Cấp Quản Lý Tín Dụng Khách Hàng Doanh Nghiệp Lớn</t>
        </is>
      </c>
      <c r="D4441" t="inlineStr">
        <is>
          <t>Ngân hàng TMCP Đông Nam Á (SeABank)</t>
        </is>
      </c>
      <c r="E4441" t="inlineStr">
        <is>
          <t>Thương lượng</t>
        </is>
      </c>
      <c r="F4441" t="inlineStr">
        <is>
          <t>Hà Nội</t>
        </is>
      </c>
      <c r="G4441" t="inlineStr">
        <is>
          <t>Nhân viên</t>
        </is>
      </c>
      <c r="H4441" t="inlineStr">
        <is>
          <t>12/02/2026</t>
        </is>
      </c>
      <c r="I4441" t="inlineStr">
        <is>
          <t>29/03/2026</t>
        </is>
      </c>
      <c r="J4441" t="inlineStr">
        <is>
          <t>17/03/2026</t>
        </is>
      </c>
      <c r="K4441" t="inlineStr">
        <is>
          <t>N/A</t>
        </is>
      </c>
      <c r="L4441" t="inlineStr">
        <is>
          <t>Kiểm Soát Tuân Thủ, Phân Tích Tín Dụng, Quản Lý Khách Hàng, Quản Lý Tín Dụng, Tài Chính Ngân Hàng</t>
        </is>
      </c>
      <c r="M4441" t="inlineStr">
        <is>
          <t>Bonus, Healthcare Plan, Paid Leave, Training, Awards, Travel Opportunities, Others</t>
        </is>
      </c>
      <c r="N4441" s="8">
        <f>HYPERLINK("https://www.vietnamworks.com/chuyen-vien-cao-cap-quan-ly-tin-dung-khach-hang-doanh-nghiep-lon-2011887-jv","Xem chi tiết")</f>
        <v/>
      </c>
    </row>
    <row r="4442">
      <c r="B4442" s="9" t="n">
        <v>4440</v>
      </c>
      <c r="C4442" s="10" t="inlineStr">
        <is>
          <t>Trưởng Phòng Pháp Lý Dự Án</t>
        </is>
      </c>
      <c r="D4442" s="10" t="inlineStr">
        <is>
          <t>Mrs Hiệp - KHCN</t>
        </is>
      </c>
      <c r="E4442" s="10" t="inlineStr">
        <is>
          <t>Thương lượng</t>
        </is>
      </c>
      <c r="F4442" s="10" t="inlineStr">
        <is>
          <t>Hà Nội</t>
        </is>
      </c>
      <c r="G4442" s="10" t="inlineStr">
        <is>
          <t>Trưởng phòng</t>
        </is>
      </c>
      <c r="H4442" s="10" t="inlineStr">
        <is>
          <t>12/02/2026</t>
        </is>
      </c>
      <c r="I4442" s="10" t="inlineStr">
        <is>
          <t>29/03/2026</t>
        </is>
      </c>
      <c r="J4442" s="10" t="inlineStr">
        <is>
          <t>17/03/2026</t>
        </is>
      </c>
      <c r="K4442" s="10" t="inlineStr">
        <is>
          <t>N/A</t>
        </is>
      </c>
      <c r="L4442" s="10" t="inlineStr">
        <is>
          <t>Pháp Lý Dự Án, Bất Động Sản, Chuẩn Bị Hồ Sơ Pháp Lý, Real Estate Law, Kỹ năng văn phòng</t>
        </is>
      </c>
      <c r="M4442" s="10" t="inlineStr">
        <is>
          <t>Healthcare Plan, Training, Transportation</t>
        </is>
      </c>
      <c r="N4442" s="11">
        <f>HYPERLINK("https://www.vietnamworks.com/truong-phong-phap-ly-du-an--2011913-jv","Xem chi tiết")</f>
        <v/>
      </c>
      <c r="O4442" s="10" t="n"/>
    </row>
    <row r="4443">
      <c r="B4443" s="7" t="n">
        <v>4441</v>
      </c>
      <c r="C4443" t="inlineStr">
        <is>
          <t>Senior Digital Marketing &amp; Automation Lead</t>
        </is>
      </c>
      <c r="D4443" t="inlineStr">
        <is>
          <t>Apollo Education And Training Organization</t>
        </is>
      </c>
      <c r="E4443" t="inlineStr">
        <is>
          <t>Thương lượng</t>
        </is>
      </c>
      <c r="F4443" t="inlineStr">
        <is>
          <t>Hồ Chí Minh</t>
        </is>
      </c>
      <c r="G4443" t="inlineStr">
        <is>
          <t>Nhân viên</t>
        </is>
      </c>
      <c r="H4443" t="inlineStr">
        <is>
          <t>12/02/2026</t>
        </is>
      </c>
      <c r="I4443" t="inlineStr">
        <is>
          <t>29/03/2026</t>
        </is>
      </c>
      <c r="J4443" t="inlineStr">
        <is>
          <t>17/03/2026</t>
        </is>
      </c>
      <c r="K4443" t="inlineStr">
        <is>
          <t>N/A</t>
        </is>
      </c>
      <c r="L4443" t="inlineStr">
        <is>
          <t>Communication Skills, CRM Program Management, Data Analysis, Digital Marketing, Email Marketing</t>
        </is>
      </c>
      <c r="M4443" t="inlineStr">
        <is>
          <t>Healthcare Plan, Training, Laptop, Team Activities, Kindergarten, Others</t>
        </is>
      </c>
      <c r="N4443" s="8">
        <f>HYPERLINK("https://www.vietnamworks.com/senior-digital-marketing-and-automation-lead-2011905-jv","Xem chi tiết")</f>
        <v/>
      </c>
    </row>
    <row r="4444">
      <c r="B4444" s="9" t="n">
        <v>4442</v>
      </c>
      <c r="C4444" s="10" t="inlineStr">
        <is>
          <t>Senior Compensation Analyst</t>
        </is>
      </c>
      <c r="D4444" s="10" t="inlineStr">
        <is>
          <t>MiTek Việt Nam</t>
        </is>
      </c>
      <c r="E4444" s="10" t="inlineStr">
        <is>
          <t>Thương lượng</t>
        </is>
      </c>
      <c r="F4444" s="10" t="inlineStr">
        <is>
          <t>Hồ Chí Minh</t>
        </is>
      </c>
      <c r="G4444" s="10" t="inlineStr">
        <is>
          <t>Nhân viên</t>
        </is>
      </c>
      <c r="H4444" s="10" t="inlineStr">
        <is>
          <t>12/02/2026</t>
        </is>
      </c>
      <c r="I4444" s="10" t="inlineStr">
        <is>
          <t>29/03/2026</t>
        </is>
      </c>
      <c r="J4444" s="10" t="inlineStr">
        <is>
          <t>17/03/2026</t>
        </is>
      </c>
      <c r="K4444" s="10" t="inlineStr">
        <is>
          <t>N/A</t>
        </is>
      </c>
      <c r="L4444" s="10" t="inlineStr">
        <is>
          <t>Job Evaluation, Salary Benchmarking, Payroll, Human Resources (HR), Compensation &amp; Benefits</t>
        </is>
      </c>
      <c r="M4444" s="10" t="inlineStr">
        <is>
          <t>Bonus, Team Activities, Others</t>
        </is>
      </c>
      <c r="N4444" s="11">
        <f>HYPERLINK("https://www.vietnamworks.com/senior-compensation-analyst-2011916-jv","Xem chi tiết")</f>
        <v/>
      </c>
      <c r="O4444" s="10" t="n"/>
    </row>
    <row r="4445">
      <c r="B4445" s="7" t="n">
        <v>4443</v>
      </c>
      <c r="C4445" t="inlineStr">
        <is>
          <t>Marketing Staff</t>
        </is>
      </c>
      <c r="D4445" t="inlineStr">
        <is>
          <t>Công ty Cổ Phần Mecsu</t>
        </is>
      </c>
      <c r="E4445" t="inlineStr">
        <is>
          <t>10tr-16tr ₫/tháng</t>
        </is>
      </c>
      <c r="F4445" t="inlineStr">
        <is>
          <t>Hồ Chí Minh</t>
        </is>
      </c>
      <c r="G4445" t="inlineStr">
        <is>
          <t>Nhân viên</t>
        </is>
      </c>
      <c r="H4445" t="inlineStr">
        <is>
          <t>12/02/2026</t>
        </is>
      </c>
      <c r="I4445" t="inlineStr">
        <is>
          <t>29/03/2026</t>
        </is>
      </c>
      <c r="J4445" t="inlineStr">
        <is>
          <t>17/03/2026</t>
        </is>
      </c>
      <c r="K4445" t="inlineStr">
        <is>
          <t>N/A</t>
        </is>
      </c>
      <c r="L4445" t="inlineStr">
        <is>
          <t>Content Writing, Design tool, Facebook Ads, Google Ads, Video Editing</t>
        </is>
      </c>
      <c r="M4445" t="inlineStr">
        <is>
          <t>Bonus, Healthcare Plan, Team Activities, Others</t>
        </is>
      </c>
      <c r="N4445" s="8">
        <f>HYPERLINK("https://www.vietnamworks.com/marketing-staff-2011914-jv","Xem chi tiết")</f>
        <v/>
      </c>
    </row>
    <row r="4446">
      <c r="B4446" s="9" t="n">
        <v>4444</v>
      </c>
      <c r="C4446" s="10" t="inlineStr">
        <is>
          <t>Organizational Development and HRBP Manager</t>
        </is>
      </c>
      <c r="D4446" s="10" t="inlineStr">
        <is>
          <t>Amway Vietnam Co., Ltd.</t>
        </is>
      </c>
      <c r="E4446" s="10" t="inlineStr">
        <is>
          <t>Thương lượng</t>
        </is>
      </c>
      <c r="F4446" s="10" t="inlineStr">
        <is>
          <t>Hồ Chí Minh</t>
        </is>
      </c>
      <c r="G4446" s="10" t="inlineStr">
        <is>
          <t>Trưởng phòng</t>
        </is>
      </c>
      <c r="H4446" s="10" t="inlineStr">
        <is>
          <t>12/02/2026</t>
        </is>
      </c>
      <c r="I4446" s="10" t="inlineStr">
        <is>
          <t>29/03/2026</t>
        </is>
      </c>
      <c r="J4446" s="10" t="inlineStr">
        <is>
          <t>17/03/2026</t>
        </is>
      </c>
      <c r="K4446" s="10" t="inlineStr">
        <is>
          <t>N/A</t>
        </is>
      </c>
      <c r="L4446" s="10" t="inlineStr">
        <is>
          <t>English, HRBP, Learning And Development, Organizational Development, Talent Management</t>
        </is>
      </c>
      <c r="M4446" s="10" t="inlineStr">
        <is>
          <t>Bonus, Healthcare Plan, Team Activities, Vouchers</t>
        </is>
      </c>
      <c r="N4446" s="11">
        <f>HYPERLINK("https://www.vietnamworks.com/organizational-development-and-hrbp-manager-2011890-jv","Xem chi tiết")</f>
        <v/>
      </c>
      <c r="O4446" s="10" t="n"/>
    </row>
    <row r="4447">
      <c r="B4447" s="7" t="n">
        <v>4445</v>
      </c>
      <c r="C4447" t="inlineStr">
        <is>
          <t>Chuyên Viên Phụ Trách Sản Phẩm</t>
        </is>
      </c>
      <c r="D4447" t="inlineStr">
        <is>
          <t>CÔNG TY CỔ PHẦN ĐẦU TƯ GIẢI PHÁP Y TẾ HSI</t>
        </is>
      </c>
      <c r="E4447" t="inlineStr">
        <is>
          <t>Thương lượng</t>
        </is>
      </c>
      <c r="F4447" t="inlineStr">
        <is>
          <t>Hà Nội</t>
        </is>
      </c>
      <c r="G4447" t="inlineStr">
        <is>
          <t>Nhân viên</t>
        </is>
      </c>
      <c r="H4447" t="inlineStr">
        <is>
          <t>12/02/2026</t>
        </is>
      </c>
      <c r="I4447" t="inlineStr">
        <is>
          <t>29/03/2026</t>
        </is>
      </c>
      <c r="J4447" t="inlineStr">
        <is>
          <t>17/03/2026</t>
        </is>
      </c>
      <c r="K4447" t="inlineStr">
        <is>
          <t>N/A</t>
        </is>
      </c>
      <c r="L4447" t="inlineStr">
        <is>
          <t>Kỹ Thuật Y Sinh, Công Nghệ Sinh Học, Tiếng Anh, Thuyết Trình, Tư Vấn Sản Phẩm</t>
        </is>
      </c>
      <c r="M4447" t="inlineStr">
        <is>
          <t>Bonus, Healthcare Plan, Others</t>
        </is>
      </c>
      <c r="N4447" s="8">
        <f>HYPERLINK("https://www.vietnamworks.com/chuyen-vien-phu-trach-san-pham-2011900-jv","Xem chi tiết")</f>
        <v/>
      </c>
    </row>
    <row r="4448">
      <c r="B4448" s="9" t="n">
        <v>4446</v>
      </c>
      <c r="C4448" s="10" t="inlineStr">
        <is>
          <t>3D Character Modeler</t>
        </is>
      </c>
      <c r="D4448" s="10" t="inlineStr">
        <is>
          <t>Công ty TNHH NEXON Creative Studio VINA</t>
        </is>
      </c>
      <c r="E4448" s="10" t="inlineStr">
        <is>
          <t>Thương lượng</t>
        </is>
      </c>
      <c r="F4448" s="10" t="inlineStr">
        <is>
          <t>Hồ Chí Minh</t>
        </is>
      </c>
      <c r="G4448" s="10" t="inlineStr">
        <is>
          <t>Nhân viên</t>
        </is>
      </c>
      <c r="H4448" s="10" t="inlineStr">
        <is>
          <t>12/02/2026</t>
        </is>
      </c>
      <c r="I4448" s="10" t="inlineStr">
        <is>
          <t>29/03/2026</t>
        </is>
      </c>
      <c r="J4448" s="10" t="inlineStr">
        <is>
          <t>17/03/2026</t>
        </is>
      </c>
      <c r="K4448" s="10" t="inlineStr">
        <is>
          <t>N/A</t>
        </is>
      </c>
      <c r="L4448" s="10" t="inlineStr">
        <is>
          <t>3D Art, 3D Design, Game Art, Substance Painting, Unreal Engine</t>
        </is>
      </c>
      <c r="M4448" s="10" t="inlineStr">
        <is>
          <t>Bonus, Healthcare Plan, Travel Opportunities</t>
        </is>
      </c>
      <c r="N4448" s="11">
        <f>HYPERLINK("https://www.vietnamworks.com/3d-character-modeler--2011926-jv","Xem chi tiết")</f>
        <v/>
      </c>
      <c r="O4448" s="10" t="n"/>
    </row>
    <row r="4449">
      <c r="B4449" s="7" t="n">
        <v>4447</v>
      </c>
      <c r="C4449" t="inlineStr">
        <is>
          <t>Nhân Viên Kinh Doanh Mảng Vật Tư Tiêu Hao</t>
        </is>
      </c>
      <c r="D4449" t="inlineStr">
        <is>
          <t>CÔNG TY CỔ PHẦN ĐẦU TƯ GIẢI PHÁP Y TẾ HSI</t>
        </is>
      </c>
      <c r="E4449" t="inlineStr">
        <is>
          <t>Thương lượng</t>
        </is>
      </c>
      <c r="F4449" t="inlineStr">
        <is>
          <t>Hà Nội</t>
        </is>
      </c>
      <c r="G4449" t="inlineStr">
        <is>
          <t>Nhân viên</t>
        </is>
      </c>
      <c r="H4449" t="inlineStr">
        <is>
          <t>12/02/2026</t>
        </is>
      </c>
      <c r="I4449" t="inlineStr">
        <is>
          <t>29/03/2026</t>
        </is>
      </c>
      <c r="J4449" t="inlineStr">
        <is>
          <t>17/03/2026</t>
        </is>
      </c>
      <c r="K4449" t="inlineStr">
        <is>
          <t>N/A</t>
        </is>
      </c>
      <c r="L4449" t="inlineStr">
        <is>
          <t>Kinh Doanh Thiết Bị Y Tế, Định Vị Khách Hàng, Tiếp Thị Sản Phẩm, Tổ chức sự kiện, Giao Tiếp</t>
        </is>
      </c>
      <c r="M4449" t="inlineStr">
        <is>
          <t>Bonus, Others</t>
        </is>
      </c>
      <c r="N4449" s="8">
        <f>HYPERLINK("https://www.vietnamworks.com/nhan-vien-kinh-doanh-mang-vat-tu-tieu-hao-2011907-jv","Xem chi tiết")</f>
        <v/>
      </c>
    </row>
    <row r="4450">
      <c r="B4450" s="9" t="n">
        <v>4448</v>
      </c>
      <c r="C4450" s="10" t="inlineStr">
        <is>
          <t>Dealer Operation Improvement Senior Staff (Hanoi)</t>
        </is>
      </c>
      <c r="D4450" s="10" t="inlineStr">
        <is>
          <t>Hino Motors Vietnam, LTD.</t>
        </is>
      </c>
      <c r="E4450" s="10" t="inlineStr">
        <is>
          <t>Thương lượng</t>
        </is>
      </c>
      <c r="F4450" s="10" t="inlineStr">
        <is>
          <t>Hà Nội</t>
        </is>
      </c>
      <c r="G4450" s="10" t="inlineStr">
        <is>
          <t>Nhân viên</t>
        </is>
      </c>
      <c r="H4450" s="10" t="inlineStr">
        <is>
          <t>12/02/2026</t>
        </is>
      </c>
      <c r="I4450" s="10" t="inlineStr">
        <is>
          <t>29/03/2026</t>
        </is>
      </c>
      <c r="J4450" s="10" t="inlineStr">
        <is>
          <t>17/03/2026</t>
        </is>
      </c>
      <c r="K4450" s="10" t="inlineStr">
        <is>
          <t>N/A</t>
        </is>
      </c>
      <c r="L4450" s="10" t="inlineStr">
        <is>
          <t>Automotive, Operation Management, Dealer Management, Dealer Support, Phát Triển Đại Lý</t>
        </is>
      </c>
      <c r="M4450" s="10" t="inlineStr">
        <is>
          <t>Bonus, Healthcare Plan, Awards</t>
        </is>
      </c>
      <c r="N4450" s="11">
        <f>HYPERLINK("https://www.vietnamworks.com/dealer-operation-improvement-senior-staff-hanoi--2011906-jv","Xem chi tiết")</f>
        <v/>
      </c>
      <c r="O4450" s="10" t="n"/>
    </row>
    <row r="4451">
      <c r="B4451" s="7" t="n">
        <v>4449</v>
      </c>
      <c r="C4451" t="inlineStr">
        <is>
          <t>Trưởng Phòng Công Nghệ Thông Tin</t>
        </is>
      </c>
      <c r="D4451" t="inlineStr">
        <is>
          <t>Mrs Hiệp - KHCN</t>
        </is>
      </c>
      <c r="E4451" t="inlineStr">
        <is>
          <t>$$ 1,000-2,000 /tháng</t>
        </is>
      </c>
      <c r="F4451" t="inlineStr">
        <is>
          <t>Hà Nội</t>
        </is>
      </c>
      <c r="G4451" t="inlineStr">
        <is>
          <t>Trưởng phòng</t>
        </is>
      </c>
      <c r="H4451" t="inlineStr">
        <is>
          <t>12/02/2026</t>
        </is>
      </c>
      <c r="I4451" t="inlineStr">
        <is>
          <t>29/03/2026</t>
        </is>
      </c>
      <c r="J4451" t="inlineStr">
        <is>
          <t>17/03/2026</t>
        </is>
      </c>
      <c r="K4451" t="inlineStr">
        <is>
          <t>N/A</t>
        </is>
      </c>
      <c r="L4451" t="inlineStr">
        <is>
          <t>AI/ML, Data Analytics, Cloud, Data Science, Big Data</t>
        </is>
      </c>
      <c r="M4451" t="inlineStr">
        <is>
          <t>Healthcare Plan, Training, Transportation</t>
        </is>
      </c>
      <c r="N4451" s="8">
        <f>HYPERLINK("https://www.vietnamworks.com/truong-phong-cong-nghe-thong-tin--2011915-jv","Xem chi tiết")</f>
        <v/>
      </c>
    </row>
    <row r="4452">
      <c r="B4452" s="9" t="n">
        <v>4450</v>
      </c>
      <c r="C4452" s="10" t="inlineStr">
        <is>
          <t>Trưởng Phòng Phụ Trách Tổ Chức Vận Hành Dịch Vụ Khách Hàng</t>
        </is>
      </c>
      <c r="D4452" s="10" t="inlineStr">
        <is>
          <t>Công Ty Cổ Phần Tổng Công Ty Nova Service</t>
        </is>
      </c>
      <c r="E4452" s="10" t="inlineStr">
        <is>
          <t>Thương lượng</t>
        </is>
      </c>
      <c r="F4452" s="10" t="inlineStr">
        <is>
          <t>Hồ Chí Minh</t>
        </is>
      </c>
      <c r="G4452" s="10" t="inlineStr">
        <is>
          <t>Trưởng phòng</t>
        </is>
      </c>
      <c r="H4452" s="10" t="inlineStr">
        <is>
          <t>12/02/2026</t>
        </is>
      </c>
      <c r="I4452" s="10" t="inlineStr">
        <is>
          <t>29/03/2026</t>
        </is>
      </c>
      <c r="J4452" s="10" t="inlineStr">
        <is>
          <t>17/03/2026</t>
        </is>
      </c>
      <c r="K4452" s="10" t="inlineStr">
        <is>
          <t>N/A</t>
        </is>
      </c>
      <c r="L4452" s="10" t="inlineStr">
        <is>
          <t>Giao Tiếp, Quản Lý Chất Lượng, Quản Lý Nhà Hàng Khách Sạn, Quản Trị Kinh Doanh, Đào Tạo Nhân Sự</t>
        </is>
      </c>
      <c r="M4452" s="10" t="inlineStr">
        <is>
          <t>Bonus, Healthcare Plan, Paid Leave, Laptop, Vouchers</t>
        </is>
      </c>
      <c r="N4452" s="11">
        <f>HYPERLINK("https://www.vietnamworks.com/truong-phong-phu-trach-to-chuc-van-hanh-dich-vu-khach-hang-2011919-jv","Xem chi tiết")</f>
        <v/>
      </c>
      <c r="O4452" s="10" t="n"/>
    </row>
    <row r="4453">
      <c r="B4453" s="7" t="n">
        <v>4451</v>
      </c>
      <c r="C4453" t="inlineStr">
        <is>
          <t>CVCC/CVC/CV Quản Lý Kế Hoạch Kinh Doanh Khách Hàng Doanh Nghiệp Lớn</t>
        </is>
      </c>
      <c r="D4453" t="inlineStr">
        <is>
          <t>Ngân hàng TMCP Đông Nam Á (SeABank)</t>
        </is>
      </c>
      <c r="E4453" t="inlineStr">
        <is>
          <t>Thương lượng</t>
        </is>
      </c>
      <c r="F4453" t="inlineStr">
        <is>
          <t>Hà Nội</t>
        </is>
      </c>
      <c r="G4453" t="inlineStr">
        <is>
          <t>Nhân viên</t>
        </is>
      </c>
      <c r="H4453" t="inlineStr">
        <is>
          <t>12/02/2026</t>
        </is>
      </c>
      <c r="I4453" t="inlineStr">
        <is>
          <t>29/03/2026</t>
        </is>
      </c>
      <c r="J4453" t="inlineStr">
        <is>
          <t>17/03/2026</t>
        </is>
      </c>
      <c r="K4453" t="inlineStr">
        <is>
          <t>N/A</t>
        </is>
      </c>
      <c r="L4453" t="inlineStr">
        <is>
          <t>Banking Law, Dịch Vụ Ngân Hàng, Giao Tiếp, Phân Tích Dữ Liệu, Tài Chính Ngân Hàng</t>
        </is>
      </c>
      <c r="M4453" t="inlineStr">
        <is>
          <t>Bonus, Healthcare Plan, Paid Leave, Travel Opportunities, Others</t>
        </is>
      </c>
      <c r="N4453" s="8">
        <f>HYPERLINK("https://www.vietnamworks.com/cvcccvccv-quan-ly-ke-hoach-kinh-doanh-khach-hang-doanh-nghiep-lon-2011891-jv","Xem chi tiết")</f>
        <v/>
      </c>
    </row>
    <row r="4454">
      <c r="B4454" s="9" t="n">
        <v>4452</v>
      </c>
      <c r="C4454" s="10" t="inlineStr">
        <is>
          <t>Nhân Viên Quản Lý Đơn Hàng &amp; Hợp Đồng (Project Admin/purchasing)</t>
        </is>
      </c>
      <c r="D4454" s="10" t="inlineStr">
        <is>
          <t>Công Ty Cổ Phần Kiến Trúc Tư Vấn Quản Lý Đông Dương</t>
        </is>
      </c>
      <c r="E4454" s="10" t="inlineStr">
        <is>
          <t>Thương lượng</t>
        </is>
      </c>
      <c r="F4454" s="10" t="inlineStr">
        <is>
          <t>Hồ Chí Minh</t>
        </is>
      </c>
      <c r="G4454" s="10" t="inlineStr">
        <is>
          <t>Nhân viên</t>
        </is>
      </c>
      <c r="H4454" s="10" t="inlineStr">
        <is>
          <t>12/02/2026</t>
        </is>
      </c>
      <c r="I4454" s="10" t="inlineStr">
        <is>
          <t>29/03/2026</t>
        </is>
      </c>
      <c r="J4454" s="10" t="inlineStr">
        <is>
          <t>17/03/2026</t>
        </is>
      </c>
      <c r="K4454" s="10" t="inlineStr">
        <is>
          <t>N/A</t>
        </is>
      </c>
      <c r="L4454" s="10" t="inlineStr">
        <is>
          <t>Kinh Tế Xây Dựng, Hồ sơ nghiệm thu, Quản Lý Hợp Đồng, Project Control, Contract administration</t>
        </is>
      </c>
      <c r="M4454" s="10" t="inlineStr">
        <is>
          <t>Bonus, Healthcare Plan, Training, Others</t>
        </is>
      </c>
      <c r="N4454" s="11">
        <f>HYPERLINK("https://www.vietnamworks.com/nhan-vien-quan-ly-don-hang-hop-dong-project-admin-purchasing-2011921-jv","Xem chi tiết")</f>
        <v/>
      </c>
      <c r="O4454" s="10" t="n"/>
    </row>
    <row r="4455">
      <c r="B4455" s="7" t="n">
        <v>4453</v>
      </c>
      <c r="C4455" t="inlineStr">
        <is>
          <t>Regulatory &amp; Advocacy Specialist - Public Affairs Team</t>
        </is>
      </c>
      <c r="D4455" t="inlineStr">
        <is>
          <t>MUFG Bank, Ltd., Hanoi Branch</t>
        </is>
      </c>
      <c r="E4455" t="inlineStr">
        <is>
          <t>Thương lượng</t>
        </is>
      </c>
      <c r="F4455" t="inlineStr">
        <is>
          <t>Hà Nội</t>
        </is>
      </c>
      <c r="G4455" t="inlineStr">
        <is>
          <t>Nhân viên</t>
        </is>
      </c>
      <c r="H4455" t="inlineStr">
        <is>
          <t>12/02/2026</t>
        </is>
      </c>
      <c r="I4455" t="inlineStr">
        <is>
          <t>29/03/2026</t>
        </is>
      </c>
      <c r="J4455" t="inlineStr">
        <is>
          <t>17/03/2026</t>
        </is>
      </c>
      <c r="K4455" t="inlineStr">
        <is>
          <t>N/A</t>
        </is>
      </c>
      <c r="L4455" t="inlineStr">
        <is>
          <t>Relationship Building, Regulatory Management, Goverment Relations, Public Policy, Regulatory Affairs (RA)</t>
        </is>
      </c>
      <c r="M4455" t="inlineStr">
        <is>
          <t>Healthcare Plan, Paid Leave, Laptop</t>
        </is>
      </c>
      <c r="N4455" s="8">
        <f>HYPERLINK("https://www.vietnamworks.com/regulatory-advocacy-specialist-public-affairs-team-2011909-jv","Xem chi tiết")</f>
        <v/>
      </c>
    </row>
    <row r="4456">
      <c r="B4456" s="9" t="n">
        <v>4454</v>
      </c>
      <c r="C4456" s="10" t="inlineStr">
        <is>
          <t>Nhân Viên Marketing Planner (Game)</t>
        </is>
      </c>
      <c r="D4456" s="10" t="inlineStr">
        <is>
          <t>VTC Online</t>
        </is>
      </c>
      <c r="E4456" s="10" t="inlineStr">
        <is>
          <t>400-700 ₫/tháng</t>
        </is>
      </c>
      <c r="F4456" s="10" t="inlineStr">
        <is>
          <t>Hà Nội</t>
        </is>
      </c>
      <c r="G4456" s="10" t="inlineStr">
        <is>
          <t>Nhân viên</t>
        </is>
      </c>
      <c r="H4456" s="10" t="inlineStr">
        <is>
          <t>12/02/2026</t>
        </is>
      </c>
      <c r="I4456" s="10" t="inlineStr">
        <is>
          <t>29/03/2026</t>
        </is>
      </c>
      <c r="J4456" s="10" t="inlineStr">
        <is>
          <t>17/03/2026</t>
        </is>
      </c>
      <c r="K4456" s="10" t="inlineStr">
        <is>
          <t>N/A</t>
        </is>
      </c>
      <c r="L4456" s="10" t="inlineStr">
        <is>
          <t>Content Marketing, Chiến Lược Truyền Thông, Brand Marketing, Marketing Planning, Game Industry</t>
        </is>
      </c>
      <c r="M4456" s="10" t="inlineStr">
        <is>
          <t>Bonus, Healthcare Plan, Laptop</t>
        </is>
      </c>
      <c r="N4456" s="11">
        <f>HYPERLINK("https://www.vietnamworks.com/nhan-vien-marketing-planner-game-2011901-jv","Xem chi tiết")</f>
        <v/>
      </c>
      <c r="O4456" s="10" t="n"/>
    </row>
    <row r="4457">
      <c r="B4457" s="7" t="n">
        <v>4455</v>
      </c>
      <c r="C4457" t="inlineStr">
        <is>
          <t>Kế Toán Trưởng (Lĩnh Vực Công Ty/ CĐT BĐS hoặc Đa Ngành)</t>
        </is>
      </c>
      <c r="D4457" t="inlineStr">
        <is>
          <t>Mrs Hiệp - KHCN</t>
        </is>
      </c>
      <c r="E4457" t="inlineStr">
        <is>
          <t>2,000-3,000 ₫/tháng</t>
        </is>
      </c>
      <c r="F4457" t="inlineStr">
        <is>
          <t>Hà Nội</t>
        </is>
      </c>
      <c r="G4457" t="inlineStr">
        <is>
          <t>Giám Đốc và Cấp Cao Hơn</t>
        </is>
      </c>
      <c r="H4457" t="inlineStr">
        <is>
          <t>12/02/2026</t>
        </is>
      </c>
      <c r="I4457" t="inlineStr">
        <is>
          <t>29/03/2026</t>
        </is>
      </c>
      <c r="J4457" t="inlineStr">
        <is>
          <t>17/03/2026</t>
        </is>
      </c>
      <c r="K4457" t="inlineStr">
        <is>
          <t>N/A</t>
        </is>
      </c>
      <c r="L4457" t="inlineStr">
        <is>
          <t>Chief Accountant Certificate, Phần Mềm Kế Toán, Quản Lý Thu Chi, Quản Lý Điều Hành, Kế Toán</t>
        </is>
      </c>
      <c r="M4457" t="inlineStr">
        <is>
          <t>Healthcare Plan, Training, Transportation</t>
        </is>
      </c>
      <c r="N4457" s="8">
        <f>HYPERLINK("https://www.vietnamworks.com/ke-toan-truong-linh-vuc-cong-ty-cdt-bds-hoac-da-nganh-2011917-jv","Xem chi tiết")</f>
        <v/>
      </c>
    </row>
    <row r="4458">
      <c r="B4458" s="9" t="n">
        <v>4456</v>
      </c>
      <c r="C4458" s="10" t="inlineStr">
        <is>
          <t>Personal Care Vietnam R&amp;D Manager</t>
        </is>
      </c>
      <c r="D4458" s="10" t="inlineStr">
        <is>
          <t>Unilever Vietnam</t>
        </is>
      </c>
      <c r="E4458" s="10" t="inlineStr">
        <is>
          <t>Thương lượng</t>
        </is>
      </c>
      <c r="F4458" s="10" t="inlineStr">
        <is>
          <t>Hồ Chí Minh</t>
        </is>
      </c>
      <c r="G4458" s="10" t="inlineStr">
        <is>
          <t>Trưởng phòng</t>
        </is>
      </c>
      <c r="H4458" s="10" t="inlineStr">
        <is>
          <t>12/02/2026</t>
        </is>
      </c>
      <c r="I4458" s="10" t="inlineStr">
        <is>
          <t>29/03/2026</t>
        </is>
      </c>
      <c r="J4458" s="10" t="inlineStr">
        <is>
          <t>17/03/2026</t>
        </is>
      </c>
      <c r="K4458" s="10" t="inlineStr">
        <is>
          <t>N/A</t>
        </is>
      </c>
      <c r="L4458" s="10" t="inlineStr">
        <is>
          <t>Innovation Management, R&amp;D Environment, Consumer Goods, English Conversation</t>
        </is>
      </c>
      <c r="M4458" s="10" t="inlineStr">
        <is>
          <t>Bonus, Healthcare Plan</t>
        </is>
      </c>
      <c r="N4458" s="11">
        <f>HYPERLINK("https://www.vietnamworks.com/personal-care-vietnam-randd-manager-2011912-jv","Xem chi tiết")</f>
        <v/>
      </c>
      <c r="O4458" s="10" t="n"/>
    </row>
    <row r="4459">
      <c r="B4459" s="7" t="n">
        <v>4457</v>
      </c>
      <c r="C4459" t="inlineStr">
        <is>
          <t>Chuyên Viên Phát Triển Kinh Doanh Mảng Game Tiếng Trung</t>
        </is>
      </c>
      <c r="D4459" t="inlineStr">
        <is>
          <t>VTC Online</t>
        </is>
      </c>
      <c r="E4459" t="inlineStr">
        <is>
          <t>Thương lượng</t>
        </is>
      </c>
      <c r="F4459" t="inlineStr">
        <is>
          <t>Hà Nội</t>
        </is>
      </c>
      <c r="G4459" t="inlineStr">
        <is>
          <t>Nhân viên</t>
        </is>
      </c>
      <c r="H4459" t="inlineStr">
        <is>
          <t>12/02/2026</t>
        </is>
      </c>
      <c r="I4459" t="inlineStr">
        <is>
          <t>29/03/2026</t>
        </is>
      </c>
      <c r="J4459" t="inlineStr">
        <is>
          <t>17/03/2026</t>
        </is>
      </c>
      <c r="K4459" t="inlineStr">
        <is>
          <t>N/A</t>
        </is>
      </c>
      <c r="L4459" t="inlineStr">
        <is>
          <t>Game Industry, Game Sourcing, HSK 5, Game Publishing, Market Research</t>
        </is>
      </c>
      <c r="M4459" t="inlineStr">
        <is>
          <t>Bonus, Healthcare Plan, Laptop</t>
        </is>
      </c>
      <c r="N4459" s="8">
        <f>HYPERLINK("https://www.vietnamworks.com/chuyen-vien-phat-trien-kinh-doanh-mang-game-tieng-trung-2011903-jv","Xem chi tiết")</f>
        <v/>
      </c>
    </row>
    <row r="4460">
      <c r="B4460" s="9" t="n">
        <v>4458</v>
      </c>
      <c r="C4460" s="10" t="inlineStr">
        <is>
          <t>Quản Lý Kinh Doanh (Sales Manager) Vietcombank Fund Management</t>
        </is>
      </c>
      <c r="D4460" s="10" t="inlineStr">
        <is>
          <t>Công Ty TNHH Quản lý Quỹ Đầu tư Chứng khoán Vietcombank</t>
        </is>
      </c>
      <c r="E4460" s="10" t="inlineStr">
        <is>
          <t>Thương lượng</t>
        </is>
      </c>
      <c r="F4460" s="10" t="inlineStr">
        <is>
          <t>Hà Nội, Hồ Chí Minh</t>
        </is>
      </c>
      <c r="G4460" s="10" t="inlineStr">
        <is>
          <t>Nhân viên</t>
        </is>
      </c>
      <c r="H4460" s="10" t="inlineStr">
        <is>
          <t>12/02/2026</t>
        </is>
      </c>
      <c r="I4460" s="10" t="inlineStr">
        <is>
          <t>29/03/2026</t>
        </is>
      </c>
      <c r="J4460" s="10" t="inlineStr">
        <is>
          <t>17/03/2026</t>
        </is>
      </c>
      <c r="K4460" s="10" t="inlineStr">
        <is>
          <t>N/A</t>
        </is>
      </c>
      <c r="L4460" s="10" t="inlineStr">
        <is>
          <t>Kỹ năng bán hàng, Luật Tài Chính, Quản Lý Kênh Bán Hàng, Sáng Tạo, Đào Tạo Đội Nhóm</t>
        </is>
      </c>
      <c r="M4460" s="10" t="inlineStr">
        <is>
          <t>Bonus, Healthcare Plan, Paid Leave, Laptop, Travel Opportunities</t>
        </is>
      </c>
      <c r="N4460" s="11">
        <f>HYPERLINK("https://www.vietnamworks.com/quan-ly-kinh-doanh-sales-manager-vietcombank-fund-management-2011928-jv","Xem chi tiết")</f>
        <v/>
      </c>
      <c r="O4460" s="10" t="n"/>
    </row>
    <row r="4461">
      <c r="B4461" s="7" t="n">
        <v>4459</v>
      </c>
      <c r="C4461" t="inlineStr">
        <is>
          <t>Production Supervisor (Plating)</t>
        </is>
      </c>
      <c r="D4461" t="inlineStr">
        <is>
          <t>Molex Vietnam Co., Ltd.</t>
        </is>
      </c>
      <c r="E4461" t="inlineStr">
        <is>
          <t>Thương lượng</t>
        </is>
      </c>
      <c r="F4461" t="inlineStr">
        <is>
          <t>Hà Nội, Hưng Yên</t>
        </is>
      </c>
      <c r="G4461" t="inlineStr">
        <is>
          <t>Nhân viên</t>
        </is>
      </c>
      <c r="H4461" t="inlineStr">
        <is>
          <t>12/02/2026</t>
        </is>
      </c>
      <c r="I4461" t="inlineStr">
        <is>
          <t>29/03/2026</t>
        </is>
      </c>
      <c r="J4461" t="inlineStr">
        <is>
          <t>17/03/2026</t>
        </is>
      </c>
      <c r="K4461" t="inlineStr">
        <is>
          <t>N/A</t>
        </is>
      </c>
      <c r="L4461" t="inlineStr">
        <is>
          <t>Data-Driven, Electroplating, Leadership Skills, Manufacture Process, Problem-solving</t>
        </is>
      </c>
      <c r="M4461" t="inlineStr">
        <is>
          <t>Healthcare Plan, Transportation, Others</t>
        </is>
      </c>
      <c r="N4461" s="8">
        <f>HYPERLINK("https://www.vietnamworks.com/production-supervisor-plating-2011930-jv","Xem chi tiết")</f>
        <v/>
      </c>
    </row>
    <row r="4462">
      <c r="B4462" s="9" t="n">
        <v>4460</v>
      </c>
      <c r="C4462" s="10" t="inlineStr">
        <is>
          <t>Senior Global Supply Planner</t>
        </is>
      </c>
      <c r="D4462" s="10" t="inlineStr">
        <is>
          <t>VF Asia Ltd.</t>
        </is>
      </c>
      <c r="E4462" s="10" t="inlineStr">
        <is>
          <t>Thương lượng</t>
        </is>
      </c>
      <c r="F4462" s="10" t="inlineStr">
        <is>
          <t>Hồ Chí Minh</t>
        </is>
      </c>
      <c r="G4462" s="10" t="inlineStr">
        <is>
          <t>Nhân viên</t>
        </is>
      </c>
      <c r="H4462" s="10" t="inlineStr">
        <is>
          <t>12/02/2026</t>
        </is>
      </c>
      <c r="I4462" s="10" t="inlineStr">
        <is>
          <t>29/03/2026</t>
        </is>
      </c>
      <c r="J4462" s="10" t="inlineStr">
        <is>
          <t>17/03/2026</t>
        </is>
      </c>
      <c r="K4462" s="10" t="inlineStr">
        <is>
          <t>N/A</t>
        </is>
      </c>
      <c r="L4462" s="10" t="inlineStr">
        <is>
          <t>Analytical Skills, Supply Chain Management, Communication, Microsoft Excel, Project Management</t>
        </is>
      </c>
      <c r="M4462" s="10" t="inlineStr">
        <is>
          <t>Bonus</t>
        </is>
      </c>
      <c r="N4462" s="11">
        <f>HYPERLINK("https://www.vietnamworks.com/senior-global-supply-planner--2011935-jv","Xem chi tiết")</f>
        <v/>
      </c>
      <c r="O4462" s="10" t="n"/>
    </row>
    <row r="4463">
      <c r="B4463" s="7" t="n">
        <v>4461</v>
      </c>
      <c r="C4463" t="inlineStr">
        <is>
          <t>Production Supervisor (Stamping)</t>
        </is>
      </c>
      <c r="D4463" t="inlineStr">
        <is>
          <t>Molex Vietnam Co., Ltd.</t>
        </is>
      </c>
      <c r="E4463" t="inlineStr">
        <is>
          <t>Thương lượng</t>
        </is>
      </c>
      <c r="F4463" t="inlineStr">
        <is>
          <t>Hà Nội, Hưng Yên</t>
        </is>
      </c>
      <c r="G4463" t="inlineStr">
        <is>
          <t>Nhân viên</t>
        </is>
      </c>
      <c r="H4463" t="inlineStr">
        <is>
          <t>12/02/2026</t>
        </is>
      </c>
      <c r="I4463" t="inlineStr">
        <is>
          <t>29/03/2026</t>
        </is>
      </c>
      <c r="J4463" t="inlineStr">
        <is>
          <t>17/03/2026</t>
        </is>
      </c>
      <c r="K4463" t="inlineStr">
        <is>
          <t>N/A</t>
        </is>
      </c>
      <c r="L4463" t="inlineStr">
        <is>
          <t>Interpersonal Skills, Problem-solving, Production Management, Production System, Training Development</t>
        </is>
      </c>
      <c r="M4463" t="inlineStr">
        <is>
          <t>Bonus, Healthcare Plan, Paid Leave, Team Activities, Transportation, Others</t>
        </is>
      </c>
      <c r="N4463" s="8">
        <f>HYPERLINK("https://www.vietnamworks.com/production-supervisor-stamping-2011931-jv","Xem chi tiết")</f>
        <v/>
      </c>
    </row>
    <row r="4464">
      <c r="B4464" s="9" t="n">
        <v>4462</v>
      </c>
      <c r="C4464" s="10" t="inlineStr">
        <is>
          <t>Trưởng Phòng Kinh Doanh VCBF – Vietcombank Fund Management</t>
        </is>
      </c>
      <c r="D4464" s="10" t="inlineStr">
        <is>
          <t>Công Ty TNHH Quản lý Quỹ Đầu tư Chứng khoán Vietcombank</t>
        </is>
      </c>
      <c r="E4464" s="10" t="inlineStr">
        <is>
          <t>Thương lượng</t>
        </is>
      </c>
      <c r="F4464" s="10" t="inlineStr">
        <is>
          <t>Hồ Chí Minh</t>
        </is>
      </c>
      <c r="G4464" s="10" t="inlineStr">
        <is>
          <t>Trưởng phòng</t>
        </is>
      </c>
      <c r="H4464" s="10" t="inlineStr">
        <is>
          <t>12/02/2026</t>
        </is>
      </c>
      <c r="I4464" s="10" t="inlineStr">
        <is>
          <t>29/03/2026</t>
        </is>
      </c>
      <c r="J4464" s="10" t="inlineStr">
        <is>
          <t>17/03/2026</t>
        </is>
      </c>
      <c r="K4464" s="10" t="inlineStr">
        <is>
          <t>N/A</t>
        </is>
      </c>
      <c r="L4464" s="10" t="inlineStr">
        <is>
          <t>Kiến thức thị trường, Thiết Lập Đội Ngũ Bán Hàng, Xây Dựng Kế Hoạch, Đào Tạo Và Trình Bày, Sáng Tạo Và Tổ Chức</t>
        </is>
      </c>
      <c r="M4464" s="10" t="inlineStr">
        <is>
          <t>Bonus, Healthcare Plan, Paid Leave, Laptop, Travel Opportunities</t>
        </is>
      </c>
      <c r="N4464" s="11">
        <f>HYPERLINK("https://www.vietnamworks.com/truong-phong-kinh-doanh-vcbf-vietcombank-fund-management-2011927-jv","Xem chi tiết")</f>
        <v/>
      </c>
      <c r="O4464" s="10" t="n"/>
    </row>
    <row r="4465">
      <c r="B4465" s="7" t="n">
        <v>4463</v>
      </c>
      <c r="C4465" t="inlineStr">
        <is>
          <t>Chuyên Viên Giám Sát Hành Trình Bán Hàng - Khối Khách Hàng Cá Nhân</t>
        </is>
      </c>
      <c r="D4465" t="inlineStr">
        <is>
          <t>Ngân hàng TMCP Đông Nam Á (SeABank)</t>
        </is>
      </c>
      <c r="E4465" t="inlineStr">
        <is>
          <t>Thương lượng</t>
        </is>
      </c>
      <c r="F4465" t="inlineStr">
        <is>
          <t>Hà Nội</t>
        </is>
      </c>
      <c r="G4465" t="inlineStr">
        <is>
          <t>Nhân viên</t>
        </is>
      </c>
      <c r="H4465" t="inlineStr">
        <is>
          <t>12/02/2026</t>
        </is>
      </c>
      <c r="I4465" t="inlineStr">
        <is>
          <t>29/03/2026</t>
        </is>
      </c>
      <c r="J4465" t="inlineStr">
        <is>
          <t>17/03/2026</t>
        </is>
      </c>
      <c r="K4465" t="inlineStr">
        <is>
          <t>N/A</t>
        </is>
      </c>
      <c r="L4465" t="inlineStr">
        <is>
          <t>Core Banking, Dịch Vụ Ngân Hàng, Kiểm Soát Tuân Thủ, Phân Tích Đánh Giá, Tin Học Văn Phòng</t>
        </is>
      </c>
      <c r="M4465" t="inlineStr">
        <is>
          <t>Bonus, Healthcare Plan, Paid Leave, Training, Awards, Mobile, Travel Opportunities, Transportation, Others</t>
        </is>
      </c>
      <c r="N4465" s="8">
        <f>HYPERLINK("https://www.vietnamworks.com/chuyen-vien-giam-sat-hanh-trinh-ban-hang-khoi-khach-hang-ca-nhan-2011889-jv","Xem chi tiết")</f>
        <v/>
      </c>
    </row>
    <row r="4466">
      <c r="B4466" s="9" t="n">
        <v>4464</v>
      </c>
      <c r="C4466" s="10" t="inlineStr">
        <is>
          <t>Chuyên Viên Kinh Doanh B2B (Lĩnh Vực Chất Độn Ngành Nhựa)</t>
        </is>
      </c>
      <c r="D4466" s="10" t="inlineStr">
        <is>
          <t>Công Ty Cổ Phần Nhựa Á Đông (Adc Plastic., Jsc)</t>
        </is>
      </c>
      <c r="E4466" s="10" t="inlineStr">
        <is>
          <t>$$ 700-2,000 /tháng</t>
        </is>
      </c>
      <c r="F4466" s="10" t="inlineStr">
        <is>
          <t>Hồ Chí Minh, Hà Nội, Hưng Yên</t>
        </is>
      </c>
      <c r="G4466" s="10" t="inlineStr">
        <is>
          <t>Nhân viên</t>
        </is>
      </c>
      <c r="H4466" s="10" t="inlineStr">
        <is>
          <t>24/02/2026</t>
        </is>
      </c>
      <c r="I4466" s="10" t="inlineStr">
        <is>
          <t>29/03/2026</t>
        </is>
      </c>
      <c r="J4466" s="10" t="inlineStr">
        <is>
          <t>17/03/2026</t>
        </is>
      </c>
      <c r="K4466" s="10" t="inlineStr">
        <is>
          <t>N/A</t>
        </is>
      </c>
      <c r="L4466" s="10" t="inlineStr">
        <is>
          <t>Plastic Business, Filler masterbatch, Taical, Nhựa nguyên sinh, Color masterbatch</t>
        </is>
      </c>
      <c r="M4466" s="10" t="inlineStr">
        <is>
          <t>Bonus, Travel Opportunities, Others</t>
        </is>
      </c>
      <c r="N4466" s="11">
        <f>HYPERLINK("https://www.vietnamworks.com/chuyen-vien-kinh-doanh-b2b-linh-vuc-chat-don-nganh-nhua-2012883-jv","Xem chi tiết")</f>
        <v/>
      </c>
      <c r="O4466" s="10" t="n"/>
    </row>
    <row r="4467">
      <c r="B4467" s="7" t="n">
        <v>4465</v>
      </c>
      <c r="C4467" t="inlineStr">
        <is>
          <t>Financial Planning and Analysis Executive</t>
        </is>
      </c>
      <c r="D4467" t="inlineStr">
        <is>
          <t>CÔNG TY CỔ PHẦN MORINAGA NUTRITIONAL FOODS VIỆT NAM</t>
        </is>
      </c>
      <c r="E4467" t="inlineStr">
        <is>
          <t>22tr-28tr ₫/tháng</t>
        </is>
      </c>
      <c r="F4467" t="inlineStr">
        <is>
          <t>Hà Nội, Thái Nguyên</t>
        </is>
      </c>
      <c r="G4467" t="inlineStr">
        <is>
          <t>Nhân viên</t>
        </is>
      </c>
      <c r="H4467" t="inlineStr">
        <is>
          <t>12/02/2026</t>
        </is>
      </c>
      <c r="I4467" t="inlineStr">
        <is>
          <t>29/03/2026</t>
        </is>
      </c>
      <c r="J4467" t="inlineStr">
        <is>
          <t>17/03/2026</t>
        </is>
      </c>
      <c r="K4467" t="inlineStr">
        <is>
          <t>N/A</t>
        </is>
      </c>
      <c r="L4467" t="inlineStr">
        <is>
          <t>Data Analysis, Business Intelligence, Fmcg Management, Manufacturing</t>
        </is>
      </c>
      <c r="M4467" t="inlineStr">
        <is>
          <t>Bonus, Laptop, Others</t>
        </is>
      </c>
      <c r="N4467" s="8">
        <f>HYPERLINK("https://www.vietnamworks.com/financial-planning-and-analysis-executive--2011937-jv","Xem chi tiết")</f>
        <v/>
      </c>
    </row>
    <row r="4468">
      <c r="B4468" s="9" t="n">
        <v>4466</v>
      </c>
      <c r="C4468" s="10" t="inlineStr">
        <is>
          <t>OEM Copacking Manager</t>
        </is>
      </c>
      <c r="D4468" s="10" t="inlineStr">
        <is>
          <t>CÔNG TY CỔ PHẦN MORINAGA NUTRITIONAL FOODS VIỆT NAM</t>
        </is>
      </c>
      <c r="E4468" s="10" t="inlineStr">
        <is>
          <t>50tr-63tr ₫/tháng</t>
        </is>
      </c>
      <c r="F4468" s="10" t="inlineStr">
        <is>
          <t>Hà Nội</t>
        </is>
      </c>
      <c r="G4468" s="10" t="inlineStr">
        <is>
          <t>Trưởng phòng</t>
        </is>
      </c>
      <c r="H4468" s="10" t="inlineStr">
        <is>
          <t>12/02/2026</t>
        </is>
      </c>
      <c r="I4468" s="10" t="inlineStr">
        <is>
          <t>29/03/2026</t>
        </is>
      </c>
      <c r="J4468" s="10" t="inlineStr">
        <is>
          <t>17/03/2026</t>
        </is>
      </c>
      <c r="K4468" s="10" t="inlineStr">
        <is>
          <t>N/A</t>
        </is>
      </c>
      <c r="L4468" s="10" t="inlineStr">
        <is>
          <t>Sales B2B, FMCG &amp; Manufacturing, F&amp;B, OEM Management, Business Development</t>
        </is>
      </c>
      <c r="M4468" s="10" t="inlineStr">
        <is>
          <t>Bonus, Laptop, Others</t>
        </is>
      </c>
      <c r="N4468" s="11">
        <f>HYPERLINK("https://www.vietnamworks.com/oem-copacking-manager-2011934-jv","Xem chi tiết")</f>
        <v/>
      </c>
      <c r="O4468" s="10" t="n"/>
    </row>
    <row r="4469">
      <c r="B4469" s="7" t="n">
        <v>4467</v>
      </c>
      <c r="C4469" t="inlineStr">
        <is>
          <t>Kế Toán Tổng Hợp (Thu Nhập 18-25M)</t>
        </is>
      </c>
      <c r="D4469" t="inlineStr">
        <is>
          <t>Cong ty TNHH KIAN VIET NAM</t>
        </is>
      </c>
      <c r="E4469" t="inlineStr">
        <is>
          <t>18tr-25tr ₫/tháng</t>
        </is>
      </c>
      <c r="F4469" t="inlineStr">
        <is>
          <t>Hà Nội</t>
        </is>
      </c>
      <c r="G4469" t="inlineStr">
        <is>
          <t>Nhân viên</t>
        </is>
      </c>
      <c r="H4469" t="inlineStr">
        <is>
          <t>24/02/2026</t>
        </is>
      </c>
      <c r="I4469" t="inlineStr">
        <is>
          <t>29/03/2026</t>
        </is>
      </c>
      <c r="J4469" t="inlineStr">
        <is>
          <t>17/03/2026</t>
        </is>
      </c>
      <c r="K4469" t="inlineStr">
        <is>
          <t>N/A</t>
        </is>
      </c>
      <c r="L4469" t="inlineStr">
        <is>
          <t>Kế Toán Tổng Hợp, Kế Toán, General Accounting Principals, General Accountant Experience, Kế Toán Báo Cáo</t>
        </is>
      </c>
      <c r="M4469" t="inlineStr">
        <is>
          <t>Paid Leave</t>
        </is>
      </c>
      <c r="N4469" s="8">
        <f>HYPERLINK("https://www.vietnamworks.com/ke-toan-tong-hop-thu-nhap-18-25m-2012736-jv","Xem chi tiết")</f>
        <v/>
      </c>
    </row>
    <row r="4470">
      <c r="B4470" s="9" t="n">
        <v>4468</v>
      </c>
      <c r="C4470" s="10" t="inlineStr">
        <is>
          <t>Nhân Viên Kế Toán</t>
        </is>
      </c>
      <c r="D4470" s="10" t="inlineStr">
        <is>
          <t>Công ty TNHH Dịch vụ tư vấn Thuận Phát VN</t>
        </is>
      </c>
      <c r="E4470" s="10" t="inlineStr">
        <is>
          <t>10tr-15tr ₫/tháng</t>
        </is>
      </c>
      <c r="F4470" s="10" t="inlineStr">
        <is>
          <t>Hồ Chí Minh</t>
        </is>
      </c>
      <c r="G4470" s="10" t="inlineStr">
        <is>
          <t>Nhân viên</t>
        </is>
      </c>
      <c r="H4470" s="10" t="inlineStr">
        <is>
          <t>12/02/2026</t>
        </is>
      </c>
      <c r="I4470" s="10" t="inlineStr">
        <is>
          <t>29/03/2026</t>
        </is>
      </c>
      <c r="J4470" s="10" t="inlineStr">
        <is>
          <t>17/03/2026</t>
        </is>
      </c>
      <c r="K4470" s="10" t="inlineStr">
        <is>
          <t>N/A</t>
        </is>
      </c>
      <c r="L4470" s="10" t="inlineStr">
        <is>
          <t>Kê Khai Thuế, Kế Toán, Kiểm Toán, Tài Chính, Trách Nhiệm</t>
        </is>
      </c>
      <c r="M4470" s="10" t="inlineStr">
        <is>
          <t>Bonus, Healthcare Plan, Training, Travel Opportunities, Others</t>
        </is>
      </c>
      <c r="N4470" s="11">
        <f>HYPERLINK("https://www.vietnamworks.com/nhan-vien-ke-toan-2011939-jv","Xem chi tiết")</f>
        <v/>
      </c>
      <c r="O4470" s="10" t="n"/>
    </row>
    <row r="4471">
      <c r="B4471" s="7" t="n">
        <v>4469</v>
      </c>
      <c r="C4471" t="inlineStr">
        <is>
          <t>Deputy Finance &amp; Accounting Manager</t>
        </is>
      </c>
      <c r="D4471" t="inlineStr">
        <is>
          <t>LOTUS GROUP - LOTUS RICE</t>
        </is>
      </c>
      <c r="E4471" t="inlineStr">
        <is>
          <t>Thương lượng</t>
        </is>
      </c>
      <c r="F4471" t="inlineStr">
        <is>
          <t>Hồ Chí Minh</t>
        </is>
      </c>
      <c r="G4471" t="inlineStr">
        <is>
          <t>Trưởng phòng</t>
        </is>
      </c>
      <c r="H4471" t="inlineStr">
        <is>
          <t>24/02/2026</t>
        </is>
      </c>
      <c r="I4471" t="inlineStr">
        <is>
          <t>29/03/2026</t>
        </is>
      </c>
      <c r="J4471" t="inlineStr">
        <is>
          <t>17/03/2026</t>
        </is>
      </c>
      <c r="K4471" t="inlineStr">
        <is>
          <t>N/A</t>
        </is>
      </c>
      <c r="L4471" t="inlineStr">
        <is>
          <t>Tài Chính, Kiểm Toán, Kế Toán, Finance, Chief Accountant Certificate</t>
        </is>
      </c>
      <c r="M4471" t="inlineStr">
        <is>
          <t>Bonus, Team Activities, Others</t>
        </is>
      </c>
      <c r="N4471" s="8">
        <f>HYPERLINK("https://www.vietnamworks.com/deputy-finance-accounting-manager-2012836-jv","Xem chi tiết")</f>
        <v/>
      </c>
    </row>
    <row r="4472">
      <c r="B4472" s="9" t="n">
        <v>4470</v>
      </c>
      <c r="C4472" s="10" t="inlineStr">
        <is>
          <t>Kỹ Sư Bán Hàng Kỹ Thuật | Technical Sales Engineer</t>
        </is>
      </c>
      <c r="D4472" s="10" t="inlineStr">
        <is>
          <t>Waterco Vietnam Company Ltd</t>
        </is>
      </c>
      <c r="E4472" s="10" t="inlineStr">
        <is>
          <t>$$ 700-1,200 /tháng</t>
        </is>
      </c>
      <c r="F4472" s="10" t="inlineStr">
        <is>
          <t>Hồ Chí Minh</t>
        </is>
      </c>
      <c r="G4472" s="10" t="inlineStr">
        <is>
          <t>Nhân viên</t>
        </is>
      </c>
      <c r="H4472" s="10" t="inlineStr">
        <is>
          <t>24/02/2026</t>
        </is>
      </c>
      <c r="I4472" s="10" t="inlineStr">
        <is>
          <t>29/03/2026</t>
        </is>
      </c>
      <c r="J4472" s="10" t="inlineStr">
        <is>
          <t>17/03/2026</t>
        </is>
      </c>
      <c r="K4472" s="10" t="inlineStr">
        <is>
          <t>N/A</t>
        </is>
      </c>
      <c r="L4472" s="10" t="inlineStr">
        <is>
          <t>Kinh Doanh Kỹ Thuật, Piping System, Technical Sales Support, Sales Engineering</t>
        </is>
      </c>
      <c r="M4472" s="10" t="inlineStr">
        <is>
          <t>Paid Leave, Training, Laptop</t>
        </is>
      </c>
      <c r="N4472" s="11">
        <f>HYPERLINK("https://www.vietnamworks.com/ky-su-ban-hang-ky-thuat-technical-sales-engineer--2013180-jv","Xem chi tiết")</f>
        <v/>
      </c>
      <c r="O4472" s="10" t="n"/>
    </row>
    <row r="4473">
      <c r="B4473" s="7" t="n">
        <v>4471</v>
      </c>
      <c r="C4473" t="inlineStr">
        <is>
          <t>Thực Tập/ Làm Việc Tại Mỹ Vị Trí Lễ Tân Khách Sạn | Lương $20/h + Tips | Làm Việc 12-18 Tháng Tại Khách Sạn Sheraton, Bang Florida, Mỹ</t>
        </is>
      </c>
      <c r="D4473" t="inlineStr">
        <is>
          <t>Công Ty TNHH Gece Group</t>
        </is>
      </c>
      <c r="E4473" t="inlineStr">
        <is>
          <t>$$ 3,000-5,000 /tháng</t>
        </is>
      </c>
      <c r="F4473" t="inlineStr">
        <is>
          <t>Quốc tế</t>
        </is>
      </c>
      <c r="G4473" t="inlineStr">
        <is>
          <t>Thực tập sinh/Sinh viên</t>
        </is>
      </c>
      <c r="H4473" t="inlineStr">
        <is>
          <t>24/02/2026</t>
        </is>
      </c>
      <c r="I4473" t="inlineStr">
        <is>
          <t>29/03/2026</t>
        </is>
      </c>
      <c r="J4473" t="inlineStr">
        <is>
          <t>17/03/2026</t>
        </is>
      </c>
      <c r="K4473" t="inlineStr">
        <is>
          <t>N/A</t>
        </is>
      </c>
      <c r="L4473" t="inlineStr">
        <is>
          <t>Front Office, Du Lịch Khách Sạn, F&amp;B, Quản Trị Nhà Hàng, Quản Lý Nhà Hàng Khách Sạn</t>
        </is>
      </c>
      <c r="M4473" t="inlineStr">
        <is>
          <t>Bonus, Training, Travel Opportunities</t>
        </is>
      </c>
      <c r="N4473" s="8">
        <f>HYPERLINK("https://www.vietnamworks.com/thuc-tap-lam-viec-tai-my-vi-tri-le-tan-khach-san-luong-20-h-tips-lam-viec-12-18-thang-tai-khach-san-sheraton-bang-florida-my-2013336-jv","Xem chi tiết")</f>
        <v/>
      </c>
    </row>
    <row r="4474">
      <c r="B4474" s="9" t="n">
        <v>4472</v>
      </c>
      <c r="C4474" s="10" t="inlineStr">
        <is>
          <t>Sales Support Specialist (Documents plus Sales)</t>
        </is>
      </c>
      <c r="D4474" s="10" t="inlineStr">
        <is>
          <t>VĂN PHÒNG ĐẠI DIỆN HYUNDAI CORPORATION TẠI TP HỒ CHÍ MINH</t>
        </is>
      </c>
      <c r="E4474" s="10" t="inlineStr">
        <is>
          <t>Thương lượng</t>
        </is>
      </c>
      <c r="F4474" s="10" t="inlineStr">
        <is>
          <t>Hồ Chí Minh</t>
        </is>
      </c>
      <c r="G4474" s="10" t="inlineStr">
        <is>
          <t>Nhân viên</t>
        </is>
      </c>
      <c r="H4474" s="10" t="inlineStr">
        <is>
          <t>24/02/2026</t>
        </is>
      </c>
      <c r="I4474" s="10" t="inlineStr">
        <is>
          <t>29/03/2026</t>
        </is>
      </c>
      <c r="J4474" s="10" t="inlineStr">
        <is>
          <t>17/03/2026</t>
        </is>
      </c>
      <c r="K4474" s="10" t="inlineStr">
        <is>
          <t>N/A</t>
        </is>
      </c>
      <c r="L4474" s="10" t="inlineStr">
        <is>
          <t>Customer Assistance, Data Management, Sales Support, Sales Admin, Import Export Procedure</t>
        </is>
      </c>
      <c r="M4474" s="10" t="inlineStr">
        <is>
          <t>Bonus, Healthcare Plan, Others</t>
        </is>
      </c>
      <c r="N4474" s="11">
        <f>HYPERLINK("https://www.vietnamworks.com/sales-support-specialist-documents-plus-sales-2012753-jv","Xem chi tiết")</f>
        <v/>
      </c>
      <c r="O4474" s="10" t="n"/>
    </row>
    <row r="4475">
      <c r="B4475" s="7" t="n">
        <v>4473</v>
      </c>
      <c r="C4475" t="inlineStr">
        <is>
          <t>Kỹ Sư Thiết Bị Y Tế - Thu Nhập Upto 17Tr/ Tháng</t>
        </is>
      </c>
      <c r="D4475" t="inlineStr">
        <is>
          <t>CÔNG TY TNHH ĐẦU TƯ CÔNG NGHỆ SINH HỌC AN THỊNH</t>
        </is>
      </c>
      <c r="E4475" t="inlineStr">
        <is>
          <t>13tr-17tr ₫/tháng</t>
        </is>
      </c>
      <c r="F4475" t="inlineStr">
        <is>
          <t>Hà Nội</t>
        </is>
      </c>
      <c r="G4475" t="inlineStr">
        <is>
          <t>Nhân viên</t>
        </is>
      </c>
      <c r="H4475" t="inlineStr">
        <is>
          <t>24/02/2026</t>
        </is>
      </c>
      <c r="I4475" t="inlineStr">
        <is>
          <t>29/03/2026</t>
        </is>
      </c>
      <c r="J4475" t="inlineStr">
        <is>
          <t>17/03/2026</t>
        </is>
      </c>
      <c r="K4475" t="inlineStr">
        <is>
          <t>N/A</t>
        </is>
      </c>
      <c r="L4475" t="inlineStr">
        <is>
          <t>Thiết Bị Y Tế, Điện Tử, Cơ Điện Tử, Tự Động Hóa, Vận Hành Bảo Trì</t>
        </is>
      </c>
      <c r="M4475" t="inlineStr">
        <is>
          <t>Bonus, Training, Canteen, Vouchers, Others</t>
        </is>
      </c>
      <c r="N4475" s="8">
        <f>HYPERLINK("https://www.vietnamworks.com/ky-su-thiet-bi-y-te-thu-nhap-upto-17tr-thang-2013368-jv","Xem chi tiết")</f>
        <v/>
      </c>
    </row>
    <row r="4476">
      <c r="B4476" s="9" t="n">
        <v>4474</v>
      </c>
      <c r="C4476" s="10" t="inlineStr">
        <is>
          <t>Nhân Viên Marketing (Mảng Thủy Sản)</t>
        </is>
      </c>
      <c r="D4476" s="10" t="inlineStr">
        <is>
          <t>Sunjin Vina Co., Ltd</t>
        </is>
      </c>
      <c r="E4476" s="10" t="inlineStr">
        <is>
          <t>$$ 500-700 /tháng</t>
        </is>
      </c>
      <c r="F4476" s="10" t="inlineStr">
        <is>
          <t>Đà Nẵng, Hồ Chí Minh</t>
        </is>
      </c>
      <c r="G4476" s="10" t="inlineStr">
        <is>
          <t>Nhân viên</t>
        </is>
      </c>
      <c r="H4476" s="10" t="inlineStr">
        <is>
          <t>25/02/2026</t>
        </is>
      </c>
      <c r="I4476" s="10" t="inlineStr">
        <is>
          <t>29/03/2026</t>
        </is>
      </c>
      <c r="J4476" s="10" t="inlineStr">
        <is>
          <t>17/03/2026</t>
        </is>
      </c>
      <c r="K4476" s="10" t="inlineStr">
        <is>
          <t>N/A</t>
        </is>
      </c>
      <c r="L4476" s="10" t="inlineStr">
        <is>
          <t>Truyền Thông Nội Bộ, Training, Tiếng Anh, Nhân Sự, Human Resources</t>
        </is>
      </c>
      <c r="M4476" s="10" t="inlineStr">
        <is>
          <t>Laptop, Transportation, Others</t>
        </is>
      </c>
      <c r="N4476" s="11">
        <f>HYPERLINK("https://www.vietnamworks.com/nhan-vien-marketing-mang-thuy-san--2014042-jv","Xem chi tiết")</f>
        <v/>
      </c>
      <c r="O4476" s="10" t="n"/>
    </row>
    <row r="4477">
      <c r="B4477" s="7" t="n">
        <v>4475</v>
      </c>
      <c r="C4477" t="inlineStr">
        <is>
          <t>Regional Sales Manager - [Ha Noi - Remote/HCM -Hybrid]</t>
        </is>
      </c>
      <c r="D4477" t="inlineStr">
        <is>
          <t>CÔNG TY TNHH CÔNG NGHỆ TẦN SỐ KINGBRI VIỆT NAM</t>
        </is>
      </c>
      <c r="E4477" t="inlineStr">
        <is>
          <t>$$ 800-1,000 /tháng</t>
        </is>
      </c>
      <c r="F4477" t="inlineStr">
        <is>
          <t>Hà Nội, Hồ Chí Minh, Đồng Nai</t>
        </is>
      </c>
      <c r="G4477" t="inlineStr">
        <is>
          <t>Trưởng phòng</t>
        </is>
      </c>
      <c r="H4477" t="inlineStr">
        <is>
          <t>25/02/2026</t>
        </is>
      </c>
      <c r="I4477" t="inlineStr">
        <is>
          <t>29/03/2026</t>
        </is>
      </c>
      <c r="J4477" t="inlineStr">
        <is>
          <t>17/03/2026</t>
        </is>
      </c>
      <c r="K4477" t="inlineStr">
        <is>
          <t>N/A</t>
        </is>
      </c>
      <c r="L4477" t="inlineStr">
        <is>
          <t>Contract Management, Customer Development, English Language Proficiency, Market Analysis, Sales Strategy</t>
        </is>
      </c>
      <c r="M4477" t="inlineStr">
        <is>
          <t>Healthcare Plan, Paid Leave, Others</t>
        </is>
      </c>
      <c r="N4477" s="8">
        <f>HYPERLINK("https://www.vietnamworks.com/regional-sales-manager-ha-noi-remotehcm-hybrid-2014001-jv","Xem chi tiết")</f>
        <v/>
      </c>
    </row>
    <row r="4478">
      <c r="B4478" s="9" t="n">
        <v>4476</v>
      </c>
      <c r="C4478" s="10" t="inlineStr">
        <is>
          <t>Nhân Viên Vận Hành (Operation Staff)</t>
        </is>
      </c>
      <c r="D4478" s="10" t="inlineStr">
        <is>
          <t>CÔNG TY TNHH TIẾP VẬN R.A.L</t>
        </is>
      </c>
      <c r="E4478" s="10" t="inlineStr">
        <is>
          <t>11tr-14tr ₫/tháng</t>
        </is>
      </c>
      <c r="F4478" s="10" t="inlineStr">
        <is>
          <t>Hồ Chí Minh</t>
        </is>
      </c>
      <c r="G4478" s="10" t="inlineStr">
        <is>
          <t>Nhân viên</t>
        </is>
      </c>
      <c r="H4478" s="10" t="inlineStr">
        <is>
          <t>25/02/2026</t>
        </is>
      </c>
      <c r="I4478" s="10" t="inlineStr">
        <is>
          <t>29/03/2026</t>
        </is>
      </c>
      <c r="J4478" s="10" t="inlineStr">
        <is>
          <t>17/03/2026</t>
        </is>
      </c>
      <c r="K4478" s="10" t="inlineStr">
        <is>
          <t>N/A</t>
        </is>
      </c>
      <c r="L4478" s="10" t="inlineStr">
        <is>
          <t>Chăm Sóc Khách Hàng, Khai Hải quan, Kiểm Tra Chứng Từ, Import &amp; Export, Operation Logistics</t>
        </is>
      </c>
      <c r="M4478" s="10" t="inlineStr">
        <is>
          <t>Bonus, Healthcare Plan, Training, Others</t>
        </is>
      </c>
      <c r="N4478" s="11">
        <f>HYPERLINK("https://www.vietnamworks.com/nhan-vien-van-hanh-operation-staff-2014148-jv","Xem chi tiết")</f>
        <v/>
      </c>
      <c r="O4478" s="10" t="n"/>
    </row>
    <row r="4479">
      <c r="B4479" s="7" t="n">
        <v>4477</v>
      </c>
      <c r="C4479" t="inlineStr">
        <is>
          <t>Junior Associate (FDI &amp; Integrated Consulting)</t>
        </is>
      </c>
      <c r="D4479" t="inlineStr">
        <is>
          <t>CÔNG TY TNHH MILESTONES GLOBAL</t>
        </is>
      </c>
      <c r="E4479" t="inlineStr">
        <is>
          <t>Từ $ 600 /tháng</t>
        </is>
      </c>
      <c r="F4479" t="inlineStr">
        <is>
          <t>Hồ Chí Minh</t>
        </is>
      </c>
      <c r="G4479" t="inlineStr">
        <is>
          <t>Nhân viên</t>
        </is>
      </c>
      <c r="H4479" t="inlineStr">
        <is>
          <t>26/02/2026</t>
        </is>
      </c>
      <c r="I4479" t="inlineStr">
        <is>
          <t>29/03/2026</t>
        </is>
      </c>
      <c r="J4479" t="inlineStr">
        <is>
          <t>17/03/2026</t>
        </is>
      </c>
      <c r="K4479" t="inlineStr">
        <is>
          <t>N/A</t>
        </is>
      </c>
      <c r="L4479" t="inlineStr">
        <is>
          <t>Business Consulting, Draft Legal Documents, English Fluency, Foreign Investment, Licensing</t>
        </is>
      </c>
      <c r="M4479" t="inlineStr">
        <is>
          <t>Bonus, Healthcare Plan, Others</t>
        </is>
      </c>
      <c r="N4479" s="8">
        <f>HYPERLINK("https://www.vietnamworks.com/junior-associate-fdi-and-integrated-consulting-2014203-jv","Xem chi tiết")</f>
        <v/>
      </c>
    </row>
    <row r="4480">
      <c r="B4480" s="9" t="n">
        <v>4478</v>
      </c>
      <c r="C4480" s="10" t="inlineStr">
        <is>
          <t>Event Planner/ Creative Planner (BTL Agency)</t>
        </is>
      </c>
      <c r="D4480" s="10" t="inlineStr">
        <is>
          <t>Vietnamworks' Client</t>
        </is>
      </c>
      <c r="E4480" s="10" t="inlineStr">
        <is>
          <t>Thương lượng</t>
        </is>
      </c>
      <c r="F4480" s="10" t="inlineStr">
        <is>
          <t>Hồ Chí Minh</t>
        </is>
      </c>
      <c r="G4480" s="10" t="inlineStr">
        <is>
          <t>Nhân viên</t>
        </is>
      </c>
      <c r="H4480" s="10" t="inlineStr">
        <is>
          <t>26/02/2026</t>
        </is>
      </c>
      <c r="I4480" s="10" t="inlineStr">
        <is>
          <t>29/03/2026</t>
        </is>
      </c>
      <c r="J4480" s="10" t="inlineStr">
        <is>
          <t>17/03/2026</t>
        </is>
      </c>
      <c r="K4480" s="10" t="inlineStr">
        <is>
          <t>N/A</t>
        </is>
      </c>
      <c r="L4480" s="10" t="inlineStr">
        <is>
          <t>Brand Positioning, Concept Creative Planning, Presentation Skills, Advertising</t>
        </is>
      </c>
      <c r="M4480" s="10" t="inlineStr">
        <is>
          <t>Bonus, Paid Leave, Training, Travel Opportunities</t>
        </is>
      </c>
      <c r="N4480" s="11">
        <f>HYPERLINK("https://www.vietnamworks.com/event-planner-creative-planner-btl-agency-2014612-jv","Xem chi tiết")</f>
        <v/>
      </c>
      <c r="O4480" s="10" t="n"/>
    </row>
    <row r="4481">
      <c r="B4481" s="7" t="n">
        <v>4479</v>
      </c>
      <c r="C4481" t="inlineStr">
        <is>
          <t>Lead Engineer - Automation Technology</t>
        </is>
      </c>
      <c r="D4481" t="inlineStr">
        <is>
          <t>B. Braun</t>
        </is>
      </c>
      <c r="E4481" t="inlineStr">
        <is>
          <t>Thương lượng</t>
        </is>
      </c>
      <c r="F4481" t="inlineStr">
        <is>
          <t>Hà Nội</t>
        </is>
      </c>
      <c r="G4481" t="inlineStr">
        <is>
          <t>Nhân viên</t>
        </is>
      </c>
      <c r="H4481" t="inlineStr">
        <is>
          <t>26/02/2026</t>
        </is>
      </c>
      <c r="I4481" t="inlineStr">
        <is>
          <t>29/03/2026</t>
        </is>
      </c>
      <c r="J4481" t="inlineStr">
        <is>
          <t>17/03/2026</t>
        </is>
      </c>
      <c r="K4481" t="inlineStr">
        <is>
          <t>N/A</t>
        </is>
      </c>
      <c r="L4481" t="inlineStr">
        <is>
          <t>MES, Data Management, REST API, SCADA, SAP</t>
        </is>
      </c>
      <c r="M4481" t="inlineStr">
        <is>
          <t>Bonus, Healthcare Plan, Training</t>
        </is>
      </c>
      <c r="N4481" s="8">
        <f>HYPERLINK("https://www.vietnamworks.com/lead-engineer-automation-technology-2014249-jv","Xem chi tiết")</f>
        <v/>
      </c>
    </row>
    <row r="4482">
      <c r="B4482" s="9" t="n">
        <v>4480</v>
      </c>
      <c r="C4482" s="10" t="inlineStr">
        <is>
          <t>Kỹ Sư Thiết Kế Cơ Khí</t>
        </is>
      </c>
      <c r="D4482" s="10" t="inlineStr">
        <is>
          <t>AUVIET SYSTEM COMPANY</t>
        </is>
      </c>
      <c r="E4482" s="10" t="inlineStr">
        <is>
          <t>$$ 700-1,000 /tháng</t>
        </is>
      </c>
      <c r="F4482" s="10" t="inlineStr">
        <is>
          <t>Hồ Chí Minh</t>
        </is>
      </c>
      <c r="G4482" s="10" t="inlineStr">
        <is>
          <t>Nhân viên</t>
        </is>
      </c>
      <c r="H4482" s="10" t="inlineStr">
        <is>
          <t>26/02/2026</t>
        </is>
      </c>
      <c r="I4482" s="10" t="inlineStr">
        <is>
          <t>29/03/2026</t>
        </is>
      </c>
      <c r="J4482" s="10" t="inlineStr">
        <is>
          <t>17/03/2026</t>
        </is>
      </c>
      <c r="K4482" s="10" t="inlineStr">
        <is>
          <t>N/A</t>
        </is>
      </c>
      <c r="L4482" s="10" t="inlineStr">
        <is>
          <t>Tự Động Hóa Công Nghiệp, Cơ Điện Tử, PLC, Thiết Kế Băng Tải, Triển Khai Bản Vẽ Cơ Khí</t>
        </is>
      </c>
      <c r="M4482" s="10" t="inlineStr">
        <is>
          <t>Bonus, Training, Laptop</t>
        </is>
      </c>
      <c r="N4482" s="11">
        <f>HYPERLINK("https://www.vietnamworks.com/ky-su-thiet-ke-co-khi--2014732-jv","Xem chi tiết")</f>
        <v/>
      </c>
      <c r="O4482" s="10" t="n"/>
    </row>
    <row r="4483">
      <c r="B4483" s="7" t="n">
        <v>4481</v>
      </c>
      <c r="C4483" t="inlineStr">
        <is>
          <t>Sales Executive</t>
        </is>
      </c>
      <c r="D4483" t="inlineStr">
        <is>
          <t>Công Ty TNHH Techno Coatings Industry</t>
        </is>
      </c>
      <c r="E4483" t="inlineStr">
        <is>
          <t>Thương lượng</t>
        </is>
      </c>
      <c r="F4483" t="inlineStr">
        <is>
          <t>Bình Dương, Hồ Chí Minh</t>
        </is>
      </c>
      <c r="G4483" t="inlineStr">
        <is>
          <t>Nhân viên</t>
        </is>
      </c>
      <c r="H4483" t="inlineStr">
        <is>
          <t>26/02/2026</t>
        </is>
      </c>
      <c r="I4483" t="inlineStr">
        <is>
          <t>29/03/2026</t>
        </is>
      </c>
      <c r="J4483" t="inlineStr">
        <is>
          <t>17/03/2026</t>
        </is>
      </c>
      <c r="K4483" t="inlineStr">
        <is>
          <t>N/A</t>
        </is>
      </c>
      <c r="L4483" t="inlineStr">
        <is>
          <t>Sales experience, Communication Skills, Negotiation Skills, Solution Oriented, English</t>
        </is>
      </c>
      <c r="M4483" t="inlineStr">
        <is>
          <t>Bonus, Healthcare Plan, Training, Others</t>
        </is>
      </c>
      <c r="N4483" s="8">
        <f>HYPERLINK("https://www.vietnamworks.com/sales-executive-2014642-jv","Xem chi tiết")</f>
        <v/>
      </c>
    </row>
    <row r="4484">
      <c r="B4484" s="9" t="n">
        <v>4482</v>
      </c>
      <c r="C4484" s="10" t="inlineStr">
        <is>
          <t>Chuyên Viên Quay Dựng Ngành Làm Đẹp, Lương Cứng Upto20Tr</t>
        </is>
      </c>
      <c r="D4484" s="10" t="inlineStr">
        <is>
          <t>CÔNG TY TNHH MINEADERM VIỆT NAM</t>
        </is>
      </c>
      <c r="E4484" s="10" t="inlineStr">
        <is>
          <t>20tr-25tr ₫/tháng</t>
        </is>
      </c>
      <c r="F4484" s="10" t="inlineStr">
        <is>
          <t>Hà Nội</t>
        </is>
      </c>
      <c r="G4484" s="10" t="inlineStr">
        <is>
          <t>Nhân viên</t>
        </is>
      </c>
      <c r="H4484" s="10" t="inlineStr">
        <is>
          <t>26/02/2026</t>
        </is>
      </c>
      <c r="I4484" s="10" t="inlineStr">
        <is>
          <t>29/03/2026</t>
        </is>
      </c>
      <c r="J4484" s="10" t="inlineStr">
        <is>
          <t>17/03/2026</t>
        </is>
      </c>
      <c r="K4484" s="10" t="inlineStr">
        <is>
          <t>N/A</t>
        </is>
      </c>
      <c r="L4484" s="10" t="inlineStr">
        <is>
          <t>Video Editing, Content Creation, Animation, Lên Ý Tưởng Kịch Bản, Quay Dựng Video</t>
        </is>
      </c>
      <c r="M4484" s="10" t="inlineStr">
        <is>
          <t>Healthcare Plan, Team Activities, Others</t>
        </is>
      </c>
      <c r="N4484" s="11">
        <f>HYPERLINK("https://www.vietnamworks.com/chuyen-vien-quay-dung-nganh-lam-dep-luong-cung-upto20tr-2014716-jv","Xem chi tiết")</f>
        <v/>
      </c>
      <c r="O4484" s="10" t="n"/>
    </row>
    <row r="4485">
      <c r="B4485" s="7" t="n">
        <v>4483</v>
      </c>
      <c r="C4485" t="inlineStr">
        <is>
          <t>Kế Toán Nội Bộ</t>
        </is>
      </c>
      <c r="D4485" t="inlineStr">
        <is>
          <t>CÔNG TY TNHH THƯƠNG MẠI VÀ CÔNG NGHỆ MOVIE LEGEND</t>
        </is>
      </c>
      <c r="E4485" t="inlineStr">
        <is>
          <t>10tr-15tr ₫/tháng</t>
        </is>
      </c>
      <c r="F4485" t="inlineStr">
        <is>
          <t>Hà Nội</t>
        </is>
      </c>
      <c r="G4485" t="inlineStr">
        <is>
          <t>Nhân viên</t>
        </is>
      </c>
      <c r="H4485" t="inlineStr">
        <is>
          <t>26/02/2026</t>
        </is>
      </c>
      <c r="I4485" t="inlineStr">
        <is>
          <t>29/03/2026</t>
        </is>
      </c>
      <c r="J4485" t="inlineStr">
        <is>
          <t>17/03/2026</t>
        </is>
      </c>
      <c r="K4485" t="inlineStr">
        <is>
          <t>N/A</t>
        </is>
      </c>
      <c r="L4485" t="inlineStr">
        <is>
          <t>Kiểm Toán, Phân Tích Số Liệu, Tài Chính, Hạch Toán, MISA Accounting Software</t>
        </is>
      </c>
      <c r="M4485" t="inlineStr">
        <is>
          <t>Bonus, Healthcare Plan, Paid Leave, Training, Team Activities, Transportation, Others</t>
        </is>
      </c>
      <c r="N4485" s="8">
        <f>HYPERLINK("https://www.vietnamworks.com/ke-toan-noi-bo-2014681-jv","Xem chi tiết")</f>
        <v/>
      </c>
    </row>
    <row r="4486">
      <c r="B4486" s="9" t="n">
        <v>4484</v>
      </c>
      <c r="C4486" s="10" t="inlineStr">
        <is>
          <t>Kế Toán - Tiếng Trung 4 Kỹ Năng</t>
        </is>
      </c>
      <c r="D4486" s="10" t="inlineStr">
        <is>
          <t>Công Ty TNHH Điện Tử Longcheer Meiko Việt Nam</t>
        </is>
      </c>
      <c r="E4486" s="10" t="inlineStr">
        <is>
          <t>$$ 500-1,200 /tháng</t>
        </is>
      </c>
      <c r="F4486" s="10" t="inlineStr">
        <is>
          <t>Hà Nội</t>
        </is>
      </c>
      <c r="G4486" s="10" t="inlineStr">
        <is>
          <t>Nhân viên</t>
        </is>
      </c>
      <c r="H4486" s="10" t="inlineStr">
        <is>
          <t>26/02/2026</t>
        </is>
      </c>
      <c r="I4486" s="10" t="inlineStr">
        <is>
          <t>29/03/2026</t>
        </is>
      </c>
      <c r="J4486" s="10" t="inlineStr">
        <is>
          <t>17/03/2026</t>
        </is>
      </c>
      <c r="K4486" s="10" t="inlineStr">
        <is>
          <t>N/A</t>
        </is>
      </c>
      <c r="L4486" s="10" t="inlineStr">
        <is>
          <t>Tiếng Trung, Phân Tích Số Liệu, Thống Kê</t>
        </is>
      </c>
      <c r="M4486" s="10" t="inlineStr">
        <is>
          <t>Bonus, Paid Leave, Transportation</t>
        </is>
      </c>
      <c r="N4486" s="11">
        <f>HYPERLINK("https://www.vietnamworks.com/ke-toan-tieng-trung-4-ky-nang--2014322-jv","Xem chi tiết")</f>
        <v/>
      </c>
      <c r="O4486" s="10" t="n"/>
    </row>
    <row r="4487">
      <c r="B4487" s="7" t="n">
        <v>4485</v>
      </c>
      <c r="C4487" t="inlineStr">
        <is>
          <t>Nhân Viên Giao Nhận Hiện Trường Tại Hồ Chí Minh</t>
        </is>
      </c>
      <c r="D4487" t="inlineStr">
        <is>
          <t>Knight Logistics Co., LTD.</t>
        </is>
      </c>
      <c r="E4487" t="inlineStr">
        <is>
          <t>Thương lượng</t>
        </is>
      </c>
      <c r="F4487" t="inlineStr">
        <is>
          <t>Hồ Chí Minh</t>
        </is>
      </c>
      <c r="G4487" t="inlineStr">
        <is>
          <t>Nhân viên</t>
        </is>
      </c>
      <c r="H4487" t="inlineStr">
        <is>
          <t>25/02/2026</t>
        </is>
      </c>
      <c r="I4487" t="inlineStr">
        <is>
          <t>29/03/2026</t>
        </is>
      </c>
      <c r="J4487" t="inlineStr">
        <is>
          <t>17/03/2026</t>
        </is>
      </c>
      <c r="K4487" t="inlineStr">
        <is>
          <t>N/A</t>
        </is>
      </c>
      <c r="L4487" t="inlineStr">
        <is>
          <t>Giao Nhận Hiện Trường, Xuất Nhập Khẩu, Logistics Experience, Import Export Procedure, Customs declaration</t>
        </is>
      </c>
      <c r="M4487" t="inlineStr">
        <is>
          <t>Training, Others</t>
        </is>
      </c>
      <c r="N4487" s="8">
        <f>HYPERLINK("https://www.vietnamworks.com/nhan-vien-giao-nhan-hien-truong-tai-ho-chi-minh-2013710-jv","Xem chi tiết")</f>
        <v/>
      </c>
    </row>
    <row r="4488">
      <c r="B4488" s="9" t="n">
        <v>4486</v>
      </c>
      <c r="C4488" s="10" t="inlineStr">
        <is>
          <t>Tuyển Dụng Tư Vấn Bán Hàng – AM Orchid</t>
        </is>
      </c>
      <c r="D4488" s="10" t="inlineStr">
        <is>
          <t>CÔNG TY CỔ PHẦN AMORIS VIỆT NAM</t>
        </is>
      </c>
      <c r="E4488" s="10" t="inlineStr">
        <is>
          <t>Từ 15tr ₫/tháng</t>
        </is>
      </c>
      <c r="F4488" s="10" t="inlineStr">
        <is>
          <t>Hà Nội</t>
        </is>
      </c>
      <c r="G4488" s="10" t="inlineStr">
        <is>
          <t>Nhân viên</t>
        </is>
      </c>
      <c r="H4488" s="10" t="inlineStr">
        <is>
          <t>25/02/2026</t>
        </is>
      </c>
      <c r="I4488" s="10" t="inlineStr">
        <is>
          <t>29/03/2026</t>
        </is>
      </c>
      <c r="J4488" s="10" t="inlineStr">
        <is>
          <t>17/03/2026</t>
        </is>
      </c>
      <c r="K4488" s="10" t="inlineStr">
        <is>
          <t>N/A</t>
        </is>
      </c>
      <c r="L4488" s="10" t="inlineStr">
        <is>
          <t>Chăm Sóc Khách Hàng, Bán hàng, Hỗ Trợ Khách Hàng, Kinh Doanh, Theo Dõi Đơn Hàng</t>
        </is>
      </c>
      <c r="M4488" s="10" t="inlineStr">
        <is>
          <t>Bonus, Training</t>
        </is>
      </c>
      <c r="N4488" s="11">
        <f>HYPERLINK("https://www.vietnamworks.com/tuyen-dung-tu-van-ban-hang-am-orchid-2013797-jv","Xem chi tiết")</f>
        <v/>
      </c>
      <c r="O4488" s="10" t="n"/>
    </row>
    <row r="4489">
      <c r="B4489" s="7" t="n">
        <v>4487</v>
      </c>
      <c r="C4489" t="inlineStr">
        <is>
          <t>Kế Toán Tổng Hợp</t>
        </is>
      </c>
      <c r="D4489" t="inlineStr">
        <is>
          <t>Công Ty Cổ Phần ME Holding</t>
        </is>
      </c>
      <c r="E4489" t="inlineStr">
        <is>
          <t>$$ 500-1,000 /tháng</t>
        </is>
      </c>
      <c r="F4489" t="inlineStr">
        <is>
          <t>Hồ Chí Minh</t>
        </is>
      </c>
      <c r="G4489" t="inlineStr">
        <is>
          <t>Nhân viên</t>
        </is>
      </c>
      <c r="H4489" t="inlineStr">
        <is>
          <t>25/02/2026</t>
        </is>
      </c>
      <c r="I4489" t="inlineStr">
        <is>
          <t>29/03/2026</t>
        </is>
      </c>
      <c r="J4489" t="inlineStr">
        <is>
          <t>17/03/2026</t>
        </is>
      </c>
      <c r="K4489" t="inlineStr">
        <is>
          <t>N/A</t>
        </is>
      </c>
      <c r="L4489" t="inlineStr">
        <is>
          <t>Kiểm Toán, Tài Chính, Kế Toán, Kế Toán Tổng Hợp, Finance</t>
        </is>
      </c>
      <c r="M4489" t="inlineStr">
        <is>
          <t>Bonus, Healthcare Plan, Canteen</t>
        </is>
      </c>
      <c r="N4489" s="8">
        <f>HYPERLINK("https://www.vietnamworks.com/ke-toan-tong-hop--2014113-jv","Xem chi tiết")</f>
        <v/>
      </c>
    </row>
    <row r="4490">
      <c r="B4490" s="9" t="n">
        <v>4488</v>
      </c>
      <c r="C4490" s="10" t="inlineStr">
        <is>
          <t>Phó Phòng Kế Toán - Deputy Chief Accountant - Thu Nhập Upto 22Tr/ Tháng</t>
        </is>
      </c>
      <c r="D4490" s="10" t="inlineStr">
        <is>
          <t>Công ty Cổ phần Gastrolink</t>
        </is>
      </c>
      <c r="E4490" s="10" t="inlineStr">
        <is>
          <t>18tr-22tr ₫/tháng</t>
        </is>
      </c>
      <c r="F4490" s="10" t="inlineStr">
        <is>
          <t>Hà Nội</t>
        </is>
      </c>
      <c r="G4490" s="10" t="inlineStr">
        <is>
          <t>Trưởng phòng</t>
        </is>
      </c>
      <c r="H4490" s="10" t="inlineStr">
        <is>
          <t>26/02/2026</t>
        </is>
      </c>
      <c r="I4490" s="10" t="inlineStr">
        <is>
          <t>29/03/2026</t>
        </is>
      </c>
      <c r="J4490" s="10" t="inlineStr">
        <is>
          <t>17/03/2026</t>
        </is>
      </c>
      <c r="K4490" s="10" t="inlineStr">
        <is>
          <t>N/A</t>
        </is>
      </c>
      <c r="L4490" s="10" t="inlineStr">
        <is>
          <t>Kế Toán Tổng Hợp, Phân Tích Chi Phí, Quản Lý Kho, Quản Lý Công Nợ, Thuế</t>
        </is>
      </c>
      <c r="M4490" s="10" t="inlineStr">
        <is>
          <t>Bonus, Healthcare Plan, Team Activities</t>
        </is>
      </c>
      <c r="N4490" s="11">
        <f>HYPERLINK("https://www.vietnamworks.com/pho-phong-ke-toan-deputy-chief-accountant-thu-nhap-upto-22tr-thang-2014158-jv","Xem chi tiết")</f>
        <v/>
      </c>
      <c r="O4490" s="10" t="n"/>
    </row>
    <row r="4491">
      <c r="B4491" s="7" t="n">
        <v>4489</v>
      </c>
      <c r="C4491" t="inlineStr">
        <is>
          <t>Chuyên Viên Kinh Doanh B2B, Lương Cứng 12-15Tr</t>
        </is>
      </c>
      <c r="D4491" t="inlineStr">
        <is>
          <t>CÔNG TY TNHH MINEADERM VIỆT NAM</t>
        </is>
      </c>
      <c r="E4491" t="inlineStr">
        <is>
          <t>10tr-15tr ₫/tháng</t>
        </is>
      </c>
      <c r="F4491" t="inlineStr">
        <is>
          <t>Hà Nội</t>
        </is>
      </c>
      <c r="G4491" t="inlineStr">
        <is>
          <t>Nhân viên</t>
        </is>
      </c>
      <c r="H4491" t="inlineStr">
        <is>
          <t>26/02/2026</t>
        </is>
      </c>
      <c r="I4491" t="inlineStr">
        <is>
          <t>29/03/2026</t>
        </is>
      </c>
      <c r="J4491" t="inlineStr">
        <is>
          <t>17/03/2026</t>
        </is>
      </c>
      <c r="K4491" t="inlineStr">
        <is>
          <t>N/A</t>
        </is>
      </c>
      <c r="L4491" t="inlineStr">
        <is>
          <t>Kinh Doanh B2B, Telesales, Thu Hồi Công Nợ, Tư Vấn Bán Hàng, Đàm Phán Thương Lượng</t>
        </is>
      </c>
      <c r="M4491" t="inlineStr">
        <is>
          <t>Bonus, Healthcare Plan, Paid Leave, Training, Team Activities, Others</t>
        </is>
      </c>
      <c r="N4491" s="8">
        <f>HYPERLINK("https://www.vietnamworks.com/chuyen-vien-kinh-doanh-b2b-luong-cung-12-15tr-2014724-jv","Xem chi tiết")</f>
        <v/>
      </c>
    </row>
    <row r="4492">
      <c r="B4492" s="9" t="n">
        <v>4490</v>
      </c>
      <c r="C4492" s="10" t="inlineStr">
        <is>
          <t>Nhân Viên Kỹ Thuật / Cơ Khí / Điện – Lắp Đặt Điện Mặt Trời</t>
        </is>
      </c>
      <c r="D4492" s="10" t="inlineStr">
        <is>
          <t>Công ty Cổ phần Đầu tư SLM</t>
        </is>
      </c>
      <c r="E4492" s="10" t="inlineStr">
        <is>
          <t>Từ 15tr ₫/tháng</t>
        </is>
      </c>
      <c r="F4492" s="10" t="inlineStr">
        <is>
          <t>Hà Nội</t>
        </is>
      </c>
      <c r="G4492" s="10" t="inlineStr">
        <is>
          <t>Nhân viên</t>
        </is>
      </c>
      <c r="H4492" s="10" t="inlineStr">
        <is>
          <t>25/02/2026</t>
        </is>
      </c>
      <c r="I4492" s="10" t="inlineStr">
        <is>
          <t>29/03/2026</t>
        </is>
      </c>
      <c r="J4492" s="10" t="inlineStr">
        <is>
          <t>17/03/2026</t>
        </is>
      </c>
      <c r="K4492" s="10" t="inlineStr">
        <is>
          <t>N/A</t>
        </is>
      </c>
      <c r="L4492" s="10" t="inlineStr">
        <is>
          <t>Kỹ Thuật Điện, Giao Tiếp, năng động, Quản Lý Dự Án, Gia Công Áp Lực</t>
        </is>
      </c>
      <c r="M4492" s="10" t="inlineStr">
        <is>
          <t>Bonus, Healthcare Plan, Paid Leave, Training, Others</t>
        </is>
      </c>
      <c r="N4492" s="11">
        <f>HYPERLINK("https://www.vietnamworks.com/nhan-vien-ky-thuat-co-khi-dien-lap-dat-dien-mat-troi-2014131-jv","Xem chi tiết")</f>
        <v/>
      </c>
      <c r="O4492" s="10" t="n"/>
    </row>
    <row r="4493">
      <c r="B4493" s="7" t="n">
        <v>4491</v>
      </c>
      <c r="C4493" t="inlineStr">
        <is>
          <t>APAC Senior Import And Export Coordinator</t>
        </is>
      </c>
      <c r="D4493" t="inlineStr">
        <is>
          <t>Think Global Logistics VN Company Limited</t>
        </is>
      </c>
      <c r="E4493" t="inlineStr">
        <is>
          <t>$$ 1,000-1,250 /tháng</t>
        </is>
      </c>
      <c r="F4493" t="inlineStr">
        <is>
          <t>Hồ Chí Minh</t>
        </is>
      </c>
      <c r="G4493" t="inlineStr">
        <is>
          <t>Nhân viên</t>
        </is>
      </c>
      <c r="H4493" t="inlineStr">
        <is>
          <t>26/02/2026</t>
        </is>
      </c>
      <c r="I4493" t="inlineStr">
        <is>
          <t>29/03/2026</t>
        </is>
      </c>
      <c r="J4493" t="inlineStr">
        <is>
          <t>17/03/2026</t>
        </is>
      </c>
      <c r="K4493" t="inlineStr">
        <is>
          <t>N/A</t>
        </is>
      </c>
      <c r="L4493" t="inlineStr">
        <is>
          <t>Customs Procedures, English Communication, Freight Forwarding, Microsoft Outlook</t>
        </is>
      </c>
      <c r="M4493" t="inlineStr">
        <is>
          <t>Bonus, Paid Leave, Team Activities, Others</t>
        </is>
      </c>
      <c r="N4493" s="8">
        <f>HYPERLINK("https://www.vietnamworks.com/apac-senior-import-and-export-coordinator-2014564-jv","Xem chi tiết")</f>
        <v/>
      </c>
    </row>
    <row r="4494">
      <c r="B4494" s="9" t="n">
        <v>4492</v>
      </c>
      <c r="C4494" s="10" t="inlineStr">
        <is>
          <t>Social Media Executive</t>
        </is>
      </c>
      <c r="D4494" s="10" t="inlineStr">
        <is>
          <t>CMG WORLD GAMING CO.,LTD</t>
        </is>
      </c>
      <c r="E4494" s="10" t="inlineStr">
        <is>
          <t>10tr-15tr ₫/tháng</t>
        </is>
      </c>
      <c r="F4494" s="10" t="inlineStr">
        <is>
          <t>Hồ Chí Minh</t>
        </is>
      </c>
      <c r="G4494" s="10" t="inlineStr">
        <is>
          <t>Nhân viên</t>
        </is>
      </c>
      <c r="H4494" s="10" t="inlineStr">
        <is>
          <t>26/02/2026</t>
        </is>
      </c>
      <c r="I4494" s="10" t="inlineStr">
        <is>
          <t>29/03/2026</t>
        </is>
      </c>
      <c r="J4494" s="10" t="inlineStr">
        <is>
          <t>17/03/2026</t>
        </is>
      </c>
      <c r="K4494" s="10" t="inlineStr">
        <is>
          <t>N/A</t>
        </is>
      </c>
      <c r="L4494" s="10" t="inlineStr">
        <is>
          <t>Social Media, Communication Skills, Digital Engagement Strategies, Interpersonal Skills, Social Content Marketing</t>
        </is>
      </c>
      <c r="M4494" s="10" t="inlineStr">
        <is>
          <t>Bonus, Healthcare Plan, Training, Team Activities, Others</t>
        </is>
      </c>
      <c r="N4494" s="11">
        <f>HYPERLINK("https://www.vietnamworks.com/social-media-executive-2014602-jv","Xem chi tiết")</f>
        <v/>
      </c>
      <c r="O4494" s="10" t="n"/>
    </row>
    <row r="4495">
      <c r="B4495" s="7" t="n">
        <v>4493</v>
      </c>
      <c r="C4495" t="inlineStr">
        <is>
          <t>Procument Working in Ha Noi ( Basic Salary Từ 10Tr)</t>
        </is>
      </c>
      <c r="D4495" t="inlineStr">
        <is>
          <t>Công Ty TNHH CP DHU</t>
        </is>
      </c>
      <c r="E4495" t="inlineStr">
        <is>
          <t>Từ 10tr ₫/tháng</t>
        </is>
      </c>
      <c r="F4495" t="inlineStr">
        <is>
          <t>Hà Nội</t>
        </is>
      </c>
      <c r="G4495" t="inlineStr">
        <is>
          <t>Nhân viên</t>
        </is>
      </c>
      <c r="H4495" t="inlineStr">
        <is>
          <t>25/02/2026</t>
        </is>
      </c>
      <c r="I4495" t="inlineStr">
        <is>
          <t>29/03/2026</t>
        </is>
      </c>
      <c r="J4495" t="inlineStr">
        <is>
          <t>17/03/2026</t>
        </is>
      </c>
      <c r="K4495" t="inlineStr">
        <is>
          <t>N/A</t>
        </is>
      </c>
      <c r="L4495" t="inlineStr">
        <is>
          <t>Nhận Đơn Đặt Hàng, Tiếng Anh, Purchasing, Quản Lý Nhân Viên, Đàm Phán Nhà Cung Cấp</t>
        </is>
      </c>
      <c r="M4495" t="inlineStr">
        <is>
          <t>Bonus, Travel Opportunities, Others</t>
        </is>
      </c>
      <c r="N4495" s="8">
        <f>HYPERLINK("https://www.vietnamworks.com/procument-working-in-ha-noi-basic-salary-tu-10tr-2013952-jv","Xem chi tiết")</f>
        <v/>
      </c>
    </row>
    <row r="4496">
      <c r="B4496" s="9" t="n">
        <v>4494</v>
      </c>
      <c r="C4496" s="10" t="inlineStr">
        <is>
          <t>R&amp;D Director</t>
        </is>
      </c>
      <c r="D4496" s="10" t="inlineStr">
        <is>
          <t>Công Ty TNHH Techno Coatings Industry</t>
        </is>
      </c>
      <c r="E4496" s="10" t="inlineStr">
        <is>
          <t>Thương lượng</t>
        </is>
      </c>
      <c r="F4496" s="10" t="inlineStr">
        <is>
          <t>Bình Dương</t>
        </is>
      </c>
      <c r="G4496" s="10" t="inlineStr">
        <is>
          <t>Giám Đốc và Cấp Cao Hơn</t>
        </is>
      </c>
      <c r="H4496" s="10" t="inlineStr">
        <is>
          <t>26/02/2026</t>
        </is>
      </c>
      <c r="I4496" s="10" t="inlineStr">
        <is>
          <t>29/03/2026</t>
        </is>
      </c>
      <c r="J4496" s="10" t="inlineStr">
        <is>
          <t>17/03/2026</t>
        </is>
      </c>
      <c r="K4496" s="10" t="inlineStr">
        <is>
          <t>N/A</t>
        </is>
      </c>
      <c r="L4496" s="10" t="inlineStr">
        <is>
          <t>R&amp;D Management, Project Coordination, Technical Sales Support, Laboratory Management, Leadership</t>
        </is>
      </c>
      <c r="M4496" s="10" t="inlineStr">
        <is>
          <t>Others</t>
        </is>
      </c>
      <c r="N4496" s="11">
        <f>HYPERLINK("https://www.vietnamworks.com/randd-director-2014655-jv","Xem chi tiết")</f>
        <v/>
      </c>
      <c r="O4496" s="10" t="n"/>
    </row>
    <row r="4497">
      <c r="B4497" s="7" t="n">
        <v>4495</v>
      </c>
      <c r="C4497" t="inlineStr">
        <is>
          <t>Business Development/ Account Executive (B2B)</t>
        </is>
      </c>
      <c r="D4497" t="inlineStr">
        <is>
          <t>PEGASI RECRUITMENT - IT Recruitment Consultancy</t>
        </is>
      </c>
      <c r="E4497" t="inlineStr">
        <is>
          <t>Thương lượng</t>
        </is>
      </c>
      <c r="F4497" t="inlineStr">
        <is>
          <t>Hồ Chí Minh</t>
        </is>
      </c>
      <c r="G4497" t="inlineStr">
        <is>
          <t>Nhân viên</t>
        </is>
      </c>
      <c r="H4497" t="inlineStr">
        <is>
          <t>26/02/2026</t>
        </is>
      </c>
      <c r="I4497" t="inlineStr">
        <is>
          <t>29/03/2026</t>
        </is>
      </c>
      <c r="J4497" t="inlineStr">
        <is>
          <t>17/03/2026</t>
        </is>
      </c>
      <c r="K4497" t="inlineStr">
        <is>
          <t>N/A</t>
        </is>
      </c>
      <c r="L4497" t="inlineStr">
        <is>
          <t>Sales, B2B Sales, MS Office, Business Development, Sales Planning</t>
        </is>
      </c>
      <c r="M4497" t="inlineStr">
        <is>
          <t>Bonus, Healthcare Plan, Paid Leave, Training, Awards, Team Activities, Others</t>
        </is>
      </c>
      <c r="N4497" s="8">
        <f>HYPERLINK("https://www.vietnamworks.com/business-development-account-executive-b2b-2014790-jv","Xem chi tiết")</f>
        <v/>
      </c>
    </row>
    <row r="4498">
      <c r="B4498" s="9" t="n">
        <v>4496</v>
      </c>
      <c r="C4498" s="10" t="inlineStr">
        <is>
          <t>Nhân Viên Mua Hàng Tiếng Trung</t>
        </is>
      </c>
      <c r="D4498" s="10" t="inlineStr">
        <is>
          <t>Công Ty Điện Lạnh Hòa Phát</t>
        </is>
      </c>
      <c r="E4498" s="10" t="inlineStr">
        <is>
          <t>$$ 500-1,000 /tháng</t>
        </is>
      </c>
      <c r="F4498" s="10" t="inlineStr">
        <is>
          <t>Hà Nội</t>
        </is>
      </c>
      <c r="G4498" s="10" t="inlineStr">
        <is>
          <t>Nhân viên</t>
        </is>
      </c>
      <c r="H4498" s="10" t="inlineStr">
        <is>
          <t>26/02/2026</t>
        </is>
      </c>
      <c r="I4498" s="10" t="inlineStr">
        <is>
          <t>29/03/2026</t>
        </is>
      </c>
      <c r="J4498" s="10" t="inlineStr">
        <is>
          <t>17/03/2026</t>
        </is>
      </c>
      <c r="K4498" s="10" t="inlineStr">
        <is>
          <t>N/A</t>
        </is>
      </c>
      <c r="L4498" s="10" t="inlineStr">
        <is>
          <t>Tiếng Trung, Mua Hàng, Đàm Phán Giá, Tin Học Văn Phòng, Tìm Kiếm Nhà Cung Cấp</t>
        </is>
      </c>
      <c r="M4498" s="10" t="inlineStr">
        <is>
          <t>Bonus, Healthcare Plan, Awards</t>
        </is>
      </c>
      <c r="N4498" s="11">
        <f>HYPERLINK("https://www.vietnamworks.com/nhan-vien-mua-hang-tieng-trung--2014779-jv","Xem chi tiết")</f>
        <v/>
      </c>
      <c r="O4498" s="10" t="n"/>
    </row>
    <row r="4499">
      <c r="B4499" s="7" t="n">
        <v>4497</v>
      </c>
      <c r="C4499" t="inlineStr">
        <is>
          <t>IP Associate - Trademark/ Patent Prosecution</t>
        </is>
      </c>
      <c r="D4499" t="inlineStr">
        <is>
          <t>Công Ty TNHH Sở Hữu Trí Tuệ S&amp;O</t>
        </is>
      </c>
      <c r="E4499" t="inlineStr">
        <is>
          <t>Thương lượng</t>
        </is>
      </c>
      <c r="F4499" t="inlineStr">
        <is>
          <t>Hà Nội, Hồ Chí Minh</t>
        </is>
      </c>
      <c r="G4499" t="inlineStr">
        <is>
          <t>Nhân viên</t>
        </is>
      </c>
      <c r="H4499" t="inlineStr">
        <is>
          <t>26/02/2026</t>
        </is>
      </c>
      <c r="I4499" t="inlineStr">
        <is>
          <t>29/03/2026</t>
        </is>
      </c>
      <c r="J4499" t="inlineStr">
        <is>
          <t>17/03/2026</t>
        </is>
      </c>
      <c r="K4499" t="inlineStr">
        <is>
          <t>N/A</t>
        </is>
      </c>
      <c r="L4499" t="inlineStr">
        <is>
          <t>Legal Consulting, IP, Legal Research, Intellectual Property Protection, Legal Advisory</t>
        </is>
      </c>
      <c r="M4499" t="inlineStr">
        <is>
          <t>Paid Leave, Others</t>
        </is>
      </c>
      <c r="N4499" s="8">
        <f>HYPERLINK("https://www.vietnamworks.com/ip-associate-trademark-patent-prosecution-2014759-jv","Xem chi tiết")</f>
        <v/>
      </c>
    </row>
    <row r="4500">
      <c r="B4500" s="9" t="n">
        <v>4498</v>
      </c>
      <c r="C4500" s="10" t="inlineStr">
        <is>
          <t>Senior Recruitment Consultant (Sales &amp; Marketing/ Corporate Function)</t>
        </is>
      </c>
      <c r="D4500" s="10" t="inlineStr">
        <is>
          <t>PEGASI RECRUITMENT - IT Recruitment Consultancy</t>
        </is>
      </c>
      <c r="E4500" s="10" t="inlineStr">
        <is>
          <t>Thương lượng</t>
        </is>
      </c>
      <c r="F4500" s="10" t="inlineStr">
        <is>
          <t>Hồ Chí Minh</t>
        </is>
      </c>
      <c r="G4500" s="10" t="inlineStr">
        <is>
          <t>Nhân viên</t>
        </is>
      </c>
      <c r="H4500" s="10" t="inlineStr">
        <is>
          <t>26/02/2026</t>
        </is>
      </c>
      <c r="I4500" s="10" t="inlineStr">
        <is>
          <t>29/03/2026</t>
        </is>
      </c>
      <c r="J4500" s="10" t="inlineStr">
        <is>
          <t>17/03/2026</t>
        </is>
      </c>
      <c r="K4500" s="10" t="inlineStr">
        <is>
          <t>N/A</t>
        </is>
      </c>
      <c r="L4500" s="10" t="inlineStr">
        <is>
          <t>Recruitment, Non-Tech, English, Recruitment Consulting, Tuyển Dụng</t>
        </is>
      </c>
      <c r="M4500" s="10" t="inlineStr">
        <is>
          <t>Bonus, Healthcare Plan, Paid Leave, Training, Awards, Team Activities, Transportation, Others</t>
        </is>
      </c>
      <c r="N4500" s="11">
        <f>HYPERLINK("https://www.vietnamworks.com/senior-recruitment-consultant-sales-and-marketing-corporate-function-2014789-jv","Xem chi tiết")</f>
        <v/>
      </c>
      <c r="O4500" s="10" t="n"/>
    </row>
    <row r="4501">
      <c r="B4501" s="7" t="n">
        <v>4499</v>
      </c>
      <c r="C4501" t="inlineStr">
        <is>
          <t>Editing Document Staff- English Content</t>
        </is>
      </c>
      <c r="D4501" t="inlineStr">
        <is>
          <t>Shin Yeong Project Management Company Limited</t>
        </is>
      </c>
      <c r="E4501" t="inlineStr">
        <is>
          <t>Thương lượng</t>
        </is>
      </c>
      <c r="F4501" t="inlineStr">
        <is>
          <t>Hồ Chí Minh</t>
        </is>
      </c>
      <c r="G4501" t="inlineStr">
        <is>
          <t>Mới Tốt Nghiệp</t>
        </is>
      </c>
      <c r="H4501" t="inlineStr">
        <is>
          <t>26/02/2026</t>
        </is>
      </c>
      <c r="I4501" t="inlineStr">
        <is>
          <t>29/03/2026</t>
        </is>
      </c>
      <c r="J4501" t="inlineStr">
        <is>
          <t>17/03/2026</t>
        </is>
      </c>
      <c r="K4501" t="inlineStr">
        <is>
          <t>N/A</t>
        </is>
      </c>
      <c r="L4501" t="inlineStr">
        <is>
          <t>Editing, Document Checking, English Language Proficiency, english skill, English Fluency</t>
        </is>
      </c>
      <c r="M4501" t="inlineStr">
        <is>
          <t>Bonus, Paid Leave, Others</t>
        </is>
      </c>
      <c r="N4501" s="8">
        <f>HYPERLINK("https://www.vietnamworks.com/editing-document-staff-english-content-2014865-jv","Xem chi tiết")</f>
        <v/>
      </c>
    </row>
    <row r="4502">
      <c r="B4502" s="9" t="n">
        <v>4500</v>
      </c>
      <c r="C4502" s="10" t="inlineStr">
        <is>
          <t>Trợ Lý Khoa Kinh Doanh và Quản Lý</t>
        </is>
      </c>
      <c r="D4502" s="10" t="inlineStr">
        <is>
          <t>Đại học CMC</t>
        </is>
      </c>
      <c r="E4502" s="10" t="inlineStr">
        <is>
          <t>Thương lượng</t>
        </is>
      </c>
      <c r="F4502" s="10" t="inlineStr">
        <is>
          <t>Hà Nội</t>
        </is>
      </c>
      <c r="G4502" s="10" t="inlineStr">
        <is>
          <t>Nhân viên</t>
        </is>
      </c>
      <c r="H4502" s="10" t="inlineStr">
        <is>
          <t>26/02/2026</t>
        </is>
      </c>
      <c r="I4502" s="10" t="inlineStr">
        <is>
          <t>29/03/2026</t>
        </is>
      </c>
      <c r="J4502" s="10" t="inlineStr">
        <is>
          <t>17/03/2026</t>
        </is>
      </c>
      <c r="K4502" s="10" t="inlineStr">
        <is>
          <t>N/A</t>
        </is>
      </c>
      <c r="L4502" s="10" t="inlineStr">
        <is>
          <t>Trợ Lý Văn Phòng, Admin Support, Admin, Chăm Sóc Khách Hàng, Quản Lý Hành Chính</t>
        </is>
      </c>
      <c r="M4502" s="10" t="inlineStr">
        <is>
          <t>Bonus</t>
        </is>
      </c>
      <c r="N4502" s="11">
        <f>HYPERLINK("https://www.vietnamworks.com/tro-ly-khoa-kinh-doanh-va-quan-ly--2014830-jv","Xem chi tiết")</f>
        <v/>
      </c>
      <c r="O4502" s="10" t="n"/>
    </row>
    <row r="4503">
      <c r="B4503" s="7" t="n">
        <v>4501</v>
      </c>
      <c r="C4503" t="inlineStr">
        <is>
          <t>Performance Marketing Specialist</t>
        </is>
      </c>
      <c r="D4503" t="inlineStr">
        <is>
          <t>Công Ty TNHH Lock&amp;Lock HCM</t>
        </is>
      </c>
      <c r="E4503" t="inlineStr">
        <is>
          <t>Thương lượng</t>
        </is>
      </c>
      <c r="F4503" t="inlineStr">
        <is>
          <t>Hồ Chí Minh</t>
        </is>
      </c>
      <c r="G4503" t="inlineStr">
        <is>
          <t>Nhân viên</t>
        </is>
      </c>
      <c r="H4503" t="inlineStr">
        <is>
          <t>26/02/2026</t>
        </is>
      </c>
      <c r="I4503" t="inlineStr">
        <is>
          <t>29/03/2026</t>
        </is>
      </c>
      <c r="J4503" t="inlineStr">
        <is>
          <t>17/03/2026</t>
        </is>
      </c>
      <c r="K4503" t="inlineStr">
        <is>
          <t>N/A</t>
        </is>
      </c>
      <c r="L4503" t="inlineStr">
        <is>
          <t>performance marketing, Digital Advertising, Campaign Marketing, Data Analysis, Analytical Skills</t>
        </is>
      </c>
      <c r="M4503" t="inlineStr">
        <is>
          <t>Bonus, Training, Vouchers</t>
        </is>
      </c>
      <c r="N4503" s="8">
        <f>HYPERLINK("https://www.vietnamworks.com/performance-marketing-specialist-2014850-jv","Xem chi tiết")</f>
        <v/>
      </c>
    </row>
    <row r="4504">
      <c r="B4504" s="9" t="n">
        <v>4502</v>
      </c>
      <c r="C4504" s="10" t="inlineStr">
        <is>
          <t>Kỹ Sư Thiết Kế Cơ Khí</t>
        </is>
      </c>
      <c r="D4504" s="10" t="inlineStr">
        <is>
          <t>CÔNG TY TRÁCH NHIỆM HỮU HẠN THƯƠNG MẠI DỊCH VỤ KỸ THUẬT CƠ KHÍ THÀNH PHÁT</t>
        </is>
      </c>
      <c r="E4504" s="10" t="inlineStr">
        <is>
          <t>Thương lượng</t>
        </is>
      </c>
      <c r="F4504" s="10" t="inlineStr">
        <is>
          <t>Hồ Chí Minh</t>
        </is>
      </c>
      <c r="G4504" s="10" t="inlineStr">
        <is>
          <t>Nhân viên</t>
        </is>
      </c>
      <c r="H4504" s="10" t="inlineStr">
        <is>
          <t>26/02/2026</t>
        </is>
      </c>
      <c r="I4504" s="10" t="inlineStr">
        <is>
          <t>29/03/2026</t>
        </is>
      </c>
      <c r="J4504" s="10" t="inlineStr">
        <is>
          <t>17/03/2026</t>
        </is>
      </c>
      <c r="K4504" s="10" t="inlineStr">
        <is>
          <t>N/A</t>
        </is>
      </c>
      <c r="L4504" s="10" t="inlineStr">
        <is>
          <t>Thiết Kế 3D, SolidWorks, Thiết Kế Cơ Khí, Mechanical Design, Tiếng Anh</t>
        </is>
      </c>
      <c r="M4504" s="10" t="inlineStr">
        <is>
          <t>Healthcare Plan, Travel Opportunities, Others</t>
        </is>
      </c>
      <c r="N4504" s="11">
        <f>HYPERLINK("https://www.vietnamworks.com/ky-su-thiet-ke-co-khi-2014858-jv","Xem chi tiết")</f>
        <v/>
      </c>
      <c r="O4504" s="10" t="n"/>
    </row>
    <row r="4505">
      <c r="B4505" s="7" t="n">
        <v>4503</v>
      </c>
      <c r="C4505" t="inlineStr">
        <is>
          <t>Sales Logistics</t>
        </is>
      </c>
      <c r="D4505" t="inlineStr">
        <is>
          <t>CÔNG TY CỔ PHẦN GIẢI PHÁP LOGISTICS UNI-CHAIN</t>
        </is>
      </c>
      <c r="E4505" t="inlineStr">
        <is>
          <t>Thương lượng</t>
        </is>
      </c>
      <c r="F4505" t="inlineStr">
        <is>
          <t>Hồ Chí Minh</t>
        </is>
      </c>
      <c r="G4505" t="inlineStr">
        <is>
          <t>Nhân viên</t>
        </is>
      </c>
      <c r="H4505" t="inlineStr">
        <is>
          <t>26/02/2026</t>
        </is>
      </c>
      <c r="I4505" t="inlineStr">
        <is>
          <t>29/03/2026</t>
        </is>
      </c>
      <c r="J4505" t="inlineStr">
        <is>
          <t>17/03/2026</t>
        </is>
      </c>
      <c r="K4505" t="inlineStr">
        <is>
          <t>N/A</t>
        </is>
      </c>
      <c r="L4505" t="inlineStr">
        <is>
          <t>Logistics, Sales, Marketing Development, Customer Relation, Tiếng Trung</t>
        </is>
      </c>
      <c r="M4505" t="inlineStr">
        <is>
          <t>Bonus, Healthcare Plan, Awards, Travel Opportunities, Others</t>
        </is>
      </c>
      <c r="N4505" s="8">
        <f>HYPERLINK("https://www.vietnamworks.com/sales-logistics-2014795-jv","Xem chi tiết")</f>
        <v/>
      </c>
    </row>
    <row r="4506">
      <c r="B4506" s="9" t="n">
        <v>4504</v>
      </c>
      <c r="C4506" s="10" t="inlineStr">
        <is>
          <t>Sales Operations/sales Coordination Specialist</t>
        </is>
      </c>
      <c r="D4506" s="10" t="inlineStr">
        <is>
          <t>Công Ty Cổ Phần Sữa VitaDairy Việt Nam</t>
        </is>
      </c>
      <c r="E4506" s="10" t="inlineStr">
        <is>
          <t>Thương lượng</t>
        </is>
      </c>
      <c r="F4506" s="10" t="inlineStr">
        <is>
          <t>Hồ Chí Minh</t>
        </is>
      </c>
      <c r="G4506" s="10" t="inlineStr">
        <is>
          <t>Nhân viên</t>
        </is>
      </c>
      <c r="H4506" s="10" t="inlineStr">
        <is>
          <t>27/02/2026</t>
        </is>
      </c>
      <c r="I4506" s="10" t="inlineStr">
        <is>
          <t>29/03/2026</t>
        </is>
      </c>
      <c r="J4506" s="10" t="inlineStr">
        <is>
          <t>17/03/2026</t>
        </is>
      </c>
      <c r="K4506" s="10" t="inlineStr">
        <is>
          <t>N/A</t>
        </is>
      </c>
      <c r="L4506" s="10" t="inlineStr">
        <is>
          <t>Sales Operation, Sales Admin, Sale Support, Data Analysis</t>
        </is>
      </c>
      <c r="M4506" s="10" t="inlineStr">
        <is>
          <t>Bonus, Healthcare Plan, Travel Opportunities</t>
        </is>
      </c>
      <c r="N4506" s="11">
        <f>HYPERLINK("https://www.vietnamworks.com/sales-operations-sales-coordination-specialist-2014898-jv","Xem chi tiết")</f>
        <v/>
      </c>
      <c r="O4506" s="10" t="n"/>
    </row>
    <row r="4507">
      <c r="B4507" s="7" t="n">
        <v>4505</v>
      </c>
      <c r="C4507" t="inlineStr">
        <is>
          <t>Senior Executive - Partnership Business Development</t>
        </is>
      </c>
      <c r="D4507" t="inlineStr">
        <is>
          <t>MSIG Insurance (Vietnam) Co., Ltd.</t>
        </is>
      </c>
      <c r="E4507" t="inlineStr">
        <is>
          <t>Thương lượng</t>
        </is>
      </c>
      <c r="F4507" t="inlineStr">
        <is>
          <t>Hồ Chí Minh</t>
        </is>
      </c>
      <c r="G4507" t="inlineStr">
        <is>
          <t>Nhân viên</t>
        </is>
      </c>
      <c r="H4507" t="inlineStr">
        <is>
          <t>27/02/2026</t>
        </is>
      </c>
      <c r="I4507" t="inlineStr">
        <is>
          <t>29/03/2026</t>
        </is>
      </c>
      <c r="J4507" t="inlineStr">
        <is>
          <t>17/03/2026</t>
        </is>
      </c>
      <c r="K4507" t="inlineStr">
        <is>
          <t>N/A</t>
        </is>
      </c>
      <c r="L4507" t="inlineStr">
        <is>
          <t>Partnership Development, Phát Triển Đối Tác, Business Development, Non-life Insurance, Strategic partnerships</t>
        </is>
      </c>
      <c r="M4507" t="inlineStr">
        <is>
          <t>Paid Leave, Travel Opportunities, Others</t>
        </is>
      </c>
      <c r="N4507" s="8">
        <f>HYPERLINK("https://www.vietnamworks.com/senior-executive-partnership-business-development--2014899-jv","Xem chi tiết")</f>
        <v/>
      </c>
    </row>
    <row r="4508">
      <c r="B4508" s="9" t="n">
        <v>4506</v>
      </c>
      <c r="C4508" s="10" t="inlineStr">
        <is>
          <t>Kỹ Thuật Viên O&amp;M/ O&amp;M Technician (Operations &amp; Maintenance)</t>
        </is>
      </c>
      <c r="D4508" s="10" t="inlineStr">
        <is>
          <t>CÔNG TY CỔ PHẦN DỊCH VỤ ĐIỆN GIÓ CHÂU Á</t>
        </is>
      </c>
      <c r="E4508" s="10" t="inlineStr">
        <is>
          <t>Thương lượng</t>
        </is>
      </c>
      <c r="F4508" s="10" t="inlineStr">
        <is>
          <t>Bình Định, Ninh Thuận, Bình Thuận</t>
        </is>
      </c>
      <c r="G4508" s="10" t="inlineStr">
        <is>
          <t>Nhân viên</t>
        </is>
      </c>
      <c r="H4508" s="10" t="inlineStr">
        <is>
          <t>26/02/2026</t>
        </is>
      </c>
      <c r="I4508" s="10" t="inlineStr">
        <is>
          <t>29/03/2026</t>
        </is>
      </c>
      <c r="J4508" s="10" t="inlineStr">
        <is>
          <t>17/03/2026</t>
        </is>
      </c>
      <c r="K4508" s="10" t="inlineStr">
        <is>
          <t>N/A</t>
        </is>
      </c>
      <c r="L4508" s="10" t="inlineStr">
        <is>
          <t>Mechanical Maintenance, Electrical Maintenance, SCADA Application, HSE Procedure, Operations Management</t>
        </is>
      </c>
      <c r="M4508" s="10" t="inlineStr">
        <is>
          <t>Bonus, Healthcare Plan, Training, Team Activities, Others</t>
        </is>
      </c>
      <c r="N4508" s="11">
        <f>HYPERLINK("https://www.vietnamworks.com/ky-thuat-vien-o-m-o-m-technician-operations-maintenance-2014811-jv","Xem chi tiết")</f>
        <v/>
      </c>
      <c r="O4508" s="10" t="n"/>
    </row>
    <row r="4509">
      <c r="B4509" s="7" t="n">
        <v>4507</v>
      </c>
      <c r="C4509" t="inlineStr">
        <is>
          <t>Kỹ Sư Lập Trình Máy CNC</t>
        </is>
      </c>
      <c r="D4509" t="inlineStr">
        <is>
          <t>CÔNG TY TRÁCH NHIỆM HỮU HẠN THƯƠNG MẠI DỊCH VỤ KỸ THUẬT CƠ KHÍ THÀNH PHÁT</t>
        </is>
      </c>
      <c r="E4509" t="inlineStr">
        <is>
          <t>Thương lượng</t>
        </is>
      </c>
      <c r="F4509" t="inlineStr">
        <is>
          <t>Hồ Chí Minh</t>
        </is>
      </c>
      <c r="G4509" t="inlineStr">
        <is>
          <t>Nhân viên</t>
        </is>
      </c>
      <c r="H4509" t="inlineStr">
        <is>
          <t>26/02/2026</t>
        </is>
      </c>
      <c r="I4509" t="inlineStr">
        <is>
          <t>29/03/2026</t>
        </is>
      </c>
      <c r="J4509" t="inlineStr">
        <is>
          <t>17/03/2026</t>
        </is>
      </c>
      <c r="K4509" t="inlineStr">
        <is>
          <t>N/A</t>
        </is>
      </c>
      <c r="L4509" t="inlineStr">
        <is>
          <t>SolidCAM, CNC Programming, Lập trình máy CNC, phần mềm thiết kế, Vận Hành Máy CNC</t>
        </is>
      </c>
      <c r="M4509" t="inlineStr">
        <is>
          <t>Healthcare Plan, Travel Opportunities, Others</t>
        </is>
      </c>
      <c r="N4509" s="8">
        <f>HYPERLINK("https://www.vietnamworks.com/ky-su-lap-trinh-may-cnc-2014859-jv","Xem chi tiết")</f>
        <v/>
      </c>
    </row>
    <row r="4510">
      <c r="B4510" s="9" t="n">
        <v>4508</v>
      </c>
      <c r="C4510" s="10" t="inlineStr">
        <is>
          <t>Recruitment Consultant (IT, All Levels)</t>
        </is>
      </c>
      <c r="D4510" s="10" t="inlineStr">
        <is>
          <t>PEGASI RECRUITMENT - IT Recruitment Consultancy</t>
        </is>
      </c>
      <c r="E4510" s="10" t="inlineStr">
        <is>
          <t>Thương lượng</t>
        </is>
      </c>
      <c r="F4510" s="10" t="inlineStr">
        <is>
          <t>Hồ Chí Minh</t>
        </is>
      </c>
      <c r="G4510" s="10" t="inlineStr">
        <is>
          <t>Nhân viên</t>
        </is>
      </c>
      <c r="H4510" s="10" t="inlineStr">
        <is>
          <t>26/02/2026</t>
        </is>
      </c>
      <c r="I4510" s="10" t="inlineStr">
        <is>
          <t>29/03/2026</t>
        </is>
      </c>
      <c r="J4510" s="10" t="inlineStr">
        <is>
          <t>17/03/2026</t>
        </is>
      </c>
      <c r="K4510" s="10" t="inlineStr">
        <is>
          <t>N/A</t>
        </is>
      </c>
      <c r="L4510" s="10" t="inlineStr">
        <is>
          <t>Recruitment, Candidate Sourcing, Headhunt, IT Recruitment, Talent Acquisition</t>
        </is>
      </c>
      <c r="M4510" s="10" t="inlineStr">
        <is>
          <t>Bonus, Healthcare Plan, Paid Leave, Training, Awards, Team Activities</t>
        </is>
      </c>
      <c r="N4510" s="11">
        <f>HYPERLINK("https://www.vietnamworks.com/recruitment-consultant-it-all-levels-2014785-jv","Xem chi tiết")</f>
        <v/>
      </c>
      <c r="O4510" s="10" t="n"/>
    </row>
    <row r="4511">
      <c r="B4511" s="7" t="n">
        <v>4509</v>
      </c>
      <c r="C4511" t="inlineStr">
        <is>
          <t>Kế Toán Trưởng (Chief Accountant)</t>
        </is>
      </c>
      <c r="D4511" t="inlineStr">
        <is>
          <t>Chi nhánh Hợp Tác Xã Thương Mại và Dịch Vụ Nông Nghiệp Khai Thái - Ola Food</t>
        </is>
      </c>
      <c r="E4511" t="inlineStr">
        <is>
          <t>20tr-30tr ₫/tháng</t>
        </is>
      </c>
      <c r="F4511" t="inlineStr">
        <is>
          <t>Hồ Chí Minh</t>
        </is>
      </c>
      <c r="G4511" t="inlineStr">
        <is>
          <t>Trưởng phòng</t>
        </is>
      </c>
      <c r="H4511" t="inlineStr">
        <is>
          <t>26/02/2026</t>
        </is>
      </c>
      <c r="I4511" t="inlineStr">
        <is>
          <t>29/03/2026</t>
        </is>
      </c>
      <c r="J4511" t="inlineStr">
        <is>
          <t>17/03/2026</t>
        </is>
      </c>
      <c r="K4511" t="inlineStr">
        <is>
          <t>N/A</t>
        </is>
      </c>
      <c r="L4511" t="inlineStr">
        <is>
          <t>Giải Quyết Vấn Đề, Kế toán, Phần mềm kế toán, Phân Tích Tài Chính, Quản Lý Kế Toán</t>
        </is>
      </c>
      <c r="M4511" t="inlineStr">
        <is>
          <t>Bonus, Healthcare Plan, Training, Others</t>
        </is>
      </c>
      <c r="N4511" s="8">
        <f>HYPERLINK("https://www.vietnamworks.com/ke-toan-truong-chief-accountant-2014888-jv","Xem chi tiết")</f>
        <v/>
      </c>
    </row>
    <row r="4512">
      <c r="B4512" s="9" t="n">
        <v>4510</v>
      </c>
      <c r="C4512" s="10" t="inlineStr">
        <is>
          <t>Kế Toán Trưởng</t>
        </is>
      </c>
      <c r="D4512" s="10" t="inlineStr">
        <is>
          <t>Công ty cổ phần La Passion Holdings</t>
        </is>
      </c>
      <c r="E4512" s="10" t="inlineStr">
        <is>
          <t>20tr-25tr ₫/tháng</t>
        </is>
      </c>
      <c r="F4512" s="10" t="inlineStr">
        <is>
          <t>Hà Nội</t>
        </is>
      </c>
      <c r="G4512" s="10" t="inlineStr">
        <is>
          <t>Trưởng phòng</t>
        </is>
      </c>
      <c r="H4512" s="10" t="inlineStr">
        <is>
          <t>26/02/2026</t>
        </is>
      </c>
      <c r="I4512" s="10" t="inlineStr">
        <is>
          <t>29/03/2026</t>
        </is>
      </c>
      <c r="J4512" s="10" t="inlineStr">
        <is>
          <t>17/03/2026</t>
        </is>
      </c>
      <c r="K4512" s="10" t="inlineStr">
        <is>
          <t>N/A</t>
        </is>
      </c>
      <c r="L4512" s="10" t="inlineStr">
        <is>
          <t>Phân Tích Số Liệu, Giao Tiếp Đàm Phán, Kiến Thức Chuẩn Mực Kế Toán, Luật Thuế, Phần Mềm Kế Toán</t>
        </is>
      </c>
      <c r="M4512" s="10" t="inlineStr">
        <is>
          <t>Bonus, Others</t>
        </is>
      </c>
      <c r="N4512" s="11">
        <f>HYPERLINK("https://www.vietnamworks.com/ke-toan-truong-2014874-jv","Xem chi tiết")</f>
        <v/>
      </c>
      <c r="O4512" s="10" t="n"/>
    </row>
    <row r="4513">
      <c r="B4513" s="7" t="n">
        <v>4511</v>
      </c>
      <c r="C4513" t="inlineStr">
        <is>
          <t>Chuyên Viên Thú Y Bò - Lương Thỏa Thuận Hấp Dẫn</t>
        </is>
      </c>
      <c r="D4513" t="inlineStr">
        <is>
          <t>Công Ty TNHH Chăn Nuôi Việt Nhật - Công Ty Thành Viên Của Vinamilk</t>
        </is>
      </c>
      <c r="E4513" t="inlineStr">
        <is>
          <t>Thương lượng</t>
        </is>
      </c>
      <c r="F4513" t="inlineStr">
        <is>
          <t>Vĩnh Phúc</t>
        </is>
      </c>
      <c r="G4513" t="inlineStr">
        <is>
          <t>Nhân viên</t>
        </is>
      </c>
      <c r="H4513" t="inlineStr">
        <is>
          <t>27/02/2026</t>
        </is>
      </c>
      <c r="I4513" t="inlineStr">
        <is>
          <t>29/03/2026</t>
        </is>
      </c>
      <c r="J4513" t="inlineStr">
        <is>
          <t>17/03/2026</t>
        </is>
      </c>
      <c r="K4513" t="inlineStr">
        <is>
          <t>N/A</t>
        </is>
      </c>
      <c r="L4513" t="inlineStr">
        <is>
          <t>Chăn Nuôi Thú Y, Dinh Dưỡng Gia Súc, Thú Y, Điều Trị Gia Súc, Chăm Sóc Gia Súc</t>
        </is>
      </c>
      <c r="M4513" t="inlineStr">
        <is>
          <t>Bonus, Healthcare Plan, Team Activities</t>
        </is>
      </c>
      <c r="N4513" s="8">
        <f>HYPERLINK("https://www.vietnamworks.com/chuyen-vien-thu-y-bo-luong-thoa-thuan-hap-dan-2014896-jv","Xem chi tiết")</f>
        <v/>
      </c>
    </row>
    <row r="4514">
      <c r="B4514" s="9" t="n">
        <v>4512</v>
      </c>
      <c r="C4514" s="10" t="inlineStr">
        <is>
          <t>Chuyên Viên Giá (Pricing Supevisor)</t>
        </is>
      </c>
      <c r="D4514" s="10" t="inlineStr">
        <is>
          <t>CÔNG TY CỔ PHẦN GIẢI PHÁP LOGISTICS UNI-CHAIN</t>
        </is>
      </c>
      <c r="E4514" s="10" t="inlineStr">
        <is>
          <t>9tr-12tr ₫/tháng</t>
        </is>
      </c>
      <c r="F4514" s="10" t="inlineStr">
        <is>
          <t>Hồ Chí Minh</t>
        </is>
      </c>
      <c r="G4514" s="10" t="inlineStr">
        <is>
          <t>Nhân viên</t>
        </is>
      </c>
      <c r="H4514" s="10" t="inlineStr">
        <is>
          <t>26/02/2026</t>
        </is>
      </c>
      <c r="I4514" s="10" t="inlineStr">
        <is>
          <t>29/03/2026</t>
        </is>
      </c>
      <c r="J4514" s="10" t="inlineStr">
        <is>
          <t>17/03/2026</t>
        </is>
      </c>
      <c r="K4514" s="10" t="inlineStr">
        <is>
          <t>N/A</t>
        </is>
      </c>
      <c r="L4514" s="10" t="inlineStr">
        <is>
          <t>Giải quyết vấn đề, Tin Học Văn Phòng, Phân Tích Giá, Pricing Management, Tiếng Anh</t>
        </is>
      </c>
      <c r="M4514" s="10" t="inlineStr">
        <is>
          <t>Bonus, Healthcare Plan, Awards, Travel Opportunities, Others</t>
        </is>
      </c>
      <c r="N4514" s="11">
        <f>HYPERLINK("https://www.vietnamworks.com/chuyen-vien-gia-pricing-supevisor-2014798-jv","Xem chi tiết")</f>
        <v/>
      </c>
      <c r="O4514" s="10" t="n"/>
    </row>
    <row r="4515">
      <c r="B4515" s="7" t="n">
        <v>4513</v>
      </c>
      <c r="C4515" t="inlineStr">
        <is>
          <t>Giám Đốc Thu Hồi Nợ Qua Điện Thoại - Tele-Debt Recovery Manager - Khối Thu Hồi Nợ</t>
        </is>
      </c>
      <c r="D4515" t="inlineStr">
        <is>
          <t>Công Ty Tài Chính Trách Nhiệm Hữu Hạn MB Shinsei (Mcredit)</t>
        </is>
      </c>
      <c r="E4515" t="inlineStr">
        <is>
          <t>Thương lượng</t>
        </is>
      </c>
      <c r="F4515" t="inlineStr">
        <is>
          <t>Hà Nội</t>
        </is>
      </c>
      <c r="G4515" t="inlineStr">
        <is>
          <t>Trưởng phòng</t>
        </is>
      </c>
      <c r="H4515" t="inlineStr">
        <is>
          <t>26/02/2026</t>
        </is>
      </c>
      <c r="I4515" t="inlineStr">
        <is>
          <t>29/03/2026</t>
        </is>
      </c>
      <c r="J4515" t="inlineStr">
        <is>
          <t>17/03/2026</t>
        </is>
      </c>
      <c r="K4515" t="inlineStr">
        <is>
          <t>N/A</t>
        </is>
      </c>
      <c r="L4515" t="inlineStr">
        <is>
          <t>Kiểm Soát Chi Phí, Nhận Diện Rủi Ro, Quản Lý Thu Hồi Nợ, Quản Lý Đội Ngũ, Tài Chính Ngân Hàng</t>
        </is>
      </c>
      <c r="M4515" t="inlineStr">
        <is>
          <t>Bonus, Healthcare Plan, Travel Opportunities</t>
        </is>
      </c>
      <c r="N4515" s="8">
        <f>HYPERLINK("https://www.vietnamworks.com/giam-djoc-thu-hoi-no-qua-djien-thoai-tele-debt-recovery-manager-khoi-thu-hoi-no-2014878-jv","Xem chi tiết")</f>
        <v/>
      </c>
    </row>
    <row r="4516">
      <c r="B4516" s="9" t="n">
        <v>4514</v>
      </c>
      <c r="C4516" s="10" t="inlineStr">
        <is>
          <t>Sales Support Product Engineer</t>
        </is>
      </c>
      <c r="D4516" s="10" t="inlineStr">
        <is>
          <t>NVC International Vietnam</t>
        </is>
      </c>
      <c r="E4516" s="10" t="inlineStr">
        <is>
          <t>Từ 18tr ₫/tháng</t>
        </is>
      </c>
      <c r="F4516" s="10" t="inlineStr">
        <is>
          <t>Hồ Chí Minh</t>
        </is>
      </c>
      <c r="G4516" s="10" t="inlineStr">
        <is>
          <t>Nhân viên</t>
        </is>
      </c>
      <c r="H4516" s="10" t="inlineStr">
        <is>
          <t>26/02/2026</t>
        </is>
      </c>
      <c r="I4516" s="10" t="inlineStr">
        <is>
          <t>29/03/2026</t>
        </is>
      </c>
      <c r="J4516" s="10" t="inlineStr">
        <is>
          <t>17/03/2026</t>
        </is>
      </c>
      <c r="K4516" s="10" t="inlineStr">
        <is>
          <t>N/A</t>
        </is>
      </c>
      <c r="L4516" s="10" t="inlineStr">
        <is>
          <t>Analytical Skills, Microsoft Excel, English, Lightning, Technical Sales Support</t>
        </is>
      </c>
      <c r="M4516" s="10" t="inlineStr">
        <is>
          <t>Healthcare Plan</t>
        </is>
      </c>
      <c r="N4516" s="11">
        <f>HYPERLINK("https://www.vietnamworks.com/sales-support-product-engineer-2014832-jv","Xem chi tiết")</f>
        <v/>
      </c>
      <c r="O4516" s="10" t="n"/>
    </row>
    <row r="4517">
      <c r="B4517" s="7" t="n">
        <v>4515</v>
      </c>
      <c r="C4517" t="inlineStr">
        <is>
          <t>Chỉ Huy Trưởng (Mặt Dựng hoặc Nội Thất) / Project Manager (Façade Or Interior)</t>
        </is>
      </c>
      <c r="D4517" t="inlineStr">
        <is>
          <t>China Construction Shenzhen Decoration Co.,Ltd</t>
        </is>
      </c>
      <c r="E4517" t="inlineStr">
        <is>
          <t>Thương lượng</t>
        </is>
      </c>
      <c r="F4517" t="inlineStr">
        <is>
          <t>Hà Nội, Kiên Giang, Hải Phòng</t>
        </is>
      </c>
      <c r="G4517" t="inlineStr">
        <is>
          <t>Nhân viên</t>
        </is>
      </c>
      <c r="H4517" t="inlineStr">
        <is>
          <t>26/02/2026</t>
        </is>
      </c>
      <c r="I4517" t="inlineStr">
        <is>
          <t>29/03/2026</t>
        </is>
      </c>
      <c r="J4517" t="inlineStr">
        <is>
          <t>17/03/2026</t>
        </is>
      </c>
      <c r="K4517" t="inlineStr">
        <is>
          <t>N/A</t>
        </is>
      </c>
      <c r="L4517" t="inlineStr">
        <is>
          <t>Xây Dựng Dân Dụng, Kết cấu, Mặt Dựng, Civil Construction</t>
        </is>
      </c>
      <c r="M4517" t="inlineStr">
        <is>
          <t>Bonus, Healthcare Plan, Paid Leave, Training, Team Activities</t>
        </is>
      </c>
      <c r="N4517" s="8">
        <f>HYPERLINK("https://www.vietnamworks.com/chi-huy-truong-mat-dung-hoac-noi-that-project-manager-facade-or-interior-2014880-jv","Xem chi tiết")</f>
        <v/>
      </c>
    </row>
    <row r="4518">
      <c r="B4518" s="9" t="n">
        <v>4516</v>
      </c>
      <c r="C4518" s="10" t="inlineStr">
        <is>
          <t>Sales Manager (EPC Project)</t>
        </is>
      </c>
      <c r="D4518" s="10" t="inlineStr">
        <is>
          <t>SUZHOU INOVANCE TECHNOLOGY</t>
        </is>
      </c>
      <c r="E4518" s="10" t="inlineStr">
        <is>
          <t>$$ 3,000-5,000 /tháng</t>
        </is>
      </c>
      <c r="F4518" s="10" t="inlineStr">
        <is>
          <t>Hà Nội</t>
        </is>
      </c>
      <c r="G4518" s="10" t="inlineStr">
        <is>
          <t>Trưởng phòng</t>
        </is>
      </c>
      <c r="H4518" s="10" t="inlineStr">
        <is>
          <t>27/02/2026</t>
        </is>
      </c>
      <c r="I4518" s="10" t="inlineStr">
        <is>
          <t>29/03/2026</t>
        </is>
      </c>
      <c r="J4518" s="10" t="inlineStr">
        <is>
          <t>17/03/2026</t>
        </is>
      </c>
      <c r="K4518" s="10" t="inlineStr">
        <is>
          <t>N/A</t>
        </is>
      </c>
      <c r="L4518" s="10" t="inlineStr">
        <is>
          <t>Sales, EPC, Sale Management, Tiếng Trung (4 kỹ năng: nghe, nói, đọc, viết), Business Development</t>
        </is>
      </c>
      <c r="M4518" s="10" t="inlineStr">
        <is>
          <t>Bonus</t>
        </is>
      </c>
      <c r="N4518" s="11">
        <f>HYPERLINK("https://www.vietnamworks.com/sales-manager-epc-project-2014897-jv","Xem chi tiết")</f>
        <v/>
      </c>
      <c r="O4518" s="10" t="n"/>
    </row>
    <row r="4519">
      <c r="B4519" s="7" t="n">
        <v>4517</v>
      </c>
      <c r="C4519" t="inlineStr">
        <is>
          <t>IP Enforcement Associate</t>
        </is>
      </c>
      <c r="D4519" t="inlineStr">
        <is>
          <t>Công Ty TNHH Sở Hữu Trí Tuệ S&amp;O</t>
        </is>
      </c>
      <c r="E4519" t="inlineStr">
        <is>
          <t>Thương lượng</t>
        </is>
      </c>
      <c r="F4519" t="inlineStr">
        <is>
          <t>Hà Nội, Hồ Chí Minh</t>
        </is>
      </c>
      <c r="G4519" t="inlineStr">
        <is>
          <t>Nhân viên</t>
        </is>
      </c>
      <c r="H4519" t="inlineStr">
        <is>
          <t>26/02/2026</t>
        </is>
      </c>
      <c r="I4519" t="inlineStr">
        <is>
          <t>29/03/2026</t>
        </is>
      </c>
      <c r="J4519" t="inlineStr">
        <is>
          <t>17/03/2026</t>
        </is>
      </c>
      <c r="K4519" t="inlineStr">
        <is>
          <t>N/A</t>
        </is>
      </c>
      <c r="L4519" t="inlineStr">
        <is>
          <t>Legal Advisory, English, Contract Enforcement, Intellectual Property Management, International Intellectual Property Law</t>
        </is>
      </c>
      <c r="M4519" t="inlineStr">
        <is>
          <t>Paid Leave, Others</t>
        </is>
      </c>
      <c r="N4519" s="8">
        <f>HYPERLINK("https://www.vietnamworks.com/ip-enforcement-associate-2014749-jv","Xem chi tiết")</f>
        <v/>
      </c>
    </row>
    <row r="4520">
      <c r="B4520" s="9" t="n">
        <v>4518</v>
      </c>
      <c r="C4520" s="10" t="inlineStr">
        <is>
          <t>Kế Toán Trưởng</t>
        </is>
      </c>
      <c r="D4520" s="10" t="inlineStr">
        <is>
          <t>Công ty TNHH Dịch Vụ TL</t>
        </is>
      </c>
      <c r="E4520" s="10" t="inlineStr">
        <is>
          <t>Thương lượng</t>
        </is>
      </c>
      <c r="F4520" s="10" t="inlineStr">
        <is>
          <t>Hồ Chí Minh</t>
        </is>
      </c>
      <c r="G4520" s="10" t="inlineStr">
        <is>
          <t>Trưởng phòng</t>
        </is>
      </c>
      <c r="H4520" s="10" t="inlineStr">
        <is>
          <t>27/02/2026</t>
        </is>
      </c>
      <c r="I4520" s="10" t="inlineStr">
        <is>
          <t>29/03/2026</t>
        </is>
      </c>
      <c r="J4520" s="10" t="inlineStr">
        <is>
          <t>17/03/2026</t>
        </is>
      </c>
      <c r="K4520" s="10" t="inlineStr">
        <is>
          <t>N/A</t>
        </is>
      </c>
      <c r="L4520" s="10" t="inlineStr">
        <is>
          <t>Báo Cáo Tài Chính, Hạch Toán, Kiểm Soát Chi Phí, Lập Chứng Từ Thu Chi, Phần Mềm Kế Toán</t>
        </is>
      </c>
      <c r="M4520" s="10" t="inlineStr">
        <is>
          <t>Bonus, Healthcare Plan, Awards, Canteen</t>
        </is>
      </c>
      <c r="N4520" s="11">
        <f>HYPERLINK("https://www.vietnamworks.com/ke-toan-truong-2014908-jv","Xem chi tiết")</f>
        <v/>
      </c>
      <c r="O4520" s="10" t="n"/>
    </row>
    <row r="4521">
      <c r="B4521" s="7" t="n">
        <v>4519</v>
      </c>
      <c r="C4521" t="inlineStr">
        <is>
          <t>Nhân Viên Phòng Đảm Bảo Chất Lượng Xe Thành Phẩm</t>
        </is>
      </c>
      <c r="D4521" t="inlineStr">
        <is>
          <t>Yamaha Motor Vietnam</t>
        </is>
      </c>
      <c r="E4521" t="inlineStr">
        <is>
          <t>Thương lượng</t>
        </is>
      </c>
      <c r="F4521" t="inlineStr">
        <is>
          <t>Hà Nội</t>
        </is>
      </c>
      <c r="G4521" t="inlineStr">
        <is>
          <t>Mới Tốt Nghiệp</t>
        </is>
      </c>
      <c r="H4521" t="inlineStr">
        <is>
          <t>27/02/2026</t>
        </is>
      </c>
      <c r="I4521" t="inlineStr">
        <is>
          <t>29/03/2026</t>
        </is>
      </c>
      <c r="J4521" t="inlineStr">
        <is>
          <t>17/03/2026</t>
        </is>
      </c>
      <c r="K4521" t="inlineStr">
        <is>
          <t>N/A</t>
        </is>
      </c>
      <c r="L4521" t="inlineStr">
        <is>
          <t>Công Nghệ Ô Tô, Gia Công Áp Lực, Giao Tiếp Tiếng Anh, Kiểm Tra Chất Lượng, Quản Lý Chất Lượng</t>
        </is>
      </c>
      <c r="M4521" t="inlineStr">
        <is>
          <t>Bonus, Training, Laptop, Travel Opportunities, Team Activities, Transportation, Canteen</t>
        </is>
      </c>
      <c r="N4521" s="8">
        <f>HYPERLINK("https://www.vietnamworks.com/nhan-vien-phong-djam-bao-chat-luong-xe-thanh-pham-2014901-jv","Xem chi tiết")</f>
        <v/>
      </c>
    </row>
    <row r="4522">
      <c r="B4522" s="9" t="n">
        <v>4520</v>
      </c>
      <c r="C4522" s="10" t="inlineStr">
        <is>
          <t>Digital Team Supervisor – IT Solution Department</t>
        </is>
      </c>
      <c r="D4522" s="10" t="inlineStr">
        <is>
          <t>Yamaha Motor Vietnam</t>
        </is>
      </c>
      <c r="E4522" s="10" t="inlineStr">
        <is>
          <t>Thương lượng</t>
        </is>
      </c>
      <c r="F4522" s="10" t="inlineStr">
        <is>
          <t>Hà Nội</t>
        </is>
      </c>
      <c r="G4522" s="10" t="inlineStr">
        <is>
          <t>Nhân viên</t>
        </is>
      </c>
      <c r="H4522" s="10" t="inlineStr">
        <is>
          <t>27/02/2026</t>
        </is>
      </c>
      <c r="I4522" s="10" t="inlineStr">
        <is>
          <t>29/03/2026</t>
        </is>
      </c>
      <c r="J4522" s="10" t="inlineStr">
        <is>
          <t>17/03/2026</t>
        </is>
      </c>
      <c r="K4522" s="10" t="inlineStr">
        <is>
          <t>N/A</t>
        </is>
      </c>
      <c r="L4522" s="10" t="inlineStr">
        <is>
          <t>Data Management, Digitalization, Problem-solving, Stakeholder Management, Team Management</t>
        </is>
      </c>
      <c r="M4522" s="10" t="inlineStr">
        <is>
          <t>Bonus, Healthcare Plan, Training, Travel Opportunities, Team Activities, Transportation</t>
        </is>
      </c>
      <c r="N4522" s="11">
        <f>HYPERLINK("https://www.vietnamworks.com/digital-team-supervisor-it-solution-department-2014904-jv","Xem chi tiết")</f>
        <v/>
      </c>
      <c r="O4522" s="10" t="n"/>
    </row>
    <row r="4523">
      <c r="B4523" s="7" t="n">
        <v>4521</v>
      </c>
      <c r="C4523" t="inlineStr">
        <is>
          <t>Cost Planning Engineer</t>
        </is>
      </c>
      <c r="D4523" t="inlineStr">
        <is>
          <t>Công Ty Cổ Phần Tập Đoàn Masterise</t>
        </is>
      </c>
      <c r="E4523" t="inlineStr">
        <is>
          <t>Thương lượng</t>
        </is>
      </c>
      <c r="F4523" t="inlineStr">
        <is>
          <t>Hà Nội</t>
        </is>
      </c>
      <c r="G4523" t="inlineStr">
        <is>
          <t>Nhân viên</t>
        </is>
      </c>
      <c r="H4523" t="inlineStr">
        <is>
          <t>27/02/2026</t>
        </is>
      </c>
      <c r="I4523" t="inlineStr">
        <is>
          <t>29/03/2026</t>
        </is>
      </c>
      <c r="J4523" t="inlineStr">
        <is>
          <t>17/03/2026</t>
        </is>
      </c>
      <c r="K4523" t="inlineStr">
        <is>
          <t>N/A</t>
        </is>
      </c>
      <c r="L4523" t="inlineStr">
        <is>
          <t>Cost Estimation, Budgetary Control, Cost Planning, MEP Engineering</t>
        </is>
      </c>
      <c r="M4523" t="inlineStr">
        <is>
          <t>Bonus, Healthcare Plan, Laptop</t>
        </is>
      </c>
      <c r="N4523" s="8">
        <f>HYPERLINK("https://www.vietnamworks.com/cost-planning-engineer-2014910-jv","Xem chi tiết")</f>
        <v/>
      </c>
    </row>
    <row r="4524">
      <c r="B4524" s="9" t="n">
        <v>4522</v>
      </c>
      <c r="C4524" s="10" t="inlineStr">
        <is>
          <t>Nhân Viên Sản Xuất</t>
        </is>
      </c>
      <c r="D4524" s="10" t="inlineStr">
        <is>
          <t>Công Ty TNHH Vật Liệu Nam Châm Shin-Etsu Việt Nam</t>
        </is>
      </c>
      <c r="E4524" s="10" t="inlineStr">
        <is>
          <t>11tr-14tr ₫/tháng</t>
        </is>
      </c>
      <c r="F4524" s="10" t="inlineStr">
        <is>
          <t>Hải Phòng</t>
        </is>
      </c>
      <c r="G4524" s="10" t="inlineStr">
        <is>
          <t>Nhân viên</t>
        </is>
      </c>
      <c r="H4524" s="10" t="inlineStr">
        <is>
          <t>27/02/2026</t>
        </is>
      </c>
      <c r="I4524" s="10" t="inlineStr">
        <is>
          <t>29/03/2026</t>
        </is>
      </c>
      <c r="J4524" s="10" t="inlineStr">
        <is>
          <t>17/03/2026</t>
        </is>
      </c>
      <c r="K4524" s="10" t="inlineStr">
        <is>
          <t>N/A</t>
        </is>
      </c>
      <c r="L4524" s="10" t="inlineStr">
        <is>
          <t>Sản xuất, Giám Sát Vật Liệu, Kế Hoạch Sản Xuất, Production Planning, Tiếng Anh</t>
        </is>
      </c>
      <c r="M4524" s="10" t="inlineStr">
        <is>
          <t>Bonus, Healthcare Plan, Paid Leave, Awards</t>
        </is>
      </c>
      <c r="N4524" s="11">
        <f>HYPERLINK("https://www.vietnamworks.com/nhan-vien-san-xuat-2014902-jv","Xem chi tiết")</f>
        <v/>
      </c>
      <c r="O4524" s="10" t="n"/>
    </row>
    <row r="4525">
      <c r="B4525" s="7" t="n">
        <v>4523</v>
      </c>
      <c r="C4525" t="inlineStr">
        <is>
          <t>Freight Forwarder Senior Operations</t>
        </is>
      </c>
      <c r="D4525" t="inlineStr">
        <is>
          <t>Triple Eagle Logistics (Vietnam) Company Ltd</t>
        </is>
      </c>
      <c r="E4525" t="inlineStr">
        <is>
          <t>Thương lượng</t>
        </is>
      </c>
      <c r="F4525" t="inlineStr">
        <is>
          <t>Hồ Chí Minh</t>
        </is>
      </c>
      <c r="G4525" t="inlineStr">
        <is>
          <t>Nhân viên</t>
        </is>
      </c>
      <c r="H4525" t="inlineStr">
        <is>
          <t>27/02/2026</t>
        </is>
      </c>
      <c r="I4525" t="inlineStr">
        <is>
          <t>29/03/2026</t>
        </is>
      </c>
      <c r="J4525" t="inlineStr">
        <is>
          <t>17/03/2026</t>
        </is>
      </c>
      <c r="K4525" t="inlineStr">
        <is>
          <t>N/A</t>
        </is>
      </c>
      <c r="L4525" t="inlineStr">
        <is>
          <t>Customs Regulation, Freight Forwarding, Logistics Management System, Shipping Documents</t>
        </is>
      </c>
      <c r="M4525" t="inlineStr">
        <is>
          <t>Bonus, Paid Leave, Training</t>
        </is>
      </c>
      <c r="N4525" s="8">
        <f>HYPERLINK("https://www.vietnamworks.com/freight-forwarder-senior-operations-2014903-jv","Xem chi tiết")</f>
        <v/>
      </c>
    </row>
    <row r="4526">
      <c r="B4526" s="9" t="n">
        <v>4524</v>
      </c>
      <c r="C4526" s="10" t="inlineStr">
        <is>
          <t>Nhân Viên Hành Chính Nhân Sự</t>
        </is>
      </c>
      <c r="D4526" s="10" t="inlineStr">
        <is>
          <t>Công Ty Cổ Phần Apollo Silicone</t>
        </is>
      </c>
      <c r="E4526" s="10" t="inlineStr">
        <is>
          <t>Thương lượng</t>
        </is>
      </c>
      <c r="F4526" s="10" t="inlineStr">
        <is>
          <t>Hồ Chí Minh</t>
        </is>
      </c>
      <c r="G4526" s="10" t="inlineStr">
        <is>
          <t>Nhân viên</t>
        </is>
      </c>
      <c r="H4526" s="10" t="inlineStr">
        <is>
          <t>27/02/2026</t>
        </is>
      </c>
      <c r="I4526" s="10" t="inlineStr">
        <is>
          <t>29/03/2026</t>
        </is>
      </c>
      <c r="J4526" s="10" t="inlineStr">
        <is>
          <t>17/03/2026</t>
        </is>
      </c>
      <c r="K4526" s="10" t="inlineStr">
        <is>
          <t>N/A</t>
        </is>
      </c>
      <c r="L4526" s="10" t="inlineStr">
        <is>
          <t>Nhân Sự, Hành Chính, An Toàn Vệ Sinh Môi Trường, kho, Hành Chính Tổng Hợp</t>
        </is>
      </c>
      <c r="M4526" s="10" t="inlineStr">
        <is>
          <t>Bonus</t>
        </is>
      </c>
      <c r="N4526" s="11">
        <f>HYPERLINK("https://www.vietnamworks.com/nhan-vien-hanh-chinh-nhan-su--2014906-jv","Xem chi tiết")</f>
        <v/>
      </c>
      <c r="O4526" s="10" t="n"/>
    </row>
    <row r="4527">
      <c r="B4527" s="7" t="n">
        <v>4525</v>
      </c>
      <c r="C4527" t="inlineStr">
        <is>
          <t>Giáo Viên Toán Tiểu Học</t>
        </is>
      </c>
      <c r="D4527" t="inlineStr">
        <is>
          <t>Công ty TNHH Dịch vụ và Đào tạo 123 GoUp</t>
        </is>
      </c>
      <c r="E4527" t="inlineStr">
        <is>
          <t>7tr-12tr ₫/tháng</t>
        </is>
      </c>
      <c r="F4527" t="inlineStr">
        <is>
          <t>Bà Rịa - Vũng Tàu</t>
        </is>
      </c>
      <c r="G4527" t="inlineStr">
        <is>
          <t>Mới Tốt Nghiệp</t>
        </is>
      </c>
      <c r="H4527" t="inlineStr">
        <is>
          <t>27/02/2026</t>
        </is>
      </c>
      <c r="I4527" t="inlineStr">
        <is>
          <t>29/03/2026</t>
        </is>
      </c>
      <c r="J4527" t="inlineStr">
        <is>
          <t>17/03/2026</t>
        </is>
      </c>
      <c r="K4527" t="inlineStr">
        <is>
          <t>N/A</t>
        </is>
      </c>
      <c r="L4527" t="inlineStr">
        <is>
          <t>Giảng Dạy, Giảng Dạy Môn Toán, Giao Tiếp, Kỹ Năng Sư Phạm, Soạn Thảo Giáo Án</t>
        </is>
      </c>
      <c r="M4527" t="inlineStr">
        <is>
          <t>Bonus, Others</t>
        </is>
      </c>
      <c r="N4527" s="8">
        <f>HYPERLINK("https://www.vietnamworks.com/giao-vien-toan-tieu-hoc-2014907-jv","Xem chi tiết")</f>
        <v/>
      </c>
    </row>
    <row r="4528">
      <c r="B4528" s="9" t="n">
        <v>4526</v>
      </c>
      <c r="C4528" s="10" t="inlineStr">
        <is>
          <t>[Viettel Asset] - Nhân viên Quản Lý Vận Hành &amp; Kỹ Thuật Tòa Nhà Viettel</t>
        </is>
      </c>
      <c r="D4528" s="10" t="inlineStr">
        <is>
          <t>Tập Đoàn Công Nghiệp - Viễn Thông Quân Đội - Công Ty Quản Lý Tài Sản Viettel</t>
        </is>
      </c>
      <c r="E4528" s="10" t="inlineStr">
        <is>
          <t>10tr-20tr ₫/tháng</t>
        </is>
      </c>
      <c r="F4528" s="10" t="inlineStr">
        <is>
          <t>Hà Nội, Hải Phòng</t>
        </is>
      </c>
      <c r="G4528" s="10" t="inlineStr">
        <is>
          <t>Nhân viên</t>
        </is>
      </c>
      <c r="H4528" s="10" t="inlineStr">
        <is>
          <t>27/02/2026</t>
        </is>
      </c>
      <c r="I4528" s="10" t="inlineStr">
        <is>
          <t>29/03/2026</t>
        </is>
      </c>
      <c r="J4528" s="10" t="inlineStr">
        <is>
          <t>17/03/2026</t>
        </is>
      </c>
      <c r="K4528" s="10" t="inlineStr">
        <is>
          <t>N/A</t>
        </is>
      </c>
      <c r="L4528" s="10" t="inlineStr">
        <is>
          <t>Kỹ Thuật Toà Nhà, Quản Lý Tài Sản, Xử Lý Sự Cố, Điện Nước Dân Dụng, Điều Hòa Không Khí</t>
        </is>
      </c>
      <c r="M4528" s="10" t="inlineStr">
        <is>
          <t>Bonus, Healthcare Plan, Laptop, Mobile, Others</t>
        </is>
      </c>
      <c r="N4528" s="11">
        <f>HYPERLINK("https://www.vietnamworks.com/viettel-asset-nhan-vien-quan-ly-van-hanh-and-ky-thuat-toa-nha-viettel-2014900-jv","Xem chi tiết")</f>
        <v/>
      </c>
      <c r="O4528" s="10" t="n"/>
    </row>
    <row r="4529">
      <c r="B4529" s="7" t="n">
        <v>4527</v>
      </c>
      <c r="C4529" t="inlineStr">
        <is>
          <t>Parts - Accessories Ordering &amp; Management</t>
        </is>
      </c>
      <c r="D4529" t="inlineStr">
        <is>
          <t>VINFAST TRADING AND PRODUCTION JSC</t>
        </is>
      </c>
      <c r="E4529" t="inlineStr">
        <is>
          <t>Thương lượng</t>
        </is>
      </c>
      <c r="F4529" t="inlineStr">
        <is>
          <t>Hà Nội, Quốc tế</t>
        </is>
      </c>
      <c r="G4529" t="inlineStr">
        <is>
          <t>Trưởng phòng</t>
        </is>
      </c>
      <c r="H4529" t="inlineStr">
        <is>
          <t>27/02/2026</t>
        </is>
      </c>
      <c r="I4529" t="inlineStr">
        <is>
          <t>29/03/2026</t>
        </is>
      </c>
      <c r="J4529" t="inlineStr">
        <is>
          <t>17/03/2026</t>
        </is>
      </c>
      <c r="K4529" t="inlineStr">
        <is>
          <t>N/A</t>
        </is>
      </c>
      <c r="L4529" t="inlineStr">
        <is>
          <t>Budget Management, Parts Ordering, Coordinating, Spare Parts Management, Supply Ordering</t>
        </is>
      </c>
      <c r="M4529" t="inlineStr">
        <is>
          <t>Bonus, Healthcare Plan, Others</t>
        </is>
      </c>
      <c r="N4529" s="8">
        <f>HYPERLINK("https://www.vietnamworks.com/parts-accessories-ordering-management-2014911-jv","Xem chi tiết")</f>
        <v/>
      </c>
    </row>
    <row r="4530">
      <c r="B4530" s="9" t="n">
        <v>4528</v>
      </c>
      <c r="C4530" s="10" t="inlineStr">
        <is>
          <t>Kỹ Sư Nông Nghiệp</t>
        </is>
      </c>
      <c r="D4530" s="10" t="inlineStr">
        <is>
          <t>Công ty TNHH Target Agriculture Việt Nam</t>
        </is>
      </c>
      <c r="E4530" s="10" t="inlineStr">
        <is>
          <t>8tr-10tr ₫/tháng</t>
        </is>
      </c>
      <c r="F4530" s="10" t="inlineStr">
        <is>
          <t>Hồ Chí Minh</t>
        </is>
      </c>
      <c r="G4530" s="10" t="inlineStr">
        <is>
          <t>Mới Tốt Nghiệp</t>
        </is>
      </c>
      <c r="H4530" s="10" t="inlineStr">
        <is>
          <t>27/02/2026</t>
        </is>
      </c>
      <c r="I4530" s="10" t="inlineStr">
        <is>
          <t>29/03/2026</t>
        </is>
      </c>
      <c r="J4530" s="10" t="inlineStr">
        <is>
          <t>17/03/2026</t>
        </is>
      </c>
      <c r="K4530" s="10" t="inlineStr">
        <is>
          <t>N/A</t>
        </is>
      </c>
      <c r="L4530" s="10" t="inlineStr">
        <is>
          <t>Cây Nông Nghiệp, Môi Trường An Toàn, Nông Nghiệp Trồng Trọt, Quản Lý Nông Nghiệp, Đảm Bảo Chất Lượng</t>
        </is>
      </c>
      <c r="M4530" s="10" t="inlineStr">
        <is>
          <t>Bonus, Healthcare Plan, Training, Awards, Team Activities, Others</t>
        </is>
      </c>
      <c r="N4530" s="11">
        <f>HYPERLINK("https://www.vietnamworks.com/ky-su-nong-nghiep-2014913-jv","Xem chi tiết")</f>
        <v/>
      </c>
      <c r="O4530" s="10" t="n"/>
    </row>
    <row r="4531">
      <c r="B4531" s="7" t="n">
        <v>4529</v>
      </c>
      <c r="C4531" t="inlineStr">
        <is>
          <t>Kỹ Sư Hiện Trường</t>
        </is>
      </c>
      <c r="D4531" t="inlineStr">
        <is>
          <t>Công Ty Cổ Phần Xây Dựng Khang Hy</t>
        </is>
      </c>
      <c r="E4531" t="inlineStr">
        <is>
          <t>Thương lượng</t>
        </is>
      </c>
      <c r="F4531" t="inlineStr">
        <is>
          <t>Hồ Chí Minh</t>
        </is>
      </c>
      <c r="G4531" t="inlineStr">
        <is>
          <t>Nhân viên</t>
        </is>
      </c>
      <c r="H4531" t="inlineStr">
        <is>
          <t>27/02/2026</t>
        </is>
      </c>
      <c r="I4531" t="inlineStr">
        <is>
          <t>29/03/2026</t>
        </is>
      </c>
      <c r="J4531" t="inlineStr">
        <is>
          <t>17/03/2026</t>
        </is>
      </c>
      <c r="K4531" t="inlineStr">
        <is>
          <t>N/A</t>
        </is>
      </c>
      <c r="L4531" t="inlineStr">
        <is>
          <t>AutoCAD, Giám Sát Thi Công, Ms Project, Quản Lý Chất Lượng Xây Dựng, Quản Lý Tiến Độ</t>
        </is>
      </c>
      <c r="M4531" t="inlineStr">
        <is>
          <t>Bonus, Others</t>
        </is>
      </c>
      <c r="N4531" s="8">
        <f>HYPERLINK("https://www.vietnamworks.com/ky-su-hien-truong-2014920-jv","Xem chi tiết")</f>
        <v/>
      </c>
    </row>
    <row r="4532">
      <c r="B4532" s="9" t="n">
        <v>4530</v>
      </c>
      <c r="C4532" s="10" t="inlineStr">
        <is>
          <t>Chief Accountant / Accounting Manager</t>
        </is>
      </c>
      <c r="D4532" s="10" t="inlineStr">
        <is>
          <t>CÔNG TY TNHH AURORA MANAGEMENT (VIỆT NAM)</t>
        </is>
      </c>
      <c r="E4532" s="10" t="inlineStr">
        <is>
          <t>Thương lượng</t>
        </is>
      </c>
      <c r="F4532" s="10" t="inlineStr">
        <is>
          <t>Hồ Chí Minh</t>
        </is>
      </c>
      <c r="G4532" s="10" t="inlineStr">
        <is>
          <t>Trưởng phòng</t>
        </is>
      </c>
      <c r="H4532" s="10" t="inlineStr">
        <is>
          <t>27/02/2026</t>
        </is>
      </c>
      <c r="I4532" s="10" t="inlineStr">
        <is>
          <t>29/03/2026</t>
        </is>
      </c>
      <c r="J4532" s="10" t="inlineStr">
        <is>
          <t>17/03/2026</t>
        </is>
      </c>
      <c r="K4532" s="10" t="inlineStr">
        <is>
          <t>N/A</t>
        </is>
      </c>
      <c r="L4532" s="10" t="inlineStr">
        <is>
          <t>Accounting Transactions, Communication, Financial Analysis, Leadership, Tax Regulation</t>
        </is>
      </c>
      <c r="M4532" s="10" t="inlineStr">
        <is>
          <t>Bonus, Healthcare Plan, Paid Leave, Team Activities</t>
        </is>
      </c>
      <c r="N4532" s="11">
        <f>HYPERLINK("https://www.vietnamworks.com/chief-accountant-accounting-manager-2014932-jv","Xem chi tiết")</f>
        <v/>
      </c>
      <c r="O4532" s="10" t="n"/>
    </row>
    <row r="4533">
      <c r="B4533" s="7" t="n">
        <v>4531</v>
      </c>
      <c r="C4533" t="inlineStr">
        <is>
          <t>Nhân Viên Bán Hàng (Lương 11 - 15 Triệu/Tháng)</t>
        </is>
      </c>
      <c r="D4533" t="inlineStr">
        <is>
          <t>Công Ty TNHH Paris Miki Việt Nam</t>
        </is>
      </c>
      <c r="E4533" t="inlineStr">
        <is>
          <t>11tr-15tr ₫/tháng</t>
        </is>
      </c>
      <c r="F4533" t="inlineStr">
        <is>
          <t>Hà Nội</t>
        </is>
      </c>
      <c r="G4533" t="inlineStr">
        <is>
          <t>Mới Tốt Nghiệp</t>
        </is>
      </c>
      <c r="H4533" t="inlineStr">
        <is>
          <t>27/02/2026</t>
        </is>
      </c>
      <c r="I4533" t="inlineStr">
        <is>
          <t>29/03/2026</t>
        </is>
      </c>
      <c r="J4533" t="inlineStr">
        <is>
          <t>17/03/2026</t>
        </is>
      </c>
      <c r="K4533" t="inlineStr">
        <is>
          <t>N/A</t>
        </is>
      </c>
      <c r="L4533" t="inlineStr">
        <is>
          <t>Bán Hàng, Tư Vấn Khách Hàng, Chăm Sóc Khách Hàng, Kiểm Tra Hàng Hóa, Tiếng Anh Giao Tiếp</t>
        </is>
      </c>
      <c r="M4533" t="inlineStr">
        <is>
          <t>Bonus, Healthcare Plan, Paid Leave, Training, Team Activities, Transportation, Others</t>
        </is>
      </c>
      <c r="N4533" s="8">
        <f>HYPERLINK("https://www.vietnamworks.com/nhan-vien-ban-hang-luong-11-15-trieuthang-2014918-jv","Xem chi tiết")</f>
        <v/>
      </c>
    </row>
    <row r="4534">
      <c r="B4534" s="9" t="n">
        <v>4532</v>
      </c>
      <c r="C4534" s="10" t="inlineStr">
        <is>
          <t>Supply Chain Specialist</t>
        </is>
      </c>
      <c r="D4534" s="10" t="inlineStr">
        <is>
          <t>Công Ty TNHH Jupiter Việt Nam</t>
        </is>
      </c>
      <c r="E4534" s="10" t="inlineStr">
        <is>
          <t>Thương lượng</t>
        </is>
      </c>
      <c r="F4534" s="10" t="inlineStr">
        <is>
          <t>Hồ Chí Minh</t>
        </is>
      </c>
      <c r="G4534" s="10" t="inlineStr">
        <is>
          <t>Nhân viên</t>
        </is>
      </c>
      <c r="H4534" s="10" t="inlineStr">
        <is>
          <t>27/02/2026</t>
        </is>
      </c>
      <c r="I4534" s="10" t="inlineStr">
        <is>
          <t>29/03/2026</t>
        </is>
      </c>
      <c r="J4534" s="10" t="inlineStr">
        <is>
          <t>17/03/2026</t>
        </is>
      </c>
      <c r="K4534" s="10" t="inlineStr">
        <is>
          <t>N/A</t>
        </is>
      </c>
      <c r="L4534" s="10" t="inlineStr">
        <is>
          <t>Chuỗi Cung Ứng, Quản Lý Chi Phí, Supplier Relationship Management, Thu Mua, Supply Chain Planning</t>
        </is>
      </c>
      <c r="M4534" s="10" t="inlineStr">
        <is>
          <t>Bonus, Healthcare Plan, Awards</t>
        </is>
      </c>
      <c r="N4534" s="11">
        <f>HYPERLINK("https://www.vietnamworks.com/supply-chain-specialist-2014914-jv","Xem chi tiết")</f>
        <v/>
      </c>
      <c r="O4534" s="10" t="n"/>
    </row>
    <row r="4535">
      <c r="B4535" s="7" t="n">
        <v>4533</v>
      </c>
      <c r="C4535" t="inlineStr">
        <is>
          <t>Nhân Viên Mua Hàng</t>
        </is>
      </c>
      <c r="D4535" t="inlineStr">
        <is>
          <t>Công Ty Cổ Phần Xây Dựng Khang Hy</t>
        </is>
      </c>
      <c r="E4535" t="inlineStr">
        <is>
          <t>Thương lượng</t>
        </is>
      </c>
      <c r="F4535" t="inlineStr">
        <is>
          <t>Hồ Chí Minh</t>
        </is>
      </c>
      <c r="G4535" t="inlineStr">
        <is>
          <t>Nhân viên</t>
        </is>
      </c>
      <c r="H4535" t="inlineStr">
        <is>
          <t>27/02/2026</t>
        </is>
      </c>
      <c r="I4535" t="inlineStr">
        <is>
          <t>29/03/2026</t>
        </is>
      </c>
      <c r="J4535" t="inlineStr">
        <is>
          <t>17/03/2026</t>
        </is>
      </c>
      <c r="K4535" t="inlineStr">
        <is>
          <t>N/A</t>
        </is>
      </c>
      <c r="L4535" t="inlineStr">
        <is>
          <t>Mua Hàng, Đàm Phán, Tiếng Anh, Tìm Kiếm Nhà Cung Cấp, Đánh Giá Nhà Cung Cấp</t>
        </is>
      </c>
      <c r="M4535" t="inlineStr">
        <is>
          <t>Bonus, Paid Leave, Travel Opportunities, Others</t>
        </is>
      </c>
      <c r="N4535" s="8">
        <f>HYPERLINK("https://www.vietnamworks.com/nhan-vien-mua-hang-2014919-jv","Xem chi tiết")</f>
        <v/>
      </c>
    </row>
    <row r="4536">
      <c r="B4536" s="9" t="n">
        <v>4534</v>
      </c>
      <c r="C4536" s="10" t="inlineStr">
        <is>
          <t>[Hanoi] Merchandising Manager - Denim</t>
        </is>
      </c>
      <c r="D4536" s="10" t="inlineStr">
        <is>
          <t>Newtimes Development LTD. - Vietnam Representative Office</t>
        </is>
      </c>
      <c r="E4536" s="10" t="inlineStr">
        <is>
          <t>Thương lượng</t>
        </is>
      </c>
      <c r="F4536" s="10" t="inlineStr">
        <is>
          <t>Hà Nội</t>
        </is>
      </c>
      <c r="G4536" s="10" t="inlineStr">
        <is>
          <t>Trưởng phòng</t>
        </is>
      </c>
      <c r="H4536" s="10" t="inlineStr">
        <is>
          <t>27/02/2026</t>
        </is>
      </c>
      <c r="I4536" s="10" t="inlineStr">
        <is>
          <t>29/03/2026</t>
        </is>
      </c>
      <c r="J4536" s="10" t="inlineStr">
        <is>
          <t>17/03/2026</t>
        </is>
      </c>
      <c r="K4536" s="10" t="inlineStr">
        <is>
          <t>N/A</t>
        </is>
      </c>
      <c r="L4536" s="10" t="inlineStr">
        <is>
          <t>Garment Technician, Denim Expertise, Denim Cut and Sew Knowledge, Patternmaking, Garment Technical Design</t>
        </is>
      </c>
      <c r="M4536" s="10" t="inlineStr">
        <is>
          <t>Bonus, Healthcare Plan, Team Activities</t>
        </is>
      </c>
      <c r="N4536" s="11">
        <f>HYPERLINK("https://www.vietnamworks.com/hanoi-merchandising-manager-denim-2014928-jv","Xem chi tiết")</f>
        <v/>
      </c>
      <c r="O4536" s="10" t="n"/>
    </row>
    <row r="4537">
      <c r="B4537" s="7" t="n">
        <v>4535</v>
      </c>
      <c r="C4537" t="inlineStr">
        <is>
          <t>Sales Manager</t>
        </is>
      </c>
      <c r="D4537" t="inlineStr">
        <is>
          <t>ABS Engineering Vietnam</t>
        </is>
      </c>
      <c r="E4537" t="inlineStr">
        <is>
          <t>Thương lượng</t>
        </is>
      </c>
      <c r="F4537" t="inlineStr">
        <is>
          <t>Hồ Chí Minh, Hà Nội</t>
        </is>
      </c>
      <c r="G4537" t="inlineStr">
        <is>
          <t>Trưởng phòng</t>
        </is>
      </c>
      <c r="H4537" t="inlineStr">
        <is>
          <t>27/02/2026</t>
        </is>
      </c>
      <c r="I4537" t="inlineStr">
        <is>
          <t>29/03/2026</t>
        </is>
      </c>
      <c r="J4537" t="inlineStr">
        <is>
          <t>17/03/2026</t>
        </is>
      </c>
      <c r="K4537" t="inlineStr">
        <is>
          <t>N/A</t>
        </is>
      </c>
      <c r="L4537" t="inlineStr">
        <is>
          <t>Sales Engineering, Automation, Sale technician, Mechanical, Bán Hàng Kỹ Thuật</t>
        </is>
      </c>
      <c r="M4537" t="inlineStr">
        <is>
          <t>Bonus, Healthcare Plan, Training</t>
        </is>
      </c>
      <c r="N4537" s="8">
        <f>HYPERLINK("https://www.vietnamworks.com/sales-manager--2014931-jv","Xem chi tiết")</f>
        <v/>
      </c>
    </row>
    <row r="4538">
      <c r="B4538" s="9" t="n">
        <v>4536</v>
      </c>
      <c r="C4538" s="10" t="inlineStr">
        <is>
          <t>Freight Forwarder Operations</t>
        </is>
      </c>
      <c r="D4538" s="10" t="inlineStr">
        <is>
          <t>Triple Eagle Logistics (Vietnam) Company Ltd</t>
        </is>
      </c>
      <c r="E4538" s="10" t="inlineStr">
        <is>
          <t>Thương lượng</t>
        </is>
      </c>
      <c r="F4538" s="10" t="inlineStr">
        <is>
          <t>Hồ Chí Minh</t>
        </is>
      </c>
      <c r="G4538" s="10" t="inlineStr">
        <is>
          <t>Nhân viên</t>
        </is>
      </c>
      <c r="H4538" s="10" t="inlineStr">
        <is>
          <t>27/02/2026</t>
        </is>
      </c>
      <c r="I4538" s="10" t="inlineStr">
        <is>
          <t>29/03/2026</t>
        </is>
      </c>
      <c r="J4538" s="10" t="inlineStr">
        <is>
          <t>17/03/2026</t>
        </is>
      </c>
      <c r="K4538" s="10" t="inlineStr">
        <is>
          <t>N/A</t>
        </is>
      </c>
      <c r="L4538" s="10" t="inlineStr">
        <is>
          <t>Customs Regulation, Freight Forwarding, Logistics Management System, Shipping Documents</t>
        </is>
      </c>
      <c r="M4538" s="10" t="inlineStr">
        <is>
          <t>Bonus, Paid Leave, Training</t>
        </is>
      </c>
      <c r="N4538" s="11">
        <f>HYPERLINK("https://www.vietnamworks.com/freight-forwarder-operations-2014915-jv","Xem chi tiết")</f>
        <v/>
      </c>
      <c r="O4538" s="10" t="n"/>
    </row>
    <row r="4539">
      <c r="B4539" s="7" t="n">
        <v>4537</v>
      </c>
      <c r="C4539" t="inlineStr">
        <is>
          <t>Senior Sales Engineer – Hanoi</t>
        </is>
      </c>
      <c r="D4539" t="inlineStr">
        <is>
          <t>NEDERMAN S.E.A CO., LTD - REP. OFFICE IN HCM</t>
        </is>
      </c>
      <c r="E4539" t="inlineStr">
        <is>
          <t>Thương lượng</t>
        </is>
      </c>
      <c r="F4539" t="inlineStr">
        <is>
          <t>Hà Nội, Bắc Ninh, Hải Phòng</t>
        </is>
      </c>
      <c r="G4539" t="inlineStr">
        <is>
          <t>Nhân viên</t>
        </is>
      </c>
      <c r="H4539" t="inlineStr">
        <is>
          <t>27/02/2026</t>
        </is>
      </c>
      <c r="I4539" t="inlineStr">
        <is>
          <t>29/03/2026</t>
        </is>
      </c>
      <c r="J4539" t="inlineStr">
        <is>
          <t>17/03/2026</t>
        </is>
      </c>
      <c r="K4539" t="inlineStr">
        <is>
          <t>N/A</t>
        </is>
      </c>
      <c r="L4539" t="inlineStr">
        <is>
          <t>AutoCAD, HVAC, Engineering, Industrial Sales, Sales Engineering</t>
        </is>
      </c>
      <c r="M4539" t="inlineStr">
        <is>
          <t>Bonus, Healthcare Plan, Others</t>
        </is>
      </c>
      <c r="N4539" s="8">
        <f>HYPERLINK("https://www.vietnamworks.com/senior-sales-engineer-hanoi--2014926-jv","Xem chi tiết")</f>
        <v/>
      </c>
    </row>
    <row r="4540">
      <c r="B4540" s="9" t="n">
        <v>4538</v>
      </c>
      <c r="C4540" s="10" t="inlineStr">
        <is>
          <t>Sales Engineer</t>
        </is>
      </c>
      <c r="D4540" s="10" t="inlineStr">
        <is>
          <t>Panasonic Vietnam Co.,LTD</t>
        </is>
      </c>
      <c r="E4540" s="10" t="inlineStr">
        <is>
          <t>Thương lượng</t>
        </is>
      </c>
      <c r="F4540" s="10" t="inlineStr">
        <is>
          <t>Hà Nội</t>
        </is>
      </c>
      <c r="G4540" s="10" t="inlineStr">
        <is>
          <t>Nhân viên</t>
        </is>
      </c>
      <c r="H4540" s="10" t="inlineStr">
        <is>
          <t>27/02/2026</t>
        </is>
      </c>
      <c r="I4540" s="10" t="inlineStr">
        <is>
          <t>29/03/2026</t>
        </is>
      </c>
      <c r="J4540" s="10" t="inlineStr">
        <is>
          <t>17/03/2026</t>
        </is>
      </c>
      <c r="K4540" s="10" t="inlineStr">
        <is>
          <t>N/A</t>
        </is>
      </c>
      <c r="L4540" s="10" t="inlineStr">
        <is>
          <t>Electrical, Chinese Speaking, Chinese, B2B Sales, SMT Engineering</t>
        </is>
      </c>
      <c r="M4540" s="10" t="inlineStr">
        <is>
          <t>Bonus, Training, Transportation</t>
        </is>
      </c>
      <c r="N4540" s="11">
        <f>HYPERLINK("https://www.vietnamworks.com/sales-engineer--2014936-jv","Xem chi tiết")</f>
        <v/>
      </c>
      <c r="O4540" s="10" t="n"/>
    </row>
    <row r="4541">
      <c r="B4541" s="7" t="n">
        <v>4539</v>
      </c>
      <c r="C4541" t="inlineStr">
        <is>
          <t>Cán Bộ Quản Lý Nhân Sự</t>
        </is>
      </c>
      <c r="D4541" t="inlineStr">
        <is>
          <t>Công Ty Cổ Phần Prosi Thăng LONG</t>
        </is>
      </c>
      <c r="E4541" t="inlineStr">
        <is>
          <t>Thương lượng</t>
        </is>
      </c>
      <c r="F4541" t="inlineStr">
        <is>
          <t>Hà Nội</t>
        </is>
      </c>
      <c r="G4541" t="inlineStr">
        <is>
          <t>Nhân viên</t>
        </is>
      </c>
      <c r="H4541" t="inlineStr">
        <is>
          <t>27/02/2026</t>
        </is>
      </c>
      <c r="I4541" t="inlineStr">
        <is>
          <t>29/03/2026</t>
        </is>
      </c>
      <c r="J4541" t="inlineStr">
        <is>
          <t>17/03/2026</t>
        </is>
      </c>
      <c r="K4541" t="inlineStr">
        <is>
          <t>N/A</t>
        </is>
      </c>
      <c r="L4541" t="inlineStr">
        <is>
          <t>HR Reports, HR Management, Tính Lương, Quản Lý Nhân Sự, Luật Lao Động</t>
        </is>
      </c>
      <c r="M4541" t="inlineStr">
        <is>
          <t>Bonus, Healthcare Plan, Others</t>
        </is>
      </c>
      <c r="N4541" s="8">
        <f>HYPERLINK("https://www.vietnamworks.com/can-bo-quan-ly-nhan-su--2014922-jv","Xem chi tiết")</f>
        <v/>
      </c>
    </row>
    <row r="4542">
      <c r="B4542" s="9" t="n">
        <v>4540</v>
      </c>
      <c r="C4542" s="10" t="inlineStr">
        <is>
          <t>Chuyên Viên Nhân Sự C&amp;B</t>
        </is>
      </c>
      <c r="D4542" s="10" t="inlineStr">
        <is>
          <t>Ngân Hàng TNHH MTV Woori Việt Nam</t>
        </is>
      </c>
      <c r="E4542" s="10" t="inlineStr">
        <is>
          <t>$$ 800-1,000 /tháng</t>
        </is>
      </c>
      <c r="F4542" s="10" t="inlineStr">
        <is>
          <t>Hà Nội</t>
        </is>
      </c>
      <c r="G4542" s="10" t="inlineStr">
        <is>
          <t>Nhân viên</t>
        </is>
      </c>
      <c r="H4542" s="10" t="inlineStr">
        <is>
          <t>27/02/2026</t>
        </is>
      </c>
      <c r="I4542" s="10" t="inlineStr">
        <is>
          <t>29/03/2026</t>
        </is>
      </c>
      <c r="J4542" s="10" t="inlineStr">
        <is>
          <t>17/03/2026</t>
        </is>
      </c>
      <c r="K4542" s="10" t="inlineStr">
        <is>
          <t>N/A</t>
        </is>
      </c>
      <c r="L4542" s="10" t="inlineStr">
        <is>
          <t>Human Resources, English, Nhân Sự, C&amp;B</t>
        </is>
      </c>
      <c r="M4542" s="10" t="inlineStr">
        <is>
          <t>Bonus, Mobile, Others</t>
        </is>
      </c>
      <c r="N4542" s="11">
        <f>HYPERLINK("https://www.vietnamworks.com/chuyen-vien-nhan-su-c-b--2014916-jv","Xem chi tiết")</f>
        <v/>
      </c>
      <c r="O4542" s="10" t="n"/>
    </row>
    <row r="4543">
      <c r="B4543" s="7" t="n">
        <v>4541</v>
      </c>
      <c r="C4543" t="inlineStr">
        <is>
          <t>Kế Toán Trưởng</t>
        </is>
      </c>
      <c r="D4543" t="inlineStr">
        <is>
          <t>Công Ty TNHH Đầu Tư Thương Mại Dịch Vụ Lido</t>
        </is>
      </c>
      <c r="E4543" t="inlineStr">
        <is>
          <t>$$ 800-1,200 /tháng</t>
        </is>
      </c>
      <c r="F4543" t="inlineStr">
        <is>
          <t>Hồ Chí Minh</t>
        </is>
      </c>
      <c r="G4543" t="inlineStr">
        <is>
          <t>Trưởng phòng</t>
        </is>
      </c>
      <c r="H4543" t="inlineStr">
        <is>
          <t>27/02/2026</t>
        </is>
      </c>
      <c r="I4543" t="inlineStr">
        <is>
          <t>29/03/2026</t>
        </is>
      </c>
      <c r="J4543" t="inlineStr">
        <is>
          <t>17/03/2026</t>
        </is>
      </c>
      <c r="K4543" t="inlineStr">
        <is>
          <t>N/A</t>
        </is>
      </c>
      <c r="L4543" t="inlineStr">
        <is>
          <t>Kế Toán, Kế Toán Tổng Hợp, Kế Toán Doanh Nghiệp, Kế Toán Trưởng, Kế Toán Thuế</t>
        </is>
      </c>
      <c r="M4543" t="inlineStr">
        <is>
          <t>Bonus, Awards</t>
        </is>
      </c>
      <c r="N4543" s="8">
        <f>HYPERLINK("https://www.vietnamworks.com/ke-toan-truong--2014917-jv","Xem chi tiết")</f>
        <v/>
      </c>
    </row>
    <row r="4544">
      <c r="B4544" s="9" t="n">
        <v>4542</v>
      </c>
      <c r="C4544" s="10" t="inlineStr">
        <is>
          <t>Trưởng Nhóm Thiết Kế Cảnh Quan</t>
        </is>
      </c>
      <c r="D4544" s="10" t="inlineStr">
        <is>
          <t>Công Ty TNHH Kiến Trúc Scene Plus</t>
        </is>
      </c>
      <c r="E4544" s="10" t="inlineStr">
        <is>
          <t>Thương lượng</t>
        </is>
      </c>
      <c r="F4544" s="10" t="inlineStr">
        <is>
          <t>Hồ Chí Minh</t>
        </is>
      </c>
      <c r="G4544" s="10" t="inlineStr">
        <is>
          <t>Nhân viên</t>
        </is>
      </c>
      <c r="H4544" s="10" t="inlineStr">
        <is>
          <t>27/02/2026</t>
        </is>
      </c>
      <c r="I4544" s="10" t="inlineStr">
        <is>
          <t>29/03/2026</t>
        </is>
      </c>
      <c r="J4544" s="10" t="inlineStr">
        <is>
          <t>17/03/2026</t>
        </is>
      </c>
      <c r="K4544" s="10" t="inlineStr">
        <is>
          <t>N/A</t>
        </is>
      </c>
      <c r="L4544" s="10" t="inlineStr">
        <is>
          <t>AutoCAD, Sketchup, Photoshop, Lumion, Thiết Kế Cảnh Quan</t>
        </is>
      </c>
      <c r="M4544" s="10" t="inlineStr">
        <is>
          <t>Bonus, Healthcare Plan, Training, Awards, Library, Others</t>
        </is>
      </c>
      <c r="N4544" s="11">
        <f>HYPERLINK("https://www.vietnamworks.com/truong-nhom-thiet-ke-canh-quan-2014937-jv","Xem chi tiết")</f>
        <v/>
      </c>
      <c r="O4544" s="10" t="n"/>
    </row>
    <row r="4545">
      <c r="B4545" s="7" t="n">
        <v>4543</v>
      </c>
      <c r="C4545" t="inlineStr">
        <is>
          <t>Technical Sales Manager</t>
        </is>
      </c>
      <c r="D4545" t="inlineStr">
        <is>
          <t>Imax Technologies (Vietnam) Co., Ltd.</t>
        </is>
      </c>
      <c r="E4545" t="inlineStr">
        <is>
          <t>$$ 25,000-30,000 /tháng</t>
        </is>
      </c>
      <c r="F4545" t="inlineStr">
        <is>
          <t>Hồ Chí Minh</t>
        </is>
      </c>
      <c r="G4545" t="inlineStr">
        <is>
          <t>Trưởng phòng</t>
        </is>
      </c>
      <c r="H4545" t="inlineStr">
        <is>
          <t>27/02/2026</t>
        </is>
      </c>
      <c r="I4545" t="inlineStr">
        <is>
          <t>29/03/2026</t>
        </is>
      </c>
      <c r="J4545" t="inlineStr">
        <is>
          <t>17/03/2026</t>
        </is>
      </c>
      <c r="K4545" t="inlineStr">
        <is>
          <t>N/A</t>
        </is>
      </c>
      <c r="L4545" t="inlineStr">
        <is>
          <t>Technical Sales, Electrical Engineering, Power Quality Products, HVAC System, Business Development</t>
        </is>
      </c>
      <c r="M4545" t="inlineStr">
        <is>
          <t>Training</t>
        </is>
      </c>
      <c r="N4545" s="8">
        <f>HYPERLINK("https://www.vietnamworks.com/technical-sales-manager-2014929-jv","Xem chi tiết")</f>
        <v/>
      </c>
    </row>
    <row r="4546">
      <c r="B4546" s="9" t="n">
        <v>4544</v>
      </c>
      <c r="C4546" s="10" t="inlineStr">
        <is>
          <t>[Hanoi] Site Manager</t>
        </is>
      </c>
      <c r="D4546" s="10" t="inlineStr">
        <is>
          <t>Gamuda Land Vietnam LLC</t>
        </is>
      </c>
      <c r="E4546" s="10" t="inlineStr">
        <is>
          <t>Thương lượng</t>
        </is>
      </c>
      <c r="F4546" s="10" t="inlineStr">
        <is>
          <t>Hà Nội</t>
        </is>
      </c>
      <c r="G4546" s="10" t="inlineStr">
        <is>
          <t>Trưởng phòng</t>
        </is>
      </c>
      <c r="H4546" s="10" t="inlineStr">
        <is>
          <t>27/02/2026</t>
        </is>
      </c>
      <c r="I4546" s="10" t="inlineStr">
        <is>
          <t>29/03/2026</t>
        </is>
      </c>
      <c r="J4546" s="10" t="inlineStr">
        <is>
          <t>17/03/2026</t>
        </is>
      </c>
      <c r="K4546" s="10" t="inlineStr">
        <is>
          <t>N/A</t>
        </is>
      </c>
      <c r="L4546" s="10" t="inlineStr">
        <is>
          <t>Civil Engineering, Bất Động Sản, Kỹ Thuật Xây Dựng, Xây Dựng</t>
        </is>
      </c>
      <c r="M4546" s="10" t="inlineStr">
        <is>
          <t>Healthcare Plan, Laptop, Others</t>
        </is>
      </c>
      <c r="N4546" s="11">
        <f>HYPERLINK("https://www.vietnamworks.com/hanoi-site-manager-2014938-jv","Xem chi tiết")</f>
        <v/>
      </c>
      <c r="O4546" s="10" t="n"/>
    </row>
    <row r="4547">
      <c r="B4547" s="7" t="n">
        <v>4545</v>
      </c>
      <c r="C4547" t="inlineStr">
        <is>
          <t>Kế Toán Tổng Hợp</t>
        </is>
      </c>
      <c r="D4547" t="inlineStr">
        <is>
          <t>Công Ty TNHH Kiến Trúc Scene Plus</t>
        </is>
      </c>
      <c r="E4547" t="inlineStr">
        <is>
          <t>Thương lượng</t>
        </is>
      </c>
      <c r="F4547" t="inlineStr">
        <is>
          <t>Hồ Chí Minh</t>
        </is>
      </c>
      <c r="G4547" t="inlineStr">
        <is>
          <t>Nhân viên</t>
        </is>
      </c>
      <c r="H4547" t="inlineStr">
        <is>
          <t>27/02/2026</t>
        </is>
      </c>
      <c r="I4547" t="inlineStr">
        <is>
          <t>29/03/2026</t>
        </is>
      </c>
      <c r="J4547" t="inlineStr">
        <is>
          <t>17/03/2026</t>
        </is>
      </c>
      <c r="K4547" t="inlineStr">
        <is>
          <t>N/A</t>
        </is>
      </c>
      <c r="L4547" t="inlineStr">
        <is>
          <t>Tài Chính Kế Toán, Kiểm Toán, Phần mềm kế toán Misa, MS Office, Accountant</t>
        </is>
      </c>
      <c r="M4547" t="inlineStr">
        <is>
          <t>Bonus, Healthcare Plan, Training, Library, Travel Opportunities, Others</t>
        </is>
      </c>
      <c r="N4547" s="8">
        <f>HYPERLINK("https://www.vietnamworks.com/ke-toan-tong-hop--2014930-jv","Xem chi tiết")</f>
        <v/>
      </c>
    </row>
    <row r="4548">
      <c r="B4548" s="9" t="n">
        <v>4546</v>
      </c>
      <c r="C4548" s="10" t="inlineStr">
        <is>
          <t>Sales Engineer - Lương Cứng Từ 15 Triệu Đến 30 Triệu</t>
        </is>
      </c>
      <c r="D4548" s="10" t="inlineStr">
        <is>
          <t>Công Ty Cổ Phần Unico Vina</t>
        </is>
      </c>
      <c r="E4548" s="10" t="inlineStr">
        <is>
          <t>15tr-30tr ₫/tháng</t>
        </is>
      </c>
      <c r="F4548" s="10" t="inlineStr">
        <is>
          <t>Hải Phòng, Hồ Chí Minh, Hà Nội</t>
        </is>
      </c>
      <c r="G4548" s="10" t="inlineStr">
        <is>
          <t>Nhân viên</t>
        </is>
      </c>
      <c r="H4548" s="10" t="inlineStr">
        <is>
          <t>27/02/2026</t>
        </is>
      </c>
      <c r="I4548" s="10" t="inlineStr">
        <is>
          <t>29/03/2026</t>
        </is>
      </c>
      <c r="J4548" s="10" t="inlineStr">
        <is>
          <t>17/03/2026</t>
        </is>
      </c>
      <c r="K4548" s="10" t="inlineStr">
        <is>
          <t>N/A</t>
        </is>
      </c>
      <c r="L4548" s="10" t="inlineStr">
        <is>
          <t>Sales Engineering, Cơ Khí, Bán Hàng Kỹ Thuật, Tìm Kiếm Khách Hàng, Thiết Bị Công Nghiệp</t>
        </is>
      </c>
      <c r="M4548" s="10" t="inlineStr">
        <is>
          <t>Bonus, Laptop, Team Activities</t>
        </is>
      </c>
      <c r="N4548" s="11">
        <f>HYPERLINK("https://www.vietnamworks.com/sales-engineer-luong-cung-tu-15-trieu-den-30-trieu--2014924-jv","Xem chi tiết")</f>
        <v/>
      </c>
      <c r="O4548" s="10" t="n"/>
    </row>
    <row r="4549">
      <c r="B4549" s="7" t="n">
        <v>4547</v>
      </c>
      <c r="C4549" t="inlineStr">
        <is>
          <t>Kiến Trúc Sư Công Trình</t>
        </is>
      </c>
      <c r="D4549" t="inlineStr">
        <is>
          <t>Công Ty TNHH Kiến Trúc Scene Plus</t>
        </is>
      </c>
      <c r="E4549" t="inlineStr">
        <is>
          <t>Thương lượng</t>
        </is>
      </c>
      <c r="F4549" t="inlineStr">
        <is>
          <t>Hồ Chí Minh</t>
        </is>
      </c>
      <c r="G4549" t="inlineStr">
        <is>
          <t>Nhân viên</t>
        </is>
      </c>
      <c r="H4549" t="inlineStr">
        <is>
          <t>27/02/2026</t>
        </is>
      </c>
      <c r="I4549" t="inlineStr">
        <is>
          <t>29/03/2026</t>
        </is>
      </c>
      <c r="J4549" t="inlineStr">
        <is>
          <t>17/03/2026</t>
        </is>
      </c>
      <c r="K4549" t="inlineStr">
        <is>
          <t>N/A</t>
        </is>
      </c>
      <c r="L4549" t="inlineStr">
        <is>
          <t>Revit, AutoCAD, Sketchup, Photoshop, Teamwork</t>
        </is>
      </c>
      <c r="M4549" t="inlineStr">
        <is>
          <t>Bonus, Healthcare Plan, Training, Library, Others</t>
        </is>
      </c>
      <c r="N4549" s="8">
        <f>HYPERLINK("https://www.vietnamworks.com/kien-truc-su-cong-trinh-2014934-jv","Xem chi tiết")</f>
        <v/>
      </c>
    </row>
    <row r="4550">
      <c r="B4550" s="9" t="n">
        <v>4548</v>
      </c>
      <c r="C4550" s="10" t="inlineStr">
        <is>
          <t>Trưởng Phòng Nhân Sự (Upto 42 Triệu/tháng)</t>
        </is>
      </c>
      <c r="D4550" s="10" t="inlineStr">
        <is>
          <t>Công Ty TNHH PHD</t>
        </is>
      </c>
      <c r="E4550" s="10" t="inlineStr">
        <is>
          <t>Tới 42 ₫/tháng</t>
        </is>
      </c>
      <c r="F4550" s="10" t="inlineStr">
        <is>
          <t>Hà Nội</t>
        </is>
      </c>
      <c r="G4550" s="10" t="inlineStr">
        <is>
          <t>Trưởng phòng</t>
        </is>
      </c>
      <c r="H4550" s="10" t="inlineStr">
        <is>
          <t>27/02/2026</t>
        </is>
      </c>
      <c r="I4550" s="10" t="inlineStr">
        <is>
          <t>29/03/2026</t>
        </is>
      </c>
      <c r="J4550" s="10" t="inlineStr">
        <is>
          <t>17/03/2026</t>
        </is>
      </c>
      <c r="K4550" s="10" t="inlineStr">
        <is>
          <t>N/A</t>
        </is>
      </c>
      <c r="L4550" s="10" t="inlineStr">
        <is>
          <t>Chế độ phúc lợi, Đào Tạo Nguồn Nhân Lực, Tư Vấn Giải Pháp</t>
        </is>
      </c>
      <c r="M4550" s="10" t="inlineStr">
        <is>
          <t>Bonus, Healthcare Plan, Paid Leave</t>
        </is>
      </c>
      <c r="N4550" s="11">
        <f>HYPERLINK("https://www.vietnamworks.com/truong-phong-nhan-su-upto-42-trieu-thang-2014939-jv","Xem chi tiết")</f>
        <v/>
      </c>
      <c r="O4550" s="10" t="n"/>
    </row>
    <row r="4551">
      <c r="B4551" s="7" t="n">
        <v>4549</v>
      </c>
      <c r="C4551" t="inlineStr">
        <is>
          <t>Shipbrokers Trainee</t>
        </is>
      </c>
      <c r="D4551" t="inlineStr">
        <is>
          <t>MB Shipbrokers (formerly Maersk Broker)</t>
        </is>
      </c>
      <c r="E4551" t="inlineStr">
        <is>
          <t>Thương lượng</t>
        </is>
      </c>
      <c r="F4551" t="inlineStr">
        <is>
          <t>Hà Nội</t>
        </is>
      </c>
      <c r="G4551" t="inlineStr">
        <is>
          <t>Mới Tốt Nghiệp</t>
        </is>
      </c>
      <c r="H4551" t="inlineStr">
        <is>
          <t>27/02/2026</t>
        </is>
      </c>
      <c r="I4551" t="inlineStr">
        <is>
          <t>29/03/2026</t>
        </is>
      </c>
      <c r="J4551" t="inlineStr">
        <is>
          <t>17/03/2026</t>
        </is>
      </c>
      <c r="K4551" t="inlineStr">
        <is>
          <t>N/A</t>
        </is>
      </c>
      <c r="L4551" t="inlineStr">
        <is>
          <t>International Shipping, Freight Forwarding, Shipping Logistics, Integrated Supply Chain Solutions, English</t>
        </is>
      </c>
      <c r="M4551" t="inlineStr">
        <is>
          <t>Bonus</t>
        </is>
      </c>
      <c r="N4551" s="8">
        <f>HYPERLINK("https://www.vietnamworks.com/shipbrokers-trainee--2014952-jv","Xem chi tiết")</f>
        <v/>
      </c>
    </row>
    <row r="4552">
      <c r="B4552" s="9" t="n">
        <v>4550</v>
      </c>
      <c r="C4552" s="10" t="inlineStr">
        <is>
          <t>Senior Sourcing Merchandiser (English &amp; Chinese Speaking)</t>
        </is>
      </c>
      <c r="D4552" s="10" t="inlineStr">
        <is>
          <t>The Representative Office of Test Rite Int'l Co., Ltd</t>
        </is>
      </c>
      <c r="E4552" s="10" t="inlineStr">
        <is>
          <t>Thương lượng</t>
        </is>
      </c>
      <c r="F4552" s="10" t="inlineStr">
        <is>
          <t>Hồ Chí Minh</t>
        </is>
      </c>
      <c r="G4552" s="10" t="inlineStr">
        <is>
          <t>Nhân viên</t>
        </is>
      </c>
      <c r="H4552" s="10" t="inlineStr">
        <is>
          <t>27/02/2026</t>
        </is>
      </c>
      <c r="I4552" s="10" t="inlineStr">
        <is>
          <t>29/03/2026</t>
        </is>
      </c>
      <c r="J4552" s="10" t="inlineStr">
        <is>
          <t>17/03/2026</t>
        </is>
      </c>
      <c r="K4552" s="10" t="inlineStr">
        <is>
          <t>N/A</t>
        </is>
      </c>
      <c r="L4552" s="10" t="inlineStr">
        <is>
          <t>English, Product Development, Market Research, Supplier Negotiation, Supplier Sourcing</t>
        </is>
      </c>
      <c r="M4552" s="10" t="inlineStr">
        <is>
          <t>Bonus, Healthcare Plan, Others</t>
        </is>
      </c>
      <c r="N4552" s="11">
        <f>HYPERLINK("https://www.vietnamworks.com/senior-sourcing-merchandiser-english-and-chinese-speaking-2014945-jv","Xem chi tiết")</f>
        <v/>
      </c>
      <c r="O4552" s="10" t="n"/>
    </row>
    <row r="4553">
      <c r="B4553" s="7" t="n">
        <v>4551</v>
      </c>
      <c r="C4553" t="inlineStr">
        <is>
          <t>QC Inspector in Hai Duong - Hardlines (English Speaking)</t>
        </is>
      </c>
      <c r="D4553" t="inlineStr">
        <is>
          <t>The Representative Office of Test Rite Int'l Co., Ltd</t>
        </is>
      </c>
      <c r="E4553" t="inlineStr">
        <is>
          <t>Thương lượng</t>
        </is>
      </c>
      <c r="F4553" t="inlineStr">
        <is>
          <t>Hải Dương, Hải Phòng, Hưng Yên</t>
        </is>
      </c>
      <c r="G4553" t="inlineStr">
        <is>
          <t>Nhân viên</t>
        </is>
      </c>
      <c r="H4553" t="inlineStr">
        <is>
          <t>27/02/2026</t>
        </is>
      </c>
      <c r="I4553" t="inlineStr">
        <is>
          <t>29/03/2026</t>
        </is>
      </c>
      <c r="J4553" t="inlineStr">
        <is>
          <t>17/03/2026</t>
        </is>
      </c>
      <c r="K4553" t="inlineStr">
        <is>
          <t>N/A</t>
        </is>
      </c>
      <c r="L4553" t="inlineStr">
        <is>
          <t>Quality Control, Inspection, English, Quality Management, QC</t>
        </is>
      </c>
      <c r="M4553" t="inlineStr">
        <is>
          <t>Bonus, Healthcare Plan, Others</t>
        </is>
      </c>
      <c r="N4553" s="8">
        <f>HYPERLINK("https://www.vietnamworks.com/qc-inspector-in-hai-duong-hardlines-english-speaking-2014943-jv","Xem chi tiết")</f>
        <v/>
      </c>
    </row>
    <row r="4554">
      <c r="B4554" s="9" t="n">
        <v>4552</v>
      </c>
      <c r="C4554" s="10" t="inlineStr">
        <is>
          <t>Claim &amp; Arbitration Supervisor</t>
        </is>
      </c>
      <c r="D4554" s="10" t="inlineStr">
        <is>
          <t>Công Ty TNHH Best Logistics Technology (Việt Nam)</t>
        </is>
      </c>
      <c r="E4554" s="10" t="inlineStr">
        <is>
          <t>18tr-30tr ₫/tháng</t>
        </is>
      </c>
      <c r="F4554" s="10" t="inlineStr">
        <is>
          <t>Hồ Chí Minh</t>
        </is>
      </c>
      <c r="G4554" s="10" t="inlineStr">
        <is>
          <t>Nhân viên</t>
        </is>
      </c>
      <c r="H4554" s="10" t="inlineStr">
        <is>
          <t>27/02/2026</t>
        </is>
      </c>
      <c r="I4554" s="10" t="inlineStr">
        <is>
          <t>29/03/2026</t>
        </is>
      </c>
      <c r="J4554" s="10" t="inlineStr">
        <is>
          <t>17/03/2026</t>
        </is>
      </c>
      <c r="K4554" s="10" t="inlineStr">
        <is>
          <t>N/A</t>
        </is>
      </c>
      <c r="L4554" s="10" t="inlineStr">
        <is>
          <t>Chăm Sóc Khách Hàng, Excel, Giao Tiếp, Logistics, Thương Mại Điện Tử</t>
        </is>
      </c>
      <c r="M4554" s="10" t="inlineStr">
        <is>
          <t>Bonus, Training, Laptop</t>
        </is>
      </c>
      <c r="N4554" s="11">
        <f>HYPERLINK("https://www.vietnamworks.com/claim-and-arbitration-supervisor-2014942-jv","Xem chi tiết")</f>
        <v/>
      </c>
      <c r="O4554" s="10" t="n"/>
    </row>
    <row r="4555">
      <c r="B4555" s="7" t="n">
        <v>4553</v>
      </c>
      <c r="C4555" t="inlineStr">
        <is>
          <t>Senior Sourcing Merchandiser (Home Décor, Seasonal Décor, Home Accessories, Etc.)</t>
        </is>
      </c>
      <c r="D4555" t="inlineStr">
        <is>
          <t>The Representative Office of Test Rite Int'l Co., Ltd</t>
        </is>
      </c>
      <c r="E4555" t="inlineStr">
        <is>
          <t>Thương lượng</t>
        </is>
      </c>
      <c r="F4555" t="inlineStr">
        <is>
          <t>Hồ Chí Minh</t>
        </is>
      </c>
      <c r="G4555" t="inlineStr">
        <is>
          <t>Nhân viên</t>
        </is>
      </c>
      <c r="H4555" t="inlineStr">
        <is>
          <t>27/02/2026</t>
        </is>
      </c>
      <c r="I4555" t="inlineStr">
        <is>
          <t>29/03/2026</t>
        </is>
      </c>
      <c r="J4555" t="inlineStr">
        <is>
          <t>17/03/2026</t>
        </is>
      </c>
      <c r="K4555" t="inlineStr">
        <is>
          <t>N/A</t>
        </is>
      </c>
      <c r="L4555" t="inlineStr">
        <is>
          <t>Supplier Sourcing, Product Development, Costing, Market Trend Analysis, Merchandising</t>
        </is>
      </c>
      <c r="M4555" t="inlineStr">
        <is>
          <t>Bonus, Healthcare Plan, Others</t>
        </is>
      </c>
      <c r="N4555" s="8">
        <f>HYPERLINK("https://www.vietnamworks.com/senior-sourcing-merchandiser-home-decor-seasonal-decor-home-accessories-etc-2014941-jv","Xem chi tiết")</f>
        <v/>
      </c>
    </row>
    <row r="4556">
      <c r="B4556" s="9" t="n">
        <v>4554</v>
      </c>
      <c r="C4556" s="10" t="inlineStr">
        <is>
          <t>Trưởng Nhóm R&amp;D Thiết Kế &amp; Cải Tiến Sản Phẩm Gia Dụng Sunhouse (R&amp;D Concept)</t>
        </is>
      </c>
      <c r="D4556" s="10" t="inlineStr">
        <is>
          <t>Công Ty Cổ Phần Tập Đoàn Sunhouse</t>
        </is>
      </c>
      <c r="E4556" s="10" t="inlineStr">
        <is>
          <t>Thương lượng</t>
        </is>
      </c>
      <c r="F4556" s="10" t="inlineStr">
        <is>
          <t>Hà Nội</t>
        </is>
      </c>
      <c r="G4556" s="10" t="inlineStr">
        <is>
          <t>Nhân viên</t>
        </is>
      </c>
      <c r="H4556" s="10" t="inlineStr">
        <is>
          <t>27/02/2026</t>
        </is>
      </c>
      <c r="I4556" s="10" t="inlineStr">
        <is>
          <t>29/03/2026</t>
        </is>
      </c>
      <c r="J4556" s="10" t="inlineStr">
        <is>
          <t>17/03/2026</t>
        </is>
      </c>
      <c r="K4556" s="10" t="inlineStr">
        <is>
          <t>N/A</t>
        </is>
      </c>
      <c r="L4556" s="10" t="inlineStr">
        <is>
          <t>CAD, Cải Tiến Sản Phẩm, Nghiên Cứu Sản Phẩm, Phần Mềm Thiết Kế 3D, Tin Học Văn Phòng</t>
        </is>
      </c>
      <c r="M4556" s="10" t="inlineStr">
        <is>
          <t>Bonus, Healthcare Plan, Training</t>
        </is>
      </c>
      <c r="N4556" s="11">
        <f>HYPERLINK("https://www.vietnamworks.com/truong-nhom-randd-thiet-ke-and-cai-tien-san-pham-gia-dung-sunhouse-randd-concept-2014947-jv","Xem chi tiết")</f>
        <v/>
      </c>
      <c r="O4556" s="10" t="n"/>
    </row>
    <row r="4557">
      <c r="B4557" s="7" t="n">
        <v>4555</v>
      </c>
      <c r="C4557" t="inlineStr">
        <is>
          <t>[Hà Nội] Retail Store Manager</t>
        </is>
      </c>
      <c r="D4557" t="inlineStr">
        <is>
          <t>CÔNG TY TNHH SEMIR INTERNATIONAL VIỆT NAM</t>
        </is>
      </c>
      <c r="E4557" t="inlineStr">
        <is>
          <t>Thương lượng</t>
        </is>
      </c>
      <c r="F4557" t="inlineStr">
        <is>
          <t>Hà Nội</t>
        </is>
      </c>
      <c r="G4557" t="inlineStr">
        <is>
          <t>Trưởng phòng</t>
        </is>
      </c>
      <c r="H4557" t="inlineStr">
        <is>
          <t>27/02/2026</t>
        </is>
      </c>
      <c r="I4557" t="inlineStr">
        <is>
          <t>29/03/2026</t>
        </is>
      </c>
      <c r="J4557" t="inlineStr">
        <is>
          <t>17/03/2026</t>
        </is>
      </c>
      <c r="K4557" t="inlineStr">
        <is>
          <t>N/A</t>
        </is>
      </c>
      <c r="L4557" t="inlineStr">
        <is>
          <t>Giao Tiếp Tiếng Anh, Phần mềm văn phòng, Quản Lý Bán Hàng, Thời Trang, Tư Duy Logics</t>
        </is>
      </c>
      <c r="M4557" t="inlineStr">
        <is>
          <t>Bonus, Healthcare Plan, Paid Leave, Training, Laptop, Travel Opportunities, Others</t>
        </is>
      </c>
      <c r="N4557" s="8">
        <f>HYPERLINK("https://www.vietnamworks.com/ha-noi-retail-store-manager-2014940-jv","Xem chi tiết")</f>
        <v/>
      </c>
    </row>
    <row r="4558">
      <c r="B4558" s="9" t="n">
        <v>4556</v>
      </c>
      <c r="C4558" s="10" t="inlineStr">
        <is>
          <t>International Sales Executive</t>
        </is>
      </c>
      <c r="D4558" s="10" t="inlineStr">
        <is>
          <t>Orion Food Vina Co,. Ltd - Head Office</t>
        </is>
      </c>
      <c r="E4558" s="10" t="inlineStr">
        <is>
          <t>Thương lượng</t>
        </is>
      </c>
      <c r="F4558" s="10" t="inlineStr">
        <is>
          <t>Hồ Chí Minh</t>
        </is>
      </c>
      <c r="G4558" s="10" t="inlineStr">
        <is>
          <t>Nhân viên</t>
        </is>
      </c>
      <c r="H4558" s="10" t="inlineStr">
        <is>
          <t>27/02/2026</t>
        </is>
      </c>
      <c r="I4558" s="10" t="inlineStr">
        <is>
          <t>29/03/2026</t>
        </is>
      </c>
      <c r="J4558" s="10" t="inlineStr">
        <is>
          <t>17/03/2026</t>
        </is>
      </c>
      <c r="K4558" s="10" t="inlineStr">
        <is>
          <t>N/A</t>
        </is>
      </c>
      <c r="L4558" s="10" t="inlineStr">
        <is>
          <t>Sales Export, Kinh Doanh Quốc Tế, International Sales &amp; Marketing, Xuất Nhập Khẩu, Market Development</t>
        </is>
      </c>
      <c r="M4558" s="10" t="inlineStr">
        <is>
          <t>Bonus, Healthcare Plan, Team Activities</t>
        </is>
      </c>
      <c r="N4558" s="11">
        <f>HYPERLINK("https://www.vietnamworks.com/international-sales-executive--2014946-jv","Xem chi tiết")</f>
        <v/>
      </c>
      <c r="O4558" s="10" t="n"/>
    </row>
    <row r="4559">
      <c r="B4559" s="7" t="n">
        <v>4557</v>
      </c>
      <c r="C4559" t="inlineStr">
        <is>
          <t>Vendor Program Manager (Mandarin) Technical Liaison (Factory/odm/oem)</t>
        </is>
      </c>
      <c r="D4559" t="inlineStr">
        <is>
          <t>MCGAAW</t>
        </is>
      </c>
      <c r="E4559" t="inlineStr">
        <is>
          <t>Thương lượng</t>
        </is>
      </c>
      <c r="F4559" t="inlineStr">
        <is>
          <t>Hồ Chí Minh</t>
        </is>
      </c>
      <c r="G4559" t="inlineStr">
        <is>
          <t>Nhân viên</t>
        </is>
      </c>
      <c r="H4559" t="inlineStr">
        <is>
          <t>27/02/2026</t>
        </is>
      </c>
      <c r="I4559" t="inlineStr">
        <is>
          <t>29/03/2026</t>
        </is>
      </c>
      <c r="J4559" t="inlineStr">
        <is>
          <t>17/03/2026</t>
        </is>
      </c>
      <c r="K4559" t="inlineStr">
        <is>
          <t>N/A</t>
        </is>
      </c>
      <c r="L4559" t="inlineStr">
        <is>
          <t>Mandarin, Project Coordination, Bid Coordination, Technical Thinking</t>
        </is>
      </c>
      <c r="M4559" t="inlineStr">
        <is>
          <t>Bonus, Healthcare Plan, Paid Leave, Travel Opportunities, Others</t>
        </is>
      </c>
      <c r="N4559" s="8">
        <f>HYPERLINK("https://www.vietnamworks.com/vendor-program-manager-mandarin-technical-liaison-factoryodmoem-2014963-jv","Xem chi tiết")</f>
        <v/>
      </c>
    </row>
    <row r="4560">
      <c r="B4560" s="9" t="n">
        <v>4558</v>
      </c>
      <c r="C4560" s="10" t="inlineStr">
        <is>
          <t>Business Strategy Manager</t>
        </is>
      </c>
      <c r="D4560" s="10" t="inlineStr">
        <is>
          <t>Lotte Vietnam Shopping Joint Stock Company</t>
        </is>
      </c>
      <c r="E4560" s="10" t="inlineStr">
        <is>
          <t>Thương lượng</t>
        </is>
      </c>
      <c r="F4560" s="10" t="inlineStr">
        <is>
          <t>Hồ Chí Minh</t>
        </is>
      </c>
      <c r="G4560" s="10" t="inlineStr">
        <is>
          <t>Trưởng phòng</t>
        </is>
      </c>
      <c r="H4560" s="10" t="inlineStr">
        <is>
          <t>27/02/2026</t>
        </is>
      </c>
      <c r="I4560" s="10" t="inlineStr">
        <is>
          <t>29/03/2026</t>
        </is>
      </c>
      <c r="J4560" s="10" t="inlineStr">
        <is>
          <t>17/03/2026</t>
        </is>
      </c>
      <c r="K4560" s="10" t="inlineStr">
        <is>
          <t>N/A</t>
        </is>
      </c>
      <c r="L4560" s="10" t="inlineStr">
        <is>
          <t>Strategy Execution, Data Analysis, Project Management, Data Collection, Sales Planning</t>
        </is>
      </c>
      <c r="M4560" s="10" t="inlineStr">
        <is>
          <t>Bonus, Healthcare Plan, Paid Leave, Others</t>
        </is>
      </c>
      <c r="N4560" s="11">
        <f>HYPERLINK("https://www.vietnamworks.com/business-strategy-manager-2014956-jv","Xem chi tiết")</f>
        <v/>
      </c>
      <c r="O4560" s="10" t="n"/>
    </row>
    <row r="4561">
      <c r="B4561" s="7" t="n">
        <v>4559</v>
      </c>
      <c r="C4561" t="inlineStr">
        <is>
          <t>R&amp;D Assistant Manager (Packaging)</t>
        </is>
      </c>
      <c r="D4561" t="inlineStr">
        <is>
          <t>Công ty TNHH CJ Foods Việt Nam/ CJ Foods Vietnam Company Limited</t>
        </is>
      </c>
      <c r="E4561" t="inlineStr">
        <is>
          <t>Thương lượng</t>
        </is>
      </c>
      <c r="F4561" t="inlineStr">
        <is>
          <t>Tây Ninh</t>
        </is>
      </c>
      <c r="G4561" t="inlineStr">
        <is>
          <t>Nhân viên</t>
        </is>
      </c>
      <c r="H4561" t="inlineStr">
        <is>
          <t>27/02/2026</t>
        </is>
      </c>
      <c r="I4561" t="inlineStr">
        <is>
          <t>29/03/2026</t>
        </is>
      </c>
      <c r="J4561" t="inlineStr">
        <is>
          <t>17/03/2026</t>
        </is>
      </c>
      <c r="K4561" t="inlineStr">
        <is>
          <t>N/A</t>
        </is>
      </c>
      <c r="L4561" t="inlineStr">
        <is>
          <t>FMCG &amp; Manufacturing, Food Packaging, Packaging, Packaging Development, Paper Technology</t>
        </is>
      </c>
      <c r="M4561" t="inlineStr">
        <is>
          <t>Transportation</t>
        </is>
      </c>
      <c r="N4561" s="8">
        <f>HYPERLINK("https://www.vietnamworks.com/randd-assistant-manager-packaging-2014962-jv","Xem chi tiết")</f>
        <v/>
      </c>
    </row>
    <row r="4562">
      <c r="B4562" s="9" t="n">
        <v>4560</v>
      </c>
      <c r="C4562" s="10" t="inlineStr">
        <is>
          <t>Chuyên Viên Kỹ Thuật (Lĩnh Vực CCTV, Network, Smarthome, IT,...)</t>
        </is>
      </c>
      <c r="D4562" s="10" t="inlineStr">
        <is>
          <t>Công Ty Cổ Phần Nhà An Toàn</t>
        </is>
      </c>
      <c r="E4562" s="10" t="inlineStr">
        <is>
          <t>13tr-16tr ₫/tháng</t>
        </is>
      </c>
      <c r="F4562" s="10" t="inlineStr">
        <is>
          <t>Hà Nội</t>
        </is>
      </c>
      <c r="G4562" s="10" t="inlineStr">
        <is>
          <t>Nhân viên</t>
        </is>
      </c>
      <c r="H4562" s="10" t="inlineStr">
        <is>
          <t>27/02/2026</t>
        </is>
      </c>
      <c r="I4562" s="10" t="inlineStr">
        <is>
          <t>29/03/2026</t>
        </is>
      </c>
      <c r="J4562" s="10" t="inlineStr">
        <is>
          <t>17/03/2026</t>
        </is>
      </c>
      <c r="K4562" s="10" t="inlineStr">
        <is>
          <t>N/A</t>
        </is>
      </c>
      <c r="L4562" s="10" t="inlineStr">
        <is>
          <t>Điện + Điện tử, Kỹ Thuật, Bảo hành thiết bị</t>
        </is>
      </c>
      <c r="M4562" s="10" t="inlineStr">
        <is>
          <t>Bonus, Healthcare Plan, Training, Laptop, Team Activities, Others</t>
        </is>
      </c>
      <c r="N4562" s="11">
        <f>HYPERLINK("https://www.vietnamworks.com/chuyen-vien-ky-thuat-linh-vuc-cctv-network-smarthome-it-2014950-jv","Xem chi tiết")</f>
        <v/>
      </c>
      <c r="O4562" s="10" t="n"/>
    </row>
    <row r="4563">
      <c r="B4563" s="7" t="n">
        <v>4561</v>
      </c>
      <c r="C4563" t="inlineStr">
        <is>
          <t>Nhân Viên Kinh Doanh Thu Nhập Hấp Dẫn [Tập Đoàn Sơn Kcc Hàn Quốc]</t>
        </is>
      </c>
      <c r="D4563" t="inlineStr">
        <is>
          <t>Công Ty TNHH KCC (Hà Nội)</t>
        </is>
      </c>
      <c r="E4563" t="inlineStr">
        <is>
          <t>Thương lượng</t>
        </is>
      </c>
      <c r="F4563" t="inlineStr">
        <is>
          <t>Hà Nội, Hải Phòng</t>
        </is>
      </c>
      <c r="G4563" t="inlineStr">
        <is>
          <t>Nhân viên</t>
        </is>
      </c>
      <c r="H4563" t="inlineStr">
        <is>
          <t>27/02/2026</t>
        </is>
      </c>
      <c r="I4563" t="inlineStr">
        <is>
          <t>29/03/2026</t>
        </is>
      </c>
      <c r="J4563" t="inlineStr">
        <is>
          <t>17/03/2026</t>
        </is>
      </c>
      <c r="K4563" t="inlineStr">
        <is>
          <t>N/A</t>
        </is>
      </c>
      <c r="L4563" t="inlineStr">
        <is>
          <t>Kinh Doanh, Kỹ Thuật Ngành Sơn, Quản Lý Đơn Hàng, Phát Triển Thị Trường, Chăm Sóc Khách Hàng</t>
        </is>
      </c>
      <c r="M4563" t="inlineStr">
        <is>
          <t>Bonus, Healthcare Plan, Paid Leave, Training, Travel Opportunities, Team Activities, Others</t>
        </is>
      </c>
      <c r="N4563" s="8">
        <f>HYPERLINK("https://www.vietnamworks.com/nhan-vien-kinh-doanh-thu-nhap-hap-dan-tap-doan-son-kcc-han-quoc-2014958-jv","Xem chi tiết")</f>
        <v/>
      </c>
    </row>
    <row r="4564">
      <c r="B4564" s="9" t="n">
        <v>4562</v>
      </c>
      <c r="C4564" s="10" t="inlineStr">
        <is>
          <t>Nhân Viên Kinh Doanh/ Nhân Viên Bán Hàng Phụ Kiện Tiêu Hao và Dịch Vụ</t>
        </is>
      </c>
      <c r="D4564" s="10" t="inlineStr">
        <is>
          <t>Công Ty TNHH Sao Đỏ Việt Nam - Chi Nhánh CMS</t>
        </is>
      </c>
      <c r="E4564" s="10" t="inlineStr">
        <is>
          <t>10tr-20tr ₫/tháng</t>
        </is>
      </c>
      <c r="F4564" s="10" t="inlineStr">
        <is>
          <t>Hà Nội</t>
        </is>
      </c>
      <c r="G4564" s="10" t="inlineStr">
        <is>
          <t>Nhân viên</t>
        </is>
      </c>
      <c r="H4564" s="10" t="inlineStr">
        <is>
          <t>27/02/2026</t>
        </is>
      </c>
      <c r="I4564" s="10" t="inlineStr">
        <is>
          <t>29/03/2026</t>
        </is>
      </c>
      <c r="J4564" s="10" t="inlineStr">
        <is>
          <t>17/03/2026</t>
        </is>
      </c>
      <c r="K4564" s="10" t="inlineStr">
        <is>
          <t>N/A</t>
        </is>
      </c>
      <c r="L4564" s="10" t="inlineStr">
        <is>
          <t>Chăm Sóc Khách Hàng, Giới Thiệu Sản Phẩm, Tư Vấn Khách Hàng, Tư Vấn Kinh Doanh, Đàm Phán Thương Lượng</t>
        </is>
      </c>
      <c r="M4564" s="10" t="inlineStr">
        <is>
          <t>Bonus, Healthcare Plan, Paid Leave, Training, Others</t>
        </is>
      </c>
      <c r="N4564" s="11">
        <f>HYPERLINK("https://www.vietnamworks.com/nhan-vien-kinh-doanh-nhan-vien-ban-hang-phu-kien-tieu-hao-va-dich-vu-2014960-jv","Xem chi tiết")</f>
        <v/>
      </c>
      <c r="O4564" s="10" t="n"/>
    </row>
    <row r="4565">
      <c r="B4565" s="7" t="n">
        <v>4563</v>
      </c>
      <c r="C4565" t="inlineStr">
        <is>
          <t>QA Manager (Garment Field)</t>
        </is>
      </c>
      <c r="D4565" t="inlineStr">
        <is>
          <t>Thygesen Textile Vietnam</t>
        </is>
      </c>
      <c r="E4565" t="inlineStr">
        <is>
          <t>$$ 2,000-3,000 /tháng</t>
        </is>
      </c>
      <c r="F4565" t="inlineStr">
        <is>
          <t>Hà Nội</t>
        </is>
      </c>
      <c r="G4565" t="inlineStr">
        <is>
          <t>Trưởng phòng</t>
        </is>
      </c>
      <c r="H4565" t="inlineStr">
        <is>
          <t>27/02/2026</t>
        </is>
      </c>
      <c r="I4565" t="inlineStr">
        <is>
          <t>29/03/2026</t>
        </is>
      </c>
      <c r="J4565" t="inlineStr">
        <is>
          <t>17/03/2026</t>
        </is>
      </c>
      <c r="K4565" t="inlineStr">
        <is>
          <t>N/A</t>
        </is>
      </c>
      <c r="L4565" t="inlineStr">
        <is>
          <t>Giải Quyết Vấn Đề, ISO 9001, Kỹ Thuật, Quản Lý Chất Lượng, Tiếng Anh</t>
        </is>
      </c>
      <c r="M4565" t="inlineStr">
        <is>
          <t>Bonus, Healthcare Plan, Training, Laptop, Travel Opportunities, Transportation, Canteen</t>
        </is>
      </c>
      <c r="N4565" s="8">
        <f>HYPERLINK("https://www.vietnamworks.com/qa-manager-garment-field-2014966-jv","Xem chi tiết")</f>
        <v/>
      </c>
    </row>
    <row r="4566">
      <c r="B4566" s="9" t="n">
        <v>4564</v>
      </c>
      <c r="C4566" s="10" t="inlineStr">
        <is>
          <t>Chuyên Viên Marketing (Cần Gấp)</t>
        </is>
      </c>
      <c r="D4566" s="10" t="inlineStr">
        <is>
          <t>Công ty Cổ phần Thương mại Dạ Hợp</t>
        </is>
      </c>
      <c r="E4566" s="10" t="inlineStr">
        <is>
          <t>Thương lượng</t>
        </is>
      </c>
      <c r="F4566" s="10" t="inlineStr">
        <is>
          <t>Hà Nội</t>
        </is>
      </c>
      <c r="G4566" s="10" t="inlineStr">
        <is>
          <t>Nhân viên</t>
        </is>
      </c>
      <c r="H4566" s="10" t="inlineStr">
        <is>
          <t>27/02/2026</t>
        </is>
      </c>
      <c r="I4566" s="10" t="inlineStr">
        <is>
          <t>29/03/2026</t>
        </is>
      </c>
      <c r="J4566" s="10" t="inlineStr">
        <is>
          <t>17/03/2026</t>
        </is>
      </c>
      <c r="K4566" s="10" t="inlineStr">
        <is>
          <t>N/A</t>
        </is>
      </c>
      <c r="L4566" s="10" t="inlineStr">
        <is>
          <t>Tư Duy Sáng Tạo, Marketing, Bất Động Sản, Tư Vấn Chiến Lược Marketing</t>
        </is>
      </c>
      <c r="M4566" s="10" t="inlineStr">
        <is>
          <t>Bonus, Training, Travel Opportunities</t>
        </is>
      </c>
      <c r="N4566" s="11">
        <f>HYPERLINK("https://www.vietnamworks.com/chuyen-vien-marketing-can-gap--2014961-jv","Xem chi tiết")</f>
        <v/>
      </c>
      <c r="O4566" s="10" t="n"/>
    </row>
    <row r="4567">
      <c r="B4567" s="7" t="n">
        <v>4565</v>
      </c>
      <c r="C4567" t="inlineStr">
        <is>
          <t>Nhân Viên Xuất Nhập Khẩu</t>
        </is>
      </c>
      <c r="D4567" t="inlineStr">
        <is>
          <t>Công ty TNHH PI Vina Quảng Trị</t>
        </is>
      </c>
      <c r="E4567" t="inlineStr">
        <is>
          <t>Tới 17tr ₫/tháng</t>
        </is>
      </c>
      <c r="F4567" t="inlineStr">
        <is>
          <t>Quảng Trị</t>
        </is>
      </c>
      <c r="G4567" t="inlineStr">
        <is>
          <t>Nhân viên</t>
        </is>
      </c>
      <c r="H4567" t="inlineStr">
        <is>
          <t>27/02/2026</t>
        </is>
      </c>
      <c r="I4567" t="inlineStr">
        <is>
          <t>29/03/2026</t>
        </is>
      </c>
      <c r="J4567" t="inlineStr">
        <is>
          <t>17/03/2026</t>
        </is>
      </c>
      <c r="K4567" t="inlineStr">
        <is>
          <t>N/A</t>
        </is>
      </c>
      <c r="L4567" t="inlineStr">
        <is>
          <t>Quản Lý Hành Chính, Kiểm Tra Chứng Từ, Logistics, Theo Dõi Tiến Độ, Xuất Nhập Khẩu</t>
        </is>
      </c>
      <c r="M4567" t="inlineStr">
        <is>
          <t>Bonus, Healthcare Plan, Paid Leave</t>
        </is>
      </c>
      <c r="N4567" s="8">
        <f>HYPERLINK("https://www.vietnamworks.com/nhan-vien-xuat-nhap-khau-2014965-jv","Xem chi tiết")</f>
        <v/>
      </c>
    </row>
    <row r="4568">
      <c r="B4568" s="9" t="n">
        <v>4566</v>
      </c>
      <c r="C4568" s="10" t="inlineStr">
        <is>
          <t>Giám Đốc Ban Kinh Doanh &amp; Marketing (Cần Gấp)</t>
        </is>
      </c>
      <c r="D4568" s="10" t="inlineStr">
        <is>
          <t>Công ty Cổ phần Thương mại Dạ Hợp</t>
        </is>
      </c>
      <c r="E4568" s="10" t="inlineStr">
        <is>
          <t>Thương lượng</t>
        </is>
      </c>
      <c r="F4568" s="10" t="inlineStr">
        <is>
          <t>Hà Nội</t>
        </is>
      </c>
      <c r="G4568" s="10" t="inlineStr">
        <is>
          <t>Giám Đốc và Cấp Cao Hơn</t>
        </is>
      </c>
      <c r="H4568" s="10" t="inlineStr">
        <is>
          <t>27/02/2026</t>
        </is>
      </c>
      <c r="I4568" s="10" t="inlineStr">
        <is>
          <t>29/03/2026</t>
        </is>
      </c>
      <c r="J4568" s="10" t="inlineStr">
        <is>
          <t>17/03/2026</t>
        </is>
      </c>
      <c r="K4568" s="10" t="inlineStr">
        <is>
          <t>N/A</t>
        </is>
      </c>
      <c r="L4568" s="10" t="inlineStr">
        <is>
          <t>Sale, Marketing, Bất Động Sản, Chiến Lược Kinh Doanh, Tư Vấn Chiến Lược Marketing</t>
        </is>
      </c>
      <c r="M4568" s="10" t="inlineStr">
        <is>
          <t>Bonus, Training, Travel Opportunities</t>
        </is>
      </c>
      <c r="N4568" s="11">
        <f>HYPERLINK("https://www.vietnamworks.com/giam-doc-ban-kinh-doanh-marketing-can-gap--2014957-jv","Xem chi tiết")</f>
        <v/>
      </c>
      <c r="O4568" s="10" t="n"/>
    </row>
    <row r="4569">
      <c r="B4569" s="7" t="n">
        <v>4567</v>
      </c>
      <c r="C4569" t="inlineStr">
        <is>
          <t>Nhân Viên R&amp;D Thiết Kế Sản Phẩm</t>
        </is>
      </c>
      <c r="D4569" t="inlineStr">
        <is>
          <t>Công Ty TNHH Thương Mại Và Sản Xuất Đức Minh</t>
        </is>
      </c>
      <c r="E4569" t="inlineStr">
        <is>
          <t>9tr-18tr ₫/tháng</t>
        </is>
      </c>
      <c r="F4569" t="inlineStr">
        <is>
          <t>Hà Nội</t>
        </is>
      </c>
      <c r="G4569" t="inlineStr">
        <is>
          <t>Mới Tốt Nghiệp</t>
        </is>
      </c>
      <c r="H4569" t="inlineStr">
        <is>
          <t>27/02/2026</t>
        </is>
      </c>
      <c r="I4569" t="inlineStr">
        <is>
          <t>29/03/2026</t>
        </is>
      </c>
      <c r="J4569" t="inlineStr">
        <is>
          <t>17/03/2026</t>
        </is>
      </c>
      <c r="K4569" t="inlineStr">
        <is>
          <t>N/A</t>
        </is>
      </c>
      <c r="L4569" t="inlineStr">
        <is>
          <t>AutoCAD, Cơ Khí, MS Office, Phần Mềm Thiết Kế 3D, Thiết Kế Sản Phẩm</t>
        </is>
      </c>
      <c r="M4569" t="inlineStr">
        <is>
          <t>Bonus, Paid Leave, Training, Canteen, Others</t>
        </is>
      </c>
      <c r="N4569" s="8">
        <f>HYPERLINK("https://www.vietnamworks.com/nhan-vien-randd-thiet-ke-san-pham-2014953-jv","Xem chi tiết")</f>
        <v/>
      </c>
    </row>
    <row r="4570">
      <c r="B4570" s="9" t="n">
        <v>4568</v>
      </c>
      <c r="C4570" s="10" t="inlineStr">
        <is>
          <t>Senior HR Executive (Generalist) – Ngành Retail/ FMCG – Đi Làm Ngay</t>
        </is>
      </c>
      <c r="D4570" s="10" t="inlineStr">
        <is>
          <t>Công Ty TNHH Bán Lẻ Fujimart Việt Nam</t>
        </is>
      </c>
      <c r="E4570" s="10" t="inlineStr">
        <is>
          <t>$$ 700-1,000 /tháng</t>
        </is>
      </c>
      <c r="F4570" s="10" t="inlineStr">
        <is>
          <t>Hà Nội</t>
        </is>
      </c>
      <c r="G4570" s="10" t="inlineStr">
        <is>
          <t>Nhân viên</t>
        </is>
      </c>
      <c r="H4570" s="10" t="inlineStr">
        <is>
          <t>27/02/2026</t>
        </is>
      </c>
      <c r="I4570" s="10" t="inlineStr">
        <is>
          <t>29/03/2026</t>
        </is>
      </c>
      <c r="J4570" s="10" t="inlineStr">
        <is>
          <t>17/03/2026</t>
        </is>
      </c>
      <c r="K4570" s="10" t="inlineStr">
        <is>
          <t>N/A</t>
        </is>
      </c>
      <c r="L4570" s="10" t="inlineStr">
        <is>
          <t>Nhân Sự Tổng Hợp, Luật Lao Động, MS Office, Phần Mềm Nhân Sự, C&amp;B</t>
        </is>
      </c>
      <c r="M4570" s="10" t="inlineStr">
        <is>
          <t>Bonus, Healthcare Plan, Training</t>
        </is>
      </c>
      <c r="N4570" s="11">
        <f>HYPERLINK("https://www.vietnamworks.com/senior-hr-executive-generalist-nganh-retail-fmcg-di-lam-ngay-2014959-jv","Xem chi tiết")</f>
        <v/>
      </c>
      <c r="O4570" s="10" t="n"/>
    </row>
    <row r="4571">
      <c r="B4571" s="7" t="n">
        <v>4569</v>
      </c>
      <c r="C4571" t="inlineStr">
        <is>
          <t>Kế Toán Viên Lương Trên 10 Triệu</t>
        </is>
      </c>
      <c r="D4571" t="inlineStr">
        <is>
          <t>CÔNG TY CỔ PHẦN DƯỢC PHẨM LV PHARMA</t>
        </is>
      </c>
      <c r="E4571" t="inlineStr">
        <is>
          <t>Thương lượng</t>
        </is>
      </c>
      <c r="F4571" t="inlineStr">
        <is>
          <t>Hồ Chí Minh</t>
        </is>
      </c>
      <c r="G4571" t="inlineStr">
        <is>
          <t>Nhân viên</t>
        </is>
      </c>
      <c r="H4571" t="inlineStr">
        <is>
          <t>27/02/2026</t>
        </is>
      </c>
      <c r="I4571" t="inlineStr">
        <is>
          <t>29/03/2026</t>
        </is>
      </c>
      <c r="J4571" t="inlineStr">
        <is>
          <t>17/03/2026</t>
        </is>
      </c>
      <c r="K4571" t="inlineStr">
        <is>
          <t>N/A</t>
        </is>
      </c>
      <c r="L4571" t="inlineStr">
        <is>
          <t>Kế Toán Nhập Liệu, Nhận Đơn Đặt Hàng, Quản Lý Hóa Đơn Chứng Từ, Tính Lương, Đối Chiếu Công Nợ</t>
        </is>
      </c>
      <c r="M4571" t="inlineStr">
        <is>
          <t>Bonus, Healthcare Plan, Paid Leave, Others</t>
        </is>
      </c>
      <c r="N4571" s="8">
        <f>HYPERLINK("https://www.vietnamworks.com/ke-toan-vien-luong-tren-10-trieu-2014968-jv","Xem chi tiết")</f>
        <v/>
      </c>
    </row>
    <row r="4572">
      <c r="B4572" s="9" t="n">
        <v>4570</v>
      </c>
      <c r="C4572" s="10" t="inlineStr">
        <is>
          <t>Trợ Lý Nhãn Hàng (Mức Lương Lên Tới 25 Triệu/ Tháng)</t>
        </is>
      </c>
      <c r="D4572" s="10" t="inlineStr">
        <is>
          <t>Công Ty Cổ Phần Dược Phẩm Hoa Linh</t>
        </is>
      </c>
      <c r="E4572" s="10" t="inlineStr">
        <is>
          <t>18tr-25tr ₫/tháng</t>
        </is>
      </c>
      <c r="F4572" s="10" t="inlineStr">
        <is>
          <t>Hà Nội</t>
        </is>
      </c>
      <c r="G4572" s="10" t="inlineStr">
        <is>
          <t>Nhân viên</t>
        </is>
      </c>
      <c r="H4572" s="10" t="inlineStr">
        <is>
          <t>27/02/2026</t>
        </is>
      </c>
      <c r="I4572" s="10" t="inlineStr">
        <is>
          <t>29/03/2026</t>
        </is>
      </c>
      <c r="J4572" s="10" t="inlineStr">
        <is>
          <t>17/03/2026</t>
        </is>
      </c>
      <c r="K4572" s="10" t="inlineStr">
        <is>
          <t>N/A</t>
        </is>
      </c>
      <c r="L4572" s="10" t="inlineStr">
        <is>
          <t>Đàm Phán, Quản Lý Thương Hiệu, Nghiên Cứu Sản Phẩm, Quản Lý Nhãn Hàng, Tiếng Anh</t>
        </is>
      </c>
      <c r="M4572" s="10" t="inlineStr">
        <is>
          <t>Bonus, Healthcare Plan, Paid Leave</t>
        </is>
      </c>
      <c r="N4572" s="11">
        <f>HYPERLINK("https://www.vietnamworks.com/tro-ly-nhan-hang-muc-luong-len-toi-25-trieu-thang--2014982-jv","Xem chi tiết")</f>
        <v/>
      </c>
      <c r="O4572" s="10" t="n"/>
    </row>
    <row r="4573">
      <c r="B4573" s="7" t="n">
        <v>4571</v>
      </c>
      <c r="C4573" t="inlineStr">
        <is>
          <t>Chuyên Viên Phân Tích Tài Chính</t>
        </is>
      </c>
      <c r="D4573" t="inlineStr">
        <is>
          <t>Bệnh Viện Quốc Tế Hạnh Phúc</t>
        </is>
      </c>
      <c r="E4573" t="inlineStr">
        <is>
          <t>Thương lượng</t>
        </is>
      </c>
      <c r="F4573" t="inlineStr">
        <is>
          <t>Bình Dương, Hồ Chí Minh</t>
        </is>
      </c>
      <c r="G4573" t="inlineStr">
        <is>
          <t>Nhân viên</t>
        </is>
      </c>
      <c r="H4573" t="inlineStr">
        <is>
          <t>27/02/2026</t>
        </is>
      </c>
      <c r="I4573" t="inlineStr">
        <is>
          <t>29/03/2026</t>
        </is>
      </c>
      <c r="J4573" t="inlineStr">
        <is>
          <t>17/03/2026</t>
        </is>
      </c>
      <c r="K4573" t="inlineStr">
        <is>
          <t>N/A</t>
        </is>
      </c>
      <c r="L4573" t="inlineStr">
        <is>
          <t>Phân Tích Tài Chính, Quản Lý Ngân Sách, Budget Management, Kiểm Toán, Reporting</t>
        </is>
      </c>
      <c r="M4573" t="inlineStr">
        <is>
          <t>Bonus, Healthcare Plan, Team Activities, Transportation, Others</t>
        </is>
      </c>
      <c r="N4573" s="8">
        <f>HYPERLINK("https://www.vietnamworks.com/chuyen-vien-phan-tich-tai-chinh-2014990-jv","Xem chi tiết")</f>
        <v/>
      </c>
    </row>
    <row r="4574">
      <c r="B4574" s="9" t="n">
        <v>4572</v>
      </c>
      <c r="C4574" s="10" t="inlineStr">
        <is>
          <t>Giám Đốc Bảo Dưỡng Nhà Máy - Factory Maintenance Manager</t>
        </is>
      </c>
      <c r="D4574" s="10" t="inlineStr">
        <is>
          <t>Nhà máy Giấy Xương Giang</t>
        </is>
      </c>
      <c r="E4574" s="10" t="inlineStr">
        <is>
          <t>40tr-60tr ₫/tháng</t>
        </is>
      </c>
      <c r="F4574" s="10" t="inlineStr">
        <is>
          <t>Bắc Giang, Bắc Ninh</t>
        </is>
      </c>
      <c r="G4574" s="10" t="inlineStr">
        <is>
          <t>Giám Đốc và Cấp Cao Hơn</t>
        </is>
      </c>
      <c r="H4574" s="10" t="inlineStr">
        <is>
          <t>27/02/2026</t>
        </is>
      </c>
      <c r="I4574" s="10" t="inlineStr">
        <is>
          <t>29/03/2026</t>
        </is>
      </c>
      <c r="J4574" s="10" t="inlineStr">
        <is>
          <t>17/03/2026</t>
        </is>
      </c>
      <c r="K4574" s="10" t="inlineStr">
        <is>
          <t>N/A</t>
        </is>
      </c>
      <c r="L4574" s="10" t="inlineStr">
        <is>
          <t>Bảo Dưỡng Bảo Trì, Dây Chuyền Sản Xuất, M&amp;E, Quản Lý Thiết Bị, Tự Động Hóa</t>
        </is>
      </c>
      <c r="M4574" s="10" t="inlineStr">
        <is>
          <t>Bonus, Healthcare Plan, Training, Laptop, Travel Opportunities, Others</t>
        </is>
      </c>
      <c r="N4574" s="11">
        <f>HYPERLINK("https://www.vietnamworks.com/giam-djoc-bao-duong-nha-may-factory-maintenance-manager-2014969-jv","Xem chi tiết")</f>
        <v/>
      </c>
      <c r="O4574" s="10" t="n"/>
    </row>
    <row r="4575">
      <c r="B4575" s="7" t="n">
        <v>4573</v>
      </c>
      <c r="C4575" t="inlineStr">
        <is>
          <t>Purchasing Senior Executive</t>
        </is>
      </c>
      <c r="D4575" t="inlineStr">
        <is>
          <t>M Village</t>
        </is>
      </c>
      <c r="E4575" t="inlineStr">
        <is>
          <t>$$ 500-600 /tháng</t>
        </is>
      </c>
      <c r="F4575" t="inlineStr">
        <is>
          <t>Hồ Chí Minh</t>
        </is>
      </c>
      <c r="G4575" t="inlineStr">
        <is>
          <t>Nhân viên</t>
        </is>
      </c>
      <c r="H4575" t="inlineStr">
        <is>
          <t>27/02/2026</t>
        </is>
      </c>
      <c r="I4575" t="inlineStr">
        <is>
          <t>29/03/2026</t>
        </is>
      </c>
      <c r="J4575" t="inlineStr">
        <is>
          <t>17/03/2026</t>
        </is>
      </c>
      <c r="K4575" t="inlineStr">
        <is>
          <t>N/A</t>
        </is>
      </c>
      <c r="L4575" t="inlineStr">
        <is>
          <t>Procurement, Purchasing Control, Purchase Management, Mua Hàng, Deal Sourcing</t>
        </is>
      </c>
      <c r="M4575" t="inlineStr">
        <is>
          <t>Bonus, Healthcare Plan, Others</t>
        </is>
      </c>
      <c r="N4575" s="8">
        <f>HYPERLINK("https://www.vietnamworks.com/purchasing-senior-executive--2014983-jv","Xem chi tiết")</f>
        <v/>
      </c>
    </row>
    <row r="4576">
      <c r="B4576" s="9" t="n">
        <v>4574</v>
      </c>
      <c r="C4576" s="10" t="inlineStr">
        <is>
          <t>Chuyên Viên Chăm Sóc Khách Hàng</t>
        </is>
      </c>
      <c r="D4576" s="10" t="inlineStr">
        <is>
          <t>Bệnh Viện Quốc Tế Hạnh Phúc</t>
        </is>
      </c>
      <c r="E4576" s="10" t="inlineStr">
        <is>
          <t>$$ 400-500 /tháng</t>
        </is>
      </c>
      <c r="F4576" s="10" t="inlineStr">
        <is>
          <t>Hồ Chí Minh, Bình Dương</t>
        </is>
      </c>
      <c r="G4576" s="10" t="inlineStr">
        <is>
          <t>Nhân viên</t>
        </is>
      </c>
      <c r="H4576" s="10" t="inlineStr">
        <is>
          <t>27/02/2026</t>
        </is>
      </c>
      <c r="I4576" s="10" t="inlineStr">
        <is>
          <t>29/03/2026</t>
        </is>
      </c>
      <c r="J4576" s="10" t="inlineStr">
        <is>
          <t>17/03/2026</t>
        </is>
      </c>
      <c r="K4576" s="10" t="inlineStr">
        <is>
          <t>N/A</t>
        </is>
      </c>
      <c r="L4576" s="10" t="inlineStr">
        <is>
          <t>Dịch Vụ Khách Hàng, Customer Service, Customer Support, Chăm Sóc Khách Hàng, Customer Care</t>
        </is>
      </c>
      <c r="M4576" s="10" t="inlineStr">
        <is>
          <t>Bonus, Transportation, Others</t>
        </is>
      </c>
      <c r="N4576" s="11">
        <f>HYPERLINK("https://www.vietnamworks.com/chuyen-vien-cham-soc-khach-hang--2014992-jv","Xem chi tiết")</f>
        <v/>
      </c>
      <c r="O4576" s="10" t="n"/>
    </row>
    <row r="4577">
      <c r="B4577" s="7" t="n">
        <v>4575</v>
      </c>
      <c r="C4577" t="inlineStr">
        <is>
          <t>Kỹ Sư Cơ Khí - Điện | Làm Việc Tại Nhật Bản</t>
        </is>
      </c>
      <c r="D4577" t="inlineStr">
        <is>
          <t>GLOBAL DESIGN VIET NAM COMPANY LIMITED</t>
        </is>
      </c>
      <c r="E4577" t="inlineStr">
        <is>
          <t>¥ 270,000-330,000 /tháng</t>
        </is>
      </c>
      <c r="F4577" t="inlineStr">
        <is>
          <t>Quốc tế</t>
        </is>
      </c>
      <c r="G4577" t="inlineStr">
        <is>
          <t>Nhân viên</t>
        </is>
      </c>
      <c r="H4577" t="inlineStr">
        <is>
          <t>27/02/2026</t>
        </is>
      </c>
      <c r="I4577" t="inlineStr">
        <is>
          <t>29/03/2026</t>
        </is>
      </c>
      <c r="J4577" t="inlineStr">
        <is>
          <t>17/03/2026</t>
        </is>
      </c>
      <c r="K4577" t="inlineStr">
        <is>
          <t>N/A</t>
        </is>
      </c>
      <c r="L4577" t="inlineStr">
        <is>
          <t>3D Modeling, CAD Design, CAM programming, PLC, Japanese Speaking</t>
        </is>
      </c>
      <c r="M4577" t="inlineStr">
        <is>
          <t>Bonus, Healthcare Plan, Paid Leave, Travel Opportunities, Team Activities</t>
        </is>
      </c>
      <c r="N4577" s="8">
        <f>HYPERLINK("https://www.vietnamworks.com/ky-su-co-khi-djien-or-lam-viec-tai-nhat-ban-2014978-jv","Xem chi tiết")</f>
        <v/>
      </c>
    </row>
    <row r="4578">
      <c r="B4578" s="9" t="n">
        <v>4576</v>
      </c>
      <c r="C4578" s="10" t="inlineStr">
        <is>
          <t>Chuyên Viên Nghiên Cứu Thị Trường</t>
        </is>
      </c>
      <c r="D4578" s="10" t="inlineStr">
        <is>
          <t>Công Ty Cổ Phần Dược Phẩm Hoa Linh</t>
        </is>
      </c>
      <c r="E4578" s="10" t="inlineStr">
        <is>
          <t>Thương lượng</t>
        </is>
      </c>
      <c r="F4578" s="10" t="inlineStr">
        <is>
          <t>Hà Nội</t>
        </is>
      </c>
      <c r="G4578" s="10" t="inlineStr">
        <is>
          <t>Nhân viên</t>
        </is>
      </c>
      <c r="H4578" s="10" t="inlineStr">
        <is>
          <t>27/02/2026</t>
        </is>
      </c>
      <c r="I4578" s="10" t="inlineStr">
        <is>
          <t>29/03/2026</t>
        </is>
      </c>
      <c r="J4578" s="10" t="inlineStr">
        <is>
          <t>17/03/2026</t>
        </is>
      </c>
      <c r="K4578" s="10" t="inlineStr">
        <is>
          <t>N/A</t>
        </is>
      </c>
      <c r="L4578" s="10" t="inlineStr">
        <is>
          <t>Nghiên Cứu Thị Trường, Kỹ năng giao tiêp, Làm việc độc lập, Làm Việc Nhóm, ham học hỏi</t>
        </is>
      </c>
      <c r="M4578" s="10" t="inlineStr">
        <is>
          <t>Bonus, Healthcare Plan, Paid Leave</t>
        </is>
      </c>
      <c r="N4578" s="11">
        <f>HYPERLINK("https://www.vietnamworks.com/chuyen-vien-nghien-cuu-thi-truong-2014980-jv","Xem chi tiết")</f>
        <v/>
      </c>
      <c r="O4578" s="10" t="n"/>
    </row>
    <row r="4579">
      <c r="B4579" s="7" t="n">
        <v>4577</v>
      </c>
      <c r="C4579" t="inlineStr">
        <is>
          <t>Nhân Viên Marketing (Mảng Thuốc Thú Y/ Vaccine)</t>
        </is>
      </c>
      <c r="D4579" t="inlineStr">
        <is>
          <t>Sunjin Vina Co., Ltd</t>
        </is>
      </c>
      <c r="E4579" t="inlineStr">
        <is>
          <t>$$ 500-700 /tháng</t>
        </is>
      </c>
      <c r="F4579" t="inlineStr">
        <is>
          <t>Hồ Chí Minh</t>
        </is>
      </c>
      <c r="G4579" t="inlineStr">
        <is>
          <t>Nhân viên</t>
        </is>
      </c>
      <c r="H4579" t="inlineStr">
        <is>
          <t>27/02/2026</t>
        </is>
      </c>
      <c r="I4579" t="inlineStr">
        <is>
          <t>29/03/2026</t>
        </is>
      </c>
      <c r="J4579" t="inlineStr">
        <is>
          <t>17/03/2026</t>
        </is>
      </c>
      <c r="K4579" t="inlineStr">
        <is>
          <t>N/A</t>
        </is>
      </c>
      <c r="L4579" t="inlineStr">
        <is>
          <t>Truyền Thông Nội Bộ, Training, Tiếng Anh, Nhân Sự, Human Resources</t>
        </is>
      </c>
      <c r="M4579" t="inlineStr">
        <is>
          <t>Laptop, Transportation, Others</t>
        </is>
      </c>
      <c r="N4579" s="8">
        <f>HYPERLINK("https://www.vietnamworks.com/nhan-vien-marketing-mang-thuoc-thu-y-vaccine--2014973-jv","Xem chi tiết")</f>
        <v/>
      </c>
    </row>
    <row r="4580">
      <c r="B4580" s="9" t="n">
        <v>4578</v>
      </c>
      <c r="C4580" s="10" t="inlineStr">
        <is>
          <t>CMO</t>
        </is>
      </c>
      <c r="D4580" s="10" t="inlineStr">
        <is>
          <t>CÔNG TY CỔ PHẦN UNITY SPORT</t>
        </is>
      </c>
      <c r="E4580" s="10" t="inlineStr">
        <is>
          <t>Thương lượng</t>
        </is>
      </c>
      <c r="F4580" s="10" t="inlineStr">
        <is>
          <t>Hồ Chí Minh</t>
        </is>
      </c>
      <c r="G4580" s="10" t="inlineStr">
        <is>
          <t>Giám Đốc và Cấp Cao Hơn</t>
        </is>
      </c>
      <c r="H4580" s="10" t="inlineStr">
        <is>
          <t>27/02/2026</t>
        </is>
      </c>
      <c r="I4580" s="10" t="inlineStr">
        <is>
          <t>29/03/2026</t>
        </is>
      </c>
      <c r="J4580" s="10" t="inlineStr">
        <is>
          <t>17/03/2026</t>
        </is>
      </c>
      <c r="K4580" s="10" t="inlineStr">
        <is>
          <t>N/A</t>
        </is>
      </c>
      <c r="L4580" s="10" t="inlineStr">
        <is>
          <t>Digital Marketing, performance marketing, Data Analytics, Client Acquisition, Leadership</t>
        </is>
      </c>
      <c r="M4580" s="10" t="inlineStr">
        <is>
          <t>Bonus, Healthcare Plan, Paid Leave, Training, Team Activities, Others</t>
        </is>
      </c>
      <c r="N4580" s="11">
        <f>HYPERLINK("https://www.vietnamworks.com/cmo-2014971-jv","Xem chi tiết")</f>
        <v/>
      </c>
      <c r="O4580" s="10" t="n"/>
    </row>
    <row r="4581">
      <c r="B4581" s="7" t="n">
        <v>4579</v>
      </c>
      <c r="C4581" t="inlineStr">
        <is>
          <t>Trưởng Nhóm Ngành Hàng Tươi Sống (Fresh Team Leader)</t>
        </is>
      </c>
      <c r="D4581" t="inlineStr">
        <is>
          <t>Công Ty TNHH Bán Lẻ Fujimart Việt Nam</t>
        </is>
      </c>
      <c r="E4581" t="inlineStr">
        <is>
          <t>Thương lượng</t>
        </is>
      </c>
      <c r="F4581" t="inlineStr">
        <is>
          <t>Hà Nội</t>
        </is>
      </c>
      <c r="G4581" t="inlineStr">
        <is>
          <t>Trưởng phòng</t>
        </is>
      </c>
      <c r="H4581" t="inlineStr">
        <is>
          <t>27/02/2026</t>
        </is>
      </c>
      <c r="I4581" t="inlineStr">
        <is>
          <t>29/03/2026</t>
        </is>
      </c>
      <c r="J4581" t="inlineStr">
        <is>
          <t>17/03/2026</t>
        </is>
      </c>
      <c r="K4581" t="inlineStr">
        <is>
          <t>N/A</t>
        </is>
      </c>
      <c r="L4581" t="inlineStr">
        <is>
          <t>Giám Sát Siêu Thị, Bán Lẻ, Thu mua nguyên liệu, Thu Mua, Quản Lý Chuỗi Siêu Thị</t>
        </is>
      </c>
      <c r="M4581" t="inlineStr">
        <is>
          <t>Bonus, Healthcare Plan, Training</t>
        </is>
      </c>
      <c r="N4581" s="8">
        <f>HYPERLINK("https://www.vietnamworks.com/truong-nhom-nganh-hang-tuoi-song-fresh-team-leader-2014967-jv","Xem chi tiết")</f>
        <v/>
      </c>
    </row>
    <row r="4582">
      <c r="B4582" s="9" t="n">
        <v>4580</v>
      </c>
      <c r="C4582" s="10" t="inlineStr">
        <is>
          <t>Chuyên Viên Kinh Doanh Xuất Khẩu (Dược Sĩ Đại Học, Tiếng Anh Tốt)</t>
        </is>
      </c>
      <c r="D4582" s="10" t="inlineStr">
        <is>
          <t>Công Ty Cổ Phần Dược Phẩm Vĩnh Phúc</t>
        </is>
      </c>
      <c r="E4582" s="10" t="inlineStr">
        <is>
          <t>Thương lượng</t>
        </is>
      </c>
      <c r="F4582" s="10" t="inlineStr">
        <is>
          <t>Hà Nội</t>
        </is>
      </c>
      <c r="G4582" s="10" t="inlineStr">
        <is>
          <t>Nhân viên</t>
        </is>
      </c>
      <c r="H4582" s="10" t="inlineStr">
        <is>
          <t>27/02/2026</t>
        </is>
      </c>
      <c r="I4582" s="10" t="inlineStr">
        <is>
          <t>29/03/2026</t>
        </is>
      </c>
      <c r="J4582" s="10" t="inlineStr">
        <is>
          <t>17/03/2026</t>
        </is>
      </c>
      <c r="K4582" s="10" t="inlineStr">
        <is>
          <t>N/A</t>
        </is>
      </c>
      <c r="L4582" s="10" t="inlineStr">
        <is>
          <t>Kinh Doanh, Xuất Nhập Khẩu, Bán Hàng</t>
        </is>
      </c>
      <c r="M4582" s="10" t="inlineStr">
        <is>
          <t>Bonus, Healthcare Plan, Travel Opportunities</t>
        </is>
      </c>
      <c r="N4582" s="11">
        <f>HYPERLINK("https://www.vietnamworks.com/chuyen-vien-kinh-doanh-xuat-khau-duoc-si-dai-hoc-tieng-anh-tot--2014974-jv","Xem chi tiết")</f>
        <v/>
      </c>
      <c r="O4582" s="10" t="n"/>
    </row>
    <row r="4583">
      <c r="B4583" s="7" t="n">
        <v>4581</v>
      </c>
      <c r="C4583" t="inlineStr">
        <is>
          <t>Quản Lý Phát Triển Kinh Doanh Thương Mại Điện Tử Lương Lên Tới 35 Triệu/ Tháng (Business Development Ecommerce Manager)</t>
        </is>
      </c>
      <c r="D4583" t="inlineStr">
        <is>
          <t>Công Ty Cổ Phần Dược Phẩm Hoa Linh</t>
        </is>
      </c>
      <c r="E4583" t="inlineStr">
        <is>
          <t>18tr-35tr ₫/tháng</t>
        </is>
      </c>
      <c r="F4583" t="inlineStr">
        <is>
          <t>Hà Nội</t>
        </is>
      </c>
      <c r="G4583" t="inlineStr">
        <is>
          <t>Trưởng phòng</t>
        </is>
      </c>
      <c r="H4583" t="inlineStr">
        <is>
          <t>27/02/2026</t>
        </is>
      </c>
      <c r="I4583" t="inlineStr">
        <is>
          <t>29/03/2026</t>
        </is>
      </c>
      <c r="J4583" t="inlineStr">
        <is>
          <t>17/03/2026</t>
        </is>
      </c>
      <c r="K4583" t="inlineStr">
        <is>
          <t>N/A</t>
        </is>
      </c>
      <c r="L4583" t="inlineStr">
        <is>
          <t>Quản Lý Kinh Doanh, Kế Hoạch Ngân Sách, Kinh Doanh Thương Mại Điện Tử, Quản Trị Bán Hàng, Sales Planning</t>
        </is>
      </c>
      <c r="M4583" t="inlineStr">
        <is>
          <t>Bonus, Healthcare Plan, Paid Leave</t>
        </is>
      </c>
      <c r="N4583" s="8">
        <f>HYPERLINK("https://www.vietnamworks.com/quan-ly-phat-trien-kinh-doanh-thuong-mai-djien-tu-luong-len-toi-35-trieu-thang-business-development-ecommerce-manager-2014985-jv","Xem chi tiết")</f>
        <v/>
      </c>
    </row>
    <row r="4584">
      <c r="B4584" s="9" t="n">
        <v>4582</v>
      </c>
      <c r="C4584" s="10" t="inlineStr">
        <is>
          <t>Giám Đốc Nhân Sự Tập Đoàn</t>
        </is>
      </c>
      <c r="D4584" s="10" t="inlineStr">
        <is>
          <t>Công ty Cổ phần Devyt</t>
        </is>
      </c>
      <c r="E4584" s="10" t="inlineStr">
        <is>
          <t>Thương lượng</t>
        </is>
      </c>
      <c r="F4584" s="10" t="inlineStr">
        <is>
          <t>Hà Nội</t>
        </is>
      </c>
      <c r="G4584" s="10" t="inlineStr">
        <is>
          <t>Giám Đốc và Cấp Cao Hơn</t>
        </is>
      </c>
      <c r="H4584" s="10" t="inlineStr">
        <is>
          <t>27/02/2026</t>
        </is>
      </c>
      <c r="I4584" s="10" t="inlineStr">
        <is>
          <t>29/03/2026</t>
        </is>
      </c>
      <c r="J4584" s="10" t="inlineStr">
        <is>
          <t>17/03/2026</t>
        </is>
      </c>
      <c r="K4584" s="10" t="inlineStr">
        <is>
          <t>N/A</t>
        </is>
      </c>
      <c r="L4584" s="10" t="inlineStr">
        <is>
          <t>Kinh Tế, Lãnh Đạo, Quản Trị Kinh Doanh, Quản Trị Nhân Lực, Luật</t>
        </is>
      </c>
      <c r="M4584" s="10" t="inlineStr">
        <is>
          <t>Bonus, Healthcare Plan, Canteen, Others</t>
        </is>
      </c>
      <c r="N4584" s="11">
        <f>HYPERLINK("https://www.vietnamworks.com/giam-djoc-nhan-su-tap-djoan-2014991-jv","Xem chi tiết")</f>
        <v/>
      </c>
      <c r="O4584" s="10" t="n"/>
    </row>
    <row r="4585">
      <c r="B4585" s="7" t="n">
        <v>4583</v>
      </c>
      <c r="C4585" t="inlineStr">
        <is>
          <t>Total Rewards Manager</t>
        </is>
      </c>
      <c r="D4585" t="inlineStr">
        <is>
          <t>CÔNG TY CỔ PHẦN TẬP ĐOÀN ĐẦU TƯ HOÀNG GIA VIỆT NAM</t>
        </is>
      </c>
      <c r="E4585" t="inlineStr">
        <is>
          <t>Thương lượng</t>
        </is>
      </c>
      <c r="F4585" t="inlineStr">
        <is>
          <t>Hồ Chí Minh</t>
        </is>
      </c>
      <c r="G4585" t="inlineStr">
        <is>
          <t>Trưởng phòng</t>
        </is>
      </c>
      <c r="H4585" t="inlineStr">
        <is>
          <t>27/02/2026</t>
        </is>
      </c>
      <c r="I4585" t="inlineStr">
        <is>
          <t>29/03/2026</t>
        </is>
      </c>
      <c r="J4585" t="inlineStr">
        <is>
          <t>17/03/2026</t>
        </is>
      </c>
      <c r="K4585" t="inlineStr">
        <is>
          <t>N/A</t>
        </is>
      </c>
      <c r="L4585" t="inlineStr">
        <is>
          <t>Communication Skills, Job Evaluation, Salary Benchmarking, Total Reward Statement, Workforce Analytics</t>
        </is>
      </c>
      <c r="M4585" t="inlineStr">
        <is>
          <t>Healthcare Plan, Paid Leave, Others</t>
        </is>
      </c>
      <c r="N4585" s="8">
        <f>HYPERLINK("https://www.vietnamworks.com/total-rewards-manager-2014970-jv","Xem chi tiết")</f>
        <v/>
      </c>
    </row>
    <row r="4586">
      <c r="B4586" s="9" t="n">
        <v>4584</v>
      </c>
      <c r="C4586" s="10" t="inlineStr">
        <is>
          <t>Nhân Viên Content &amp; Phát Triển Cộng Đồng KOL/ KOC</t>
        </is>
      </c>
      <c r="D4586" s="10" t="inlineStr">
        <is>
          <t>Công Ty Cổ Phần Dược Phẩm Hoa Linh</t>
        </is>
      </c>
      <c r="E4586" s="10" t="inlineStr">
        <is>
          <t>12tr-18tr ₫/tháng</t>
        </is>
      </c>
      <c r="F4586" s="10" t="inlineStr">
        <is>
          <t>Hà Nội</t>
        </is>
      </c>
      <c r="G4586" s="10" t="inlineStr">
        <is>
          <t>Nhân viên</t>
        </is>
      </c>
      <c r="H4586" s="10" t="inlineStr">
        <is>
          <t>27/02/2026</t>
        </is>
      </c>
      <c r="I4586" s="10" t="inlineStr">
        <is>
          <t>29/03/2026</t>
        </is>
      </c>
      <c r="J4586" s="10" t="inlineStr">
        <is>
          <t>17/03/2026</t>
        </is>
      </c>
      <c r="K4586" s="10" t="inlineStr">
        <is>
          <t>N/A</t>
        </is>
      </c>
      <c r="L4586" s="10" t="inlineStr">
        <is>
          <t>Marketing Development, Content Creation, Community Development, social media, Communication</t>
        </is>
      </c>
      <c r="M4586" s="10" t="inlineStr">
        <is>
          <t>Bonus, Healthcare Plan, Paid Leave</t>
        </is>
      </c>
      <c r="N4586" s="11">
        <f>HYPERLINK("https://www.vietnamworks.com/nhan-vien-content-and-phat-trien-cong-djong-kol-koc-2014979-jv","Xem chi tiết")</f>
        <v/>
      </c>
      <c r="O4586" s="10" t="n"/>
    </row>
    <row r="4587">
      <c r="B4587" s="7" t="n">
        <v>4585</v>
      </c>
      <c r="C4587" t="inlineStr">
        <is>
          <t>Chuyên Viên Tài Chính Dự Án</t>
        </is>
      </c>
      <c r="D4587" t="inlineStr">
        <is>
          <t>Stavian Group</t>
        </is>
      </c>
      <c r="E4587" t="inlineStr">
        <is>
          <t>Thương lượng</t>
        </is>
      </c>
      <c r="F4587" t="inlineStr">
        <is>
          <t>Hà Nội</t>
        </is>
      </c>
      <c r="G4587" t="inlineStr">
        <is>
          <t>Nhân viên</t>
        </is>
      </c>
      <c r="H4587" t="inlineStr">
        <is>
          <t>27/02/2026</t>
        </is>
      </c>
      <c r="I4587" t="inlineStr">
        <is>
          <t>29/03/2026</t>
        </is>
      </c>
      <c r="J4587" t="inlineStr">
        <is>
          <t>17/03/2026</t>
        </is>
      </c>
      <c r="K4587" t="inlineStr">
        <is>
          <t>N/A</t>
        </is>
      </c>
      <c r="L4587" t="inlineStr">
        <is>
          <t>Phân Tích Tài Chính, Dự án</t>
        </is>
      </c>
      <c r="M4587" t="inlineStr">
        <is>
          <t>Bonus, Healthcare Plan, Travel Opportunities</t>
        </is>
      </c>
      <c r="N4587" s="8">
        <f>HYPERLINK("https://www.vietnamworks.com/chuyen-vien-tai-chinh-du-an--2014976-jv","Xem chi tiết")</f>
        <v/>
      </c>
    </row>
    <row r="4588">
      <c r="B4588" s="9" t="n">
        <v>4586</v>
      </c>
      <c r="C4588" s="10" t="inlineStr">
        <is>
          <t>Nhân Viên Kinh Doanh Tiếng Trung</t>
        </is>
      </c>
      <c r="D4588" s="10" t="inlineStr">
        <is>
          <t>CÔNG TY TNHH KHOA HỌC KỸ THUẬT E-GETS VIỆT NAM</t>
        </is>
      </c>
      <c r="E4588" s="10" t="inlineStr">
        <is>
          <t>10tr-20tr ₫/tháng</t>
        </is>
      </c>
      <c r="F4588" s="10" t="inlineStr">
        <is>
          <t>Quảng Ninh</t>
        </is>
      </c>
      <c r="G4588" s="10" t="inlineStr">
        <is>
          <t>Nhân viên</t>
        </is>
      </c>
      <c r="H4588" s="10" t="inlineStr">
        <is>
          <t>27/02/2026</t>
        </is>
      </c>
      <c r="I4588" s="10" t="inlineStr">
        <is>
          <t>29/03/2026</t>
        </is>
      </c>
      <c r="J4588" s="10" t="inlineStr">
        <is>
          <t>17/03/2026</t>
        </is>
      </c>
      <c r="K4588" s="10" t="inlineStr">
        <is>
          <t>N/A</t>
        </is>
      </c>
      <c r="L4588" s="10" t="inlineStr">
        <is>
          <t>Tin Học Văn Phòng, Tiếng Trung HSK4, Thay Đổi Ca Làm Việc, Nhân viên kinh doanh, Sale</t>
        </is>
      </c>
      <c r="M4588" s="10" t="inlineStr">
        <is>
          <t>Bonus, Healthcare Plan, Paid Leave, Training, Laptop, Team Activities, Others</t>
        </is>
      </c>
      <c r="N4588" s="11">
        <f>HYPERLINK("https://www.vietnamworks.com/nhan-vien-kinh-doanh-tieng-trung--2014987-jv","Xem chi tiết")</f>
        <v/>
      </c>
      <c r="O4588" s="10" t="n"/>
    </row>
    <row r="4589">
      <c r="B4589" s="7" t="n">
        <v>4587</v>
      </c>
      <c r="C4589" t="inlineStr">
        <is>
          <t>Nhân Viên Chứng Từ Xuất/nhập</t>
        </is>
      </c>
      <c r="D4589" t="inlineStr">
        <is>
          <t>Công Ty TNHH Empire-Group</t>
        </is>
      </c>
      <c r="E4589" t="inlineStr">
        <is>
          <t>Thương lượng</t>
        </is>
      </c>
      <c r="F4589" t="inlineStr">
        <is>
          <t>Hồ Chí Minh</t>
        </is>
      </c>
      <c r="G4589" t="inlineStr">
        <is>
          <t>Nhân viên</t>
        </is>
      </c>
      <c r="H4589" t="inlineStr">
        <is>
          <t>27/02/2026</t>
        </is>
      </c>
      <c r="I4589" t="inlineStr">
        <is>
          <t>29/03/2026</t>
        </is>
      </c>
      <c r="J4589" t="inlineStr">
        <is>
          <t>17/03/2026</t>
        </is>
      </c>
      <c r="K4589" t="inlineStr">
        <is>
          <t>N/A</t>
        </is>
      </c>
      <c r="L4589" t="inlineStr">
        <is>
          <t>Hải Quan, Logistics, Forwarding, Chứng Từ Hải Quan, Vận Tải Quốc Tế</t>
        </is>
      </c>
      <c r="M4589" t="inlineStr">
        <is>
          <t>Bonus, Healthcare Plan, Training</t>
        </is>
      </c>
      <c r="N4589" s="8">
        <f>HYPERLINK("https://www.vietnamworks.com/nhan-vien-chung-tu-xuat-nhap--2014984-jv","Xem chi tiết")</f>
        <v/>
      </c>
    </row>
    <row r="4590">
      <c r="B4590" s="9" t="n">
        <v>4588</v>
      </c>
      <c r="C4590" s="10" t="inlineStr">
        <is>
          <t>Sale Admin – Hỗ Trợ Kinh Doanh Dịch Vụ IT</t>
        </is>
      </c>
      <c r="D4590" s="10" t="inlineStr">
        <is>
          <t>Công Ty TNHH Công Nghệ Mạng Nhỏ (Smallnet Technologies., Ltd)</t>
        </is>
      </c>
      <c r="E4590" s="10" t="inlineStr">
        <is>
          <t>11tr-15tr ₫/tháng</t>
        </is>
      </c>
      <c r="F4590" s="10" t="inlineStr">
        <is>
          <t>Hà Nội</t>
        </is>
      </c>
      <c r="G4590" s="10" t="inlineStr">
        <is>
          <t>Nhân viên</t>
        </is>
      </c>
      <c r="H4590" s="10" t="inlineStr">
        <is>
          <t>27/02/2026</t>
        </is>
      </c>
      <c r="I4590" s="10" t="inlineStr">
        <is>
          <t>29/03/2026</t>
        </is>
      </c>
      <c r="J4590" s="10" t="inlineStr">
        <is>
          <t>17/03/2026</t>
        </is>
      </c>
      <c r="K4590" s="10" t="inlineStr">
        <is>
          <t>N/A</t>
        </is>
      </c>
      <c r="L4590" s="10" t="inlineStr">
        <is>
          <t>Báo Giá Hợp Đồng, Chuẩn Bị Tài Liệu, Lập Báo Cáo Doanh Thu, Quản Lý Nhà Cung Cấp, Theo Dõi Đơn Hàng</t>
        </is>
      </c>
      <c r="M4590" s="10" t="inlineStr">
        <is>
          <t>Bonus, Healthcare Plan, Paid Leave, Training, Awards, Library, Mobile, Canteen</t>
        </is>
      </c>
      <c r="N4590" s="11">
        <f>HYPERLINK("https://www.vietnamworks.com/sale-admin-ho-tro-kinh-doanh-dich-vu-it-2014993-jv","Xem chi tiết")</f>
        <v/>
      </c>
      <c r="O4590" s="10" t="n"/>
    </row>
    <row r="4591">
      <c r="B4591" s="7" t="n">
        <v>4589</v>
      </c>
      <c r="C4591" t="inlineStr">
        <is>
          <t>Nhân Viên Kế Toán</t>
        </is>
      </c>
      <c r="D4591" t="inlineStr">
        <is>
          <t>Công Ty TNHH MTV Nông Sản DK</t>
        </is>
      </c>
      <c r="E4591" t="inlineStr">
        <is>
          <t>Thương lượng</t>
        </is>
      </c>
      <c r="F4591" t="inlineStr">
        <is>
          <t>Hồ Chí Minh</t>
        </is>
      </c>
      <c r="G4591" t="inlineStr">
        <is>
          <t>Nhân viên</t>
        </is>
      </c>
      <c r="H4591" t="inlineStr">
        <is>
          <t>27/02/2026</t>
        </is>
      </c>
      <c r="I4591" t="inlineStr">
        <is>
          <t>29/03/2026</t>
        </is>
      </c>
      <c r="J4591" t="inlineStr">
        <is>
          <t>17/03/2026</t>
        </is>
      </c>
      <c r="K4591" t="inlineStr">
        <is>
          <t>N/A</t>
        </is>
      </c>
      <c r="L4591" t="inlineStr">
        <is>
          <t>Tài Chính Kế Toán, Tài Chính, Kiểm Toán, Misa, Hạch Toán Chi Phí</t>
        </is>
      </c>
      <c r="M4591" t="inlineStr">
        <is>
          <t>Bonus, Healthcare Plan, Paid Leave</t>
        </is>
      </c>
      <c r="N4591" s="8">
        <f>HYPERLINK("https://www.vietnamworks.com/nhan-vien-ke-toan--2014997-jv","Xem chi tiết")</f>
        <v/>
      </c>
    </row>
    <row r="4592">
      <c r="B4592" s="9" t="n">
        <v>4590</v>
      </c>
      <c r="C4592" s="10" t="inlineStr">
        <is>
          <t>Accounting Specialist</t>
        </is>
      </c>
      <c r="D4592" s="10" t="inlineStr">
        <is>
          <t>Phú Hưng Life</t>
        </is>
      </c>
      <c r="E4592" s="10" t="inlineStr">
        <is>
          <t>15tr-25tr ₫/tháng</t>
        </is>
      </c>
      <c r="F4592" s="10" t="inlineStr">
        <is>
          <t>Hồ Chí Minh</t>
        </is>
      </c>
      <c r="G4592" s="10" t="inlineStr">
        <is>
          <t>Nhân viên</t>
        </is>
      </c>
      <c r="H4592" s="10" t="inlineStr">
        <is>
          <t>27/02/2026</t>
        </is>
      </c>
      <c r="I4592" s="10" t="inlineStr">
        <is>
          <t>29/03/2026</t>
        </is>
      </c>
      <c r="J4592" s="10" t="inlineStr">
        <is>
          <t>17/03/2026</t>
        </is>
      </c>
      <c r="K4592" s="10" t="inlineStr">
        <is>
          <t>N/A</t>
        </is>
      </c>
      <c r="L4592" s="10" t="inlineStr">
        <is>
          <t>Accountant, Accounting Transactions, Invoice Processing, SUN System</t>
        </is>
      </c>
      <c r="M4592" s="10" t="inlineStr">
        <is>
          <t>Healthcare Plan, Paid Leave, Team Activities</t>
        </is>
      </c>
      <c r="N4592" s="11">
        <f>HYPERLINK("https://www.vietnamworks.com/accounting-specialist-2015013-jv","Xem chi tiết")</f>
        <v/>
      </c>
      <c r="O4592" s="10" t="n"/>
    </row>
    <row r="4593">
      <c r="B4593" s="7" t="n">
        <v>4591</v>
      </c>
      <c r="C4593" t="inlineStr">
        <is>
          <t>[Urgent] Kỹ Thuật Khuôn/jig (Có Xe Đưa Đón Từ Hà Nội)</t>
        </is>
      </c>
      <c r="D4593" t="inlineStr">
        <is>
          <t>CÔNG TY TNHH DELTEC VIỆT NAM</t>
        </is>
      </c>
      <c r="E4593" t="inlineStr">
        <is>
          <t>Thương lượng</t>
        </is>
      </c>
      <c r="F4593" t="inlineStr">
        <is>
          <t>Ninh Bình, Hà Nam, Hà Nội</t>
        </is>
      </c>
      <c r="G4593" t="inlineStr">
        <is>
          <t>Nhân viên</t>
        </is>
      </c>
      <c r="H4593" t="inlineStr">
        <is>
          <t>27/02/2026</t>
        </is>
      </c>
      <c r="I4593" t="inlineStr">
        <is>
          <t>29/03/2026</t>
        </is>
      </c>
      <c r="J4593" t="inlineStr">
        <is>
          <t>17/03/2026</t>
        </is>
      </c>
      <c r="K4593" t="inlineStr">
        <is>
          <t>N/A</t>
        </is>
      </c>
      <c r="L4593" t="inlineStr">
        <is>
          <t>Thiết Kế Khuôn, AutoCAD, Gia Công CNC, Đọc Bản Vẽ Kỹ Thuật, Kỹ Thuật</t>
        </is>
      </c>
      <c r="M4593" t="inlineStr">
        <is>
          <t>Bonus, Healthcare Plan, Others</t>
        </is>
      </c>
      <c r="N4593" s="8">
        <f>HYPERLINK("https://www.vietnamworks.com/urgent-ky-thuat-khuon-jig-co-xe-dua-don-tu-ha-noi-2015010-jv","Xem chi tiết")</f>
        <v/>
      </c>
    </row>
    <row r="4594">
      <c r="B4594" s="9" t="n">
        <v>4592</v>
      </c>
      <c r="C4594" s="10" t="inlineStr">
        <is>
          <t>Kế Toán Trưởng</t>
        </is>
      </c>
      <c r="D4594" s="10" t="inlineStr">
        <is>
          <t>CÔNG TY CỔ PHẦN TẬP ĐOÀN ĐẦU TƯ HOÀNG GIA VIỆT NAM</t>
        </is>
      </c>
      <c r="E4594" s="10" t="inlineStr">
        <is>
          <t>Thương lượng</t>
        </is>
      </c>
      <c r="F4594" s="10" t="inlineStr">
        <is>
          <t>Long An, Hồ Chí Minh</t>
        </is>
      </c>
      <c r="G4594" s="10" t="inlineStr">
        <is>
          <t>Trưởng phòng</t>
        </is>
      </c>
      <c r="H4594" s="10" t="inlineStr">
        <is>
          <t>27/02/2026</t>
        </is>
      </c>
      <c r="I4594" s="10" t="inlineStr">
        <is>
          <t>29/03/2026</t>
        </is>
      </c>
      <c r="J4594" s="10" t="inlineStr">
        <is>
          <t>17/03/2026</t>
        </is>
      </c>
      <c r="K4594" s="10" t="inlineStr">
        <is>
          <t>N/A</t>
        </is>
      </c>
      <c r="L4594" s="10" t="inlineStr">
        <is>
          <t>Kế Toán Tài Chính, Kế Toán Trưởng, Chief Accountant Certificate, Finance</t>
        </is>
      </c>
      <c r="M4594" s="10" t="inlineStr">
        <is>
          <t>Healthcare Plan, Training, Travel Opportunities</t>
        </is>
      </c>
      <c r="N4594" s="11">
        <f>HYPERLINK("https://www.vietnamworks.com/ke-toan-truong--2015006-jv","Xem chi tiết")</f>
        <v/>
      </c>
      <c r="O4594" s="10" t="n"/>
    </row>
    <row r="4595">
      <c r="B4595" s="7" t="n">
        <v>4593</v>
      </c>
      <c r="C4595" t="inlineStr">
        <is>
          <t>CS Executive</t>
        </is>
      </c>
      <c r="D4595" t="inlineStr">
        <is>
          <t>Công Ty TNHH Gardenline International (VN)</t>
        </is>
      </c>
      <c r="E4595" t="inlineStr">
        <is>
          <t>Thương lượng</t>
        </is>
      </c>
      <c r="F4595" t="inlineStr">
        <is>
          <t>Hồ Chí Minh</t>
        </is>
      </c>
      <c r="G4595" t="inlineStr">
        <is>
          <t>Nhân viên</t>
        </is>
      </c>
      <c r="H4595" t="inlineStr">
        <is>
          <t>27/02/2026</t>
        </is>
      </c>
      <c r="I4595" t="inlineStr">
        <is>
          <t>29/03/2026</t>
        </is>
      </c>
      <c r="J4595" t="inlineStr">
        <is>
          <t>17/03/2026</t>
        </is>
      </c>
      <c r="K4595" t="inlineStr">
        <is>
          <t>N/A</t>
        </is>
      </c>
      <c r="L4595" t="inlineStr">
        <is>
          <t>Customer Support, Chăm Sóc Khách Hàng, Customer Care, Dịch Vụ Khách Hàng, Quản Lý Đơn Hàng</t>
        </is>
      </c>
      <c r="M4595" t="inlineStr">
        <is>
          <t>Bonus, Healthcare Plan, Others</t>
        </is>
      </c>
      <c r="N4595" s="8">
        <f>HYPERLINK("https://www.vietnamworks.com/cs-executive--2015024-jv","Xem chi tiết")</f>
        <v/>
      </c>
    </row>
    <row r="4596">
      <c r="B4596" s="9" t="n">
        <v>4594</v>
      </c>
      <c r="C4596" s="10" t="inlineStr">
        <is>
          <t>Kế Toán Tổng Hợp Tiếng Trung</t>
        </is>
      </c>
      <c r="D4596" s="10" t="inlineStr">
        <is>
          <t>Công Ty TNHH Best Logistics Technology (Việt Nam)</t>
        </is>
      </c>
      <c r="E4596" s="10" t="inlineStr">
        <is>
          <t>Thương lượng</t>
        </is>
      </c>
      <c r="F4596" s="10" t="inlineStr">
        <is>
          <t>Hồ Chí Minh</t>
        </is>
      </c>
      <c r="G4596" s="10" t="inlineStr">
        <is>
          <t>Nhân viên</t>
        </is>
      </c>
      <c r="H4596" s="10" t="inlineStr">
        <is>
          <t>27/02/2026</t>
        </is>
      </c>
      <c r="I4596" s="10" t="inlineStr">
        <is>
          <t>29/03/2026</t>
        </is>
      </c>
      <c r="J4596" s="10" t="inlineStr">
        <is>
          <t>17/03/2026</t>
        </is>
      </c>
      <c r="K4596" s="10" t="inlineStr">
        <is>
          <t>N/A</t>
        </is>
      </c>
      <c r="L4596" s="10" t="inlineStr">
        <is>
          <t>Hạch Toán Chi Phí, Kế Toán Thuế, Phần mềm kế toán, Quản Lý Tài Chính, Tiếng Trung</t>
        </is>
      </c>
      <c r="M4596" s="10" t="inlineStr">
        <is>
          <t>Bonus, Paid Leave, Laptop, Team Activities</t>
        </is>
      </c>
      <c r="N4596" s="11">
        <f>HYPERLINK("https://www.vietnamworks.com/ke-toan-tong-hop-tieng-trung-2015008-jv","Xem chi tiết")</f>
        <v/>
      </c>
      <c r="O4596" s="10" t="n"/>
    </row>
    <row r="4597">
      <c r="B4597" s="7" t="n">
        <v>4595</v>
      </c>
      <c r="C4597" t="inlineStr">
        <is>
          <t>Kỹ Sư Thiết Kế Hệ Thống Viễn Thông, CNTT (Thu Nhập Hấp Dẫn)</t>
        </is>
      </c>
      <c r="D4597" t="inlineStr">
        <is>
          <t>Công Ty Cổ Phần Tư Vấn – Đầu Tư Và Phát Triển Bưu Điện Hà Nội (Hadic)</t>
        </is>
      </c>
      <c r="E4597" t="inlineStr">
        <is>
          <t>Thương lượng</t>
        </is>
      </c>
      <c r="F4597" t="inlineStr">
        <is>
          <t>Hà Nội</t>
        </is>
      </c>
      <c r="G4597" t="inlineStr">
        <is>
          <t>Nhân viên</t>
        </is>
      </c>
      <c r="H4597" t="inlineStr">
        <is>
          <t>27/02/2026</t>
        </is>
      </c>
      <c r="I4597" t="inlineStr">
        <is>
          <t>29/03/2026</t>
        </is>
      </c>
      <c r="J4597" t="inlineStr">
        <is>
          <t>17/03/2026</t>
        </is>
      </c>
      <c r="K4597" t="inlineStr">
        <is>
          <t>N/A</t>
        </is>
      </c>
      <c r="L4597" t="inlineStr">
        <is>
          <t>CAD Design, Xây Lắp Viễn Thông, Điện tử viễn thông, Thiết Kế Bản Vẽ, Thiết Kế Kỹ Thuật</t>
        </is>
      </c>
      <c r="M4597" t="inlineStr">
        <is>
          <t>Bonus, Healthcare Plan, Training</t>
        </is>
      </c>
      <c r="N4597" s="8">
        <f>HYPERLINK("https://www.vietnamworks.com/ky-su-thiet-ke-he-thong-vien-thong-cntt-thu-nhap-hap-dan-2014998-jv","Xem chi tiết")</f>
        <v/>
      </c>
    </row>
    <row r="4598">
      <c r="B4598" s="9" t="n">
        <v>4596</v>
      </c>
      <c r="C4598" s="10" t="inlineStr">
        <is>
          <t>Kỹ Sư Bảo Trì/ PM Engineer - Làm Việc Tại Phú Yên</t>
        </is>
      </c>
      <c r="D4598" s="10" t="inlineStr">
        <is>
          <t>CCIPY Vietnam</t>
        </is>
      </c>
      <c r="E4598" s="10" t="inlineStr">
        <is>
          <t>Thương lượng</t>
        </is>
      </c>
      <c r="F4598" s="10" t="inlineStr">
        <is>
          <t>Phú Yên</t>
        </is>
      </c>
      <c r="G4598" s="10" t="inlineStr">
        <is>
          <t>Nhân viên</t>
        </is>
      </c>
      <c r="H4598" s="10" t="inlineStr">
        <is>
          <t>27/02/2026</t>
        </is>
      </c>
      <c r="I4598" s="10" t="inlineStr">
        <is>
          <t>29/03/2026</t>
        </is>
      </c>
      <c r="J4598" s="10" t="inlineStr">
        <is>
          <t>17/03/2026</t>
        </is>
      </c>
      <c r="K4598" s="10" t="inlineStr">
        <is>
          <t>N/A</t>
        </is>
      </c>
      <c r="L4598" s="10" t="inlineStr">
        <is>
          <t>Cải Tiến Thiết Bị, Bảo Trì Máy, Lắp Đặt Thiết Bị, Maintenance, Repairing Equipment</t>
        </is>
      </c>
      <c r="M4598" s="10" t="inlineStr">
        <is>
          <t>Bonus, Healthcare Plan, Others</t>
        </is>
      </c>
      <c r="N4598" s="11">
        <f>HYPERLINK("https://www.vietnamworks.com/ky-su-bao-tri-pm-engineer-lam-viec-tai-phu-yen--2015026-jv","Xem chi tiết")</f>
        <v/>
      </c>
      <c r="O4598" s="10" t="n"/>
    </row>
    <row r="4599">
      <c r="B4599" s="7" t="n">
        <v>4597</v>
      </c>
      <c r="C4599" t="inlineStr">
        <is>
          <t>AI Marketing Leader</t>
        </is>
      </c>
      <c r="D4599" t="inlineStr">
        <is>
          <t>Asiafoods Corporation</t>
        </is>
      </c>
      <c r="E4599" t="inlineStr">
        <is>
          <t>$$ 3,000-7,000 /tháng</t>
        </is>
      </c>
      <c r="F4599" t="inlineStr">
        <is>
          <t>Hồ Chí Minh</t>
        </is>
      </c>
      <c r="G4599" t="inlineStr">
        <is>
          <t>Nhân viên</t>
        </is>
      </c>
      <c r="H4599" t="inlineStr">
        <is>
          <t>27/02/2026</t>
        </is>
      </c>
      <c r="I4599" t="inlineStr">
        <is>
          <t>29/03/2026</t>
        </is>
      </c>
      <c r="J4599" t="inlineStr">
        <is>
          <t>17/03/2026</t>
        </is>
      </c>
      <c r="K4599" t="inlineStr">
        <is>
          <t>N/A</t>
        </is>
      </c>
      <c r="L4599" t="inlineStr">
        <is>
          <t>AI application, Banner Ads, Data-Driven, Digital Marketing, Google Ads</t>
        </is>
      </c>
      <c r="M4599" t="inlineStr">
        <is>
          <t>Others</t>
        </is>
      </c>
      <c r="N4599" s="8">
        <f>HYPERLINK("https://www.vietnamworks.com/ai-marketing-leader-2015002-jv","Xem chi tiết")</f>
        <v/>
      </c>
    </row>
    <row r="4600">
      <c r="B4600" s="9" t="n">
        <v>4598</v>
      </c>
      <c r="C4600" s="10" t="inlineStr">
        <is>
          <t>Accounting Executive (Nhân Viên Kế Toán) - Thu Nhập 13 -15 Triệu</t>
        </is>
      </c>
      <c r="D4600" s="10" t="inlineStr">
        <is>
          <t>Vietnam International Township Development Jsc - ParkCity Hanoi</t>
        </is>
      </c>
      <c r="E4600" s="10" t="inlineStr">
        <is>
          <t>13tr-15tr ₫/tháng</t>
        </is>
      </c>
      <c r="F4600" s="10" t="inlineStr">
        <is>
          <t>Hà Nội</t>
        </is>
      </c>
      <c r="G4600" s="10" t="inlineStr">
        <is>
          <t>Nhân viên</t>
        </is>
      </c>
      <c r="H4600" s="10" t="inlineStr">
        <is>
          <t>27/02/2026</t>
        </is>
      </c>
      <c r="I4600" s="10" t="inlineStr">
        <is>
          <t>29/03/2026</t>
        </is>
      </c>
      <c r="J4600" s="10" t="inlineStr">
        <is>
          <t>17/03/2026</t>
        </is>
      </c>
      <c r="K4600" s="10" t="inlineStr">
        <is>
          <t>N/A</t>
        </is>
      </c>
      <c r="L4600" s="10" t="inlineStr">
        <is>
          <t>General accounting /kế toán tổng hợp, Payable Accounting, Receivable Accounting, Accounting Background, Technical Accounting Skills</t>
        </is>
      </c>
      <c r="M4600" s="10" t="inlineStr">
        <is>
          <t>Bonus, Healthcare Plan, Vouchers</t>
        </is>
      </c>
      <c r="N4600" s="11">
        <f>HYPERLINK("https://www.vietnamworks.com/accounting-executive-nhan-vien-ke-toan-thu-nhap-13-15-trieu-2015027-jv","Xem chi tiết")</f>
        <v/>
      </c>
      <c r="O4600" s="10" t="n"/>
    </row>
    <row r="4601">
      <c r="B4601" s="7" t="n">
        <v>4599</v>
      </c>
      <c r="C4601" t="inlineStr">
        <is>
          <t>QC Director (Dự Án Xây Dựng Sân Bay)</t>
        </is>
      </c>
      <c r="D4601" t="inlineStr">
        <is>
          <t>Công Ty Cổ Phần Tập Đoàn Masterise</t>
        </is>
      </c>
      <c r="E4601" t="inlineStr">
        <is>
          <t>Thương lượng</t>
        </is>
      </c>
      <c r="F4601" t="inlineStr">
        <is>
          <t>Bắc Ninh, Hà Nội</t>
        </is>
      </c>
      <c r="G4601" t="inlineStr">
        <is>
          <t>Giám Đốc và Cấp Cao Hơn</t>
        </is>
      </c>
      <c r="H4601" t="inlineStr">
        <is>
          <t>27/02/2026</t>
        </is>
      </c>
      <c r="I4601" t="inlineStr">
        <is>
          <t>29/03/2026</t>
        </is>
      </c>
      <c r="J4601" t="inlineStr">
        <is>
          <t>17/03/2026</t>
        </is>
      </c>
      <c r="K4601" t="inlineStr">
        <is>
          <t>N/A</t>
        </is>
      </c>
      <c r="L4601" t="inlineStr">
        <is>
          <t>Kiểm Soát Chất Lượng Thi Công, Kiếm Soát Kỹ Thuật, Tiếng Anh, Chất Lượng Xây Dựng, Quản lý chất lượng</t>
        </is>
      </c>
      <c r="M4601" t="inlineStr">
        <is>
          <t>Bonus, Healthcare Plan, Laptop</t>
        </is>
      </c>
      <c r="N4601" s="8">
        <f>HYPERLINK("https://www.vietnamworks.com/qc-director-du-an-xay-dung-san-bay--2014996-jv","Xem chi tiết")</f>
        <v/>
      </c>
    </row>
    <row r="4602">
      <c r="B4602" s="9" t="n">
        <v>4600</v>
      </c>
      <c r="C4602" s="10" t="inlineStr">
        <is>
          <t>Phụ Trách Tài Chính Kế Toán - (Lương 25 - 30 Triệu VND / Tháng)</t>
        </is>
      </c>
      <c r="D4602" s="10" t="inlineStr">
        <is>
          <t>Công Ty Cổ Phần Vận Tải Biển Container Thái Bình Dương</t>
        </is>
      </c>
      <c r="E4602" s="10" t="inlineStr">
        <is>
          <t>25tr-30tr ₫/tháng</t>
        </is>
      </c>
      <c r="F4602" s="10" t="inlineStr">
        <is>
          <t>Hà Nội</t>
        </is>
      </c>
      <c r="G4602" s="10" t="inlineStr">
        <is>
          <t>Nhân viên</t>
        </is>
      </c>
      <c r="H4602" s="10" t="inlineStr">
        <is>
          <t>27/02/2026</t>
        </is>
      </c>
      <c r="I4602" s="10" t="inlineStr">
        <is>
          <t>29/03/2026</t>
        </is>
      </c>
      <c r="J4602" s="10" t="inlineStr">
        <is>
          <t>17/03/2026</t>
        </is>
      </c>
      <c r="K4602" s="10" t="inlineStr">
        <is>
          <t>N/A</t>
        </is>
      </c>
      <c r="L4602" s="10" t="inlineStr">
        <is>
          <t>Logistics, Tiếng Anh, Tài Chính Kế Toán, Accounting, Kiểm toán tài chính</t>
        </is>
      </c>
      <c r="M4602" s="10" t="inlineStr">
        <is>
          <t>Bonus, Healthcare Plan, Awards, Travel Opportunities, Others</t>
        </is>
      </c>
      <c r="N4602" s="11">
        <f>HYPERLINK("https://www.vietnamworks.com/phu-trach-tai-chinh-ke-toan-luong-25-30-trieu-vnd-thang-2015001-jv","Xem chi tiết")</f>
        <v/>
      </c>
      <c r="O4602" s="10" t="n"/>
    </row>
    <row r="4603">
      <c r="B4603" s="7" t="n">
        <v>4601</v>
      </c>
      <c r="C4603" t="inlineStr">
        <is>
          <t>Import-Export Specialist (Pharmaceutical Experience Required)</t>
        </is>
      </c>
      <c r="D4603" t="inlineStr">
        <is>
          <t>SNN PHARMACEUTICAL CO.,LTD</t>
        </is>
      </c>
      <c r="E4603" t="inlineStr">
        <is>
          <t>Thương lượng</t>
        </is>
      </c>
      <c r="F4603" t="inlineStr">
        <is>
          <t>Hồ Chí Minh</t>
        </is>
      </c>
      <c r="G4603" t="inlineStr">
        <is>
          <t>Nhân viên</t>
        </is>
      </c>
      <c r="H4603" t="inlineStr">
        <is>
          <t>27/02/2026</t>
        </is>
      </c>
      <c r="I4603" t="inlineStr">
        <is>
          <t>29/03/2026</t>
        </is>
      </c>
      <c r="J4603" t="inlineStr">
        <is>
          <t>17/03/2026</t>
        </is>
      </c>
      <c r="K4603" t="inlineStr">
        <is>
          <t>N/A</t>
        </is>
      </c>
      <c r="L4603" t="inlineStr">
        <is>
          <t>Pharmaceutical Standards, Hàng Hải, Logistics, Dược, Import-Export</t>
        </is>
      </c>
      <c r="M4603" t="inlineStr">
        <is>
          <t>Bonus, Healthcare Plan, Paid Leave, Team Activities, Others</t>
        </is>
      </c>
      <c r="N4603" s="8">
        <f>HYPERLINK("https://www.vietnamworks.com/import-export-specialist-pharmaceutical-experience-required-2015000-jv","Xem chi tiết")</f>
        <v/>
      </c>
    </row>
    <row r="4604">
      <c r="B4604" s="9" t="n">
        <v>4602</v>
      </c>
      <c r="C4604" s="10" t="inlineStr">
        <is>
          <t>Nhân Viên Kỹ Thuật Máy Móc kiêm Hỗ Trợ Sản Xuất</t>
        </is>
      </c>
      <c r="D4604" s="10" t="inlineStr">
        <is>
          <t>Công Ty TNHH Sản Xuất Glass Craft Việt Nam</t>
        </is>
      </c>
      <c r="E4604" s="10" t="inlineStr">
        <is>
          <t>Tới 10,000 ₫/tháng</t>
        </is>
      </c>
      <c r="F4604" s="10" t="inlineStr">
        <is>
          <t>Hà Nam</t>
        </is>
      </c>
      <c r="G4604" s="10" t="inlineStr">
        <is>
          <t>Mới Tốt Nghiệp</t>
        </is>
      </c>
      <c r="H4604" s="10" t="inlineStr">
        <is>
          <t>27/02/2026</t>
        </is>
      </c>
      <c r="I4604" s="10" t="inlineStr">
        <is>
          <t>29/03/2026</t>
        </is>
      </c>
      <c r="J4604" s="10" t="inlineStr">
        <is>
          <t>17/03/2026</t>
        </is>
      </c>
      <c r="K4604" s="10" t="inlineStr">
        <is>
          <t>N/A</t>
        </is>
      </c>
      <c r="L4604" s="10" t="inlineStr">
        <is>
          <t>Điện Công Nghiệp, Lắp Đặt, Kỹ Thuật, Sản xuất</t>
        </is>
      </c>
      <c r="M4604" s="10" t="inlineStr">
        <is>
          <t>Bonus, Healthcare Plan, Paid Leave</t>
        </is>
      </c>
      <c r="N4604" s="11">
        <f>HYPERLINK("https://www.vietnamworks.com/nhan-vien-ky-thuat-may-moc-kiem-ho-tro-san-xuat--2015007-jv","Xem chi tiết")</f>
        <v/>
      </c>
      <c r="O4604" s="10" t="n"/>
    </row>
    <row r="4605">
      <c r="B4605" s="7" t="n">
        <v>4603</v>
      </c>
      <c r="C4605" t="inlineStr">
        <is>
          <t>Trưởng Nhóm Chăm Sóc Khách Hàng (Lương 14-15 Triệu VND) / Tuyển Gấp</t>
        </is>
      </c>
      <c r="D4605" t="inlineStr">
        <is>
          <t>Công Ty Cổ Phần Vận Tải Biển Container Thái Bình Dương</t>
        </is>
      </c>
      <c r="E4605" t="inlineStr">
        <is>
          <t>$$ 14tr-15tr /tháng</t>
        </is>
      </c>
      <c r="F4605" t="inlineStr">
        <is>
          <t>Hà Nội</t>
        </is>
      </c>
      <c r="G4605" t="inlineStr">
        <is>
          <t>Nhân viên</t>
        </is>
      </c>
      <c r="H4605" t="inlineStr">
        <is>
          <t>27/02/2026</t>
        </is>
      </c>
      <c r="I4605" t="inlineStr">
        <is>
          <t>29/03/2026</t>
        </is>
      </c>
      <c r="J4605" t="inlineStr">
        <is>
          <t>17/03/2026</t>
        </is>
      </c>
      <c r="K4605" t="inlineStr">
        <is>
          <t>N/A</t>
        </is>
      </c>
      <c r="L4605" t="inlineStr">
        <is>
          <t>Shipping Logistics, Thương Mại Quốc Tế, Chăm Sóc Khách Hàng, Customer Service, Forwarding</t>
        </is>
      </c>
      <c r="M4605" t="inlineStr">
        <is>
          <t>Bonus, Healthcare Plan, Awards, Travel Opportunities, Others</t>
        </is>
      </c>
      <c r="N4605" s="8">
        <f>HYPERLINK("https://www.vietnamworks.com/truong-nhom-cham-soc-khach-hang-luong-14-15-trieu-vnd-tuyen-gap-2015003-jv","Xem chi tiết")</f>
        <v/>
      </c>
    </row>
    <row r="4606">
      <c r="B4606" s="9" t="n">
        <v>4604</v>
      </c>
      <c r="C4606" s="10" t="inlineStr">
        <is>
          <t>Hà Nội - Nhân Viên Tư Vấn Thủ Tục Giấy Phép, Visa Khách Hàng Trung Quốc</t>
        </is>
      </c>
      <c r="D4606" s="10" t="inlineStr">
        <is>
          <t>CÔNG TY TNHH TƯ VẤN THƯƠNG MẠI PHÚ SINH</t>
        </is>
      </c>
      <c r="E4606" s="10" t="inlineStr">
        <is>
          <t>Thương lượng</t>
        </is>
      </c>
      <c r="F4606" s="10" t="inlineStr">
        <is>
          <t>Hà Nội</t>
        </is>
      </c>
      <c r="G4606" s="10" t="inlineStr">
        <is>
          <t>Mới Tốt Nghiệp</t>
        </is>
      </c>
      <c r="H4606" s="10" t="inlineStr">
        <is>
          <t>27/02/2026</t>
        </is>
      </c>
      <c r="I4606" s="10" t="inlineStr">
        <is>
          <t>29/03/2026</t>
        </is>
      </c>
      <c r="J4606" s="10" t="inlineStr">
        <is>
          <t>17/03/2026</t>
        </is>
      </c>
      <c r="K4606" s="10" t="inlineStr">
        <is>
          <t>N/A</t>
        </is>
      </c>
      <c r="L4606" s="10" t="inlineStr">
        <is>
          <t>Chăm Sóc Khách Hàng, Tư Vấn Giải Pháp, Tư Vấn Visa, Legal, Pháp Lý</t>
        </is>
      </c>
      <c r="M4606" s="10" t="inlineStr">
        <is>
          <t>Bonus, Healthcare Plan, Training, Others</t>
        </is>
      </c>
      <c r="N4606" s="11">
        <f>HYPERLINK("https://www.vietnamworks.com/ha-noi-nhan-vien-tu-van-thu-tuc-giay-phep-visa-khach-hang-trung-quoc-2015042-jv","Xem chi tiết")</f>
        <v/>
      </c>
      <c r="O4606" s="10" t="n"/>
    </row>
    <row r="4607">
      <c r="B4607" s="7" t="n">
        <v>4605</v>
      </c>
      <c r="C4607" t="inlineStr">
        <is>
          <t>Kế Toán Trưởng</t>
        </is>
      </c>
      <c r="D4607" t="inlineStr">
        <is>
          <t>Công Ty Trách Nhiệm Hữu Hạn K&amp;K Innovation</t>
        </is>
      </c>
      <c r="E4607" t="inlineStr">
        <is>
          <t>Thương lượng</t>
        </is>
      </c>
      <c r="F4607" t="inlineStr">
        <is>
          <t>Hồ Chí Minh</t>
        </is>
      </c>
      <c r="G4607" t="inlineStr">
        <is>
          <t>Trưởng phòng</t>
        </is>
      </c>
      <c r="H4607" t="inlineStr">
        <is>
          <t>27/02/2026</t>
        </is>
      </c>
      <c r="I4607" t="inlineStr">
        <is>
          <t>29/03/2026</t>
        </is>
      </c>
      <c r="J4607" t="inlineStr">
        <is>
          <t>17/03/2026</t>
        </is>
      </c>
      <c r="K4607" t="inlineStr">
        <is>
          <t>N/A</t>
        </is>
      </c>
      <c r="L4607" t="inlineStr">
        <is>
          <t>Phân Tích Tài Chính, Báo Cáo Tài Chính, Kiểm Soát Dòng Tiền, Luật Quản Lý Thuế, Quản Lý Công Nợ</t>
        </is>
      </c>
      <c r="M4607" t="inlineStr">
        <is>
          <t>Bonus, Healthcare Plan, Others</t>
        </is>
      </c>
      <c r="N4607" s="8">
        <f>HYPERLINK("https://www.vietnamworks.com/ke-toan-truong-2015033-jv","Xem chi tiết")</f>
        <v/>
      </c>
    </row>
    <row r="4608">
      <c r="B4608" s="9" t="n">
        <v>4606</v>
      </c>
      <c r="C4608" s="10" t="inlineStr">
        <is>
          <t>Category Officer</t>
        </is>
      </c>
      <c r="D4608" s="10" t="inlineStr">
        <is>
          <t>Nghi Son Refinery And Petrochemical LLC – Vietnam</t>
        </is>
      </c>
      <c r="E4608" s="10" t="inlineStr">
        <is>
          <t>Thương lượng</t>
        </is>
      </c>
      <c r="F4608" s="10" t="inlineStr">
        <is>
          <t>Thanh Hóa</t>
        </is>
      </c>
      <c r="G4608" s="10" t="inlineStr">
        <is>
          <t>Nhân viên</t>
        </is>
      </c>
      <c r="H4608" s="10" t="inlineStr">
        <is>
          <t>27/02/2026</t>
        </is>
      </c>
      <c r="I4608" s="10" t="inlineStr">
        <is>
          <t>29/03/2026</t>
        </is>
      </c>
      <c r="J4608" s="10" t="inlineStr">
        <is>
          <t>17/03/2026</t>
        </is>
      </c>
      <c r="K4608" s="10" t="inlineStr">
        <is>
          <t>N/A</t>
        </is>
      </c>
      <c r="L4608" s="10" t="inlineStr">
        <is>
          <t>Sourcing, Procurement, Negotiation Skills, Category Management, Bidding &amp; Contract Management</t>
        </is>
      </c>
      <c r="M4608" s="10" t="inlineStr">
        <is>
          <t>Healthcare Plan, Transportation, Others</t>
        </is>
      </c>
      <c r="N4608" s="11">
        <f>HYPERLINK("https://www.vietnamworks.com/category-officer--2015023-jv","Xem chi tiết")</f>
        <v/>
      </c>
      <c r="O4608" s="10" t="n"/>
    </row>
    <row r="4609">
      <c r="B4609" s="7" t="n">
        <v>4607</v>
      </c>
      <c r="C4609" t="inlineStr">
        <is>
          <t>Trưởng/ Phó Bộ Phận Lắp Ráp Lương Từ 17Tr ~ 23Tr</t>
        </is>
      </c>
      <c r="D4609" t="inlineStr">
        <is>
          <t>CÔNG TY TNHH CÔNG NGHỆ TIÊN TIẾN NIDEC VIỆT NAM</t>
        </is>
      </c>
      <c r="E4609" t="inlineStr">
        <is>
          <t>17tr-23tr ₫/tháng</t>
        </is>
      </c>
      <c r="F4609" t="inlineStr">
        <is>
          <t>Vĩnh Phúc, Phú Thọ</t>
        </is>
      </c>
      <c r="G4609" t="inlineStr">
        <is>
          <t>Trưởng phòng</t>
        </is>
      </c>
      <c r="H4609" t="inlineStr">
        <is>
          <t>27/02/2026</t>
        </is>
      </c>
      <c r="I4609" t="inlineStr">
        <is>
          <t>29/03/2026</t>
        </is>
      </c>
      <c r="J4609" t="inlineStr">
        <is>
          <t>17/03/2026</t>
        </is>
      </c>
      <c r="K4609" t="inlineStr">
        <is>
          <t>N/A</t>
        </is>
      </c>
      <c r="L4609" t="inlineStr">
        <is>
          <t>Quản Lý Sản Xuất, Kỹ Thuật Điện Tử, Tiếng Hàn Giao Tiếp, Giao Tiếp Tiếng Nhật Bản, Làm Việc Chịu Áp Lực Cao</t>
        </is>
      </c>
      <c r="M4609" t="inlineStr">
        <is>
          <t>Bonus, Others</t>
        </is>
      </c>
      <c r="N4609" s="8">
        <f>HYPERLINK("https://www.vietnamworks.com/truong-pho-bo-phan-lap-rap-luong-tu-17tr-23tr-2015053-jv","Xem chi tiết")</f>
        <v/>
      </c>
    </row>
    <row r="4610">
      <c r="B4610" s="9" t="n">
        <v>4608</v>
      </c>
      <c r="C4610" s="10" t="inlineStr">
        <is>
          <t>Senior Accountant</t>
        </is>
      </c>
      <c r="D4610" s="10" t="inlineStr">
        <is>
          <t>CHARGECORE PTE. LTD.</t>
        </is>
      </c>
      <c r="E4610" s="10" t="inlineStr">
        <is>
          <t>$$ 1,077-1,346 /tháng</t>
        </is>
      </c>
      <c r="F4610" s="10" t="inlineStr">
        <is>
          <t>Hà Nội</t>
        </is>
      </c>
      <c r="G4610" s="10" t="inlineStr">
        <is>
          <t>Nhân viên</t>
        </is>
      </c>
      <c r="H4610" s="10" t="inlineStr">
        <is>
          <t>27/02/2026</t>
        </is>
      </c>
      <c r="I4610" s="10" t="inlineStr">
        <is>
          <t>29/03/2026</t>
        </is>
      </c>
      <c r="J4610" s="10" t="inlineStr">
        <is>
          <t>17/03/2026</t>
        </is>
      </c>
      <c r="K4610" s="10" t="inlineStr">
        <is>
          <t>N/A</t>
        </is>
      </c>
      <c r="L4610" s="10" t="inlineStr">
        <is>
          <t>Microsoft Office, Team management skills, Time Management</t>
        </is>
      </c>
      <c r="M4610" s="10" t="inlineStr">
        <is>
          <t>Bonus, Paid Leave, Laptop</t>
        </is>
      </c>
      <c r="N4610" s="11">
        <f>HYPERLINK("https://www.vietnamworks.com/senior-accountant--2015048-jv","Xem chi tiết")</f>
        <v/>
      </c>
      <c r="O4610" s="10" t="n"/>
    </row>
    <row r="4611">
      <c r="B4611" s="7" t="n">
        <v>4609</v>
      </c>
      <c r="C4611" t="inlineStr">
        <is>
          <t>Nhân Viên Cơ Điện</t>
        </is>
      </c>
      <c r="D4611" t="inlineStr">
        <is>
          <t>A.I.S Vietnam Co., Ltd</t>
        </is>
      </c>
      <c r="E4611" t="inlineStr">
        <is>
          <t>Thương lượng</t>
        </is>
      </c>
      <c r="F4611" t="inlineStr">
        <is>
          <t>Bắc Ninh</t>
        </is>
      </c>
      <c r="G4611" t="inlineStr">
        <is>
          <t>Nhân viên</t>
        </is>
      </c>
      <c r="H4611" t="inlineStr">
        <is>
          <t>27/02/2026</t>
        </is>
      </c>
      <c r="I4611" t="inlineStr">
        <is>
          <t>29/03/2026</t>
        </is>
      </c>
      <c r="J4611" t="inlineStr">
        <is>
          <t>17/03/2026</t>
        </is>
      </c>
      <c r="K4611" t="inlineStr">
        <is>
          <t>N/A</t>
        </is>
      </c>
      <c r="L4611" t="inlineStr">
        <is>
          <t>Cơ Điện Tử, Điện tử, CNC, Gia Công Cơ Khí, PLC</t>
        </is>
      </c>
      <c r="M4611" t="inlineStr">
        <is>
          <t>Healthcare Plan, Travel Opportunities, Team Activities, Transportation, Canteen</t>
        </is>
      </c>
      <c r="N4611" s="8">
        <f>HYPERLINK("https://www.vietnamworks.com/nhan-vien-co-djien-2015050-jv","Xem chi tiết")</f>
        <v/>
      </c>
    </row>
    <row r="4612">
      <c r="B4612" s="9" t="n">
        <v>4610</v>
      </c>
      <c r="C4612" s="10" t="inlineStr">
        <is>
          <t>Phó Phòng R&amp;D (Nhựa PVC)</t>
        </is>
      </c>
      <c r="D4612" s="10" t="inlineStr">
        <is>
          <t>Công Ty Cổ Phần Đầu Tư Nhật Huy</t>
        </is>
      </c>
      <c r="E4612" s="10" t="inlineStr">
        <is>
          <t>$$ 1,500-2,000 /tháng</t>
        </is>
      </c>
      <c r="F4612" s="10" t="inlineStr">
        <is>
          <t>Phú Thọ, Hà Nội</t>
        </is>
      </c>
      <c r="G4612" s="10" t="inlineStr">
        <is>
          <t>Trưởng phòng</t>
        </is>
      </c>
      <c r="H4612" s="10" t="inlineStr">
        <is>
          <t>27/02/2026</t>
        </is>
      </c>
      <c r="I4612" s="10" t="inlineStr">
        <is>
          <t>29/03/2026</t>
        </is>
      </c>
      <c r="J4612" s="10" t="inlineStr">
        <is>
          <t>17/03/2026</t>
        </is>
      </c>
      <c r="K4612" s="10" t="inlineStr">
        <is>
          <t>N/A</t>
        </is>
      </c>
      <c r="L4612" s="10" t="inlineStr">
        <is>
          <t>Quản Lý R&amp;D, Polymer Chemical, PVC, R&amp;D Packing, Polymer</t>
        </is>
      </c>
      <c r="M4612" s="10" t="inlineStr">
        <is>
          <t>Bonus, Healthcare Plan, Training</t>
        </is>
      </c>
      <c r="N4612" s="11">
        <f>HYPERLINK("https://www.vietnamworks.com/pho-phong-r-d-nhua-pvc-2015004-jv","Xem chi tiết")</f>
        <v/>
      </c>
      <c r="O4612" s="10" t="n"/>
    </row>
    <row r="4613">
      <c r="B4613" s="7" t="n">
        <v>4611</v>
      </c>
      <c r="C4613" t="inlineStr">
        <is>
          <t>Nhân Viên Sales Logistics Tại TP Vinh - Nghệ An</t>
        </is>
      </c>
      <c r="D4613" t="inlineStr">
        <is>
          <t>SITC LOGISTICS VIETNAM CO .,Ltd.</t>
        </is>
      </c>
      <c r="E4613" t="inlineStr">
        <is>
          <t>Thương lượng</t>
        </is>
      </c>
      <c r="F4613" t="inlineStr">
        <is>
          <t>Nghệ An</t>
        </is>
      </c>
      <c r="G4613" t="inlineStr">
        <is>
          <t>Nhân viên</t>
        </is>
      </c>
      <c r="H4613" t="inlineStr">
        <is>
          <t>27/02/2026</t>
        </is>
      </c>
      <c r="I4613" t="inlineStr">
        <is>
          <t>29/03/2026</t>
        </is>
      </c>
      <c r="J4613" t="inlineStr">
        <is>
          <t>17/03/2026</t>
        </is>
      </c>
      <c r="K4613" t="inlineStr">
        <is>
          <t>N/A</t>
        </is>
      </c>
      <c r="L4613" t="inlineStr">
        <is>
          <t>Giao Nhận, Vận Tải, Logistics, Phát Triển Thị Trường, Quản Lý Kinh Doanh</t>
        </is>
      </c>
      <c r="M4613" t="inlineStr">
        <is>
          <t>Bonus, Healthcare Plan, Others</t>
        </is>
      </c>
      <c r="N4613" s="8">
        <f>HYPERLINK("https://www.vietnamworks.com/nhan-vien-sales-logistics-tai-tp-vinh-nghe-an-2015052-jv","Xem chi tiết")</f>
        <v/>
      </c>
    </row>
    <row r="4614">
      <c r="B4614" s="9" t="n">
        <v>4612</v>
      </c>
      <c r="C4614" s="10" t="inlineStr">
        <is>
          <t>Nhân Viên Dự Toán</t>
        </is>
      </c>
      <c r="D4614" s="10" t="inlineStr">
        <is>
          <t>Công Ty TNHH MTV The Green Universe</t>
        </is>
      </c>
      <c r="E4614" s="10" t="inlineStr">
        <is>
          <t>9tr-10tr ₫/tháng</t>
        </is>
      </c>
      <c r="F4614" s="10" t="inlineStr">
        <is>
          <t>Hồ Chí Minh</t>
        </is>
      </c>
      <c r="G4614" s="10" t="inlineStr">
        <is>
          <t>Mới Tốt Nghiệp</t>
        </is>
      </c>
      <c r="H4614" s="10" t="inlineStr">
        <is>
          <t>27/02/2026</t>
        </is>
      </c>
      <c r="I4614" s="10" t="inlineStr">
        <is>
          <t>29/03/2026</t>
        </is>
      </c>
      <c r="J4614" s="10" t="inlineStr">
        <is>
          <t>17/03/2026</t>
        </is>
      </c>
      <c r="K4614" s="10" t="inlineStr">
        <is>
          <t>N/A</t>
        </is>
      </c>
      <c r="L4614" s="10" t="inlineStr">
        <is>
          <t>AutoCAD, Bóc Tách Khối Lượng, Dự Toán, Quản Lý Dự Án, Xử Lý Hồ Sơ</t>
        </is>
      </c>
      <c r="M4614" s="10" t="inlineStr">
        <is>
          <t>Bonus, Healthcare Plan, Awards, Laptop, Others</t>
        </is>
      </c>
      <c r="N4614" s="11">
        <f>HYPERLINK("https://www.vietnamworks.com/nhan-vien-du-toan-2015054-jv","Xem chi tiết")</f>
        <v/>
      </c>
      <c r="O4614" s="10" t="n"/>
    </row>
    <row r="4615">
      <c r="B4615" s="7" t="n">
        <v>4613</v>
      </c>
      <c r="C4615" t="inlineStr">
        <is>
          <t>Assistant Officer/Assistant Supervisior Warehouse</t>
        </is>
      </c>
      <c r="D4615" t="inlineStr">
        <is>
          <t>Crystal Martin (Vietnam) Company Limited</t>
        </is>
      </c>
      <c r="E4615" t="inlineStr">
        <is>
          <t>11tr-14tr ₫/tháng</t>
        </is>
      </c>
      <c r="F4615" t="inlineStr">
        <is>
          <t>Bắc Ninh</t>
        </is>
      </c>
      <c r="G4615" t="inlineStr">
        <is>
          <t>Nhân viên</t>
        </is>
      </c>
      <c r="H4615" t="inlineStr">
        <is>
          <t>27/02/2026</t>
        </is>
      </c>
      <c r="I4615" t="inlineStr">
        <is>
          <t>29/03/2026</t>
        </is>
      </c>
      <c r="J4615" t="inlineStr">
        <is>
          <t>17/03/2026</t>
        </is>
      </c>
      <c r="K4615" t="inlineStr">
        <is>
          <t>N/A</t>
        </is>
      </c>
      <c r="L4615" t="inlineStr">
        <is>
          <t>Communication, Data Analysis, Inventory Control, Microsoft Office, Warehouse Management</t>
        </is>
      </c>
      <c r="M4615" t="inlineStr">
        <is>
          <t>Bonus, Paid Leave, Training, Transportation, Canteen</t>
        </is>
      </c>
      <c r="N4615" s="8">
        <f>HYPERLINK("https://www.vietnamworks.com/assistant-officerassistant-supervisior-warehouse-2015065-jv","Xem chi tiết")</f>
        <v/>
      </c>
    </row>
    <row r="4616">
      <c r="B4616" s="9" t="n">
        <v>4614</v>
      </c>
      <c r="C4616" s="10" t="inlineStr">
        <is>
          <t>Phó Tổng Giám Đốc Phụ Trách Xây Dựng</t>
        </is>
      </c>
      <c r="D4616" s="10" t="inlineStr">
        <is>
          <t>CÔNG TY CỔ PHẦN ĐẦU TƯ VÀ XÂY DỰNG TSG</t>
        </is>
      </c>
      <c r="E4616" s="10" t="inlineStr">
        <is>
          <t>60tr-70tr ₫/tháng</t>
        </is>
      </c>
      <c r="F4616" s="10" t="inlineStr">
        <is>
          <t>Hà Nội</t>
        </is>
      </c>
      <c r="G4616" s="10" t="inlineStr">
        <is>
          <t>Giám Đốc và Cấp Cao Hơn</t>
        </is>
      </c>
      <c r="H4616" s="10" t="inlineStr">
        <is>
          <t>27/02/2026</t>
        </is>
      </c>
      <c r="I4616" s="10" t="inlineStr">
        <is>
          <t>29/03/2026</t>
        </is>
      </c>
      <c r="J4616" s="10" t="inlineStr">
        <is>
          <t>17/03/2026</t>
        </is>
      </c>
      <c r="K4616" s="10" t="inlineStr">
        <is>
          <t>N/A</t>
        </is>
      </c>
      <c r="L4616" s="10" t="inlineStr">
        <is>
          <t>Thiết Kế Kết Cấu, Quản Lý Dự Án, Tiếng Anh, Quản Lý Tiến Độ, Xây Dựng</t>
        </is>
      </c>
      <c r="M4616" s="10" t="inlineStr">
        <is>
          <t>Healthcare Plan, Team Activities, Others</t>
        </is>
      </c>
      <c r="N4616" s="11">
        <f>HYPERLINK("https://www.vietnamworks.com/pho-tong-giam-djoc-phu-trach-xay-dung-2015059-jv","Xem chi tiết")</f>
        <v/>
      </c>
      <c r="O4616" s="10" t="n"/>
    </row>
    <row r="4617">
      <c r="B4617" s="7" t="n">
        <v>4615</v>
      </c>
      <c r="C4617" t="inlineStr">
        <is>
          <t>Nhân Viên Quản Lý Chất Lượng (QC) - Ngành Cơ Khí - Thu Nhập 12-14 Triệu/ Tháng</t>
        </is>
      </c>
      <c r="D4617" t="inlineStr">
        <is>
          <t>Công Ty TNHH Hải Phương</t>
        </is>
      </c>
      <c r="E4617" t="inlineStr">
        <is>
          <t>12tr-14tr ₫/tháng</t>
        </is>
      </c>
      <c r="F4617" t="inlineStr">
        <is>
          <t>Hà Nội</t>
        </is>
      </c>
      <c r="G4617" t="inlineStr">
        <is>
          <t>Nhân viên</t>
        </is>
      </c>
      <c r="H4617" t="inlineStr">
        <is>
          <t>27/02/2026</t>
        </is>
      </c>
      <c r="I4617" t="inlineStr">
        <is>
          <t>29/03/2026</t>
        </is>
      </c>
      <c r="J4617" t="inlineStr">
        <is>
          <t>17/03/2026</t>
        </is>
      </c>
      <c r="K4617" t="inlineStr">
        <is>
          <t>N/A</t>
        </is>
      </c>
      <c r="L4617" t="inlineStr">
        <is>
          <t>Kiểm Tra Chất Lượng, Đọc Bản Vẽ Kỹ Thuật, Thiết Bị Đo Lường, Kiểm Soát Chất Lượng</t>
        </is>
      </c>
      <c r="M4617" t="inlineStr">
        <is>
          <t>Bonus, Healthcare Plan, Others</t>
        </is>
      </c>
      <c r="N4617" s="8">
        <f>HYPERLINK("https://www.vietnamworks.com/nhan-vien-quan-ly-chat-luong-qc-nganh-co-khi-thu-nhap-12-14-trieu-thang-2015066-jv","Xem chi tiết")</f>
        <v/>
      </c>
    </row>
    <row r="4618">
      <c r="B4618" s="9" t="n">
        <v>4616</v>
      </c>
      <c r="C4618" s="10" t="inlineStr">
        <is>
          <t>Kế Toán Trưởng ( Nữ Không Quá 40 Tuổi)</t>
        </is>
      </c>
      <c r="D4618" s="10" t="inlineStr">
        <is>
          <t>Hệ thống Trường Chất lượng cao Nguyễn Bỉnh Khiêm - Cầu Giấy</t>
        </is>
      </c>
      <c r="E4618" s="10" t="inlineStr">
        <is>
          <t>20tr-30tr ₫/tháng</t>
        </is>
      </c>
      <c r="F4618" s="10" t="inlineStr">
        <is>
          <t>Hà Nội</t>
        </is>
      </c>
      <c r="G4618" s="10" t="inlineStr">
        <is>
          <t>Trưởng phòng</t>
        </is>
      </c>
      <c r="H4618" s="10" t="inlineStr">
        <is>
          <t>27/02/2026</t>
        </is>
      </c>
      <c r="I4618" s="10" t="inlineStr">
        <is>
          <t>29/03/2026</t>
        </is>
      </c>
      <c r="J4618" s="10" t="inlineStr">
        <is>
          <t>17/03/2026</t>
        </is>
      </c>
      <c r="K4618" s="10" t="inlineStr">
        <is>
          <t>N/A</t>
        </is>
      </c>
      <c r="L4618" s="10" t="inlineStr">
        <is>
          <t>Kế Toán Tổng Hợp, Phân Tích Tài Chính, Quản Trị Đội Ngũ, Phần mềm kế toán, Trung Thực</t>
        </is>
      </c>
      <c r="M4618" s="10" t="inlineStr">
        <is>
          <t>Bonus, Healthcare Plan, Training, Travel Opportunities, Canteen, Others</t>
        </is>
      </c>
      <c r="N4618" s="11">
        <f>HYPERLINK("https://www.vietnamworks.com/ke-toan-truong-nu-khong-qua-40-tuoi-2015045-jv","Xem chi tiết")</f>
        <v/>
      </c>
      <c r="O4618" s="10" t="n"/>
    </row>
    <row r="4619">
      <c r="B4619" s="7" t="n">
        <v>4617</v>
      </c>
      <c r="C4619" t="inlineStr">
        <is>
          <t>Nhân Viên KCS</t>
        </is>
      </c>
      <c r="D4619" t="inlineStr">
        <is>
          <t>Công Ty Cổ Phần Dịch Vụ Suất Ăn Hàng Không Việt Nam</t>
        </is>
      </c>
      <c r="E4619" t="inlineStr">
        <is>
          <t>Thương lượng</t>
        </is>
      </c>
      <c r="F4619" t="inlineStr">
        <is>
          <t>Hà Nội</t>
        </is>
      </c>
      <c r="G4619" t="inlineStr">
        <is>
          <t>Mới Tốt Nghiệp</t>
        </is>
      </c>
      <c r="H4619" t="inlineStr">
        <is>
          <t>27/02/2026</t>
        </is>
      </c>
      <c r="I4619" t="inlineStr">
        <is>
          <t>29/03/2026</t>
        </is>
      </c>
      <c r="J4619" t="inlineStr">
        <is>
          <t>17/03/2026</t>
        </is>
      </c>
      <c r="K4619" t="inlineStr">
        <is>
          <t>N/A</t>
        </is>
      </c>
      <c r="L4619" t="inlineStr">
        <is>
          <t>Sinh Học, Công Nghệ Thực Phẩm, Máy Chế Biến Thực Phẩm, Kiểm Soát Sản Xuất, Đảm Bảo Chất Lượng</t>
        </is>
      </c>
      <c r="M4619" t="inlineStr">
        <is>
          <t>Training, Awards, Team Activities, Others</t>
        </is>
      </c>
      <c r="N4619" s="8">
        <f>HYPERLINK("https://www.vietnamworks.com/nhan-vien-kcs-2015016-jv","Xem chi tiết")</f>
        <v/>
      </c>
    </row>
    <row r="4620">
      <c r="B4620" s="9" t="n">
        <v>4618</v>
      </c>
      <c r="C4620" s="10" t="inlineStr">
        <is>
          <t>Chuyên Viên Kế Toán Tổng Hợp</t>
        </is>
      </c>
      <c r="D4620" s="10" t="inlineStr">
        <is>
          <t>CÔNG TY TNHH TẬP ĐOÀN SUN WORLD</t>
        </is>
      </c>
      <c r="E4620" s="10" t="inlineStr">
        <is>
          <t>Thương lượng</t>
        </is>
      </c>
      <c r="F4620" s="10" t="inlineStr">
        <is>
          <t>Hồ Chí Minh</t>
        </is>
      </c>
      <c r="G4620" s="10" t="inlineStr">
        <is>
          <t>Nhân viên</t>
        </is>
      </c>
      <c r="H4620" s="10" t="inlineStr">
        <is>
          <t>27/02/2026</t>
        </is>
      </c>
      <c r="I4620" s="10" t="inlineStr">
        <is>
          <t>29/03/2026</t>
        </is>
      </c>
      <c r="J4620" s="10" t="inlineStr">
        <is>
          <t>17/03/2026</t>
        </is>
      </c>
      <c r="K4620" s="10" t="inlineStr">
        <is>
          <t>N/A</t>
        </is>
      </c>
      <c r="L4620" s="10" t="inlineStr">
        <is>
          <t>Kế Toán Chi Phí, Kế Toán Doanh Thu, Lập Báo Cáo Tài Chính, Nghiệp Vụ Kế Toán, Tiếng Anh</t>
        </is>
      </c>
      <c r="M4620" s="10" t="inlineStr">
        <is>
          <t>Bonus, Healthcare Plan, Training, Team Activities, Vouchers, Others</t>
        </is>
      </c>
      <c r="N4620" s="11">
        <f>HYPERLINK("https://www.vietnamworks.com/chuyen-vien-ke-toan-tong-hop-2015049-jv","Xem chi tiết")</f>
        <v/>
      </c>
      <c r="O4620" s="10" t="n"/>
    </row>
    <row r="4621">
      <c r="B4621" s="7" t="n">
        <v>4619</v>
      </c>
      <c r="C4621" t="inlineStr">
        <is>
          <t>Chuyên Viên Performance Marketing</t>
        </is>
      </c>
      <c r="D4621" t="inlineStr">
        <is>
          <t>CÔNG TY TNHH NHA KHOA ELITE</t>
        </is>
      </c>
      <c r="E4621" t="inlineStr">
        <is>
          <t>Thương lượng</t>
        </is>
      </c>
      <c r="F4621" t="inlineStr">
        <is>
          <t>Hồ Chí Minh</t>
        </is>
      </c>
      <c r="G4621" t="inlineStr">
        <is>
          <t>Nhân viên</t>
        </is>
      </c>
      <c r="H4621" t="inlineStr">
        <is>
          <t>27/02/2026</t>
        </is>
      </c>
      <c r="I4621" t="inlineStr">
        <is>
          <t>29/03/2026</t>
        </is>
      </c>
      <c r="J4621" t="inlineStr">
        <is>
          <t>17/03/2026</t>
        </is>
      </c>
      <c r="K4621" t="inlineStr">
        <is>
          <t>N/A</t>
        </is>
      </c>
      <c r="L4621" t="inlineStr">
        <is>
          <t>Banner Ads, Facebook Marketing, Google Ads, Data-Driven, SEO</t>
        </is>
      </c>
      <c r="M4621" t="inlineStr">
        <is>
          <t>Bonus, Healthcare Plan, Travel Opportunities, Others</t>
        </is>
      </c>
      <c r="N4621" s="8">
        <f>HYPERLINK("https://www.vietnamworks.com/chuyen-vien-performance-marketing-2015067-jv","Xem chi tiết")</f>
        <v/>
      </c>
    </row>
    <row r="4622">
      <c r="B4622" s="9" t="n">
        <v>4620</v>
      </c>
      <c r="C4622" s="10" t="inlineStr">
        <is>
          <t>Quản Lý Trung Tâm Tiếng Anh Đi Làm Ngay</t>
        </is>
      </c>
      <c r="D4622" s="10" t="inlineStr">
        <is>
          <t>Công Ty Cổ Phần Giáo Dục Bảo An</t>
        </is>
      </c>
      <c r="E4622" s="10" t="inlineStr">
        <is>
          <t>25tr-50tr ₫/tháng</t>
        </is>
      </c>
      <c r="F4622" s="10" t="inlineStr">
        <is>
          <t>Hà Nội</t>
        </is>
      </c>
      <c r="G4622" s="10" t="inlineStr">
        <is>
          <t>Trưởng phòng</t>
        </is>
      </c>
      <c r="H4622" s="10" t="inlineStr">
        <is>
          <t>27/02/2026</t>
        </is>
      </c>
      <c r="I4622" s="10" t="inlineStr">
        <is>
          <t>29/03/2026</t>
        </is>
      </c>
      <c r="J4622" s="10" t="inlineStr">
        <is>
          <t>17/03/2026</t>
        </is>
      </c>
      <c r="K4622" s="10" t="inlineStr">
        <is>
          <t>N/A</t>
        </is>
      </c>
      <c r="L4622" s="10" t="inlineStr">
        <is>
          <t>Education Management, Academic Operation, Customer Service, Staff Training, Sales Management</t>
        </is>
      </c>
      <c r="M4622" s="10" t="inlineStr">
        <is>
          <t>Bonus, Healthcare Plan, Training, Travel Opportunities, Others</t>
        </is>
      </c>
      <c r="N4622" s="11">
        <f>HYPERLINK("https://www.vietnamworks.com/quan-ly-trung-tam-tieng-anh-di-lam-ngay-2015069-jv","Xem chi tiết")</f>
        <v/>
      </c>
      <c r="O4622" s="10" t="n"/>
    </row>
    <row r="4623">
      <c r="B4623" s="7" t="n">
        <v>4621</v>
      </c>
      <c r="C4623" t="inlineStr">
        <is>
          <t>Trưởng Nhóm Kế Toán</t>
        </is>
      </c>
      <c r="D4623" t="inlineStr">
        <is>
          <t>Công Ty TNHH Nexia STT</t>
        </is>
      </c>
      <c r="E4623" t="inlineStr">
        <is>
          <t>10tr-20tr ₫/tháng</t>
        </is>
      </c>
      <c r="F4623" t="inlineStr">
        <is>
          <t>Hà Nội</t>
        </is>
      </c>
      <c r="G4623" t="inlineStr">
        <is>
          <t>Trưởng phòng</t>
        </is>
      </c>
      <c r="H4623" t="inlineStr">
        <is>
          <t>27/02/2026</t>
        </is>
      </c>
      <c r="I4623" t="inlineStr">
        <is>
          <t>29/03/2026</t>
        </is>
      </c>
      <c r="J4623" t="inlineStr">
        <is>
          <t>17/03/2026</t>
        </is>
      </c>
      <c r="K4623" t="inlineStr">
        <is>
          <t>N/A</t>
        </is>
      </c>
      <c r="L4623" t="inlineStr">
        <is>
          <t>Kế Toán Tổng Hợp, Kê Khai Thuế, Quyết Toán Thuế, Thủ Tục Kế Toán, Tư duy logic</t>
        </is>
      </c>
      <c r="M4623" t="inlineStr">
        <is>
          <t>Bonus, Healthcare Plan, Training, Team Activities, Others</t>
        </is>
      </c>
      <c r="N4623" s="8">
        <f>HYPERLINK("https://www.vietnamworks.com/truong-nhom-ke-toan-2015070-jv","Xem chi tiết")</f>
        <v/>
      </c>
    </row>
    <row r="4624">
      <c r="B4624" s="9" t="n">
        <v>4622</v>
      </c>
      <c r="C4624" s="10" t="inlineStr">
        <is>
          <t>Kỹ Sư Điện</t>
        </is>
      </c>
      <c r="D4624" s="10" t="inlineStr">
        <is>
          <t>Công Ty Cổ Phần Dịch Vụ Suất Ăn Hàng Không Việt Nam</t>
        </is>
      </c>
      <c r="E4624" s="10" t="inlineStr">
        <is>
          <t>Thương lượng</t>
        </is>
      </c>
      <c r="F4624" s="10" t="inlineStr">
        <is>
          <t>Hà Nội</t>
        </is>
      </c>
      <c r="G4624" s="10" t="inlineStr">
        <is>
          <t>Nhân viên</t>
        </is>
      </c>
      <c r="H4624" s="10" t="inlineStr">
        <is>
          <t>27/02/2026</t>
        </is>
      </c>
      <c r="I4624" s="10" t="inlineStr">
        <is>
          <t>29/03/2026</t>
        </is>
      </c>
      <c r="J4624" s="10" t="inlineStr">
        <is>
          <t>17/03/2026</t>
        </is>
      </c>
      <c r="K4624" s="10" t="inlineStr">
        <is>
          <t>N/A</t>
        </is>
      </c>
      <c r="L4624" s="10" t="inlineStr">
        <is>
          <t>Kĩ Thuật Điện, Lập Trình PLC, Thiết Bị Điện Tử, Lập Bản Vẽ Thiết Kế, Đọc Hiểu Bản Vẽ Điện</t>
        </is>
      </c>
      <c r="M4624" s="10" t="inlineStr">
        <is>
          <t>Training, Awards, Team Activities, Others</t>
        </is>
      </c>
      <c r="N4624" s="11">
        <f>HYPERLINK("https://www.vietnamworks.com/ky-su-djien-2015043-jv","Xem chi tiết")</f>
        <v/>
      </c>
      <c r="O4624" s="10" t="n"/>
    </row>
    <row r="4625">
      <c r="B4625" s="7" t="n">
        <v>4623</v>
      </c>
      <c r="C4625" t="inlineStr">
        <is>
          <t>Merchandising Cum Quality Control Executive / Nhân Viên Merchandising kiêm Kiểm Soát Chất Lượng</t>
        </is>
      </c>
      <c r="D4625" t="inlineStr">
        <is>
          <t>CÔNG TY TNHH DƯỢC PHẨM KIẾN PHÁT</t>
        </is>
      </c>
      <c r="E4625" t="inlineStr">
        <is>
          <t>Thương lượng</t>
        </is>
      </c>
      <c r="F4625" t="inlineStr">
        <is>
          <t>Hà Nội</t>
        </is>
      </c>
      <c r="G4625" t="inlineStr">
        <is>
          <t>Nhân viên</t>
        </is>
      </c>
      <c r="H4625" t="inlineStr">
        <is>
          <t>27/02/2026</t>
        </is>
      </c>
      <c r="I4625" t="inlineStr">
        <is>
          <t>29/03/2026</t>
        </is>
      </c>
      <c r="J4625" t="inlineStr">
        <is>
          <t>17/03/2026</t>
        </is>
      </c>
      <c r="K4625" t="inlineStr">
        <is>
          <t>N/A</t>
        </is>
      </c>
      <c r="L4625" t="inlineStr">
        <is>
          <t>Merchandising, Quality Control, QA QC, Kiểm Soát Chất Lượng, ISO</t>
        </is>
      </c>
      <c r="M4625" t="inlineStr">
        <is>
          <t>Bonus</t>
        </is>
      </c>
      <c r="N4625" s="8">
        <f>HYPERLINK("https://www.vietnamworks.com/merchandising-cum-quality-control-executive-nhan-vien-merchandising-kiem-kiem-soat-chat-luong-2015056-jv","Xem chi tiết")</f>
        <v/>
      </c>
    </row>
    <row r="4626">
      <c r="B4626" s="9" t="n">
        <v>4624</v>
      </c>
      <c r="C4626" s="10" t="inlineStr">
        <is>
          <t>Giám Sát Kỹ Thuật</t>
        </is>
      </c>
      <c r="D4626" s="10" t="inlineStr">
        <is>
          <t>CÔNG TY TNHH TẬP ĐOÀN SUN WORLD</t>
        </is>
      </c>
      <c r="E4626" s="10" t="inlineStr">
        <is>
          <t>Thương lượng</t>
        </is>
      </c>
      <c r="F4626" s="10" t="inlineStr">
        <is>
          <t>Hồ Chí Minh</t>
        </is>
      </c>
      <c r="G4626" s="10" t="inlineStr">
        <is>
          <t>Trưởng phòng</t>
        </is>
      </c>
      <c r="H4626" s="10" t="inlineStr">
        <is>
          <t>27/02/2026</t>
        </is>
      </c>
      <c r="I4626" s="10" t="inlineStr">
        <is>
          <t>29/03/2026</t>
        </is>
      </c>
      <c r="J4626" s="10" t="inlineStr">
        <is>
          <t>17/03/2026</t>
        </is>
      </c>
      <c r="K4626" s="10" t="inlineStr">
        <is>
          <t>N/A</t>
        </is>
      </c>
      <c r="L4626" s="10" t="inlineStr">
        <is>
          <t>HVAC, Kỹ Thuật Toà Nhà, Quản Lý Kỹ Thuật, Xử Lý Sự Cố, Điện Nước Tòa Nhà</t>
        </is>
      </c>
      <c r="M4626" s="10" t="inlineStr">
        <is>
          <t>Bonus, Healthcare Plan, Training, Team Activities, Vouchers, Others</t>
        </is>
      </c>
      <c r="N4626" s="11">
        <f>HYPERLINK("https://www.vietnamworks.com/giam-sat-ky-thuat-2015057-jv","Xem chi tiết")</f>
        <v/>
      </c>
      <c r="O4626" s="10" t="n"/>
    </row>
    <row r="4627">
      <c r="B4627" s="7" t="n">
        <v>4625</v>
      </c>
      <c r="C4627" t="inlineStr">
        <is>
          <t>HR/GA Staff</t>
        </is>
      </c>
      <c r="D4627" t="inlineStr">
        <is>
          <t>Showa Gloves Vietnam</t>
        </is>
      </c>
      <c r="E4627" t="inlineStr">
        <is>
          <t>Thương lượng</t>
        </is>
      </c>
      <c r="F4627" t="inlineStr">
        <is>
          <t>Bình Dương</t>
        </is>
      </c>
      <c r="G4627" t="inlineStr">
        <is>
          <t>Mới Tốt Nghiệp</t>
        </is>
      </c>
      <c r="H4627" t="inlineStr">
        <is>
          <t>27/02/2026</t>
        </is>
      </c>
      <c r="I4627" t="inlineStr">
        <is>
          <t>29/03/2026</t>
        </is>
      </c>
      <c r="J4627" t="inlineStr">
        <is>
          <t>17/03/2026</t>
        </is>
      </c>
      <c r="K4627" t="inlineStr">
        <is>
          <t>N/A</t>
        </is>
      </c>
      <c r="L4627" t="inlineStr">
        <is>
          <t>English, Administration, Communication</t>
        </is>
      </c>
      <c r="M4627" t="inlineStr">
        <is>
          <t>Bonus, Healthcare Plan, Others</t>
        </is>
      </c>
      <c r="N4627" s="8">
        <f>HYPERLINK("https://www.vietnamworks.com/hr-ga-staff--2015071-jv","Xem chi tiết")</f>
        <v/>
      </c>
    </row>
    <row r="4628">
      <c r="B4628" s="9" t="n">
        <v>4626</v>
      </c>
      <c r="C4628" s="10" t="inlineStr">
        <is>
          <t>Head of Group Brand</t>
        </is>
      </c>
      <c r="D4628" s="10" t="inlineStr">
        <is>
          <t>Công Ty Cổ Phần Vàng Bạc Đá Quý Phú Nhuận (PNJ)</t>
        </is>
      </c>
      <c r="E4628" s="10" t="inlineStr">
        <is>
          <t>Thương lượng</t>
        </is>
      </c>
      <c r="F4628" s="10" t="inlineStr">
        <is>
          <t>Hồ Chí Minh</t>
        </is>
      </c>
      <c r="G4628" s="10" t="inlineStr">
        <is>
          <t>Giám Đốc và Cấp Cao Hơn</t>
        </is>
      </c>
      <c r="H4628" s="10" t="inlineStr">
        <is>
          <t>27/02/2026</t>
        </is>
      </c>
      <c r="I4628" s="10" t="inlineStr">
        <is>
          <t>29/03/2026</t>
        </is>
      </c>
      <c r="J4628" s="10" t="inlineStr">
        <is>
          <t>17/03/2026</t>
        </is>
      </c>
      <c r="K4628" s="10" t="inlineStr">
        <is>
          <t>N/A</t>
        </is>
      </c>
      <c r="L4628" s="10" t="inlineStr">
        <is>
          <t>Strategic Brand Management, Marketing Strategy, Brand Development, Marketing Innovation, Product Development</t>
        </is>
      </c>
      <c r="M4628" s="10" t="inlineStr">
        <is>
          <t>Bonus, Healthcare Plan, Paid Leave</t>
        </is>
      </c>
      <c r="N4628" s="11">
        <f>HYPERLINK("https://www.vietnamworks.com/head-of-group-brand--2015072-jv","Xem chi tiết")</f>
        <v/>
      </c>
      <c r="O4628" s="10" t="n"/>
    </row>
    <row r="4629">
      <c r="B4629" s="7" t="n">
        <v>4627</v>
      </c>
      <c r="C4629" t="inlineStr">
        <is>
          <t>Nhân Viên Thiết Kế Cơ Khí Lương 17Tr ~ 23Tr</t>
        </is>
      </c>
      <c r="D4629" t="inlineStr">
        <is>
          <t>CÔNG TY TNHH CÔNG NGHỆ TIÊN TIẾN NIDEC VIỆT NAM</t>
        </is>
      </c>
      <c r="E4629" t="inlineStr">
        <is>
          <t>10tr-13tr ₫/tháng</t>
        </is>
      </c>
      <c r="F4629" t="inlineStr">
        <is>
          <t>Vĩnh Phúc, Phú Thọ</t>
        </is>
      </c>
      <c r="G4629" t="inlineStr">
        <is>
          <t>Nhân viên</t>
        </is>
      </c>
      <c r="H4629" t="inlineStr">
        <is>
          <t>27/02/2026</t>
        </is>
      </c>
      <c r="I4629" t="inlineStr">
        <is>
          <t>29/03/2026</t>
        </is>
      </c>
      <c r="J4629" t="inlineStr">
        <is>
          <t>17/03/2026</t>
        </is>
      </c>
      <c r="K4629" t="inlineStr">
        <is>
          <t>N/A</t>
        </is>
      </c>
      <c r="L4629" t="inlineStr">
        <is>
          <t>AutoCAD, 3D Design, Electrical Engineering, Mechanical Engineering, Japanese Communication</t>
        </is>
      </c>
      <c r="M4629" t="inlineStr">
        <is>
          <t>Bonus, Others</t>
        </is>
      </c>
      <c r="N4629" s="8">
        <f>HYPERLINK("https://www.vietnamworks.com/nhan-vien-thiet-ke-co-khi-luong-17tr-23tr-2015074-jv","Xem chi tiết")</f>
        <v/>
      </c>
    </row>
    <row r="4630">
      <c r="B4630" s="9" t="n">
        <v>4628</v>
      </c>
      <c r="C4630" s="10" t="inlineStr">
        <is>
          <t>Internship Civil Design Engineer</t>
        </is>
      </c>
      <c r="D4630" s="10" t="inlineStr">
        <is>
          <t>Danieli – Industrielle Beteiligung Co., Ltd</t>
        </is>
      </c>
      <c r="E4630" s="10" t="inlineStr">
        <is>
          <t>Thương lượng</t>
        </is>
      </c>
      <c r="F4630" s="10" t="inlineStr">
        <is>
          <t>Hồ Chí Minh</t>
        </is>
      </c>
      <c r="G4630" s="10" t="inlineStr">
        <is>
          <t>Thực tập sinh/Sinh viên</t>
        </is>
      </c>
      <c r="H4630" s="10" t="inlineStr">
        <is>
          <t>27/02/2026</t>
        </is>
      </c>
      <c r="I4630" s="10" t="inlineStr">
        <is>
          <t>29/03/2026</t>
        </is>
      </c>
      <c r="J4630" s="10" t="inlineStr">
        <is>
          <t>17/03/2026</t>
        </is>
      </c>
      <c r="K4630" s="10" t="inlineStr">
        <is>
          <t>N/A</t>
        </is>
      </c>
      <c r="L4630" s="10" t="inlineStr">
        <is>
          <t>AutoCAD 2D, AVEVA E3D, EPLAN, Civil Engineering, Drawing</t>
        </is>
      </c>
      <c r="M4630" s="10" t="inlineStr">
        <is>
          <t>Bonus</t>
        </is>
      </c>
      <c r="N4630" s="11">
        <f>HYPERLINK("https://www.vietnamworks.com/internship-civil-design-engineer-2015079-jv","Xem chi tiết")</f>
        <v/>
      </c>
      <c r="O4630" s="10" t="n"/>
    </row>
    <row r="4631">
      <c r="B4631" s="7" t="n">
        <v>4629</v>
      </c>
      <c r="C4631" t="inlineStr">
        <is>
          <t>Senior Accountant/accountant cum Administration</t>
        </is>
      </c>
      <c r="D4631" t="inlineStr">
        <is>
          <t>GPAV GREEN LIMITED COMPANY</t>
        </is>
      </c>
      <c r="E4631" t="inlineStr">
        <is>
          <t>Thương lượng</t>
        </is>
      </c>
      <c r="F4631" t="inlineStr">
        <is>
          <t>Hồ Chí Minh</t>
        </is>
      </c>
      <c r="G4631" t="inlineStr">
        <is>
          <t>Nhân viên</t>
        </is>
      </c>
      <c r="H4631" t="inlineStr">
        <is>
          <t>27/02/2026</t>
        </is>
      </c>
      <c r="I4631" t="inlineStr">
        <is>
          <t>29/03/2026</t>
        </is>
      </c>
      <c r="J4631" t="inlineStr">
        <is>
          <t>17/03/2026</t>
        </is>
      </c>
      <c r="K4631" t="inlineStr">
        <is>
          <t>N/A</t>
        </is>
      </c>
      <c r="L4631" t="inlineStr">
        <is>
          <t>Finance, Bank Account, Audit, Administration, TAX</t>
        </is>
      </c>
      <c r="M4631" t="inlineStr">
        <is>
          <t>Training</t>
        </is>
      </c>
      <c r="N4631" s="8">
        <f>HYPERLINK("https://www.vietnamworks.com/senior-accountant-accountant-cum-administration-2015100-jv","Xem chi tiết")</f>
        <v/>
      </c>
    </row>
    <row r="4632">
      <c r="B4632" s="9" t="n">
        <v>4630</v>
      </c>
      <c r="C4632" s="10" t="inlineStr">
        <is>
          <t>Kỹ sư Thiết kế Công trình Thủy (Cảng đường thủy) (03 người) biên chế làm việc tại Văn phòng Hà Nội; (03 người) biên chế làm việc tại Chi nhánh TP. Hải Phòng và Chi nhánh thành phố Hồ Chí Minh</t>
        </is>
      </c>
      <c r="D4632" s="10" t="inlineStr">
        <is>
          <t>Công Ty Cổ Phần Tư Vấn Xây Dựng Công Trình Hàng Hải</t>
        </is>
      </c>
      <c r="E4632" s="10" t="inlineStr">
        <is>
          <t>Thương lượng</t>
        </is>
      </c>
      <c r="F4632" s="10" t="inlineStr">
        <is>
          <t>Hà Nội, Hải Phòng, Hồ Chí Minh</t>
        </is>
      </c>
      <c r="G4632" s="10" t="inlineStr">
        <is>
          <t>Nhân viên</t>
        </is>
      </c>
      <c r="H4632" s="10" t="inlineStr">
        <is>
          <t>27/02/2026</t>
        </is>
      </c>
      <c r="I4632" s="10" t="inlineStr">
        <is>
          <t>29/03/2026</t>
        </is>
      </c>
      <c r="J4632" s="10" t="inlineStr">
        <is>
          <t>17/03/2026</t>
        </is>
      </c>
      <c r="K4632" s="10" t="inlineStr">
        <is>
          <t>N/A</t>
        </is>
      </c>
      <c r="L4632" s="10" t="inlineStr">
        <is>
          <t>Xây Dựng, Civil engineer, Thiết Kế Công Trình, Thiết Kê Công Trình Thủy Lợi, Thủy điện</t>
        </is>
      </c>
      <c r="M4632" s="10" t="inlineStr">
        <is>
          <t>Healthcare Plan, Training, Awards, Others</t>
        </is>
      </c>
      <c r="N4632" s="11">
        <f>HYPERLINK("https://www.vietnamworks.com/ky-su-thiet-ke-cong-trinh-thuy-cang-djuong-thuy-03-nguoi-bien-che-lam-viec-tai-van-phong-ha-noi-03-nguoi-bien-che-lam-viec-tai-chi-nhanh-tp-hai-phong-va-chi-nhanh-thanh-pho-ho-chi-minh-2015080-jv","Xem chi tiết")</f>
        <v/>
      </c>
      <c r="O4632" s="10" t="n"/>
    </row>
    <row r="4633">
      <c r="B4633" s="7" t="n">
        <v>4631</v>
      </c>
      <c r="C4633" t="inlineStr">
        <is>
          <t>Senior Planning Manager</t>
        </is>
      </c>
      <c r="D4633" t="inlineStr">
        <is>
          <t>Indorama Ventures Vietnam</t>
        </is>
      </c>
      <c r="E4633" t="inlineStr">
        <is>
          <t>Thương lượng</t>
        </is>
      </c>
      <c r="F4633" t="inlineStr">
        <is>
          <t>Hồ Chí Minh</t>
        </is>
      </c>
      <c r="G4633" t="inlineStr">
        <is>
          <t>Trưởng phòng</t>
        </is>
      </c>
      <c r="H4633" t="inlineStr">
        <is>
          <t>27/02/2026</t>
        </is>
      </c>
      <c r="I4633" t="inlineStr">
        <is>
          <t>29/03/2026</t>
        </is>
      </c>
      <c r="J4633" t="inlineStr">
        <is>
          <t>17/03/2026</t>
        </is>
      </c>
      <c r="K4633" t="inlineStr">
        <is>
          <t>N/A</t>
        </is>
      </c>
      <c r="L4633" t="inlineStr">
        <is>
          <t>Supply Planning, Demand planning, Production Planning, FMCG &amp; Manufacturing, Cung Ứng Hàng Hóa</t>
        </is>
      </c>
      <c r="M4633" t="inlineStr">
        <is>
          <t>Healthcare Plan, Paid Leave, Laptop, Travel Opportunities</t>
        </is>
      </c>
      <c r="N4633" s="8">
        <f>HYPERLINK("https://www.vietnamworks.com/senior-planning-manager-2015085-jv","Xem chi tiết")</f>
        <v/>
      </c>
    </row>
    <row r="4634">
      <c r="B4634" s="9" t="n">
        <v>4632</v>
      </c>
      <c r="C4634" s="10" t="inlineStr">
        <is>
          <t>Chuyên Viên Pháp Lý PCCC</t>
        </is>
      </c>
      <c r="D4634" s="10" t="inlineStr">
        <is>
          <t>Công ty Cổ phần Xây dựng Hợp Lực</t>
        </is>
      </c>
      <c r="E4634" s="10" t="inlineStr">
        <is>
          <t>Thương lượng</t>
        </is>
      </c>
      <c r="F4634" s="10" t="inlineStr">
        <is>
          <t>Hà Nội</t>
        </is>
      </c>
      <c r="G4634" s="10" t="inlineStr">
        <is>
          <t>Nhân viên</t>
        </is>
      </c>
      <c r="H4634" s="10" t="inlineStr">
        <is>
          <t>27/02/2026</t>
        </is>
      </c>
      <c r="I4634" s="10" t="inlineStr">
        <is>
          <t>29/03/2026</t>
        </is>
      </c>
      <c r="J4634" s="10" t="inlineStr">
        <is>
          <t>17/03/2026</t>
        </is>
      </c>
      <c r="K4634" s="10" t="inlineStr">
        <is>
          <t>N/A</t>
        </is>
      </c>
      <c r="L4634" s="10" t="inlineStr">
        <is>
          <t>Quản Lý Dự Án, Pháp Lý, Xây Dựng, Nghiệm Thu Công Trình, Pháp Lý Dự Án</t>
        </is>
      </c>
      <c r="M4634" s="10" t="inlineStr">
        <is>
          <t>Bonus, Healthcare Plan, Travel Opportunities</t>
        </is>
      </c>
      <c r="N4634" s="11">
        <f>HYPERLINK("https://www.vietnamworks.com/chuyen-vien-phap-ly-pccc--2015096-jv","Xem chi tiết")</f>
        <v/>
      </c>
      <c r="O4634" s="10" t="n"/>
    </row>
    <row r="4635">
      <c r="B4635" s="7" t="n">
        <v>4633</v>
      </c>
      <c r="C4635" t="inlineStr">
        <is>
          <t>Kỹ sư Địa chất Công trình (01 người)</t>
        </is>
      </c>
      <c r="D4635" t="inlineStr">
        <is>
          <t>Công Ty Cổ Phần Tư Vấn Xây Dựng Công Trình Hàng Hải</t>
        </is>
      </c>
      <c r="E4635" t="inlineStr">
        <is>
          <t>Thương lượng</t>
        </is>
      </c>
      <c r="F4635" t="inlineStr">
        <is>
          <t>Hà Nội</t>
        </is>
      </c>
      <c r="G4635" t="inlineStr">
        <is>
          <t>Nhân viên</t>
        </is>
      </c>
      <c r="H4635" t="inlineStr">
        <is>
          <t>27/02/2026</t>
        </is>
      </c>
      <c r="I4635" t="inlineStr">
        <is>
          <t>29/03/2026</t>
        </is>
      </c>
      <c r="J4635" t="inlineStr">
        <is>
          <t>17/03/2026</t>
        </is>
      </c>
      <c r="K4635" t="inlineStr">
        <is>
          <t>N/A</t>
        </is>
      </c>
      <c r="L4635" t="inlineStr">
        <is>
          <t>Xây Dựng, Site Engineering, Địa Chất, Địa Chất Công Trình, Đo Đạc Địa Chất</t>
        </is>
      </c>
      <c r="M4635" t="inlineStr">
        <is>
          <t>Healthcare Plan, Training, Awards, Others</t>
        </is>
      </c>
      <c r="N4635" s="8">
        <f>HYPERLINK("https://www.vietnamworks.com/ky-su-djia-chat-cong-trinh-01-nguoi-2015081-jv","Xem chi tiết")</f>
        <v/>
      </c>
    </row>
    <row r="4636">
      <c r="B4636" s="9" t="n">
        <v>4634</v>
      </c>
      <c r="C4636" s="10" t="inlineStr">
        <is>
          <t>Trợ Lý Tổng Giám Đốc - Khối Giải Trí Nghỉ Dưỡng</t>
        </is>
      </c>
      <c r="D4636" s="10" t="inlineStr">
        <is>
          <t>CÔNG TY TNHH TẬP ĐOÀN SUN WORLD</t>
        </is>
      </c>
      <c r="E4636" s="10" t="inlineStr">
        <is>
          <t>Thương lượng</t>
        </is>
      </c>
      <c r="F4636" s="10" t="inlineStr">
        <is>
          <t>An Giang</t>
        </is>
      </c>
      <c r="G4636" s="10" t="inlineStr">
        <is>
          <t>Trưởng phòng</t>
        </is>
      </c>
      <c r="H4636" s="10" t="inlineStr">
        <is>
          <t>27/02/2026</t>
        </is>
      </c>
      <c r="I4636" s="10" t="inlineStr">
        <is>
          <t>29/03/2026</t>
        </is>
      </c>
      <c r="J4636" s="10" t="inlineStr">
        <is>
          <t>17/03/2026</t>
        </is>
      </c>
      <c r="K4636" s="10" t="inlineStr">
        <is>
          <t>N/A</t>
        </is>
      </c>
      <c r="L4636" s="10" t="inlineStr">
        <is>
          <t>Du Lịch Khách Sạn, Giải Trí Nghỉ Dưỡng, Phân Tích Chiến Lược, Quản Lý Dự Án, Tiếng Anh</t>
        </is>
      </c>
      <c r="M4636" s="10" t="inlineStr">
        <is>
          <t>Bonus, Training, Travel Opportunities</t>
        </is>
      </c>
      <c r="N4636" s="11">
        <f>HYPERLINK("https://www.vietnamworks.com/tro-ly-tong-giam-djoc-khoi-giai-tri-nghi-duong-2015090-jv","Xem chi tiết")</f>
        <v/>
      </c>
      <c r="O4636" s="10" t="n"/>
    </row>
    <row r="4637">
      <c r="B4637" s="7" t="n">
        <v>4635</v>
      </c>
      <c r="C4637" t="inlineStr">
        <is>
          <t>Biên Tập Viên</t>
        </is>
      </c>
      <c r="D4637" t="inlineStr">
        <is>
          <t>Công Ty Cổ Phần Tập Đoàn Dược Phẩm Và Thương Mại SOHACO</t>
        </is>
      </c>
      <c r="E4637" t="inlineStr">
        <is>
          <t>15tr-18tr ₫/tháng</t>
        </is>
      </c>
      <c r="F4637" t="inlineStr">
        <is>
          <t>Hà Nội</t>
        </is>
      </c>
      <c r="G4637" t="inlineStr">
        <is>
          <t>Nhân viên</t>
        </is>
      </c>
      <c r="H4637" t="inlineStr">
        <is>
          <t>27/02/2026</t>
        </is>
      </c>
      <c r="I4637" t="inlineStr">
        <is>
          <t>29/03/2026</t>
        </is>
      </c>
      <c r="J4637" t="inlineStr">
        <is>
          <t>17/03/2026</t>
        </is>
      </c>
      <c r="K4637" t="inlineStr">
        <is>
          <t>N/A</t>
        </is>
      </c>
      <c r="L4637" t="inlineStr">
        <is>
          <t>Báo chí, Biên Tập, Dược, Marketing, Truyền Thông</t>
        </is>
      </c>
      <c r="M4637" t="inlineStr">
        <is>
          <t>Bonus, Healthcare Plan, Training, Travel Opportunities, Canteen, Others</t>
        </is>
      </c>
      <c r="N4637" s="8">
        <f>HYPERLINK("https://www.vietnamworks.com/bien-tap-vien-2015077-jv","Xem chi tiết")</f>
        <v/>
      </c>
    </row>
    <row r="4638">
      <c r="B4638" s="9" t="n">
        <v>4636</v>
      </c>
      <c r="C4638" s="10" t="inlineStr">
        <is>
          <t>Chuyên Viên Kiểm Toán Xây Dựng</t>
        </is>
      </c>
      <c r="D4638" s="10" t="inlineStr">
        <is>
          <t>Công Ty TNHH Kiểm Toán &amp; Tư Vấn RSM Việt Nam – Chi Nhánh Hà Nội</t>
        </is>
      </c>
      <c r="E4638" s="10" t="inlineStr">
        <is>
          <t>Thương lượng</t>
        </is>
      </c>
      <c r="F4638" s="10" t="inlineStr">
        <is>
          <t>Hà Nội</t>
        </is>
      </c>
      <c r="G4638" s="10" t="inlineStr">
        <is>
          <t>Nhân viên</t>
        </is>
      </c>
      <c r="H4638" s="10" t="inlineStr">
        <is>
          <t>27/02/2026</t>
        </is>
      </c>
      <c r="I4638" s="10" t="inlineStr">
        <is>
          <t>29/03/2026</t>
        </is>
      </c>
      <c r="J4638" s="10" t="inlineStr">
        <is>
          <t>17/03/2026</t>
        </is>
      </c>
      <c r="K4638" s="10" t="inlineStr">
        <is>
          <t>N/A</t>
        </is>
      </c>
      <c r="L4638" s="10" t="inlineStr">
        <is>
          <t>Kiểm Toán Xây Dựng, Lập Dự Toán, Quản Lý Dự Án, Thanh Quyết Toán, Kiểm Toán</t>
        </is>
      </c>
      <c r="M4638" s="10" t="inlineStr">
        <is>
          <t>Bonus, Healthcare Plan, Training</t>
        </is>
      </c>
      <c r="N4638" s="11">
        <f>HYPERLINK("https://www.vietnamworks.com/chuyen-vien-kiem-toan-xay-dung--2015086-jv","Xem chi tiết")</f>
        <v/>
      </c>
      <c r="O4638" s="10" t="n"/>
    </row>
    <row r="4639">
      <c r="B4639" s="7" t="n">
        <v>4637</v>
      </c>
      <c r="C4639" t="inlineStr">
        <is>
          <t>Chuyên Viên Tuyển Dụng Cao Cấp (Chế Độ Đãi Ngộ Vượt Trội/ Thu Nhập Cạnh Tranh)</t>
        </is>
      </c>
      <c r="D4639" t="inlineStr">
        <is>
          <t>Tổng Công Ty Mbland - Mbland Holdings</t>
        </is>
      </c>
      <c r="E4639" t="inlineStr">
        <is>
          <t>Thương lượng</t>
        </is>
      </c>
      <c r="F4639" t="inlineStr">
        <is>
          <t>Hà Nội</t>
        </is>
      </c>
      <c r="G4639" t="inlineStr">
        <is>
          <t>Nhân viên</t>
        </is>
      </c>
      <c r="H4639" t="inlineStr">
        <is>
          <t>27/02/2026</t>
        </is>
      </c>
      <c r="I4639" t="inlineStr">
        <is>
          <t>29/03/2026</t>
        </is>
      </c>
      <c r="J4639" t="inlineStr">
        <is>
          <t>17/03/2026</t>
        </is>
      </c>
      <c r="K4639" t="inlineStr">
        <is>
          <t>N/A</t>
        </is>
      </c>
      <c r="L4639" t="inlineStr">
        <is>
          <t>Giao Tiếp, Sáng Tạo, Tuyển Dụng, Xây Dựng Thương Hiệu, Đàm Phán</t>
        </is>
      </c>
      <c r="M4639" t="inlineStr">
        <is>
          <t>Bonus, Travel Opportunities, Others</t>
        </is>
      </c>
      <c r="N4639" s="8">
        <f>HYPERLINK("https://www.vietnamworks.com/chuyen-vien-tuyen-dung-cao-cap-che-djo-djai-ngo-vuot-troi-thu-nhap-canh-tranh-2015073-jv","Xem chi tiết")</f>
        <v/>
      </c>
    </row>
    <row r="4640">
      <c r="B4640" s="9" t="n">
        <v>4638</v>
      </c>
      <c r="C4640" s="10" t="inlineStr">
        <is>
          <t>[Hybrid] Performance Marketing Lead (Up-To $7000)</t>
        </is>
      </c>
      <c r="D4640" s="10" t="inlineStr">
        <is>
          <t>Crossian Việt Nam</t>
        </is>
      </c>
      <c r="E4640" s="10" t="inlineStr">
        <is>
          <t>Tới $ 10,000 /tháng</t>
        </is>
      </c>
      <c r="F4640" s="10" t="inlineStr">
        <is>
          <t>Hà Nội, Hồ Chí Minh</t>
        </is>
      </c>
      <c r="G4640" s="10" t="inlineStr">
        <is>
          <t>Nhân viên</t>
        </is>
      </c>
      <c r="H4640" s="10" t="inlineStr">
        <is>
          <t>27/02/2026</t>
        </is>
      </c>
      <c r="I4640" s="10" t="inlineStr">
        <is>
          <t>29/03/2026</t>
        </is>
      </c>
      <c r="J4640" s="10" t="inlineStr">
        <is>
          <t>17/03/2026</t>
        </is>
      </c>
      <c r="K4640" s="10" t="inlineStr">
        <is>
          <t>N/A</t>
        </is>
      </c>
      <c r="L4640" s="10" t="inlineStr">
        <is>
          <t>Performance Marketing, Data Analysis, Project Management, Data Analytics, Logical Analysis</t>
        </is>
      </c>
      <c r="M4640" s="10" t="inlineStr">
        <is>
          <t>Bonus, Healthcare Plan, Others</t>
        </is>
      </c>
      <c r="N4640" s="11">
        <f>HYPERLINK("https://www.vietnamworks.com/hybrid-performance-marketing-lead-up-to-7000--2015083-jv","Xem chi tiết")</f>
        <v/>
      </c>
      <c r="O4640" s="10" t="n"/>
    </row>
    <row r="4641">
      <c r="B4641" s="7" t="n">
        <v>4639</v>
      </c>
      <c r="C4641" t="inlineStr">
        <is>
          <t>Chuyên Viên Ứng Dụng Sản Phẩm (Application Engineer)</t>
        </is>
      </c>
      <c r="D4641" t="inlineStr">
        <is>
          <t>CÔNG TY TNHH THIẾT BỊ CÔNG NGHỆ VÀ ĐẦU TƯ MDC - Chi nhánh HCM</t>
        </is>
      </c>
      <c r="E4641" t="inlineStr">
        <is>
          <t>Từ 12tr ₫/tháng</t>
        </is>
      </c>
      <c r="F4641" t="inlineStr">
        <is>
          <t>Hà Nội</t>
        </is>
      </c>
      <c r="G4641" t="inlineStr">
        <is>
          <t>Nhân viên</t>
        </is>
      </c>
      <c r="H4641" t="inlineStr">
        <is>
          <t>27/02/2026</t>
        </is>
      </c>
      <c r="I4641" t="inlineStr">
        <is>
          <t>29/03/2026</t>
        </is>
      </c>
      <c r="J4641" t="inlineStr">
        <is>
          <t>17/03/2026</t>
        </is>
      </c>
      <c r="K4641" t="inlineStr">
        <is>
          <t>N/A</t>
        </is>
      </c>
      <c r="L4641" t="inlineStr">
        <is>
          <t>Công Nghệ Sinh Học, LabTech, Thiết Bị Y Tế, Product Training, Application Engineering</t>
        </is>
      </c>
      <c r="M4641" t="inlineStr">
        <is>
          <t>Bonus, Healthcare Plan, Paid Leave, Training, Travel Opportunities, Team Activities, Others</t>
        </is>
      </c>
      <c r="N4641" s="8">
        <f>HYPERLINK("https://www.vietnamworks.com/chuyen-vien-ung-dung-san-pham-application-engineer-2015084-jv","Xem chi tiết")</f>
        <v/>
      </c>
    </row>
    <row r="4642">
      <c r="B4642" s="9" t="n">
        <v>4640</v>
      </c>
      <c r="C4642" s="10" t="inlineStr">
        <is>
          <t>Admission Leader - HCM</t>
        </is>
      </c>
      <c r="D4642" s="10" t="inlineStr">
        <is>
          <t>Công Ty TNHH Con Đường Giáo Dục (EduPath)</t>
        </is>
      </c>
      <c r="E4642" s="10" t="inlineStr">
        <is>
          <t>Thương lượng</t>
        </is>
      </c>
      <c r="F4642" s="10" t="inlineStr">
        <is>
          <t>Hồ Chí Minh</t>
        </is>
      </c>
      <c r="G4642" s="10" t="inlineStr">
        <is>
          <t>Nhân viên</t>
        </is>
      </c>
      <c r="H4642" s="10" t="inlineStr">
        <is>
          <t>27/02/2026</t>
        </is>
      </c>
      <c r="I4642" s="10" t="inlineStr">
        <is>
          <t>29/03/2026</t>
        </is>
      </c>
      <c r="J4642" s="10" t="inlineStr">
        <is>
          <t>17/03/2026</t>
        </is>
      </c>
      <c r="K4642" s="10" t="inlineStr">
        <is>
          <t>N/A</t>
        </is>
      </c>
      <c r="L4642" s="10" t="inlineStr">
        <is>
          <t>Tư Vấn Tuyển Sinh, Quản Lý Lớp Học, Quản Lý Tuyển Sinh, Giáo Dục Đào Tạo, Xử Lý Hồ Sơ</t>
        </is>
      </c>
      <c r="M4642" s="10" t="inlineStr">
        <is>
          <t>Bonus, Healthcare Plan, Laptop</t>
        </is>
      </c>
      <c r="N4642" s="11">
        <f>HYPERLINK("https://www.vietnamworks.com/admission-leader-hcm-2015082-jv","Xem chi tiết")</f>
        <v/>
      </c>
      <c r="O4642" s="10" t="n"/>
    </row>
    <row r="4643">
      <c r="B4643" s="7" t="n">
        <v>4641</v>
      </c>
      <c r="C4643" t="inlineStr">
        <is>
          <t>[Remote] Performance Marketing Specialist (Up-To $5000)</t>
        </is>
      </c>
      <c r="D4643" t="inlineStr">
        <is>
          <t>Crossian Việt Nam</t>
        </is>
      </c>
      <c r="E4643" t="inlineStr">
        <is>
          <t>Tới $ 7,000 /tháng</t>
        </is>
      </c>
      <c r="F4643" t="inlineStr">
        <is>
          <t>Hà Nội, Hồ Chí Minh</t>
        </is>
      </c>
      <c r="G4643" t="inlineStr">
        <is>
          <t>Nhân viên</t>
        </is>
      </c>
      <c r="H4643" t="inlineStr">
        <is>
          <t>27/02/2026</t>
        </is>
      </c>
      <c r="I4643" t="inlineStr">
        <is>
          <t>29/03/2026</t>
        </is>
      </c>
      <c r="J4643" t="inlineStr">
        <is>
          <t>17/03/2026</t>
        </is>
      </c>
      <c r="K4643" t="inlineStr">
        <is>
          <t>N/A</t>
        </is>
      </c>
      <c r="L4643" t="inlineStr">
        <is>
          <t>E-commerce, Performance Marketing, Analytical Skills, Driving growth</t>
        </is>
      </c>
      <c r="M4643" t="inlineStr">
        <is>
          <t>Bonus, Healthcare Plan, Others</t>
        </is>
      </c>
      <c r="N4643" s="8">
        <f>HYPERLINK("https://www.vietnamworks.com/remote-performance-marketing-specialist-up-to-5000--2015088-jv","Xem chi tiết")</f>
        <v/>
      </c>
    </row>
    <row r="4644">
      <c r="B4644" s="9" t="n">
        <v>4642</v>
      </c>
      <c r="C4644" s="10" t="inlineStr">
        <is>
          <t>Nhân Viên Kinh Doanh Thiết Bị Y Tế (Thu Nhập Không Giới Hạn)</t>
        </is>
      </c>
      <c r="D4644" s="10" t="inlineStr">
        <is>
          <t>CÔNG TY TNHH THIẾT BỊ CÔNG NGHỆ VÀ ĐẦU TƯ MDC - Chi nhánh HCM</t>
        </is>
      </c>
      <c r="E4644" s="10" t="inlineStr">
        <is>
          <t>Từ 12tr ₫/tháng</t>
        </is>
      </c>
      <c r="F4644" s="10" t="inlineStr">
        <is>
          <t>Hà Nội, Hồ Chí Minh</t>
        </is>
      </c>
      <c r="G4644" s="10" t="inlineStr">
        <is>
          <t>Nhân viên</t>
        </is>
      </c>
      <c r="H4644" s="10" t="inlineStr">
        <is>
          <t>27/02/2026</t>
        </is>
      </c>
      <c r="I4644" s="10" t="inlineStr">
        <is>
          <t>29/03/2026</t>
        </is>
      </c>
      <c r="J4644" s="10" t="inlineStr">
        <is>
          <t>17/03/2026</t>
        </is>
      </c>
      <c r="K4644" s="10" t="inlineStr">
        <is>
          <t>N/A</t>
        </is>
      </c>
      <c r="L4644" s="10" t="inlineStr">
        <is>
          <t>Kế Hoạch Kinh Doanh, Kinh Doanh Thiết Bị Y Tế, Phát Triển Thị Trường, Tư Vấn Sản Phẩm, B2B Sales</t>
        </is>
      </c>
      <c r="M4644" s="10" t="inlineStr">
        <is>
          <t>Bonus, Healthcare Plan, Paid Leave, Training, Travel Opportunities, Team Activities, Others</t>
        </is>
      </c>
      <c r="N4644" s="11">
        <f>HYPERLINK("https://www.vietnamworks.com/nhan-vien-kinh-doanh-thiet-bi-y-te-thu-nhap-khong-gioi-han-2015101-jv","Xem chi tiết")</f>
        <v/>
      </c>
      <c r="O4644" s="10" t="n"/>
    </row>
    <row r="4645">
      <c r="B4645" s="7" t="n">
        <v>4643</v>
      </c>
      <c r="C4645" t="inlineStr">
        <is>
          <t>Digital Marketing Lead (Up-To $7,000)</t>
        </is>
      </c>
      <c r="D4645" t="inlineStr">
        <is>
          <t>Crossian Việt Nam</t>
        </is>
      </c>
      <c r="E4645" t="inlineStr">
        <is>
          <t>Tới $ 7,000 /tháng</t>
        </is>
      </c>
      <c r="F4645" t="inlineStr">
        <is>
          <t>Hà Nội, Hồ Chí Minh</t>
        </is>
      </c>
      <c r="G4645" t="inlineStr">
        <is>
          <t>Trưởng phòng</t>
        </is>
      </c>
      <c r="H4645" t="inlineStr">
        <is>
          <t>27/02/2026</t>
        </is>
      </c>
      <c r="I4645" t="inlineStr">
        <is>
          <t>29/03/2026</t>
        </is>
      </c>
      <c r="J4645" t="inlineStr">
        <is>
          <t>17/03/2026</t>
        </is>
      </c>
      <c r="K4645" t="inlineStr">
        <is>
          <t>N/A</t>
        </is>
      </c>
      <c r="L4645" t="inlineStr">
        <is>
          <t>Google Ads, E-commerce, Data Analysis, Performance Marketing, Facebook Ads campaigns</t>
        </is>
      </c>
      <c r="M4645" t="inlineStr">
        <is>
          <t>Bonus, Healthcare Plan, Others</t>
        </is>
      </c>
      <c r="N4645" s="8">
        <f>HYPERLINK("https://www.vietnamworks.com/digital-marketing-lead-up-to-7-000--2015091-jv","Xem chi tiết")</f>
        <v/>
      </c>
    </row>
    <row r="4646">
      <c r="B4646" s="9" t="n">
        <v>4644</v>
      </c>
      <c r="C4646" s="10" t="inlineStr">
        <is>
          <t>Product Marketing Manager (Up-To $10,000) - SGN , HAN</t>
        </is>
      </c>
      <c r="D4646" s="10" t="inlineStr">
        <is>
          <t>Crossian Việt Nam</t>
        </is>
      </c>
      <c r="E4646" s="10" t="inlineStr">
        <is>
          <t>Tới $ 10,000 /tháng</t>
        </is>
      </c>
      <c r="F4646" s="10" t="inlineStr">
        <is>
          <t>Hà Nội, Hồ Chí Minh</t>
        </is>
      </c>
      <c r="G4646" s="10" t="inlineStr">
        <is>
          <t>Trưởng phòng</t>
        </is>
      </c>
      <c r="H4646" s="10" t="inlineStr">
        <is>
          <t>27/02/2026</t>
        </is>
      </c>
      <c r="I4646" s="10" t="inlineStr">
        <is>
          <t>29/03/2026</t>
        </is>
      </c>
      <c r="J4646" s="10" t="inlineStr">
        <is>
          <t>17/03/2026</t>
        </is>
      </c>
      <c r="K4646" s="10" t="inlineStr">
        <is>
          <t>N/A</t>
        </is>
      </c>
      <c r="L4646" s="10" t="inlineStr">
        <is>
          <t>Product Marketing, Team Management, Content Strategy, Market Research, Digital Marketing</t>
        </is>
      </c>
      <c r="M4646" s="10" t="inlineStr">
        <is>
          <t>Bonus, Training, Team Activities</t>
        </is>
      </c>
      <c r="N4646" s="11">
        <f>HYPERLINK("https://www.vietnamworks.com/product-marketing-manager-up-to-10-000-sgn-han--2015099-jv","Xem chi tiết")</f>
        <v/>
      </c>
      <c r="O4646" s="10" t="n"/>
    </row>
    <row r="4647">
      <c r="B4647" s="7" t="n">
        <v>4645</v>
      </c>
      <c r="C4647" t="inlineStr">
        <is>
          <t>Digital Marketing Manager (Up-To $10,000)</t>
        </is>
      </c>
      <c r="D4647" t="inlineStr">
        <is>
          <t>Crossian Việt Nam</t>
        </is>
      </c>
      <c r="E4647" t="inlineStr">
        <is>
          <t>Tới $ 10,000 /tháng</t>
        </is>
      </c>
      <c r="F4647" t="inlineStr">
        <is>
          <t>Hồ Chí Minh, Hà Nội</t>
        </is>
      </c>
      <c r="G4647" t="inlineStr">
        <is>
          <t>Trưởng phòng</t>
        </is>
      </c>
      <c r="H4647" t="inlineStr">
        <is>
          <t>27/02/2026</t>
        </is>
      </c>
      <c r="I4647" t="inlineStr">
        <is>
          <t>29/03/2026</t>
        </is>
      </c>
      <c r="J4647" t="inlineStr">
        <is>
          <t>17/03/2026</t>
        </is>
      </c>
      <c r="K4647" t="inlineStr">
        <is>
          <t>N/A</t>
        </is>
      </c>
      <c r="L4647" t="inlineStr">
        <is>
          <t>Competitor Research, Content Strategy, Data Analysis, Digital Marketing, Team Management</t>
        </is>
      </c>
      <c r="M4647" t="inlineStr">
        <is>
          <t>Bonus, Healthcare Plan, Paid Leave, Training, Team Activities, Others</t>
        </is>
      </c>
      <c r="N4647" s="8">
        <f>HYPERLINK("https://www.vietnamworks.com/digital-marketing-manager-up-to-dollar10000-2015076-jv","Xem chi tiết")</f>
        <v/>
      </c>
    </row>
    <row r="4648">
      <c r="B4648" s="9" t="n">
        <v>4646</v>
      </c>
      <c r="C4648" s="10" t="inlineStr">
        <is>
          <t>Marketing Data Analyst - Meta Ads, Global e-Commerce Platform (Up-To $5,000)</t>
        </is>
      </c>
      <c r="D4648" s="10" t="inlineStr">
        <is>
          <t>Crossian Việt Nam</t>
        </is>
      </c>
      <c r="E4648" s="10" t="inlineStr">
        <is>
          <t>Tới $ 7,000 /tháng</t>
        </is>
      </c>
      <c r="F4648" s="10" t="inlineStr">
        <is>
          <t>Hà Nội, Hồ Chí Minh</t>
        </is>
      </c>
      <c r="G4648" s="10" t="inlineStr">
        <is>
          <t>Nhân viên</t>
        </is>
      </c>
      <c r="H4648" s="10" t="inlineStr">
        <is>
          <t>27/02/2026</t>
        </is>
      </c>
      <c r="I4648" s="10" t="inlineStr">
        <is>
          <t>29/03/2026</t>
        </is>
      </c>
      <c r="J4648" s="10" t="inlineStr">
        <is>
          <t>17/03/2026</t>
        </is>
      </c>
      <c r="K4648" s="10" t="inlineStr">
        <is>
          <t>N/A</t>
        </is>
      </c>
      <c r="L4648" s="10" t="inlineStr">
        <is>
          <t>Marketing Research, Data Analysis, Content Marketing, Digital Advertising, SQL</t>
        </is>
      </c>
      <c r="M4648" s="10" t="inlineStr">
        <is>
          <t>Bonus, Healthcare Plan, Vouchers</t>
        </is>
      </c>
      <c r="N4648" s="11">
        <f>HYPERLINK("https://www.vietnamworks.com/marketing-data-analyst-meta-ads-global-e-commerce-platform-up-to-5-000--2015078-jv","Xem chi tiết")</f>
        <v/>
      </c>
      <c r="O4648" s="10" t="n"/>
    </row>
    <row r="4649">
      <c r="B4649" s="7" t="n">
        <v>4647</v>
      </c>
      <c r="C4649" t="inlineStr">
        <is>
          <t>Trưởng Phòng Xây Dựng Quản Lý Thi Công</t>
        </is>
      </c>
      <c r="D4649" t="inlineStr">
        <is>
          <t>Vietnamworks' Client</t>
        </is>
      </c>
      <c r="E4649" t="inlineStr">
        <is>
          <t>1,500-2,000 ₫/tháng</t>
        </is>
      </c>
      <c r="F4649" t="inlineStr">
        <is>
          <t>Hồ Chí Minh</t>
        </is>
      </c>
      <c r="G4649" t="inlineStr">
        <is>
          <t>Trưởng phòng</t>
        </is>
      </c>
      <c r="H4649" t="inlineStr">
        <is>
          <t>27/02/2026</t>
        </is>
      </c>
      <c r="I4649" t="inlineStr">
        <is>
          <t>29/03/2026</t>
        </is>
      </c>
      <c r="J4649" t="inlineStr">
        <is>
          <t>17/03/2026</t>
        </is>
      </c>
      <c r="K4649" t="inlineStr">
        <is>
          <t>N/A</t>
        </is>
      </c>
      <c r="L4649" t="inlineStr">
        <is>
          <t>Civil Construction, Construction Project, Kỹ Thuật Xây Dựng, Xây Dựng, Xây Dựng Dân Dụng</t>
        </is>
      </c>
      <c r="M4649" t="inlineStr">
        <is>
          <t>Healthcare Plan, Paid Leave, Travel Opportunities</t>
        </is>
      </c>
      <c r="N4649" s="8">
        <f>HYPERLINK("https://www.vietnamworks.com/truong-phong-xay-dung-quan-ly-thi-cong-2015111-jv","Xem chi tiết")</f>
        <v/>
      </c>
    </row>
    <row r="4650">
      <c r="B4650" s="9" t="n">
        <v>4648</v>
      </c>
      <c r="C4650" s="10" t="inlineStr">
        <is>
          <t>Chuyên Viên Pháp Lý</t>
        </is>
      </c>
      <c r="D4650" s="10" t="inlineStr">
        <is>
          <t>Hyperion</t>
        </is>
      </c>
      <c r="E4650" s="10" t="inlineStr">
        <is>
          <t>Thương lượng</t>
        </is>
      </c>
      <c r="F4650" s="10" t="inlineStr">
        <is>
          <t>Hồ Chí Minh</t>
        </is>
      </c>
      <c r="G4650" s="10" t="inlineStr">
        <is>
          <t>Nhân viên</t>
        </is>
      </c>
      <c r="H4650" s="10" t="inlineStr">
        <is>
          <t>27/02/2026</t>
        </is>
      </c>
      <c r="I4650" s="10" t="inlineStr">
        <is>
          <t>29/03/2026</t>
        </is>
      </c>
      <c r="J4650" s="10" t="inlineStr">
        <is>
          <t>17/03/2026</t>
        </is>
      </c>
      <c r="K4650" s="10" t="inlineStr">
        <is>
          <t>N/A</t>
        </is>
      </c>
      <c r="L4650" s="10" t="inlineStr">
        <is>
          <t>Luật Kinh Tế, Phân Tích Da, Quan Sát, Tiếng Anh, Tin Học Văn Phòng</t>
        </is>
      </c>
      <c r="M4650" s="10" t="inlineStr">
        <is>
          <t>Others</t>
        </is>
      </c>
      <c r="N4650" s="11">
        <f>HYPERLINK("https://www.vietnamworks.com/chuyen-vien-phap-ly-2015133-jv","Xem chi tiết")</f>
        <v/>
      </c>
      <c r="O4650" s="10" t="n"/>
    </row>
    <row r="4651">
      <c r="B4651" s="7" t="n">
        <v>4649</v>
      </c>
      <c r="C4651" t="inlineStr">
        <is>
          <t>Project Manager (Content Delivery Management) (Up-To $4,000)</t>
        </is>
      </c>
      <c r="D4651" t="inlineStr">
        <is>
          <t>Crossian Việt Nam</t>
        </is>
      </c>
      <c r="E4651" t="inlineStr">
        <is>
          <t>Tới $ 4,000 /năm</t>
        </is>
      </c>
      <c r="F4651" t="inlineStr">
        <is>
          <t>Hà Nội</t>
        </is>
      </c>
      <c r="G4651" t="inlineStr">
        <is>
          <t>Trưởng phòng</t>
        </is>
      </c>
      <c r="H4651" t="inlineStr">
        <is>
          <t>27/02/2026</t>
        </is>
      </c>
      <c r="I4651" t="inlineStr">
        <is>
          <t>29/03/2026</t>
        </is>
      </c>
      <c r="J4651" t="inlineStr">
        <is>
          <t>17/03/2026</t>
        </is>
      </c>
      <c r="K4651" t="inlineStr">
        <is>
          <t>N/A</t>
        </is>
      </c>
      <c r="L4651" t="inlineStr">
        <is>
          <t>Project Management, Ad Operations, Google Ads, Performance Marketing, PMP</t>
        </is>
      </c>
      <c r="M4651" t="inlineStr">
        <is>
          <t>Bonus, Healthcare Plan, Paid Leave, Training, Others</t>
        </is>
      </c>
      <c r="N4651" s="8">
        <f>HYPERLINK("https://www.vietnamworks.com/project-manager-content-delivery-management-up-to-dollar4000-2015113-jv","Xem chi tiết")</f>
        <v/>
      </c>
    </row>
    <row r="4652">
      <c r="B4652" s="9" t="n">
        <v>4650</v>
      </c>
      <c r="C4652" s="10" t="inlineStr">
        <is>
          <t>Trưởng Phòng Quản Lý Phân Khúc Af (Khách Hàng Ưu Tiên) - Id1377</t>
        </is>
      </c>
      <c r="D4652" s="10" t="inlineStr">
        <is>
          <t>VPBank - Https://tuyendung.vpbank.com.vn/</t>
        </is>
      </c>
      <c r="E4652" s="10" t="inlineStr">
        <is>
          <t>Thương lượng</t>
        </is>
      </c>
      <c r="F4652" s="10" t="inlineStr">
        <is>
          <t>Hồ Chí Minh</t>
        </is>
      </c>
      <c r="G4652" s="10" t="inlineStr">
        <is>
          <t>Trưởng phòng</t>
        </is>
      </c>
      <c r="H4652" s="10" t="inlineStr">
        <is>
          <t>27/02/2026</t>
        </is>
      </c>
      <c r="I4652" s="10" t="inlineStr">
        <is>
          <t>29/03/2026</t>
        </is>
      </c>
      <c r="J4652" s="10" t="inlineStr">
        <is>
          <t>17/03/2026</t>
        </is>
      </c>
      <c r="K4652" s="10" t="inlineStr">
        <is>
          <t>N/A</t>
        </is>
      </c>
      <c r="L4652" s="10" t="inlineStr">
        <is>
          <t>Quản Lý, Giao Tiếp, Thuyết Trình, Bán hàng, Kỹ Năng Thuyết Trình</t>
        </is>
      </c>
      <c r="M4652" s="10" t="inlineStr">
        <is>
          <t>Bonus, Healthcare Plan, Paid Leave</t>
        </is>
      </c>
      <c r="N4652" s="11">
        <f>HYPERLINK("https://www.vietnamworks.com/truong-phong-quan-ly-phan-khuc-af-khach-hang-uu-tien-id1377--2015105-jv","Xem chi tiết")</f>
        <v/>
      </c>
      <c r="O4652" s="10" t="n"/>
    </row>
    <row r="4653">
      <c r="B4653" s="7" t="n">
        <v>4651</v>
      </c>
      <c r="C4653" t="inlineStr">
        <is>
          <t>Chuyên Viên Front End</t>
        </is>
      </c>
      <c r="D4653" t="inlineStr">
        <is>
          <t>Công Ty Cổ Phần Chứng Khoán KB Việt Nam</t>
        </is>
      </c>
      <c r="E4653" t="inlineStr">
        <is>
          <t>Thương lượng</t>
        </is>
      </c>
      <c r="F4653" t="inlineStr">
        <is>
          <t>Hà Nội</t>
        </is>
      </c>
      <c r="G4653" t="inlineStr">
        <is>
          <t>Nhân viên</t>
        </is>
      </c>
      <c r="H4653" t="inlineStr">
        <is>
          <t>27/02/2026</t>
        </is>
      </c>
      <c r="I4653" t="inlineStr">
        <is>
          <t>29/03/2026</t>
        </is>
      </c>
      <c r="J4653" t="inlineStr">
        <is>
          <t>17/03/2026</t>
        </is>
      </c>
      <c r="K4653" t="inlineStr">
        <is>
          <t>N/A</t>
        </is>
      </c>
      <c r="L4653" t="inlineStr">
        <is>
          <t>Flutter, JavaScript, ReactJS, Front End, Mobile App</t>
        </is>
      </c>
      <c r="M4653" t="inlineStr">
        <is>
          <t>Bonus, Healthcare Plan, Paid Leave, Others</t>
        </is>
      </c>
      <c r="N4653" s="8">
        <f>HYPERLINK("https://www.vietnamworks.com/chuyen-vien-front-end-2015109-jv","Xem chi tiết")</f>
        <v/>
      </c>
    </row>
    <row r="4654">
      <c r="B4654" s="9" t="n">
        <v>4652</v>
      </c>
      <c r="C4654" s="10" t="inlineStr">
        <is>
          <t>[Tuyển Gấp] Nhân Viên Chăm Sóc Khách Hàng CĐT Dự Án Noxh Lương 12 - 15 Triệu/tháng (Chuyên Về Thủ Tục Giấy Tờ) - Làm Việc Tại Long An Cũ</t>
        </is>
      </c>
      <c r="D4654" s="10" t="inlineStr">
        <is>
          <t>CÔNG TY CỔ PHẦN PHƯƠNG MAI LONG AN</t>
        </is>
      </c>
      <c r="E4654" s="10" t="inlineStr">
        <is>
          <t>12tr-15tr ₫/tháng</t>
        </is>
      </c>
      <c r="F4654" s="10" t="inlineStr">
        <is>
          <t>Long An, Tây Ninh, Hồ Chí Minh</t>
        </is>
      </c>
      <c r="G4654" s="10" t="inlineStr">
        <is>
          <t>Nhân viên</t>
        </is>
      </c>
      <c r="H4654" s="10" t="inlineStr">
        <is>
          <t>27/02/2026</t>
        </is>
      </c>
      <c r="I4654" s="10" t="inlineStr">
        <is>
          <t>29/03/2026</t>
        </is>
      </c>
      <c r="J4654" s="10" t="inlineStr">
        <is>
          <t>17/03/2026</t>
        </is>
      </c>
      <c r="K4654" s="10" t="inlineStr">
        <is>
          <t>N/A</t>
        </is>
      </c>
      <c r="L4654" s="10" t="inlineStr">
        <is>
          <t>Bất Động Sản, Hành chính - Admin, Quản Trị Kinh Doanh Bất Động Sản, Kế toán &amp; Tài chính, Thủ Tục Mua Bán Bất Động Sản</t>
        </is>
      </c>
      <c r="M4654" s="10" t="inlineStr">
        <is>
          <t>Bonus, Healthcare Plan, Team Activities</t>
        </is>
      </c>
      <c r="N4654" s="11">
        <f>HYPERLINK("https://www.vietnamworks.com/tuyen-gap-nhan-vien-cham-soc-khach-hang-cdt-du-an-noxh-luong-12-15-trieu-thang-chuyen-ve-thu-tuc-giay-to-lam-viec-tai-long-an-cu-2015102-jv","Xem chi tiết")</f>
        <v/>
      </c>
      <c r="O4654" s="10" t="n"/>
    </row>
    <row r="4655">
      <c r="B4655" s="7" t="n">
        <v>4653</v>
      </c>
      <c r="C4655" t="inlineStr">
        <is>
          <t>Kỹ Sư Thiết Bị Y Tế</t>
        </is>
      </c>
      <c r="D4655" t="inlineStr">
        <is>
          <t>CÔNG TY TNHH THIẾT BỊ CÔNG NGHỆ VÀ ĐẦU TƯ MDC - Chi nhánh HCM</t>
        </is>
      </c>
      <c r="E4655" t="inlineStr">
        <is>
          <t>Từ 12tr ₫/tháng</t>
        </is>
      </c>
      <c r="F4655" t="inlineStr">
        <is>
          <t>Hồ Chí Minh</t>
        </is>
      </c>
      <c r="G4655" t="inlineStr">
        <is>
          <t>Nhân viên</t>
        </is>
      </c>
      <c r="H4655" t="inlineStr">
        <is>
          <t>27/02/2026</t>
        </is>
      </c>
      <c r="I4655" t="inlineStr">
        <is>
          <t>29/03/2026</t>
        </is>
      </c>
      <c r="J4655" t="inlineStr">
        <is>
          <t>17/03/2026</t>
        </is>
      </c>
      <c r="K4655" t="inlineStr">
        <is>
          <t>N/A</t>
        </is>
      </c>
      <c r="L4655" t="inlineStr">
        <is>
          <t>Kỹ Thuật Y Sinh, Điện Tử, Tự Động Hóa, Medical Equipment, Sửa chữa thiết bị y tế</t>
        </is>
      </c>
      <c r="M4655" t="inlineStr">
        <is>
          <t>Bonus, Healthcare Plan, Paid Leave, Training, Travel Opportunities, Team Activities, Others</t>
        </is>
      </c>
      <c r="N4655" s="8">
        <f>HYPERLINK("https://www.vietnamworks.com/ky-su-thiet-bi-y-te-2015103-jv","Xem chi tiết")</f>
        <v/>
      </c>
    </row>
    <row r="4656">
      <c r="B4656" s="9" t="n">
        <v>4654</v>
      </c>
      <c r="C4656" s="10" t="inlineStr">
        <is>
          <t>Administration Officer (Aeon Mall Ha Long - 575)</t>
        </is>
      </c>
      <c r="D4656" s="10" t="inlineStr">
        <is>
          <t>AEONMALL Vietnam Co., Ltd.</t>
        </is>
      </c>
      <c r="E4656" s="10" t="inlineStr">
        <is>
          <t>$$ 350-550 /tháng</t>
        </is>
      </c>
      <c r="F4656" s="10" t="inlineStr">
        <is>
          <t>Quảng Ninh</t>
        </is>
      </c>
      <c r="G4656" s="10" t="inlineStr">
        <is>
          <t>Nhân viên</t>
        </is>
      </c>
      <c r="H4656" s="10" t="inlineStr">
        <is>
          <t>27/02/2026</t>
        </is>
      </c>
      <c r="I4656" s="10" t="inlineStr">
        <is>
          <t>29/03/2026</t>
        </is>
      </c>
      <c r="J4656" s="10" t="inlineStr">
        <is>
          <t>17/03/2026</t>
        </is>
      </c>
      <c r="K4656" s="10" t="inlineStr">
        <is>
          <t>N/A</t>
        </is>
      </c>
      <c r="L4656" s="10" t="inlineStr">
        <is>
          <t>Teamwork, Admin, Admin Support, Document, Administrative</t>
        </is>
      </c>
      <c r="M4656" s="10" t="inlineStr">
        <is>
          <t>Healthcare Plan, Training, Others</t>
        </is>
      </c>
      <c r="N4656" s="11">
        <f>HYPERLINK("https://www.vietnamworks.com/administration-officer-aeon-mall-ha-long-575-2015129-jv","Xem chi tiết")</f>
        <v/>
      </c>
      <c r="O4656" s="10" t="n"/>
    </row>
    <row r="4657">
      <c r="B4657" s="7" t="n">
        <v>4655</v>
      </c>
      <c r="C4657" t="inlineStr">
        <is>
          <t>Business Development Officer ( Refer Woman 28-34 Year Old )</t>
        </is>
      </c>
      <c r="D4657" t="inlineStr">
        <is>
          <t>Goldenduck International Vietnam Co., Ltd.</t>
        </is>
      </c>
      <c r="E4657" t="inlineStr">
        <is>
          <t>Thương lượng</t>
        </is>
      </c>
      <c r="F4657" t="inlineStr">
        <is>
          <t>Hồ Chí Minh</t>
        </is>
      </c>
      <c r="G4657" t="inlineStr">
        <is>
          <t>Mới Tốt Nghiệp</t>
        </is>
      </c>
      <c r="H4657" t="inlineStr">
        <is>
          <t>27/02/2026</t>
        </is>
      </c>
      <c r="I4657" t="inlineStr">
        <is>
          <t>29/03/2026</t>
        </is>
      </c>
      <c r="J4657" t="inlineStr">
        <is>
          <t>17/03/2026</t>
        </is>
      </c>
      <c r="K4657" t="inlineStr">
        <is>
          <t>N/A</t>
        </is>
      </c>
      <c r="L4657" t="inlineStr">
        <is>
          <t>Sales experience, Marketing Design, Customer Service, Assistant, trợ lý kinh doanh</t>
        </is>
      </c>
      <c r="M4657" t="inlineStr">
        <is>
          <t>Bonus, Paid Leave, Laptop, Team Activities, Others</t>
        </is>
      </c>
      <c r="N4657" s="8">
        <f>HYPERLINK("https://www.vietnamworks.com/business-development-officer-refer-woman-28-34-year-old-2015119-jv","Xem chi tiết")</f>
        <v/>
      </c>
    </row>
    <row r="4658">
      <c r="B4658" s="9" t="n">
        <v>4656</v>
      </c>
      <c r="C4658" s="10" t="inlineStr">
        <is>
          <t xml:space="preserve">Kỹ sư Điện (01 người) </t>
        </is>
      </c>
      <c r="D4658" s="10" t="inlineStr">
        <is>
          <t>Công Ty Cổ Phần Tư Vấn Xây Dựng Công Trình Hàng Hải</t>
        </is>
      </c>
      <c r="E4658" s="10" t="inlineStr">
        <is>
          <t>Thương lượng</t>
        </is>
      </c>
      <c r="F4658" s="10" t="inlineStr">
        <is>
          <t>Hà Nội</t>
        </is>
      </c>
      <c r="G4658" s="10" t="inlineStr">
        <is>
          <t>Nhân viên</t>
        </is>
      </c>
      <c r="H4658" s="10" t="inlineStr">
        <is>
          <t>27/02/2026</t>
        </is>
      </c>
      <c r="I4658" s="10" t="inlineStr">
        <is>
          <t>29/03/2026</t>
        </is>
      </c>
      <c r="J4658" s="10" t="inlineStr">
        <is>
          <t>17/03/2026</t>
        </is>
      </c>
      <c r="K4658" s="10" t="inlineStr">
        <is>
          <t>N/A</t>
        </is>
      </c>
      <c r="L4658" s="10" t="inlineStr">
        <is>
          <t>Electrical, Electrical Systems, Điện tử, Điện Tử Công Nghiệp, Điện Tử Ứng Dụng</t>
        </is>
      </c>
      <c r="M4658" s="10" t="inlineStr">
        <is>
          <t>Healthcare Plan, Training, Awards, Others</t>
        </is>
      </c>
      <c r="N4658" s="11">
        <f>HYPERLINK("https://www.vietnamworks.com/ky-su-djien-01-nguoi-2015127-jv","Xem chi tiết")</f>
        <v/>
      </c>
      <c r="O4658" s="10" t="n"/>
    </row>
    <row r="4659">
      <c r="B4659" s="7" t="n">
        <v>4657</v>
      </c>
      <c r="C4659" t="inlineStr">
        <is>
          <t>Documentation Compliance Engineer</t>
        </is>
      </c>
      <c r="D4659" t="inlineStr">
        <is>
          <t>Sharkninja Vietnam</t>
        </is>
      </c>
      <c r="E4659" t="inlineStr">
        <is>
          <t>Thương lượng</t>
        </is>
      </c>
      <c r="F4659" t="inlineStr">
        <is>
          <t>Hồ Chí Minh</t>
        </is>
      </c>
      <c r="G4659" t="inlineStr">
        <is>
          <t>Nhân viên</t>
        </is>
      </c>
      <c r="H4659" t="inlineStr">
        <is>
          <t>27/02/2026</t>
        </is>
      </c>
      <c r="I4659" t="inlineStr">
        <is>
          <t>29/03/2026</t>
        </is>
      </c>
      <c r="J4659" t="inlineStr">
        <is>
          <t>17/03/2026</t>
        </is>
      </c>
      <c r="K4659" t="inlineStr">
        <is>
          <t>N/A</t>
        </is>
      </c>
      <c r="L4659" t="inlineStr">
        <is>
          <t>Communication Skills, Document Management, Microsoft Office, Organizational skills, Project Management</t>
        </is>
      </c>
      <c r="M4659" t="inlineStr">
        <is>
          <t>Bonus, Healthcare Plan, Training</t>
        </is>
      </c>
      <c r="N4659" s="8">
        <f>HYPERLINK("https://www.vietnamworks.com/documentation-compliance-engineer-2015110-jv","Xem chi tiết")</f>
        <v/>
      </c>
    </row>
    <row r="4660">
      <c r="B4660" s="9" t="n">
        <v>4658</v>
      </c>
      <c r="C4660" s="10" t="inlineStr">
        <is>
          <t>E-Commerce Account Executive (Social Commerce)</t>
        </is>
      </c>
      <c r="D4660" s="10" t="inlineStr">
        <is>
          <t>Công Ty Cổ Phần Metub Việt Nam</t>
        </is>
      </c>
      <c r="E4660" s="10" t="inlineStr">
        <is>
          <t>Thương lượng</t>
        </is>
      </c>
      <c r="F4660" s="10" t="inlineStr">
        <is>
          <t>Hồ Chí Minh</t>
        </is>
      </c>
      <c r="G4660" s="10" t="inlineStr">
        <is>
          <t>Nhân viên</t>
        </is>
      </c>
      <c r="H4660" s="10" t="inlineStr">
        <is>
          <t>27/02/2026</t>
        </is>
      </c>
      <c r="I4660" s="10" t="inlineStr">
        <is>
          <t>29/03/2026</t>
        </is>
      </c>
      <c r="J4660" s="10" t="inlineStr">
        <is>
          <t>17/03/2026</t>
        </is>
      </c>
      <c r="K4660" s="10" t="inlineStr">
        <is>
          <t>N/A</t>
        </is>
      </c>
      <c r="L4660" s="10" t="inlineStr">
        <is>
          <t>Communication and negotiation skills, English Language Proficiency, Analytical, Proactive And Dynamic</t>
        </is>
      </c>
      <c r="M4660" s="10" t="inlineStr">
        <is>
          <t>Bonus, Others</t>
        </is>
      </c>
      <c r="N4660" s="11">
        <f>HYPERLINK("https://www.vietnamworks.com/e-commerce-account-executive-social-commerce-2015134-jv","Xem chi tiết")</f>
        <v/>
      </c>
      <c r="O4660" s="10" t="n"/>
    </row>
    <row r="4661">
      <c r="B4661" s="7" t="n">
        <v>4659</v>
      </c>
      <c r="C4661" t="inlineStr">
        <is>
          <t>Graphic Designer (Up-To $2,000)</t>
        </is>
      </c>
      <c r="D4661" t="inlineStr">
        <is>
          <t>Crossian Việt Nam</t>
        </is>
      </c>
      <c r="E4661" t="inlineStr">
        <is>
          <t>Thương lượng</t>
        </is>
      </c>
      <c r="F4661" t="inlineStr">
        <is>
          <t>Hà Nội</t>
        </is>
      </c>
      <c r="G4661" t="inlineStr">
        <is>
          <t>Nhân viên</t>
        </is>
      </c>
      <c r="H4661" t="inlineStr">
        <is>
          <t>27/02/2026</t>
        </is>
      </c>
      <c r="I4661" t="inlineStr">
        <is>
          <t>29/03/2026</t>
        </is>
      </c>
      <c r="J4661" t="inlineStr">
        <is>
          <t>17/03/2026</t>
        </is>
      </c>
      <c r="K4661" t="inlineStr">
        <is>
          <t>N/A</t>
        </is>
      </c>
      <c r="L4661" t="inlineStr">
        <is>
          <t>Adobe Photoshop, Illustrator, Digital Marketing, Graphic Design, AI tools</t>
        </is>
      </c>
      <c r="M4661" t="inlineStr">
        <is>
          <t>Bonus, Healthcare Plan, Vouchers</t>
        </is>
      </c>
      <c r="N4661" s="8">
        <f>HYPERLINK("https://www.vietnamworks.com/graphic-designer-up-to-2-000--2015107-jv","Xem chi tiết")</f>
        <v/>
      </c>
    </row>
    <row r="4662">
      <c r="B4662" s="9" t="n">
        <v>4660</v>
      </c>
      <c r="C4662" s="10" t="inlineStr">
        <is>
          <t>Operations Automation Project Management Supervisor</t>
        </is>
      </c>
      <c r="D4662" s="10" t="inlineStr">
        <is>
          <t>Sonion Viet Nam II Co, Ltd</t>
        </is>
      </c>
      <c r="E4662" s="10" t="inlineStr">
        <is>
          <t>Thương lượng</t>
        </is>
      </c>
      <c r="F4662" s="10" t="inlineStr">
        <is>
          <t>Hồ Chí Minh</t>
        </is>
      </c>
      <c r="G4662" s="10" t="inlineStr">
        <is>
          <t>Nhân viên</t>
        </is>
      </c>
      <c r="H4662" s="10" t="inlineStr">
        <is>
          <t>27/02/2026</t>
        </is>
      </c>
      <c r="I4662" s="10" t="inlineStr">
        <is>
          <t>29/03/2026</t>
        </is>
      </c>
      <c r="J4662" s="10" t="inlineStr">
        <is>
          <t>17/03/2026</t>
        </is>
      </c>
      <c r="K4662" s="10" t="inlineStr">
        <is>
          <t>N/A</t>
        </is>
      </c>
      <c r="L4662" s="10" t="inlineStr">
        <is>
          <t>Automation Control Engineering, Coaching, Project Management, Team Management</t>
        </is>
      </c>
      <c r="M4662" s="10" t="inlineStr">
        <is>
          <t>Bonus, Healthcare Plan, Travel Opportunities, Transportation, Canteen</t>
        </is>
      </c>
      <c r="N4662" s="11">
        <f>HYPERLINK("https://www.vietnamworks.com/operations-automation-project-management-supervisor-2015112-jv","Xem chi tiết")</f>
        <v/>
      </c>
      <c r="O4662" s="10" t="n"/>
    </row>
    <row r="4663">
      <c r="B4663" s="7" t="n">
        <v>4661</v>
      </c>
      <c r="C4663" t="inlineStr">
        <is>
          <t>Chuyên Viên Cấp Cao/ Chuyên Viên Chính Kinh Doanh Số - Khối Giải Trí Nghỉ Dưỡng</t>
        </is>
      </c>
      <c r="D4663" t="inlineStr">
        <is>
          <t>CÔNG TY TNHH TẬP ĐOÀN SUN WORLD</t>
        </is>
      </c>
      <c r="E4663" t="inlineStr">
        <is>
          <t>Thương lượng</t>
        </is>
      </c>
      <c r="F4663" t="inlineStr">
        <is>
          <t>Hà Nội</t>
        </is>
      </c>
      <c r="G4663" t="inlineStr">
        <is>
          <t>Nhân viên</t>
        </is>
      </c>
      <c r="H4663" t="inlineStr">
        <is>
          <t>27/02/2026</t>
        </is>
      </c>
      <c r="I4663" t="inlineStr">
        <is>
          <t>29/03/2026</t>
        </is>
      </c>
      <c r="J4663" t="inlineStr">
        <is>
          <t>17/03/2026</t>
        </is>
      </c>
      <c r="K4663" t="inlineStr">
        <is>
          <t>N/A</t>
        </is>
      </c>
      <c r="L4663" t="inlineStr">
        <is>
          <t>Digital Sales, Giao Tiếp Chủ Động, Kinh Doanh, Phân Tích Số Liệu, Thương Mại Điện Tử</t>
        </is>
      </c>
      <c r="M4663" t="inlineStr">
        <is>
          <t>Bonus, Healthcare Plan, Training, Vouchers, Others</t>
        </is>
      </c>
      <c r="N4663" s="8">
        <f>HYPERLINK("https://www.vietnamworks.com/chuyen-vien-cap-cao-chuyen-vien-chinh-kinh-doanh-so-khoi-giai-tri-nghi-duong-2015124-jv","Xem chi tiết")</f>
        <v/>
      </c>
    </row>
    <row r="4664">
      <c r="B4664" s="9" t="n">
        <v>4662</v>
      </c>
      <c r="C4664" s="10" t="inlineStr">
        <is>
          <t>Giám Sát Thi Công Nội Thất</t>
        </is>
      </c>
      <c r="D4664" s="10" t="inlineStr">
        <is>
          <t>Tổng Công Ty Cổ Phần Đầu Tư Xây Dựng Và Thương Mại Việt Nam (Ctx Holdings)</t>
        </is>
      </c>
      <c r="E4664" s="10" t="inlineStr">
        <is>
          <t>Thương lượng</t>
        </is>
      </c>
      <c r="F4664" s="10" t="inlineStr">
        <is>
          <t>Hà Nội</t>
        </is>
      </c>
      <c r="G4664" s="10" t="inlineStr">
        <is>
          <t>Nhân viên</t>
        </is>
      </c>
      <c r="H4664" s="10" t="inlineStr">
        <is>
          <t>27/02/2026</t>
        </is>
      </c>
      <c r="I4664" s="10" t="inlineStr">
        <is>
          <t>29/03/2026</t>
        </is>
      </c>
      <c r="J4664" s="10" t="inlineStr">
        <is>
          <t>17/03/2026</t>
        </is>
      </c>
      <c r="K4664" s="10" t="inlineStr">
        <is>
          <t>N/A</t>
        </is>
      </c>
      <c r="L4664" s="10" t="inlineStr">
        <is>
          <t>Giám Sát Thi Công, Quản Lý Dự Án, AutoCAD, Giám Sát Thi Công Công Trình Xây Dựng, Thi Công Nội Thất</t>
        </is>
      </c>
      <c r="M4664" s="10" t="inlineStr">
        <is>
          <t>Bonus, Healthcare Plan, Paid Leave, Training, Awards, Team Activities, Others</t>
        </is>
      </c>
      <c r="N4664" s="11">
        <f>HYPERLINK("https://www.vietnamworks.com/giam-sat-thi-cong-noi-that-2015115-jv","Xem chi tiết")</f>
        <v/>
      </c>
      <c r="O4664" s="10" t="n"/>
    </row>
    <row r="4665">
      <c r="B4665" s="7" t="n">
        <v>4663</v>
      </c>
      <c r="C4665" t="inlineStr">
        <is>
          <t>HR Executive (Mạnh Về Tuyển Dụng)</t>
        </is>
      </c>
      <c r="D4665" t="inlineStr">
        <is>
          <t>Star Concord (Vietnam) Company Limited</t>
        </is>
      </c>
      <c r="E4665" t="inlineStr">
        <is>
          <t>$$ 300-500 /tháng</t>
        </is>
      </c>
      <c r="F4665" t="inlineStr">
        <is>
          <t>Hồ Chí Minh, Hải Phòng</t>
        </is>
      </c>
      <c r="G4665" t="inlineStr">
        <is>
          <t>Nhân viên</t>
        </is>
      </c>
      <c r="H4665" t="inlineStr">
        <is>
          <t>27/02/2026</t>
        </is>
      </c>
      <c r="I4665" t="inlineStr">
        <is>
          <t>29/03/2026</t>
        </is>
      </c>
      <c r="J4665" t="inlineStr">
        <is>
          <t>17/03/2026</t>
        </is>
      </c>
      <c r="K4665" t="inlineStr">
        <is>
          <t>N/A</t>
        </is>
      </c>
      <c r="L4665" t="inlineStr">
        <is>
          <t>Labor Law, HR Interview, Candidate Screening, Reporting, MS Office</t>
        </is>
      </c>
      <c r="M4665" t="inlineStr">
        <is>
          <t>Bonus, Healthcare Plan, Paid Leave</t>
        </is>
      </c>
      <c r="N4665" s="8">
        <f>HYPERLINK("https://www.vietnamworks.com/hr-executive-manh-ve-tuyen-dung--2015135-jv","Xem chi tiết")</f>
        <v/>
      </c>
    </row>
    <row r="4666">
      <c r="B4666" s="9" t="n">
        <v>4664</v>
      </c>
      <c r="C4666" s="10" t="inlineStr">
        <is>
          <t>[Tuyển Gấp] Chuyên Viên Marketing - Truyền Thông</t>
        </is>
      </c>
      <c r="D4666" s="10" t="inlineStr">
        <is>
          <t>Công Ty Cổ Phần Tập Đoàn Phú Thái Holdings</t>
        </is>
      </c>
      <c r="E4666" s="10" t="inlineStr">
        <is>
          <t>Thương lượng</t>
        </is>
      </c>
      <c r="F4666" s="10" t="inlineStr">
        <is>
          <t>Hà Nội</t>
        </is>
      </c>
      <c r="G4666" s="10" t="inlineStr">
        <is>
          <t>Nhân viên</t>
        </is>
      </c>
      <c r="H4666" s="10" t="inlineStr">
        <is>
          <t>27/02/2026</t>
        </is>
      </c>
      <c r="I4666" s="10" t="inlineStr">
        <is>
          <t>29/03/2026</t>
        </is>
      </c>
      <c r="J4666" s="10" t="inlineStr">
        <is>
          <t>17/03/2026</t>
        </is>
      </c>
      <c r="K4666" s="10" t="inlineStr">
        <is>
          <t>N/A</t>
        </is>
      </c>
      <c r="L4666" s="10" t="inlineStr">
        <is>
          <t>Marketing Development, Phân Tích Thông Tin, Quản Lý Nội Dung, Truyền Thông, Truyền Thông Nội Bộ</t>
        </is>
      </c>
      <c r="M4666" s="10" t="inlineStr">
        <is>
          <t>Bonus</t>
        </is>
      </c>
      <c r="N4666" s="11">
        <f>HYPERLINK("https://www.vietnamworks.com/tuyen-gap-chuyen-vien-marketing-truyen-thong-2015121-jv","Xem chi tiết")</f>
        <v/>
      </c>
      <c r="O4666" s="10" t="n"/>
    </row>
    <row r="4667">
      <c r="B4667" s="7" t="n">
        <v>4665</v>
      </c>
      <c r="C4667" t="inlineStr">
        <is>
          <t>Content Marketing Specialist (Up-To $5,000) - SGN , HAN</t>
        </is>
      </c>
      <c r="D4667" t="inlineStr">
        <is>
          <t>Crossian Việt Nam</t>
        </is>
      </c>
      <c r="E4667" t="inlineStr">
        <is>
          <t>Tới $ 5,000 /tháng</t>
        </is>
      </c>
      <c r="F4667" t="inlineStr">
        <is>
          <t>Hà Nội, Hồ Chí Minh</t>
        </is>
      </c>
      <c r="G4667" t="inlineStr">
        <is>
          <t>Nhân viên</t>
        </is>
      </c>
      <c r="H4667" t="inlineStr">
        <is>
          <t>27/02/2026</t>
        </is>
      </c>
      <c r="I4667" t="inlineStr">
        <is>
          <t>29/03/2026</t>
        </is>
      </c>
      <c r="J4667" t="inlineStr">
        <is>
          <t>17/03/2026</t>
        </is>
      </c>
      <c r="K4667" t="inlineStr">
        <is>
          <t>N/A</t>
        </is>
      </c>
      <c r="L4667" t="inlineStr">
        <is>
          <t>E-commerce, Product Marketing, Critical Thinking, Graphic Design Briefing, Video Briefing</t>
        </is>
      </c>
      <c r="M4667" t="inlineStr">
        <is>
          <t>Bonus, Healthcare Plan, Paid Leave, Training, Team Activities, Canteen, Others</t>
        </is>
      </c>
      <c r="N4667" s="8">
        <f>HYPERLINK("https://www.vietnamworks.com/content-marketing-specialist-up-to-dollar5000-sgn-han-2015104-jv","Xem chi tiết")</f>
        <v/>
      </c>
    </row>
    <row r="4668">
      <c r="B4668" s="9" t="n">
        <v>4666</v>
      </c>
      <c r="C4668" s="10" t="inlineStr">
        <is>
          <t>Chuyên Viên SEO - Onpage (Lương Từ 15Tr-18Tr/tháng)</t>
        </is>
      </c>
      <c r="D4668" s="10" t="inlineStr">
        <is>
          <t>Công Ty TNHH Thương Mại Vạn An</t>
        </is>
      </c>
      <c r="E4668" s="10" t="inlineStr">
        <is>
          <t>15tr-18tr ₫/tháng</t>
        </is>
      </c>
      <c r="F4668" s="10" t="inlineStr">
        <is>
          <t>Hà Nội</t>
        </is>
      </c>
      <c r="G4668" s="10" t="inlineStr">
        <is>
          <t>Nhân viên</t>
        </is>
      </c>
      <c r="H4668" s="10" t="inlineStr">
        <is>
          <t>27/02/2026</t>
        </is>
      </c>
      <c r="I4668" s="10" t="inlineStr">
        <is>
          <t>29/03/2026</t>
        </is>
      </c>
      <c r="J4668" s="10" t="inlineStr">
        <is>
          <t>17/03/2026</t>
        </is>
      </c>
      <c r="K4668" s="10" t="inlineStr">
        <is>
          <t>N/A</t>
        </is>
      </c>
      <c r="L4668" s="10" t="inlineStr">
        <is>
          <t>SEO, Truyền Thông, Google Analytics, Marketing, SEO Onpage</t>
        </is>
      </c>
      <c r="M4668" s="10" t="inlineStr">
        <is>
          <t>Bonus, Healthcare Plan, Training, Others</t>
        </is>
      </c>
      <c r="N4668" s="11">
        <f>HYPERLINK("https://www.vietnamworks.com/chuyen-vien-seo-onpage-luong-tu-15tr-18trthang-2015114-jv","Xem chi tiết")</f>
        <v/>
      </c>
      <c r="O4668" s="10" t="n"/>
    </row>
    <row r="4669">
      <c r="B4669" s="7" t="n">
        <v>4667</v>
      </c>
      <c r="C4669" t="inlineStr">
        <is>
          <t>Customer Develop Representative (Vietnamese Speaker - IT Industry) - Relocate to Malaysia</t>
        </is>
      </c>
      <c r="D4669" t="inlineStr">
        <is>
          <t>Teleperformance</t>
        </is>
      </c>
      <c r="E4669" t="inlineStr">
        <is>
          <t>$$ 1,500-2,000 /tháng</t>
        </is>
      </c>
      <c r="F4669" t="inlineStr">
        <is>
          <t>Quốc tế, Hồ Chí Minh, Hà Nội</t>
        </is>
      </c>
      <c r="G4669" t="inlineStr">
        <is>
          <t>Nhân viên</t>
        </is>
      </c>
      <c r="H4669" t="inlineStr">
        <is>
          <t>27/02/2026</t>
        </is>
      </c>
      <c r="I4669" t="inlineStr">
        <is>
          <t>29/03/2026</t>
        </is>
      </c>
      <c r="J4669" t="inlineStr">
        <is>
          <t>17/03/2026</t>
        </is>
      </c>
      <c r="K4669" t="inlineStr">
        <is>
          <t>N/A</t>
        </is>
      </c>
      <c r="L4669" t="inlineStr">
        <is>
          <t>English, SaaS, Customer Development, CRM Systems, Sales Development</t>
        </is>
      </c>
      <c r="M4669" t="inlineStr">
        <is>
          <t>Bonus, Healthcare Plan, Travel Opportunities</t>
        </is>
      </c>
      <c r="N4669" s="8">
        <f>HYPERLINK("https://www.vietnamworks.com/customer-develop-representative-vietnamese-speaker-it-industry-relocate-to-malaysia-2015137-jv","Xem chi tiết")</f>
        <v/>
      </c>
    </row>
    <row r="4670">
      <c r="B4670" s="9" t="n">
        <v>4668</v>
      </c>
      <c r="C4670" s="10" t="inlineStr">
        <is>
          <t>HCM - Pattern/ CAD Experienced Staffs</t>
        </is>
      </c>
      <c r="D4670" s="10" t="inlineStr">
        <is>
          <t>Công ty TNHH Bando Vina</t>
        </is>
      </c>
      <c r="E4670" s="10" t="inlineStr">
        <is>
          <t>14tr-20tr ₫/tháng</t>
        </is>
      </c>
      <c r="F4670" s="10" t="inlineStr">
        <is>
          <t>Hồ Chí Minh</t>
        </is>
      </c>
      <c r="G4670" s="10" t="inlineStr">
        <is>
          <t>Nhân viên</t>
        </is>
      </c>
      <c r="H4670" s="10" t="inlineStr">
        <is>
          <t>27/02/2026</t>
        </is>
      </c>
      <c r="I4670" s="10" t="inlineStr">
        <is>
          <t>29/03/2026</t>
        </is>
      </c>
      <c r="J4670" s="10" t="inlineStr">
        <is>
          <t>17/03/2026</t>
        </is>
      </c>
      <c r="K4670" s="10" t="inlineStr">
        <is>
          <t>N/A</t>
        </is>
      </c>
      <c r="L4670" s="10" t="inlineStr">
        <is>
          <t>Pattern, Sample Development, Textile Design, Footwear Design, Garment Textile</t>
        </is>
      </c>
      <c r="M4670" s="10" t="inlineStr">
        <is>
          <t>Bonus, Healthcare Plan, Awards</t>
        </is>
      </c>
      <c r="N4670" s="11">
        <f>HYPERLINK("https://www.vietnamworks.com/hcm-pattern-cad-experienced-staffs--2015145-jv","Xem chi tiết")</f>
        <v/>
      </c>
      <c r="O4670" s="10" t="n"/>
    </row>
    <row r="4671">
      <c r="B4671" s="7" t="n">
        <v>4669</v>
      </c>
      <c r="C4671" t="inlineStr">
        <is>
          <t>Education Advisor/ Cán Bộ Tư Vấn Giáo Dục – Thu Nhập Đến Hơn 20 Triệu/ Tháng</t>
        </is>
      </c>
      <c r="D4671" t="inlineStr">
        <is>
          <t>The London College For Design &amp; Fashion (Hanoi)</t>
        </is>
      </c>
      <c r="E4671" t="inlineStr">
        <is>
          <t>Tới $ 800 /tháng</t>
        </is>
      </c>
      <c r="F4671" t="inlineStr">
        <is>
          <t>Hà Nội</t>
        </is>
      </c>
      <c r="G4671" t="inlineStr">
        <is>
          <t>Nhân viên</t>
        </is>
      </c>
      <c r="H4671" t="inlineStr">
        <is>
          <t>27/02/2026</t>
        </is>
      </c>
      <c r="I4671" t="inlineStr">
        <is>
          <t>29/03/2026</t>
        </is>
      </c>
      <c r="J4671" t="inlineStr">
        <is>
          <t>17/03/2026</t>
        </is>
      </c>
      <c r="K4671" t="inlineStr">
        <is>
          <t>N/A</t>
        </is>
      </c>
      <c r="L4671" t="inlineStr">
        <is>
          <t>Tư Vấn Tuyển Sinh, Chăm Sóc Khách Hàng, Education Consulting, Bán Hàng, Educational Programming</t>
        </is>
      </c>
      <c r="M4671" t="inlineStr">
        <is>
          <t>Bonus, Healthcare Plan, Others</t>
        </is>
      </c>
      <c r="N4671" s="8">
        <f>HYPERLINK("https://www.vietnamworks.com/education-advisor-can-bo-tu-van-giao-duc-thu-nhap-den-hon-20-trieu-thang--2015143-jv","Xem chi tiết")</f>
        <v/>
      </c>
    </row>
    <row r="4672">
      <c r="B4672" s="9" t="n">
        <v>4670</v>
      </c>
      <c r="C4672" s="10" t="inlineStr">
        <is>
          <t>Sales Executive - Nhân Viên Kinh Doanh Logistics (Basic Salary: 8Tr - 12Tr + Bonus)</t>
        </is>
      </c>
      <c r="D4672" s="10" t="inlineStr">
        <is>
          <t>Star Concord (Vietnam) Company Limited</t>
        </is>
      </c>
      <c r="E4672" s="10" t="inlineStr">
        <is>
          <t>$$ 350-700 /tháng</t>
        </is>
      </c>
      <c r="F4672" s="10" t="inlineStr">
        <is>
          <t>Hà Nội, Hải Phòng, Hồ Chí Minh</t>
        </is>
      </c>
      <c r="G4672" s="10" t="inlineStr">
        <is>
          <t>Nhân viên</t>
        </is>
      </c>
      <c r="H4672" s="10" t="inlineStr">
        <is>
          <t>27/02/2026</t>
        </is>
      </c>
      <c r="I4672" s="10" t="inlineStr">
        <is>
          <t>29/03/2026</t>
        </is>
      </c>
      <c r="J4672" s="10" t="inlineStr">
        <is>
          <t>17/03/2026</t>
        </is>
      </c>
      <c r="K4672" s="10" t="inlineStr">
        <is>
          <t>N/A</t>
        </is>
      </c>
      <c r="L4672" s="10" t="inlineStr">
        <is>
          <t>Logistics Sales, Negotiation Skills, Pricing Management, Sales Planning, Business Administration</t>
        </is>
      </c>
      <c r="M4672" s="10" t="inlineStr">
        <is>
          <t>Bonus, Healthcare Plan, Paid Leave</t>
        </is>
      </c>
      <c r="N4672" s="11">
        <f>HYPERLINK("https://www.vietnamworks.com/sales-executive-nhan-vien-kinh-doanh-logistics-basic-salary-8tr-12tr-bonus--2015138-jv","Xem chi tiết")</f>
        <v/>
      </c>
      <c r="O4672" s="10" t="n"/>
    </row>
    <row r="4673">
      <c r="B4673" s="7" t="n">
        <v>4671</v>
      </c>
      <c r="C4673" t="inlineStr">
        <is>
          <t>Giám Đốc Ban Giải Phóng Mặt Bằng</t>
        </is>
      </c>
      <c r="D4673" t="inlineStr">
        <is>
          <t>Vietnamworks' Client</t>
        </is>
      </c>
      <c r="E4673" t="inlineStr">
        <is>
          <t>Thương lượng</t>
        </is>
      </c>
      <c r="F4673" t="inlineStr">
        <is>
          <t>Hà Nội</t>
        </is>
      </c>
      <c r="G4673" t="inlineStr">
        <is>
          <t>Giám Đốc và Cấp Cao Hơn</t>
        </is>
      </c>
      <c r="H4673" t="inlineStr">
        <is>
          <t>27/02/2026</t>
        </is>
      </c>
      <c r="I4673" t="inlineStr">
        <is>
          <t>29/03/2026</t>
        </is>
      </c>
      <c r="J4673" t="inlineStr">
        <is>
          <t>17/03/2026</t>
        </is>
      </c>
      <c r="K4673" t="inlineStr">
        <is>
          <t>N/A</t>
        </is>
      </c>
      <c r="L4673" t="inlineStr">
        <is>
          <t>Phát Triển Dự Án, Kinh Tế Xây Dựng, Giải Phóng Mặt Bằng, Bồi Thường Mặt Bằng, Bàn Giao Nhà Đất</t>
        </is>
      </c>
      <c r="M4673" t="inlineStr">
        <is>
          <t>Bonus, Paid Leave, Canteen</t>
        </is>
      </c>
      <c r="N4673" s="8">
        <f>HYPERLINK("https://www.vietnamworks.com/giam-doc-ban-giai-phong-mat-bang--2015140-jv","Xem chi tiết")</f>
        <v/>
      </c>
    </row>
    <row r="4674">
      <c r="B4674" s="9" t="n">
        <v>4672</v>
      </c>
      <c r="C4674" s="10" t="inlineStr">
        <is>
          <t>Kỹ Sư Thiết Kế Cầu Đường/ CAD Operator, Có Cơ Hội Làm Việc Tại Singapore</t>
        </is>
      </c>
      <c r="D4674" s="10" t="inlineStr">
        <is>
          <t>CÔNG TY TNHH TƯ VẤN THIẾT KẾ ĐẦU TƯ XÂY DỰNG C.D.I</t>
        </is>
      </c>
      <c r="E4674" s="10" t="inlineStr">
        <is>
          <t>Thương lượng</t>
        </is>
      </c>
      <c r="F4674" s="10" t="inlineStr">
        <is>
          <t>Hồ Chí Minh</t>
        </is>
      </c>
      <c r="G4674" s="10" t="inlineStr">
        <is>
          <t>Nhân viên</t>
        </is>
      </c>
      <c r="H4674" s="10" t="inlineStr">
        <is>
          <t>27/02/2026</t>
        </is>
      </c>
      <c r="I4674" s="10" t="inlineStr">
        <is>
          <t>29/03/2026</t>
        </is>
      </c>
      <c r="J4674" s="10" t="inlineStr">
        <is>
          <t>17/03/2026</t>
        </is>
      </c>
      <c r="K4674" s="10" t="inlineStr">
        <is>
          <t>N/A</t>
        </is>
      </c>
      <c r="L4674" s="10" t="inlineStr">
        <is>
          <t>AutoCAD, MS Office, Kỹ Thuật Xây Dựng, Công Trình Giao Thông, CAD</t>
        </is>
      </c>
      <c r="M4674" s="10" t="inlineStr">
        <is>
          <t>Bonus, Healthcare Plan, Paid Leave, Training, Others</t>
        </is>
      </c>
      <c r="N4674" s="11">
        <f>HYPERLINK("https://www.vietnamworks.com/ky-su-thiet-ke-cau-djuong-cad-operator-co-co-hoi-lam-viec-tai-singapore-2015141-jv","Xem chi tiết")</f>
        <v/>
      </c>
      <c r="O4674" s="10" t="n"/>
    </row>
    <row r="4675">
      <c r="B4675" s="7" t="n">
        <v>4673</v>
      </c>
      <c r="C4675" t="inlineStr">
        <is>
          <t>Retail/Documentation Coordinator</t>
        </is>
      </c>
      <c r="D4675" t="inlineStr">
        <is>
          <t>Sharkninja Vietnam</t>
        </is>
      </c>
      <c r="E4675" t="inlineStr">
        <is>
          <t>Thương lượng</t>
        </is>
      </c>
      <c r="F4675" t="inlineStr">
        <is>
          <t>Hồ Chí Minh</t>
        </is>
      </c>
      <c r="G4675" t="inlineStr">
        <is>
          <t>Nhân viên</t>
        </is>
      </c>
      <c r="H4675" t="inlineStr">
        <is>
          <t>27/02/2026</t>
        </is>
      </c>
      <c r="I4675" t="inlineStr">
        <is>
          <t>29/03/2026</t>
        </is>
      </c>
      <c r="J4675" t="inlineStr">
        <is>
          <t>17/03/2026</t>
        </is>
      </c>
      <c r="K4675" t="inlineStr">
        <is>
          <t>N/A</t>
        </is>
      </c>
      <c r="L4675" t="inlineStr">
        <is>
          <t>Attention To Detail, Document Management, Microsoft Office, Project Management, Retail Operations</t>
        </is>
      </c>
      <c r="M4675" t="inlineStr">
        <is>
          <t>Bonus, Healthcare Plan, Training</t>
        </is>
      </c>
      <c r="N4675" s="8">
        <f>HYPERLINK("https://www.vietnamworks.com/retaildocumentation-coordinator-2015148-jv","Xem chi tiết")</f>
        <v/>
      </c>
    </row>
    <row r="4676">
      <c r="B4676" s="9" t="n">
        <v>4674</v>
      </c>
      <c r="C4676" s="10" t="inlineStr">
        <is>
          <t>Senior Quality Engineer</t>
        </is>
      </c>
      <c r="D4676" s="10" t="inlineStr">
        <is>
          <t>VDL ETG VIETNAM COMPANY LIMITED</t>
        </is>
      </c>
      <c r="E4676" s="10" t="inlineStr">
        <is>
          <t>Thương lượng</t>
        </is>
      </c>
      <c r="F4676" s="10" t="inlineStr">
        <is>
          <t>Quảng Ninh, Hải Phòng</t>
        </is>
      </c>
      <c r="G4676" s="10" t="inlineStr">
        <is>
          <t>Nhân viên</t>
        </is>
      </c>
      <c r="H4676" s="10" t="inlineStr">
        <is>
          <t>27/02/2026</t>
        </is>
      </c>
      <c r="I4676" s="10" t="inlineStr">
        <is>
          <t>29/03/2026</t>
        </is>
      </c>
      <c r="J4676" s="10" t="inlineStr">
        <is>
          <t>17/03/2026</t>
        </is>
      </c>
      <c r="K4676" s="10" t="inlineStr">
        <is>
          <t>N/A</t>
        </is>
      </c>
      <c r="L4676" s="10" t="inlineStr">
        <is>
          <t>Process Control, Assembly Process, ISO 9001, Quality Control, Quality Inspection</t>
        </is>
      </c>
      <c r="M4676" s="10" t="inlineStr">
        <is>
          <t>Healthcare Plan, Training, Laptop, Transportation, Others</t>
        </is>
      </c>
      <c r="N4676" s="11">
        <f>HYPERLINK("https://www.vietnamworks.com/senior-quality-engineer-2015146-jv","Xem chi tiết")</f>
        <v/>
      </c>
      <c r="O4676" s="10" t="n"/>
    </row>
    <row r="4677">
      <c r="B4677" s="7" t="n">
        <v>4675</v>
      </c>
      <c r="C4677" t="inlineStr">
        <is>
          <t xml:space="preserve">Kỹ sư, Chuyên viên Khảo sát Địa hình (01 người) </t>
        </is>
      </c>
      <c r="D4677" t="inlineStr">
        <is>
          <t>Công Ty Cổ Phần Tư Vấn Xây Dựng Công Trình Hàng Hải</t>
        </is>
      </c>
      <c r="E4677" t="inlineStr">
        <is>
          <t>Thương lượng</t>
        </is>
      </c>
      <c r="F4677" t="inlineStr">
        <is>
          <t>Hà Nội</t>
        </is>
      </c>
      <c r="G4677" t="inlineStr">
        <is>
          <t>Nhân viên</t>
        </is>
      </c>
      <c r="H4677" t="inlineStr">
        <is>
          <t>27/02/2026</t>
        </is>
      </c>
      <c r="I4677" t="inlineStr">
        <is>
          <t>29/03/2026</t>
        </is>
      </c>
      <c r="J4677" t="inlineStr">
        <is>
          <t>17/03/2026</t>
        </is>
      </c>
      <c r="K4677" t="inlineStr">
        <is>
          <t>N/A</t>
        </is>
      </c>
      <c r="L4677" t="inlineStr">
        <is>
          <t>Xây Dựng, Civil engineer, Thiết Kế Công Trình, Trắc Địa, Trắc Địa Công Trình</t>
        </is>
      </c>
      <c r="M4677" t="inlineStr">
        <is>
          <t>Healthcare Plan, Training, Awards, Others</t>
        </is>
      </c>
      <c r="N4677" s="8">
        <f>HYPERLINK("https://www.vietnamworks.com/ky-su-chuyen-vien-khao-sat-djia-hinh-01-nguoi-2015139-jv","Xem chi tiết")</f>
        <v/>
      </c>
    </row>
    <row r="4678">
      <c r="B4678" s="9" t="n">
        <v>4676</v>
      </c>
      <c r="C4678" s="10" t="inlineStr">
        <is>
          <t>Senior CS &amp; Pricing Executive (Logistics &amp; Forwarding)</t>
        </is>
      </c>
      <c r="D4678" s="10" t="inlineStr">
        <is>
          <t>Delta International Logistics Co.,ltd</t>
        </is>
      </c>
      <c r="E4678" s="10" t="inlineStr">
        <is>
          <t>Thương lượng</t>
        </is>
      </c>
      <c r="F4678" s="10" t="inlineStr">
        <is>
          <t>Hồ Chí Minh</t>
        </is>
      </c>
      <c r="G4678" s="10" t="inlineStr">
        <is>
          <t>Nhân viên</t>
        </is>
      </c>
      <c r="H4678" s="10" t="inlineStr">
        <is>
          <t>27/02/2026</t>
        </is>
      </c>
      <c r="I4678" s="10" t="inlineStr">
        <is>
          <t>29/03/2026</t>
        </is>
      </c>
      <c r="J4678" s="10" t="inlineStr">
        <is>
          <t>17/03/2026</t>
        </is>
      </c>
      <c r="K4678" s="10" t="inlineStr">
        <is>
          <t>N/A</t>
        </is>
      </c>
      <c r="L4678" s="10" t="inlineStr">
        <is>
          <t>Customer Service, Pricing Experience, Forwarding, Shipping Documents, Customs Clearance</t>
        </is>
      </c>
      <c r="M4678" s="10" t="inlineStr">
        <is>
          <t>Bonus, Healthcare Plan, Training</t>
        </is>
      </c>
      <c r="N4678" s="11">
        <f>HYPERLINK("https://www.vietnamworks.com/senior-cs-pricing-executive-logistics-forwarding-2015157-jv","Xem chi tiết")</f>
        <v/>
      </c>
      <c r="O4678" s="10" t="n"/>
    </row>
    <row r="4679">
      <c r="B4679" s="7" t="n">
        <v>4677</v>
      </c>
      <c r="C4679" t="inlineStr">
        <is>
          <t>General Accountant | Kế Toán Tổng Hợp (Real Estate)</t>
        </is>
      </c>
      <c r="D4679" t="inlineStr">
        <is>
          <t>Sonkim Land Corporation</t>
        </is>
      </c>
      <c r="E4679" t="inlineStr">
        <is>
          <t>Thương lượng</t>
        </is>
      </c>
      <c r="F4679" t="inlineStr">
        <is>
          <t>Hồ Chí Minh</t>
        </is>
      </c>
      <c r="G4679" t="inlineStr">
        <is>
          <t>Nhân viên</t>
        </is>
      </c>
      <c r="H4679" t="inlineStr">
        <is>
          <t>27/02/2026</t>
        </is>
      </c>
      <c r="I4679" t="inlineStr">
        <is>
          <t>29/03/2026</t>
        </is>
      </c>
      <c r="J4679" t="inlineStr">
        <is>
          <t>17/03/2026</t>
        </is>
      </c>
      <c r="K4679" t="inlineStr">
        <is>
          <t>N/A</t>
        </is>
      </c>
      <c r="L4679" t="inlineStr">
        <is>
          <t>Kế Toán Tài Chính, Kế Toán Nội Bộ, Internal Accountant, Kiểm toán tài chính, Kế Toán Thuế</t>
        </is>
      </c>
      <c r="M4679" t="inlineStr">
        <is>
          <t>Bonus, Healthcare Plan, Paid Leave</t>
        </is>
      </c>
      <c r="N4679" s="8">
        <f>HYPERLINK("https://www.vietnamworks.com/general-accountant-or-ke-toan-tong-hop-real-estate-2015136-jv","Xem chi tiết")</f>
        <v/>
      </c>
    </row>
    <row r="4680">
      <c r="B4680" s="9" t="n">
        <v>4678</v>
      </c>
      <c r="C4680" s="10" t="inlineStr">
        <is>
          <t>Nhân Viên Kinh Doanh (Mức Lương Hấp Từ 13 – 20 Triệu) Tại Thanh Hóa, Nghệ An</t>
        </is>
      </c>
      <c r="D4680" s="10" t="inlineStr">
        <is>
          <t>Công Ty Cổ Phần Sản Xuất Sơn Việt Nhật</t>
        </is>
      </c>
      <c r="E4680" s="10" t="inlineStr">
        <is>
          <t>13tr-20tr ₫/tháng</t>
        </is>
      </c>
      <c r="F4680" s="10" t="inlineStr">
        <is>
          <t>Nghệ An, Thanh Hóa</t>
        </is>
      </c>
      <c r="G4680" s="10" t="inlineStr">
        <is>
          <t>Mới Tốt Nghiệp</t>
        </is>
      </c>
      <c r="H4680" s="10" t="inlineStr">
        <is>
          <t>27/02/2026</t>
        </is>
      </c>
      <c r="I4680" s="10" t="inlineStr">
        <is>
          <t>29/03/2026</t>
        </is>
      </c>
      <c r="J4680" s="10" t="inlineStr">
        <is>
          <t>17/03/2026</t>
        </is>
      </c>
      <c r="K4680" s="10" t="inlineStr">
        <is>
          <t>N/A</t>
        </is>
      </c>
      <c r="L4680" s="10" t="inlineStr">
        <is>
          <t>Giao Tiếp, Chăm sóc, Có trách nhiệm, Kinh Doanh Ngành Sơn, Thị trường FMCG</t>
        </is>
      </c>
      <c r="M4680" s="10" t="inlineStr">
        <is>
          <t>Bonus, Healthcare Plan, Training, Team Activities, Others</t>
        </is>
      </c>
      <c r="N4680" s="11">
        <f>HYPERLINK("https://www.vietnamworks.com/nhan-vien-kinh-doanh-muc-luong-hap-tu-13-20-trieu-tai-thanh-hoa-nghe-an-2015149-jv","Xem chi tiết")</f>
        <v/>
      </c>
      <c r="O4680" s="10" t="n"/>
    </row>
    <row r="4681">
      <c r="B4681" s="7" t="n">
        <v>4679</v>
      </c>
      <c r="C4681" t="inlineStr">
        <is>
          <t>Material Planner</t>
        </is>
      </c>
      <c r="D4681" t="inlineStr">
        <is>
          <t>VDL ETG VIETNAM COMPANY LIMITED</t>
        </is>
      </c>
      <c r="E4681" t="inlineStr">
        <is>
          <t>Thương lượng</t>
        </is>
      </c>
      <c r="F4681" t="inlineStr">
        <is>
          <t>Quảng Ninh, Hải Phòng</t>
        </is>
      </c>
      <c r="G4681" t="inlineStr">
        <is>
          <t>Nhân viên</t>
        </is>
      </c>
      <c r="H4681" t="inlineStr">
        <is>
          <t>27/02/2026</t>
        </is>
      </c>
      <c r="I4681" t="inlineStr">
        <is>
          <t>29/03/2026</t>
        </is>
      </c>
      <c r="J4681" t="inlineStr">
        <is>
          <t>17/03/2026</t>
        </is>
      </c>
      <c r="K4681" t="inlineStr">
        <is>
          <t>N/A</t>
        </is>
      </c>
      <c r="L4681" t="inlineStr">
        <is>
          <t>Customer Focus, English, ERP, Excel, Material Planning</t>
        </is>
      </c>
      <c r="M4681" t="inlineStr">
        <is>
          <t>Bonus, Healthcare Plan, Paid Leave, Transportation</t>
        </is>
      </c>
      <c r="N4681" s="8">
        <f>HYPERLINK("https://www.vietnamworks.com/material-planner-2015142-jv","Xem chi tiết")</f>
        <v/>
      </c>
    </row>
    <row r="4682">
      <c r="B4682" s="9" t="n">
        <v>4680</v>
      </c>
      <c r="C4682" s="10" t="inlineStr">
        <is>
          <t>Nhân viên Kế toán Tổng hợp (02 người): 01 người biên chế làm việc tại Văn phòng Hà Nội ; 01 người biên chế làm việc Văn phòng Chi nhánh Công ty tại TP.Hồ Chí Minh</t>
        </is>
      </c>
      <c r="D4682" s="10" t="inlineStr">
        <is>
          <t>Công Ty Cổ Phần Tư Vấn Xây Dựng Công Trình Hàng Hải</t>
        </is>
      </c>
      <c r="E4682" s="10" t="inlineStr">
        <is>
          <t>Thương lượng</t>
        </is>
      </c>
      <c r="F4682" s="10" t="inlineStr">
        <is>
          <t>Hà Nội, Hồ Chí Minh</t>
        </is>
      </c>
      <c r="G4682" s="10" t="inlineStr">
        <is>
          <t>Nhân viên</t>
        </is>
      </c>
      <c r="H4682" s="10" t="inlineStr">
        <is>
          <t>27/02/2026</t>
        </is>
      </c>
      <c r="I4682" s="10" t="inlineStr">
        <is>
          <t>29/03/2026</t>
        </is>
      </c>
      <c r="J4682" s="10" t="inlineStr">
        <is>
          <t>17/03/2026</t>
        </is>
      </c>
      <c r="K4682" s="10" t="inlineStr">
        <is>
          <t>N/A</t>
        </is>
      </c>
      <c r="L4682" s="10" t="inlineStr">
        <is>
          <t>General Accountant, General Accountant Experience, General Accounting, General accounting /kế toán tổng hợp, General Accounting Principals</t>
        </is>
      </c>
      <c r="M4682" s="10" t="inlineStr">
        <is>
          <t>Healthcare Plan, Training, Awards, Others</t>
        </is>
      </c>
      <c r="N4682" s="11">
        <f>HYPERLINK("https://www.vietnamworks.com/nhan-vien-ke-toan-tong-hop-02-nguoi-01-nguoi-bien-che-lam-viec-tai-van-phong-ha-noi-01-nguoi-bien-che-lam-viec-van-phong-chi-nhanh-cong-ty-tai-tp-ho-chi-minh-2015150-jv","Xem chi tiết")</f>
        <v/>
      </c>
      <c r="O4682" s="10" t="n"/>
    </row>
    <row r="4683">
      <c r="B4683" s="7" t="n">
        <v>4681</v>
      </c>
      <c r="C4683" t="inlineStr">
        <is>
          <t>Chuyên Viên Giải Phóng Mặt Bằng (Làm Việc Tại Tây Ninh)</t>
        </is>
      </c>
      <c r="D4683" t="inlineStr">
        <is>
          <t>Công Ty Cổ Phần Thaiholdings</t>
        </is>
      </c>
      <c r="E4683" t="inlineStr">
        <is>
          <t>Thương lượng</t>
        </is>
      </c>
      <c r="F4683" t="inlineStr">
        <is>
          <t>Tây Ninh</t>
        </is>
      </c>
      <c r="G4683" t="inlineStr">
        <is>
          <t>Nhân viên</t>
        </is>
      </c>
      <c r="H4683" t="inlineStr">
        <is>
          <t>27/02/2026</t>
        </is>
      </c>
      <c r="I4683" t="inlineStr">
        <is>
          <t>29/03/2026</t>
        </is>
      </c>
      <c r="J4683" t="inlineStr">
        <is>
          <t>17/03/2026</t>
        </is>
      </c>
      <c r="K4683" t="inlineStr">
        <is>
          <t>N/A</t>
        </is>
      </c>
      <c r="L4683" t="inlineStr">
        <is>
          <t>Xây Dựng, Quản Lý Đất Đai, Giải Phóng Mặt Bằng, Bồi Thường Mặt Bằng, Bất Động Sản</t>
        </is>
      </c>
      <c r="M4683" t="inlineStr">
        <is>
          <t>Bonus, Healthcare Plan, Team Activities</t>
        </is>
      </c>
      <c r="N4683" s="8">
        <f>HYPERLINK("https://www.vietnamworks.com/chuyen-vien-giai-phong-mat-bang-lam-viec-tai-tay-ninh-2015156-jv","Xem chi tiết")</f>
        <v/>
      </c>
    </row>
    <row r="4684">
      <c r="B4684" s="9" t="n">
        <v>4682</v>
      </c>
      <c r="C4684" s="10" t="inlineStr">
        <is>
          <t>Associate - Compliance Department</t>
        </is>
      </c>
      <c r="D4684" s="10" t="inlineStr">
        <is>
          <t>Mizuho Bank, Ltd. - HCMC Branch</t>
        </is>
      </c>
      <c r="E4684" s="10" t="inlineStr">
        <is>
          <t>Thương lượng</t>
        </is>
      </c>
      <c r="F4684" s="10" t="inlineStr">
        <is>
          <t>Hồ Chí Minh</t>
        </is>
      </c>
      <c r="G4684" s="10" t="inlineStr">
        <is>
          <t>Nhân viên</t>
        </is>
      </c>
      <c r="H4684" s="10" t="inlineStr">
        <is>
          <t>27/02/2026</t>
        </is>
      </c>
      <c r="I4684" s="10" t="inlineStr">
        <is>
          <t>29/03/2026</t>
        </is>
      </c>
      <c r="J4684" s="10" t="inlineStr">
        <is>
          <t>17/03/2026</t>
        </is>
      </c>
      <c r="K4684" s="10" t="inlineStr">
        <is>
          <t>N/A</t>
        </is>
      </c>
      <c r="L4684" s="10" t="inlineStr">
        <is>
          <t>Banking Finance, Banking Law, Legal Compliance</t>
        </is>
      </c>
      <c r="M4684" s="10" t="inlineStr">
        <is>
          <t>Bonus, Others</t>
        </is>
      </c>
      <c r="N4684" s="11">
        <f>HYPERLINK("https://www.vietnamworks.com/associate-compliance-department-2015160-jv","Xem chi tiết")</f>
        <v/>
      </c>
      <c r="O4684" s="10" t="n"/>
    </row>
    <row r="4685">
      <c r="B4685" s="7" t="n">
        <v>4683</v>
      </c>
      <c r="C4685" t="inlineStr">
        <is>
          <t>Nhân Viên Truyền Thông Nội Bộ</t>
        </is>
      </c>
      <c r="D4685" t="inlineStr">
        <is>
          <t>Công ty Cổ phần Xây dựng Hợp Lực</t>
        </is>
      </c>
      <c r="E4685" t="inlineStr">
        <is>
          <t>Từ 12tr ₫/tháng</t>
        </is>
      </c>
      <c r="F4685" t="inlineStr">
        <is>
          <t>Hà Nội</t>
        </is>
      </c>
      <c r="G4685" t="inlineStr">
        <is>
          <t>Nhân viên</t>
        </is>
      </c>
      <c r="H4685" t="inlineStr">
        <is>
          <t>27/02/2026</t>
        </is>
      </c>
      <c r="I4685" t="inlineStr">
        <is>
          <t>29/03/2026</t>
        </is>
      </c>
      <c r="J4685" t="inlineStr">
        <is>
          <t>17/03/2026</t>
        </is>
      </c>
      <c r="K4685" t="inlineStr">
        <is>
          <t>N/A</t>
        </is>
      </c>
      <c r="L4685" t="inlineStr">
        <is>
          <t>Truyền Thông Nội Bộ, Phát Triển Thương Hiệu, Gắn Kết Nhân Viên, Kế Hoạch Truyền Thông, Phát Triển Văn Hóa</t>
        </is>
      </c>
      <c r="M4685" t="inlineStr">
        <is>
          <t>Healthcare Plan, Awards, Others</t>
        </is>
      </c>
      <c r="N4685" s="8">
        <f>HYPERLINK("https://www.vietnamworks.com/nhan-vien-truyen-thong-noi-bo--2015153-jv","Xem chi tiết")</f>
        <v/>
      </c>
    </row>
    <row r="4686">
      <c r="B4686" s="9" t="n">
        <v>4684</v>
      </c>
      <c r="C4686" s="10" t="inlineStr">
        <is>
          <t>Kỹ sư Công nghệ Thông tin (02 người)</t>
        </is>
      </c>
      <c r="D4686" s="10" t="inlineStr">
        <is>
          <t>Công Ty Cổ Phần Tư Vấn Xây Dựng Công Trình Hàng Hải</t>
        </is>
      </c>
      <c r="E4686" s="10" t="inlineStr">
        <is>
          <t>Thương lượng</t>
        </is>
      </c>
      <c r="F4686" s="10" t="inlineStr">
        <is>
          <t>Hà Nội</t>
        </is>
      </c>
      <c r="G4686" s="10" t="inlineStr">
        <is>
          <t>Nhân viên</t>
        </is>
      </c>
      <c r="H4686" s="10" t="inlineStr">
        <is>
          <t>27/02/2026</t>
        </is>
      </c>
      <c r="I4686" s="10" t="inlineStr">
        <is>
          <t>29/03/2026</t>
        </is>
      </c>
      <c r="J4686" s="10" t="inlineStr">
        <is>
          <t>17/03/2026</t>
        </is>
      </c>
      <c r="K4686" s="10" t="inlineStr">
        <is>
          <t>N/A</t>
        </is>
      </c>
      <c r="L4686" s="10" t="inlineStr">
        <is>
          <t>IT Administration, IT Operations, IT Project Management, IT Risk Management, IT Security</t>
        </is>
      </c>
      <c r="M4686" s="10" t="inlineStr">
        <is>
          <t>Healthcare Plan, Training, Awards, Others</t>
        </is>
      </c>
      <c r="N4686" s="11">
        <f>HYPERLINK("https://www.vietnamworks.com/ky-su-cong-nghe-thong-tin-02-nguoi-2015144-jv","Xem chi tiết")</f>
        <v/>
      </c>
      <c r="O4686" s="10" t="n"/>
    </row>
    <row r="4687">
      <c r="B4687" s="7" t="n">
        <v>4685</v>
      </c>
      <c r="C4687" t="inlineStr">
        <is>
          <t>Documentation Staff (Sea &amp; Air Freight)</t>
        </is>
      </c>
      <c r="D4687" t="inlineStr">
        <is>
          <t>Delta International Logistics Co.,ltd</t>
        </is>
      </c>
      <c r="E4687" t="inlineStr">
        <is>
          <t>8tr-15tr ₫/tháng</t>
        </is>
      </c>
      <c r="F4687" t="inlineStr">
        <is>
          <t>Hồ Chí Minh</t>
        </is>
      </c>
      <c r="G4687" t="inlineStr">
        <is>
          <t>Nhân viên</t>
        </is>
      </c>
      <c r="H4687" t="inlineStr">
        <is>
          <t>27/02/2026</t>
        </is>
      </c>
      <c r="I4687" t="inlineStr">
        <is>
          <t>29/03/2026</t>
        </is>
      </c>
      <c r="J4687" t="inlineStr">
        <is>
          <t>17/03/2026</t>
        </is>
      </c>
      <c r="K4687" t="inlineStr">
        <is>
          <t>N/A</t>
        </is>
      </c>
      <c r="L4687" t="inlineStr">
        <is>
          <t>Forwarding, Vận Tải Giao Nhận, Chứng Từ Hóa Đơn, Chứng Từ Forwarding, Air Freight Forwarding</t>
        </is>
      </c>
      <c r="M4687" t="inlineStr">
        <is>
          <t>Bonus, Healthcare Plan, Training</t>
        </is>
      </c>
      <c r="N4687" s="8">
        <f>HYPERLINK("https://www.vietnamworks.com/documentation-staff-sea-air-freight--2015159-jv","Xem chi tiết")</f>
        <v/>
      </c>
    </row>
    <row r="4688">
      <c r="B4688" s="9" t="n">
        <v>4686</v>
      </c>
      <c r="C4688" s="10" t="inlineStr">
        <is>
          <t>Project Engineer</t>
        </is>
      </c>
      <c r="D4688" s="10" t="inlineStr">
        <is>
          <t>Nghi Son Refinery And Petrochemical LLC – Vietnam</t>
        </is>
      </c>
      <c r="E4688" s="10" t="inlineStr">
        <is>
          <t>Thương lượng</t>
        </is>
      </c>
      <c r="F4688" s="10" t="inlineStr">
        <is>
          <t>Thanh Hóa</t>
        </is>
      </c>
      <c r="G4688" s="10" t="inlineStr">
        <is>
          <t>Nhân viên</t>
        </is>
      </c>
      <c r="H4688" s="10" t="inlineStr">
        <is>
          <t>27/02/2026</t>
        </is>
      </c>
      <c r="I4688" s="10" t="inlineStr">
        <is>
          <t>29/03/2026</t>
        </is>
      </c>
      <c r="J4688" s="10" t="inlineStr">
        <is>
          <t>17/03/2026</t>
        </is>
      </c>
      <c r="K4688" s="10" t="inlineStr">
        <is>
          <t>N/A</t>
        </is>
      </c>
      <c r="L4688" s="10" t="inlineStr">
        <is>
          <t>Petrochemical, Design, Project magement</t>
        </is>
      </c>
      <c r="M4688" s="10" t="inlineStr">
        <is>
          <t>Healthcare Plan, Transportation, Others</t>
        </is>
      </c>
      <c r="N4688" s="11">
        <f>HYPERLINK("https://www.vietnamworks.com/project-engineer--2015158-jv","Xem chi tiết")</f>
        <v/>
      </c>
      <c r="O4688" s="10" t="n"/>
    </row>
    <row r="4689">
      <c r="B4689" s="7" t="n">
        <v>4687</v>
      </c>
      <c r="C4689" t="inlineStr">
        <is>
          <t>Senior Model Development And Big Data Executive</t>
        </is>
      </c>
      <c r="D4689" t="inlineStr">
        <is>
          <t>Công Ty Tài Chính TNHH Ngân Hàng TMCP Sài Gòn - Hà Nội (SHBFinance)</t>
        </is>
      </c>
      <c r="E4689" t="inlineStr">
        <is>
          <t>Thương lượng</t>
        </is>
      </c>
      <c r="F4689" t="inlineStr">
        <is>
          <t>Hồ Chí Minh</t>
        </is>
      </c>
      <c r="G4689" t="inlineStr">
        <is>
          <t>Nhân viên</t>
        </is>
      </c>
      <c r="H4689" t="inlineStr">
        <is>
          <t>27/02/2026</t>
        </is>
      </c>
      <c r="I4689" t="inlineStr">
        <is>
          <t>29/03/2026</t>
        </is>
      </c>
      <c r="J4689" t="inlineStr">
        <is>
          <t>17/03/2026</t>
        </is>
      </c>
      <c r="K4689" t="inlineStr">
        <is>
          <t>N/A</t>
        </is>
      </c>
      <c r="L4689" t="inlineStr">
        <is>
          <t>Communication, Credit Risk, Oracle SQL, SAS Programming, Statistical Analysis</t>
        </is>
      </c>
      <c r="M4689" t="inlineStr">
        <is>
          <t>Bonus, Healthcare Plan, Paid Leave, Training, Laptop, Travel Opportunities, Others</t>
        </is>
      </c>
      <c r="N4689" s="8">
        <f>HYPERLINK("https://www.vietnamworks.com/senior-model-development-and-big-data-executive-2015162-jv","Xem chi tiết")</f>
        <v/>
      </c>
    </row>
    <row r="4690">
      <c r="B4690" s="9" t="n">
        <v>4688</v>
      </c>
      <c r="C4690" s="10" t="inlineStr">
        <is>
          <t>Nhân Viên Điều Phối Vận Tải</t>
        </is>
      </c>
      <c r="D4690" s="10" t="inlineStr">
        <is>
          <t>Công Ty TNHH Vác Xin Thiên Y</t>
        </is>
      </c>
      <c r="E4690" s="10" t="inlineStr">
        <is>
          <t>Từ 14tr ₫/tháng</t>
        </is>
      </c>
      <c r="F4690" s="10" t="inlineStr">
        <is>
          <t>Hà Nội</t>
        </is>
      </c>
      <c r="G4690" s="10" t="inlineStr">
        <is>
          <t>Nhân viên</t>
        </is>
      </c>
      <c r="H4690" s="10" t="inlineStr">
        <is>
          <t>27/02/2026</t>
        </is>
      </c>
      <c r="I4690" s="10" t="inlineStr">
        <is>
          <t>29/03/2026</t>
        </is>
      </c>
      <c r="J4690" s="10" t="inlineStr">
        <is>
          <t>17/03/2026</t>
        </is>
      </c>
      <c r="K4690" s="10" t="inlineStr">
        <is>
          <t>N/A</t>
        </is>
      </c>
      <c r="L4690" s="10" t="inlineStr">
        <is>
          <t>Logistics, Lập Kế Hoạch, Quản Lý Chi Phí Tài Xế, Vận Tải, Xử Lý Sự Cố</t>
        </is>
      </c>
      <c r="M4690" s="10" t="inlineStr">
        <is>
          <t>Bonus, Healthcare Plan, Others</t>
        </is>
      </c>
      <c r="N4690" s="11">
        <f>HYPERLINK("https://www.vietnamworks.com/nhan-vien-djieu-phoi-van-tai-2015169-jv","Xem chi tiết")</f>
        <v/>
      </c>
      <c r="O4690" s="10" t="n"/>
    </row>
    <row r="4691">
      <c r="B4691" s="7" t="n">
        <v>4689</v>
      </c>
      <c r="C4691" t="inlineStr">
        <is>
          <t>Senior Portfolio Analytics And Reporting Executive</t>
        </is>
      </c>
      <c r="D4691" t="inlineStr">
        <is>
          <t>Công Ty Tài Chính TNHH Ngân Hàng TMCP Sài Gòn - Hà Nội (SHBFinance)</t>
        </is>
      </c>
      <c r="E4691" t="inlineStr">
        <is>
          <t>$$ 500-1,500 /tháng</t>
        </is>
      </c>
      <c r="F4691" t="inlineStr">
        <is>
          <t>Hồ Chí Minh</t>
        </is>
      </c>
      <c r="G4691" t="inlineStr">
        <is>
          <t>Nhân viên</t>
        </is>
      </c>
      <c r="H4691" t="inlineStr">
        <is>
          <t>27/02/2026</t>
        </is>
      </c>
      <c r="I4691" t="inlineStr">
        <is>
          <t>29/03/2026</t>
        </is>
      </c>
      <c r="J4691" t="inlineStr">
        <is>
          <t>17/03/2026</t>
        </is>
      </c>
      <c r="K4691" t="inlineStr">
        <is>
          <t>N/A</t>
        </is>
      </c>
      <c r="L4691" t="inlineStr">
        <is>
          <t>Data Analysis, Excel, Power BI, Python, SQL</t>
        </is>
      </c>
      <c r="M4691" t="inlineStr">
        <is>
          <t>Bonus, Healthcare Plan, Paid Leave, Training, Laptop, Travel Opportunities, Others</t>
        </is>
      </c>
      <c r="N4691" s="8">
        <f>HYPERLINK("https://www.vietnamworks.com/senior-portfolio-analytics-and-reporting-executive-2015178-jv","Xem chi tiết")</f>
        <v/>
      </c>
    </row>
    <row r="4692">
      <c r="B4692" s="9" t="n">
        <v>4690</v>
      </c>
      <c r="C4692" s="10" t="inlineStr">
        <is>
          <t>Kỹ Sư Dữ Liệu (Data Engineer)</t>
        </is>
      </c>
      <c r="D4692" s="10" t="inlineStr">
        <is>
          <t>CÔNG TY CỔ PHẦN CAPELLA GROUP</t>
        </is>
      </c>
      <c r="E4692" s="10" t="inlineStr">
        <is>
          <t>Thương lượng</t>
        </is>
      </c>
      <c r="F4692" s="10" t="inlineStr">
        <is>
          <t>Hà Nội</t>
        </is>
      </c>
      <c r="G4692" s="10" t="inlineStr">
        <is>
          <t>Nhân viên</t>
        </is>
      </c>
      <c r="H4692" s="10" t="inlineStr">
        <is>
          <t>27/02/2026</t>
        </is>
      </c>
      <c r="I4692" s="10" t="inlineStr">
        <is>
          <t>29/03/2026</t>
        </is>
      </c>
      <c r="J4692" s="10" t="inlineStr">
        <is>
          <t>17/03/2026</t>
        </is>
      </c>
      <c r="K4692" s="10" t="inlineStr">
        <is>
          <t>N/A</t>
        </is>
      </c>
      <c r="L4692" s="10" t="inlineStr">
        <is>
          <t>Data Engineering, Data governance standards, Python, Quản Trị Cơ Sở Dữ Liệu</t>
        </is>
      </c>
      <c r="M4692" s="10" t="inlineStr">
        <is>
          <t>Bonus, Healthcare Plan, Paid Leave, Training, Laptop, Mobile, Travel Opportunities, Canteen</t>
        </is>
      </c>
      <c r="N4692" s="11">
        <f>HYPERLINK("https://www.vietnamworks.com/ky-su-du-lieu-data-engineer-2015166-jv","Xem chi tiết")</f>
        <v/>
      </c>
      <c r="O4692" s="10" t="n"/>
    </row>
    <row r="4693">
      <c r="B4693" s="7" t="n">
        <v>4691</v>
      </c>
      <c r="C4693" t="inlineStr">
        <is>
          <t>Cost Accountant _Female</t>
        </is>
      </c>
      <c r="D4693" t="inlineStr">
        <is>
          <t>CÔNG TY TNHH HESTRA VIỆT NAM</t>
        </is>
      </c>
      <c r="E4693" t="inlineStr">
        <is>
          <t>Thương lượng</t>
        </is>
      </c>
      <c r="F4693" t="inlineStr">
        <is>
          <t>Hải Phòng</t>
        </is>
      </c>
      <c r="G4693" t="inlineStr">
        <is>
          <t>Nhân viên</t>
        </is>
      </c>
      <c r="H4693" t="inlineStr">
        <is>
          <t>27/02/2026</t>
        </is>
      </c>
      <c r="I4693" t="inlineStr">
        <is>
          <t>29/03/2026</t>
        </is>
      </c>
      <c r="J4693" t="inlineStr">
        <is>
          <t>17/03/2026</t>
        </is>
      </c>
      <c r="K4693" t="inlineStr">
        <is>
          <t>N/A</t>
        </is>
      </c>
      <c r="L4693" t="inlineStr">
        <is>
          <t>Kế Toán Giá Thành, Kế Toán Chi Phí, Cost Accounting, Costing Analysis, GAAP</t>
        </is>
      </c>
      <c r="M4693" t="inlineStr">
        <is>
          <t>Bonus, Healthcare Plan, Paid Leave</t>
        </is>
      </c>
      <c r="N4693" s="8">
        <f>HYPERLINK("https://www.vietnamworks.com/cost-accountant-female-2015170-jv","Xem chi tiết")</f>
        <v/>
      </c>
    </row>
    <row r="4694">
      <c r="B4694" s="9" t="n">
        <v>4692</v>
      </c>
      <c r="C4694" s="10" t="inlineStr">
        <is>
          <t>Architectural Executive</t>
        </is>
      </c>
      <c r="D4694" s="10" t="inlineStr">
        <is>
          <t>Công Ty TNHH Kiến Trúc DP Việt Nam</t>
        </is>
      </c>
      <c r="E4694" s="10" t="inlineStr">
        <is>
          <t>Thương lượng</t>
        </is>
      </c>
      <c r="F4694" s="10" t="inlineStr">
        <is>
          <t>Hồ Chí Minh, Hà Nội</t>
        </is>
      </c>
      <c r="G4694" s="10" t="inlineStr">
        <is>
          <t>Nhân viên</t>
        </is>
      </c>
      <c r="H4694" s="10" t="inlineStr">
        <is>
          <t>27/02/2026</t>
        </is>
      </c>
      <c r="I4694" s="10" t="inlineStr">
        <is>
          <t>29/03/2026</t>
        </is>
      </c>
      <c r="J4694" s="10" t="inlineStr">
        <is>
          <t>17/03/2026</t>
        </is>
      </c>
      <c r="K4694" s="10" t="inlineStr">
        <is>
          <t>N/A</t>
        </is>
      </c>
      <c r="L4694" s="10" t="inlineStr">
        <is>
          <t>Revit, Architecture Drawing, Concept Design, Thiết Kế Kiến Trúc, Kiến Trúc Xây Dựng</t>
        </is>
      </c>
      <c r="M4694" s="10" t="inlineStr">
        <is>
          <t>Bonus, Training, Awards</t>
        </is>
      </c>
      <c r="N4694" s="11">
        <f>HYPERLINK("https://www.vietnamworks.com/architectural-executive--2015161-jv","Xem chi tiết")</f>
        <v/>
      </c>
      <c r="O4694" s="10" t="n"/>
    </row>
    <row r="4695">
      <c r="B4695" s="7" t="n">
        <v>4693</v>
      </c>
      <c r="C4695" t="inlineStr">
        <is>
          <t>Chuyên viên Hành Chính (CTTV)</t>
        </is>
      </c>
      <c r="D4695" t="inlineStr">
        <is>
          <t>Công Ty Cổ Phần Tập Đoàn BRG</t>
        </is>
      </c>
      <c r="E4695" t="inlineStr">
        <is>
          <t>Thương lượng</t>
        </is>
      </c>
      <c r="F4695" t="inlineStr">
        <is>
          <t>Hà Nội</t>
        </is>
      </c>
      <c r="G4695" t="inlineStr">
        <is>
          <t>Nhân viên</t>
        </is>
      </c>
      <c r="H4695" t="inlineStr">
        <is>
          <t>27/02/2026</t>
        </is>
      </c>
      <c r="I4695" t="inlineStr">
        <is>
          <t>29/03/2026</t>
        </is>
      </c>
      <c r="J4695" t="inlineStr">
        <is>
          <t>17/03/2026</t>
        </is>
      </c>
      <c r="K4695" t="inlineStr">
        <is>
          <t>N/A</t>
        </is>
      </c>
      <c r="L4695" t="inlineStr">
        <is>
          <t>Giao Tiếp, Hỗ Trợ Nhân Sự, Quản Lý Hành Chính, Stationery Purchasing, Tổ Chức Sự Kiện</t>
        </is>
      </c>
      <c r="M4695" t="inlineStr">
        <is>
          <t>Bonus, Healthcare Plan, Travel Opportunities</t>
        </is>
      </c>
      <c r="N4695" s="8">
        <f>HYPERLINK("https://www.vietnamworks.com/chuyen-vien-hanh-chinh-cttv-2015182-jv","Xem chi tiết")</f>
        <v/>
      </c>
    </row>
    <row r="4696">
      <c r="B4696" s="9" t="n">
        <v>4694</v>
      </c>
      <c r="C4696" s="10" t="inlineStr">
        <is>
          <t>Nhân Viên Xuất Nhập Khẩu / Import Export Officer</t>
        </is>
      </c>
      <c r="D4696" s="10" t="inlineStr">
        <is>
          <t>Mascot International Viet Nam</t>
        </is>
      </c>
      <c r="E4696" s="10" t="inlineStr">
        <is>
          <t>Thương lượng</t>
        </is>
      </c>
      <c r="F4696" s="10" t="inlineStr">
        <is>
          <t>Hải Dương</t>
        </is>
      </c>
      <c r="G4696" s="10" t="inlineStr">
        <is>
          <t>Nhân viên</t>
        </is>
      </c>
      <c r="H4696" s="10" t="inlineStr">
        <is>
          <t>27/02/2026</t>
        </is>
      </c>
      <c r="I4696" s="10" t="inlineStr">
        <is>
          <t>29/03/2026</t>
        </is>
      </c>
      <c r="J4696" s="10" t="inlineStr">
        <is>
          <t>17/03/2026</t>
        </is>
      </c>
      <c r="K4696" s="10" t="inlineStr">
        <is>
          <t>N/A</t>
        </is>
      </c>
      <c r="L4696" s="10" t="inlineStr">
        <is>
          <t>Xuất Nhập Khẩu, Khai Báo Hải Quan, Tiếng Anh, Chứng Từ Xuất Nhập Khẩu, Đánh Giá Nhà Cung Cấp</t>
        </is>
      </c>
      <c r="M4696" s="10" t="inlineStr">
        <is>
          <t>Bonus, Healthcare Plan, Paid Leave, Training, Team Activities, Transportation, Canteen, Others</t>
        </is>
      </c>
      <c r="N4696" s="11">
        <f>HYPERLINK("https://www.vietnamworks.com/nhan-vien-xuat-nhap-khau-import-export-officer-2015167-jv","Xem chi tiết")</f>
        <v/>
      </c>
      <c r="O4696" s="10" t="n"/>
    </row>
    <row r="4697">
      <c r="B4697" s="7" t="n">
        <v>4695</v>
      </c>
      <c r="C4697" t="inlineStr">
        <is>
          <t>Food And Beverage Manager</t>
        </is>
      </c>
      <c r="D4697" t="inlineStr">
        <is>
          <t>Công Ty Cổ Phần Tập Đoàn BRG</t>
        </is>
      </c>
      <c r="E4697" t="inlineStr">
        <is>
          <t>Thương lượng</t>
        </is>
      </c>
      <c r="F4697" t="inlineStr">
        <is>
          <t>Hà Nội</t>
        </is>
      </c>
      <c r="G4697" t="inlineStr">
        <is>
          <t>Trưởng phòng</t>
        </is>
      </c>
      <c r="H4697" t="inlineStr">
        <is>
          <t>27/02/2026</t>
        </is>
      </c>
      <c r="I4697" t="inlineStr">
        <is>
          <t>29/03/2026</t>
        </is>
      </c>
      <c r="J4697" t="inlineStr">
        <is>
          <t>17/03/2026</t>
        </is>
      </c>
      <c r="K4697" t="inlineStr">
        <is>
          <t>N/A</t>
        </is>
      </c>
      <c r="L4697" t="inlineStr">
        <is>
          <t>Budget Management, Customer Service, Food and Beverage, Food Safety Regulatory</t>
        </is>
      </c>
      <c r="M4697" t="inlineStr">
        <is>
          <t>Bonus, Healthcare Plan, Travel Opportunities</t>
        </is>
      </c>
      <c r="N4697" s="8">
        <f>HYPERLINK("https://www.vietnamworks.com/food-and-beverage-manager-2015173-jv","Xem chi tiết")</f>
        <v/>
      </c>
    </row>
    <row r="4698">
      <c r="B4698" s="9" t="n">
        <v>4696</v>
      </c>
      <c r="C4698" s="10" t="inlineStr">
        <is>
          <t>Site Controller</t>
        </is>
      </c>
      <c r="D4698" s="10" t="inlineStr">
        <is>
          <t>Givaudan Vietnam Company Limited</t>
        </is>
      </c>
      <c r="E4698" s="10" t="inlineStr">
        <is>
          <t>Thương lượng</t>
        </is>
      </c>
      <c r="F4698" s="10" t="inlineStr">
        <is>
          <t>Bình Dương</t>
        </is>
      </c>
      <c r="G4698" s="10" t="inlineStr">
        <is>
          <t>Nhân viên</t>
        </is>
      </c>
      <c r="H4698" s="10" t="inlineStr">
        <is>
          <t>27/02/2026</t>
        </is>
      </c>
      <c r="I4698" s="10" t="inlineStr">
        <is>
          <t>29/03/2026</t>
        </is>
      </c>
      <c r="J4698" s="10" t="inlineStr">
        <is>
          <t>17/03/2026</t>
        </is>
      </c>
      <c r="K4698" s="10" t="inlineStr">
        <is>
          <t>N/A</t>
        </is>
      </c>
      <c r="L4698" s="10" t="inlineStr">
        <is>
          <t>Financial Analysis, Finance, Cost Accounting, Finance And Cost Control Skills, Costs Management</t>
        </is>
      </c>
      <c r="M4698" s="10" t="inlineStr">
        <is>
          <t>Bonus, Paid Leave, Team Activities</t>
        </is>
      </c>
      <c r="N4698" s="11">
        <f>HYPERLINK("https://www.vietnamworks.com/site-controller--2015177-jv","Xem chi tiết")</f>
        <v/>
      </c>
      <c r="O4698" s="10" t="n"/>
    </row>
    <row r="4699">
      <c r="B4699" s="7" t="n">
        <v>4697</v>
      </c>
      <c r="C4699" t="inlineStr">
        <is>
          <t>Trưởng Phòng Tư Vấn Tài Chính Doanh Nghiệp (IB)</t>
        </is>
      </c>
      <c r="D4699" t="inlineStr">
        <is>
          <t>Công Ty Cổ Phần Chứng Khoán Quốc Gia</t>
        </is>
      </c>
      <c r="E4699" t="inlineStr">
        <is>
          <t>Thương lượng</t>
        </is>
      </c>
      <c r="F4699" t="inlineStr">
        <is>
          <t>Hà Nội</t>
        </is>
      </c>
      <c r="G4699" t="inlineStr">
        <is>
          <t>Trưởng phòng</t>
        </is>
      </c>
      <c r="H4699" t="inlineStr">
        <is>
          <t>27/02/2026</t>
        </is>
      </c>
      <c r="I4699" t="inlineStr">
        <is>
          <t>29/03/2026</t>
        </is>
      </c>
      <c r="J4699" t="inlineStr">
        <is>
          <t>17/03/2026</t>
        </is>
      </c>
      <c r="K4699" t="inlineStr">
        <is>
          <t>N/A</t>
        </is>
      </c>
      <c r="L4699" t="inlineStr">
        <is>
          <t>Môi Giới Chứng Khoán, Chứng Khoán Đầu Tư, Đầu Tư Tài Chính, CFA, Phân Tích Tài Chính</t>
        </is>
      </c>
      <c r="M4699" t="inlineStr">
        <is>
          <t>Bonus, Training, Team Activities</t>
        </is>
      </c>
      <c r="N4699" s="8">
        <f>HYPERLINK("https://www.vietnamworks.com/truong-phong-tu-van-tai-chinh-doanh-nghiep-ib--2015172-jv","Xem chi tiết")</f>
        <v/>
      </c>
    </row>
    <row r="4700">
      <c r="B4700" s="9" t="n">
        <v>4698</v>
      </c>
      <c r="C4700" s="10" t="inlineStr">
        <is>
          <t>Senior Human Resources &amp; General Affairs Manager</t>
        </is>
      </c>
      <c r="D4700" s="10" t="inlineStr">
        <is>
          <t>DENTIUM VIỆT NAM - Chi nhánh Công Ty TNHH BMS VINA tại Hồ Chí Minh</t>
        </is>
      </c>
      <c r="E4700" s="10" t="inlineStr">
        <is>
          <t>Thương lượng</t>
        </is>
      </c>
      <c r="F4700" s="10" t="inlineStr">
        <is>
          <t>Hồ Chí Minh</t>
        </is>
      </c>
      <c r="G4700" s="10" t="inlineStr">
        <is>
          <t>Trưởng phòng</t>
        </is>
      </c>
      <c r="H4700" s="10" t="inlineStr">
        <is>
          <t>27/02/2026</t>
        </is>
      </c>
      <c r="I4700" s="10" t="inlineStr">
        <is>
          <t>29/03/2026</t>
        </is>
      </c>
      <c r="J4700" s="10" t="inlineStr">
        <is>
          <t>17/03/2026</t>
        </is>
      </c>
      <c r="K4700" s="10" t="inlineStr">
        <is>
          <t>N/A</t>
        </is>
      </c>
      <c r="L4700" s="10" t="inlineStr">
        <is>
          <t>Human Resources Management, Government Relation, Negotiation Skills, Conflict Resolution, General Affairs</t>
        </is>
      </c>
      <c r="M4700" s="10" t="inlineStr">
        <is>
          <t>Bonus, Healthcare Plan, Paid Leave, Training, Others</t>
        </is>
      </c>
      <c r="N4700" s="11">
        <f>HYPERLINK("https://www.vietnamworks.com/senior-human-resources-and-general-affairs-manager-2015163-jv","Xem chi tiết")</f>
        <v/>
      </c>
      <c r="O4700" s="10" t="n"/>
    </row>
    <row r="4701">
      <c r="B4701" s="7" t="n">
        <v>4699</v>
      </c>
      <c r="C4701" t="inlineStr">
        <is>
          <t>Biên Tập Viên Thu Nhập Hấp Dẫn</t>
        </is>
      </c>
      <c r="D4701" t="inlineStr">
        <is>
          <t>CÔNG TY TNHH CYCLOPS TECHNOLOGY</t>
        </is>
      </c>
      <c r="E4701" t="inlineStr">
        <is>
          <t>$$ 300-1,000 /tháng</t>
        </is>
      </c>
      <c r="F4701" t="inlineStr">
        <is>
          <t>Hà Nội</t>
        </is>
      </c>
      <c r="G4701" t="inlineStr">
        <is>
          <t>Nhân viên</t>
        </is>
      </c>
      <c r="H4701" t="inlineStr">
        <is>
          <t>27/02/2026</t>
        </is>
      </c>
      <c r="I4701" t="inlineStr">
        <is>
          <t>29/03/2026</t>
        </is>
      </c>
      <c r="J4701" t="inlineStr">
        <is>
          <t>17/03/2026</t>
        </is>
      </c>
      <c r="K4701" t="inlineStr">
        <is>
          <t>N/A</t>
        </is>
      </c>
      <c r="L4701" t="inlineStr">
        <is>
          <t>Biên Tập Nội Dung, Biên Tập, Truyền Thông Báo Chí, Content Creation, Kỹ Năng Viết Kịch Bản</t>
        </is>
      </c>
      <c r="M4701" t="inlineStr">
        <is>
          <t>Bonus, Healthcare Plan, Others</t>
        </is>
      </c>
      <c r="N4701" s="8">
        <f>HYPERLINK("https://www.vietnamworks.com/bien-tap-vien-thu-nhap-hap-dan--2015176-jv","Xem chi tiết")</f>
        <v/>
      </c>
    </row>
    <row r="4702">
      <c r="B4702" s="9" t="n">
        <v>4700</v>
      </c>
      <c r="C4702" s="10" t="inlineStr">
        <is>
          <t>Giám Đốc Quản Lý Chi Phí Và Hợp Đồng (Cost &amp; Contract Director)</t>
        </is>
      </c>
      <c r="D4702" s="10" t="inlineStr">
        <is>
          <t>Trung Thuy Group</t>
        </is>
      </c>
      <c r="E4702" s="10" t="inlineStr">
        <is>
          <t>Thương lượng</t>
        </is>
      </c>
      <c r="F4702" s="10" t="inlineStr">
        <is>
          <t>Hồ Chí Minh</t>
        </is>
      </c>
      <c r="G4702" s="10" t="inlineStr">
        <is>
          <t>Giám Đốc và Cấp Cao Hơn</t>
        </is>
      </c>
      <c r="H4702" s="10" t="inlineStr">
        <is>
          <t>27/02/2026</t>
        </is>
      </c>
      <c r="I4702" s="10" t="inlineStr">
        <is>
          <t>29/03/2026</t>
        </is>
      </c>
      <c r="J4702" s="10" t="inlineStr">
        <is>
          <t>17/03/2026</t>
        </is>
      </c>
      <c r="K4702" s="10" t="inlineStr">
        <is>
          <t>N/A</t>
        </is>
      </c>
      <c r="L4702" s="10" t="inlineStr">
        <is>
          <t>Quản Lý Hợp Đồng, Quản Lý Chi Phí Dự Án, Contract Management, Dự Toán Đấu Thầu Xây Dựng, Cost Contract</t>
        </is>
      </c>
      <c r="M4702" s="10" t="inlineStr">
        <is>
          <t>Healthcare Plan, Canteen</t>
        </is>
      </c>
      <c r="N4702" s="11">
        <f>HYPERLINK("https://www.vietnamworks.com/giam-doc-quan-ly-chi-phi-va-hop-dong-cost-contract-director-2015184-jv","Xem chi tiết")</f>
        <v/>
      </c>
      <c r="O4702" s="10" t="n"/>
    </row>
    <row r="4703">
      <c r="B4703" s="7" t="n">
        <v>4701</v>
      </c>
      <c r="C4703" t="inlineStr">
        <is>
          <t>Phó Phòng Kế Toán</t>
        </is>
      </c>
      <c r="D4703" t="inlineStr">
        <is>
          <t>Công Ty Cổ Phần Tập Đoàn BRG</t>
        </is>
      </c>
      <c r="E4703" t="inlineStr">
        <is>
          <t>Thương lượng</t>
        </is>
      </c>
      <c r="F4703" t="inlineStr">
        <is>
          <t>Hà Nội</t>
        </is>
      </c>
      <c r="G4703" t="inlineStr">
        <is>
          <t>Nhân viên</t>
        </is>
      </c>
      <c r="H4703" t="inlineStr">
        <is>
          <t>27/02/2026</t>
        </is>
      </c>
      <c r="I4703" t="inlineStr">
        <is>
          <t>29/03/2026</t>
        </is>
      </c>
      <c r="J4703" t="inlineStr">
        <is>
          <t>17/03/2026</t>
        </is>
      </c>
      <c r="K4703" t="inlineStr">
        <is>
          <t>N/A</t>
        </is>
      </c>
      <c r="L4703" t="inlineStr">
        <is>
          <t>Báo Cáo Tài Chính Hợp Nhất, Kế Toán, Lập Báo Cáo Quản Trị, Quản Lý Tài Chính</t>
        </is>
      </c>
      <c r="M4703" t="inlineStr">
        <is>
          <t>Bonus, Healthcare Plan, Travel Opportunities</t>
        </is>
      </c>
      <c r="N4703" s="8">
        <f>HYPERLINK("https://www.vietnamworks.com/pho-phong-ke-toan-2015183-jv","Xem chi tiết")</f>
        <v/>
      </c>
    </row>
    <row r="4704">
      <c r="B4704" s="9" t="n">
        <v>4702</v>
      </c>
      <c r="C4704" s="10" t="inlineStr">
        <is>
          <t>[Cầu Giấy] Sales Executives - Chuyên Viên Kinh Doanh Tiếng Anh</t>
        </is>
      </c>
      <c r="D4704" s="10" t="inlineStr">
        <is>
          <t>Công Ty TNHH Công Nghiệp Fullwei Việt Nam</t>
        </is>
      </c>
      <c r="E4704" s="10" t="inlineStr">
        <is>
          <t>Thương lượng</t>
        </is>
      </c>
      <c r="F4704" s="10" t="inlineStr">
        <is>
          <t>Hà Nội</t>
        </is>
      </c>
      <c r="G4704" s="10" t="inlineStr">
        <is>
          <t>Nhân viên</t>
        </is>
      </c>
      <c r="H4704" s="10" t="inlineStr">
        <is>
          <t>27/02/2026</t>
        </is>
      </c>
      <c r="I4704" s="10" t="inlineStr">
        <is>
          <t>29/03/2026</t>
        </is>
      </c>
      <c r="J4704" s="10" t="inlineStr">
        <is>
          <t>17/03/2026</t>
        </is>
      </c>
      <c r="K4704" s="10" t="inlineStr">
        <is>
          <t>N/A</t>
        </is>
      </c>
      <c r="L4704" s="10" t="inlineStr">
        <is>
          <t>Kinh Doanh B2B, Sales, Sales &amp; Business Development</t>
        </is>
      </c>
      <c r="M4704" s="10" t="inlineStr">
        <is>
          <t>Bonus, Healthcare Plan, Paid Leave, Travel Opportunities, Team Activities, Others</t>
        </is>
      </c>
      <c r="N4704" s="11">
        <f>HYPERLINK("https://www.vietnamworks.com/cau-giay-sales-executives-chuyen-vien-kinh-doanh-tieng-anh-2015164-jv","Xem chi tiết")</f>
        <v/>
      </c>
      <c r="O4704" s="10" t="n"/>
    </row>
    <row r="4705">
      <c r="B4705" s="7" t="n">
        <v>4703</v>
      </c>
      <c r="C4705" t="inlineStr">
        <is>
          <t>Sale Office Administrator</t>
        </is>
      </c>
      <c r="D4705" t="inlineStr">
        <is>
          <t>Kinderworld International Group (Singapore International School)</t>
        </is>
      </c>
      <c r="E4705" t="inlineStr">
        <is>
          <t>13tr-14tr ₫/tháng</t>
        </is>
      </c>
      <c r="F4705" t="inlineStr">
        <is>
          <t>Hồ Chí Minh</t>
        </is>
      </c>
      <c r="G4705" t="inlineStr">
        <is>
          <t>Nhân viên</t>
        </is>
      </c>
      <c r="H4705" t="inlineStr">
        <is>
          <t>27/02/2026</t>
        </is>
      </c>
      <c r="I4705" t="inlineStr">
        <is>
          <t>29/03/2026</t>
        </is>
      </c>
      <c r="J4705" t="inlineStr">
        <is>
          <t>17/03/2026</t>
        </is>
      </c>
      <c r="K4705" t="inlineStr">
        <is>
          <t>N/A</t>
        </is>
      </c>
      <c r="L4705" t="inlineStr">
        <is>
          <t>Administrative Support, Communication Skills, Customer Service, Inventory Management, Organizational skills</t>
        </is>
      </c>
      <c r="M4705" t="inlineStr">
        <is>
          <t>Others</t>
        </is>
      </c>
      <c r="N4705" s="8">
        <f>HYPERLINK("https://www.vietnamworks.com/sale-office-administrator-2015168-jv","Xem chi tiết")</f>
        <v/>
      </c>
    </row>
    <row r="4706">
      <c r="B4706" s="9" t="n">
        <v>4704</v>
      </c>
      <c r="C4706" s="10" t="inlineStr">
        <is>
          <t>Trưởng Nhóm Dịch Vụ &amp; Chăm Sóc Khách Hàng (Tiếng Trung)</t>
        </is>
      </c>
      <c r="D4706" s="10" t="inlineStr">
        <is>
          <t>Tổng Công Ty Đầu Tư FECON</t>
        </is>
      </c>
      <c r="E4706" s="10" t="inlineStr">
        <is>
          <t>Thương lượng</t>
        </is>
      </c>
      <c r="F4706" s="10" t="inlineStr">
        <is>
          <t>Hà Nội</t>
        </is>
      </c>
      <c r="G4706" s="10" t="inlineStr">
        <is>
          <t>Nhân viên</t>
        </is>
      </c>
      <c r="H4706" s="10" t="inlineStr">
        <is>
          <t>27/02/2026</t>
        </is>
      </c>
      <c r="I4706" s="10" t="inlineStr">
        <is>
          <t>29/03/2026</t>
        </is>
      </c>
      <c r="J4706" s="10" t="inlineStr">
        <is>
          <t>17/03/2026</t>
        </is>
      </c>
      <c r="K4706" s="10" t="inlineStr">
        <is>
          <t>N/A</t>
        </is>
      </c>
      <c r="L4706" s="10" t="inlineStr">
        <is>
          <t>Phân Tích Tài Chính, Quản Lý Tài Chính, Tài Chính Doanh Nghiệp, Tài Chính Kinh Tế, Tài Chính Đầu Tư</t>
        </is>
      </c>
      <c r="M4706" s="10" t="inlineStr">
        <is>
          <t>Bonus, Healthcare Plan, Training</t>
        </is>
      </c>
      <c r="N4706" s="11">
        <f>HYPERLINK("https://www.vietnamworks.com/truong-nhom-dich-vu-and-cham-soc-khach-hang-tieng-trung-2015175-jv","Xem chi tiết")</f>
        <v/>
      </c>
      <c r="O4706" s="10" t="n"/>
    </row>
    <row r="4707">
      <c r="B4707" s="7" t="n">
        <v>4705</v>
      </c>
      <c r="C4707" t="inlineStr">
        <is>
          <t>Senior Officer Purchasing/ Trưởng Nhóm Thu Mua</t>
        </is>
      </c>
      <c r="D4707" t="inlineStr">
        <is>
          <t>Crystal Martin (Vietnam) Company Limited</t>
        </is>
      </c>
      <c r="E4707" t="inlineStr">
        <is>
          <t>Thương lượng</t>
        </is>
      </c>
      <c r="F4707" t="inlineStr">
        <is>
          <t>Bắc Ninh, Bắc Giang, Hà Nội</t>
        </is>
      </c>
      <c r="G4707" t="inlineStr">
        <is>
          <t>Nhân viên</t>
        </is>
      </c>
      <c r="H4707" t="inlineStr">
        <is>
          <t>27/02/2026</t>
        </is>
      </c>
      <c r="I4707" t="inlineStr">
        <is>
          <t>29/03/2026</t>
        </is>
      </c>
      <c r="J4707" t="inlineStr">
        <is>
          <t>17/03/2026</t>
        </is>
      </c>
      <c r="K4707" t="inlineStr">
        <is>
          <t>N/A</t>
        </is>
      </c>
      <c r="L4707" t="inlineStr">
        <is>
          <t>Garment, Material Handling, Planning, Communication, English</t>
        </is>
      </c>
      <c r="M4707" t="inlineStr">
        <is>
          <t>Bonus, Transportation, Canteen</t>
        </is>
      </c>
      <c r="N4707" s="8">
        <f>HYPERLINK("https://www.vietnamworks.com/senior-officer-purchasing-truong-nhom-thu-mua--2015179-jv","Xem chi tiết")</f>
        <v/>
      </c>
    </row>
    <row r="4708">
      <c r="B4708" s="9" t="n">
        <v>4706</v>
      </c>
      <c r="C4708" s="10" t="inlineStr">
        <is>
          <t>Legal Senior Specialist</t>
        </is>
      </c>
      <c r="D4708" s="10" t="inlineStr">
        <is>
          <t>CJ CGV Vietnam</t>
        </is>
      </c>
      <c r="E4708" s="10" t="inlineStr">
        <is>
          <t>Thương lượng</t>
        </is>
      </c>
      <c r="F4708" s="10" t="inlineStr">
        <is>
          <t>Hồ Chí Minh</t>
        </is>
      </c>
      <c r="G4708" s="10" t="inlineStr">
        <is>
          <t>Nhân viên</t>
        </is>
      </c>
      <c r="H4708" s="10" t="inlineStr">
        <is>
          <t>27/02/2026</t>
        </is>
      </c>
      <c r="I4708" s="10" t="inlineStr">
        <is>
          <t>29/03/2026</t>
        </is>
      </c>
      <c r="J4708" s="10" t="inlineStr">
        <is>
          <t>17/03/2026</t>
        </is>
      </c>
      <c r="K4708" s="10" t="inlineStr">
        <is>
          <t>N/A</t>
        </is>
      </c>
      <c r="L4708" s="10" t="inlineStr">
        <is>
          <t>Legal, Law Firms</t>
        </is>
      </c>
      <c r="M4708" s="10" t="inlineStr">
        <is>
          <t>Bonus, Vouchers, Others</t>
        </is>
      </c>
      <c r="N4708" s="11">
        <f>HYPERLINK("https://www.vietnamworks.com/legal-senior-specialist--2015181-jv","Xem chi tiết")</f>
        <v/>
      </c>
      <c r="O4708" s="10" t="n"/>
    </row>
    <row r="4709">
      <c r="B4709" s="7" t="n">
        <v>4707</v>
      </c>
      <c r="C4709" t="inlineStr">
        <is>
          <t>International Sales Specialist - China Market</t>
        </is>
      </c>
      <c r="D4709" t="inlineStr">
        <is>
          <t>Công Ty Cổ Phần ACECOOK Việt Nam</t>
        </is>
      </c>
      <c r="E4709" t="inlineStr">
        <is>
          <t>Thương lượng</t>
        </is>
      </c>
      <c r="F4709" t="inlineStr">
        <is>
          <t>Hồ Chí Minh</t>
        </is>
      </c>
      <c r="G4709" t="inlineStr">
        <is>
          <t>Nhân viên</t>
        </is>
      </c>
      <c r="H4709" t="inlineStr">
        <is>
          <t>27/02/2026</t>
        </is>
      </c>
      <c r="I4709" t="inlineStr">
        <is>
          <t>29/03/2026</t>
        </is>
      </c>
      <c r="J4709" t="inlineStr">
        <is>
          <t>17/03/2026</t>
        </is>
      </c>
      <c r="K4709" t="inlineStr">
        <is>
          <t>N/A</t>
        </is>
      </c>
      <c r="L4709" t="inlineStr">
        <is>
          <t>Basic Chinese, Communication, Contract Negotiation, Market Analysis, Sales Strategy</t>
        </is>
      </c>
      <c r="M4709" t="inlineStr">
        <is>
          <t>Bonus, Healthcare Plan, Training, Others</t>
        </is>
      </c>
      <c r="N4709" s="8">
        <f>HYPERLINK("https://www.vietnamworks.com/international-sales-specialist-china-market-2015185-jv","Xem chi tiết")</f>
        <v/>
      </c>
    </row>
    <row r="4710">
      <c r="B4710" s="9" t="n">
        <v>4708</v>
      </c>
      <c r="C4710" s="10" t="inlineStr">
        <is>
          <t>Trưởng Bộ Phận Kinh Doanh Golf - Hà Nam</t>
        </is>
      </c>
      <c r="D4710" s="10" t="inlineStr">
        <is>
          <t>Công Ty Cổ Phần Tập Đoàn BRG</t>
        </is>
      </c>
      <c r="E4710" s="10" t="inlineStr">
        <is>
          <t>Thương lượng</t>
        </is>
      </c>
      <c r="F4710" s="10" t="inlineStr">
        <is>
          <t>Hà Nam</t>
        </is>
      </c>
      <c r="G4710" s="10" t="inlineStr">
        <is>
          <t>Trưởng phòng</t>
        </is>
      </c>
      <c r="H4710" s="10" t="inlineStr">
        <is>
          <t>27/02/2026</t>
        </is>
      </c>
      <c r="I4710" s="10" t="inlineStr">
        <is>
          <t>29/03/2026</t>
        </is>
      </c>
      <c r="J4710" s="10" t="inlineStr">
        <is>
          <t>17/03/2026</t>
        </is>
      </c>
      <c r="K4710" s="10" t="inlineStr">
        <is>
          <t>N/A</t>
        </is>
      </c>
      <c r="L4710" s="10" t="inlineStr">
        <is>
          <t>Golf Management, Lập Kế Hoạch, Quản Trị Đội Ngũ, Sales, Đàm Phán</t>
        </is>
      </c>
      <c r="M4710" s="10" t="inlineStr">
        <is>
          <t>Bonus, Healthcare Plan, Travel Opportunities</t>
        </is>
      </c>
      <c r="N4710" s="11">
        <f>HYPERLINK("https://www.vietnamworks.com/truong-bo-phan-kinh-doanh-golf-ha-nam-2015191-jv","Xem chi tiết")</f>
        <v/>
      </c>
      <c r="O4710" s="10" t="n"/>
    </row>
    <row r="4711">
      <c r="B4711" s="7" t="n">
        <v>4709</v>
      </c>
      <c r="C4711" t="inlineStr">
        <is>
          <t>Nhân Viên Kế Toán Thuế - Tax Accountant</t>
        </is>
      </c>
      <c r="D4711" t="inlineStr">
        <is>
          <t>CTY CP TMDV THÉP HÒA PHÁT LONG AN</t>
        </is>
      </c>
      <c r="E4711" t="inlineStr">
        <is>
          <t>Thương lượng</t>
        </is>
      </c>
      <c r="F4711" t="inlineStr">
        <is>
          <t>Hồ Chí Minh</t>
        </is>
      </c>
      <c r="G4711" t="inlineStr">
        <is>
          <t>Nhân viên</t>
        </is>
      </c>
      <c r="H4711" t="inlineStr">
        <is>
          <t>27/02/2026</t>
        </is>
      </c>
      <c r="I4711" t="inlineStr">
        <is>
          <t>29/03/2026</t>
        </is>
      </c>
      <c r="J4711" t="inlineStr">
        <is>
          <t>17/03/2026</t>
        </is>
      </c>
      <c r="K4711" t="inlineStr">
        <is>
          <t>N/A</t>
        </is>
      </c>
      <c r="L4711" t="inlineStr">
        <is>
          <t>Kế Toán, Kiểm toán, Kế Toán Thuế, Chứng Từ Kế Toán, Tax Accountant</t>
        </is>
      </c>
      <c r="M4711" t="inlineStr">
        <is>
          <t>Bonus, Healthcare Plan, Paid Leave</t>
        </is>
      </c>
      <c r="N4711" s="8">
        <f>HYPERLINK("https://www.vietnamworks.com/nhan-vien-ke-toan-thue-tax-accountant--2015187-jv","Xem chi tiết")</f>
        <v/>
      </c>
    </row>
    <row r="4712">
      <c r="B4712" s="9" t="n">
        <v>4710</v>
      </c>
      <c r="C4712" s="10" t="inlineStr">
        <is>
          <t>QA Manager Phòng Mẫu</t>
        </is>
      </c>
      <c r="D4712" s="10" t="inlineStr">
        <is>
          <t>VĂN PHÒNG ĐẠI DIỆN VIETTHINH KOREA CO.,LTD. TẠI THÀNH PHỐ HỒ CHÍ MINH</t>
        </is>
      </c>
      <c r="E4712" s="10" t="inlineStr">
        <is>
          <t>25tr-35tr ₫/tháng</t>
        </is>
      </c>
      <c r="F4712" s="10" t="inlineStr">
        <is>
          <t>Hồ Chí Minh</t>
        </is>
      </c>
      <c r="G4712" s="10" t="inlineStr">
        <is>
          <t>Trưởng phòng</t>
        </is>
      </c>
      <c r="H4712" s="10" t="inlineStr">
        <is>
          <t>27/02/2026</t>
        </is>
      </c>
      <c r="I4712" s="10" t="inlineStr">
        <is>
          <t>29/03/2026</t>
        </is>
      </c>
      <c r="J4712" s="10" t="inlineStr">
        <is>
          <t>17/03/2026</t>
        </is>
      </c>
      <c r="K4712" s="10" t="inlineStr">
        <is>
          <t>N/A</t>
        </is>
      </c>
      <c r="L4712" s="10" t="inlineStr">
        <is>
          <t>Tiếng Hàn, May Mặc, QA experience, Kiểm Tra Chất Lượng, Giám Sát Chất Lượng Sản Xuất</t>
        </is>
      </c>
      <c r="M4712" s="10" t="inlineStr">
        <is>
          <t>Healthcare Plan</t>
        </is>
      </c>
      <c r="N4712" s="11">
        <f>HYPERLINK("https://www.vietnamworks.com/qa-manager-phong-mau-2015186-jv","Xem chi tiết")</f>
        <v/>
      </c>
      <c r="O4712" s="10" t="n"/>
    </row>
    <row r="4713">
      <c r="B4713" s="7" t="n">
        <v>4711</v>
      </c>
      <c r="C4713" t="inlineStr">
        <is>
          <t>Chuyên Viên Hành Chính Nhân Sự</t>
        </is>
      </c>
      <c r="D4713" t="inlineStr">
        <is>
          <t>Công ty TNHH Triệu Quốc Đạt</t>
        </is>
      </c>
      <c r="E4713" t="inlineStr">
        <is>
          <t>9tr-10tr ₫/tháng</t>
        </is>
      </c>
      <c r="F4713" t="inlineStr">
        <is>
          <t>Hà Nội</t>
        </is>
      </c>
      <c r="G4713" t="inlineStr">
        <is>
          <t>Nhân viên</t>
        </is>
      </c>
      <c r="H4713" t="inlineStr">
        <is>
          <t>27/02/2026</t>
        </is>
      </c>
      <c r="I4713" t="inlineStr">
        <is>
          <t>29/03/2026</t>
        </is>
      </c>
      <c r="J4713" t="inlineStr">
        <is>
          <t>17/03/2026</t>
        </is>
      </c>
      <c r="K4713" t="inlineStr">
        <is>
          <t>N/A</t>
        </is>
      </c>
      <c r="L4713" t="inlineStr">
        <is>
          <t>Tuyển Dụng, Hành Chính Nhân Sự, Kiểm Kê Tài Sản, Quản Trị Nhân Sự, Internal Events</t>
        </is>
      </c>
      <c r="M4713" t="inlineStr">
        <is>
          <t>Bonus, Healthcare Plan, Paid Leave</t>
        </is>
      </c>
      <c r="N4713" s="8">
        <f>HYPERLINK("https://www.vietnamworks.com/chuyen-vien-hanh-chinh-nhan-su--2015201-jv","Xem chi tiết")</f>
        <v/>
      </c>
    </row>
    <row r="4714">
      <c r="B4714" s="9" t="n">
        <v>4712</v>
      </c>
      <c r="C4714" s="10" t="inlineStr">
        <is>
          <t>Vietnam Business Development Manager</t>
        </is>
      </c>
      <c r="D4714" s="10" t="inlineStr">
        <is>
          <t>Atixis</t>
        </is>
      </c>
      <c r="E4714" s="10" t="inlineStr">
        <is>
          <t>Thương lượng</t>
        </is>
      </c>
      <c r="F4714" s="10" t="inlineStr">
        <is>
          <t>Hồ Chí Minh</t>
        </is>
      </c>
      <c r="G4714" s="10" t="inlineStr">
        <is>
          <t>Trưởng phòng</t>
        </is>
      </c>
      <c r="H4714" s="10" t="inlineStr">
        <is>
          <t>27/02/2026</t>
        </is>
      </c>
      <c r="I4714" s="10" t="inlineStr">
        <is>
          <t>29/03/2026</t>
        </is>
      </c>
      <c r="J4714" s="10" t="inlineStr">
        <is>
          <t>17/03/2026</t>
        </is>
      </c>
      <c r="K4714" s="10" t="inlineStr">
        <is>
          <t>N/A</t>
        </is>
      </c>
      <c r="L4714" s="10" t="inlineStr">
        <is>
          <t>Bidding management, Sales Management, Business Development, Communication Skills, B2B Business Development</t>
        </is>
      </c>
      <c r="M4714" s="10" t="inlineStr">
        <is>
          <t>Bonus, Healthcare Plan, Paid Leave</t>
        </is>
      </c>
      <c r="N4714" s="11">
        <f>HYPERLINK("https://www.vietnamworks.com/vietnam-business-development-manager--2015200-jv","Xem chi tiết")</f>
        <v/>
      </c>
      <c r="O4714" s="10" t="n"/>
    </row>
    <row r="4715">
      <c r="B4715" s="7" t="n">
        <v>4713</v>
      </c>
      <c r="C4715" t="inlineStr">
        <is>
          <t>Trưởng Nhóm Đấu Thầu Xây Dựng/ Cơ Điện</t>
        </is>
      </c>
      <c r="D4715" t="inlineStr">
        <is>
          <t>Công Ty Cổ Phần Tập Đoàn BRG</t>
        </is>
      </c>
      <c r="E4715" t="inlineStr">
        <is>
          <t>Thương lượng</t>
        </is>
      </c>
      <c r="F4715" t="inlineStr">
        <is>
          <t>Hà Nội</t>
        </is>
      </c>
      <c r="G4715" t="inlineStr">
        <is>
          <t>Trưởng phòng</t>
        </is>
      </c>
      <c r="H4715" t="inlineStr">
        <is>
          <t>27/02/2026</t>
        </is>
      </c>
      <c r="I4715" t="inlineStr">
        <is>
          <t>29/03/2026</t>
        </is>
      </c>
      <c r="J4715" t="inlineStr">
        <is>
          <t>17/03/2026</t>
        </is>
      </c>
      <c r="K4715" t="inlineStr">
        <is>
          <t>N/A</t>
        </is>
      </c>
      <c r="L4715" t="inlineStr">
        <is>
          <t>Kinh Tế Xây Dựng, Quản Lý Dự Án, Đấu Thầu, MEP, Đấu thầu &amp; hợp đồng</t>
        </is>
      </c>
      <c r="M4715" t="inlineStr">
        <is>
          <t>Bonus, Healthcare Plan, Travel Opportunities</t>
        </is>
      </c>
      <c r="N4715" s="8">
        <f>HYPERLINK("https://www.vietnamworks.com/truong-nhom-djau-thau-xay-dung-co-djien-2015203-jv","Xem chi tiết")</f>
        <v/>
      </c>
    </row>
    <row r="4716">
      <c r="B4716" s="9" t="n">
        <v>4714</v>
      </c>
      <c r="C4716" s="10" t="inlineStr">
        <is>
          <t>Chuyên Viên Phân Tích Nghiệp Vụ (Mảng Tài Chính – Đầu Tư)</t>
        </is>
      </c>
      <c r="D4716" s="10" t="inlineStr">
        <is>
          <t>CÔNG TY CỔ PHẦN CAPELLA GROUP</t>
        </is>
      </c>
      <c r="E4716" s="10" t="inlineStr">
        <is>
          <t>Thương lượng</t>
        </is>
      </c>
      <c r="F4716" s="10" t="inlineStr">
        <is>
          <t>Hà Nội</t>
        </is>
      </c>
      <c r="G4716" s="10" t="inlineStr">
        <is>
          <t>Nhân viên</t>
        </is>
      </c>
      <c r="H4716" s="10" t="inlineStr">
        <is>
          <t>27/02/2026</t>
        </is>
      </c>
      <c r="I4716" s="10" t="inlineStr">
        <is>
          <t>29/03/2026</t>
        </is>
      </c>
      <c r="J4716" s="10" t="inlineStr">
        <is>
          <t>17/03/2026</t>
        </is>
      </c>
      <c r="K4716" s="10" t="inlineStr">
        <is>
          <t>N/A</t>
        </is>
      </c>
      <c r="L4716" s="10" t="inlineStr">
        <is>
          <t>BPMN Process Analysis, IT Business Analyst, Phân Tích Nghiệp Vụ, Phân Tích Nghiệp Vụ Tài Chính, Business Analysis</t>
        </is>
      </c>
      <c r="M4716" s="10" t="inlineStr">
        <is>
          <t>Bonus, Healthcare Plan, Paid Leave, Training, Laptop, Mobile, Travel Opportunities, Canteen</t>
        </is>
      </c>
      <c r="N4716" s="11">
        <f>HYPERLINK("https://www.vietnamworks.com/chuyen-vien-phan-tich-nghiep-vu-mang-tai-chinh-djau-tu-2015210-jv","Xem chi tiết")</f>
        <v/>
      </c>
      <c r="O4716" s="10" t="n"/>
    </row>
    <row r="4717">
      <c r="B4717" s="7" t="n">
        <v>4715</v>
      </c>
      <c r="C4717" t="inlineStr">
        <is>
          <t>Field Service Engineer</t>
        </is>
      </c>
      <c r="D4717" t="inlineStr">
        <is>
          <t>Công Ty TNHH ARKRAY Việt Nam</t>
        </is>
      </c>
      <c r="E4717" t="inlineStr">
        <is>
          <t>Thương lượng</t>
        </is>
      </c>
      <c r="F4717" t="inlineStr">
        <is>
          <t>Hà Nội</t>
        </is>
      </c>
      <c r="G4717" t="inlineStr">
        <is>
          <t>Nhân viên</t>
        </is>
      </c>
      <c r="H4717" t="inlineStr">
        <is>
          <t>27/02/2026</t>
        </is>
      </c>
      <c r="I4717" t="inlineStr">
        <is>
          <t>29/03/2026</t>
        </is>
      </c>
      <c r="J4717" t="inlineStr">
        <is>
          <t>17/03/2026</t>
        </is>
      </c>
      <c r="K4717" t="inlineStr">
        <is>
          <t>N/A</t>
        </is>
      </c>
      <c r="L4717" t="inlineStr">
        <is>
          <t>Customer Service, Medical Equipment, Device Installation, English, Troubleshooting Skills</t>
        </is>
      </c>
      <c r="M4717" t="inlineStr">
        <is>
          <t>Training, Laptop, Mobile, Transportation, Others</t>
        </is>
      </c>
      <c r="N4717" s="8">
        <f>HYPERLINK("https://www.vietnamworks.com/field-service-engineer-2015213-jv","Xem chi tiết")</f>
        <v/>
      </c>
    </row>
    <row r="4718">
      <c r="B4718" s="9" t="n">
        <v>4716</v>
      </c>
      <c r="C4718" s="10" t="inlineStr">
        <is>
          <t>Nhân Viên Phòng Kỹ Thuật Sản Xuất (PE)</t>
        </is>
      </c>
      <c r="D4718" s="10" t="inlineStr">
        <is>
          <t>Công Ty TNHH DENSO Việt Nam</t>
        </is>
      </c>
      <c r="E4718" s="10" t="inlineStr">
        <is>
          <t>Thương lượng</t>
        </is>
      </c>
      <c r="F4718" s="10" t="inlineStr">
        <is>
          <t>Hà Nội</t>
        </is>
      </c>
      <c r="G4718" s="10" t="inlineStr">
        <is>
          <t>Nhân viên</t>
        </is>
      </c>
      <c r="H4718" s="10" t="inlineStr">
        <is>
          <t>27/02/2026</t>
        </is>
      </c>
      <c r="I4718" s="10" t="inlineStr">
        <is>
          <t>29/03/2026</t>
        </is>
      </c>
      <c r="J4718" s="10" t="inlineStr">
        <is>
          <t>17/03/2026</t>
        </is>
      </c>
      <c r="K4718" s="10" t="inlineStr">
        <is>
          <t>N/A</t>
        </is>
      </c>
      <c r="L4718" s="10" t="inlineStr">
        <is>
          <t>Kỹ Thuật Cơ Khí, Cơ Khí, Kỹ Thuật Sản Xuất, Tự Động Hóa, Cơ Điện Tử</t>
        </is>
      </c>
      <c r="M4718" s="10" t="inlineStr">
        <is>
          <t>Bonus, Healthcare Plan, Transportation</t>
        </is>
      </c>
      <c r="N4718" s="11">
        <f>HYPERLINK("https://www.vietnamworks.com/nhan-vien-phong-ky-thuat-san-xuat-pe--2015216-jv","Xem chi tiết")</f>
        <v/>
      </c>
      <c r="O4718" s="10" t="n"/>
    </row>
    <row r="4719">
      <c r="B4719" s="7" t="n">
        <v>4717</v>
      </c>
      <c r="C4719" t="inlineStr">
        <is>
          <t>Head of Resin Section - Chemical Manufacturing</t>
        </is>
      </c>
      <c r="D4719" t="inlineStr">
        <is>
          <t>Vina Eco Board Co., Ltd - Sumitomo Forestry Group</t>
        </is>
      </c>
      <c r="E4719" t="inlineStr">
        <is>
          <t>Thương lượng</t>
        </is>
      </c>
      <c r="F4719" t="inlineStr">
        <is>
          <t>Long An</t>
        </is>
      </c>
      <c r="G4719" t="inlineStr">
        <is>
          <t>Trưởng phòng</t>
        </is>
      </c>
      <c r="H4719" t="inlineStr">
        <is>
          <t>27/02/2026</t>
        </is>
      </c>
      <c r="I4719" t="inlineStr">
        <is>
          <t>29/03/2026</t>
        </is>
      </c>
      <c r="J4719" t="inlineStr">
        <is>
          <t>17/03/2026</t>
        </is>
      </c>
      <c r="K4719" t="inlineStr">
        <is>
          <t>N/A</t>
        </is>
      </c>
      <c r="L4719" t="inlineStr">
        <is>
          <t>Chemical Engineering, Quality Control, Manufacturing, Manufacturing Engineering, Resin Injections</t>
        </is>
      </c>
      <c r="M4719" t="inlineStr">
        <is>
          <t>Bonus, Healthcare Plan, Transportation</t>
        </is>
      </c>
      <c r="N4719" s="8">
        <f>HYPERLINK("https://www.vietnamworks.com/head-of-resin-section-chemical-manufacturing-2015193-jv","Xem chi tiết")</f>
        <v/>
      </c>
    </row>
    <row r="4720">
      <c r="B4720" s="9" t="n">
        <v>4718</v>
      </c>
      <c r="C4720" s="10" t="inlineStr">
        <is>
          <t>Channel Development Manager - Omnichannel Seller</t>
        </is>
      </c>
      <c r="D4720" s="10" t="inlineStr">
        <is>
          <t>Abbott</t>
        </is>
      </c>
      <c r="E4720" s="10" t="inlineStr">
        <is>
          <t>Thương lượng</t>
        </is>
      </c>
      <c r="F4720" s="10" t="inlineStr">
        <is>
          <t>Hồ Chí Minh</t>
        </is>
      </c>
      <c r="G4720" s="10" t="inlineStr">
        <is>
          <t>Trưởng phòng</t>
        </is>
      </c>
      <c r="H4720" s="10" t="inlineStr">
        <is>
          <t>27/02/2026</t>
        </is>
      </c>
      <c r="I4720" s="10" t="inlineStr">
        <is>
          <t>29/03/2026</t>
        </is>
      </c>
      <c r="J4720" s="10" t="inlineStr">
        <is>
          <t>17/03/2026</t>
        </is>
      </c>
      <c r="K4720" s="10" t="inlineStr">
        <is>
          <t>N/A</t>
        </is>
      </c>
      <c r="L4720" s="10" t="inlineStr">
        <is>
          <t>Partnership Development, Commercial</t>
        </is>
      </c>
      <c r="M4720" s="10" t="inlineStr">
        <is>
          <t>Bonus, Healthcare Plan, Training</t>
        </is>
      </c>
      <c r="N4720" s="11">
        <f>HYPERLINK("https://www.vietnamworks.com/channel-development-manager-omnichannel-seller--2015192-jv","Xem chi tiết")</f>
        <v/>
      </c>
      <c r="O4720" s="10" t="n"/>
    </row>
    <row r="4721">
      <c r="B4721" s="7" t="n">
        <v>4719</v>
      </c>
      <c r="C4721" t="inlineStr">
        <is>
          <t>Chuyên Viên Tư Vấn và Chăm Sóc Học Viên</t>
        </is>
      </c>
      <c r="D4721" t="inlineStr">
        <is>
          <t>Học viện Anh ngữ Oxford</t>
        </is>
      </c>
      <c r="E4721" t="inlineStr">
        <is>
          <t>$$ 10tr-18tr /tháng</t>
        </is>
      </c>
      <c r="F4721" t="inlineStr">
        <is>
          <t>Hà Nội</t>
        </is>
      </c>
      <c r="G4721" t="inlineStr">
        <is>
          <t>Nhân viên</t>
        </is>
      </c>
      <c r="H4721" t="inlineStr">
        <is>
          <t>27/02/2026</t>
        </is>
      </c>
      <c r="I4721" t="inlineStr">
        <is>
          <t>29/03/2026</t>
        </is>
      </c>
      <c r="J4721" t="inlineStr">
        <is>
          <t>17/03/2026</t>
        </is>
      </c>
      <c r="K4721" t="inlineStr">
        <is>
          <t>N/A</t>
        </is>
      </c>
      <c r="L4721" t="inlineStr">
        <is>
          <t>Customer Service, English Communication, Giáo dục, Tư Vấn Khóa Học, Tư Vấn Tuyển Sinh</t>
        </is>
      </c>
      <c r="M4721" t="inlineStr">
        <is>
          <t>Healthcare Plan, Training, Others</t>
        </is>
      </c>
      <c r="N4721" s="8">
        <f>HYPERLINK("https://www.vietnamworks.com/chuyen-vien-tu-van-va-cham-soc-hoc-vien-2015214-jv","Xem chi tiết")</f>
        <v/>
      </c>
    </row>
    <row r="4722">
      <c r="B4722" s="9" t="n">
        <v>4720</v>
      </c>
      <c r="C4722" s="10" t="inlineStr">
        <is>
          <t>Tuyển Gấp Nhân Sự Tuyển Dụng - Quản Lý Kỹ Sư</t>
        </is>
      </c>
      <c r="D4722" s="10" t="inlineStr">
        <is>
          <t>Công Ty TNHH R Techno Việt Nam</t>
        </is>
      </c>
      <c r="E4722" s="10" t="inlineStr">
        <is>
          <t>Từ 13.8tr ₫/tháng</t>
        </is>
      </c>
      <c r="F4722" s="10" t="inlineStr">
        <is>
          <t>Hồ Chí Minh</t>
        </is>
      </c>
      <c r="G4722" s="10" t="inlineStr">
        <is>
          <t>Nhân viên</t>
        </is>
      </c>
      <c r="H4722" s="10" t="inlineStr">
        <is>
          <t>27/02/2026</t>
        </is>
      </c>
      <c r="I4722" s="10" t="inlineStr">
        <is>
          <t>29/03/2026</t>
        </is>
      </c>
      <c r="J4722" s="10" t="inlineStr">
        <is>
          <t>17/03/2026</t>
        </is>
      </c>
      <c r="K4722" s="10" t="inlineStr">
        <is>
          <t>N/A</t>
        </is>
      </c>
      <c r="L4722" s="10" t="inlineStr">
        <is>
          <t>Tiếng Nhật N3</t>
        </is>
      </c>
      <c r="M4722" s="10" t="inlineStr">
        <is>
          <t>Bonus, Healthcare Plan, Paid Leave</t>
        </is>
      </c>
      <c r="N4722" s="11">
        <f>HYPERLINK("https://www.vietnamworks.com/tuyen-gap-nhan-su-tuyen-dung-quan-ly-ky-su-2015209-jv","Xem chi tiết")</f>
        <v/>
      </c>
      <c r="O4722" s="10" t="n"/>
    </row>
    <row r="4723">
      <c r="B4723" s="7" t="n">
        <v>4721</v>
      </c>
      <c r="C4723" t="inlineStr">
        <is>
          <t>Kế Toán Trưởng</t>
        </is>
      </c>
      <c r="D4723" t="inlineStr">
        <is>
          <t>Công ty TNHH SX&amp;TM Minh Ngọc</t>
        </is>
      </c>
      <c r="E4723" t="inlineStr">
        <is>
          <t>25tr-35tr ₫/tháng</t>
        </is>
      </c>
      <c r="F4723" t="inlineStr">
        <is>
          <t>Hà Nội</t>
        </is>
      </c>
      <c r="G4723" t="inlineStr">
        <is>
          <t>Nhân viên</t>
        </is>
      </c>
      <c r="H4723" t="inlineStr">
        <is>
          <t>27/02/2026</t>
        </is>
      </c>
      <c r="I4723" t="inlineStr">
        <is>
          <t>29/03/2026</t>
        </is>
      </c>
      <c r="J4723" t="inlineStr">
        <is>
          <t>17/03/2026</t>
        </is>
      </c>
      <c r="K4723" t="inlineStr">
        <is>
          <t>N/A</t>
        </is>
      </c>
      <c r="L4723" t="inlineStr">
        <is>
          <t>Kế Toán, Kiểm Toán, Tài Chính Doanh Nghiệp, Tài Chính Kế Toán, kế toán trưởng</t>
        </is>
      </c>
      <c r="M4723" t="inlineStr">
        <is>
          <t>Bonus, Healthcare Plan, Paid Leave, Training, Others</t>
        </is>
      </c>
      <c r="N4723" s="8">
        <f>HYPERLINK("https://www.vietnamworks.com/ke-toan-truong-2015188-jv","Xem chi tiết")</f>
        <v/>
      </c>
    </row>
    <row r="4724">
      <c r="B4724" s="9" t="n">
        <v>4722</v>
      </c>
      <c r="C4724" s="10" t="inlineStr">
        <is>
          <t>Nhân Viên Nghiệp Vụ Tiếng Nhật (JLPT N2/N3 – Không Yêu Cầu Kinh Nghiệm)</t>
        </is>
      </c>
      <c r="D4724" s="10" t="inlineStr">
        <is>
          <t>CÔNG TY CỔ PHẦN ALTIUS LINK VIỆT NAM</t>
        </is>
      </c>
      <c r="E4724" s="10" t="inlineStr">
        <is>
          <t>8tr-11tr ₫/tháng</t>
        </is>
      </c>
      <c r="F4724" s="10" t="inlineStr">
        <is>
          <t>Hà Nội</t>
        </is>
      </c>
      <c r="G4724" s="10" t="inlineStr">
        <is>
          <t>Mới Tốt Nghiệp</t>
        </is>
      </c>
      <c r="H4724" s="10" t="inlineStr">
        <is>
          <t>27/02/2026</t>
        </is>
      </c>
      <c r="I4724" s="10" t="inlineStr">
        <is>
          <t>29/03/2026</t>
        </is>
      </c>
      <c r="J4724" s="10" t="inlineStr">
        <is>
          <t>17/03/2026</t>
        </is>
      </c>
      <c r="K4724" s="10" t="inlineStr">
        <is>
          <t>N/A</t>
        </is>
      </c>
      <c r="L4724" s="10" t="inlineStr">
        <is>
          <t>Tiếng Nhật N2, Nhập Liệu, Excel, Customer Support, JLPT N2</t>
        </is>
      </c>
      <c r="M4724" s="10" t="inlineStr">
        <is>
          <t>Bonus, Paid Leave, Others</t>
        </is>
      </c>
      <c r="N4724" s="11">
        <f>HYPERLINK("https://www.vietnamworks.com/nhan-vien-nghiep-vu-tieng-nhat-jlpt-n2-n3-khong-yeu-cau-kinh-nghiem--2015197-jv","Xem chi tiết")</f>
        <v/>
      </c>
      <c r="O4724" s="10" t="n"/>
    </row>
    <row r="4725">
      <c r="B4725" s="7" t="n">
        <v>4723</v>
      </c>
      <c r="C4725" t="inlineStr">
        <is>
          <t>Giáo Viên Tiểu Học</t>
        </is>
      </c>
      <c r="D4725" t="inlineStr">
        <is>
          <t>Hệ Thống Giáo Dục Archimedes School</t>
        </is>
      </c>
      <c r="E4725" t="inlineStr">
        <is>
          <t>Thương lượng</t>
        </is>
      </c>
      <c r="F4725" t="inlineStr">
        <is>
          <t>Hà Nội</t>
        </is>
      </c>
      <c r="G4725" t="inlineStr">
        <is>
          <t>Nhân viên</t>
        </is>
      </c>
      <c r="H4725" t="inlineStr">
        <is>
          <t>27/02/2026</t>
        </is>
      </c>
      <c r="I4725" t="inlineStr">
        <is>
          <t>29/03/2026</t>
        </is>
      </c>
      <c r="J4725" t="inlineStr">
        <is>
          <t>17/03/2026</t>
        </is>
      </c>
      <c r="K4725" t="inlineStr">
        <is>
          <t>N/A</t>
        </is>
      </c>
      <c r="L4725" t="inlineStr">
        <is>
          <t>Giảng Dạy Tiểu Học, Sư Phạm Toán, Sư Phạm, Giảng Dạy, Teaching</t>
        </is>
      </c>
      <c r="M4725" t="inlineStr">
        <is>
          <t>Healthcare Plan, Training, Others</t>
        </is>
      </c>
      <c r="N4725" s="8">
        <f>HYPERLINK("https://www.vietnamworks.com/giao-vien-tieu-hoc-2015218-jv","Xem chi tiết")</f>
        <v/>
      </c>
    </row>
    <row r="4726">
      <c r="B4726" s="9" t="n">
        <v>4724</v>
      </c>
      <c r="C4726" s="10" t="inlineStr">
        <is>
          <t>Giáo Viên Tiếng Anh Tiểu Học</t>
        </is>
      </c>
      <c r="D4726" s="10" t="inlineStr">
        <is>
          <t>Hệ Thống Giáo Dục Archimedes School</t>
        </is>
      </c>
      <c r="E4726" s="10" t="inlineStr">
        <is>
          <t>Thương lượng</t>
        </is>
      </c>
      <c r="F4726" s="10" t="inlineStr">
        <is>
          <t>Hà Nội</t>
        </is>
      </c>
      <c r="G4726" s="10" t="inlineStr">
        <is>
          <t>Nhân viên</t>
        </is>
      </c>
      <c r="H4726" s="10" t="inlineStr">
        <is>
          <t>27/02/2026</t>
        </is>
      </c>
      <c r="I4726" s="10" t="inlineStr">
        <is>
          <t>29/03/2026</t>
        </is>
      </c>
      <c r="J4726" s="10" t="inlineStr">
        <is>
          <t>17/03/2026</t>
        </is>
      </c>
      <c r="K4726" s="10" t="inlineStr">
        <is>
          <t>N/A</t>
        </is>
      </c>
      <c r="L4726" s="10" t="inlineStr">
        <is>
          <t>Biên Soạn Học Liệu, Biên Tập Giáo Trình, Soạn Thảo Giáo Án, Sư phạm tiếng Anh, Giảng Dạy</t>
        </is>
      </c>
      <c r="M4726" s="10" t="inlineStr">
        <is>
          <t>Healthcare Plan, Travel Opportunities, Team Activities, Others</t>
        </is>
      </c>
      <c r="N4726" s="11">
        <f>HYPERLINK("https://www.vietnamworks.com/giao-vien-tieng-anh-tieu-hoc-2015215-jv","Xem chi tiết")</f>
        <v/>
      </c>
      <c r="O4726" s="10" t="n"/>
    </row>
    <row r="4727">
      <c r="B4727" s="7" t="n">
        <v>4725</v>
      </c>
      <c r="C4727" t="inlineStr">
        <is>
          <t>Marketing Manager</t>
        </is>
      </c>
      <c r="D4727" t="inlineStr">
        <is>
          <t>Công ty TNHH SR Group</t>
        </is>
      </c>
      <c r="E4727" t="inlineStr">
        <is>
          <t>Thương lượng</t>
        </is>
      </c>
      <c r="F4727" t="inlineStr">
        <is>
          <t>Hồ Chí Minh</t>
        </is>
      </c>
      <c r="G4727" t="inlineStr">
        <is>
          <t>Trưởng phòng</t>
        </is>
      </c>
      <c r="H4727" t="inlineStr">
        <is>
          <t>27/02/2026</t>
        </is>
      </c>
      <c r="I4727" t="inlineStr">
        <is>
          <t>29/03/2026</t>
        </is>
      </c>
      <c r="J4727" t="inlineStr">
        <is>
          <t>17/03/2026</t>
        </is>
      </c>
      <c r="K4727" t="inlineStr">
        <is>
          <t>N/A</t>
        </is>
      </c>
      <c r="L4727" t="inlineStr">
        <is>
          <t>Campaign Management, Marketing, Marketing Strategy, Quality Control, Web3 Marketing</t>
        </is>
      </c>
      <c r="M4727" t="inlineStr">
        <is>
          <t>Bonus, Healthcare Plan</t>
        </is>
      </c>
      <c r="N4727" s="8">
        <f>HYPERLINK("https://www.vietnamworks.com/marketing-manager-2015220-jv","Xem chi tiết")</f>
        <v/>
      </c>
    </row>
    <row r="4728">
      <c r="B4728" s="9" t="n">
        <v>4726</v>
      </c>
      <c r="C4728" s="10" t="inlineStr">
        <is>
          <t>Thiết Kế Kiến Trúc</t>
        </is>
      </c>
      <c r="D4728" s="10" t="inlineStr">
        <is>
          <t>Công Ty Cổ Phần Dịch Vụ Giải Pháp Cảnh Quan</t>
        </is>
      </c>
      <c r="E4728" s="10" t="inlineStr">
        <is>
          <t>10tr-20tr ₫/tháng</t>
        </is>
      </c>
      <c r="F4728" s="10" t="inlineStr">
        <is>
          <t>Hồ Chí Minh</t>
        </is>
      </c>
      <c r="G4728" s="10" t="inlineStr">
        <is>
          <t>Nhân viên</t>
        </is>
      </c>
      <c r="H4728" s="10" t="inlineStr">
        <is>
          <t>27/02/2026</t>
        </is>
      </c>
      <c r="I4728" s="10" t="inlineStr">
        <is>
          <t>29/03/2026</t>
        </is>
      </c>
      <c r="J4728" s="10" t="inlineStr">
        <is>
          <t>17/03/2026</t>
        </is>
      </c>
      <c r="K4728" s="10" t="inlineStr">
        <is>
          <t>N/A</t>
        </is>
      </c>
      <c r="L4728" s="10" t="inlineStr">
        <is>
          <t>Thiết Kế Kiến Trúc, AutoCAD, 3DSMAX, Sketchup, Thiết Kế</t>
        </is>
      </c>
      <c r="M4728" s="10" t="inlineStr">
        <is>
          <t>Bonus, Healthcare Plan, Others</t>
        </is>
      </c>
      <c r="N4728" s="11">
        <f>HYPERLINK("https://www.vietnamworks.com/thiet-ke-kien-truc-2015219-jv","Xem chi tiết")</f>
        <v/>
      </c>
      <c r="O4728" s="10" t="n"/>
    </row>
    <row r="4729">
      <c r="B4729" s="7" t="n">
        <v>4727</v>
      </c>
      <c r="C4729" t="inlineStr">
        <is>
          <t>Nhân Viên Phòng Đảm Bảo Chất Lượng Dự Án (PA)</t>
        </is>
      </c>
      <c r="D4729" t="inlineStr">
        <is>
          <t>Công Ty TNHH DENSO Việt Nam</t>
        </is>
      </c>
      <c r="E4729" t="inlineStr">
        <is>
          <t>Thương lượng</t>
        </is>
      </c>
      <c r="F4729" t="inlineStr">
        <is>
          <t>Hà Nội</t>
        </is>
      </c>
      <c r="G4729" t="inlineStr">
        <is>
          <t>Nhân viên</t>
        </is>
      </c>
      <c r="H4729" t="inlineStr">
        <is>
          <t>27/02/2026</t>
        </is>
      </c>
      <c r="I4729" t="inlineStr">
        <is>
          <t>29/03/2026</t>
        </is>
      </c>
      <c r="J4729" t="inlineStr">
        <is>
          <t>17/03/2026</t>
        </is>
      </c>
      <c r="K4729" t="inlineStr">
        <is>
          <t>N/A</t>
        </is>
      </c>
      <c r="L4729" t="inlineStr">
        <is>
          <t>Cơ Khí, Lập Kế Hoạch, Quản Lý Dự Án, Đảm Bảo Chất Lượng, Kỹ Thuật Cơ Khí</t>
        </is>
      </c>
      <c r="M4729" t="inlineStr">
        <is>
          <t>Bonus, Healthcare Plan, Transportation</t>
        </is>
      </c>
      <c r="N4729" s="8">
        <f>HYPERLINK("https://www.vietnamworks.com/nhan-vien-phong-dam-bao-chat-luong-du-an-pa--2015221-jv","Xem chi tiết")</f>
        <v/>
      </c>
    </row>
    <row r="4730">
      <c r="B4730" s="9" t="n">
        <v>4728</v>
      </c>
      <c r="C4730" s="10" t="inlineStr">
        <is>
          <t>Human Resource Manager</t>
        </is>
      </c>
      <c r="D4730" s="10" t="inlineStr">
        <is>
          <t>Công ty TNHH SR Group</t>
        </is>
      </c>
      <c r="E4730" s="10" t="inlineStr">
        <is>
          <t>Thương lượng</t>
        </is>
      </c>
      <c r="F4730" s="10" t="inlineStr">
        <is>
          <t>Hồ Chí Minh</t>
        </is>
      </c>
      <c r="G4730" s="10" t="inlineStr">
        <is>
          <t>Trưởng phòng</t>
        </is>
      </c>
      <c r="H4730" s="10" t="inlineStr">
        <is>
          <t>27/02/2026</t>
        </is>
      </c>
      <c r="I4730" s="10" t="inlineStr">
        <is>
          <t>29/03/2026</t>
        </is>
      </c>
      <c r="J4730" s="10" t="inlineStr">
        <is>
          <t>17/03/2026</t>
        </is>
      </c>
      <c r="K4730" s="10" t="inlineStr">
        <is>
          <t>N/A</t>
        </is>
      </c>
      <c r="L4730" s="10" t="inlineStr">
        <is>
          <t>Recruitment, Compensation &amp; Benefits, HR Operation, Talent Acquisition, Vietnam Labor Laws</t>
        </is>
      </c>
      <c r="M4730" s="10" t="inlineStr">
        <is>
          <t>Bonus, Healthcare Plan</t>
        </is>
      </c>
      <c r="N4730" s="11">
        <f>HYPERLINK("https://www.vietnamworks.com/human-resource-manager--2015226-jv","Xem chi tiết")</f>
        <v/>
      </c>
      <c r="O4730" s="10" t="n"/>
    </row>
    <row r="4731">
      <c r="B4731" s="7" t="n">
        <v>4729</v>
      </c>
      <c r="C4731" t="inlineStr">
        <is>
          <t>Nhân Viên Làm Sản Phẩm (E-Commerce)</t>
        </is>
      </c>
      <c r="D4731" t="inlineStr">
        <is>
          <t>CÔNG TY TNHH BOXGATE</t>
        </is>
      </c>
      <c r="E4731" t="inlineStr">
        <is>
          <t>Thương lượng</t>
        </is>
      </c>
      <c r="F4731" t="inlineStr">
        <is>
          <t>Hồ Chí Minh</t>
        </is>
      </c>
      <c r="G4731" t="inlineStr">
        <is>
          <t>Nhân viên</t>
        </is>
      </c>
      <c r="H4731" t="inlineStr">
        <is>
          <t>27/02/2026</t>
        </is>
      </c>
      <c r="I4731" t="inlineStr">
        <is>
          <t>29/03/2026</t>
        </is>
      </c>
      <c r="J4731" t="inlineStr">
        <is>
          <t>17/03/2026</t>
        </is>
      </c>
      <c r="K4731" t="inlineStr">
        <is>
          <t>N/A</t>
        </is>
      </c>
      <c r="L4731" t="inlineStr">
        <is>
          <t>Chỉnh Sửa Hình Ảnh, E-commerce Operation, Market Research</t>
        </is>
      </c>
      <c r="M4731" t="inlineStr">
        <is>
          <t>Bonus, Healthcare Plan, Paid Leave</t>
        </is>
      </c>
      <c r="N4731" s="8">
        <f>HYPERLINK("https://www.vietnamworks.com/nhan-vien-lam-san-pham-e-commerce-2015231-jv","Xem chi tiết")</f>
        <v/>
      </c>
    </row>
    <row r="4732">
      <c r="B4732" s="9" t="n">
        <v>4730</v>
      </c>
      <c r="C4732" s="10" t="inlineStr">
        <is>
          <t>Nhân Viên Sales Tour Inbound (Inbound Travel Sales Executive)</t>
        </is>
      </c>
      <c r="D4732" s="10" t="inlineStr">
        <is>
          <t>Vietnam Tourist</t>
        </is>
      </c>
      <c r="E4732" s="10" t="inlineStr">
        <is>
          <t>Thương lượng</t>
        </is>
      </c>
      <c r="F4732" s="10" t="inlineStr">
        <is>
          <t>Hà Nội</t>
        </is>
      </c>
      <c r="G4732" s="10" t="inlineStr">
        <is>
          <t>Nhân viên</t>
        </is>
      </c>
      <c r="H4732" s="10" t="inlineStr">
        <is>
          <t>27/02/2026</t>
        </is>
      </c>
      <c r="I4732" s="10" t="inlineStr">
        <is>
          <t>29/03/2026</t>
        </is>
      </c>
      <c r="J4732" s="10" t="inlineStr">
        <is>
          <t>17/03/2026</t>
        </is>
      </c>
      <c r="K4732" s="10" t="inlineStr">
        <is>
          <t>N/A</t>
        </is>
      </c>
      <c r="L4732" s="10" t="inlineStr">
        <is>
          <t>Inbound Sales, Chăm Sóc Khách Hàng, Du Lịch Lữ Hành, Kinh Doanh, Sales Planning</t>
        </is>
      </c>
      <c r="M4732" s="10" t="inlineStr">
        <is>
          <t>Bonus, Training, Team Activities, Others</t>
        </is>
      </c>
      <c r="N4732" s="11">
        <f>HYPERLINK("https://www.vietnamworks.com/nhan-vien-sales-tour-inbound-inbound-travel-sales-executive-2015229-jv","Xem chi tiết")</f>
        <v/>
      </c>
      <c r="O4732" s="10" t="n"/>
    </row>
    <row r="4733">
      <c r="B4733" s="7" t="n">
        <v>4731</v>
      </c>
      <c r="C4733" t="inlineStr">
        <is>
          <t>Senior Graphic Designer</t>
        </is>
      </c>
      <c r="D4733" t="inlineStr">
        <is>
          <t>Ginkgo T-shirts</t>
        </is>
      </c>
      <c r="E4733" t="inlineStr">
        <is>
          <t>25tr-30tr ₫/tháng</t>
        </is>
      </c>
      <c r="F4733" t="inlineStr">
        <is>
          <t>Hồ Chí Minh</t>
        </is>
      </c>
      <c r="G4733" t="inlineStr">
        <is>
          <t>Nhân viên</t>
        </is>
      </c>
      <c r="H4733" t="inlineStr">
        <is>
          <t>27/02/2026</t>
        </is>
      </c>
      <c r="I4733" t="inlineStr">
        <is>
          <t>29/03/2026</t>
        </is>
      </c>
      <c r="J4733" t="inlineStr">
        <is>
          <t>17/03/2026</t>
        </is>
      </c>
      <c r="K4733" t="inlineStr">
        <is>
          <t>N/A</t>
        </is>
      </c>
      <c r="L4733" t="inlineStr">
        <is>
          <t>Graphic Design, Illustration, Photoshop, illustrator</t>
        </is>
      </c>
      <c r="M4733" t="inlineStr">
        <is>
          <t>Bonus</t>
        </is>
      </c>
      <c r="N4733" s="8">
        <f>HYPERLINK("https://www.vietnamworks.com/senior-graphic-designer-2015235-jv","Xem chi tiết")</f>
        <v/>
      </c>
    </row>
    <row r="4734">
      <c r="B4734" s="9" t="n">
        <v>4732</v>
      </c>
      <c r="C4734" s="10" t="inlineStr">
        <is>
          <t>Deputy Head of Accounting</t>
        </is>
      </c>
      <c r="D4734" s="10" t="inlineStr">
        <is>
          <t>Công Ty Tài Chính TNHH Ngân Hàng TMCP Sài Gòn - Hà Nội (SHBFinance)</t>
        </is>
      </c>
      <c r="E4734" s="10" t="inlineStr">
        <is>
          <t>$$ 2,000-3,000 /tháng</t>
        </is>
      </c>
      <c r="F4734" s="10" t="inlineStr">
        <is>
          <t>Hà Nội</t>
        </is>
      </c>
      <c r="G4734" s="10" t="inlineStr">
        <is>
          <t>Trưởng phòng</t>
        </is>
      </c>
      <c r="H4734" s="10" t="inlineStr">
        <is>
          <t>27/02/2026</t>
        </is>
      </c>
      <c r="I4734" s="10" t="inlineStr">
        <is>
          <t>29/03/2026</t>
        </is>
      </c>
      <c r="J4734" s="10" t="inlineStr">
        <is>
          <t>17/03/2026</t>
        </is>
      </c>
      <c r="K4734" s="10" t="inlineStr">
        <is>
          <t>N/A</t>
        </is>
      </c>
      <c r="L4734" s="10" t="inlineStr">
        <is>
          <t>Kế Toán Tổng Hợp, Accounting &amp; Auditing, Kế Toán Tài Chính, Kế toán, Kế Toán Ngân Hàng</t>
        </is>
      </c>
      <c r="M4734" s="10" t="inlineStr">
        <is>
          <t>Bonus, Healthcare Plan, Travel Opportunities</t>
        </is>
      </c>
      <c r="N4734" s="11">
        <f>HYPERLINK("https://www.vietnamworks.com/deputy-head-of-accounting--2015228-jv","Xem chi tiết")</f>
        <v/>
      </c>
      <c r="O4734" s="10" t="n"/>
    </row>
    <row r="4735">
      <c r="B4735" s="7" t="n">
        <v>4733</v>
      </c>
      <c r="C4735" t="inlineStr">
        <is>
          <t>Brand Accountant</t>
        </is>
      </c>
      <c r="D4735" t="inlineStr">
        <is>
          <t>Công Ty TNHH Onpoint</t>
        </is>
      </c>
      <c r="E4735" t="inlineStr">
        <is>
          <t>Thương lượng</t>
        </is>
      </c>
      <c r="F4735" t="inlineStr">
        <is>
          <t>Hồ Chí Minh</t>
        </is>
      </c>
      <c r="G4735" t="inlineStr">
        <is>
          <t>Nhân viên</t>
        </is>
      </c>
      <c r="H4735" t="inlineStr">
        <is>
          <t>27/02/2026</t>
        </is>
      </c>
      <c r="I4735" t="inlineStr">
        <is>
          <t>29/03/2026</t>
        </is>
      </c>
      <c r="J4735" t="inlineStr">
        <is>
          <t>17/03/2026</t>
        </is>
      </c>
      <c r="K4735" t="inlineStr">
        <is>
          <t>N/A</t>
        </is>
      </c>
      <c r="L4735" t="inlineStr">
        <is>
          <t>Kế Toán, E-commerce, Accounting Report, Accounting, Accounts receivable</t>
        </is>
      </c>
      <c r="M4735" t="inlineStr">
        <is>
          <t>Healthcare Plan, Paid Leave, Laptop</t>
        </is>
      </c>
      <c r="N4735" s="8">
        <f>HYPERLINK("https://www.vietnamworks.com/brand-accountant--2015237-jv","Xem chi tiết")</f>
        <v/>
      </c>
    </row>
    <row r="4736">
      <c r="B4736" s="9" t="n">
        <v>4734</v>
      </c>
      <c r="C4736" s="10" t="inlineStr">
        <is>
          <t>Phó Ban Quản Lý Dự Án MEPF</t>
        </is>
      </c>
      <c r="D4736" s="10" t="inlineStr">
        <is>
          <t>Công Ty Cổ Phần Tập Đoàn BRG</t>
        </is>
      </c>
      <c r="E4736" s="10" t="inlineStr">
        <is>
          <t>Thương lượng</t>
        </is>
      </c>
      <c r="F4736" s="10" t="inlineStr">
        <is>
          <t>Hà Nội</t>
        </is>
      </c>
      <c r="G4736" s="10" t="inlineStr">
        <is>
          <t>Trưởng phòng</t>
        </is>
      </c>
      <c r="H4736" s="10" t="inlineStr">
        <is>
          <t>27/02/2026</t>
        </is>
      </c>
      <c r="I4736" s="10" t="inlineStr">
        <is>
          <t>29/03/2026</t>
        </is>
      </c>
      <c r="J4736" s="10" t="inlineStr">
        <is>
          <t>17/03/2026</t>
        </is>
      </c>
      <c r="K4736" s="10" t="inlineStr">
        <is>
          <t>N/A</t>
        </is>
      </c>
      <c r="L4736" s="10" t="inlineStr">
        <is>
          <t>Strategic Planning, Quản Lý Dự Án, Giám Sát Thi Công, Xây Dựng, Kiến Trúc</t>
        </is>
      </c>
      <c r="M4736" s="10" t="inlineStr">
        <is>
          <t>Bonus, Healthcare Plan, Travel Opportunities</t>
        </is>
      </c>
      <c r="N4736" s="11">
        <f>HYPERLINK("https://www.vietnamworks.com/pho-ban-quan-ly-du-an-mepf-2015243-jv","Xem chi tiết")</f>
        <v/>
      </c>
      <c r="O4736" s="10" t="n"/>
    </row>
    <row r="4737">
      <c r="B4737" s="7" t="n">
        <v>4735</v>
      </c>
      <c r="C4737" t="inlineStr">
        <is>
          <t>Field Sales Engineer (Lab Water - LS) North VN</t>
        </is>
      </c>
      <c r="D4737" t="inlineStr">
        <is>
          <t>Merck Vietnam</t>
        </is>
      </c>
      <c r="E4737" t="inlineStr">
        <is>
          <t>Từ $ 1,500 /tháng</t>
        </is>
      </c>
      <c r="F4737" t="inlineStr">
        <is>
          <t>Hà Nội</t>
        </is>
      </c>
      <c r="G4737" t="inlineStr">
        <is>
          <t>Nhân viên</t>
        </is>
      </c>
      <c r="H4737" t="inlineStr">
        <is>
          <t>27/02/2026</t>
        </is>
      </c>
      <c r="I4737" t="inlineStr">
        <is>
          <t>29/03/2026</t>
        </is>
      </c>
      <c r="J4737" t="inlineStr">
        <is>
          <t>17/03/2026</t>
        </is>
      </c>
      <c r="K4737" t="inlineStr">
        <is>
          <t>N/A</t>
        </is>
      </c>
      <c r="L4737" t="inlineStr">
        <is>
          <t>Biotechnology, Communication Skills, Engineering Chemical, Life Science Industry, Sales Management Software</t>
        </is>
      </c>
      <c r="M4737" t="inlineStr">
        <is>
          <t>Bonus, Healthcare Plan, Paid Leave</t>
        </is>
      </c>
      <c r="N4737" s="8">
        <f>HYPERLINK("https://www.vietnamworks.com/field-sales-engineer-lab-water-ls-north-vn-2015239-jv","Xem chi tiết")</f>
        <v/>
      </c>
    </row>
    <row r="4738">
      <c r="B4738" s="9" t="n">
        <v>4736</v>
      </c>
      <c r="C4738" s="10" t="inlineStr">
        <is>
          <t>Logistics Specialist</t>
        </is>
      </c>
      <c r="D4738" s="10" t="inlineStr">
        <is>
          <t>OEC Overseas Express Consolidators Co., Ltd.</t>
        </is>
      </c>
      <c r="E4738" s="10" t="inlineStr">
        <is>
          <t>$$ 350-1,000 /tháng</t>
        </is>
      </c>
      <c r="F4738" s="10" t="inlineStr">
        <is>
          <t>Hồ Chí Minh</t>
        </is>
      </c>
      <c r="G4738" s="10" t="inlineStr">
        <is>
          <t>Nhân viên</t>
        </is>
      </c>
      <c r="H4738" s="10" t="inlineStr">
        <is>
          <t>27/02/2026</t>
        </is>
      </c>
      <c r="I4738" s="10" t="inlineStr">
        <is>
          <t>29/03/2026</t>
        </is>
      </c>
      <c r="J4738" s="10" t="inlineStr">
        <is>
          <t>17/03/2026</t>
        </is>
      </c>
      <c r="K4738" s="10" t="inlineStr">
        <is>
          <t>N/A</t>
        </is>
      </c>
      <c r="L4738" s="10" t="inlineStr">
        <is>
          <t>Logistics, Customs Coordination, Import/export experience, Freight Forwarder, Inland Trucking</t>
        </is>
      </c>
      <c r="M4738" s="10" t="inlineStr">
        <is>
          <t>Bonus, Healthcare Plan, Paid Leave</t>
        </is>
      </c>
      <c r="N4738" s="11">
        <f>HYPERLINK("https://www.vietnamworks.com/logistics-specialist--2015242-jv","Xem chi tiết")</f>
        <v/>
      </c>
      <c r="O4738" s="10" t="n"/>
    </row>
    <row r="4739">
      <c r="B4739" s="7" t="n">
        <v>4737</v>
      </c>
      <c r="C4739" t="inlineStr">
        <is>
          <t>Senior Sales (Chinese Speaking)</t>
        </is>
      </c>
      <c r="D4739" t="inlineStr">
        <is>
          <t>Công Ty TNHH ZIM Integrated Shipping Services Ltd. Việt Nam</t>
        </is>
      </c>
      <c r="E4739" t="inlineStr">
        <is>
          <t>Thương lượng</t>
        </is>
      </c>
      <c r="F4739" t="inlineStr">
        <is>
          <t>Hải Phòng, Hà Nội</t>
        </is>
      </c>
      <c r="G4739" t="inlineStr">
        <is>
          <t>Nhân viên</t>
        </is>
      </c>
      <c r="H4739" t="inlineStr">
        <is>
          <t>27/02/2026</t>
        </is>
      </c>
      <c r="I4739" t="inlineStr">
        <is>
          <t>29/03/2026</t>
        </is>
      </c>
      <c r="J4739" t="inlineStr">
        <is>
          <t>17/03/2026</t>
        </is>
      </c>
      <c r="K4739" t="inlineStr">
        <is>
          <t>N/A</t>
        </is>
      </c>
      <c r="L4739" t="inlineStr">
        <is>
          <t>Negotiation Skills, Shipping/Logistics, Logistics Sales, Sales Planning, Customer Support</t>
        </is>
      </c>
      <c r="M4739" t="inlineStr">
        <is>
          <t>Bonus, Healthcare Plan, Others</t>
        </is>
      </c>
      <c r="N4739" s="8">
        <f>HYPERLINK("https://www.vietnamworks.com/senior-sales-chinese-speaking-2015238-jv","Xem chi tiết")</f>
        <v/>
      </c>
    </row>
    <row r="4740">
      <c r="B4740" s="9" t="n">
        <v>4738</v>
      </c>
      <c r="C4740" s="10" t="inlineStr">
        <is>
          <t>Chuyên Viên Pháp Lý Dự Án</t>
        </is>
      </c>
      <c r="D4740" s="10" t="inlineStr">
        <is>
          <t>Công Ty Cổ Phần Địa Ốc Thăng Long</t>
        </is>
      </c>
      <c r="E4740" s="10" t="inlineStr">
        <is>
          <t>20tr-25tr ₫/tháng</t>
        </is>
      </c>
      <c r="F4740" s="10" t="inlineStr">
        <is>
          <t>Hồ Chí Minh</t>
        </is>
      </c>
      <c r="G4740" s="10" t="inlineStr">
        <is>
          <t>Nhân viên</t>
        </is>
      </c>
      <c r="H4740" s="10" t="inlineStr">
        <is>
          <t>27/02/2026</t>
        </is>
      </c>
      <c r="I4740" s="10" t="inlineStr">
        <is>
          <t>29/03/2026</t>
        </is>
      </c>
      <c r="J4740" s="10" t="inlineStr">
        <is>
          <t>17/03/2026</t>
        </is>
      </c>
      <c r="K4740" s="10" t="inlineStr">
        <is>
          <t>N/A</t>
        </is>
      </c>
      <c r="L4740" s="10" t="inlineStr">
        <is>
          <t>Logistics, Luật, Bất Động Sản Công Nghiệp, Pháp Lý Dự Án, Pháp Lý Dự Án Đầu Tư</t>
        </is>
      </c>
      <c r="M4740" s="10" t="inlineStr">
        <is>
          <t>Bonus, Healthcare Plan, Others</t>
        </is>
      </c>
      <c r="N4740" s="11">
        <f>HYPERLINK("https://www.vietnamworks.com/chuyen-vien-phap-ly-du-an--2015233-jv","Xem chi tiết")</f>
        <v/>
      </c>
      <c r="O4740" s="10" t="n"/>
    </row>
    <row r="4741">
      <c r="B4741" s="7" t="n">
        <v>4739</v>
      </c>
      <c r="C4741" t="inlineStr">
        <is>
          <t>Sales Executive</t>
        </is>
      </c>
      <c r="D4741" t="inlineStr">
        <is>
          <t>Công Ty TNHH Âm Nhạc Yamaha Việt Nam</t>
        </is>
      </c>
      <c r="E4741" t="inlineStr">
        <is>
          <t>Thương lượng</t>
        </is>
      </c>
      <c r="F4741" t="inlineStr">
        <is>
          <t>Hồ Chí Minh</t>
        </is>
      </c>
      <c r="G4741" t="inlineStr">
        <is>
          <t>Nhân viên</t>
        </is>
      </c>
      <c r="H4741" t="inlineStr">
        <is>
          <t>27/02/2026</t>
        </is>
      </c>
      <c r="I4741" t="inlineStr">
        <is>
          <t>29/03/2026</t>
        </is>
      </c>
      <c r="J4741" t="inlineStr">
        <is>
          <t>17/03/2026</t>
        </is>
      </c>
      <c r="K4741" t="inlineStr">
        <is>
          <t>N/A</t>
        </is>
      </c>
      <c r="L4741" t="inlineStr">
        <is>
          <t>Sales Training, Business Acumen, Relationship Building, Customer Focused Design, Problem Solving</t>
        </is>
      </c>
      <c r="M4741" t="inlineStr">
        <is>
          <t>Bonus, Healthcare Plan, Paid Leave, Mobile, Team Activities, Others</t>
        </is>
      </c>
      <c r="N4741" s="8">
        <f>HYPERLINK("https://www.vietnamworks.com/sales-executive--2015230-jv","Xem chi tiết")</f>
        <v/>
      </c>
    </row>
    <row r="4742">
      <c r="B4742" s="9" t="n">
        <v>4740</v>
      </c>
      <c r="C4742" s="10" t="inlineStr">
        <is>
          <t>Quản Lý Dự Án (Lương Cứng Upto 30 Triệu + Thưởng Dự Án)</t>
        </is>
      </c>
      <c r="D4742" s="10" t="inlineStr">
        <is>
          <t>Công Ty TNHH Kiến Trúc Nội Thất Nam Anh</t>
        </is>
      </c>
      <c r="E4742" s="10" t="inlineStr">
        <is>
          <t>Tới 30tr ₫/tháng</t>
        </is>
      </c>
      <c r="F4742" s="10" t="inlineStr">
        <is>
          <t>Hà Nội</t>
        </is>
      </c>
      <c r="G4742" s="10" t="inlineStr">
        <is>
          <t>Nhân viên</t>
        </is>
      </c>
      <c r="H4742" s="10" t="inlineStr">
        <is>
          <t>27/02/2026</t>
        </is>
      </c>
      <c r="I4742" s="10" t="inlineStr">
        <is>
          <t>29/03/2026</t>
        </is>
      </c>
      <c r="J4742" s="10" t="inlineStr">
        <is>
          <t>17/03/2026</t>
        </is>
      </c>
      <c r="K4742" s="10" t="inlineStr">
        <is>
          <t>N/A</t>
        </is>
      </c>
      <c r="L4742" s="10" t="inlineStr">
        <is>
          <t>Nội Thất, Quản Lý Dự Án, Kinh Tế Xây Dựng, MS Office, Triển Khai Dự Án</t>
        </is>
      </c>
      <c r="M4742" s="10" t="inlineStr">
        <is>
          <t>Bonus, Training, Others</t>
        </is>
      </c>
      <c r="N4742" s="11">
        <f>HYPERLINK("https://www.vietnamworks.com/quan-ly-du-an-luong-cung-upto-30-trieu-thuong-du-an-2015240-jv","Xem chi tiết")</f>
        <v/>
      </c>
      <c r="O4742" s="10" t="n"/>
    </row>
    <row r="4743">
      <c r="B4743" s="7" t="n">
        <v>4741</v>
      </c>
      <c r="C4743" t="inlineStr">
        <is>
          <t>Content Marketing Executive – Du Học &amp; Visa</t>
        </is>
      </c>
      <c r="D4743" t="inlineStr">
        <is>
          <t>Công Ty TNHH Thương Mại Quốc Tế Năm Sao Sài Gòn</t>
        </is>
      </c>
      <c r="E4743" t="inlineStr">
        <is>
          <t>14tr-18tr ₫/tháng</t>
        </is>
      </c>
      <c r="F4743" t="inlineStr">
        <is>
          <t>Hồ Chí Minh</t>
        </is>
      </c>
      <c r="G4743" t="inlineStr">
        <is>
          <t>Nhân viên</t>
        </is>
      </c>
      <c r="H4743" t="inlineStr">
        <is>
          <t>27/02/2026</t>
        </is>
      </c>
      <c r="I4743" t="inlineStr">
        <is>
          <t>29/03/2026</t>
        </is>
      </c>
      <c r="J4743" t="inlineStr">
        <is>
          <t>17/03/2026</t>
        </is>
      </c>
      <c r="K4743" t="inlineStr">
        <is>
          <t>N/A</t>
        </is>
      </c>
      <c r="L4743" t="inlineStr">
        <is>
          <t>Content Marketing, Writing, Marketing Strategy, Research, Persuasion</t>
        </is>
      </c>
      <c r="M4743" t="inlineStr">
        <is>
          <t>Bonus, Training, Travel Opportunities, Team Activities, Others</t>
        </is>
      </c>
      <c r="N4743" s="8">
        <f>HYPERLINK("https://www.vietnamworks.com/content-marketing-executive-du-hoc-and-visa-2015245-jv","Xem chi tiết")</f>
        <v/>
      </c>
    </row>
    <row r="4744">
      <c r="B4744" s="9" t="n">
        <v>4742</v>
      </c>
      <c r="C4744" s="10" t="inlineStr">
        <is>
          <t>Quản Lý Kinh Doanh Kênh GT - Ngành Điện Máy Gia Dụng, Thiết Bị Nhà Bếp</t>
        </is>
      </c>
      <c r="D4744" s="10" t="inlineStr">
        <is>
          <t>Tập Đoàn Karofi Holding</t>
        </is>
      </c>
      <c r="E4744" s="10" t="inlineStr">
        <is>
          <t>$$ 1,500-4,000 /tháng</t>
        </is>
      </c>
      <c r="F4744" s="10" t="inlineStr">
        <is>
          <t>Hồ Chí Minh, Hà Nội</t>
        </is>
      </c>
      <c r="G4744" s="10" t="inlineStr">
        <is>
          <t>Trưởng phòng</t>
        </is>
      </c>
      <c r="H4744" s="10" t="inlineStr">
        <is>
          <t>27/02/2026</t>
        </is>
      </c>
      <c r="I4744" s="10" t="inlineStr">
        <is>
          <t>29/03/2026</t>
        </is>
      </c>
      <c r="J4744" s="10" t="inlineStr">
        <is>
          <t>17/03/2026</t>
        </is>
      </c>
      <c r="K4744" s="10" t="inlineStr">
        <is>
          <t>N/A</t>
        </is>
      </c>
      <c r="L4744" s="10" t="inlineStr">
        <is>
          <t>Gia Dụng, Điện Tử, Điện Lạnh Gia Dụng, Quản Lý Kinh Doanh, Modern Trade Planning</t>
        </is>
      </c>
      <c r="M4744" s="10" t="inlineStr">
        <is>
          <t>Bonus, Healthcare Plan, Laptop</t>
        </is>
      </c>
      <c r="N4744" s="11">
        <f>HYPERLINK("https://www.vietnamworks.com/quan-ly-kinh-doanh-kenh-gt-nganh-dien-may-gia-dung-thiet-bi-nha-bep--2015224-jv","Xem chi tiết")</f>
        <v/>
      </c>
      <c r="O4744" s="10" t="n"/>
    </row>
    <row r="4745">
      <c r="B4745" s="7" t="n">
        <v>4743</v>
      </c>
      <c r="C4745" t="inlineStr">
        <is>
          <t>Trợ Lý Giám Đốc</t>
        </is>
      </c>
      <c r="D4745" t="inlineStr">
        <is>
          <t>Công Ty TNHH Best Pacific Việt Nam</t>
        </is>
      </c>
      <c r="E4745" t="inlineStr">
        <is>
          <t>Thương lượng</t>
        </is>
      </c>
      <c r="F4745" t="inlineStr">
        <is>
          <t>Hải Phòng, Hải Dương</t>
        </is>
      </c>
      <c r="G4745" t="inlineStr">
        <is>
          <t>Trưởng phòng</t>
        </is>
      </c>
      <c r="H4745" t="inlineStr">
        <is>
          <t>27/02/2026</t>
        </is>
      </c>
      <c r="I4745" t="inlineStr">
        <is>
          <t>29/03/2026</t>
        </is>
      </c>
      <c r="J4745" t="inlineStr">
        <is>
          <t>17/03/2026</t>
        </is>
      </c>
      <c r="K4745" t="inlineStr">
        <is>
          <t>N/A</t>
        </is>
      </c>
      <c r="L4745" t="inlineStr">
        <is>
          <t>Tiếng Trung, Tiếng Anh, Tin Học Văn Phòng, Kỹ năng giao tiêp, Phân Tích Thông Tin</t>
        </is>
      </c>
      <c r="M4745" t="inlineStr">
        <is>
          <t>Bonus, Healthcare Plan, Training, Awards, Team Activities, Transportation, Others</t>
        </is>
      </c>
      <c r="N4745" s="8">
        <f>HYPERLINK("https://www.vietnamworks.com/tro-ly-giam-djoc-2015246-jv","Xem chi tiết")</f>
        <v/>
      </c>
    </row>
    <row r="4746">
      <c r="B4746" s="9" t="n">
        <v>4744</v>
      </c>
      <c r="C4746" s="10" t="inlineStr">
        <is>
          <t>Trưởng Phòng Quản Lý Chất Lượng (QC) - Lĩnh Vực Gia Công Cơ Khí</t>
        </is>
      </c>
      <c r="D4746" s="10" t="inlineStr">
        <is>
          <t>Công Ty TNHH CTI VN</t>
        </is>
      </c>
      <c r="E4746" s="10" t="inlineStr">
        <is>
          <t>25tr-30tr ₫/tháng</t>
        </is>
      </c>
      <c r="F4746" s="10" t="inlineStr">
        <is>
          <t>Hồ Chí Minh</t>
        </is>
      </c>
      <c r="G4746" s="10" t="inlineStr">
        <is>
          <t>Trưởng phòng</t>
        </is>
      </c>
      <c r="H4746" s="10" t="inlineStr">
        <is>
          <t>27/02/2026</t>
        </is>
      </c>
      <c r="I4746" s="10" t="inlineStr">
        <is>
          <t>29/03/2026</t>
        </is>
      </c>
      <c r="J4746" s="10" t="inlineStr">
        <is>
          <t>17/03/2026</t>
        </is>
      </c>
      <c r="K4746" s="10" t="inlineStr">
        <is>
          <t>N/A</t>
        </is>
      </c>
      <c r="L4746" s="10" t="inlineStr">
        <is>
          <t>Cơ Khí Chế Tạo, Giải Quyết Khiếu Nại, Quản Lý Chất Lượng, Xử Lý Sự Cố, Đọc Hiểu Bản Vẽ Kỹ Thuật</t>
        </is>
      </c>
      <c r="M4746" s="10" t="inlineStr">
        <is>
          <t>Bonus, Healthcare Plan, Training, Awards, Team Activities, Canteen, Others</t>
        </is>
      </c>
      <c r="N4746" s="11">
        <f>HYPERLINK("https://www.vietnamworks.com/truong-phong-quan-ly-chat-luong-qc-linh-vuc-gia-cong-co-khi-2015244-jv","Xem chi tiết")</f>
        <v/>
      </c>
      <c r="O4746" s="10" t="n"/>
    </row>
    <row r="4747">
      <c r="B4747" s="7" t="n">
        <v>4745</v>
      </c>
      <c r="C4747" t="inlineStr">
        <is>
          <t>Giám Đốc Marketing</t>
        </is>
      </c>
      <c r="D4747" t="inlineStr">
        <is>
          <t>Tập Đoàn Karofi Holding</t>
        </is>
      </c>
      <c r="E4747" t="inlineStr">
        <is>
          <t>3,000-5,000 ₫/tháng</t>
        </is>
      </c>
      <c r="F4747" t="inlineStr">
        <is>
          <t>Hồ Chí Minh, Hà Nội</t>
        </is>
      </c>
      <c r="G4747" t="inlineStr">
        <is>
          <t>Giám Đốc và Cấp Cao Hơn</t>
        </is>
      </c>
      <c r="H4747" t="inlineStr">
        <is>
          <t>27/02/2026</t>
        </is>
      </c>
      <c r="I4747" t="inlineStr">
        <is>
          <t>29/03/2026</t>
        </is>
      </c>
      <c r="J4747" t="inlineStr">
        <is>
          <t>17/03/2026</t>
        </is>
      </c>
      <c r="K4747" t="inlineStr">
        <is>
          <t>N/A</t>
        </is>
      </c>
      <c r="L4747" t="inlineStr">
        <is>
          <t>Home Appliances, Market Research, Product Marketing, Brand Management, Marketing</t>
        </is>
      </c>
      <c r="M4747" t="inlineStr">
        <is>
          <t>Bonus, Healthcare Plan, Training, Laptop, Travel Opportunities</t>
        </is>
      </c>
      <c r="N4747" s="8">
        <f>HYPERLINK("https://www.vietnamworks.com/giam-djoc-marketing-2015227-jv","Xem chi tiết")</f>
        <v/>
      </c>
    </row>
    <row r="4748">
      <c r="B4748" s="9" t="n">
        <v>4746</v>
      </c>
      <c r="C4748" s="10" t="inlineStr">
        <is>
          <t>Architectural Design Manager</t>
        </is>
      </c>
      <c r="D4748" s="10" t="inlineStr">
        <is>
          <t>Trung Thuy Group</t>
        </is>
      </c>
      <c r="E4748" s="10" t="inlineStr">
        <is>
          <t>Thương lượng</t>
        </is>
      </c>
      <c r="F4748" s="10" t="inlineStr">
        <is>
          <t>Hồ Chí Minh</t>
        </is>
      </c>
      <c r="G4748" s="10" t="inlineStr">
        <is>
          <t>Trưởng phòng</t>
        </is>
      </c>
      <c r="H4748" s="10" t="inlineStr">
        <is>
          <t>27/02/2026</t>
        </is>
      </c>
      <c r="I4748" s="10" t="inlineStr">
        <is>
          <t>29/03/2026</t>
        </is>
      </c>
      <c r="J4748" s="10" t="inlineStr">
        <is>
          <t>17/03/2026</t>
        </is>
      </c>
      <c r="K4748" s="10" t="inlineStr">
        <is>
          <t>N/A</t>
        </is>
      </c>
      <c r="L4748" s="10" t="inlineStr">
        <is>
          <t>Design Management, Revit, AutoCAD, Architecture Design, Architectural Design</t>
        </is>
      </c>
      <c r="M4748" s="10" t="inlineStr">
        <is>
          <t>Healthcare Plan, Mobile</t>
        </is>
      </c>
      <c r="N4748" s="11">
        <f>HYPERLINK("https://www.vietnamworks.com/architectural-design-manager-4--2015234-jv","Xem chi tiết")</f>
        <v/>
      </c>
      <c r="O4748" s="10" t="n"/>
    </row>
    <row r="4749">
      <c r="B4749" s="7" t="n">
        <v>4747</v>
      </c>
      <c r="C4749" t="inlineStr">
        <is>
          <t>Quản Lý Cửa Hàng (Store Manager)</t>
        </is>
      </c>
      <c r="D4749" t="inlineStr">
        <is>
          <t>Cty TNHH TM XNK Tuân Tiến</t>
        </is>
      </c>
      <c r="E4749" t="inlineStr">
        <is>
          <t>$$ 300-600 /tháng</t>
        </is>
      </c>
      <c r="F4749" t="inlineStr">
        <is>
          <t>Hồ Chí Minh</t>
        </is>
      </c>
      <c r="G4749" t="inlineStr">
        <is>
          <t>Nhân viên</t>
        </is>
      </c>
      <c r="H4749" t="inlineStr">
        <is>
          <t>27/02/2026</t>
        </is>
      </c>
      <c r="I4749" t="inlineStr">
        <is>
          <t>29/03/2026</t>
        </is>
      </c>
      <c r="J4749" t="inlineStr">
        <is>
          <t>17/03/2026</t>
        </is>
      </c>
      <c r="K4749" t="inlineStr">
        <is>
          <t>N/A</t>
        </is>
      </c>
      <c r="L4749" t="inlineStr">
        <is>
          <t>Quản Lý Cửa Hàng, Quản Trị Nhân Sự, Quản Lý Chi Phí Tiêu Hao, Quản Lý, Quản Lý Kiểm Soát Nội Bộ</t>
        </is>
      </c>
      <c r="M4749" t="inlineStr">
        <is>
          <t>Healthcare Plan, Paid Leave, Training</t>
        </is>
      </c>
      <c r="N4749" s="8">
        <f>HYPERLINK("https://www.vietnamworks.com/quan-ly-cua-hang-store-manager--2015251-jv","Xem chi tiết")</f>
        <v/>
      </c>
    </row>
    <row r="4750">
      <c r="B4750" s="9" t="n">
        <v>4748</v>
      </c>
      <c r="C4750" s="10" t="inlineStr">
        <is>
          <t>Business Development Manager (English Fluent)</t>
        </is>
      </c>
      <c r="D4750" s="10" t="inlineStr">
        <is>
          <t>CÔNG TY TNHH SUPPLYX</t>
        </is>
      </c>
      <c r="E4750" s="10" t="inlineStr">
        <is>
          <t>Tới $ 2,000 /tháng</t>
        </is>
      </c>
      <c r="F4750" s="10" t="inlineStr">
        <is>
          <t>Hồ Chí Minh</t>
        </is>
      </c>
      <c r="G4750" s="10" t="inlineStr">
        <is>
          <t>Nhân viên</t>
        </is>
      </c>
      <c r="H4750" s="10" t="inlineStr">
        <is>
          <t>27/02/2026</t>
        </is>
      </c>
      <c r="I4750" s="10" t="inlineStr">
        <is>
          <t>29/03/2026</t>
        </is>
      </c>
      <c r="J4750" s="10" t="inlineStr">
        <is>
          <t>17/03/2026</t>
        </is>
      </c>
      <c r="K4750" s="10" t="inlineStr">
        <is>
          <t>N/A</t>
        </is>
      </c>
      <c r="L4750" s="10" t="inlineStr">
        <is>
          <t>Business Development, Client Acquisition, Communication, Freight Forwarding, Logistics</t>
        </is>
      </c>
      <c r="M4750" s="10" t="inlineStr">
        <is>
          <t>Bonus, Healthcare Plan, Paid Leave</t>
        </is>
      </c>
      <c r="N4750" s="11">
        <f>HYPERLINK("https://www.vietnamworks.com/business-development-manager-english-fluent-2015254-jv","Xem chi tiết")</f>
        <v/>
      </c>
      <c r="O4750" s="10" t="n"/>
    </row>
    <row r="4751">
      <c r="B4751" s="7" t="n">
        <v>4749</v>
      </c>
      <c r="C4751" t="inlineStr">
        <is>
          <t>Kỹ Sư Xây Dựng - QS/ Hiện Trường - Tổng Thu Nhập Upto 22Tr/ Tháng</t>
        </is>
      </c>
      <c r="D4751" t="inlineStr">
        <is>
          <t>CÔNG TY CỔ PHẦN XUẤT NHẬP KHẨU XÂY DỰNG HOÀNG MAI</t>
        </is>
      </c>
      <c r="E4751" t="inlineStr">
        <is>
          <t>18tr-22tr ₫/tháng</t>
        </is>
      </c>
      <c r="F4751" t="inlineStr">
        <is>
          <t>Hà Nội, Bắc Ninh</t>
        </is>
      </c>
      <c r="G4751" t="inlineStr">
        <is>
          <t>Nhân viên</t>
        </is>
      </c>
      <c r="H4751" t="inlineStr">
        <is>
          <t>27/02/2026</t>
        </is>
      </c>
      <c r="I4751" t="inlineStr">
        <is>
          <t>29/03/2026</t>
        </is>
      </c>
      <c r="J4751" t="inlineStr">
        <is>
          <t>17/03/2026</t>
        </is>
      </c>
      <c r="K4751" t="inlineStr">
        <is>
          <t>N/A</t>
        </is>
      </c>
      <c r="L4751" t="inlineStr">
        <is>
          <t>Quản Lý Dự Án, Lập Trình AutoCAD, Kiểm Soát Khối Lượng, MS Excel, Xây Dựng</t>
        </is>
      </c>
      <c r="M4751" t="inlineStr">
        <is>
          <t>Bonus, Healthcare Plan, Others</t>
        </is>
      </c>
      <c r="N4751" s="8">
        <f>HYPERLINK("https://www.vietnamworks.com/ky-su-xay-dung-qs-hien-truong-tong-thu-nhap-upto-22tr-thang-2015249-jv","Xem chi tiết")</f>
        <v/>
      </c>
    </row>
    <row r="4752">
      <c r="B4752" s="9" t="n">
        <v>4750</v>
      </c>
      <c r="C4752" s="10" t="inlineStr">
        <is>
          <t>Principle Full-Stack Engineer (R&amp;D)</t>
        </is>
      </c>
      <c r="D4752" s="10" t="inlineStr">
        <is>
          <t>Virtuos Studios in Vietnam</t>
        </is>
      </c>
      <c r="E4752" s="10" t="inlineStr">
        <is>
          <t>$$ 1,000-7,000 /tháng</t>
        </is>
      </c>
      <c r="F4752" s="10" t="inlineStr">
        <is>
          <t>Hồ Chí Minh</t>
        </is>
      </c>
      <c r="G4752" s="10" t="inlineStr">
        <is>
          <t>Nhân viên</t>
        </is>
      </c>
      <c r="H4752" s="10" t="inlineStr">
        <is>
          <t>27/02/2026</t>
        </is>
      </c>
      <c r="I4752" s="10" t="inlineStr">
        <is>
          <t>29/03/2026</t>
        </is>
      </c>
      <c r="J4752" s="10" t="inlineStr">
        <is>
          <t>17/03/2026</t>
        </is>
      </c>
      <c r="K4752" s="10" t="inlineStr">
        <is>
          <t>N/A</t>
        </is>
      </c>
      <c r="L4752" s="10" t="inlineStr">
        <is>
          <t>english skill, Python, Fast API, AI Agent</t>
        </is>
      </c>
      <c r="M4752" s="10" t="inlineStr">
        <is>
          <t>Bonus, Healthcare Plan, Travel Opportunities</t>
        </is>
      </c>
      <c r="N4752" s="11">
        <f>HYPERLINK("https://www.vietnamworks.com/principle-full-stack-engineer-r-d-2015252-jv","Xem chi tiết")</f>
        <v/>
      </c>
      <c r="O4752" s="10" t="n"/>
    </row>
    <row r="4753">
      <c r="B4753" s="7" t="n">
        <v>4751</v>
      </c>
      <c r="C4753" t="inlineStr">
        <is>
          <t>Trưởng Phòng Hành Chính Nhân Sự</t>
        </is>
      </c>
      <c r="D4753" t="inlineStr">
        <is>
          <t>Công Ty TNHH Sản Xuất Và Thương Mại Quốc Tế Việt Sing</t>
        </is>
      </c>
      <c r="E4753" t="inlineStr">
        <is>
          <t>35tr-45tr ₫/tháng</t>
        </is>
      </c>
      <c r="F4753" t="inlineStr">
        <is>
          <t>Bắc Ninh</t>
        </is>
      </c>
      <c r="G4753" t="inlineStr">
        <is>
          <t>Trưởng phòng</t>
        </is>
      </c>
      <c r="H4753" t="inlineStr">
        <is>
          <t>27/02/2026</t>
        </is>
      </c>
      <c r="I4753" t="inlineStr">
        <is>
          <t>29/03/2026</t>
        </is>
      </c>
      <c r="J4753" t="inlineStr">
        <is>
          <t>17/03/2026</t>
        </is>
      </c>
      <c r="K4753" t="inlineStr">
        <is>
          <t>N/A</t>
        </is>
      </c>
      <c r="L4753" t="inlineStr">
        <is>
          <t>Quản Lý Hiệu Suất, Xây Dựng Chiến Lược, Quản Trị Nhân Sự, HR Management, Mass Recruitment</t>
        </is>
      </c>
      <c r="M4753" t="inlineStr">
        <is>
          <t>Bonus, Healthcare Plan, Training, Team Activities, Others</t>
        </is>
      </c>
      <c r="N4753" s="8">
        <f>HYPERLINK("https://www.vietnamworks.com/truong-phong-hanh-chinh-nhan-su--2015247-jv","Xem chi tiết")</f>
        <v/>
      </c>
    </row>
    <row r="4754">
      <c r="B4754" s="9" t="n">
        <v>4752</v>
      </c>
      <c r="C4754" s="10" t="inlineStr">
        <is>
          <t>Assistant Online Brand Manager</t>
        </is>
      </c>
      <c r="D4754" s="10" t="inlineStr">
        <is>
          <t>Marico South East Asia Corporation</t>
        </is>
      </c>
      <c r="E4754" s="10" t="inlineStr">
        <is>
          <t>Thương lượng</t>
        </is>
      </c>
      <c r="F4754" s="10" t="inlineStr">
        <is>
          <t>Hồ Chí Minh</t>
        </is>
      </c>
      <c r="G4754" s="10" t="inlineStr">
        <is>
          <t>Nhân viên</t>
        </is>
      </c>
      <c r="H4754" s="10" t="inlineStr">
        <is>
          <t>27/02/2026</t>
        </is>
      </c>
      <c r="I4754" s="10" t="inlineStr">
        <is>
          <t>29/03/2026</t>
        </is>
      </c>
      <c r="J4754" s="10" t="inlineStr">
        <is>
          <t>17/03/2026</t>
        </is>
      </c>
      <c r="K4754" s="10" t="inlineStr">
        <is>
          <t>N/A</t>
        </is>
      </c>
      <c r="L4754" s="10" t="inlineStr">
        <is>
          <t>Branding Marketing, Campaign Execution, Communication Skills, Marketing Development, Social Media Content</t>
        </is>
      </c>
      <c r="M4754" s="10" t="inlineStr">
        <is>
          <t>Others</t>
        </is>
      </c>
      <c r="N4754" s="11">
        <f>HYPERLINK("https://www.vietnamworks.com/assistant-online-brand-manager-2015250-jv","Xem chi tiết")</f>
        <v/>
      </c>
      <c r="O4754" s="10" t="n"/>
    </row>
    <row r="4755">
      <c r="B4755" s="7" t="n">
        <v>4753</v>
      </c>
      <c r="C4755" t="inlineStr">
        <is>
          <t>Kế Hoạch Sản Xuất (Có Xe Đưa Đón Từ Hà Nội)</t>
        </is>
      </c>
      <c r="D4755" t="inlineStr">
        <is>
          <t>CÔNG TY TNHH DELTEC VIỆT NAM</t>
        </is>
      </c>
      <c r="E4755" t="inlineStr">
        <is>
          <t>11tr-12tr ₫/tháng</t>
        </is>
      </c>
      <c r="F4755" t="inlineStr">
        <is>
          <t>Ninh Bình, Hà Nam, Hà Nội</t>
        </is>
      </c>
      <c r="G4755" t="inlineStr">
        <is>
          <t>Nhân viên</t>
        </is>
      </c>
      <c r="H4755" t="inlineStr">
        <is>
          <t>27/02/2026</t>
        </is>
      </c>
      <c r="I4755" t="inlineStr">
        <is>
          <t>29/03/2026</t>
        </is>
      </c>
      <c r="J4755" t="inlineStr">
        <is>
          <t>17/03/2026</t>
        </is>
      </c>
      <c r="K4755" t="inlineStr">
        <is>
          <t>N/A</t>
        </is>
      </c>
      <c r="L4755" t="inlineStr">
        <is>
          <t>Quản Lý Tồn Kho, Lập Kế Hoạch Sản Xuất, Sử dụng Excel, Phân Tích Số Liệu, Gia Công Áp Lực</t>
        </is>
      </c>
      <c r="M4755" t="inlineStr">
        <is>
          <t>Bonus, Healthcare Plan, Others</t>
        </is>
      </c>
      <c r="N4755" s="8">
        <f>HYPERLINK("https://www.vietnamworks.com/ke-hoach-san-xuat-co-xe-djua-djon-tu-ha-noi-2015258-jv","Xem chi tiết")</f>
        <v/>
      </c>
    </row>
    <row r="4756">
      <c r="B4756" s="9" t="n">
        <v>4754</v>
      </c>
      <c r="C4756" s="10" t="inlineStr">
        <is>
          <t>Airfreight Customer Service Operation All Lane</t>
        </is>
      </c>
      <c r="D4756" s="10" t="inlineStr">
        <is>
          <t>Vietnam Everok International Forwarding Company Limited</t>
        </is>
      </c>
      <c r="E4756" s="10" t="inlineStr">
        <is>
          <t>$$ 500-880 /tháng</t>
        </is>
      </c>
      <c r="F4756" s="10" t="inlineStr">
        <is>
          <t>Hồ Chí Minh</t>
        </is>
      </c>
      <c r="G4756" s="10" t="inlineStr">
        <is>
          <t>Nhân viên</t>
        </is>
      </c>
      <c r="H4756" s="10" t="inlineStr">
        <is>
          <t>27/02/2026</t>
        </is>
      </c>
      <c r="I4756" s="10" t="inlineStr">
        <is>
          <t>29/03/2026</t>
        </is>
      </c>
      <c r="J4756" s="10" t="inlineStr">
        <is>
          <t>17/03/2026</t>
        </is>
      </c>
      <c r="K4756" s="10" t="inlineStr">
        <is>
          <t>N/A</t>
        </is>
      </c>
      <c r="L4756" s="10" t="inlineStr">
        <is>
          <t>Communication English, Air freight operation, freight forwarding experience, Chinese Language, Multitask Management</t>
        </is>
      </c>
      <c r="M4756" s="10" t="inlineStr">
        <is>
          <t>Bonus, Canteen</t>
        </is>
      </c>
      <c r="N4756" s="11">
        <f>HYPERLINK("https://www.vietnamworks.com/airfreight-customer-service-operation-all-lane-2015253-jv","Xem chi tiết")</f>
        <v/>
      </c>
      <c r="O4756" s="10" t="n"/>
    </row>
    <row r="4757">
      <c r="B4757" s="7" t="n">
        <v>4755</v>
      </c>
      <c r="C4757" t="inlineStr">
        <is>
          <t>Nhân Viên Kinh Doanh (Sales)</t>
        </is>
      </c>
      <c r="D4757" t="inlineStr">
        <is>
          <t>CÔNG TY CP CÔNG NGHỆ VLAB</t>
        </is>
      </c>
      <c r="E4757" t="inlineStr">
        <is>
          <t>10tr-15tr ₫/tháng</t>
        </is>
      </c>
      <c r="F4757" t="inlineStr">
        <is>
          <t>Hồ Chí Minh</t>
        </is>
      </c>
      <c r="G4757" t="inlineStr">
        <is>
          <t>Mới Tốt Nghiệp</t>
        </is>
      </c>
      <c r="H4757" t="inlineStr">
        <is>
          <t>27/02/2026</t>
        </is>
      </c>
      <c r="I4757" t="inlineStr">
        <is>
          <t>29/03/2026</t>
        </is>
      </c>
      <c r="J4757" t="inlineStr">
        <is>
          <t>17/03/2026</t>
        </is>
      </c>
      <c r="K4757" t="inlineStr">
        <is>
          <t>N/A</t>
        </is>
      </c>
      <c r="L4757" t="inlineStr">
        <is>
          <t>Tin Học Văn Phòng, Chăm Sóc Khách Hàng, Duy Trì Mối Quan Hệ, Phát Triển Thị Trường, Tìm Kiếm Khách Hàng</t>
        </is>
      </c>
      <c r="M4757" t="inlineStr">
        <is>
          <t>Bonus, Healthcare Plan, Training, Others</t>
        </is>
      </c>
      <c r="N4757" s="8">
        <f>HYPERLINK("https://www.vietnamworks.com/nhan-vien-kinh-doanh-sales-2015260-jv","Xem chi tiết")</f>
        <v/>
      </c>
    </row>
    <row r="4758">
      <c r="B4758" s="9" t="n">
        <v>4756</v>
      </c>
      <c r="C4758" s="10" t="inlineStr">
        <is>
          <t>Sales Engineer (Lương Cứng 15Tr - Không Áp KPI) + Thưởng, Nghỉ T7 - CN</t>
        </is>
      </c>
      <c r="D4758" s="10" t="inlineStr">
        <is>
          <t>CÔNG TY TNHH DELTEC VIỆT NAM</t>
        </is>
      </c>
      <c r="E4758" s="10" t="inlineStr">
        <is>
          <t>12tr-15tr ₫/tháng</t>
        </is>
      </c>
      <c r="F4758" s="10" t="inlineStr">
        <is>
          <t>Hà Nội, Hồ Chí Minh</t>
        </is>
      </c>
      <c r="G4758" s="10" t="inlineStr">
        <is>
          <t>Nhân viên</t>
        </is>
      </c>
      <c r="H4758" s="10" t="inlineStr">
        <is>
          <t>27/02/2026</t>
        </is>
      </c>
      <c r="I4758" s="10" t="inlineStr">
        <is>
          <t>29/03/2026</t>
        </is>
      </c>
      <c r="J4758" s="10" t="inlineStr">
        <is>
          <t>17/03/2026</t>
        </is>
      </c>
      <c r="K4758" s="10" t="inlineStr">
        <is>
          <t>N/A</t>
        </is>
      </c>
      <c r="L4758" s="10" t="inlineStr">
        <is>
          <t>Technical Sales, Mechanical Engineering, Industrial Components, Forging, Communication Skills</t>
        </is>
      </c>
      <c r="M4758" s="10" t="inlineStr">
        <is>
          <t>Bonus, Healthcare Plan, Others</t>
        </is>
      </c>
      <c r="N4758" s="11">
        <f>HYPERLINK("https://www.vietnamworks.com/sales-engineer-luong-cung-15tr-khong-ap-kpi-thuong-nghi-t7-cn-2015256-jv","Xem chi tiết")</f>
        <v/>
      </c>
      <c r="O4758" s="10" t="n"/>
    </row>
    <row r="4759">
      <c r="B4759" s="7" t="n">
        <v>4757</v>
      </c>
      <c r="C4759" t="inlineStr">
        <is>
          <t>Ocean Export Agent (Nhân Viên Xuất Khẩu Hàng Biển)</t>
        </is>
      </c>
      <c r="D4759" t="inlineStr">
        <is>
          <t>Expeditors Vietnam Company Limited - Hanoi Branch</t>
        </is>
      </c>
      <c r="E4759" t="inlineStr">
        <is>
          <t>Thương lượng</t>
        </is>
      </c>
      <c r="F4759" t="inlineStr">
        <is>
          <t>Hà Nội</t>
        </is>
      </c>
      <c r="G4759" t="inlineStr">
        <is>
          <t>Nhân viên</t>
        </is>
      </c>
      <c r="H4759" t="inlineStr">
        <is>
          <t>27/02/2026</t>
        </is>
      </c>
      <c r="I4759" t="inlineStr">
        <is>
          <t>29/03/2026</t>
        </is>
      </c>
      <c r="J4759" t="inlineStr">
        <is>
          <t>17/03/2026</t>
        </is>
      </c>
      <c r="K4759" t="inlineStr">
        <is>
          <t>N/A</t>
        </is>
      </c>
      <c r="L4759" t="inlineStr">
        <is>
          <t>English, Freight Forwarding, Ocean Transportation, Interpersonal Skills, MS Office</t>
        </is>
      </c>
      <c r="M4759" t="inlineStr">
        <is>
          <t>Bonus, Healthcare Plan, Training</t>
        </is>
      </c>
      <c r="N4759" s="8">
        <f>HYPERLINK("https://www.vietnamworks.com/ocean-export-agent-nhan-vien-xuat-khau-hang-bien--2015271-jv","Xem chi tiết")</f>
        <v/>
      </c>
    </row>
    <row r="4760">
      <c r="B4760" s="9" t="n">
        <v>4758</v>
      </c>
      <c r="C4760" s="10" t="inlineStr">
        <is>
          <t>Warehouse Staff/ Stockeeper</t>
        </is>
      </c>
      <c r="D4760" s="10" t="inlineStr">
        <is>
          <t>Cubes Asia Co., Ltd.</t>
        </is>
      </c>
      <c r="E4760" s="10" t="inlineStr">
        <is>
          <t>Thương lượng</t>
        </is>
      </c>
      <c r="F4760" s="10" t="inlineStr">
        <is>
          <t>Hà Nội</t>
        </is>
      </c>
      <c r="G4760" s="10" t="inlineStr">
        <is>
          <t>Mới Tốt Nghiệp</t>
        </is>
      </c>
      <c r="H4760" s="10" t="inlineStr">
        <is>
          <t>27/02/2026</t>
        </is>
      </c>
      <c r="I4760" s="10" t="inlineStr">
        <is>
          <t>29/03/2026</t>
        </is>
      </c>
      <c r="J4760" s="10" t="inlineStr">
        <is>
          <t>17/03/2026</t>
        </is>
      </c>
      <c r="K4760" s="10" t="inlineStr">
        <is>
          <t>N/A</t>
        </is>
      </c>
      <c r="L4760" s="10" t="inlineStr">
        <is>
          <t>Chứng Từ Xuất Nhập Kho, Giao Nhận Kho Vận, Kho Vận, Quản Lý Kho, Warehouse</t>
        </is>
      </c>
      <c r="M4760" s="10" t="inlineStr">
        <is>
          <t>Bonus, Healthcare Plan, Paid Leave, Travel Opportunities, Team Activities, Others</t>
        </is>
      </c>
      <c r="N4760" s="11">
        <f>HYPERLINK("https://www.vietnamworks.com/warehouse-staff-stockeeper-2015274-jv","Xem chi tiết")</f>
        <v/>
      </c>
      <c r="O4760" s="10" t="n"/>
    </row>
    <row r="4761">
      <c r="B4761" s="7" t="n">
        <v>4759</v>
      </c>
      <c r="C4761" t="inlineStr">
        <is>
          <t>Freelancer Digital Marketing Fullstack</t>
        </is>
      </c>
      <c r="D4761" t="inlineStr">
        <is>
          <t>CÔNG TY CỔ PHẦN AKAMAMA VIỆT NAM</t>
        </is>
      </c>
      <c r="E4761" t="inlineStr">
        <is>
          <t>Thương lượng</t>
        </is>
      </c>
      <c r="F4761" t="inlineStr">
        <is>
          <t>Hồ Chí Minh</t>
        </is>
      </c>
      <c r="G4761" t="inlineStr">
        <is>
          <t>Nhân viên</t>
        </is>
      </c>
      <c r="H4761" t="inlineStr">
        <is>
          <t>27/02/2026</t>
        </is>
      </c>
      <c r="I4761" t="inlineStr">
        <is>
          <t>29/03/2026</t>
        </is>
      </c>
      <c r="J4761" t="inlineStr">
        <is>
          <t>17/03/2026</t>
        </is>
      </c>
      <c r="K4761" t="inlineStr">
        <is>
          <t>N/A</t>
        </is>
      </c>
      <c r="L4761" t="inlineStr">
        <is>
          <t>Digital Marketing, Content Creation, Facebook Ads, Tiktok Ads, Marketing Strategy</t>
        </is>
      </c>
      <c r="M4761" t="inlineStr">
        <is>
          <t>Bonus, Travel Opportunities, Others</t>
        </is>
      </c>
      <c r="N4761" s="8">
        <f>HYPERLINK("https://www.vietnamworks.com/freelancer-digital-marketing-fullstack-2015273-jv","Xem chi tiết")</f>
        <v/>
      </c>
    </row>
    <row r="4762">
      <c r="B4762" s="9" t="n">
        <v>4760</v>
      </c>
      <c r="C4762" s="10" t="inlineStr">
        <is>
          <t>Nhân Viên Thiết Kế Cơ Khí</t>
        </is>
      </c>
      <c r="D4762" s="10" t="inlineStr">
        <is>
          <t>CÔNG TY TNHH ĐIỆN TỬ MEIKO HẢI DƯƠNG VIỆT NAM</t>
        </is>
      </c>
      <c r="E4762" s="10" t="inlineStr">
        <is>
          <t>9tr-20tr ₫/tháng</t>
        </is>
      </c>
      <c r="F4762" s="10" t="inlineStr">
        <is>
          <t>Hải Dương</t>
        </is>
      </c>
      <c r="G4762" s="10" t="inlineStr">
        <is>
          <t>Nhân viên</t>
        </is>
      </c>
      <c r="H4762" s="10" t="inlineStr">
        <is>
          <t>27/02/2026</t>
        </is>
      </c>
      <c r="I4762" s="10" t="inlineStr">
        <is>
          <t>29/03/2026</t>
        </is>
      </c>
      <c r="J4762" s="10" t="inlineStr">
        <is>
          <t>17/03/2026</t>
        </is>
      </c>
      <c r="K4762" s="10" t="inlineStr">
        <is>
          <t>N/A</t>
        </is>
      </c>
      <c r="L4762" s="10" t="inlineStr">
        <is>
          <t>CNC, Tự Động Hóa, AutoCAD, Chế Tạo Máy, Thiết Kế Cơ Khí</t>
        </is>
      </c>
      <c r="M4762" s="10" t="inlineStr">
        <is>
          <t>Bonus, Healthcare Plan, Paid Leave, Travel Opportunities, Others</t>
        </is>
      </c>
      <c r="N4762" s="11">
        <f>HYPERLINK("https://www.vietnamworks.com/nhan-vien-thiet-ke-co-khi-2015266-jv","Xem chi tiết")</f>
        <v/>
      </c>
      <c r="O4762" s="10" t="n"/>
    </row>
    <row r="4763">
      <c r="B4763" s="7" t="n">
        <v>4761</v>
      </c>
      <c r="C4763" t="inlineStr">
        <is>
          <t>Nhân Viên Kỹ Thuật Chế Tạo (Tự Động Hóa)</t>
        </is>
      </c>
      <c r="D4763" t="inlineStr">
        <is>
          <t>CÔNG TY TNHH ĐIỆN TỬ MEIKO HẢI DƯƠNG VIỆT NAM</t>
        </is>
      </c>
      <c r="E4763" t="inlineStr">
        <is>
          <t>Tới 20tr ₫/tháng</t>
        </is>
      </c>
      <c r="F4763" t="inlineStr">
        <is>
          <t>Hải Dương</t>
        </is>
      </c>
      <c r="G4763" t="inlineStr">
        <is>
          <t>Nhân viên</t>
        </is>
      </c>
      <c r="H4763" t="inlineStr">
        <is>
          <t>27/02/2026</t>
        </is>
      </c>
      <c r="I4763" t="inlineStr">
        <is>
          <t>29/03/2026</t>
        </is>
      </c>
      <c r="J4763" t="inlineStr">
        <is>
          <t>17/03/2026</t>
        </is>
      </c>
      <c r="K4763" t="inlineStr">
        <is>
          <t>N/A</t>
        </is>
      </c>
      <c r="L4763" t="inlineStr">
        <is>
          <t>Lập Trình Tự Động Hóa, Tự Động Hóa, Cơ Điện Tử, Điều khiển PLC, Điều Khiển Tự Động</t>
        </is>
      </c>
      <c r="M4763" t="inlineStr">
        <is>
          <t>Bonus, Healthcare Plan, Paid Leave, Travel Opportunities, Others</t>
        </is>
      </c>
      <c r="N4763" s="8">
        <f>HYPERLINK("https://www.vietnamworks.com/nhan-vien-ky-thuat-che-tao-tu-djong-hoa-2015268-jv","Xem chi tiết")</f>
        <v/>
      </c>
    </row>
    <row r="4764">
      <c r="B4764" s="9" t="n">
        <v>4762</v>
      </c>
      <c r="C4764" s="10" t="inlineStr">
        <is>
          <t>Key Account Sales Manager Korean Enterprises (Vietnam)</t>
        </is>
      </c>
      <c r="D4764" s="10" t="inlineStr">
        <is>
          <t>SUZHOU INOVANCE TECHNOLOGY</t>
        </is>
      </c>
      <c r="E4764" s="10" t="inlineStr">
        <is>
          <t>$$ 3,000-5,000 /tháng</t>
        </is>
      </c>
      <c r="F4764" s="10" t="inlineStr">
        <is>
          <t>Hà Nội</t>
        </is>
      </c>
      <c r="G4764" s="10" t="inlineStr">
        <is>
          <t>Trưởng phòng</t>
        </is>
      </c>
      <c r="H4764" s="10" t="inlineStr">
        <is>
          <t>27/02/2026</t>
        </is>
      </c>
      <c r="I4764" s="10" t="inlineStr">
        <is>
          <t>29/03/2026</t>
        </is>
      </c>
      <c r="J4764" s="10" t="inlineStr">
        <is>
          <t>17/03/2026</t>
        </is>
      </c>
      <c r="K4764" s="10" t="inlineStr">
        <is>
          <t>N/A</t>
        </is>
      </c>
      <c r="L4764" s="10" t="inlineStr">
        <is>
          <t>Korean, Sales, Automatic Control</t>
        </is>
      </c>
      <c r="M4764" s="10" t="inlineStr">
        <is>
          <t>Bonus</t>
        </is>
      </c>
      <c r="N4764" s="11">
        <f>HYPERLINK("https://www.vietnamworks.com/key-account-sales-manager-korean-enterprises-vietnam-2015255-jv","Xem chi tiết")</f>
        <v/>
      </c>
      <c r="O4764" s="10" t="n"/>
    </row>
    <row r="4765">
      <c r="B4765" s="7" t="n">
        <v>4763</v>
      </c>
      <c r="C4765" t="inlineStr">
        <is>
          <t>B2B Industrial Sales Manager (Quản Lý Kinh Doanh Dự Án Công Nghiệp)</t>
        </is>
      </c>
      <c r="D4765" t="inlineStr">
        <is>
          <t>Vprint Co., Ltd</t>
        </is>
      </c>
      <c r="E4765" t="inlineStr">
        <is>
          <t>30tr-50tr ₫/tháng</t>
        </is>
      </c>
      <c r="F4765" t="inlineStr">
        <is>
          <t>Hồ Chí Minh</t>
        </is>
      </c>
      <c r="G4765" t="inlineStr">
        <is>
          <t>Trưởng phòng</t>
        </is>
      </c>
      <c r="H4765" t="inlineStr">
        <is>
          <t>27/02/2026</t>
        </is>
      </c>
      <c r="I4765" t="inlineStr">
        <is>
          <t>29/03/2026</t>
        </is>
      </c>
      <c r="J4765" t="inlineStr">
        <is>
          <t>17/03/2026</t>
        </is>
      </c>
      <c r="K4765" t="inlineStr">
        <is>
          <t>N/A</t>
        </is>
      </c>
      <c r="L4765" t="inlineStr">
        <is>
          <t>Sales Management, Market Analysis, Team Management, Trưởng phòng kinh doanh, Sales Executive</t>
        </is>
      </c>
      <c r="M4765" t="inlineStr">
        <is>
          <t>Bonus, Training, Travel Opportunities</t>
        </is>
      </c>
      <c r="N4765" s="8">
        <f>HYPERLINK("https://www.vietnamworks.com/b2b-industrial-sales-manager-quan-ly-kinh-doanh-du-an-cong-nghiep-2015272-jv","Xem chi tiết")</f>
        <v/>
      </c>
    </row>
    <row r="4766">
      <c r="B4766" s="9" t="n">
        <v>4764</v>
      </c>
      <c r="C4766" s="10" t="inlineStr">
        <is>
          <t>Machine Learning Engineer</t>
        </is>
      </c>
      <c r="D4766" s="10" t="inlineStr">
        <is>
          <t>Trusting Social</t>
        </is>
      </c>
      <c r="E4766" s="10" t="inlineStr">
        <is>
          <t>Thương lượng</t>
        </is>
      </c>
      <c r="F4766" s="10" t="inlineStr">
        <is>
          <t>Hồ Chí Minh</t>
        </is>
      </c>
      <c r="G4766" s="10" t="inlineStr">
        <is>
          <t>Nhân viên</t>
        </is>
      </c>
      <c r="H4766" s="10" t="inlineStr">
        <is>
          <t>27/02/2026</t>
        </is>
      </c>
      <c r="I4766" s="10" t="inlineStr">
        <is>
          <t>29/03/2026</t>
        </is>
      </c>
      <c r="J4766" s="10" t="inlineStr">
        <is>
          <t>17/03/2026</t>
        </is>
      </c>
      <c r="K4766" s="10" t="inlineStr">
        <is>
          <t>N/A</t>
        </is>
      </c>
      <c r="L4766" s="10" t="inlineStr">
        <is>
          <t>Fintech, Data Modeling, Data Processing, Machine Learning, Python</t>
        </is>
      </c>
      <c r="M4766" s="10" t="inlineStr">
        <is>
          <t>Healthcare Plan, Canteen, Others</t>
        </is>
      </c>
      <c r="N4766" s="11">
        <f>HYPERLINK("https://www.vietnamworks.com/machine-learning-engineer-2015265-jv","Xem chi tiết")</f>
        <v/>
      </c>
      <c r="O4766" s="10" t="n"/>
    </row>
    <row r="4767">
      <c r="B4767" s="7" t="n">
        <v>4765</v>
      </c>
      <c r="C4767" t="inlineStr">
        <is>
          <t>Nhân Viên Kế Toán Thuế, Giá Thành - Có Xe Đưa Đón Tuyến Hải Dương - Hưng Yên</t>
        </is>
      </c>
      <c r="D4767" t="inlineStr">
        <is>
          <t>Công Ty TNHH Điện Tử UMC Việt Nam</t>
        </is>
      </c>
      <c r="E4767" t="inlineStr">
        <is>
          <t>$$ 300-500 /tháng</t>
        </is>
      </c>
      <c r="F4767" t="inlineStr">
        <is>
          <t>Bắc Ninh, Hải Phòng, Hưng Yên</t>
        </is>
      </c>
      <c r="G4767" t="inlineStr">
        <is>
          <t>Nhân viên</t>
        </is>
      </c>
      <c r="H4767" t="inlineStr">
        <is>
          <t>27/02/2026</t>
        </is>
      </c>
      <c r="I4767" t="inlineStr">
        <is>
          <t>29/03/2026</t>
        </is>
      </c>
      <c r="J4767" t="inlineStr">
        <is>
          <t>17/03/2026</t>
        </is>
      </c>
      <c r="K4767" t="inlineStr">
        <is>
          <t>N/A</t>
        </is>
      </c>
      <c r="L4767" t="inlineStr">
        <is>
          <t>Tiếng Anh, Kế Toán Tổng Hợp, Quản Lý Công Nợ, Kế Toán Thuế, Kế Toán Xuất Nhập Kho</t>
        </is>
      </c>
      <c r="M4767" t="inlineStr">
        <is>
          <t>Bonus, Healthcare Plan, Paid Leave</t>
        </is>
      </c>
      <c r="N4767" s="8">
        <f>HYPERLINK("https://www.vietnamworks.com/nhan-vien-ke-toan-thue-gia-thanh-co-xe-dua-don-tuyen-hai-duong-hung-yen-2015275-jv","Xem chi tiết")</f>
        <v/>
      </c>
    </row>
    <row r="4768">
      <c r="B4768" s="9" t="n">
        <v>4766</v>
      </c>
      <c r="C4768" s="10" t="inlineStr">
        <is>
          <t>Accounting Staff (Can speak and Read in Chinese)</t>
        </is>
      </c>
      <c r="D4768" s="10" t="inlineStr">
        <is>
          <t>GPA Global</t>
        </is>
      </c>
      <c r="E4768" s="10" t="inlineStr">
        <is>
          <t>$$ 1,000-2,000 /tháng</t>
        </is>
      </c>
      <c r="F4768" s="10" t="inlineStr">
        <is>
          <t>Bình Dương</t>
        </is>
      </c>
      <c r="G4768" s="10" t="inlineStr">
        <is>
          <t>Nhân viên</t>
        </is>
      </c>
      <c r="H4768" s="10" t="inlineStr">
        <is>
          <t>27/02/2026</t>
        </is>
      </c>
      <c r="I4768" s="10" t="inlineStr">
        <is>
          <t>29/03/2026</t>
        </is>
      </c>
      <c r="J4768" s="10" t="inlineStr">
        <is>
          <t>17/03/2026</t>
        </is>
      </c>
      <c r="K4768" s="10" t="inlineStr">
        <is>
          <t>N/A</t>
        </is>
      </c>
      <c r="L4768" s="10" t="inlineStr">
        <is>
          <t>Kế Toán Tổng Hợp, Tiếng Trung, Hạch Toán, Theo Dõi Công Nợ, ERP</t>
        </is>
      </c>
      <c r="M4768" s="10" t="inlineStr">
        <is>
          <t>Bonus, Healthcare Plan, Paid Leave, Training, Others</t>
        </is>
      </c>
      <c r="N4768" s="11">
        <f>HYPERLINK("https://www.vietnamworks.com/accounting-staff-can-speak-and-read-in-chinese-2015269-jv","Xem chi tiết")</f>
        <v/>
      </c>
      <c r="O4768" s="10" t="n"/>
    </row>
    <row r="4769">
      <c r="B4769" s="7" t="n">
        <v>4767</v>
      </c>
      <c r="C4769" t="inlineStr">
        <is>
          <t>Quản Lý Kinh Doanh B2B (Tiếng Hàn)</t>
        </is>
      </c>
      <c r="D4769" t="inlineStr">
        <is>
          <t>Dong Hwa</t>
        </is>
      </c>
      <c r="E4769" t="inlineStr">
        <is>
          <t>Thương lượng</t>
        </is>
      </c>
      <c r="F4769" t="inlineStr">
        <is>
          <t>Hồ Chí Minh</t>
        </is>
      </c>
      <c r="G4769" t="inlineStr">
        <is>
          <t>Trưởng phòng</t>
        </is>
      </c>
      <c r="H4769" t="inlineStr">
        <is>
          <t>27/02/2026</t>
        </is>
      </c>
      <c r="I4769" t="inlineStr">
        <is>
          <t>29/03/2026</t>
        </is>
      </c>
      <c r="J4769" t="inlineStr">
        <is>
          <t>17/03/2026</t>
        </is>
      </c>
      <c r="K4769" t="inlineStr">
        <is>
          <t>N/A</t>
        </is>
      </c>
      <c r="L4769" t="inlineStr">
        <is>
          <t>Chăm Sóc Khách Hàng, Kinh Doanh B2B, Tiếng Hàn, Tìm Kiếm Khách Hàng, Đàm Phán</t>
        </is>
      </c>
      <c r="M4769" t="inlineStr">
        <is>
          <t>Bonus, Healthcare Plan, Training</t>
        </is>
      </c>
      <c r="N4769" s="8">
        <f>HYPERLINK("https://www.vietnamworks.com/quan-ly-kinh-doanh-b2b-tieng-han-2015280-jv","Xem chi tiết")</f>
        <v/>
      </c>
    </row>
    <row r="4770">
      <c r="B4770" s="9" t="n">
        <v>4768</v>
      </c>
      <c r="C4770" s="10" t="inlineStr">
        <is>
          <t>Sales Manager - Home Loan Sales</t>
        </is>
      </c>
      <c r="D4770" s="10" t="inlineStr">
        <is>
          <t>KASIKORNBANK PUBLIC COMPANY LIMITED</t>
        </is>
      </c>
      <c r="E4770" s="10" t="inlineStr">
        <is>
          <t>Thương lượng</t>
        </is>
      </c>
      <c r="F4770" s="10" t="inlineStr">
        <is>
          <t>Hồ Chí Minh</t>
        </is>
      </c>
      <c r="G4770" s="10" t="inlineStr">
        <is>
          <t>Trưởng phòng</t>
        </is>
      </c>
      <c r="H4770" s="10" t="inlineStr">
        <is>
          <t>27/02/2026</t>
        </is>
      </c>
      <c r="I4770" s="10" t="inlineStr">
        <is>
          <t>29/03/2026</t>
        </is>
      </c>
      <c r="J4770" s="10" t="inlineStr">
        <is>
          <t>17/03/2026</t>
        </is>
      </c>
      <c r="K4770" s="10" t="inlineStr">
        <is>
          <t>N/A</t>
        </is>
      </c>
      <c r="L4770" s="10" t="inlineStr">
        <is>
          <t>Home Loan Sales, Sales manager, Mortgage Loan</t>
        </is>
      </c>
      <c r="M4770" s="10" t="inlineStr">
        <is>
          <t>Bonus, Paid Leave, Laptop</t>
        </is>
      </c>
      <c r="N4770" s="11">
        <f>HYPERLINK("https://www.vietnamworks.com/sales-manager-home-loan-sales-2015276-jv","Xem chi tiết")</f>
        <v/>
      </c>
      <c r="O4770" s="10" t="n"/>
    </row>
    <row r="4771">
      <c r="B4771" s="7" t="n">
        <v>4769</v>
      </c>
      <c r="C4771" t="inlineStr">
        <is>
          <t>Chỉ Huy Trưởng</t>
        </is>
      </c>
      <c r="D4771" t="inlineStr">
        <is>
          <t>Công Ty Cổ Phần Woodsland</t>
        </is>
      </c>
      <c r="E4771" t="inlineStr">
        <is>
          <t>Thương lượng</t>
        </is>
      </c>
      <c r="F4771" t="inlineStr">
        <is>
          <t>Hà Nội</t>
        </is>
      </c>
      <c r="G4771" t="inlineStr">
        <is>
          <t>Nhân viên</t>
        </is>
      </c>
      <c r="H4771" t="inlineStr">
        <is>
          <t>27/02/2026</t>
        </is>
      </c>
      <c r="I4771" t="inlineStr">
        <is>
          <t>29/03/2026</t>
        </is>
      </c>
      <c r="J4771" t="inlineStr">
        <is>
          <t>17/03/2026</t>
        </is>
      </c>
      <c r="K4771" t="inlineStr">
        <is>
          <t>N/A</t>
        </is>
      </c>
      <c r="L4771" t="inlineStr">
        <is>
          <t>Giám Sát Thi Công, Lập Kế Hoạch Thi Công Dự Án, Luật Xây Dựng, Quản Lý Điều Hành Công Trường, Theo Dõi Tiến Độ</t>
        </is>
      </c>
      <c r="M4771" t="inlineStr">
        <is>
          <t>Bonus, Healthcare Plan, Training, Team Activities, Others</t>
        </is>
      </c>
      <c r="N4771" s="8">
        <f>HYPERLINK("https://www.vietnamworks.com/chi-huy-truong-2015277-jv","Xem chi tiết")</f>
        <v/>
      </c>
    </row>
    <row r="4772">
      <c r="B4772" s="9" t="n">
        <v>4770</v>
      </c>
      <c r="C4772" s="10" t="inlineStr">
        <is>
          <t>Chuyên Viên Sales Có Đi Thị Trường (Khu Vực Miền Bắc)</t>
        </is>
      </c>
      <c r="D4772" s="10" t="inlineStr">
        <is>
          <t>CÔNG TY TNHH SUNRISE VINA</t>
        </is>
      </c>
      <c r="E4772" s="10" t="inlineStr">
        <is>
          <t>Thương lượng</t>
        </is>
      </c>
      <c r="F4772" s="10" t="inlineStr">
        <is>
          <t>Hà Nội, Hưng Yên, Bắc Ninh</t>
        </is>
      </c>
      <c r="G4772" s="10" t="inlineStr">
        <is>
          <t>Nhân viên</t>
        </is>
      </c>
      <c r="H4772" s="10" t="inlineStr">
        <is>
          <t>27/02/2026</t>
        </is>
      </c>
      <c r="I4772" s="10" t="inlineStr">
        <is>
          <t>29/03/2026</t>
        </is>
      </c>
      <c r="J4772" s="10" t="inlineStr">
        <is>
          <t>17/03/2026</t>
        </is>
      </c>
      <c r="K4772" s="10" t="inlineStr">
        <is>
          <t>N/A</t>
        </is>
      </c>
      <c r="L4772" s="10" t="inlineStr">
        <is>
          <t>Market Analysis, Kinh Doanh, Phát Triển Thị Trường, Quan Hệ Khách Hàng, Sales Planning</t>
        </is>
      </c>
      <c r="M4772" s="10" t="inlineStr">
        <is>
          <t>Bonus, Transportation, Others</t>
        </is>
      </c>
      <c r="N4772" s="11">
        <f>HYPERLINK("https://www.vietnamworks.com/chuyen-vien-sales-co-dji-thi-truong-khu-vuc-mien-bac-2015286-jv","Xem chi tiết")</f>
        <v/>
      </c>
      <c r="O4772" s="10" t="n"/>
    </row>
    <row r="4773">
      <c r="B4773" s="7" t="n">
        <v>4771</v>
      </c>
      <c r="C4773" t="inlineStr">
        <is>
          <t>Giám Sát Bán Hàng - Hà Nội, Hòa Bình, Lào Cai, Yên Bái</t>
        </is>
      </c>
      <c r="D4773" t="inlineStr">
        <is>
          <t>Suntory PepsiCo Vietnam Beverage</t>
        </is>
      </c>
      <c r="E4773" t="inlineStr">
        <is>
          <t>$$ 1,000-1,500 /tháng</t>
        </is>
      </c>
      <c r="F4773" t="inlineStr">
        <is>
          <t>Hà Nội</t>
        </is>
      </c>
      <c r="G4773" t="inlineStr">
        <is>
          <t>Nhân viên</t>
        </is>
      </c>
      <c r="H4773" t="inlineStr">
        <is>
          <t>27/02/2026</t>
        </is>
      </c>
      <c r="I4773" t="inlineStr">
        <is>
          <t>29/03/2026</t>
        </is>
      </c>
      <c r="J4773" t="inlineStr">
        <is>
          <t>17/03/2026</t>
        </is>
      </c>
      <c r="K4773" t="inlineStr">
        <is>
          <t>N/A</t>
        </is>
      </c>
      <c r="L4773" t="inlineStr">
        <is>
          <t>Giám Sát Bán Hàng, Communication, FMCG</t>
        </is>
      </c>
      <c r="M4773" t="inlineStr">
        <is>
          <t>Bonus, Healthcare Plan, Paid Leave</t>
        </is>
      </c>
      <c r="N4773" s="8">
        <f>HYPERLINK("https://www.vietnamworks.com/giam-sat-ban-hang-ha-noi-hoa-binh-lao-cai-yen-bai-2015293-jv","Xem chi tiết")</f>
        <v/>
      </c>
    </row>
    <row r="4774">
      <c r="B4774" s="9" t="n">
        <v>4772</v>
      </c>
      <c r="C4774" s="10" t="inlineStr">
        <is>
          <t>Giám Đốc Ban Quản Lý Thiết Kế</t>
        </is>
      </c>
      <c r="D4774" s="10" t="inlineStr">
        <is>
          <t>Công Ty Cổ Phần Thaiholdings</t>
        </is>
      </c>
      <c r="E4774" s="10" t="inlineStr">
        <is>
          <t>Thương lượng</t>
        </is>
      </c>
      <c r="F4774" s="10" t="inlineStr">
        <is>
          <t>Hà Nội</t>
        </is>
      </c>
      <c r="G4774" s="10" t="inlineStr">
        <is>
          <t>Giám Đốc và Cấp Cao Hơn</t>
        </is>
      </c>
      <c r="H4774" s="10" t="inlineStr">
        <is>
          <t>27/02/2026</t>
        </is>
      </c>
      <c r="I4774" s="10" t="inlineStr">
        <is>
          <t>29/03/2026</t>
        </is>
      </c>
      <c r="J4774" s="10" t="inlineStr">
        <is>
          <t>17/03/2026</t>
        </is>
      </c>
      <c r="K4774" s="10" t="inlineStr">
        <is>
          <t>N/A</t>
        </is>
      </c>
      <c r="L4774" s="10" t="inlineStr">
        <is>
          <t>Tư Vấn Thiết Kế, Thiết Kế Công Trình, Quy Hoạch Dự Án, Kiến Trúc Dân Dụng</t>
        </is>
      </c>
      <c r="M4774" s="10" t="inlineStr">
        <is>
          <t>Bonus, Healthcare Plan, Team Activities</t>
        </is>
      </c>
      <c r="N4774" s="11">
        <f>HYPERLINK("https://www.vietnamworks.com/giam-doc-ban-quan-ly-thiet-ke--2015281-jv","Xem chi tiết")</f>
        <v/>
      </c>
      <c r="O4774" s="10" t="n"/>
    </row>
    <row r="4775">
      <c r="B4775" s="7" t="n">
        <v>4773</v>
      </c>
      <c r="C4775" t="inlineStr">
        <is>
          <t>Phó Phòng Kế Toán</t>
        </is>
      </c>
      <c r="D4775" t="inlineStr">
        <is>
          <t>CÔNG TY CỔ PHẦN SAMETEL</t>
        </is>
      </c>
      <c r="E4775" t="inlineStr">
        <is>
          <t>Từ 25tr ₫/tháng</t>
        </is>
      </c>
      <c r="F4775" t="inlineStr">
        <is>
          <t>Hà Nội</t>
        </is>
      </c>
      <c r="G4775" t="inlineStr">
        <is>
          <t>Nhân viên</t>
        </is>
      </c>
      <c r="H4775" t="inlineStr">
        <is>
          <t>27/02/2026</t>
        </is>
      </c>
      <c r="I4775" t="inlineStr">
        <is>
          <t>29/03/2026</t>
        </is>
      </c>
      <c r="J4775" t="inlineStr">
        <is>
          <t>17/03/2026</t>
        </is>
      </c>
      <c r="K4775" t="inlineStr">
        <is>
          <t>N/A</t>
        </is>
      </c>
      <c r="L4775" t="inlineStr">
        <is>
          <t>Kế Toán, Phân Tích Tài Chính, Báo Cáo Tài Chính, Quản Lý Hệ Thống Kế Toán, Làm Việc Nhóm</t>
        </is>
      </c>
      <c r="M4775" t="inlineStr">
        <is>
          <t>Bonus, Healthcare Plan, Awards, Others</t>
        </is>
      </c>
      <c r="N4775" s="8">
        <f>HYPERLINK("https://www.vietnamworks.com/pho-phong-ke-toan-2015288-jv","Xem chi tiết")</f>
        <v/>
      </c>
    </row>
    <row r="4776">
      <c r="B4776" s="9" t="n">
        <v>4774</v>
      </c>
      <c r="C4776" s="10" t="inlineStr">
        <is>
          <t>Tuyển 05 Nữ Nhân Viên Sales Quốc Tế (Sales Export)</t>
        </is>
      </c>
      <c r="D4776" s="10" t="inlineStr">
        <is>
          <t>Công Ty TNHH Nhựa Cpi Việt Nam</t>
        </is>
      </c>
      <c r="E4776" s="10" t="inlineStr">
        <is>
          <t>$$ 500-2,000 /tháng</t>
        </is>
      </c>
      <c r="F4776" s="10" t="inlineStr">
        <is>
          <t>Hà Nội</t>
        </is>
      </c>
      <c r="G4776" s="10" t="inlineStr">
        <is>
          <t>Nhân viên</t>
        </is>
      </c>
      <c r="H4776" s="10" t="inlineStr">
        <is>
          <t>27/02/2026</t>
        </is>
      </c>
      <c r="I4776" s="10" t="inlineStr">
        <is>
          <t>29/03/2026</t>
        </is>
      </c>
      <c r="J4776" s="10" t="inlineStr">
        <is>
          <t>17/03/2026</t>
        </is>
      </c>
      <c r="K4776" s="10" t="inlineStr">
        <is>
          <t>N/A</t>
        </is>
      </c>
      <c r="L4776" s="10" t="inlineStr">
        <is>
          <t>Xuất Nhập Khẩu, Sales Overseas, Sales xuất khẩu, Xuất Khẩu, Bán hàng</t>
        </is>
      </c>
      <c r="M4776" s="10" t="inlineStr">
        <is>
          <t>Bonus, Healthcare Plan, Others</t>
        </is>
      </c>
      <c r="N4776" s="11">
        <f>HYPERLINK("https://www.vietnamworks.com/tuyen-05-nu-nhan-vien-sales-quoc-te-sales-export-2015301-jv","Xem chi tiết")</f>
        <v/>
      </c>
      <c r="O4776" s="10" t="n"/>
    </row>
    <row r="4777">
      <c r="B4777" s="7" t="n">
        <v>4775</v>
      </c>
      <c r="C4777" t="inlineStr">
        <is>
          <t>Nhân Viên Hồ Sơ (QS)</t>
        </is>
      </c>
      <c r="D4777" t="inlineStr">
        <is>
          <t>Công Ty Cổ Phần Woodsland</t>
        </is>
      </c>
      <c r="E4777" t="inlineStr">
        <is>
          <t>Thương lượng</t>
        </is>
      </c>
      <c r="F4777" t="inlineStr">
        <is>
          <t>Hà Nội</t>
        </is>
      </c>
      <c r="G4777" t="inlineStr">
        <is>
          <t>Mới Tốt Nghiệp</t>
        </is>
      </c>
      <c r="H4777" t="inlineStr">
        <is>
          <t>27/02/2026</t>
        </is>
      </c>
      <c r="I4777" t="inlineStr">
        <is>
          <t>29/03/2026</t>
        </is>
      </c>
      <c r="J4777" t="inlineStr">
        <is>
          <t>17/03/2026</t>
        </is>
      </c>
      <c r="K4777" t="inlineStr">
        <is>
          <t>N/A</t>
        </is>
      </c>
      <c r="L4777" t="inlineStr">
        <is>
          <t>Chuẩn Bị Hồ Sơ Đấu Thầu, Đánh Giá Hồ Sơ Thầu, Quyết Toán Dự Án, Soạn Thảo Hồ Sơ, Tin Học Văn Phòng</t>
        </is>
      </c>
      <c r="M4777" t="inlineStr">
        <is>
          <t>Bonus, Healthcare Plan, Training, Team Activities, Others</t>
        </is>
      </c>
      <c r="N4777" s="8">
        <f>HYPERLINK("https://www.vietnamworks.com/nhan-vien-ho-so-qs-2015279-jv","Xem chi tiết")</f>
        <v/>
      </c>
    </row>
    <row r="4778">
      <c r="B4778" s="9" t="n">
        <v>4776</v>
      </c>
      <c r="C4778" s="10" t="inlineStr">
        <is>
          <t>Trưởng Nhóm Thiết Kế Cơ Điện</t>
        </is>
      </c>
      <c r="D4778" s="10" t="inlineStr">
        <is>
          <t>Công Ty TNHH Kiến Trúc Nội Thất Nam Anh</t>
        </is>
      </c>
      <c r="E4778" s="10" t="inlineStr">
        <is>
          <t>22tr-30tr ₫/tháng</t>
        </is>
      </c>
      <c r="F4778" s="10" t="inlineStr">
        <is>
          <t>Hà Nội</t>
        </is>
      </c>
      <c r="G4778" s="10" t="inlineStr">
        <is>
          <t>Trưởng phòng</t>
        </is>
      </c>
      <c r="H4778" s="10" t="inlineStr">
        <is>
          <t>27/02/2026</t>
        </is>
      </c>
      <c r="I4778" s="10" t="inlineStr">
        <is>
          <t>29/03/2026</t>
        </is>
      </c>
      <c r="J4778" s="10" t="inlineStr">
        <is>
          <t>17/03/2026</t>
        </is>
      </c>
      <c r="K4778" s="10" t="inlineStr">
        <is>
          <t>N/A</t>
        </is>
      </c>
      <c r="L4778" s="10" t="inlineStr">
        <is>
          <t>Điện, Cơ Điện, Thiết Kế Cơ Điện, AutoCAD, Nhiệt Lạnh</t>
        </is>
      </c>
      <c r="M4778" s="10" t="inlineStr">
        <is>
          <t>Bonus, Training, Others</t>
        </is>
      </c>
      <c r="N4778" s="11">
        <f>HYPERLINK("https://www.vietnamworks.com/truong-nhom-thiet-ke-co-dien-2015302-jv","Xem chi tiết")</f>
        <v/>
      </c>
      <c r="O4778" s="10" t="n"/>
    </row>
    <row r="4779">
      <c r="B4779" s="7" t="n">
        <v>4777</v>
      </c>
      <c r="C4779" t="inlineStr">
        <is>
          <t>Tổng Giám Đốc</t>
        </is>
      </c>
      <c r="D4779" t="inlineStr">
        <is>
          <t>Tập đoàn Công nghệ G-Group</t>
        </is>
      </c>
      <c r="E4779" t="inlineStr">
        <is>
          <t>Thương lượng</t>
        </is>
      </c>
      <c r="F4779" t="inlineStr">
        <is>
          <t>Hà Nội</t>
        </is>
      </c>
      <c r="G4779" t="inlineStr">
        <is>
          <t>Giám Đốc và Cấp Cao Hơn</t>
        </is>
      </c>
      <c r="H4779" t="inlineStr">
        <is>
          <t>27/02/2026</t>
        </is>
      </c>
      <c r="I4779" t="inlineStr">
        <is>
          <t>29/03/2026</t>
        </is>
      </c>
      <c r="J4779" t="inlineStr">
        <is>
          <t>17/03/2026</t>
        </is>
      </c>
      <c r="K4779" t="inlineStr">
        <is>
          <t>N/A</t>
        </is>
      </c>
      <c r="L4779" t="inlineStr">
        <is>
          <t>Kinh Doanh, Quản Lý Kinh Doanh, Luxury Goods, Phát Triển Thương Hiệu, Marketing</t>
        </is>
      </c>
      <c r="M4779" t="inlineStr">
        <is>
          <t>Bonus, Healthcare Plan, Team Activities</t>
        </is>
      </c>
      <c r="N4779" s="8">
        <f>HYPERLINK("https://www.vietnamworks.com/tong-giam-doc--2015287-jv","Xem chi tiết")</f>
        <v/>
      </c>
    </row>
    <row r="4780">
      <c r="B4780" s="9" t="n">
        <v>4778</v>
      </c>
      <c r="C4780" s="10" t="inlineStr">
        <is>
          <t>Nhân Viên Kinh Doanh/ Sales Phát Triển Thị Trường</t>
        </is>
      </c>
      <c r="D4780" s="10" t="inlineStr">
        <is>
          <t>Woojin Plaimm Co.,ltd</t>
        </is>
      </c>
      <c r="E4780" s="10" t="inlineStr">
        <is>
          <t>Thương lượng</t>
        </is>
      </c>
      <c r="F4780" s="10" t="inlineStr">
        <is>
          <t>Bắc Ninh, Hồ Chí Minh</t>
        </is>
      </c>
      <c r="G4780" s="10" t="inlineStr">
        <is>
          <t>Nhân viên</t>
        </is>
      </c>
      <c r="H4780" s="10" t="inlineStr">
        <is>
          <t>27/02/2026</t>
        </is>
      </c>
      <c r="I4780" s="10" t="inlineStr">
        <is>
          <t>29/03/2026</t>
        </is>
      </c>
      <c r="J4780" s="10" t="inlineStr">
        <is>
          <t>17/03/2026</t>
        </is>
      </c>
      <c r="K4780" s="10" t="inlineStr">
        <is>
          <t>N/A</t>
        </is>
      </c>
      <c r="L4780" s="10" t="inlineStr">
        <is>
          <t>B2B Sales, Injection Molding, Negotiation Skills, Phát Triển Khách Hàng, Tìm Kiếm Khách Hàng</t>
        </is>
      </c>
      <c r="M4780" s="10" t="inlineStr">
        <is>
          <t>Bonus, Healthcare Plan, Training, Others</t>
        </is>
      </c>
      <c r="N4780" s="11">
        <f>HYPERLINK("https://www.vietnamworks.com/nhan-vien-kinh-doanh-sales-phat-trien-thi-truong-2015285-jv","Xem chi tiết")</f>
        <v/>
      </c>
      <c r="O4780" s="10" t="n"/>
    </row>
    <row r="4781">
      <c r="B4781" s="7" t="n">
        <v>4779</v>
      </c>
      <c r="C4781" t="inlineStr">
        <is>
          <t>Interior Design Manager</t>
        </is>
      </c>
      <c r="D4781" t="inlineStr">
        <is>
          <t>Trung Thuy Group</t>
        </is>
      </c>
      <c r="E4781" t="inlineStr">
        <is>
          <t>Thương lượng</t>
        </is>
      </c>
      <c r="F4781" t="inlineStr">
        <is>
          <t>Hồ Chí Minh</t>
        </is>
      </c>
      <c r="G4781" t="inlineStr">
        <is>
          <t>Trưởng phòng</t>
        </is>
      </c>
      <c r="H4781" t="inlineStr">
        <is>
          <t>27/02/2026</t>
        </is>
      </c>
      <c r="I4781" t="inlineStr">
        <is>
          <t>29/03/2026</t>
        </is>
      </c>
      <c r="J4781" t="inlineStr">
        <is>
          <t>17/03/2026</t>
        </is>
      </c>
      <c r="K4781" t="inlineStr">
        <is>
          <t>N/A</t>
        </is>
      </c>
      <c r="L4781" t="inlineStr">
        <is>
          <t>Interior Design, Architectural Design, Project Management, Interior Materials</t>
        </is>
      </c>
      <c r="M4781" t="inlineStr">
        <is>
          <t>Healthcare Plan, Canteen</t>
        </is>
      </c>
      <c r="N4781" s="8">
        <f>HYPERLINK("https://www.vietnamworks.com/interior-design-manager--2015291-jv","Xem chi tiết")</f>
        <v/>
      </c>
    </row>
    <row r="4782">
      <c r="B4782" s="9" t="n">
        <v>4780</v>
      </c>
      <c r="C4782" s="10" t="inlineStr">
        <is>
          <t>Chuyên Viên Làm Hồ Sơ Định Cư (Canada, Eb3, EB5)</t>
        </is>
      </c>
      <c r="D4782" s="10" t="inlineStr">
        <is>
          <t>CÔNG TY CỔ PHẦN ĐỊNH CƯ TOÀN CẦU</t>
        </is>
      </c>
      <c r="E4782" s="10" t="inlineStr">
        <is>
          <t>30tr-50tr ₫/tháng</t>
        </is>
      </c>
      <c r="F4782" s="10" t="inlineStr">
        <is>
          <t>Hồ Chí Minh</t>
        </is>
      </c>
      <c r="G4782" s="10" t="inlineStr">
        <is>
          <t>Nhân viên</t>
        </is>
      </c>
      <c r="H4782" s="10" t="inlineStr">
        <is>
          <t>27/02/2026</t>
        </is>
      </c>
      <c r="I4782" s="10" t="inlineStr">
        <is>
          <t>29/03/2026</t>
        </is>
      </c>
      <c r="J4782" s="10" t="inlineStr">
        <is>
          <t>17/03/2026</t>
        </is>
      </c>
      <c r="K4782" s="10" t="inlineStr">
        <is>
          <t>N/A</t>
        </is>
      </c>
      <c r="L4782" s="10" t="inlineStr">
        <is>
          <t>Tư Vấn Visa, Tư Vấn Định Cư, Sales Consultant, Immigration Consulting, Du học Mỹ, Úc, Canada</t>
        </is>
      </c>
      <c r="M4782" s="10" t="inlineStr">
        <is>
          <t>Bonus, Healthcare Plan, Training, Travel Opportunities, Others</t>
        </is>
      </c>
      <c r="N4782" s="11">
        <f>HYPERLINK("https://www.vietnamworks.com/chuyen-vien-lam-ho-so-djinh-cu-canada-eb3-eb5-2015282-jv","Xem chi tiết")</f>
        <v/>
      </c>
      <c r="O4782" s="10" t="n"/>
    </row>
    <row r="4783">
      <c r="B4783" s="7" t="n">
        <v>4781</v>
      </c>
      <c r="C4783" t="inlineStr">
        <is>
          <t>Operational Procurement Executive</t>
        </is>
      </c>
      <c r="D4783" t="inlineStr">
        <is>
          <t>Asia Chemical Corporation</t>
        </is>
      </c>
      <c r="E4783" t="inlineStr">
        <is>
          <t>Thương lượng</t>
        </is>
      </c>
      <c r="F4783" t="inlineStr">
        <is>
          <t>Hồ Chí Minh</t>
        </is>
      </c>
      <c r="G4783" t="inlineStr">
        <is>
          <t>Nhân viên</t>
        </is>
      </c>
      <c r="H4783" t="inlineStr">
        <is>
          <t>27/02/2026</t>
        </is>
      </c>
      <c r="I4783" t="inlineStr">
        <is>
          <t>29/03/2026</t>
        </is>
      </c>
      <c r="J4783" t="inlineStr">
        <is>
          <t>17/03/2026</t>
        </is>
      </c>
      <c r="K4783" t="inlineStr">
        <is>
          <t>N/A</t>
        </is>
      </c>
      <c r="L4783" t="inlineStr">
        <is>
          <t>Microsoft Office Proficiency, Negotiation Skills, Pharmaceutical Knowledge, Procurement, Shipment Management</t>
        </is>
      </c>
      <c r="M4783" t="inlineStr">
        <is>
          <t>Bonus, Healthcare Plan, Training, Laptop, Mobile, Travel Opportunities</t>
        </is>
      </c>
      <c r="N4783" s="8">
        <f>HYPERLINK("https://www.vietnamworks.com/operational-procurement-executive-2015278-jv","Xem chi tiết")</f>
        <v/>
      </c>
    </row>
    <row r="4784">
      <c r="B4784" s="9" t="n">
        <v>4782</v>
      </c>
      <c r="C4784" s="10" t="inlineStr">
        <is>
          <t>Automation Engineer</t>
        </is>
      </c>
      <c r="D4784" s="10" t="inlineStr">
        <is>
          <t>Nippon Sanso Vietnam JSC</t>
        </is>
      </c>
      <c r="E4784" s="10" t="inlineStr">
        <is>
          <t>Thương lượng</t>
        </is>
      </c>
      <c r="F4784" s="10" t="inlineStr">
        <is>
          <t>Đồng Nai</t>
        </is>
      </c>
      <c r="G4784" s="10" t="inlineStr">
        <is>
          <t>Nhân viên</t>
        </is>
      </c>
      <c r="H4784" s="10" t="inlineStr">
        <is>
          <t>27/02/2026</t>
        </is>
      </c>
      <c r="I4784" s="10" t="inlineStr">
        <is>
          <t>29/03/2026</t>
        </is>
      </c>
      <c r="J4784" s="10" t="inlineStr">
        <is>
          <t>17/03/2026</t>
        </is>
      </c>
      <c r="K4784" s="10" t="inlineStr">
        <is>
          <t>N/A</t>
        </is>
      </c>
      <c r="L4784" s="10" t="inlineStr">
        <is>
          <t>AutoCAD, Automation, Technical Translation, Quality Management System, Problem-solving</t>
        </is>
      </c>
      <c r="M4784" s="10" t="inlineStr">
        <is>
          <t>Bonus, Travel Opportunities, Others</t>
        </is>
      </c>
      <c r="N4784" s="11">
        <f>HYPERLINK("https://www.vietnamworks.com/automation-engineer--2015297-jv","Xem chi tiết")</f>
        <v/>
      </c>
      <c r="O4784" s="10" t="n"/>
    </row>
    <row r="4785">
      <c r="B4785" s="7" t="n">
        <v>4783</v>
      </c>
      <c r="C4785" t="inlineStr">
        <is>
          <t>Head Of Growth / Performance Marketing Manager (Social Commerce)</t>
        </is>
      </c>
      <c r="D4785" t="inlineStr">
        <is>
          <t>CÔNG TY TNHH GAIA INTERNATIONAL VINA</t>
        </is>
      </c>
      <c r="E4785" t="inlineStr">
        <is>
          <t>Từ 30tr ₫/tháng</t>
        </is>
      </c>
      <c r="F4785" t="inlineStr">
        <is>
          <t>Hà Nội, Hồ Chí Minh</t>
        </is>
      </c>
      <c r="G4785" t="inlineStr">
        <is>
          <t>Giám Đốc và Cấp Cao Hơn</t>
        </is>
      </c>
      <c r="H4785" t="inlineStr">
        <is>
          <t>27/02/2026</t>
        </is>
      </c>
      <c r="I4785" t="inlineStr">
        <is>
          <t>29/03/2026</t>
        </is>
      </c>
      <c r="J4785" t="inlineStr">
        <is>
          <t>17/03/2026</t>
        </is>
      </c>
      <c r="K4785" t="inlineStr">
        <is>
          <t>N/A</t>
        </is>
      </c>
      <c r="L4785" t="inlineStr">
        <is>
          <t>Digital Marketing, Social Commerce, Data Analysis, Team Management, Performance Marketing</t>
        </is>
      </c>
      <c r="M4785" t="inlineStr">
        <is>
          <t>Bonus, Healthcare Plan, Paid Leave, Others</t>
        </is>
      </c>
      <c r="N4785" s="8">
        <f>HYPERLINK("https://www.vietnamworks.com/head-of-growth-performance-marketing-manager-social-commerce-2015292-jv","Xem chi tiết")</f>
        <v/>
      </c>
    </row>
    <row r="4786">
      <c r="B4786" s="9" t="n">
        <v>4784</v>
      </c>
      <c r="C4786" s="10" t="inlineStr">
        <is>
          <t>Nhân Viên Kinh Doanh (cho Thuê Sàn Văn Phòng/Coworking)</t>
        </is>
      </c>
      <c r="D4786" s="10" t="inlineStr">
        <is>
          <t>Serepok Coworking Space - www.serepok.com</t>
        </is>
      </c>
      <c r="E4786" s="10" t="inlineStr">
        <is>
          <t>Thương lượng</t>
        </is>
      </c>
      <c r="F4786" s="10" t="inlineStr">
        <is>
          <t>Hồ Chí Minh</t>
        </is>
      </c>
      <c r="G4786" s="10" t="inlineStr">
        <is>
          <t>Nhân viên</t>
        </is>
      </c>
      <c r="H4786" s="10" t="inlineStr">
        <is>
          <t>27/02/2026</t>
        </is>
      </c>
      <c r="I4786" s="10" t="inlineStr">
        <is>
          <t>29/03/2026</t>
        </is>
      </c>
      <c r="J4786" s="10" t="inlineStr">
        <is>
          <t>17/03/2026</t>
        </is>
      </c>
      <c r="K4786" s="10" t="inlineStr">
        <is>
          <t>N/A</t>
        </is>
      </c>
      <c r="L4786" s="10" t="inlineStr">
        <is>
          <t>Communication Skills, Customer Service, Microsoft Office, Negotiation Skills, Self Planning</t>
        </is>
      </c>
      <c r="M4786" s="10" t="inlineStr">
        <is>
          <t>Bonus, Healthcare Plan, Paid Leave, Training, Travel Opportunities, Others</t>
        </is>
      </c>
      <c r="N4786" s="11">
        <f>HYPERLINK("https://www.vietnamworks.com/nhan-vien-kinh-doanh-cho-thue-san-van-phongcoworking-2015295-jv","Xem chi tiết")</f>
        <v/>
      </c>
      <c r="O4786" s="10" t="n"/>
    </row>
    <row r="4787">
      <c r="B4787" s="7" t="n">
        <v>4785</v>
      </c>
      <c r="C4787" t="inlineStr">
        <is>
          <t>Giám Sát Công Trình</t>
        </is>
      </c>
      <c r="D4787" t="inlineStr">
        <is>
          <t>Công Ty Cổ Phần Woodsland</t>
        </is>
      </c>
      <c r="E4787" t="inlineStr">
        <is>
          <t>Thương lượng</t>
        </is>
      </c>
      <c r="F4787" t="inlineStr">
        <is>
          <t>Hà Nội</t>
        </is>
      </c>
      <c r="G4787" t="inlineStr">
        <is>
          <t>Nhân viên</t>
        </is>
      </c>
      <c r="H4787" t="inlineStr">
        <is>
          <t>27/02/2026</t>
        </is>
      </c>
      <c r="I4787" t="inlineStr">
        <is>
          <t>29/03/2026</t>
        </is>
      </c>
      <c r="J4787" t="inlineStr">
        <is>
          <t>17/03/2026</t>
        </is>
      </c>
      <c r="K4787" t="inlineStr">
        <is>
          <t>N/A</t>
        </is>
      </c>
      <c r="L4787" t="inlineStr">
        <is>
          <t>Giám Sát Công Trình, Khảo Sát Hiện Trường, Lập Bảng Tiến Độ, AutoCAD, Bóc Tách Khối Lượng</t>
        </is>
      </c>
      <c r="M4787" t="inlineStr">
        <is>
          <t>Bonus, Healthcare Plan, Training, Team Activities, Others</t>
        </is>
      </c>
      <c r="N4787" s="8">
        <f>HYPERLINK("https://www.vietnamworks.com/giam-sat-cong-trinh-2015290-jv","Xem chi tiết")</f>
        <v/>
      </c>
    </row>
    <row r="4788">
      <c r="B4788" s="9" t="n">
        <v>4786</v>
      </c>
      <c r="C4788" s="10" t="inlineStr">
        <is>
          <t>Chuyên Viên Dịch Vụ Khách Hàng Quỹ Đầu Tư</t>
        </is>
      </c>
      <c r="D4788" s="10" t="inlineStr">
        <is>
          <t>Công Ty TNHH Quản Lý Quỹ Bảo Việt (BVF)</t>
        </is>
      </c>
      <c r="E4788" s="10" t="inlineStr">
        <is>
          <t>Thương lượng</t>
        </is>
      </c>
      <c r="F4788" s="10" t="inlineStr">
        <is>
          <t>Hà Nội</t>
        </is>
      </c>
      <c r="G4788" s="10" t="inlineStr">
        <is>
          <t>Nhân viên</t>
        </is>
      </c>
      <c r="H4788" s="10" t="inlineStr">
        <is>
          <t>27/02/2026</t>
        </is>
      </c>
      <c r="I4788" s="10" t="inlineStr">
        <is>
          <t>29/03/2026</t>
        </is>
      </c>
      <c r="J4788" s="10" t="inlineStr">
        <is>
          <t>17/03/2026</t>
        </is>
      </c>
      <c r="K4788" s="10" t="inlineStr">
        <is>
          <t>N/A</t>
        </is>
      </c>
      <c r="L4788" s="10" t="inlineStr">
        <is>
          <t>Chứng Khoán, Tài Chính, Đầu Tư, Quản Lý Quỹ Đầu Tư, Tài Chính Đầu Tư</t>
        </is>
      </c>
      <c r="M4788" s="10" t="inlineStr">
        <is>
          <t>Bonus, Training, Others</t>
        </is>
      </c>
      <c r="N4788" s="11">
        <f>HYPERLINK("https://www.vietnamworks.com/chuyen-vien-dich-vu-khach-hang-quy-dau-tu-2015299-jv","Xem chi tiết")</f>
        <v/>
      </c>
      <c r="O4788" s="10" t="n"/>
    </row>
    <row r="4789">
      <c r="B4789" s="7" t="n">
        <v>4787</v>
      </c>
      <c r="C4789" t="inlineStr">
        <is>
          <t>Kỹ Sư Xây Dựng</t>
        </is>
      </c>
      <c r="D4789" t="inlineStr">
        <is>
          <t>Công ty Cổ phần xây dựng số 10</t>
        </is>
      </c>
      <c r="E4789" t="inlineStr">
        <is>
          <t>15tr-30tr ₫/tháng</t>
        </is>
      </c>
      <c r="F4789" t="inlineStr">
        <is>
          <t>Bắc Ninh</t>
        </is>
      </c>
      <c r="G4789" t="inlineStr">
        <is>
          <t>Nhân viên</t>
        </is>
      </c>
      <c r="H4789" t="inlineStr">
        <is>
          <t>27/02/2026</t>
        </is>
      </c>
      <c r="I4789" t="inlineStr">
        <is>
          <t>29/03/2026</t>
        </is>
      </c>
      <c r="J4789" t="inlineStr">
        <is>
          <t>17/03/2026</t>
        </is>
      </c>
      <c r="K4789" t="inlineStr">
        <is>
          <t>N/A</t>
        </is>
      </c>
      <c r="L4789" t="inlineStr">
        <is>
          <t>AutoCAD, BIM, Kỹ Sư Xây Dựng, Dự Toán Xây Dựng, Giám Sát Thi Công</t>
        </is>
      </c>
      <c r="M4789" t="inlineStr">
        <is>
          <t>Bonus, Healthcare Plan, Paid Leave, Travel Opportunities, Team Activities, Others</t>
        </is>
      </c>
      <c r="N4789" s="8">
        <f>HYPERLINK("https://www.vietnamworks.com/ky-su-xay-dung-2015304-jv","Xem chi tiết")</f>
        <v/>
      </c>
    </row>
    <row r="4790">
      <c r="B4790" s="9" t="n">
        <v>4788</v>
      </c>
      <c r="C4790" s="10" t="inlineStr">
        <is>
          <t>Nhân Viên Nhân Sự (HR Staff)</t>
        </is>
      </c>
      <c r="D4790" s="10" t="inlineStr">
        <is>
          <t>Shilla Bags International</t>
        </is>
      </c>
      <c r="E4790" s="10" t="inlineStr">
        <is>
          <t>Thương lượng</t>
        </is>
      </c>
      <c r="F4790" s="10" t="inlineStr">
        <is>
          <t>Hồ Chí Minh, Bình Dương</t>
        </is>
      </c>
      <c r="G4790" s="10" t="inlineStr">
        <is>
          <t>Nhân viên</t>
        </is>
      </c>
      <c r="H4790" s="10" t="inlineStr">
        <is>
          <t>27/02/2026</t>
        </is>
      </c>
      <c r="I4790" s="10" t="inlineStr">
        <is>
          <t>29/03/2026</t>
        </is>
      </c>
      <c r="J4790" s="10" t="inlineStr">
        <is>
          <t>17/03/2026</t>
        </is>
      </c>
      <c r="K4790" s="10" t="inlineStr">
        <is>
          <t>N/A</t>
        </is>
      </c>
      <c r="L4790" s="10" t="inlineStr">
        <is>
          <t>Human Resources, Tuyển Dụng, Quản Lý Hồ Sơ, Hành Chính Nhân Sự, Nhân Sự</t>
        </is>
      </c>
      <c r="M4790" s="10" t="inlineStr">
        <is>
          <t>Bonus, Healthcare Plan, Transportation</t>
        </is>
      </c>
      <c r="N4790" s="11">
        <f>HYPERLINK("https://www.vietnamworks.com/nhan-vien-nhan-su-hr-staff--2015310-jv","Xem chi tiết")</f>
        <v/>
      </c>
      <c r="O4790" s="10" t="n"/>
    </row>
    <row r="4791">
      <c r="B4791" s="7" t="n">
        <v>4789</v>
      </c>
      <c r="C4791" t="inlineStr">
        <is>
          <t>Nhân Viên Kinh Doanh (B2B, B2C, Thị Trường Trung Quốc) - Thu Nhập Từ 20-50 Triệu</t>
        </is>
      </c>
      <c r="D4791" t="inlineStr">
        <is>
          <t>Công Ty TNHH Cesco Việt Nam - Hà Nội</t>
        </is>
      </c>
      <c r="E4791" t="inlineStr">
        <is>
          <t>Tới $ 2,000 /tháng</t>
        </is>
      </c>
      <c r="F4791" t="inlineStr">
        <is>
          <t>Hà Nội</t>
        </is>
      </c>
      <c r="G4791" t="inlineStr">
        <is>
          <t>Nhân viên</t>
        </is>
      </c>
      <c r="H4791" t="inlineStr">
        <is>
          <t>27/02/2026</t>
        </is>
      </c>
      <c r="I4791" t="inlineStr">
        <is>
          <t>29/03/2026</t>
        </is>
      </c>
      <c r="J4791" t="inlineStr">
        <is>
          <t>17/03/2026</t>
        </is>
      </c>
      <c r="K4791" t="inlineStr">
        <is>
          <t>N/A</t>
        </is>
      </c>
      <c r="L4791" t="inlineStr">
        <is>
          <t>Quản Lý Bán Hàng, B2B Sales, B2C Sales, Tư Vấn Giải Pháp, Lập Kế Hoạch Kinh Doanh</t>
        </is>
      </c>
      <c r="M4791" t="inlineStr">
        <is>
          <t>Bonus, Healthcare Plan, Awards</t>
        </is>
      </c>
      <c r="N4791" s="8">
        <f>HYPERLINK("https://www.vietnamworks.com/nhan-vien-kinh-doanh-b2b-b2c-thi-truong-trung-quoc-thu-nhap-tu-20-50-trieu--2015305-jv","Xem chi tiết")</f>
        <v/>
      </c>
    </row>
    <row r="4792">
      <c r="B4792" s="9" t="n">
        <v>4790</v>
      </c>
      <c r="C4792" s="10" t="inlineStr">
        <is>
          <t>Senior Digital Marketing (In-House) F&amp;B - Thu Nhập Upto 20Tr/ Tháng</t>
        </is>
      </c>
      <c r="D4792" s="10" t="inlineStr">
        <is>
          <t>Công ty Cổ phần Gastrolink</t>
        </is>
      </c>
      <c r="E4792" s="10" t="inlineStr">
        <is>
          <t>16tr-20tr ₫/tháng</t>
        </is>
      </c>
      <c r="F4792" s="10" t="inlineStr">
        <is>
          <t>Hà Nội</t>
        </is>
      </c>
      <c r="G4792" s="10" t="inlineStr">
        <is>
          <t>Nhân viên</t>
        </is>
      </c>
      <c r="H4792" s="10" t="inlineStr">
        <is>
          <t>27/02/2026</t>
        </is>
      </c>
      <c r="I4792" s="10" t="inlineStr">
        <is>
          <t>29/03/2026</t>
        </is>
      </c>
      <c r="J4792" s="10" t="inlineStr">
        <is>
          <t>17/03/2026</t>
        </is>
      </c>
      <c r="K4792" s="10" t="inlineStr">
        <is>
          <t>N/A</t>
        </is>
      </c>
      <c r="L4792" s="10" t="inlineStr">
        <is>
          <t>Digital Marketing, Advertising Management, Data Analysis, App Planning, Business Efficiency</t>
        </is>
      </c>
      <c r="M4792" s="10" t="inlineStr">
        <is>
          <t>Bonus, Team Activities</t>
        </is>
      </c>
      <c r="N4792" s="11">
        <f>HYPERLINK("https://www.vietnamworks.com/senior-digital-marketing-in-house-f-b-thu-nhap-upto-20tr-thang-2015303-jv","Xem chi tiết")</f>
        <v/>
      </c>
      <c r="O4792" s="10" t="n"/>
    </row>
    <row r="4793">
      <c r="B4793" s="7" t="n">
        <v>4791</v>
      </c>
      <c r="C4793" t="inlineStr">
        <is>
          <t>Kế Toán Tổng Hợp (Misa, Thuế, Báo Cáo Tài Chính) - Tp. Thủ Đức (Cũ)</t>
        </is>
      </c>
      <c r="D4793" t="inlineStr">
        <is>
          <t>CÔNG TY TNHH SX - TM NHÂN TUẤN NHÂN</t>
        </is>
      </c>
      <c r="E4793" t="inlineStr">
        <is>
          <t>10tr-15tr ₫/tháng</t>
        </is>
      </c>
      <c r="F4793" t="inlineStr">
        <is>
          <t>Hồ Chí Minh</t>
        </is>
      </c>
      <c r="G4793" t="inlineStr">
        <is>
          <t>Nhân viên</t>
        </is>
      </c>
      <c r="H4793" t="inlineStr">
        <is>
          <t>27/02/2026</t>
        </is>
      </c>
      <c r="I4793" t="inlineStr">
        <is>
          <t>29/03/2026</t>
        </is>
      </c>
      <c r="J4793" t="inlineStr">
        <is>
          <t>17/03/2026</t>
        </is>
      </c>
      <c r="K4793" t="inlineStr">
        <is>
          <t>N/A</t>
        </is>
      </c>
      <c r="L4793" t="inlineStr">
        <is>
          <t>General Accounting, Tax Accounting, Financial Accounting, Cost Accounting, MISA</t>
        </is>
      </c>
      <c r="M4793" t="inlineStr">
        <is>
          <t>Bonus, Healthcare Plan, Travel Opportunities</t>
        </is>
      </c>
      <c r="N4793" s="8">
        <f>HYPERLINK("https://www.vietnamworks.com/ke-toan-tong-hop-misa-thue-bao-cao-tai-chinh-tp-thu-duc-cu-2015316-jv","Xem chi tiết")</f>
        <v/>
      </c>
    </row>
    <row r="4794">
      <c r="B4794" s="9" t="n">
        <v>4792</v>
      </c>
      <c r="C4794" s="10" t="inlineStr">
        <is>
          <t>Quản Lý Điện Vận Hành Tòa Nhà</t>
        </is>
      </c>
      <c r="D4794" s="10" t="inlineStr">
        <is>
          <t>Công Ty TNHH Lotte Property &amp; Development Việt Nam</t>
        </is>
      </c>
      <c r="E4794" s="10" t="inlineStr">
        <is>
          <t>Thương lượng</t>
        </is>
      </c>
      <c r="F4794" s="10" t="inlineStr">
        <is>
          <t>Hà Nội</t>
        </is>
      </c>
      <c r="G4794" s="10" t="inlineStr">
        <is>
          <t>Trưởng phòng</t>
        </is>
      </c>
      <c r="H4794" s="10" t="inlineStr">
        <is>
          <t>27/02/2026</t>
        </is>
      </c>
      <c r="I4794" s="10" t="inlineStr">
        <is>
          <t>29/03/2026</t>
        </is>
      </c>
      <c r="J4794" s="10" t="inlineStr">
        <is>
          <t>17/03/2026</t>
        </is>
      </c>
      <c r="K4794" s="10" t="inlineStr">
        <is>
          <t>N/A</t>
        </is>
      </c>
      <c r="L4794" s="10" t="inlineStr">
        <is>
          <t>Điện, Vận Hành Tòa Nhà, Kỹ Thuật Toà Nhà, Electromechanics, Cơ Điện</t>
        </is>
      </c>
      <c r="M4794" s="10" t="inlineStr">
        <is>
          <t>Bonus, Awards, Others</t>
        </is>
      </c>
      <c r="N4794" s="11">
        <f>HYPERLINK("https://www.vietnamworks.com/quan-ly-dien-van-hanh-toa-nha-2015323-jv","Xem chi tiết")</f>
        <v/>
      </c>
      <c r="O4794" s="10" t="n"/>
    </row>
    <row r="4795">
      <c r="B4795" s="7" t="n">
        <v>4793</v>
      </c>
      <c r="C4795" t="inlineStr">
        <is>
          <t>Quản Lý Vận Hành Nhà Máy Xử Lý Nước Thải Và Giám Sát Môi Trường: 1 Người (Nam)</t>
        </is>
      </c>
      <c r="D4795" t="inlineStr">
        <is>
          <t>VSIP Nghe An Company Limitted</t>
        </is>
      </c>
      <c r="E4795" t="inlineStr">
        <is>
          <t>Thương lượng</t>
        </is>
      </c>
      <c r="F4795" t="inlineStr">
        <is>
          <t>Nghệ An, Hà Tĩnh</t>
        </is>
      </c>
      <c r="G4795" t="inlineStr">
        <is>
          <t>Nhân viên</t>
        </is>
      </c>
      <c r="H4795" t="inlineStr">
        <is>
          <t>27/02/2026</t>
        </is>
      </c>
      <c r="I4795" t="inlineStr">
        <is>
          <t>29/03/2026</t>
        </is>
      </c>
      <c r="J4795" t="inlineStr">
        <is>
          <t>17/03/2026</t>
        </is>
      </c>
      <c r="K4795" t="inlineStr">
        <is>
          <t>N/A</t>
        </is>
      </c>
      <c r="L4795" t="inlineStr">
        <is>
          <t>Kỹ Thuật Môi Trường, Tiếng Anh, Giám Sát Vận Hành, Quản Lý Chất Lượng Nước Thải, Môi Trường</t>
        </is>
      </c>
      <c r="M4795" t="inlineStr">
        <is>
          <t>Bonus, Healthcare Plan, Paid Leave, Travel Opportunities, Others</t>
        </is>
      </c>
      <c r="N4795" s="8">
        <f>HYPERLINK("https://www.vietnamworks.com/quan-ly-van-hanh-nha-may-xu-ly-nuoc-thai-va-giam-sat-moi-truong-1-nguoi-nam-2015308-jv","Xem chi tiết")</f>
        <v/>
      </c>
    </row>
    <row r="4796">
      <c r="B4796" s="9" t="n">
        <v>4794</v>
      </c>
      <c r="C4796" s="10" t="inlineStr">
        <is>
          <t>Quản Lý Dự Án</t>
        </is>
      </c>
      <c r="D4796" s="10" t="inlineStr">
        <is>
          <t>CHI NHÁNH CÔNG TY TNHH VIỆT NAM KANDENKO TẠI THÀNH PHỐ HỒ CHÍ MINH  Read more: https://masocongty.vn/company/1262701/chi-nhanh-cong-ty-tnhh-viet-nam-kandenko-tai-thanh-pho-ho-chi-minh.html#ixzz7OueBAE6E</t>
        </is>
      </c>
      <c r="E4796" s="10" t="inlineStr">
        <is>
          <t>Thương lượng</t>
        </is>
      </c>
      <c r="F4796" s="10" t="inlineStr">
        <is>
          <t>Đồng Nai, Bình Dương, Hồ Chí Minh</t>
        </is>
      </c>
      <c r="G4796" s="10" t="inlineStr">
        <is>
          <t>Trưởng phòng</t>
        </is>
      </c>
      <c r="H4796" s="10" t="inlineStr">
        <is>
          <t>27/02/2026</t>
        </is>
      </c>
      <c r="I4796" s="10" t="inlineStr">
        <is>
          <t>29/03/2026</t>
        </is>
      </c>
      <c r="J4796" s="10" t="inlineStr">
        <is>
          <t>17/03/2026</t>
        </is>
      </c>
      <c r="K4796" s="10" t="inlineStr">
        <is>
          <t>N/A</t>
        </is>
      </c>
      <c r="L4796" s="10" t="inlineStr">
        <is>
          <t>MEP, Quản Lý Tiến Độ, Quản Lý Dự Án Cơ Điện, Kiểm Soát Khối Lượng, Project Management</t>
        </is>
      </c>
      <c r="M4796" s="10" t="inlineStr">
        <is>
          <t>Bonus, Healthcare Plan, Paid Leave</t>
        </is>
      </c>
      <c r="N4796" s="11">
        <f>HYPERLINK("https://www.vietnamworks.com/quan-ly-du-an--2015342-jv","Xem chi tiết")</f>
        <v/>
      </c>
      <c r="O4796" s="10" t="n"/>
    </row>
    <row r="4797">
      <c r="B4797" s="7" t="n">
        <v>4795</v>
      </c>
      <c r="C4797" t="inlineStr">
        <is>
          <t>Credit Controller</t>
        </is>
      </c>
      <c r="D4797" t="inlineStr">
        <is>
          <t>Pebsteel Buildings Co., Ltd.</t>
        </is>
      </c>
      <c r="E4797" t="inlineStr">
        <is>
          <t>Thương lượng</t>
        </is>
      </c>
      <c r="F4797" t="inlineStr">
        <is>
          <t>Hồ Chí Minh</t>
        </is>
      </c>
      <c r="G4797" t="inlineStr">
        <is>
          <t>Nhân viên</t>
        </is>
      </c>
      <c r="H4797" t="inlineStr">
        <is>
          <t>27/02/2026</t>
        </is>
      </c>
      <c r="I4797" t="inlineStr">
        <is>
          <t>29/03/2026</t>
        </is>
      </c>
      <c r="J4797" t="inlineStr">
        <is>
          <t>17/03/2026</t>
        </is>
      </c>
      <c r="K4797" t="inlineStr">
        <is>
          <t>N/A</t>
        </is>
      </c>
      <c r="L4797" t="inlineStr">
        <is>
          <t>Credit Collection, Credit Management, Debt Collection, Banking Transaction, Sales Contract Management</t>
        </is>
      </c>
      <c r="M4797" t="inlineStr">
        <is>
          <t>Bonus, Healthcare Plan, Training</t>
        </is>
      </c>
      <c r="N4797" s="8">
        <f>HYPERLINK("https://www.vietnamworks.com/credit-controller--2015343-jv","Xem chi tiết")</f>
        <v/>
      </c>
    </row>
    <row r="4798">
      <c r="B4798" s="9" t="n">
        <v>4796</v>
      </c>
      <c r="C4798" s="10" t="inlineStr">
        <is>
          <t>Quản Lý Kinh Doanh Kênh MT - Ngành Điện Máy Gia Dụng, Thiết Bị Nhà Bếp</t>
        </is>
      </c>
      <c r="D4798" s="10" t="inlineStr">
        <is>
          <t>Tập Đoàn Karofi Holding</t>
        </is>
      </c>
      <c r="E4798" s="10" t="inlineStr">
        <is>
          <t>$$ 2,000-5,000 /tháng</t>
        </is>
      </c>
      <c r="F4798" s="10" t="inlineStr">
        <is>
          <t>Hồ Chí Minh, Hà Nội</t>
        </is>
      </c>
      <c r="G4798" s="10" t="inlineStr">
        <is>
          <t>Trưởng phòng</t>
        </is>
      </c>
      <c r="H4798" s="10" t="inlineStr">
        <is>
          <t>27/02/2026</t>
        </is>
      </c>
      <c r="I4798" s="10" t="inlineStr">
        <is>
          <t>29/03/2026</t>
        </is>
      </c>
      <c r="J4798" s="10" t="inlineStr">
        <is>
          <t>17/03/2026</t>
        </is>
      </c>
      <c r="K4798" s="10" t="inlineStr">
        <is>
          <t>N/A</t>
        </is>
      </c>
      <c r="L4798" s="10" t="inlineStr">
        <is>
          <t>Gia Dụng, Điện Tử, Điện Lạnh Gia Dụng, Quản Lý Kinh Doanh, Modern Trade Planning</t>
        </is>
      </c>
      <c r="M4798" s="10" t="inlineStr">
        <is>
          <t>Bonus, Healthcare Plan, Laptop</t>
        </is>
      </c>
      <c r="N4798" s="11">
        <f>HYPERLINK("https://www.vietnamworks.com/quan-ly-kinh-doanh-kenh-mt-nganh-dien-may-gia-dung-thiet-bi-nha-bep--2015306-jv","Xem chi tiết")</f>
        <v/>
      </c>
      <c r="O4798" s="10" t="n"/>
    </row>
    <row r="4799">
      <c r="B4799" s="7" t="n">
        <v>4797</v>
      </c>
      <c r="C4799" t="inlineStr">
        <is>
          <t>Sea Export</t>
        </is>
      </c>
      <c r="D4799" t="inlineStr">
        <is>
          <t>Công ty TNHH Logimark International</t>
        </is>
      </c>
      <c r="E4799" t="inlineStr">
        <is>
          <t>Thương lượng</t>
        </is>
      </c>
      <c r="F4799" t="inlineStr">
        <is>
          <t>Hồ Chí Minh</t>
        </is>
      </c>
      <c r="G4799" t="inlineStr">
        <is>
          <t>Nhân viên</t>
        </is>
      </c>
      <c r="H4799" t="inlineStr">
        <is>
          <t>27/02/2026</t>
        </is>
      </c>
      <c r="I4799" t="inlineStr">
        <is>
          <t>29/03/2026</t>
        </is>
      </c>
      <c r="J4799" t="inlineStr">
        <is>
          <t>17/03/2026</t>
        </is>
      </c>
      <c r="K4799" t="inlineStr">
        <is>
          <t>N/A</t>
        </is>
      </c>
      <c r="L4799" t="inlineStr">
        <is>
          <t>Sea Freight, Customer Service, AMS, Export, SOP</t>
        </is>
      </c>
      <c r="M4799" t="inlineStr">
        <is>
          <t>Bonus, Healthcare Plan, Training</t>
        </is>
      </c>
      <c r="N4799" s="8">
        <f>HYPERLINK("https://www.vietnamworks.com/sea-export-2015307-jv","Xem chi tiết")</f>
        <v/>
      </c>
    </row>
    <row r="4800">
      <c r="B4800" s="9" t="n">
        <v>4798</v>
      </c>
      <c r="C4800" s="10" t="inlineStr">
        <is>
          <t>Trưởng Nhóm Kho/Thủ Kho</t>
        </is>
      </c>
      <c r="D4800" s="10" t="inlineStr">
        <is>
          <t>KLN Integrated Logistics (Viet Nam) Company Limited</t>
        </is>
      </c>
      <c r="E4800" s="10" t="inlineStr">
        <is>
          <t>Thương lượng</t>
        </is>
      </c>
      <c r="F4800" s="10" t="inlineStr">
        <is>
          <t>Bình Dương, Hồ Chí Minh</t>
        </is>
      </c>
      <c r="G4800" s="10" t="inlineStr">
        <is>
          <t>Nhân viên</t>
        </is>
      </c>
      <c r="H4800" s="10" t="inlineStr">
        <is>
          <t>27/02/2026</t>
        </is>
      </c>
      <c r="I4800" s="10" t="inlineStr">
        <is>
          <t>29/03/2026</t>
        </is>
      </c>
      <c r="J4800" s="10" t="inlineStr">
        <is>
          <t>17/03/2026</t>
        </is>
      </c>
      <c r="K4800" s="10" t="inlineStr">
        <is>
          <t>N/A</t>
        </is>
      </c>
      <c r="L4800" s="10" t="inlineStr">
        <is>
          <t>Kiểm Kê Hàng Hóa, Quản Lý Giao Vận, Kho hàng, Kho Vận, Warehouse</t>
        </is>
      </c>
      <c r="M4800" s="10" t="inlineStr">
        <is>
          <t>Bonus, Healthcare Plan, Awards, Laptop</t>
        </is>
      </c>
      <c r="N4800" s="11">
        <f>HYPERLINK("https://www.vietnamworks.com/truong-nhom-khothu-kho-2015314-jv","Xem chi tiết")</f>
        <v/>
      </c>
      <c r="O4800" s="10" t="n"/>
    </row>
    <row r="4801">
      <c r="B4801" s="7" t="n">
        <v>4799</v>
      </c>
      <c r="C4801" t="inlineStr">
        <is>
          <t>Sales Staff</t>
        </is>
      </c>
      <c r="D4801" t="inlineStr">
        <is>
          <t>Công ty TNHH Antolin Việt Nam</t>
        </is>
      </c>
      <c r="E4801" t="inlineStr">
        <is>
          <t>Thương lượng</t>
        </is>
      </c>
      <c r="F4801" t="inlineStr">
        <is>
          <t>Hải Phòng</t>
        </is>
      </c>
      <c r="G4801" t="inlineStr">
        <is>
          <t>Nhân viên</t>
        </is>
      </c>
      <c r="H4801" t="inlineStr">
        <is>
          <t>27/02/2026</t>
        </is>
      </c>
      <c r="I4801" t="inlineStr">
        <is>
          <t>29/03/2026</t>
        </is>
      </c>
      <c r="J4801" t="inlineStr">
        <is>
          <t>17/03/2026</t>
        </is>
      </c>
      <c r="K4801" t="inlineStr">
        <is>
          <t>N/A</t>
        </is>
      </c>
      <c r="L4801" t="inlineStr">
        <is>
          <t>Business Development, Customer Service, English, Price Negotiation, Sales</t>
        </is>
      </c>
      <c r="M4801" t="inlineStr">
        <is>
          <t>Bonus, Paid Leave, Training, Others</t>
        </is>
      </c>
      <c r="N4801" s="8">
        <f>HYPERLINK("https://www.vietnamworks.com/sales-staff-2015309-jv","Xem chi tiết")</f>
        <v/>
      </c>
    </row>
    <row r="4802">
      <c r="B4802" s="9" t="n">
        <v>4800</v>
      </c>
      <c r="C4802" s="10" t="inlineStr">
        <is>
          <t>Nhân Viên Kinh Doanh - Sales Executive (Sản Phẩm Nội Thất) - Tp. Thủ Đức (Cũ)</t>
        </is>
      </c>
      <c r="D4802" s="10" t="inlineStr">
        <is>
          <t>CÔNG TY TNHH SX - TM NHÂN TUẤN NHÂN</t>
        </is>
      </c>
      <c r="E4802" s="10" t="inlineStr">
        <is>
          <t>10tr-15tr ₫/tháng</t>
        </is>
      </c>
      <c r="F4802" s="10" t="inlineStr">
        <is>
          <t>Hồ Chí Minh</t>
        </is>
      </c>
      <c r="G4802" s="10" t="inlineStr">
        <is>
          <t>Nhân viên</t>
        </is>
      </c>
      <c r="H4802" s="10" t="inlineStr">
        <is>
          <t>27/02/2026</t>
        </is>
      </c>
      <c r="I4802" s="10" t="inlineStr">
        <is>
          <t>29/03/2026</t>
        </is>
      </c>
      <c r="J4802" s="10" t="inlineStr">
        <is>
          <t>17/03/2026</t>
        </is>
      </c>
      <c r="K4802" s="10" t="inlineStr">
        <is>
          <t>N/A</t>
        </is>
      </c>
      <c r="L4802" s="10" t="inlineStr">
        <is>
          <t>Phát Triển Kinh Doanh, Business Development, Export sales, International Business, Customer Relationship Management</t>
        </is>
      </c>
      <c r="M4802" s="10" t="inlineStr">
        <is>
          <t>Bonus, Travel Opportunities</t>
        </is>
      </c>
      <c r="N4802" s="11">
        <f>HYPERLINK("https://www.vietnamworks.com/nhan-vien-kinh-doanh-sales-executive-san-pham-noi-that-tp-thu-duc-cu-2015311-jv","Xem chi tiết")</f>
        <v/>
      </c>
      <c r="O4802" s="10" t="n"/>
    </row>
    <row r="4803">
      <c r="B4803" s="7" t="n">
        <v>4801</v>
      </c>
      <c r="C4803" t="inlineStr">
        <is>
          <t>Faculty Assistant</t>
        </is>
      </c>
      <c r="D4803" t="inlineStr">
        <is>
          <t>VGU - Vietnamese German University</t>
        </is>
      </c>
      <c r="E4803" t="inlineStr">
        <is>
          <t>15tr-20tr ₫/tháng</t>
        </is>
      </c>
      <c r="F4803" t="inlineStr">
        <is>
          <t>Bình Dương, Hồ Chí Minh, Đồng Nai</t>
        </is>
      </c>
      <c r="G4803" t="inlineStr">
        <is>
          <t>Nhân viên</t>
        </is>
      </c>
      <c r="H4803" t="inlineStr">
        <is>
          <t>27/02/2026</t>
        </is>
      </c>
      <c r="I4803" t="inlineStr">
        <is>
          <t>29/03/2026</t>
        </is>
      </c>
      <c r="J4803" t="inlineStr">
        <is>
          <t>17/03/2026</t>
        </is>
      </c>
      <c r="K4803" t="inlineStr">
        <is>
          <t>N/A</t>
        </is>
      </c>
      <c r="L4803" t="inlineStr">
        <is>
          <t>Moodle, Academic Support, Assistant, English proficiency</t>
        </is>
      </c>
      <c r="M4803" t="inlineStr">
        <is>
          <t>Bonus, Healthcare Plan, Paid Leave, Laptop, Travel Opportunities, Transportation, Others</t>
        </is>
      </c>
      <c r="N4803" s="8">
        <f>HYPERLINK("https://www.vietnamworks.com/faculty-assistant-2015338-jv","Xem chi tiết")</f>
        <v/>
      </c>
    </row>
    <row r="4804">
      <c r="B4804" s="9" t="n">
        <v>4802</v>
      </c>
      <c r="C4804" s="10" t="inlineStr">
        <is>
          <t>Team Lead / Technical Lead Java Full Stack (Spring Boot, Angular/reactjs)</t>
        </is>
      </c>
      <c r="D4804" s="10" t="inlineStr">
        <is>
          <t>TMA Technology Group</t>
        </is>
      </c>
      <c r="E4804" s="10" t="inlineStr">
        <is>
          <t>Thương lượng</t>
        </is>
      </c>
      <c r="F4804" s="10" t="inlineStr">
        <is>
          <t>Hồ Chí Minh</t>
        </is>
      </c>
      <c r="G4804" s="10" t="inlineStr">
        <is>
          <t>Trưởng phòng</t>
        </is>
      </c>
      <c r="H4804" s="10" t="inlineStr">
        <is>
          <t>27/02/2026</t>
        </is>
      </c>
      <c r="I4804" s="10" t="inlineStr">
        <is>
          <t>29/03/2026</t>
        </is>
      </c>
      <c r="J4804" s="10" t="inlineStr">
        <is>
          <t>17/03/2026</t>
        </is>
      </c>
      <c r="K4804" s="10" t="inlineStr">
        <is>
          <t>N/A</t>
        </is>
      </c>
      <c r="L4804" s="10" t="inlineStr">
        <is>
          <t>ReatJS, Angular, FullStack, Java SpringBoot, Technical Architecture</t>
        </is>
      </c>
      <c r="M4804" s="10" t="inlineStr">
        <is>
          <t>Bonus, Healthcare Plan, Training, Team Activities, Others</t>
        </is>
      </c>
      <c r="N4804" s="11">
        <f>HYPERLINK("https://www.vietnamworks.com/team-lead-technical-lead-java-full-stack-spring-boot-angularreactjs-2015346-jv","Xem chi tiết")</f>
        <v/>
      </c>
      <c r="O4804" s="10" t="n"/>
    </row>
    <row r="4805">
      <c r="B4805" s="7" t="n">
        <v>4803</v>
      </c>
      <c r="C4805" t="inlineStr">
        <is>
          <t>Trợ Lý Chủ Tịch HĐQT Công Ty Chủ Đầu Tư Bất Động Sản</t>
        </is>
      </c>
      <c r="D4805" t="inlineStr">
        <is>
          <t>Công Ty CP Đầu Tư IMG</t>
        </is>
      </c>
      <c r="E4805" t="inlineStr">
        <is>
          <t>$$ 1,300-1,500 /tháng</t>
        </is>
      </c>
      <c r="F4805" t="inlineStr">
        <is>
          <t>Hồ Chí Minh</t>
        </is>
      </c>
      <c r="G4805" t="inlineStr">
        <is>
          <t>Nhân viên</t>
        </is>
      </c>
      <c r="H4805" t="inlineStr">
        <is>
          <t>27/02/2026</t>
        </is>
      </c>
      <c r="I4805" t="inlineStr">
        <is>
          <t>29/03/2026</t>
        </is>
      </c>
      <c r="J4805" t="inlineStr">
        <is>
          <t>17/03/2026</t>
        </is>
      </c>
      <c r="K4805" t="inlineStr">
        <is>
          <t>N/A</t>
        </is>
      </c>
      <c r="L4805" t="inlineStr">
        <is>
          <t>Viết Báo Cáo, Soạn Thảo Văn Bản, Theo Dõi Tiến Độ, MS Office, Ghi Biên Bản Cuộc Họp</t>
        </is>
      </c>
      <c r="M4805" t="inlineStr">
        <is>
          <t>Training, Others</t>
        </is>
      </c>
      <c r="N4805" s="8">
        <f>HYPERLINK("https://www.vietnamworks.com/tro-ly-chu-tich-hdqt-cong-ty-chu-dau-tu-bat-dong-san-2015341-jv","Xem chi tiết")</f>
        <v/>
      </c>
    </row>
    <row r="4806">
      <c r="B4806" s="9" t="n">
        <v>4804</v>
      </c>
      <c r="C4806" s="10" t="inlineStr">
        <is>
          <t>Kỹ Sư Dữ Liệu và Đánh Giá Mô Hình Ngôn Ngữ Lớn (LLM Data &amp; Evaluation Engineer)</t>
        </is>
      </c>
      <c r="D4806" s="10" t="inlineStr">
        <is>
          <t>VIỆN PHÁT TRIỂN CHUYỂN ĐỔI XANH, CHUYỂN ĐỔI SỐ VIỆT NAM</t>
        </is>
      </c>
      <c r="E4806" s="10" t="inlineStr">
        <is>
          <t>Thương lượng</t>
        </is>
      </c>
      <c r="F4806" s="10" t="inlineStr">
        <is>
          <t>Hà Nội</t>
        </is>
      </c>
      <c r="G4806" s="10" t="inlineStr">
        <is>
          <t>Nhân viên</t>
        </is>
      </c>
      <c r="H4806" s="10" t="inlineStr">
        <is>
          <t>27/02/2026</t>
        </is>
      </c>
      <c r="I4806" s="10" t="inlineStr">
        <is>
          <t>29/03/2026</t>
        </is>
      </c>
      <c r="J4806" s="10" t="inlineStr">
        <is>
          <t>17/03/2026</t>
        </is>
      </c>
      <c r="K4806" s="10" t="inlineStr">
        <is>
          <t>N/A</t>
        </is>
      </c>
      <c r="L4806" s="10" t="inlineStr">
        <is>
          <t>Trí Tuệ Nhân Tạo, Khoa Học Dữ Liệu</t>
        </is>
      </c>
      <c r="M4806" s="10" t="inlineStr">
        <is>
          <t>Bonus, Healthcare Plan</t>
        </is>
      </c>
      <c r="N4806" s="11">
        <f>HYPERLINK("https://www.vietnamworks.com/ky-su-du-lieu-va-danh-gia-mo-hinh-ngon-ngu-lon-llm-data-evaluation-engineer-2015313-jv","Xem chi tiết")</f>
        <v/>
      </c>
      <c r="O4806" s="10" t="n"/>
    </row>
    <row r="4807">
      <c r="B4807" s="7" t="n">
        <v>4805</v>
      </c>
      <c r="C4807" t="inlineStr">
        <is>
          <t>Chuyên Viên Cố Vấn Học Tập (Tư vấn du học, Vinschool Phú Quốc)</t>
        </is>
      </c>
      <c r="D4807" t="inlineStr">
        <is>
          <t>Hệ thống Giáo dục Vinschool</t>
        </is>
      </c>
      <c r="E4807" t="inlineStr">
        <is>
          <t>15tr-25tr ₫/tháng</t>
        </is>
      </c>
      <c r="F4807" t="inlineStr">
        <is>
          <t>Kiên Giang</t>
        </is>
      </c>
      <c r="G4807" t="inlineStr">
        <is>
          <t>Nhân viên</t>
        </is>
      </c>
      <c r="H4807" t="inlineStr">
        <is>
          <t>27/02/2026</t>
        </is>
      </c>
      <c r="I4807" t="inlineStr">
        <is>
          <t>29/03/2026</t>
        </is>
      </c>
      <c r="J4807" t="inlineStr">
        <is>
          <t>17/03/2026</t>
        </is>
      </c>
      <c r="K4807" t="inlineStr">
        <is>
          <t>N/A</t>
        </is>
      </c>
      <c r="L4807" t="inlineStr">
        <is>
          <t>Giảng Dạy, Giao Tiếp Tiếng Anh, Tư Vấn Du Học, Kết Nối Trường Đại Học</t>
        </is>
      </c>
      <c r="M4807" t="inlineStr">
        <is>
          <t>Bonus, Healthcare Plan, Paid Leave, Travel Opportunities, Canteen, Others</t>
        </is>
      </c>
      <c r="N4807" s="8">
        <f>HYPERLINK("https://www.vietnamworks.com/chuyen-vien-co-van-hoc-tap-tu-van-du-hoc-vinschool-phu-quoc-2015336-jv","Xem chi tiết")</f>
        <v/>
      </c>
    </row>
    <row r="4808">
      <c r="B4808" s="9" t="n">
        <v>4806</v>
      </c>
      <c r="C4808" s="10" t="inlineStr">
        <is>
          <t>Administration Assisstant (Compliance Support) (Casual)</t>
        </is>
      </c>
      <c r="D4808" s="10" t="inlineStr">
        <is>
          <t>Công Ty TNHH Lotte Property &amp; Development Việt Nam</t>
        </is>
      </c>
      <c r="E4808" s="10" t="inlineStr">
        <is>
          <t>Thương lượng</t>
        </is>
      </c>
      <c r="F4808" s="10" t="inlineStr">
        <is>
          <t>Hà Nội</t>
        </is>
      </c>
      <c r="G4808" s="10" t="inlineStr">
        <is>
          <t>Mới Tốt Nghiệp</t>
        </is>
      </c>
      <c r="H4808" s="10" t="inlineStr">
        <is>
          <t>27/02/2026</t>
        </is>
      </c>
      <c r="I4808" s="10" t="inlineStr">
        <is>
          <t>29/03/2026</t>
        </is>
      </c>
      <c r="J4808" s="10" t="inlineStr">
        <is>
          <t>17/03/2026</t>
        </is>
      </c>
      <c r="K4808" s="10" t="inlineStr">
        <is>
          <t>N/A</t>
        </is>
      </c>
      <c r="L4808" s="10" t="inlineStr">
        <is>
          <t>Communication, English, Administration, Compliance Document, Receptionist</t>
        </is>
      </c>
      <c r="M4808" s="10" t="inlineStr">
        <is>
          <t>Bonus, Awards, Others</t>
        </is>
      </c>
      <c r="N4808" s="11">
        <f>HYPERLINK("https://www.vietnamworks.com/administration-assisstant-compliance-support-casual-2015315-jv","Xem chi tiết")</f>
        <v/>
      </c>
      <c r="O4808" s="10" t="n"/>
    </row>
    <row r="4809">
      <c r="B4809" s="7" t="n">
        <v>4807</v>
      </c>
      <c r="C4809" t="inlineStr">
        <is>
          <t>Tuyển 02 Nữ Kế Toán Tổng Hợp-Giá Thành Tại Hà Nội</t>
        </is>
      </c>
      <c r="D4809" t="inlineStr">
        <is>
          <t>Công Ty TNHH Nhựa Cpi Việt Nam</t>
        </is>
      </c>
      <c r="E4809" t="inlineStr">
        <is>
          <t>Thương lượng</t>
        </is>
      </c>
      <c r="F4809" t="inlineStr">
        <is>
          <t>Hà Nội</t>
        </is>
      </c>
      <c r="G4809" t="inlineStr">
        <is>
          <t>Nhân viên</t>
        </is>
      </c>
      <c r="H4809" t="inlineStr">
        <is>
          <t>27/02/2026</t>
        </is>
      </c>
      <c r="I4809" t="inlineStr">
        <is>
          <t>29/03/2026</t>
        </is>
      </c>
      <c r="J4809" t="inlineStr">
        <is>
          <t>17/03/2026</t>
        </is>
      </c>
      <c r="K4809" t="inlineStr">
        <is>
          <t>N/A</t>
        </is>
      </c>
      <c r="L4809" t="inlineStr">
        <is>
          <t>Kế Toán Giá Thành, Kế Toán Tổng Hợp, Tính Giá Thành, Kế Toán</t>
        </is>
      </c>
      <c r="M4809" t="inlineStr">
        <is>
          <t>Bonus, Healthcare Plan, Others</t>
        </is>
      </c>
      <c r="N4809" s="8">
        <f>HYPERLINK("https://www.vietnamworks.com/tuyen-02-nu-ke-toan-tong-hop-gia-thanh-tai-ha-noi-2015348-jv","Xem chi tiết")</f>
        <v/>
      </c>
    </row>
    <row r="4810">
      <c r="B4810" s="9" t="n">
        <v>4808</v>
      </c>
      <c r="C4810" s="10" t="inlineStr">
        <is>
          <t>[Tuyển Gấp] Trưởng Phòng Hành Chính Nhân Sự</t>
        </is>
      </c>
      <c r="D4810" s="10" t="inlineStr">
        <is>
          <t>Công Ty CP Cơ Khí Xây Dựng Số 26</t>
        </is>
      </c>
      <c r="E4810" s="10" t="inlineStr">
        <is>
          <t>Từ $ 25tr /tháng</t>
        </is>
      </c>
      <c r="F4810" s="10" t="inlineStr">
        <is>
          <t>Bắc Ninh, Bắc Giang</t>
        </is>
      </c>
      <c r="G4810" s="10" t="inlineStr">
        <is>
          <t>Trưởng phòng</t>
        </is>
      </c>
      <c r="H4810" s="10" t="inlineStr">
        <is>
          <t>27/02/2026</t>
        </is>
      </c>
      <c r="I4810" s="10" t="inlineStr">
        <is>
          <t>29/03/2026</t>
        </is>
      </c>
      <c r="J4810" s="10" t="inlineStr">
        <is>
          <t>17/03/2026</t>
        </is>
      </c>
      <c r="K4810" s="10" t="inlineStr">
        <is>
          <t>N/A</t>
        </is>
      </c>
      <c r="L4810" s="10" t="inlineStr">
        <is>
          <t>Hành Chính Nhân Sự, Quản Trị Nhân Sự, Luật Lao Động, Giao Tiếp Tiếng Anh, Quản Trị Hành Chính</t>
        </is>
      </c>
      <c r="M4810" s="10" t="inlineStr">
        <is>
          <t>Bonus, Healthcare Plan, Training</t>
        </is>
      </c>
      <c r="N4810" s="11">
        <f>HYPERLINK("https://www.vietnamworks.com/tuyen-gap-truong-phong-hanh-chinh-nhan-su--2015353-jv","Xem chi tiết")</f>
        <v/>
      </c>
      <c r="O4810" s="10" t="n"/>
    </row>
    <row r="4811">
      <c r="B4811" s="7" t="n">
        <v>4809</v>
      </c>
      <c r="C4811" t="inlineStr">
        <is>
          <t>Project Manager (High Rise)</t>
        </is>
      </c>
      <c r="D4811" t="inlineStr">
        <is>
          <t>Công Ty TNHH Tập Đoàn Rita Võ</t>
        </is>
      </c>
      <c r="E4811" t="inlineStr">
        <is>
          <t>Thương lượng</t>
        </is>
      </c>
      <c r="F4811" t="inlineStr">
        <is>
          <t>Hồ Chí Minh</t>
        </is>
      </c>
      <c r="G4811" t="inlineStr">
        <is>
          <t>Trưởng phòng</t>
        </is>
      </c>
      <c r="H4811" t="inlineStr">
        <is>
          <t>27/02/2026</t>
        </is>
      </c>
      <c r="I4811" t="inlineStr">
        <is>
          <t>29/03/2026</t>
        </is>
      </c>
      <c r="J4811" t="inlineStr">
        <is>
          <t>17/03/2026</t>
        </is>
      </c>
      <c r="K4811" t="inlineStr">
        <is>
          <t>N/A</t>
        </is>
      </c>
      <c r="L4811" t="inlineStr">
        <is>
          <t>Project Management, Construction Management, Architecture Design, Landscape Design, English</t>
        </is>
      </c>
      <c r="M4811" t="inlineStr">
        <is>
          <t>Bonus, Healthcare Plan, Paid Leave, Laptop, Others</t>
        </is>
      </c>
      <c r="N4811" s="8">
        <f>HYPERLINK("https://www.vietnamworks.com/project-manager-high-rise--2015362-jv","Xem chi tiết")</f>
        <v/>
      </c>
    </row>
    <row r="4812">
      <c r="B4812" s="9" t="n">
        <v>4810</v>
      </c>
      <c r="C4812" s="10" t="inlineStr">
        <is>
          <t>Chuyên Viên Tuyển Dụng - Đào Tạo (Làm Việc Tại Hòa Bình - Phú Thọ) - Có Xe Đưa Đón Từ Hà Nội</t>
        </is>
      </c>
      <c r="D4812" s="10" t="inlineStr">
        <is>
          <t>CÔNG TY TNHH ALLIED CIRCUIT MEIKO VIỆT NAM</t>
        </is>
      </c>
      <c r="E4812" s="10" t="inlineStr">
        <is>
          <t>Thương lượng</t>
        </is>
      </c>
      <c r="F4812" s="10" t="inlineStr">
        <is>
          <t>Phú Thọ, Hà Nội</t>
        </is>
      </c>
      <c r="G4812" s="10" t="inlineStr">
        <is>
          <t>Mới Tốt Nghiệp</t>
        </is>
      </c>
      <c r="H4812" s="10" t="inlineStr">
        <is>
          <t>27/02/2026</t>
        </is>
      </c>
      <c r="I4812" s="10" t="inlineStr">
        <is>
          <t>29/03/2026</t>
        </is>
      </c>
      <c r="J4812" s="10" t="inlineStr">
        <is>
          <t>17/03/2026</t>
        </is>
      </c>
      <c r="K4812" s="10" t="inlineStr">
        <is>
          <t>N/A</t>
        </is>
      </c>
      <c r="L4812" s="10" t="inlineStr">
        <is>
          <t>Nhân Sự, Quản Trị Nhân Sự, Tiếng Trung Giao Tiếp, Tuyển Dụng, Đào Tạo</t>
        </is>
      </c>
      <c r="M4812" s="10" t="inlineStr">
        <is>
          <t>Bonus, Healthcare Plan, Paid Leave, Transportation, Others</t>
        </is>
      </c>
      <c r="N4812" s="11">
        <f>HYPERLINK("https://www.vietnamworks.com/chuyen-vien-tuyen-dung-djao-tao-lam-viec-tai-hoa-binh-phu-tho-co-xe-djua-djon-tu-ha-noi-2015351-jv","Xem chi tiết")</f>
        <v/>
      </c>
      <c r="O4812" s="10" t="n"/>
    </row>
    <row r="4813">
      <c r="B4813" s="7" t="n">
        <v>4811</v>
      </c>
      <c r="C4813" t="inlineStr">
        <is>
          <t>[Tuyển Gấp] Nhân Viên Kế Toán Ngân Hàng</t>
        </is>
      </c>
      <c r="D4813" t="inlineStr">
        <is>
          <t>Công Ty CP Cơ Khí Xây Dựng Số 26</t>
        </is>
      </c>
      <c r="E4813" t="inlineStr">
        <is>
          <t>9tr-15tr ₫/tháng</t>
        </is>
      </c>
      <c r="F4813" t="inlineStr">
        <is>
          <t>Bắc Ninh, Bắc Giang</t>
        </is>
      </c>
      <c r="G4813" t="inlineStr">
        <is>
          <t>Nhân viên</t>
        </is>
      </c>
      <c r="H4813" t="inlineStr">
        <is>
          <t>27/02/2026</t>
        </is>
      </c>
      <c r="I4813" t="inlineStr">
        <is>
          <t>29/03/2026</t>
        </is>
      </c>
      <c r="J4813" t="inlineStr">
        <is>
          <t>17/03/2026</t>
        </is>
      </c>
      <c r="K4813" t="inlineStr">
        <is>
          <t>N/A</t>
        </is>
      </c>
      <c r="L4813" t="inlineStr">
        <is>
          <t>Kế Toán Ngân Hàng, Theo Dõi Công Nợ, Lập Hồ Sơ Vay Vốn, Tin Học Văn Phòng</t>
        </is>
      </c>
      <c r="M4813" t="inlineStr">
        <is>
          <t>Bonus, Healthcare Plan, Training</t>
        </is>
      </c>
      <c r="N4813" s="8">
        <f>HYPERLINK("https://www.vietnamworks.com/tuyen-gap-nhan-vien-ke-toan-ngan-hang-2015347-jv","Xem chi tiết")</f>
        <v/>
      </c>
    </row>
    <row r="4814">
      <c r="B4814" s="9" t="n">
        <v>4812</v>
      </c>
      <c r="C4814" s="10" t="inlineStr">
        <is>
          <t>QA Assistant Manager (Pharmacist, Work Location: VSIP 2 - Binh Duong)</t>
        </is>
      </c>
      <c r="D4814" s="10" t="inlineStr">
        <is>
          <t>United International Pharma Co., Ltd.</t>
        </is>
      </c>
      <c r="E4814" s="10" t="inlineStr">
        <is>
          <t>Thương lượng</t>
        </is>
      </c>
      <c r="F4814" s="10" t="inlineStr">
        <is>
          <t>Bình Dương</t>
        </is>
      </c>
      <c r="G4814" s="10" t="inlineStr">
        <is>
          <t>Nhân viên</t>
        </is>
      </c>
      <c r="H4814" s="10" t="inlineStr">
        <is>
          <t>27/02/2026</t>
        </is>
      </c>
      <c r="I4814" s="10" t="inlineStr">
        <is>
          <t>29/03/2026</t>
        </is>
      </c>
      <c r="J4814" s="10" t="inlineStr">
        <is>
          <t>17/03/2026</t>
        </is>
      </c>
      <c r="K4814" s="10" t="inlineStr">
        <is>
          <t>N/A</t>
        </is>
      </c>
      <c r="L4814" s="10" t="inlineStr">
        <is>
          <t>Pharmacist, Dược, Quality Assurance, Đảm Bảo Chất Lượng, GMP</t>
        </is>
      </c>
      <c r="M4814" s="10" t="inlineStr">
        <is>
          <t>Bonus, Healthcare Plan, Paid Leave</t>
        </is>
      </c>
      <c r="N4814" s="11">
        <f>HYPERLINK("https://www.vietnamworks.com/qa-assistant-manager-pharmacist-work-location-vsip-2-binh-duong--2015357-jv","Xem chi tiết")</f>
        <v/>
      </c>
      <c r="O4814" s="10" t="n"/>
    </row>
    <row r="4815">
      <c r="B4815" s="7" t="n">
        <v>4813</v>
      </c>
      <c r="C4815" t="inlineStr">
        <is>
          <t>Quản Lý Xây Dựng</t>
        </is>
      </c>
      <c r="D4815" t="inlineStr">
        <is>
          <t>Trung Thuy Group</t>
        </is>
      </c>
      <c r="E4815" t="inlineStr">
        <is>
          <t>Thương lượng</t>
        </is>
      </c>
      <c r="F4815" t="inlineStr">
        <is>
          <t>Đà Nẵng</t>
        </is>
      </c>
      <c r="G4815" t="inlineStr">
        <is>
          <t>Trưởng phòng</t>
        </is>
      </c>
      <c r="H4815" t="inlineStr">
        <is>
          <t>27/02/2026</t>
        </is>
      </c>
      <c r="I4815" t="inlineStr">
        <is>
          <t>29/03/2026</t>
        </is>
      </c>
      <c r="J4815" t="inlineStr">
        <is>
          <t>17/03/2026</t>
        </is>
      </c>
      <c r="K4815" t="inlineStr">
        <is>
          <t>N/A</t>
        </is>
      </c>
      <c r="L4815" t="inlineStr">
        <is>
          <t>Construction Management, Project Management, Quản Lý Dự Án, Quản Lý Xây Dựng, Quản Lý Thi Công</t>
        </is>
      </c>
      <c r="M4815" t="inlineStr">
        <is>
          <t>Healthcare Plan, Canteen</t>
        </is>
      </c>
      <c r="N4815" s="8">
        <f>HYPERLINK("https://www.vietnamworks.com/quan-ly-xay-dung--2015355-jv","Xem chi tiết")</f>
        <v/>
      </c>
    </row>
    <row r="4816">
      <c r="B4816" s="9" t="n">
        <v>4814</v>
      </c>
      <c r="C4816" s="10" t="inlineStr">
        <is>
          <t>[Tuyển Gấp] Nhân Viên Kinh Doanh Kỹ Thuật</t>
        </is>
      </c>
      <c r="D4816" s="10" t="inlineStr">
        <is>
          <t>Công Ty CP Cơ Khí Xây Dựng Số 26</t>
        </is>
      </c>
      <c r="E4816" s="10" t="inlineStr">
        <is>
          <t>Từ 15tr ₫/tháng</t>
        </is>
      </c>
      <c r="F4816" s="10" t="inlineStr">
        <is>
          <t>Bắc Ninh, Bắc Giang</t>
        </is>
      </c>
      <c r="G4816" s="10" t="inlineStr">
        <is>
          <t>Nhân viên</t>
        </is>
      </c>
      <c r="H4816" s="10" t="inlineStr">
        <is>
          <t>27/02/2026</t>
        </is>
      </c>
      <c r="I4816" s="10" t="inlineStr">
        <is>
          <t>29/03/2026</t>
        </is>
      </c>
      <c r="J4816" s="10" t="inlineStr">
        <is>
          <t>17/03/2026</t>
        </is>
      </c>
      <c r="K4816" s="10" t="inlineStr">
        <is>
          <t>N/A</t>
        </is>
      </c>
      <c r="L4816" s="10" t="inlineStr">
        <is>
          <t>Bán Hàng Kỹ Thuật, Kinh Doanh, Cơ Khí, Chăm Sóc Khách Hàng, AutoCAD</t>
        </is>
      </c>
      <c r="M4816" s="10" t="inlineStr">
        <is>
          <t>Bonus, Healthcare Plan, Training</t>
        </is>
      </c>
      <c r="N4816" s="11">
        <f>HYPERLINK("https://www.vietnamworks.com/tuyen-gap-nhan-vien-kinh-doanh-ky-thuat--2015350-jv","Xem chi tiết")</f>
        <v/>
      </c>
      <c r="O4816" s="10" t="n"/>
    </row>
    <row r="4817">
      <c r="B4817" s="7" t="n">
        <v>4815</v>
      </c>
      <c r="C4817" t="inlineStr">
        <is>
          <t>Chuyên Viên Tư Vấn Giải Pháp Hệ Thống Logistics</t>
        </is>
      </c>
      <c r="D4817" t="inlineStr">
        <is>
          <t>Công Ty Cổ Phần Giải Pháp Chuỗi Cung Ứng Smartlog</t>
        </is>
      </c>
      <c r="E4817" t="inlineStr">
        <is>
          <t>$$ 400-1,000 /tháng</t>
        </is>
      </c>
      <c r="F4817" t="inlineStr">
        <is>
          <t>Hồ Chí Minh, Hà Nội</t>
        </is>
      </c>
      <c r="G4817" t="inlineStr">
        <is>
          <t>Nhân viên</t>
        </is>
      </c>
      <c r="H4817" t="inlineStr">
        <is>
          <t>27/02/2026</t>
        </is>
      </c>
      <c r="I4817" t="inlineStr">
        <is>
          <t>29/03/2026</t>
        </is>
      </c>
      <c r="J4817" t="inlineStr">
        <is>
          <t>17/03/2026</t>
        </is>
      </c>
      <c r="K4817" t="inlineStr">
        <is>
          <t>N/A</t>
        </is>
      </c>
      <c r="L4817" t="inlineStr">
        <is>
          <t>Logistics Consulting, Supply Chain Management, Logistics Operations, Tư Vấn Sản Phẩm, Logistics Operation</t>
        </is>
      </c>
      <c r="M4817" t="inlineStr">
        <is>
          <t>Healthcare Plan, Paid Leave, Training</t>
        </is>
      </c>
      <c r="N4817" s="8">
        <f>HYPERLINK("https://www.vietnamworks.com/chuyen-vien-tu-van-giai-phap-he-thong-logistics--2015349-jv","Xem chi tiết")</f>
        <v/>
      </c>
    </row>
    <row r="4818">
      <c r="B4818" s="9" t="n">
        <v>4816</v>
      </c>
      <c r="C4818" s="10" t="inlineStr">
        <is>
          <t>Senior HR Executive</t>
        </is>
      </c>
      <c r="D4818" s="10" t="inlineStr">
        <is>
          <t>Pegasus International College</t>
        </is>
      </c>
      <c r="E4818" s="10" t="inlineStr">
        <is>
          <t>Thương lượng</t>
        </is>
      </c>
      <c r="F4818" s="10" t="inlineStr">
        <is>
          <t>Hà Nội</t>
        </is>
      </c>
      <c r="G4818" s="10" t="inlineStr">
        <is>
          <t>Nhân viên</t>
        </is>
      </c>
      <c r="H4818" s="10" t="inlineStr">
        <is>
          <t>27/02/2026</t>
        </is>
      </c>
      <c r="I4818" s="10" t="inlineStr">
        <is>
          <t>29/03/2026</t>
        </is>
      </c>
      <c r="J4818" s="10" t="inlineStr">
        <is>
          <t>17/03/2026</t>
        </is>
      </c>
      <c r="K4818" s="10" t="inlineStr">
        <is>
          <t>N/A</t>
        </is>
      </c>
      <c r="L4818" s="10" t="inlineStr">
        <is>
          <t>Recruitment, Human Resources, HR, Nhân sự C&amp;B</t>
        </is>
      </c>
      <c r="M4818" s="10" t="inlineStr">
        <is>
          <t>Paid Leave, Kindergarten, Others</t>
        </is>
      </c>
      <c r="N4818" s="11">
        <f>HYPERLINK("https://www.vietnamworks.com/senior-hr-executive--2015358-jv","Xem chi tiết")</f>
        <v/>
      </c>
      <c r="O4818" s="10" t="n"/>
    </row>
    <row r="4819">
      <c r="B4819" s="7" t="n">
        <v>4817</v>
      </c>
      <c r="C4819" t="inlineStr">
        <is>
          <t>Pharma Technical Services Specialist (Pharmacist, VSIP 2 - Binh Duong)</t>
        </is>
      </c>
      <c r="D4819" t="inlineStr">
        <is>
          <t>United International Pharma Co., Ltd.</t>
        </is>
      </c>
      <c r="E4819" t="inlineStr">
        <is>
          <t>Thương lượng</t>
        </is>
      </c>
      <c r="F4819" t="inlineStr">
        <is>
          <t>Bình Dương</t>
        </is>
      </c>
      <c r="G4819" t="inlineStr">
        <is>
          <t>Nhân viên</t>
        </is>
      </c>
      <c r="H4819" t="inlineStr">
        <is>
          <t>27/02/2026</t>
        </is>
      </c>
      <c r="I4819" t="inlineStr">
        <is>
          <t>29/03/2026</t>
        </is>
      </c>
      <c r="J4819" t="inlineStr">
        <is>
          <t>17/03/2026</t>
        </is>
      </c>
      <c r="K4819" t="inlineStr">
        <is>
          <t>N/A</t>
        </is>
      </c>
      <c r="L4819" t="inlineStr">
        <is>
          <t>Process Validation, Equipment Qualification</t>
        </is>
      </c>
      <c r="M4819" t="inlineStr">
        <is>
          <t>Bonus, Healthcare Plan, Paid Leave</t>
        </is>
      </c>
      <c r="N4819" s="8">
        <f>HYPERLINK("https://www.vietnamworks.com/pharma-technical-services-specialist-pharmacist-vsip-2-binh-duong--2015361-jv","Xem chi tiết")</f>
        <v/>
      </c>
    </row>
    <row r="4820">
      <c r="B4820" s="9" t="n">
        <v>4818</v>
      </c>
      <c r="C4820" s="10" t="inlineStr">
        <is>
          <t>Nhân Viên Tiếng Trung Cho Phòng Hành Chính Nhân Sự (Làm Việc Tại Hòa Bình - Phú Thọ) - Có Xe Đưa Đón Từ Hà Nội</t>
        </is>
      </c>
      <c r="D4820" s="10" t="inlineStr">
        <is>
          <t>CÔNG TY TNHH ALLIED CIRCUIT MEIKO VIỆT NAM</t>
        </is>
      </c>
      <c r="E4820" s="10" t="inlineStr">
        <is>
          <t>Thương lượng</t>
        </is>
      </c>
      <c r="F4820" s="10" t="inlineStr">
        <is>
          <t>Phú Thọ, Hà Nội</t>
        </is>
      </c>
      <c r="G4820" s="10" t="inlineStr">
        <is>
          <t>Mới Tốt Nghiệp</t>
        </is>
      </c>
      <c r="H4820" s="10" t="inlineStr">
        <is>
          <t>27/02/2026</t>
        </is>
      </c>
      <c r="I4820" s="10" t="inlineStr">
        <is>
          <t>29/03/2026</t>
        </is>
      </c>
      <c r="J4820" s="10" t="inlineStr">
        <is>
          <t>17/03/2026</t>
        </is>
      </c>
      <c r="K4820" s="10" t="inlineStr">
        <is>
          <t>N/A</t>
        </is>
      </c>
      <c r="L4820" s="10" t="inlineStr">
        <is>
          <t>Hành Chính, Quản Lý Dự Án, Quản Lý Tài Sản, Quản Trị Hành Chính, Tiếng Trung Giao Tiếp</t>
        </is>
      </c>
      <c r="M4820" s="10" t="inlineStr">
        <is>
          <t>Bonus, Healthcare Plan, Paid Leave, Transportation, Others</t>
        </is>
      </c>
      <c r="N4820" s="11">
        <f>HYPERLINK("https://www.vietnamworks.com/nhan-vien-tieng-trung-cho-phong-hanh-chinh-nhan-su-lam-viec-tai-hoa-binh-phu-tho-co-xe-dua-don-tu-ha-noi-2015356-jv","Xem chi tiết")</f>
        <v/>
      </c>
      <c r="O4820" s="10" t="n"/>
    </row>
    <row r="4821">
      <c r="B4821" s="7" t="n">
        <v>4819</v>
      </c>
      <c r="C4821" t="inlineStr">
        <is>
          <t>(Senior) Business Development - Brand Acquisition</t>
        </is>
      </c>
      <c r="D4821" t="inlineStr">
        <is>
          <t>Công Ty TNHH Onpoint</t>
        </is>
      </c>
      <c r="E4821" t="inlineStr">
        <is>
          <t>Thương lượng</t>
        </is>
      </c>
      <c r="F4821" t="inlineStr">
        <is>
          <t>Hồ Chí Minh</t>
        </is>
      </c>
      <c r="G4821" t="inlineStr">
        <is>
          <t>Nhân viên</t>
        </is>
      </c>
      <c r="H4821" t="inlineStr">
        <is>
          <t>27/02/2026</t>
        </is>
      </c>
      <c r="I4821" t="inlineStr">
        <is>
          <t>29/03/2026</t>
        </is>
      </c>
      <c r="J4821" t="inlineStr">
        <is>
          <t>17/03/2026</t>
        </is>
      </c>
      <c r="K4821" t="inlineStr">
        <is>
          <t>N/A</t>
        </is>
      </c>
      <c r="L4821" t="inlineStr">
        <is>
          <t>Sales Hunter, Business Development, Key Account Development, B2B branding, Sales B2B</t>
        </is>
      </c>
      <c r="M4821" t="inlineStr">
        <is>
          <t>Healthcare Plan, Paid Leave, Laptop</t>
        </is>
      </c>
      <c r="N4821" s="8">
        <f>HYPERLINK("https://www.vietnamworks.com/senior-business-development-brand-acquisition-2015375-jv","Xem chi tiết")</f>
        <v/>
      </c>
    </row>
    <row r="4822">
      <c r="B4822" s="9" t="n">
        <v>4820</v>
      </c>
      <c r="C4822" s="10" t="inlineStr">
        <is>
          <t>Technical Service Consultant</t>
        </is>
      </c>
      <c r="D4822" s="10" t="inlineStr">
        <is>
          <t>CÔNG TY TNHH TIGER DRYLAC VIỆT NAM</t>
        </is>
      </c>
      <c r="E4822" s="10" t="inlineStr">
        <is>
          <t>Thương lượng</t>
        </is>
      </c>
      <c r="F4822" s="10" t="inlineStr">
        <is>
          <t>Hà Nội, Bình Dương, Bắc Ninh</t>
        </is>
      </c>
      <c r="G4822" s="10" t="inlineStr">
        <is>
          <t>Nhân viên</t>
        </is>
      </c>
      <c r="H4822" s="10" t="inlineStr">
        <is>
          <t>27/02/2026</t>
        </is>
      </c>
      <c r="I4822" s="10" t="inlineStr">
        <is>
          <t>29/03/2026</t>
        </is>
      </c>
      <c r="J4822" s="10" t="inlineStr">
        <is>
          <t>17/03/2026</t>
        </is>
      </c>
      <c r="K4822" s="10" t="inlineStr">
        <is>
          <t>N/A</t>
        </is>
      </c>
      <c r="L4822" s="10" t="inlineStr">
        <is>
          <t>Sales Management, CRM, SAP, Technical Service, Hóa Học</t>
        </is>
      </c>
      <c r="M4822" s="10" t="inlineStr">
        <is>
          <t>Bonus, Paid Leave, Others</t>
        </is>
      </c>
      <c r="N4822" s="11">
        <f>HYPERLINK("https://www.vietnamworks.com/technical-service-consultant-2015378-jv","Xem chi tiết")</f>
        <v/>
      </c>
      <c r="O4822" s="10" t="n"/>
    </row>
    <row r="4823">
      <c r="B4823" s="7" t="n">
        <v>4821</v>
      </c>
      <c r="C4823" t="inlineStr">
        <is>
          <t>[NLE] Talent Acquisition Manager</t>
        </is>
      </c>
      <c r="D4823" t="inlineStr">
        <is>
          <t>Công Ty Cổ Phần Tổng Công Ty Nova Service</t>
        </is>
      </c>
      <c r="E4823" t="inlineStr">
        <is>
          <t>Thương lượng</t>
        </is>
      </c>
      <c r="F4823" t="inlineStr">
        <is>
          <t>Hồ Chí Minh</t>
        </is>
      </c>
      <c r="G4823" t="inlineStr">
        <is>
          <t>Trưởng phòng</t>
        </is>
      </c>
      <c r="H4823" t="inlineStr">
        <is>
          <t>27/02/2026</t>
        </is>
      </c>
      <c r="I4823" t="inlineStr">
        <is>
          <t>29/03/2026</t>
        </is>
      </c>
      <c r="J4823" t="inlineStr">
        <is>
          <t>17/03/2026</t>
        </is>
      </c>
      <c r="K4823" t="inlineStr">
        <is>
          <t>N/A</t>
        </is>
      </c>
      <c r="L4823" t="inlineStr">
        <is>
          <t>Kỹ năng giao tiếp, Kỹ năng làm việc nhóm, Kỹ Thuật Hóa Phân Tích, Phát Triển Nhân Tài, Quản Trị Nhân Lực</t>
        </is>
      </c>
      <c r="M4823" t="inlineStr">
        <is>
          <t>Bonus</t>
        </is>
      </c>
      <c r="N4823" s="8">
        <f>HYPERLINK("https://www.vietnamworks.com/nle-talent-acquisition-manager-2015352-jv","Xem chi tiết")</f>
        <v/>
      </c>
    </row>
    <row r="4824">
      <c r="B4824" s="9" t="n">
        <v>4822</v>
      </c>
      <c r="C4824" s="10" t="inlineStr">
        <is>
          <t>Chuyên Viên Xuất Nhập Khẩu Cấp Cao (Làm Việc Tại Hòa Bình - Phú Thọ) - Có Xe Đưa Đón Từ Hà Nội</t>
        </is>
      </c>
      <c r="D4824" s="10" t="inlineStr">
        <is>
          <t>CÔNG TY TNHH ALLIED CIRCUIT MEIKO VIỆT NAM</t>
        </is>
      </c>
      <c r="E4824" s="10" t="inlineStr">
        <is>
          <t>Thương lượng</t>
        </is>
      </c>
      <c r="F4824" s="10" t="inlineStr">
        <is>
          <t>Phú Thọ, Hà Nội</t>
        </is>
      </c>
      <c r="G4824" s="10" t="inlineStr">
        <is>
          <t>Nhân viên</t>
        </is>
      </c>
      <c r="H4824" s="10" t="inlineStr">
        <is>
          <t>27/02/2026</t>
        </is>
      </c>
      <c r="I4824" s="10" t="inlineStr">
        <is>
          <t>29/03/2026</t>
        </is>
      </c>
      <c r="J4824" s="10" t="inlineStr">
        <is>
          <t>17/03/2026</t>
        </is>
      </c>
      <c r="K4824" s="10" t="inlineStr">
        <is>
          <t>N/A</t>
        </is>
      </c>
      <c r="L4824" s="10" t="inlineStr">
        <is>
          <t>Customs Operations, Giao Tiếp Tiếng Anh, Hải Quan, Logistics, Xuất Nhập Khẩu</t>
        </is>
      </c>
      <c r="M4824" s="10" t="inlineStr">
        <is>
          <t>Bonus, Healthcare Plan, Paid Leave, Transportation, Others</t>
        </is>
      </c>
      <c r="N4824" s="11">
        <f>HYPERLINK("https://www.vietnamworks.com/chuyen-vien-xuat-nhap-khau-cap-cao-lam-viec-tai-hoa-binh-phu-tho-co-xe-djua-djon-tu-ha-noi-2015376-jv","Xem chi tiết")</f>
        <v/>
      </c>
      <c r="O4824" s="10" t="n"/>
    </row>
    <row r="4825">
      <c r="B4825" s="7" t="n">
        <v>4823</v>
      </c>
      <c r="C4825" t="inlineStr">
        <is>
          <t>Executive Assistant To CEO</t>
        </is>
      </c>
      <c r="D4825" t="inlineStr">
        <is>
          <t>Chicilon Media</t>
        </is>
      </c>
      <c r="E4825" t="inlineStr">
        <is>
          <t>Thương lượng</t>
        </is>
      </c>
      <c r="F4825" t="inlineStr">
        <is>
          <t>Hồ Chí Minh</t>
        </is>
      </c>
      <c r="G4825" t="inlineStr">
        <is>
          <t>Nhân viên</t>
        </is>
      </c>
      <c r="H4825" t="inlineStr">
        <is>
          <t>27/02/2026</t>
        </is>
      </c>
      <c r="I4825" t="inlineStr">
        <is>
          <t>29/03/2026</t>
        </is>
      </c>
      <c r="J4825" t="inlineStr">
        <is>
          <t>17/03/2026</t>
        </is>
      </c>
      <c r="K4825" t="inlineStr">
        <is>
          <t>N/A</t>
        </is>
      </c>
      <c r="L4825" t="inlineStr">
        <is>
          <t>Executive Assistant, Adminstration, Secretary Administration, English, Trợ Lý</t>
        </is>
      </c>
      <c r="M4825" t="inlineStr">
        <is>
          <t>Bonus, Training, Team Activities</t>
        </is>
      </c>
      <c r="N4825" s="8">
        <f>HYPERLINK("https://www.vietnamworks.com/executive-assistant-to-ceo-2015379-jv","Xem chi tiết")</f>
        <v/>
      </c>
    </row>
    <row r="4826">
      <c r="B4826" s="9" t="n">
        <v>4824</v>
      </c>
      <c r="C4826" s="10" t="inlineStr">
        <is>
          <t>Kỹ Sư Phát Triển Sản Phẩm - Đông Anh (Có Xe Đưa Đón)</t>
        </is>
      </c>
      <c r="D4826" s="10" t="inlineStr">
        <is>
          <t>TOTO Vietnam Co., Ltd</t>
        </is>
      </c>
      <c r="E4826" s="10" t="inlineStr">
        <is>
          <t>$$ 450-600 /tháng</t>
        </is>
      </c>
      <c r="F4826" s="10" t="inlineStr">
        <is>
          <t>Hà Nội</t>
        </is>
      </c>
      <c r="G4826" s="10" t="inlineStr">
        <is>
          <t>Nhân viên</t>
        </is>
      </c>
      <c r="H4826" s="10" t="inlineStr">
        <is>
          <t>27/02/2026</t>
        </is>
      </c>
      <c r="I4826" s="10" t="inlineStr">
        <is>
          <t>29/03/2026</t>
        </is>
      </c>
      <c r="J4826" s="10" t="inlineStr">
        <is>
          <t>17/03/2026</t>
        </is>
      </c>
      <c r="K4826" s="10" t="inlineStr">
        <is>
          <t>N/A</t>
        </is>
      </c>
      <c r="L4826" s="10" t="inlineStr">
        <is>
          <t>NX, Auto Cad, SolidWorks, NX CAD 3D, Auto Cad (2D - 3D)</t>
        </is>
      </c>
      <c r="M4826" s="10" t="inlineStr">
        <is>
          <t>Bonus, Paid Leave, Transportation</t>
        </is>
      </c>
      <c r="N4826" s="11">
        <f>HYPERLINK("https://www.vietnamworks.com/ky-su-phat-trien-san-pham-dong-anh-co-xe-dua-don--2015382-jv","Xem chi tiết")</f>
        <v/>
      </c>
      <c r="O4826" s="10" t="n"/>
    </row>
    <row r="4827">
      <c r="B4827" s="7" t="n">
        <v>4825</v>
      </c>
      <c r="C4827" t="inlineStr">
        <is>
          <t>Chuyên Viên Thương Mại</t>
        </is>
      </c>
      <c r="D4827" t="inlineStr">
        <is>
          <t>CÔNG TY CỔ PHẦN THƯƠNG MẠI VÀ DỊCH VỤ KỸ THUẬT KHOAN DẦU KHÍ PVD</t>
        </is>
      </c>
      <c r="E4827" t="inlineStr">
        <is>
          <t>Thương lượng</t>
        </is>
      </c>
      <c r="F4827" t="inlineStr">
        <is>
          <t>Hồ Chí Minh</t>
        </is>
      </c>
      <c r="G4827" t="inlineStr">
        <is>
          <t>Mới Tốt Nghiệp</t>
        </is>
      </c>
      <c r="H4827" t="inlineStr">
        <is>
          <t>27/02/2026</t>
        </is>
      </c>
      <c r="I4827" t="inlineStr">
        <is>
          <t>29/03/2026</t>
        </is>
      </c>
      <c r="J4827" t="inlineStr">
        <is>
          <t>17/03/2026</t>
        </is>
      </c>
      <c r="K4827" t="inlineStr">
        <is>
          <t>N/A</t>
        </is>
      </c>
      <c r="L4827" t="inlineStr">
        <is>
          <t>Thương Mại, Kinh Tế, Đấu Thầu, MS Office, Làm Việc Nhóm</t>
        </is>
      </c>
      <c r="M4827" t="inlineStr">
        <is>
          <t>Bonus, Healthcare Plan, Paid Leave, Training, Others</t>
        </is>
      </c>
      <c r="N4827" s="8">
        <f>HYPERLINK("https://www.vietnamworks.com/chuyen-vien-thuong-mai-2015377-jv","Xem chi tiết")</f>
        <v/>
      </c>
    </row>
    <row r="4828">
      <c r="B4828" s="9" t="n">
        <v>4826</v>
      </c>
      <c r="C4828" s="10" t="inlineStr">
        <is>
          <t>Senior Programme &amp; Events Officer</t>
        </is>
      </c>
      <c r="D4828" s="10" t="inlineStr">
        <is>
          <t>European Chamber of Commerce In Vietnam (Eurocham)</t>
        </is>
      </c>
      <c r="E4828" s="10" t="inlineStr">
        <is>
          <t>Thương lượng</t>
        </is>
      </c>
      <c r="F4828" s="10" t="inlineStr">
        <is>
          <t>Hà Nội</t>
        </is>
      </c>
      <c r="G4828" s="10" t="inlineStr">
        <is>
          <t>Nhân viên</t>
        </is>
      </c>
      <c r="H4828" s="10" t="inlineStr">
        <is>
          <t>27/02/2026</t>
        </is>
      </c>
      <c r="I4828" s="10" t="inlineStr">
        <is>
          <t>29/03/2026</t>
        </is>
      </c>
      <c r="J4828" s="10" t="inlineStr">
        <is>
          <t>17/03/2026</t>
        </is>
      </c>
      <c r="K4828" s="10" t="inlineStr">
        <is>
          <t>N/A</t>
        </is>
      </c>
      <c r="L4828" s="10" t="inlineStr">
        <is>
          <t>Event Management, Budget Management, Stakeholder Coordination, Communication Skills, Team Work</t>
        </is>
      </c>
      <c r="M4828" s="10" t="inlineStr">
        <is>
          <t>Others</t>
        </is>
      </c>
      <c r="N4828" s="11">
        <f>HYPERLINK("https://www.vietnamworks.com/senior-programme-events-officer-2015381-jv","Xem chi tiết")</f>
        <v/>
      </c>
      <c r="O4828" s="10" t="n"/>
    </row>
    <row r="4829">
      <c r="B4829" s="7" t="n">
        <v>4827</v>
      </c>
      <c r="C4829" t="inlineStr">
        <is>
          <t>Legal Specialist</t>
        </is>
      </c>
      <c r="D4829" t="inlineStr">
        <is>
          <t>Moneyveo Vietnam Company Limited</t>
        </is>
      </c>
      <c r="E4829" t="inlineStr">
        <is>
          <t>Thương lượng</t>
        </is>
      </c>
      <c r="F4829" t="inlineStr">
        <is>
          <t>Hồ Chí Minh</t>
        </is>
      </c>
      <c r="G4829" t="inlineStr">
        <is>
          <t>Nhân viên</t>
        </is>
      </c>
      <c r="H4829" t="inlineStr">
        <is>
          <t>27/02/2026</t>
        </is>
      </c>
      <c r="I4829" t="inlineStr">
        <is>
          <t>29/03/2026</t>
        </is>
      </c>
      <c r="J4829" t="inlineStr">
        <is>
          <t>17/03/2026</t>
        </is>
      </c>
      <c r="K4829" t="inlineStr">
        <is>
          <t>N/A</t>
        </is>
      </c>
      <c r="L4829" t="inlineStr">
        <is>
          <t>Financial Law, Trading Law, Tax Law, Regulatory Compliance, Analytical Skills</t>
        </is>
      </c>
      <c r="M4829" t="inlineStr">
        <is>
          <t>Healthcare Plan, Paid Leave, Travel Opportunities, Team Activities</t>
        </is>
      </c>
      <c r="N4829" s="8">
        <f>HYPERLINK("https://www.vietnamworks.com/legal-specialist-2015388-jv","Xem chi tiết")</f>
        <v/>
      </c>
    </row>
    <row r="4830">
      <c r="B4830" s="9" t="n">
        <v>4828</v>
      </c>
      <c r="C4830" s="10" t="inlineStr">
        <is>
          <t>Kế Toán Tổng Hợp - Nữ ( Mức Lương Từ 15Tr Trở Lên Phụ Thuộc Theo Năng Lực )</t>
        </is>
      </c>
      <c r="D4830" s="10" t="inlineStr">
        <is>
          <t>Công Ty Cổ Phần Phát Triển Công Nghệ Hưng Phát</t>
        </is>
      </c>
      <c r="E4830" s="10" t="inlineStr">
        <is>
          <t>13tr-15tr ₫/tháng</t>
        </is>
      </c>
      <c r="F4830" s="10" t="inlineStr">
        <is>
          <t>Hà Nội</t>
        </is>
      </c>
      <c r="G4830" s="10" t="inlineStr">
        <is>
          <t>Nhân viên</t>
        </is>
      </c>
      <c r="H4830" s="10" t="inlineStr">
        <is>
          <t>27/02/2026</t>
        </is>
      </c>
      <c r="I4830" s="10" t="inlineStr">
        <is>
          <t>29/03/2026</t>
        </is>
      </c>
      <c r="J4830" s="10" t="inlineStr">
        <is>
          <t>17/03/2026</t>
        </is>
      </c>
      <c r="K4830" s="10" t="inlineStr">
        <is>
          <t>N/A</t>
        </is>
      </c>
      <c r="L4830" s="10" t="inlineStr">
        <is>
          <t>Tài Chính Kế Toán, Quản Lý Công Nợ, Lập Báo Cáo Thuế, Kiểm Soát Dòng Tiền, Cân Đối Thu Chi</t>
        </is>
      </c>
      <c r="M4830" s="10" t="inlineStr">
        <is>
          <t>Bonus, Healthcare Plan, Team Activities</t>
        </is>
      </c>
      <c r="N4830" s="11">
        <f>HYPERLINK("https://www.vietnamworks.com/ke-toan-tong-hop-nu-muc-luong-tu-15tr-tro-len-phu-thuoc-theo-nang-luc-2015398-jv","Xem chi tiết")</f>
        <v/>
      </c>
      <c r="O4830" s="10" t="n"/>
    </row>
    <row r="4831">
      <c r="B4831" s="7" t="n">
        <v>4829</v>
      </c>
      <c r="C4831" t="inlineStr">
        <is>
          <t>Kỹ Sư/ Giám Sát Cơ - Revit, BIM</t>
        </is>
      </c>
      <c r="D4831" t="inlineStr">
        <is>
          <t>CHI NHÁNH CÔNG TY TNHH VIỆT NAM KANDENKO TẠI THÀNH PHỐ HỒ CHÍ MINH  Read more: https://masocongty.vn/company/1262701/chi-nhanh-cong-ty-tnhh-viet-nam-kandenko-tai-thanh-pho-ho-chi-minh.html#ixzz7OueBAE6E</t>
        </is>
      </c>
      <c r="E4831" t="inlineStr">
        <is>
          <t>Từ $ 500 /tháng</t>
        </is>
      </c>
      <c r="F4831" t="inlineStr">
        <is>
          <t>Đồng Nai, Bình Dương, Hồ Chí Minh</t>
        </is>
      </c>
      <c r="G4831" t="inlineStr">
        <is>
          <t>Nhân viên</t>
        </is>
      </c>
      <c r="H4831" t="inlineStr">
        <is>
          <t>27/02/2026</t>
        </is>
      </c>
      <c r="I4831" t="inlineStr">
        <is>
          <t>29/03/2026</t>
        </is>
      </c>
      <c r="J4831" t="inlineStr">
        <is>
          <t>17/03/2026</t>
        </is>
      </c>
      <c r="K4831" t="inlineStr">
        <is>
          <t>N/A</t>
        </is>
      </c>
      <c r="L4831" t="inlineStr">
        <is>
          <t>Revit, Lập Bản Vẽ Thi Công, BIM, Shop Drawings, M&amp;E System</t>
        </is>
      </c>
      <c r="M4831" t="inlineStr">
        <is>
          <t>Bonus, Healthcare Plan, Paid Leave</t>
        </is>
      </c>
      <c r="N4831" s="8">
        <f>HYPERLINK("https://www.vietnamworks.com/ky-su-giam-sat-co-revit-bim-2015390-jv","Xem chi tiết")</f>
        <v/>
      </c>
    </row>
    <row r="4832">
      <c r="B4832" s="9" t="n">
        <v>4830</v>
      </c>
      <c r="C4832" s="10" t="inlineStr">
        <is>
          <t>(VN 228) Kỹ Sư Thiết Kế Chiếu Sáng (Văn Phòng, Nhà Ở, TTTM)</t>
        </is>
      </c>
      <c r="D4832" s="10" t="inlineStr">
        <is>
          <t>Công Ty TNHH R Techno Việt Nam</t>
        </is>
      </c>
      <c r="E4832" s="10" t="inlineStr">
        <is>
          <t>Từ 34.5tr ₫/tháng</t>
        </is>
      </c>
      <c r="F4832" s="10" t="inlineStr">
        <is>
          <t>Hồ Chí Minh</t>
        </is>
      </c>
      <c r="G4832" s="10" t="inlineStr">
        <is>
          <t>Nhân viên</t>
        </is>
      </c>
      <c r="H4832" s="10" t="inlineStr">
        <is>
          <t>27/02/2026</t>
        </is>
      </c>
      <c r="I4832" s="10" t="inlineStr">
        <is>
          <t>29/03/2026</t>
        </is>
      </c>
      <c r="J4832" s="10" t="inlineStr">
        <is>
          <t>17/03/2026</t>
        </is>
      </c>
      <c r="K4832" s="10" t="inlineStr">
        <is>
          <t>N/A</t>
        </is>
      </c>
      <c r="L4832" s="10" t="inlineStr">
        <is>
          <t>Autocad, Giao Tiếp, Thiết Kế Ánh Sáng, Tiếng Nhật N3, Microcadm</t>
        </is>
      </c>
      <c r="M4832" s="10" t="inlineStr">
        <is>
          <t>Bonus, Healthcare Plan, Paid Leave</t>
        </is>
      </c>
      <c r="N4832" s="11">
        <f>HYPERLINK("https://www.vietnamworks.com/-vn-228-ky-su-thiet-ke-chieu-sang-van-phong-nha-o-tttm-2015392-jv","Xem chi tiết")</f>
        <v/>
      </c>
      <c r="O4832" s="10" t="n"/>
    </row>
    <row r="4833">
      <c r="B4833" s="7" t="n">
        <v>4831</v>
      </c>
      <c r="C4833" t="inlineStr">
        <is>
          <t>Product Designer Backpacks &amp; Travel Gear</t>
        </is>
      </c>
      <c r="D4833" t="inlineStr">
        <is>
          <t>Công Ty TNHH Cabinzero Việt Nam</t>
        </is>
      </c>
      <c r="E4833" t="inlineStr">
        <is>
          <t>Thương lượng</t>
        </is>
      </c>
      <c r="F4833" t="inlineStr">
        <is>
          <t>Hồ Chí Minh</t>
        </is>
      </c>
      <c r="G4833" t="inlineStr">
        <is>
          <t>Nhân viên</t>
        </is>
      </c>
      <c r="H4833" t="inlineStr">
        <is>
          <t>27/02/2026</t>
        </is>
      </c>
      <c r="I4833" t="inlineStr">
        <is>
          <t>29/03/2026</t>
        </is>
      </c>
      <c r="J4833" t="inlineStr">
        <is>
          <t>17/03/2026</t>
        </is>
      </c>
      <c r="K4833" t="inlineStr">
        <is>
          <t>N/A</t>
        </is>
      </c>
      <c r="L4833" t="inlineStr">
        <is>
          <t>Product Design, Technical Design, Material Sourcing, Adobe Creative Suite, Concept Development</t>
        </is>
      </c>
      <c r="M4833" t="inlineStr">
        <is>
          <t>Bonus, Healthcare Plan, Training, Team Activities, Others</t>
        </is>
      </c>
      <c r="N4833" s="8">
        <f>HYPERLINK("https://www.vietnamworks.com/product-designer-backpacks-and-travel-gear-2015384-jv","Xem chi tiết")</f>
        <v/>
      </c>
    </row>
    <row r="4834">
      <c r="B4834" s="9" t="n">
        <v>4832</v>
      </c>
      <c r="C4834" s="10" t="inlineStr">
        <is>
          <t>Trợ Lý Tổng Giám Đốc</t>
        </is>
      </c>
      <c r="D4834" s="10" t="inlineStr">
        <is>
          <t>Công Ty Cổ Phần Nhựa Thiếu Niên Tiền Phong Phía Nam</t>
        </is>
      </c>
      <c r="E4834" s="10" t="inlineStr">
        <is>
          <t>Thương lượng</t>
        </is>
      </c>
      <c r="F4834" s="10" t="inlineStr">
        <is>
          <t>Bình Dương</t>
        </is>
      </c>
      <c r="G4834" s="10" t="inlineStr">
        <is>
          <t>Nhân viên</t>
        </is>
      </c>
      <c r="H4834" s="10" t="inlineStr">
        <is>
          <t>27/02/2026</t>
        </is>
      </c>
      <c r="I4834" s="10" t="inlineStr">
        <is>
          <t>29/03/2026</t>
        </is>
      </c>
      <c r="J4834" s="10" t="inlineStr">
        <is>
          <t>17/03/2026</t>
        </is>
      </c>
      <c r="K4834" s="10" t="inlineStr">
        <is>
          <t>N/A</t>
        </is>
      </c>
      <c r="L4834" s="10" t="inlineStr">
        <is>
          <t>Sản xuất, Quản Trị Kinh Doanh, Quản Lý Công Nghiệp, Điện ,cơ điện, Hóa</t>
        </is>
      </c>
      <c r="M4834" s="10" t="inlineStr">
        <is>
          <t>Bonus, Healthcare Plan, Paid Leave, Training, Mobile, Travel Opportunities, Kindergarten, Others</t>
        </is>
      </c>
      <c r="N4834" s="11">
        <f>HYPERLINK("https://www.vietnamworks.com/tro-ly-tong-giam-djoc-2015387-jv","Xem chi tiết")</f>
        <v/>
      </c>
      <c r="O4834" s="10" t="n"/>
    </row>
    <row r="4835">
      <c r="B4835" s="7" t="n">
        <v>4833</v>
      </c>
      <c r="C4835" t="inlineStr">
        <is>
          <t>Marketing Officer - 600</t>
        </is>
      </c>
      <c r="D4835" t="inlineStr">
        <is>
          <t>AEONMALL Vietnam Co., Ltd.</t>
        </is>
      </c>
      <c r="E4835" t="inlineStr">
        <is>
          <t>$$ 350-550 /tháng</t>
        </is>
      </c>
      <c r="F4835" t="inlineStr">
        <is>
          <t>Thừa Thiên Huế</t>
        </is>
      </c>
      <c r="G4835" t="inlineStr">
        <is>
          <t>Mới Tốt Nghiệp</t>
        </is>
      </c>
      <c r="H4835" t="inlineStr">
        <is>
          <t>27/02/2026</t>
        </is>
      </c>
      <c r="I4835" t="inlineStr">
        <is>
          <t>29/03/2026</t>
        </is>
      </c>
      <c r="J4835" t="inlineStr">
        <is>
          <t>17/03/2026</t>
        </is>
      </c>
      <c r="K4835" t="inlineStr">
        <is>
          <t>N/A</t>
        </is>
      </c>
      <c r="L4835" t="inlineStr">
        <is>
          <t>Marketing, Event Organizing, communication, Creative, Teamwork</t>
        </is>
      </c>
      <c r="M4835" t="inlineStr">
        <is>
          <t>Healthcare Plan, Training, Others</t>
        </is>
      </c>
      <c r="N4835" s="8">
        <f>HYPERLINK("https://www.vietnamworks.com/marketing-officer-600-2015411-jv","Xem chi tiết")</f>
        <v/>
      </c>
    </row>
    <row r="4836">
      <c r="B4836" s="9" t="n">
        <v>4834</v>
      </c>
      <c r="C4836" s="10" t="inlineStr">
        <is>
          <t>Head of Talent &amp; Culture</t>
        </is>
      </c>
      <c r="D4836" s="10" t="inlineStr">
        <is>
          <t>NAB Innovation Centre Vietnam</t>
        </is>
      </c>
      <c r="E4836" s="10" t="inlineStr">
        <is>
          <t>Thương lượng</t>
        </is>
      </c>
      <c r="F4836" s="10" t="inlineStr">
        <is>
          <t>Hồ Chí Minh</t>
        </is>
      </c>
      <c r="G4836" s="10" t="inlineStr">
        <is>
          <t>Giám Đốc và Cấp Cao Hơn</t>
        </is>
      </c>
      <c r="H4836" s="10" t="inlineStr">
        <is>
          <t>27/02/2026</t>
        </is>
      </c>
      <c r="I4836" s="10" t="inlineStr">
        <is>
          <t>29/03/2026</t>
        </is>
      </c>
      <c r="J4836" s="10" t="inlineStr">
        <is>
          <t>17/03/2026</t>
        </is>
      </c>
      <c r="K4836" s="10" t="inlineStr">
        <is>
          <t>N/A</t>
        </is>
      </c>
      <c r="L4836" s="10" t="inlineStr">
        <is>
          <t>Recruitment, Leadership, Coaching, HR, Talent Management</t>
        </is>
      </c>
      <c r="M4836" s="10" t="inlineStr">
        <is>
          <t>Bonus, Healthcare Plan, Team Activities</t>
        </is>
      </c>
      <c r="N4836" s="11">
        <f>HYPERLINK("https://www.vietnamworks.com/head-of-talent-culture-2015401-jv","Xem chi tiết")</f>
        <v/>
      </c>
      <c r="O4836" s="10" t="n"/>
    </row>
    <row r="4837">
      <c r="B4837" s="7" t="n">
        <v>4835</v>
      </c>
      <c r="C4837" t="inlineStr">
        <is>
          <t>Quality Engineer</t>
        </is>
      </c>
      <c r="D4837" t="inlineStr">
        <is>
          <t>CP Trading (Shanghai) Co., Ltd. (胜彼商贸（上海）有限公司)</t>
        </is>
      </c>
      <c r="E4837" t="inlineStr">
        <is>
          <t>Thương lượng</t>
        </is>
      </c>
      <c r="F4837" t="inlineStr">
        <is>
          <t>Hồ Chí Minh, Hà Nội</t>
        </is>
      </c>
      <c r="G4837" t="inlineStr">
        <is>
          <t>Nhân viên</t>
        </is>
      </c>
      <c r="H4837" t="inlineStr">
        <is>
          <t>27/02/2026</t>
        </is>
      </c>
      <c r="I4837" t="inlineStr">
        <is>
          <t>29/03/2026</t>
        </is>
      </c>
      <c r="J4837" t="inlineStr">
        <is>
          <t>17/03/2026</t>
        </is>
      </c>
      <c r="K4837" t="inlineStr">
        <is>
          <t>N/A</t>
        </is>
      </c>
      <c r="L4837" t="inlineStr">
        <is>
          <t>Quality Control, QS, Quality Management, Quality Standards, FMEA</t>
        </is>
      </c>
      <c r="M4837" t="inlineStr">
        <is>
          <t>Bonus</t>
        </is>
      </c>
      <c r="N4837" s="8">
        <f>HYPERLINK("https://www.vietnamworks.com/quality-engineer-2015402-jv","Xem chi tiết")</f>
        <v/>
      </c>
    </row>
    <row r="4838">
      <c r="B4838" s="9" t="n">
        <v>4836</v>
      </c>
      <c r="C4838" s="10" t="inlineStr">
        <is>
          <t>Nhân Viên Kế Toán Tổng Hợp (General Accountant)</t>
        </is>
      </c>
      <c r="D4838" s="10" t="inlineStr">
        <is>
          <t>Công Ty TNHH SX – TM – DV Đức Nhân</t>
        </is>
      </c>
      <c r="E4838" s="10" t="inlineStr">
        <is>
          <t>22tr-27tr ₫/tháng</t>
        </is>
      </c>
      <c r="F4838" s="10" t="inlineStr">
        <is>
          <t>Hồ Chí Minh, Bình Dương</t>
        </is>
      </c>
      <c r="G4838" s="10" t="inlineStr">
        <is>
          <t>Nhân viên</t>
        </is>
      </c>
      <c r="H4838" s="10" t="inlineStr">
        <is>
          <t>27/02/2026</t>
        </is>
      </c>
      <c r="I4838" s="10" t="inlineStr">
        <is>
          <t>29/03/2026</t>
        </is>
      </c>
      <c r="J4838" s="10" t="inlineStr">
        <is>
          <t>17/03/2026</t>
        </is>
      </c>
      <c r="K4838" s="10" t="inlineStr">
        <is>
          <t>N/A</t>
        </is>
      </c>
      <c r="L4838" s="10" t="inlineStr">
        <is>
          <t>Kế Toán, MISA, General Accountant, Kế Toán Tổng Hợp, Báo Cáo Tài Chính</t>
        </is>
      </c>
      <c r="M4838" s="10" t="inlineStr">
        <is>
          <t>Bonus</t>
        </is>
      </c>
      <c r="N4838" s="11">
        <f>HYPERLINK("https://www.vietnamworks.com/nhan-vien-ke-toan-tong-hop-general-accountant--2015410-jv","Xem chi tiết")</f>
        <v/>
      </c>
      <c r="O4838" s="10" t="n"/>
    </row>
    <row r="4839">
      <c r="B4839" s="7" t="n">
        <v>4837</v>
      </c>
      <c r="C4839" t="inlineStr">
        <is>
          <t>Sales &amp; Key Account Leader</t>
        </is>
      </c>
      <c r="D4839" t="inlineStr">
        <is>
          <t>Concentrix</t>
        </is>
      </c>
      <c r="E4839" t="inlineStr">
        <is>
          <t>Thương lượng</t>
        </is>
      </c>
      <c r="F4839" t="inlineStr">
        <is>
          <t>Hồ Chí Minh, Hà Nội, Bình Dương</t>
        </is>
      </c>
      <c r="G4839" t="inlineStr">
        <is>
          <t>Giám Đốc và Cấp Cao Hơn</t>
        </is>
      </c>
      <c r="H4839" t="inlineStr">
        <is>
          <t>27/02/2026</t>
        </is>
      </c>
      <c r="I4839" t="inlineStr">
        <is>
          <t>29/03/2026</t>
        </is>
      </c>
      <c r="J4839" t="inlineStr">
        <is>
          <t>17/03/2026</t>
        </is>
      </c>
      <c r="K4839" t="inlineStr">
        <is>
          <t>N/A</t>
        </is>
      </c>
      <c r="L4839" t="inlineStr">
        <is>
          <t>Business Development, Consultative Approach, Customer Experience Management, Leadership, Sales Management</t>
        </is>
      </c>
      <c r="M4839" t="inlineStr">
        <is>
          <t>Bonus, Paid Leave, Laptop, Others</t>
        </is>
      </c>
      <c r="N4839" s="8">
        <f>HYPERLINK("https://www.vietnamworks.com/sales-and-key-account-leader-2015386-jv","Xem chi tiết")</f>
        <v/>
      </c>
    </row>
    <row r="4840">
      <c r="B4840" s="9" t="n">
        <v>4838</v>
      </c>
      <c r="C4840" s="10" t="inlineStr">
        <is>
          <t>Chuyên Viên Kinh Doanh Thiết Bị Công Nghiệp - Thu Nhập Hấp Dẫn</t>
        </is>
      </c>
      <c r="D4840" s="10" t="inlineStr">
        <is>
          <t>CÔNG TY CỔ PHẦN THƯƠNG MẠI VÀ CÔNG NGHỆ TST VIỆT NAM</t>
        </is>
      </c>
      <c r="E4840" s="10" t="inlineStr">
        <is>
          <t>Từ 20tr ₫/tháng</t>
        </is>
      </c>
      <c r="F4840" s="10" t="inlineStr">
        <is>
          <t>Hà Nội</t>
        </is>
      </c>
      <c r="G4840" s="10" t="inlineStr">
        <is>
          <t>Mới Tốt Nghiệp</t>
        </is>
      </c>
      <c r="H4840" s="10" t="inlineStr">
        <is>
          <t>27/02/2026</t>
        </is>
      </c>
      <c r="I4840" s="10" t="inlineStr">
        <is>
          <t>29/03/2026</t>
        </is>
      </c>
      <c r="J4840" s="10" t="inlineStr">
        <is>
          <t>17/03/2026</t>
        </is>
      </c>
      <c r="K4840" s="10" t="inlineStr">
        <is>
          <t>N/A</t>
        </is>
      </c>
      <c r="L4840" s="10" t="inlineStr">
        <is>
          <t>Tìm Kiếm Khách Hàng, Kinh Doanh, Bán Hàng Kỹ Thuật, Bán Hàng, Quản Lý Đơn Hàng</t>
        </is>
      </c>
      <c r="M4840" s="10" t="inlineStr">
        <is>
          <t>Bonus, Healthcare Plan, Paid Leave</t>
        </is>
      </c>
      <c r="N4840" s="11">
        <f>HYPERLINK("https://www.vietnamworks.com/chuyen-vien-kinh-doanh-thiet-bi-cong-nghiep-thu-nhap-hap-dan-2015404-jv","Xem chi tiết")</f>
        <v/>
      </c>
      <c r="O4840" s="10" t="n"/>
    </row>
    <row r="4841">
      <c r="B4841" s="7" t="n">
        <v>4839</v>
      </c>
      <c r="C4841" t="inlineStr">
        <is>
          <t>Finance Business Partner</t>
        </is>
      </c>
      <c r="D4841" t="inlineStr">
        <is>
          <t>Công Ty TNHH Onpoint</t>
        </is>
      </c>
      <c r="E4841" t="inlineStr">
        <is>
          <t>Thương lượng</t>
        </is>
      </c>
      <c r="F4841" t="inlineStr">
        <is>
          <t>Hồ Chí Minh</t>
        </is>
      </c>
      <c r="G4841" t="inlineStr">
        <is>
          <t>Nhân viên</t>
        </is>
      </c>
      <c r="H4841" t="inlineStr">
        <is>
          <t>27/02/2026</t>
        </is>
      </c>
      <c r="I4841" t="inlineStr">
        <is>
          <t>29/03/2026</t>
        </is>
      </c>
      <c r="J4841" t="inlineStr">
        <is>
          <t>17/03/2026</t>
        </is>
      </c>
      <c r="K4841" t="inlineStr">
        <is>
          <t>N/A</t>
        </is>
      </c>
      <c r="L4841" t="inlineStr">
        <is>
          <t>Financial Planning, Financial Analysis, Finance Business Partnering, Finance, E-commerce</t>
        </is>
      </c>
      <c r="M4841" t="inlineStr">
        <is>
          <t>Healthcare Plan, Paid Leave, Laptop</t>
        </is>
      </c>
      <c r="N4841" s="8">
        <f>HYPERLINK("https://www.vietnamworks.com/finance-business-partner--2015394-jv","Xem chi tiết")</f>
        <v/>
      </c>
    </row>
    <row r="4842">
      <c r="B4842" s="9" t="n">
        <v>4840</v>
      </c>
      <c r="C4842" s="10" t="inlineStr">
        <is>
          <t>Sales Trainee</t>
        </is>
      </c>
      <c r="D4842" s="10" t="inlineStr">
        <is>
          <t>Tech Data APAC</t>
        </is>
      </c>
      <c r="E4842" s="10" t="inlineStr">
        <is>
          <t>Thương lượng</t>
        </is>
      </c>
      <c r="F4842" s="10" t="inlineStr">
        <is>
          <t>Hồ Chí Minh</t>
        </is>
      </c>
      <c r="G4842" s="10" t="inlineStr">
        <is>
          <t>Mới Tốt Nghiệp</t>
        </is>
      </c>
      <c r="H4842" s="10" t="inlineStr">
        <is>
          <t>27/02/2026</t>
        </is>
      </c>
      <c r="I4842" s="10" t="inlineStr">
        <is>
          <t>29/03/2026</t>
        </is>
      </c>
      <c r="J4842" s="10" t="inlineStr">
        <is>
          <t>17/03/2026</t>
        </is>
      </c>
      <c r="K4842" s="10" t="inlineStr">
        <is>
          <t>N/A</t>
        </is>
      </c>
      <c r="L4842" s="10" t="inlineStr">
        <is>
          <t>Sales Development, Sales Operation, Communication, Contract Administration</t>
        </is>
      </c>
      <c r="M4842" s="10" t="inlineStr">
        <is>
          <t>Healthcare Plan, Training, Team Activities, Others</t>
        </is>
      </c>
      <c r="N4842" s="11">
        <f>HYPERLINK("https://www.vietnamworks.com/sales-trainee-2015412-jv","Xem chi tiết")</f>
        <v/>
      </c>
      <c r="O4842" s="10" t="n"/>
    </row>
    <row r="4843">
      <c r="B4843" s="7" t="n">
        <v>4841</v>
      </c>
      <c r="C4843" t="inlineStr">
        <is>
          <t>Trưởng Nhóm Phát Triển Nội Dung (Content Team Leader)</t>
        </is>
      </c>
      <c r="D4843" t="inlineStr">
        <is>
          <t>Travel Sense Asia</t>
        </is>
      </c>
      <c r="E4843" t="inlineStr">
        <is>
          <t>Thương lượng</t>
        </is>
      </c>
      <c r="F4843" t="inlineStr">
        <is>
          <t>Hà Nội</t>
        </is>
      </c>
      <c r="G4843" t="inlineStr">
        <is>
          <t>Trưởng phòng</t>
        </is>
      </c>
      <c r="H4843" t="inlineStr">
        <is>
          <t>27/02/2026</t>
        </is>
      </c>
      <c r="I4843" t="inlineStr">
        <is>
          <t>29/03/2026</t>
        </is>
      </c>
      <c r="J4843" t="inlineStr">
        <is>
          <t>17/03/2026</t>
        </is>
      </c>
      <c r="K4843" t="inlineStr">
        <is>
          <t>N/A</t>
        </is>
      </c>
      <c r="L4843" t="inlineStr">
        <is>
          <t>Content Marketing, Sáng Tạo Nội Dung, Quản Lý Nội Dung, Kiến Thức Du Lịch, Quản Lý Đội Nhóm</t>
        </is>
      </c>
      <c r="M4843" t="inlineStr">
        <is>
          <t>Bonus, Awards, Travel Opportunities</t>
        </is>
      </c>
      <c r="N4843" s="8">
        <f>HYPERLINK("https://www.vietnamworks.com/truong-nhom-phat-trien-noi-dung-content-team-leader--2015389-jv","Xem chi tiết")</f>
        <v/>
      </c>
    </row>
    <row r="4844">
      <c r="B4844" s="9" t="n">
        <v>4842</v>
      </c>
      <c r="C4844" s="10" t="inlineStr">
        <is>
          <t>Chuyên Viên Phát Triển Kinh Doanh</t>
        </is>
      </c>
      <c r="D4844" s="10" t="inlineStr">
        <is>
          <t>Công Ty TNHH Ivy Global School Việt Nam</t>
        </is>
      </c>
      <c r="E4844" s="10" t="inlineStr">
        <is>
          <t>10tr-16tr ₫/tháng</t>
        </is>
      </c>
      <c r="F4844" s="10" t="inlineStr">
        <is>
          <t>Hà Nội</t>
        </is>
      </c>
      <c r="G4844" s="10" t="inlineStr">
        <is>
          <t>Nhân viên</t>
        </is>
      </c>
      <c r="H4844" s="10" t="inlineStr">
        <is>
          <t>27/02/2026</t>
        </is>
      </c>
      <c r="I4844" s="10" t="inlineStr">
        <is>
          <t>29/03/2026</t>
        </is>
      </c>
      <c r="J4844" s="10" t="inlineStr">
        <is>
          <t>17/03/2026</t>
        </is>
      </c>
      <c r="K4844" s="10" t="inlineStr">
        <is>
          <t>N/A</t>
        </is>
      </c>
      <c r="L4844" s="10" t="inlineStr">
        <is>
          <t>Business Development, Communication, Customer Experience Management, Market Research, Negotiation Skills</t>
        </is>
      </c>
      <c r="M4844" s="10" t="inlineStr">
        <is>
          <t>Bonus, Healthcare Plan, Travel Opportunities</t>
        </is>
      </c>
      <c r="N4844" s="11">
        <f>HYPERLINK("https://www.vietnamworks.com/chuyen-vien-phat-trien-kinh-doanh--2015399-jv","Xem chi tiết")</f>
        <v/>
      </c>
      <c r="O4844" s="10" t="n"/>
    </row>
    <row r="4845">
      <c r="B4845" s="7" t="n">
        <v>4843</v>
      </c>
      <c r="C4845" t="inlineStr">
        <is>
          <t>Kế Toán Trưởng</t>
        </is>
      </c>
      <c r="D4845" t="inlineStr">
        <is>
          <t>Nam An Holdings</t>
        </is>
      </c>
      <c r="E4845" t="inlineStr">
        <is>
          <t>35tr-50tr ₫/tháng</t>
        </is>
      </c>
      <c r="F4845" t="inlineStr">
        <is>
          <t>Hồ Chí Minh</t>
        </is>
      </c>
      <c r="G4845" t="inlineStr">
        <is>
          <t>Nhân viên</t>
        </is>
      </c>
      <c r="H4845" t="inlineStr">
        <is>
          <t>27/02/2026</t>
        </is>
      </c>
      <c r="I4845" t="inlineStr">
        <is>
          <t>29/03/2026</t>
        </is>
      </c>
      <c r="J4845" t="inlineStr">
        <is>
          <t>17/03/2026</t>
        </is>
      </c>
      <c r="K4845" t="inlineStr">
        <is>
          <t>N/A</t>
        </is>
      </c>
      <c r="L4845" t="inlineStr">
        <is>
          <t>Kế Toán, Finance, Quản Lý Tài Chính, Kiểm Toán, Quản Lý Ngân Sách</t>
        </is>
      </c>
      <c r="M4845" t="inlineStr">
        <is>
          <t>Bonus, Awards, Laptop</t>
        </is>
      </c>
      <c r="N4845" s="8">
        <f>HYPERLINK("https://www.vietnamworks.com/ke-toan-truong--2015393-jv","Xem chi tiết")</f>
        <v/>
      </c>
    </row>
    <row r="4846">
      <c r="B4846" s="9" t="n">
        <v>4844</v>
      </c>
      <c r="C4846" s="10" t="inlineStr">
        <is>
          <t>HR &amp; Operations Manager</t>
        </is>
      </c>
      <c r="D4846" s="10" t="inlineStr">
        <is>
          <t>ECS Group</t>
        </is>
      </c>
      <c r="E4846" s="10" t="inlineStr">
        <is>
          <t>Từ $ 1,600 /tháng</t>
        </is>
      </c>
      <c r="F4846" s="10" t="inlineStr">
        <is>
          <t>Hồ Chí Minh</t>
        </is>
      </c>
      <c r="G4846" s="10" t="inlineStr">
        <is>
          <t>Trưởng phòng</t>
        </is>
      </c>
      <c r="H4846" s="10" t="inlineStr">
        <is>
          <t>27/02/2026</t>
        </is>
      </c>
      <c r="I4846" s="10" t="inlineStr">
        <is>
          <t>29/03/2026</t>
        </is>
      </c>
      <c r="J4846" s="10" t="inlineStr">
        <is>
          <t>17/03/2026</t>
        </is>
      </c>
      <c r="K4846" s="10" t="inlineStr">
        <is>
          <t>N/A</t>
        </is>
      </c>
      <c r="L4846" s="10" t="inlineStr">
        <is>
          <t>HR Operation, HR Management, C&amp;B, Hris Experience, Compliance</t>
        </is>
      </c>
      <c r="M4846" s="10" t="inlineStr">
        <is>
          <t>Bonus, Healthcare Plan, Paid Leave</t>
        </is>
      </c>
      <c r="N4846" s="11">
        <f>HYPERLINK("https://www.vietnamworks.com/hr-operations-manager--2015397-jv","Xem chi tiết")</f>
        <v/>
      </c>
      <c r="O4846" s="10" t="n"/>
    </row>
    <row r="4847">
      <c r="B4847" s="7" t="n">
        <v>4845</v>
      </c>
      <c r="C4847" t="inlineStr">
        <is>
          <t>Kế Toán Thuế Tổng Hợp (Lương: 15 – 20 Triệu/tháng)</t>
        </is>
      </c>
      <c r="D4847" t="inlineStr">
        <is>
          <t>EXTRABIO DONG PHONG AQUA VIETNAM</t>
        </is>
      </c>
      <c r="E4847" t="inlineStr">
        <is>
          <t>15tr-20tr ₫/tháng</t>
        </is>
      </c>
      <c r="F4847" t="inlineStr">
        <is>
          <t>Hà Nội</t>
        </is>
      </c>
      <c r="G4847" t="inlineStr">
        <is>
          <t>Nhân viên</t>
        </is>
      </c>
      <c r="H4847" t="inlineStr">
        <is>
          <t>27/02/2026</t>
        </is>
      </c>
      <c r="I4847" t="inlineStr">
        <is>
          <t>29/03/2026</t>
        </is>
      </c>
      <c r="J4847" t="inlineStr">
        <is>
          <t>17/03/2026</t>
        </is>
      </c>
      <c r="K4847" t="inlineStr">
        <is>
          <t>N/A</t>
        </is>
      </c>
      <c r="L4847" t="inlineStr">
        <is>
          <t>Quyết Toán Thuế, Theo Dõi Tồn Kho, Tính Giá Sản Phẩm, Hạch Toán, Kế Toán Tổng Hợp</t>
        </is>
      </c>
      <c r="M4847" t="inlineStr">
        <is>
          <t>Bonus, Healthcare Plan, Others</t>
        </is>
      </c>
      <c r="N4847" s="8">
        <f>HYPERLINK("https://www.vietnamworks.com/ke-toan-thue-tong-hop-luong-15-20-trieu-thang-2015409-jv","Xem chi tiết")</f>
        <v/>
      </c>
    </row>
    <row r="4848">
      <c r="B4848" s="9" t="n">
        <v>4846</v>
      </c>
      <c r="C4848" s="10" t="inlineStr">
        <is>
          <t>Project Sales / Sales Engineer ( Horeca / FnB / Project)</t>
        </is>
      </c>
      <c r="D4848" s="10" t="inlineStr">
        <is>
          <t>Nam An Holdings</t>
        </is>
      </c>
      <c r="E4848" s="10" t="inlineStr">
        <is>
          <t>Từ $ 700 /tháng</t>
        </is>
      </c>
      <c r="F4848" s="10" t="inlineStr">
        <is>
          <t>Hồ Chí Minh, Hà Nội</t>
        </is>
      </c>
      <c r="G4848" s="10" t="inlineStr">
        <is>
          <t>Nhân viên</t>
        </is>
      </c>
      <c r="H4848" s="10" t="inlineStr">
        <is>
          <t>27/02/2026</t>
        </is>
      </c>
      <c r="I4848" s="10" t="inlineStr">
        <is>
          <t>29/03/2026</t>
        </is>
      </c>
      <c r="J4848" s="10" t="inlineStr">
        <is>
          <t>17/03/2026</t>
        </is>
      </c>
      <c r="K4848" s="10" t="inlineStr">
        <is>
          <t>N/A</t>
        </is>
      </c>
      <c r="L4848" s="10" t="inlineStr">
        <is>
          <t>Bán Hàng, Kinh Doanh, Relationship Maintaining, Sales Planning</t>
        </is>
      </c>
      <c r="M4848" s="10" t="inlineStr">
        <is>
          <t>Bonus, Healthcare Plan, Paid Leave</t>
        </is>
      </c>
      <c r="N4848" s="11">
        <f>HYPERLINK("https://www.vietnamworks.com/project-sales-sales-engineer-horeca-fnb-project-2015395-jv","Xem chi tiết")</f>
        <v/>
      </c>
      <c r="O4848" s="10" t="n"/>
    </row>
    <row r="4849">
      <c r="B4849" s="7" t="n">
        <v>4847</v>
      </c>
      <c r="C4849" t="inlineStr">
        <is>
          <t>Chuyên Viên Media</t>
        </is>
      </c>
      <c r="D4849" t="inlineStr">
        <is>
          <t>CÔNG TY CỔ PHẦN THƯƠNG MẠI VÀ DỊCH VỤ HEALTH CARE</t>
        </is>
      </c>
      <c r="E4849" t="inlineStr">
        <is>
          <t>14tr-15tr ₫/tháng</t>
        </is>
      </c>
      <c r="F4849" t="inlineStr">
        <is>
          <t>Hà Nội</t>
        </is>
      </c>
      <c r="G4849" t="inlineStr">
        <is>
          <t>Nhân viên</t>
        </is>
      </c>
      <c r="H4849" t="inlineStr">
        <is>
          <t>27/02/2026</t>
        </is>
      </c>
      <c r="I4849" t="inlineStr">
        <is>
          <t>29/03/2026</t>
        </is>
      </c>
      <c r="J4849" t="inlineStr">
        <is>
          <t>17/03/2026</t>
        </is>
      </c>
      <c r="K4849" t="inlineStr">
        <is>
          <t>N/A</t>
        </is>
      </c>
      <c r="L4849" t="inlineStr">
        <is>
          <t>Quay Video, Chụp Ảnh, Dựng Video, Chỉnh Màu, Tư Duy Typography</t>
        </is>
      </c>
      <c r="M4849" t="inlineStr">
        <is>
          <t>Bonus, Healthcare Plan, Training, Others</t>
        </is>
      </c>
      <c r="N4849" s="8">
        <f>HYPERLINK("https://www.vietnamworks.com/chuyen-vien-media-2015417-jv","Xem chi tiết")</f>
        <v/>
      </c>
    </row>
    <row r="4850">
      <c r="B4850" s="9" t="n">
        <v>4848</v>
      </c>
      <c r="C4850" s="10" t="inlineStr">
        <is>
          <t>Digital Marketing - Facebook Ads, Tiktok Ads, Google Ads - Thu Nhập Upto 14Tr/ Tháng</t>
        </is>
      </c>
      <c r="D4850" s="10" t="inlineStr">
        <is>
          <t>CÔNG TY CỔ PHẦN THƯƠNG MẠI VÀ DỊCH VỤ HEALTH CARE</t>
        </is>
      </c>
      <c r="E4850" s="10" t="inlineStr">
        <is>
          <t>13tr-14tr ₫/tháng</t>
        </is>
      </c>
      <c r="F4850" s="10" t="inlineStr">
        <is>
          <t>Hà Nội</t>
        </is>
      </c>
      <c r="G4850" s="10" t="inlineStr">
        <is>
          <t>Nhân viên</t>
        </is>
      </c>
      <c r="H4850" s="10" t="inlineStr">
        <is>
          <t>27/02/2026</t>
        </is>
      </c>
      <c r="I4850" s="10" t="inlineStr">
        <is>
          <t>29/03/2026</t>
        </is>
      </c>
      <c r="J4850" s="10" t="inlineStr">
        <is>
          <t>17/03/2026</t>
        </is>
      </c>
      <c r="K4850" s="10" t="inlineStr">
        <is>
          <t>N/A</t>
        </is>
      </c>
      <c r="L4850" s="10" t="inlineStr">
        <is>
          <t>Digital Marketing, Facebook Ads, Google Ads, Tiktok Ads, Data Analysis</t>
        </is>
      </c>
      <c r="M4850" s="10" t="inlineStr">
        <is>
          <t>Bonus, Healthcare Plan, Training, Others</t>
        </is>
      </c>
      <c r="N4850" s="11">
        <f>HYPERLINK("https://www.vietnamworks.com/digital-marketing-facebook-ads-tiktok-ads-google-ads-thu-nhap-upto-14tr-thang-2015421-jv","Xem chi tiết")</f>
        <v/>
      </c>
      <c r="O4850" s="10" t="n"/>
    </row>
    <row r="4851">
      <c r="B4851" s="7" t="n">
        <v>4849</v>
      </c>
      <c r="C4851" t="inlineStr">
        <is>
          <t>Kỹ Thuật Viên Đo Lường Phòng Đảm Bảo Chất Lượng</t>
        </is>
      </c>
      <c r="D4851" t="inlineStr">
        <is>
          <t>Công Ty TNHH OGINO Việt Nam Từ Sơn</t>
        </is>
      </c>
      <c r="E4851" t="inlineStr">
        <is>
          <t>10tr-20tr ₫/tháng</t>
        </is>
      </c>
      <c r="F4851" t="inlineStr">
        <is>
          <t>Bắc Ninh</t>
        </is>
      </c>
      <c r="G4851" t="inlineStr">
        <is>
          <t>Nhân viên</t>
        </is>
      </c>
      <c r="H4851" t="inlineStr">
        <is>
          <t>27/02/2026</t>
        </is>
      </c>
      <c r="I4851" t="inlineStr">
        <is>
          <t>29/03/2026</t>
        </is>
      </c>
      <c r="J4851" t="inlineStr">
        <is>
          <t>17/03/2026</t>
        </is>
      </c>
      <c r="K4851" t="inlineStr">
        <is>
          <t>N/A</t>
        </is>
      </c>
      <c r="L4851" t="inlineStr">
        <is>
          <t>Đọc Dịch Bản Vẽ, Kiểm Tra Chất Lượng, Vận Hành Máy Đo, Kỹ Thuật, Đo Lường Cơ Khí</t>
        </is>
      </c>
      <c r="M4851" t="inlineStr">
        <is>
          <t>Bonus, Training, Team Activities, Others</t>
        </is>
      </c>
      <c r="N4851" s="8">
        <f>HYPERLINK("https://www.vietnamworks.com/ky-thuat-vien-djo-luong-phong-djam-bao-chat-luong-2015419-jv","Xem chi tiết")</f>
        <v/>
      </c>
    </row>
    <row r="4852">
      <c r="B4852" s="9" t="n">
        <v>4850</v>
      </c>
      <c r="C4852" s="10" t="inlineStr">
        <is>
          <t>Chuyên Viên Phát Triển Dự Án</t>
        </is>
      </c>
      <c r="D4852" s="10" t="inlineStr">
        <is>
          <t>Công Ty Cổ Phần Tập Đoàn MIK Group Việt Nam</t>
        </is>
      </c>
      <c r="E4852" s="10" t="inlineStr">
        <is>
          <t>Thương lượng</t>
        </is>
      </c>
      <c r="F4852" s="10" t="inlineStr">
        <is>
          <t>Hà Nội</t>
        </is>
      </c>
      <c r="G4852" s="10" t="inlineStr">
        <is>
          <t>Nhân viên</t>
        </is>
      </c>
      <c r="H4852" s="10" t="inlineStr">
        <is>
          <t>27/02/2026</t>
        </is>
      </c>
      <c r="I4852" s="10" t="inlineStr">
        <is>
          <t>29/03/2026</t>
        </is>
      </c>
      <c r="J4852" s="10" t="inlineStr">
        <is>
          <t>17/03/2026</t>
        </is>
      </c>
      <c r="K4852" s="10" t="inlineStr">
        <is>
          <t>N/A</t>
        </is>
      </c>
      <c r="L4852" s="10" t="inlineStr">
        <is>
          <t>Hồ Sơ Đấu Thầu, Phát Triển Dự Án, Quan Hệ Đối Ngoại, Soạn Thảo Hồ Sơ, Tham Vấn</t>
        </is>
      </c>
      <c r="M4852" s="10" t="inlineStr">
        <is>
          <t>Bonus, Healthcare Plan, Paid Leave, Travel Opportunities, Team Activities, Others</t>
        </is>
      </c>
      <c r="N4852" s="11">
        <f>HYPERLINK("https://www.vietnamworks.com/chuyen-vien-phat-trien-du-an-2015416-jv","Xem chi tiết")</f>
        <v/>
      </c>
      <c r="O4852" s="10" t="n"/>
    </row>
    <row r="4853">
      <c r="B4853" s="7" t="n">
        <v>4851</v>
      </c>
      <c r="C4853" t="inlineStr">
        <is>
          <t>Chủ Nhiệm Quản Lý Thiết Kế</t>
        </is>
      </c>
      <c r="D4853" t="inlineStr">
        <is>
          <t>Công Ty Cổ Phần Tập Đoàn MIK Group Việt Nam</t>
        </is>
      </c>
      <c r="E4853" t="inlineStr">
        <is>
          <t>Thương lượng</t>
        </is>
      </c>
      <c r="F4853" t="inlineStr">
        <is>
          <t>Hà Nội</t>
        </is>
      </c>
      <c r="G4853" t="inlineStr">
        <is>
          <t>Nhân viên</t>
        </is>
      </c>
      <c r="H4853" t="inlineStr">
        <is>
          <t>27/02/2026</t>
        </is>
      </c>
      <c r="I4853" t="inlineStr">
        <is>
          <t>29/03/2026</t>
        </is>
      </c>
      <c r="J4853" t="inlineStr">
        <is>
          <t>17/03/2026</t>
        </is>
      </c>
      <c r="K4853" t="inlineStr">
        <is>
          <t>N/A</t>
        </is>
      </c>
      <c r="L4853" t="inlineStr">
        <is>
          <t>Quản Lý Thiết Kế Kết Cấu, Kiểm Soát Hồ Sơ, MEP Engineering, Quản Lý Chất Lượng, Thiết Kế Kiến Trúc</t>
        </is>
      </c>
      <c r="M4853" t="inlineStr">
        <is>
          <t>Bonus, Healthcare Plan, Paid Leave, Team Activities, Others</t>
        </is>
      </c>
      <c r="N4853" s="8">
        <f>HYPERLINK("https://www.vietnamworks.com/chu-nhiem-quan-ly-thiet-ke-2015420-jv","Xem chi tiết")</f>
        <v/>
      </c>
    </row>
    <row r="4854">
      <c r="B4854" s="9" t="n">
        <v>4852</v>
      </c>
      <c r="C4854" s="10" t="inlineStr">
        <is>
          <t>Experienced Audit Assistant</t>
        </is>
      </c>
      <c r="D4854" s="10" t="inlineStr">
        <is>
          <t>Crowe Vietnam Co., Ltd</t>
        </is>
      </c>
      <c r="E4854" s="10" t="inlineStr">
        <is>
          <t>Thương lượng</t>
        </is>
      </c>
      <c r="F4854" s="10" t="inlineStr">
        <is>
          <t>Hà Nội</t>
        </is>
      </c>
      <c r="G4854" s="10" t="inlineStr">
        <is>
          <t>Nhân viên</t>
        </is>
      </c>
      <c r="H4854" s="10" t="inlineStr">
        <is>
          <t>27/02/2026</t>
        </is>
      </c>
      <c r="I4854" s="10" t="inlineStr">
        <is>
          <t>29/03/2026</t>
        </is>
      </c>
      <c r="J4854" s="10" t="inlineStr">
        <is>
          <t>17/03/2026</t>
        </is>
      </c>
      <c r="K4854" s="10" t="inlineStr">
        <is>
          <t>N/A</t>
        </is>
      </c>
      <c r="L4854" s="10" t="inlineStr">
        <is>
          <t>Accounting, Auditing, English Language Proficiency, Finance, Teamwork</t>
        </is>
      </c>
      <c r="M4854" s="10" t="inlineStr">
        <is>
          <t>Bonus, Paid Leave, Training, Team Activities</t>
        </is>
      </c>
      <c r="N4854" s="11">
        <f>HYPERLINK("https://www.vietnamworks.com/experienced-audit-assistant--2015422-jv","Xem chi tiết")</f>
        <v/>
      </c>
      <c r="O4854" s="10" t="n"/>
    </row>
    <row r="4855">
      <c r="B4855" s="7" t="n">
        <v>4853</v>
      </c>
      <c r="C4855" t="inlineStr">
        <is>
          <t>IT Support Tier 2</t>
        </is>
      </c>
      <c r="D4855" t="inlineStr">
        <is>
          <t>Unicity Marketing Vietnam Co. Ltd.</t>
        </is>
      </c>
      <c r="E4855" t="inlineStr">
        <is>
          <t>$$ 800-1,500 /tháng</t>
        </is>
      </c>
      <c r="F4855" t="inlineStr">
        <is>
          <t>Hồ Chí Minh</t>
        </is>
      </c>
      <c r="G4855" t="inlineStr">
        <is>
          <t>Nhân viên</t>
        </is>
      </c>
      <c r="H4855" t="inlineStr">
        <is>
          <t>27/02/2026</t>
        </is>
      </c>
      <c r="I4855" t="inlineStr">
        <is>
          <t>29/03/2026</t>
        </is>
      </c>
      <c r="J4855" t="inlineStr">
        <is>
          <t>17/03/2026</t>
        </is>
      </c>
      <c r="K4855" t="inlineStr">
        <is>
          <t>N/A</t>
        </is>
      </c>
      <c r="L4855" t="inlineStr">
        <is>
          <t>Technical Support, Computer Science, E-Commerce, Service Desk, Troubleshooting</t>
        </is>
      </c>
      <c r="M4855" t="inlineStr">
        <is>
          <t>Bonus, Healthcare Plan, Vouchers</t>
        </is>
      </c>
      <c r="N4855" s="8">
        <f>HYPERLINK("https://www.vietnamworks.com/it-support-tier-2-2015415-jv","Xem chi tiết")</f>
        <v/>
      </c>
    </row>
    <row r="4856">
      <c r="B4856" s="9" t="n">
        <v>4854</v>
      </c>
      <c r="C4856" s="10" t="inlineStr">
        <is>
          <t>Human Resources Manager</t>
        </is>
      </c>
      <c r="D4856" s="10" t="inlineStr">
        <is>
          <t>Công ty TNHH Rapid Aid Việt Nam</t>
        </is>
      </c>
      <c r="E4856" s="10" t="inlineStr">
        <is>
          <t>Thương lượng</t>
        </is>
      </c>
      <c r="F4856" s="10" t="inlineStr">
        <is>
          <t>Hà Nội, Hải Phòng</t>
        </is>
      </c>
      <c r="G4856" s="10" t="inlineStr">
        <is>
          <t>Trưởng phòng</t>
        </is>
      </c>
      <c r="H4856" s="10" t="inlineStr">
        <is>
          <t>27/02/2026</t>
        </is>
      </c>
      <c r="I4856" s="10" t="inlineStr">
        <is>
          <t>29/03/2026</t>
        </is>
      </c>
      <c r="J4856" s="10" t="inlineStr">
        <is>
          <t>17/03/2026</t>
        </is>
      </c>
      <c r="K4856" s="10" t="inlineStr">
        <is>
          <t>N/A</t>
        </is>
      </c>
      <c r="L4856" s="10" t="inlineStr">
        <is>
          <t>Compensation &amp; Benefits, Employee Engagement, Labour Law, Legal &amp; Compliance, Talent Acquisition</t>
        </is>
      </c>
      <c r="M4856" s="10" t="inlineStr">
        <is>
          <t>Bonus, Healthcare Plan, Training, Others</t>
        </is>
      </c>
      <c r="N4856" s="11">
        <f>HYPERLINK("https://www.vietnamworks.com/human-resources-manager-2015413-jv","Xem chi tiết")</f>
        <v/>
      </c>
      <c r="O4856" s="10" t="n"/>
    </row>
    <row r="4857">
      <c r="B4857" s="7" t="n">
        <v>4855</v>
      </c>
      <c r="C4857" t="inlineStr">
        <is>
          <t>Sale Support Freight Forwarding</t>
        </is>
      </c>
      <c r="D4857" t="inlineStr">
        <is>
          <t>Công ty TNHH Logimark International</t>
        </is>
      </c>
      <c r="E4857" t="inlineStr">
        <is>
          <t>Thương lượng</t>
        </is>
      </c>
      <c r="F4857" t="inlineStr">
        <is>
          <t>Hồ Chí Minh</t>
        </is>
      </c>
      <c r="G4857" t="inlineStr">
        <is>
          <t>Nhân viên</t>
        </is>
      </c>
      <c r="H4857" t="inlineStr">
        <is>
          <t>27/02/2026</t>
        </is>
      </c>
      <c r="I4857" t="inlineStr">
        <is>
          <t>29/03/2026</t>
        </is>
      </c>
      <c r="J4857" t="inlineStr">
        <is>
          <t>17/03/2026</t>
        </is>
      </c>
      <c r="K4857" t="inlineStr">
        <is>
          <t>N/A</t>
        </is>
      </c>
      <c r="L4857" t="inlineStr">
        <is>
          <t>Transportation Operations, Logistics, Sales Support, Quotations Processing, English</t>
        </is>
      </c>
      <c r="M4857" t="inlineStr">
        <is>
          <t>Bonus, Healthcare Plan, Training</t>
        </is>
      </c>
      <c r="N4857" s="8">
        <f>HYPERLINK("https://www.vietnamworks.com/sale-support-freight-forwarding-2015436-jv","Xem chi tiết")</f>
        <v/>
      </c>
    </row>
    <row r="4858">
      <c r="B4858" s="9" t="n">
        <v>4856</v>
      </c>
      <c r="C4858" s="10" t="inlineStr">
        <is>
          <t>Customer Service Representative</t>
        </is>
      </c>
      <c r="D4858" s="10" t="inlineStr">
        <is>
          <t>CEO SUITE</t>
        </is>
      </c>
      <c r="E4858" s="10" t="inlineStr">
        <is>
          <t>Thương lượng</t>
        </is>
      </c>
      <c r="F4858" s="10" t="inlineStr">
        <is>
          <t>Hà Nội</t>
        </is>
      </c>
      <c r="G4858" s="10" t="inlineStr">
        <is>
          <t>Nhân viên</t>
        </is>
      </c>
      <c r="H4858" s="10" t="inlineStr">
        <is>
          <t>27/02/2026</t>
        </is>
      </c>
      <c r="I4858" s="10" t="inlineStr">
        <is>
          <t>29/03/2026</t>
        </is>
      </c>
      <c r="J4858" s="10" t="inlineStr">
        <is>
          <t>17/03/2026</t>
        </is>
      </c>
      <c r="K4858" s="10" t="inlineStr">
        <is>
          <t>N/A</t>
        </is>
      </c>
      <c r="L4858" s="10" t="inlineStr">
        <is>
          <t>Customer Support, Customer Service, Customer Care, Chăm Sóc Khách Hàng, Admin</t>
        </is>
      </c>
      <c r="M4858" s="10" t="inlineStr">
        <is>
          <t>Bonus, Healthcare Plan, Paid Leave</t>
        </is>
      </c>
      <c r="N4858" s="11">
        <f>HYPERLINK("https://www.vietnamworks.com/customer-service-representative--2015445-jv","Xem chi tiết")</f>
        <v/>
      </c>
      <c r="O4858" s="10" t="n"/>
    </row>
    <row r="4859">
      <c r="B4859" s="7" t="n">
        <v>4857</v>
      </c>
      <c r="C4859" t="inlineStr">
        <is>
          <t>Production Intern</t>
        </is>
      </c>
      <c r="D4859" t="inlineStr">
        <is>
          <t>La Vie Limited Liability Company</t>
        </is>
      </c>
      <c r="E4859" t="inlineStr">
        <is>
          <t>Thương lượng</t>
        </is>
      </c>
      <c r="F4859" t="inlineStr">
        <is>
          <t>Long An</t>
        </is>
      </c>
      <c r="G4859" t="inlineStr">
        <is>
          <t>Thực tập sinh/Sinh viên</t>
        </is>
      </c>
      <c r="H4859" t="inlineStr">
        <is>
          <t>27/02/2026</t>
        </is>
      </c>
      <c r="I4859" t="inlineStr">
        <is>
          <t>29/03/2026</t>
        </is>
      </c>
      <c r="J4859" t="inlineStr">
        <is>
          <t>17/03/2026</t>
        </is>
      </c>
      <c r="K4859" t="inlineStr">
        <is>
          <t>N/A</t>
        </is>
      </c>
      <c r="L4859" t="inlineStr">
        <is>
          <t>Maintenance, Maintenance Operations, Bảo Trì Bảo Dưỡng Cơ Khí, FMCG</t>
        </is>
      </c>
      <c r="M4859" t="inlineStr">
        <is>
          <t>Training, Transportation</t>
        </is>
      </c>
      <c r="N4859" s="8">
        <f>HYPERLINK("https://www.vietnamworks.com/production-intern--2015444-jv","Xem chi tiết")</f>
        <v/>
      </c>
    </row>
    <row r="4860">
      <c r="B4860" s="9" t="n">
        <v>4858</v>
      </c>
      <c r="C4860" s="10" t="inlineStr">
        <is>
          <t>[Remote] TikTok Affiliate Marketer (+ Booking KOC)</t>
        </is>
      </c>
      <c r="D4860" s="10" t="inlineStr">
        <is>
          <t>PICKDI CORP</t>
        </is>
      </c>
      <c r="E4860" s="10" t="inlineStr">
        <is>
          <t>14tr-16tr ₫/tháng</t>
        </is>
      </c>
      <c r="F4860" s="10" t="inlineStr">
        <is>
          <t>Hà Nội, Quốc tế, Hồ Chí Minh</t>
        </is>
      </c>
      <c r="G4860" s="10" t="inlineStr">
        <is>
          <t>Nhân viên</t>
        </is>
      </c>
      <c r="H4860" s="10" t="inlineStr">
        <is>
          <t>27/02/2026</t>
        </is>
      </c>
      <c r="I4860" s="10" t="inlineStr">
        <is>
          <t>29/03/2026</t>
        </is>
      </c>
      <c r="J4860" s="10" t="inlineStr">
        <is>
          <t>17/03/2026</t>
        </is>
      </c>
      <c r="K4860" s="10" t="inlineStr">
        <is>
          <t>N/A</t>
        </is>
      </c>
      <c r="L4860" s="10" t="inlineStr">
        <is>
          <t>Affiliate Marketing, Influencer Marketing, Marketing, Account Executive, Kol/Koc Booking</t>
        </is>
      </c>
      <c r="M4860" s="10" t="inlineStr">
        <is>
          <t>Others</t>
        </is>
      </c>
      <c r="N4860" s="11">
        <f>HYPERLINK("https://www.vietnamworks.com/remote-tiktok-affiliate-marketer-booking-koc-2015429-jv","Xem chi tiết")</f>
        <v/>
      </c>
      <c r="O4860" s="10" t="n"/>
    </row>
    <row r="4861">
      <c r="B4861" s="7" t="n">
        <v>4859</v>
      </c>
      <c r="C4861" t="inlineStr">
        <is>
          <t>Test Engineer (Quality Dept) - Deal Lương Không Giới Hạn</t>
        </is>
      </c>
      <c r="D4861" t="inlineStr">
        <is>
          <t>CÔNG TY TNHH AMPHENOL COMMUNICATION ELECTRONICS VIỆT NAM</t>
        </is>
      </c>
      <c r="E4861" t="inlineStr">
        <is>
          <t>Thương lượng</t>
        </is>
      </c>
      <c r="F4861" t="inlineStr">
        <is>
          <t>Bắc Ninh</t>
        </is>
      </c>
      <c r="G4861" t="inlineStr">
        <is>
          <t>Nhân viên</t>
        </is>
      </c>
      <c r="H4861" t="inlineStr">
        <is>
          <t>27/02/2026</t>
        </is>
      </c>
      <c r="I4861" t="inlineStr">
        <is>
          <t>29/03/2026</t>
        </is>
      </c>
      <c r="J4861" t="inlineStr">
        <is>
          <t>17/03/2026</t>
        </is>
      </c>
      <c r="K4861" t="inlineStr">
        <is>
          <t>N/A</t>
        </is>
      </c>
      <c r="L4861" t="inlineStr">
        <is>
          <t>Quality Process Improvement, Test Engineer, Kiểm Thử, Kiểm Thử Mạch Điện, Điện tử</t>
        </is>
      </c>
      <c r="M4861" t="inlineStr">
        <is>
          <t>Bonus, Others</t>
        </is>
      </c>
      <c r="N4861" s="8">
        <f>HYPERLINK("https://www.vietnamworks.com/test-engineer-quality-dept-deal-luong-khong-gioi-han-2015437-jv","Xem chi tiết")</f>
        <v/>
      </c>
    </row>
    <row r="4862">
      <c r="B4862" s="9" t="n">
        <v>4860</v>
      </c>
      <c r="C4862" s="10" t="inlineStr">
        <is>
          <t>Kỹ Sư Tự Động Hóa / Service Engineer (Máy Công Nghiệp)</t>
        </is>
      </c>
      <c r="D4862" s="10" t="inlineStr">
        <is>
          <t>CÔNG TY TNHH MÁY CHÍNH XÁC AMC</t>
        </is>
      </c>
      <c r="E4862" s="10" t="inlineStr">
        <is>
          <t>12tr-17tr ₫/tháng</t>
        </is>
      </c>
      <c r="F4862" s="10" t="inlineStr">
        <is>
          <t>Hà Nội</t>
        </is>
      </c>
      <c r="G4862" s="10" t="inlineStr">
        <is>
          <t>Nhân viên</t>
        </is>
      </c>
      <c r="H4862" s="10" t="inlineStr">
        <is>
          <t>27/02/2026</t>
        </is>
      </c>
      <c r="I4862" s="10" t="inlineStr">
        <is>
          <t>29/03/2026</t>
        </is>
      </c>
      <c r="J4862" s="10" t="inlineStr">
        <is>
          <t>17/03/2026</t>
        </is>
      </c>
      <c r="K4862" s="10" t="inlineStr">
        <is>
          <t>N/A</t>
        </is>
      </c>
      <c r="L4862" s="10" t="inlineStr">
        <is>
          <t>Thiết Kế Máy Móc, Bằng Lái Xe B2, Industrial Machinery, Technical Service, Automation Engineering</t>
        </is>
      </c>
      <c r="M4862" s="10" t="inlineStr">
        <is>
          <t>Bonus, Healthcare Plan, Awards, Team Activities, Others</t>
        </is>
      </c>
      <c r="N4862" s="11">
        <f>HYPERLINK("https://www.vietnamworks.com/ky-su-tu-dong-hoa-service-engineer-may-cong-nghiep-2015423-jv","Xem chi tiết")</f>
        <v/>
      </c>
      <c r="O4862" s="10" t="n"/>
    </row>
    <row r="4863">
      <c r="B4863" s="7" t="n">
        <v>4861</v>
      </c>
      <c r="C4863" t="inlineStr">
        <is>
          <t>Kỹ Sư Lập Trình Nhúng Lương Từ 12 Triệu/tháng</t>
        </is>
      </c>
      <c r="D4863" t="inlineStr">
        <is>
          <t>Công Ty Cổ Phần Đầu Tư Công Nghệ Và Địa Ốc Interland</t>
        </is>
      </c>
      <c r="E4863" t="inlineStr">
        <is>
          <t>Từ 12tr ₫/tháng</t>
        </is>
      </c>
      <c r="F4863" t="inlineStr">
        <is>
          <t>Hà Nội</t>
        </is>
      </c>
      <c r="G4863" t="inlineStr">
        <is>
          <t>Nhân viên</t>
        </is>
      </c>
      <c r="H4863" t="inlineStr">
        <is>
          <t>27/02/2026</t>
        </is>
      </c>
      <c r="I4863" t="inlineStr">
        <is>
          <t>29/03/2026</t>
        </is>
      </c>
      <c r="J4863" t="inlineStr">
        <is>
          <t>17/03/2026</t>
        </is>
      </c>
      <c r="K4863" t="inlineStr">
        <is>
          <t>N/A</t>
        </is>
      </c>
      <c r="L4863" t="inlineStr">
        <is>
          <t>C#, C++, MCU, Lập Trình Nhúng, Thiết Kế Hệ Thống Nhúng</t>
        </is>
      </c>
      <c r="M4863" t="inlineStr">
        <is>
          <t>Healthcare Plan, Team Activities, Canteen</t>
        </is>
      </c>
      <c r="N4863" s="8">
        <f>HYPERLINK("https://www.vietnamworks.com/ky-su-lap-trinh-nhung-luong-tu-12-trieu-thang-2015432-jv","Xem chi tiết")</f>
        <v/>
      </c>
    </row>
    <row r="4864">
      <c r="B4864" s="9" t="n">
        <v>4862</v>
      </c>
      <c r="C4864" s="10" t="inlineStr">
        <is>
          <t>Graphic Designer – Chuyên Viên Thiết Kế Sáng Tạo (Lương 11–15 Triệu - Thưởng Hấp Dẫn)</t>
        </is>
      </c>
      <c r="D4864" s="10" t="inlineStr">
        <is>
          <t>EXTRABIO DONG PHONG AQUA VIETNAM</t>
        </is>
      </c>
      <c r="E4864" s="10" t="inlineStr">
        <is>
          <t>11tr-15tr ₫/tháng</t>
        </is>
      </c>
      <c r="F4864" s="10" t="inlineStr">
        <is>
          <t>Hà Nội</t>
        </is>
      </c>
      <c r="G4864" s="10" t="inlineStr">
        <is>
          <t>Nhân viên</t>
        </is>
      </c>
      <c r="H4864" s="10" t="inlineStr">
        <is>
          <t>27/02/2026</t>
        </is>
      </c>
      <c r="I4864" s="10" t="inlineStr">
        <is>
          <t>29/03/2026</t>
        </is>
      </c>
      <c r="J4864" s="10" t="inlineStr">
        <is>
          <t>17/03/2026</t>
        </is>
      </c>
      <c r="K4864" s="10" t="inlineStr">
        <is>
          <t>N/A</t>
        </is>
      </c>
      <c r="L4864" s="10" t="inlineStr">
        <is>
          <t>Adobe Illustrator, Branding Design, Corel Draw</t>
        </is>
      </c>
      <c r="M4864" s="10" t="inlineStr">
        <is>
          <t>Bonus, Healthcare Plan, Paid Leave, Team Activities, Others</t>
        </is>
      </c>
      <c r="N4864" s="11">
        <f>HYPERLINK("https://www.vietnamworks.com/graphic-designer-chuyen-vien-thiet-ke-sang-tao-luong-11-15-trieu-thuong-hap-dan-2015439-jv","Xem chi tiết")</f>
        <v/>
      </c>
      <c r="O4864" s="10" t="n"/>
    </row>
    <row r="4865">
      <c r="B4865" s="7" t="n">
        <v>4863</v>
      </c>
      <c r="C4865" t="inlineStr">
        <is>
          <t>Quality Control Inspector</t>
        </is>
      </c>
      <c r="D4865" t="inlineStr">
        <is>
          <t>LR-TEK</t>
        </is>
      </c>
      <c r="E4865" t="inlineStr">
        <is>
          <t>Thương lượng</t>
        </is>
      </c>
      <c r="F4865" t="inlineStr">
        <is>
          <t>Hồ Chí Minh</t>
        </is>
      </c>
      <c r="G4865" t="inlineStr">
        <is>
          <t>Nhân viên</t>
        </is>
      </c>
      <c r="H4865" t="inlineStr">
        <is>
          <t>27/02/2026</t>
        </is>
      </c>
      <c r="I4865" t="inlineStr">
        <is>
          <t>29/03/2026</t>
        </is>
      </c>
      <c r="J4865" t="inlineStr">
        <is>
          <t>17/03/2026</t>
        </is>
      </c>
      <c r="K4865" t="inlineStr">
        <is>
          <t>N/A</t>
        </is>
      </c>
      <c r="L4865" t="inlineStr">
        <is>
          <t>English, Import procedures, Manufacturing Experience, Qc, Quality Control</t>
        </is>
      </c>
      <c r="M4865" t="inlineStr">
        <is>
          <t>Others</t>
        </is>
      </c>
      <c r="N4865" s="8">
        <f>HYPERLINK("https://www.vietnamworks.com/quality-control-inspector-2015428-jv","Xem chi tiết")</f>
        <v/>
      </c>
    </row>
    <row r="4866">
      <c r="B4866" s="9" t="n">
        <v>4864</v>
      </c>
      <c r="C4866" s="10" t="inlineStr">
        <is>
          <t>Order Processing</t>
        </is>
      </c>
      <c r="D4866" s="10" t="inlineStr">
        <is>
          <t>LR-TEK</t>
        </is>
      </c>
      <c r="E4866" s="10" t="inlineStr">
        <is>
          <t>Thương lượng</t>
        </is>
      </c>
      <c r="F4866" s="10" t="inlineStr">
        <is>
          <t>Hồ Chí Minh</t>
        </is>
      </c>
      <c r="G4866" s="10" t="inlineStr">
        <is>
          <t>Nhân viên</t>
        </is>
      </c>
      <c r="H4866" s="10" t="inlineStr">
        <is>
          <t>27/02/2026</t>
        </is>
      </c>
      <c r="I4866" s="10" t="inlineStr">
        <is>
          <t>29/03/2026</t>
        </is>
      </c>
      <c r="J4866" s="10" t="inlineStr">
        <is>
          <t>17/03/2026</t>
        </is>
      </c>
      <c r="K4866" s="10" t="inlineStr">
        <is>
          <t>N/A</t>
        </is>
      </c>
      <c r="L4866" s="10" t="inlineStr">
        <is>
          <t>English, Business Administration, Logistics, Finance, Economics</t>
        </is>
      </c>
      <c r="M4866" s="10" t="inlineStr">
        <is>
          <t>Bonus, Others</t>
        </is>
      </c>
      <c r="N4866" s="11">
        <f>HYPERLINK("https://www.vietnamworks.com/order-processing--2015431-jv","Xem chi tiết")</f>
        <v/>
      </c>
      <c r="O4866" s="10" t="n"/>
    </row>
    <row r="4867">
      <c r="B4867" s="7" t="n">
        <v>4865</v>
      </c>
      <c r="C4867" t="inlineStr">
        <is>
          <t>Chuyên Viên Sáng Tạo Nội Dung (Lương Từ 11-15Tr/tháng + Thưởng Hấp Dẫn)</t>
        </is>
      </c>
      <c r="D4867" t="inlineStr">
        <is>
          <t>EXTRABIO DONG PHONG AQUA VIETNAM</t>
        </is>
      </c>
      <c r="E4867" t="inlineStr">
        <is>
          <t>11tr-15tr ₫/tháng</t>
        </is>
      </c>
      <c r="F4867" t="inlineStr">
        <is>
          <t>Hà Nội</t>
        </is>
      </c>
      <c r="G4867" t="inlineStr">
        <is>
          <t>Nhân viên</t>
        </is>
      </c>
      <c r="H4867" t="inlineStr">
        <is>
          <t>27/02/2026</t>
        </is>
      </c>
      <c r="I4867" t="inlineStr">
        <is>
          <t>29/03/2026</t>
        </is>
      </c>
      <c r="J4867" t="inlineStr">
        <is>
          <t>17/03/2026</t>
        </is>
      </c>
      <c r="K4867" t="inlineStr">
        <is>
          <t>N/A</t>
        </is>
      </c>
      <c r="L4867" t="inlineStr">
        <is>
          <t>Canva, Content Creation, Marketing Strategy, CapCut, Social</t>
        </is>
      </c>
      <c r="M4867" t="inlineStr">
        <is>
          <t>Bonus, Healthcare Plan, Paid Leave, Team Activities, Others</t>
        </is>
      </c>
      <c r="N4867" s="8">
        <f>HYPERLINK("https://www.vietnamworks.com/chuyen-vien-sang-tao-noi-dung-luong-tu-11-15trthang-thuong-hap-dan-2015442-jv","Xem chi tiết")</f>
        <v/>
      </c>
    </row>
    <row r="4868">
      <c r="B4868" s="9" t="n">
        <v>4866</v>
      </c>
      <c r="C4868" s="10" t="inlineStr">
        <is>
          <t>Chuyên Viên Kế Toán (Phụ Trách Công Nợ, Quản Lý Hàng Tồn Kho, Tạm Ứng/thanh Quyết Toán Cá Nhân)</t>
        </is>
      </c>
      <c r="D4868" s="10" t="inlineStr">
        <is>
          <t>ÔNG TY CỔ PHẦN ĐẦU TƯ Y TẾ - DƯỢC PHẨM VIỆT NAM</t>
        </is>
      </c>
      <c r="E4868" s="10" t="inlineStr">
        <is>
          <t>Thương lượng</t>
        </is>
      </c>
      <c r="F4868" s="10" t="inlineStr">
        <is>
          <t>Hà Nội</t>
        </is>
      </c>
      <c r="G4868" s="10" t="inlineStr">
        <is>
          <t>Nhân viên</t>
        </is>
      </c>
      <c r="H4868" s="10" t="inlineStr">
        <is>
          <t>27/02/2026</t>
        </is>
      </c>
      <c r="I4868" s="10" t="inlineStr">
        <is>
          <t>29/03/2026</t>
        </is>
      </c>
      <c r="J4868" s="10" t="inlineStr">
        <is>
          <t>17/03/2026</t>
        </is>
      </c>
      <c r="K4868" s="10" t="inlineStr">
        <is>
          <t>N/A</t>
        </is>
      </c>
      <c r="L4868" s="10" t="inlineStr">
        <is>
          <t>Kế Toán, Quản Lý Công Nợ, Quản Lý Hàng Tồn Kho, Tin Học Văn Phòng, Hạch Toán</t>
        </is>
      </c>
      <c r="M4868" s="10" t="inlineStr">
        <is>
          <t>Bonus, Healthcare Plan, Training</t>
        </is>
      </c>
      <c r="N4868" s="11">
        <f>HYPERLINK("https://www.vietnamworks.com/chuyen-vien-ke-toan-phu-trach-cong-no-quan-ly-hang-ton-kho-tam-ungthanh-quyet-toan-ca-nhan-2015430-jv","Xem chi tiết")</f>
        <v/>
      </c>
      <c r="O4868" s="10" t="n"/>
    </row>
    <row r="4869">
      <c r="B4869" s="7" t="n">
        <v>4867</v>
      </c>
      <c r="C4869" t="inlineStr">
        <is>
          <t>Quản Lý Thiết Kế Kiến Trúc (Architectural Design Management, High-Rise Residential)</t>
        </is>
      </c>
      <c r="D4869" t="inlineStr">
        <is>
          <t>Tập Đoàn Đất Xanh</t>
        </is>
      </c>
      <c r="E4869" t="inlineStr">
        <is>
          <t>Thương lượng</t>
        </is>
      </c>
      <c r="F4869" t="inlineStr">
        <is>
          <t>Hồ Chí Minh</t>
        </is>
      </c>
      <c r="G4869" t="inlineStr">
        <is>
          <t>Nhân viên</t>
        </is>
      </c>
      <c r="H4869" t="inlineStr">
        <is>
          <t>27/02/2026</t>
        </is>
      </c>
      <c r="I4869" t="inlineStr">
        <is>
          <t>29/03/2026</t>
        </is>
      </c>
      <c r="J4869" t="inlineStr">
        <is>
          <t>17/03/2026</t>
        </is>
      </c>
      <c r="K4869" t="inlineStr">
        <is>
          <t>N/A</t>
        </is>
      </c>
      <c r="L4869" t="inlineStr">
        <is>
          <t>AutoCAD, Luật Xây Dựng, Quản Lý Thiết Kế, Quản Lý Tiến Độ, Thiết Kế Kiến Trúc</t>
        </is>
      </c>
      <c r="M4869" t="inlineStr">
        <is>
          <t>Laptop, Others</t>
        </is>
      </c>
      <c r="N4869" s="8">
        <f>HYPERLINK("https://www.vietnamworks.com/quan-ly-thiet-ke-kien-truc-architectural-design-management-high-rise-residential-2015438-jv","Xem chi tiết")</f>
        <v/>
      </c>
    </row>
    <row r="4870">
      <c r="B4870" s="9" t="n">
        <v>4868</v>
      </c>
      <c r="C4870" s="10" t="inlineStr">
        <is>
          <t>Lean Coordinator</t>
        </is>
      </c>
      <c r="D4870" s="10" t="inlineStr">
        <is>
          <t>Công Ty Trách Nhiệm Hữu Hạn Meggitt (Việt Nam)</t>
        </is>
      </c>
      <c r="E4870" s="10" t="inlineStr">
        <is>
          <t>Thương lượng</t>
        </is>
      </c>
      <c r="F4870" s="10" t="inlineStr">
        <is>
          <t>Đồng Nai, Hồ Chí Minh</t>
        </is>
      </c>
      <c r="G4870" s="10" t="inlineStr">
        <is>
          <t>Nhân viên</t>
        </is>
      </c>
      <c r="H4870" s="10" t="inlineStr">
        <is>
          <t>27/02/2026</t>
        </is>
      </c>
      <c r="I4870" s="10" t="inlineStr">
        <is>
          <t>29/03/2026</t>
        </is>
      </c>
      <c r="J4870" s="10" t="inlineStr">
        <is>
          <t>17/03/2026</t>
        </is>
      </c>
      <c r="K4870" s="10" t="inlineStr">
        <is>
          <t>N/A</t>
        </is>
      </c>
      <c r="L4870" s="10" t="inlineStr">
        <is>
          <t>Lean Principals, KAIZEN, Manufacturing, Power BI, Six Sigma</t>
        </is>
      </c>
      <c r="M4870" s="10" t="inlineStr">
        <is>
          <t>Bonus</t>
        </is>
      </c>
      <c r="N4870" s="11">
        <f>HYPERLINK("https://www.vietnamworks.com/lean-coordinator-2015440-jv","Xem chi tiết")</f>
        <v/>
      </c>
      <c r="O4870" s="10" t="n"/>
    </row>
    <row r="4871">
      <c r="B4871" s="7" t="n">
        <v>4869</v>
      </c>
      <c r="C4871" t="inlineStr">
        <is>
          <t>Sales Manager</t>
        </is>
      </c>
      <c r="D4871" t="inlineStr">
        <is>
          <t>Extrans Global HCM</t>
        </is>
      </c>
      <c r="E4871" t="inlineStr">
        <is>
          <t>Thương lượng</t>
        </is>
      </c>
      <c r="F4871" t="inlineStr">
        <is>
          <t>Hồ Chí Minh</t>
        </is>
      </c>
      <c r="G4871" t="inlineStr">
        <is>
          <t>Trưởng phòng</t>
        </is>
      </c>
      <c r="H4871" t="inlineStr">
        <is>
          <t>27/02/2026</t>
        </is>
      </c>
      <c r="I4871" t="inlineStr">
        <is>
          <t>29/03/2026</t>
        </is>
      </c>
      <c r="J4871" t="inlineStr">
        <is>
          <t>17/03/2026</t>
        </is>
      </c>
      <c r="K4871" t="inlineStr">
        <is>
          <t>N/A</t>
        </is>
      </c>
      <c r="L4871" t="inlineStr">
        <is>
          <t>Logistics Sales, B2B Sales, English, Relationship Maintaining, Sales Strategy</t>
        </is>
      </c>
      <c r="M4871" t="inlineStr">
        <is>
          <t>Bonus, Paid Leave, Training, Others</t>
        </is>
      </c>
      <c r="N4871" s="8">
        <f>HYPERLINK("https://www.vietnamworks.com/sales-manager-2015446-jv","Xem chi tiết")</f>
        <v/>
      </c>
    </row>
    <row r="4872">
      <c r="B4872" s="9" t="n">
        <v>4870</v>
      </c>
      <c r="C4872" s="10" t="inlineStr">
        <is>
          <t>Payroll Associate</t>
        </is>
      </c>
      <c r="D4872" s="10" t="inlineStr">
        <is>
          <t>First Trust ACPA Vietnam CO., LTD</t>
        </is>
      </c>
      <c r="E4872" s="10" t="inlineStr">
        <is>
          <t>Thương lượng</t>
        </is>
      </c>
      <c r="F4872" s="10" t="inlineStr">
        <is>
          <t>Hà Nội</t>
        </is>
      </c>
      <c r="G4872" s="10" t="inlineStr">
        <is>
          <t>Mới Tốt Nghiệp</t>
        </is>
      </c>
      <c r="H4872" s="10" t="inlineStr">
        <is>
          <t>27/02/2026</t>
        </is>
      </c>
      <c r="I4872" s="10" t="inlineStr">
        <is>
          <t>29/03/2026</t>
        </is>
      </c>
      <c r="J4872" s="10" t="inlineStr">
        <is>
          <t>17/03/2026</t>
        </is>
      </c>
      <c r="K4872" s="10" t="inlineStr">
        <is>
          <t>N/A</t>
        </is>
      </c>
      <c r="L4872" s="10" t="inlineStr">
        <is>
          <t>Client Service Management, Collaboration, Data Checking, Legal Compliance, Payroll</t>
        </is>
      </c>
      <c r="M4872" s="10" t="inlineStr">
        <is>
          <t>Bonus, Paid Leave, Team Activities, Others</t>
        </is>
      </c>
      <c r="N4872" s="11">
        <f>HYPERLINK("https://www.vietnamworks.com/payroll-associate-2015450-jv","Xem chi tiết")</f>
        <v/>
      </c>
      <c r="O4872" s="10" t="n"/>
    </row>
    <row r="4873">
      <c r="B4873" s="7" t="n">
        <v>4871</v>
      </c>
      <c r="C4873" t="inlineStr">
        <is>
          <t>Business Development Executive</t>
        </is>
      </c>
      <c r="D4873" t="inlineStr">
        <is>
          <t>Công Ty TNHH Một Thành Viên Vnhealthcorp</t>
        </is>
      </c>
      <c r="E4873" t="inlineStr">
        <is>
          <t>14tr-18tr ₫/tháng</t>
        </is>
      </c>
      <c r="F4873" t="inlineStr">
        <is>
          <t>Hà Nội, Hồ Chí Minh</t>
        </is>
      </c>
      <c r="G4873" t="inlineStr">
        <is>
          <t>Nhân viên</t>
        </is>
      </c>
      <c r="H4873" t="inlineStr">
        <is>
          <t>27/02/2026</t>
        </is>
      </c>
      <c r="I4873" t="inlineStr">
        <is>
          <t>29/03/2026</t>
        </is>
      </c>
      <c r="J4873" t="inlineStr">
        <is>
          <t>17/03/2026</t>
        </is>
      </c>
      <c r="K4873" t="inlineStr">
        <is>
          <t>N/A</t>
        </is>
      </c>
      <c r="L4873" t="inlineStr">
        <is>
          <t>Business Strategy Development</t>
        </is>
      </c>
      <c r="M4873" t="inlineStr">
        <is>
          <t>Healthcare Plan, Training, Laptop, Others</t>
        </is>
      </c>
      <c r="N4873" s="8">
        <f>HYPERLINK("https://www.vietnamworks.com/business-development-executive-2015447-jv","Xem chi tiết")</f>
        <v/>
      </c>
    </row>
    <row r="4874">
      <c r="B4874" s="9" t="n">
        <v>4872</v>
      </c>
      <c r="C4874" s="10" t="inlineStr">
        <is>
          <t>General Affairs cum Secretary (Female Only - Korean Speaking)</t>
        </is>
      </c>
      <c r="D4874" s="10" t="inlineStr">
        <is>
          <t>Samsung C&amp;T Corporation</t>
        </is>
      </c>
      <c r="E4874" s="10" t="inlineStr">
        <is>
          <t>Từ 20tr ₫/tháng</t>
        </is>
      </c>
      <c r="F4874" s="10" t="inlineStr">
        <is>
          <t>Hồ Chí Minh</t>
        </is>
      </c>
      <c r="G4874" s="10" t="inlineStr">
        <is>
          <t>Nhân viên</t>
        </is>
      </c>
      <c r="H4874" s="10" t="inlineStr">
        <is>
          <t>27/02/2026</t>
        </is>
      </c>
      <c r="I4874" s="10" t="inlineStr">
        <is>
          <t>29/03/2026</t>
        </is>
      </c>
      <c r="J4874" s="10" t="inlineStr">
        <is>
          <t>17/03/2026</t>
        </is>
      </c>
      <c r="K4874" s="10" t="inlineStr">
        <is>
          <t>N/A</t>
        </is>
      </c>
      <c r="L4874" s="10" t="inlineStr">
        <is>
          <t>General Affairs, HR Management, Korean, MS Office, Organizational skills</t>
        </is>
      </c>
      <c r="M4874" s="10" t="inlineStr">
        <is>
          <t>Healthcare Plan, Training</t>
        </is>
      </c>
      <c r="N4874" s="11">
        <f>HYPERLINK("https://www.vietnamworks.com/general-affairs-cum-secretary-female-only-korean-speaking-2015453-jv","Xem chi tiết")</f>
        <v/>
      </c>
      <c r="O4874" s="10" t="n"/>
    </row>
    <row r="4875">
      <c r="B4875" s="7" t="n">
        <v>4873</v>
      </c>
      <c r="C4875" t="inlineStr">
        <is>
          <t>Branch Manager</t>
        </is>
      </c>
      <c r="D4875" t="inlineStr">
        <is>
          <t>AG WORLD TRANSPORT (VIETNAM) CO., LTD.</t>
        </is>
      </c>
      <c r="E4875" t="inlineStr">
        <is>
          <t>Thương lượng</t>
        </is>
      </c>
      <c r="F4875" t="inlineStr">
        <is>
          <t>Hà Nội</t>
        </is>
      </c>
      <c r="G4875" t="inlineStr">
        <is>
          <t>Trưởng phòng</t>
        </is>
      </c>
      <c r="H4875" t="inlineStr">
        <is>
          <t>27/02/2026</t>
        </is>
      </c>
      <c r="I4875" t="inlineStr">
        <is>
          <t>29/03/2026</t>
        </is>
      </c>
      <c r="J4875" t="inlineStr">
        <is>
          <t>17/03/2026</t>
        </is>
      </c>
      <c r="K4875" t="inlineStr">
        <is>
          <t>N/A</t>
        </is>
      </c>
      <c r="L4875" t="inlineStr">
        <is>
          <t>Analytical Skills, Carrier Relationship Management, Logistics Analysis, People Management, Problem-solving</t>
        </is>
      </c>
      <c r="M4875" t="inlineStr">
        <is>
          <t>Healthcare Plan, Laptop, Others</t>
        </is>
      </c>
      <c r="N4875" s="8">
        <f>HYPERLINK("https://www.vietnamworks.com/branch-manager-2015451-jv","Xem chi tiết")</f>
        <v/>
      </c>
    </row>
    <row r="4876">
      <c r="B4876" s="9" t="n">
        <v>4874</v>
      </c>
      <c r="C4876" s="10" t="inlineStr">
        <is>
          <t>Kế Toán Trưởng</t>
        </is>
      </c>
      <c r="D4876" s="10" t="inlineStr">
        <is>
          <t>Trung tâm Nghiên cứu Kinh doanh và Hỗ trợ Doanh nghiệp</t>
        </is>
      </c>
      <c r="E4876" s="10" t="inlineStr">
        <is>
          <t>Từ 12tr ₫/tháng</t>
        </is>
      </c>
      <c r="F4876" s="10" t="inlineStr">
        <is>
          <t>Hồ Chí Minh</t>
        </is>
      </c>
      <c r="G4876" s="10" t="inlineStr">
        <is>
          <t>Trưởng phòng</t>
        </is>
      </c>
      <c r="H4876" s="10" t="inlineStr">
        <is>
          <t>27/02/2026</t>
        </is>
      </c>
      <c r="I4876" s="10" t="inlineStr">
        <is>
          <t>29/03/2026</t>
        </is>
      </c>
      <c r="J4876" s="10" t="inlineStr">
        <is>
          <t>17/03/2026</t>
        </is>
      </c>
      <c r="K4876" s="10" t="inlineStr">
        <is>
          <t>N/A</t>
        </is>
      </c>
      <c r="L4876" s="10" t="inlineStr">
        <is>
          <t>Lập Báo Cáo Tài Chính, MISA Accounting Software, Phân Tích Chi Phí Sản Xuất, Quyết Toán Thuế, Tài Chính Kế Toán</t>
        </is>
      </c>
      <c r="M4876" s="10" t="inlineStr">
        <is>
          <t>Healthcare Plan, Others</t>
        </is>
      </c>
      <c r="N4876" s="11">
        <f>HYPERLINK("https://www.vietnamworks.com/ke-toan-truong-2015449-jv","Xem chi tiết")</f>
        <v/>
      </c>
      <c r="O4876" s="10" t="n"/>
    </row>
    <row r="4877">
      <c r="B4877" s="7" t="n">
        <v>4875</v>
      </c>
      <c r="C4877" t="inlineStr">
        <is>
          <t>HR &amp; Admin Executive (English Or Korean)/ Nhân Viên Hành Chính Nhân Sự (Tiếng Anh Hoặc Tiếng Hàn)</t>
        </is>
      </c>
      <c r="D4877" t="inlineStr">
        <is>
          <t>CÔNG TY TNHH ACE ENGINEERING VINA</t>
        </is>
      </c>
      <c r="E4877" t="inlineStr">
        <is>
          <t>Thương lượng</t>
        </is>
      </c>
      <c r="F4877" t="inlineStr">
        <is>
          <t>Bắc Ninh</t>
        </is>
      </c>
      <c r="G4877" t="inlineStr">
        <is>
          <t>Nhân viên</t>
        </is>
      </c>
      <c r="H4877" t="inlineStr">
        <is>
          <t>27/02/2026</t>
        </is>
      </c>
      <c r="I4877" t="inlineStr">
        <is>
          <t>29/03/2026</t>
        </is>
      </c>
      <c r="J4877" t="inlineStr">
        <is>
          <t>17/03/2026</t>
        </is>
      </c>
      <c r="K4877" t="inlineStr">
        <is>
          <t>N/A</t>
        </is>
      </c>
      <c r="L4877" t="inlineStr">
        <is>
          <t>Korean Language, Payroll Management, Admin Task, Office Support, HR Administration</t>
        </is>
      </c>
      <c r="M4877" t="inlineStr">
        <is>
          <t>Bonus</t>
        </is>
      </c>
      <c r="N4877" s="8">
        <f>HYPERLINK("https://www.vietnamworks.com/hr-admin-executive-english-or-korean-nhan-vien-hanh-chinh-nhan-su-tieng-anh-hoac-tieng-han-2015462-jv","Xem chi tiết")</f>
        <v/>
      </c>
    </row>
    <row r="4878">
      <c r="B4878" s="9" t="n">
        <v>4876</v>
      </c>
      <c r="C4878" s="10" t="inlineStr">
        <is>
          <t>Giám Đốc Phòng Giao Dịch - [BAC A BANK - Khu Vực Nội Thành Hà Nội]</t>
        </is>
      </c>
      <c r="D4878" s="10" t="inlineStr">
        <is>
          <t>Bắc Á Bank - Https://tuyendung.baca-Bank.vn/</t>
        </is>
      </c>
      <c r="E4878" s="10" t="inlineStr">
        <is>
          <t>Thương lượng</t>
        </is>
      </c>
      <c r="F4878" s="10" t="inlineStr">
        <is>
          <t>Hà Nội</t>
        </is>
      </c>
      <c r="G4878" s="10" t="inlineStr">
        <is>
          <t>Giám Đốc và Cấp Cao Hơn</t>
        </is>
      </c>
      <c r="H4878" s="10" t="inlineStr">
        <is>
          <t>27/02/2026</t>
        </is>
      </c>
      <c r="I4878" s="10" t="inlineStr">
        <is>
          <t>29/03/2026</t>
        </is>
      </c>
      <c r="J4878" s="10" t="inlineStr">
        <is>
          <t>17/03/2026</t>
        </is>
      </c>
      <c r="K4878" s="10" t="inlineStr">
        <is>
          <t>N/A</t>
        </is>
      </c>
      <c r="L4878" s="10" t="inlineStr">
        <is>
          <t>Quản Lý, Đào Tạo, Giao Tiếp, Am Hiểu Sản Phẩm Công Nghệ, Quản Trị Rủi Ro Ngân Hàng</t>
        </is>
      </c>
      <c r="M4878" s="10" t="inlineStr">
        <is>
          <t>Bonus, Healthcare Plan, Training, Others</t>
        </is>
      </c>
      <c r="N4878" s="11">
        <f>HYPERLINK("https://www.vietnamworks.com/giam-djoc-phong-giao-dich-bac-a-bank-khu-vuc-noi-thanh-ha-noi-2015454-jv","Xem chi tiết")</f>
        <v/>
      </c>
      <c r="O4878" s="10" t="n"/>
    </row>
    <row r="4879">
      <c r="B4879" s="7" t="n">
        <v>4877</v>
      </c>
      <c r="C4879" t="inlineStr">
        <is>
          <t>Nhân Viên Thu Mua / Supply Chain</t>
        </is>
      </c>
      <c r="D4879" t="inlineStr">
        <is>
          <t>Doyoe Ambition Trading Co.,Ltd</t>
        </is>
      </c>
      <c r="E4879" t="inlineStr">
        <is>
          <t>15tr-18tr ₫/tháng</t>
        </is>
      </c>
      <c r="F4879" t="inlineStr">
        <is>
          <t>Hồ Chí Minh</t>
        </is>
      </c>
      <c r="G4879" t="inlineStr">
        <is>
          <t>Nhân viên</t>
        </is>
      </c>
      <c r="H4879" t="inlineStr">
        <is>
          <t>27/02/2026</t>
        </is>
      </c>
      <c r="I4879" t="inlineStr">
        <is>
          <t>29/03/2026</t>
        </is>
      </c>
      <c r="J4879" t="inlineStr">
        <is>
          <t>17/03/2026</t>
        </is>
      </c>
      <c r="K4879" t="inlineStr">
        <is>
          <t>N/A</t>
        </is>
      </c>
      <c r="L4879" t="inlineStr">
        <is>
          <t>Supply Chain Management, Customs Clearance, Warehouse Management, Product Registration, Thu Mua</t>
        </is>
      </c>
      <c r="M4879" t="inlineStr">
        <is>
          <t>Healthcare Plan, Paid Leave, Others</t>
        </is>
      </c>
      <c r="N4879" s="8">
        <f>HYPERLINK("https://www.vietnamworks.com/nhan-vien-thu-mua-supply-chain-2015460-jv","Xem chi tiết")</f>
        <v/>
      </c>
    </row>
    <row r="4880">
      <c r="B4880" s="9" t="n">
        <v>4878</v>
      </c>
      <c r="C4880" s="10" t="inlineStr">
        <is>
          <t>Kế Toán Tổng Hợp</t>
        </is>
      </c>
      <c r="D4880" s="10" t="inlineStr">
        <is>
          <t>Công Ty Cổ Phần Khu Công Nghiệp Tổ Hợp Công Nghệ Thành Công Việt Hưng (Thành Công Việt Hưng)</t>
        </is>
      </c>
      <c r="E4880" s="10" t="inlineStr">
        <is>
          <t>Thương lượng</t>
        </is>
      </c>
      <c r="F4880" s="10" t="inlineStr">
        <is>
          <t>Hà Nội</t>
        </is>
      </c>
      <c r="G4880" s="10" t="inlineStr">
        <is>
          <t>Nhân viên</t>
        </is>
      </c>
      <c r="H4880" s="10" t="inlineStr">
        <is>
          <t>27/02/2026</t>
        </is>
      </c>
      <c r="I4880" s="10" t="inlineStr">
        <is>
          <t>29/03/2026</t>
        </is>
      </c>
      <c r="J4880" s="10" t="inlineStr">
        <is>
          <t>17/03/2026</t>
        </is>
      </c>
      <c r="K4880" s="10" t="inlineStr">
        <is>
          <t>N/A</t>
        </is>
      </c>
      <c r="L4880" s="10" t="inlineStr">
        <is>
          <t>Kế Toán Thuế, Kế Toán Sản Xuất, Kế Toán Tổng Hợp, Quyết Toán Thuế, Sử Dụng Excel Nâng Cao</t>
        </is>
      </c>
      <c r="M4880" s="10" t="inlineStr">
        <is>
          <t>Bonus, Healthcare Plan, Others</t>
        </is>
      </c>
      <c r="N4880" s="11">
        <f>HYPERLINK("https://www.vietnamworks.com/ke-toan-tong-hop-2015468-jv","Xem chi tiết")</f>
        <v/>
      </c>
      <c r="O4880" s="10" t="n"/>
    </row>
    <row r="4881">
      <c r="B4881" s="7" t="n">
        <v>4879</v>
      </c>
      <c r="C4881" t="inlineStr">
        <is>
          <t>Service Sales Engineer</t>
        </is>
      </c>
      <c r="D4881" t="inlineStr">
        <is>
          <t>Công Ty TNHH GEA Việt Nam</t>
        </is>
      </c>
      <c r="E4881" t="inlineStr">
        <is>
          <t>Thương lượng</t>
        </is>
      </c>
      <c r="F4881" t="inlineStr">
        <is>
          <t>Hồ Chí Minh</t>
        </is>
      </c>
      <c r="G4881" t="inlineStr">
        <is>
          <t>Nhân viên</t>
        </is>
      </c>
      <c r="H4881" t="inlineStr">
        <is>
          <t>27/02/2026</t>
        </is>
      </c>
      <c r="I4881" t="inlineStr">
        <is>
          <t>29/03/2026</t>
        </is>
      </c>
      <c r="J4881" t="inlineStr">
        <is>
          <t>17/03/2026</t>
        </is>
      </c>
      <c r="K4881" t="inlineStr">
        <is>
          <t>N/A</t>
        </is>
      </c>
      <c r="L4881" t="inlineStr">
        <is>
          <t>Sales Strategy, Service Sales, Customer Experience Management, Negotiation Skills, Customer Focused Design</t>
        </is>
      </c>
      <c r="M4881" t="inlineStr">
        <is>
          <t>Bonus, Healthcare Plan, Paid Leave</t>
        </is>
      </c>
      <c r="N4881" s="8">
        <f>HYPERLINK("https://www.vietnamworks.com/service-sales-engineer--2015427-jv","Xem chi tiết")</f>
        <v/>
      </c>
    </row>
    <row r="4882">
      <c r="B4882" s="9" t="n">
        <v>4880</v>
      </c>
      <c r="C4882" s="10" t="inlineStr">
        <is>
          <t>Chuyên Viên Telesales - Thẻ Tín Dụng &amp; Vay Tiêu Dùng</t>
        </is>
      </c>
      <c r="D4882" s="10" t="inlineStr">
        <is>
          <t>Trusting Social</t>
        </is>
      </c>
      <c r="E4882" s="10" t="inlineStr">
        <is>
          <t>Thương lượng</t>
        </is>
      </c>
      <c r="F4882" s="10" t="inlineStr">
        <is>
          <t>Hồ Chí Minh</t>
        </is>
      </c>
      <c r="G4882" s="10" t="inlineStr">
        <is>
          <t>Nhân viên</t>
        </is>
      </c>
      <c r="H4882" s="10" t="inlineStr">
        <is>
          <t>27/02/2026</t>
        </is>
      </c>
      <c r="I4882" s="10" t="inlineStr">
        <is>
          <t>29/03/2026</t>
        </is>
      </c>
      <c r="J4882" s="10" t="inlineStr">
        <is>
          <t>17/03/2026</t>
        </is>
      </c>
      <c r="K4882" s="10" t="inlineStr">
        <is>
          <t>N/A</t>
        </is>
      </c>
      <c r="L4882" s="10" t="inlineStr">
        <is>
          <t>Bán Hàng Qua Điện Thoại, Telesales, Tài Chính, Ngân hàng</t>
        </is>
      </c>
      <c r="M4882" s="10" t="inlineStr">
        <is>
          <t>Bonus, Transportation, Canteen</t>
        </is>
      </c>
      <c r="N4882" s="11">
        <f>HYPERLINK("https://www.vietnamworks.com/chuyen-vien-telesales-the-tin-dung-vay-tieu-dung--2015461-jv","Xem chi tiết")</f>
        <v/>
      </c>
      <c r="O4882" s="10" t="n"/>
    </row>
    <row r="4883">
      <c r="B4883" s="7" t="n">
        <v>4881</v>
      </c>
      <c r="C4883" t="inlineStr">
        <is>
          <t>Kỹ Sư</t>
        </is>
      </c>
      <c r="D4883" t="inlineStr">
        <is>
          <t>Tổng Công Ty Thương Mại Kỹ Thuật Và Đầu Tư – CTCP</t>
        </is>
      </c>
      <c r="E4883" t="inlineStr">
        <is>
          <t>Từ $ 100 /tháng</t>
        </is>
      </c>
      <c r="F4883" t="inlineStr">
        <is>
          <t>Hải Phòng</t>
        </is>
      </c>
      <c r="G4883" t="inlineStr">
        <is>
          <t>Nhân viên</t>
        </is>
      </c>
      <c r="H4883" t="inlineStr">
        <is>
          <t>27/02/2026</t>
        </is>
      </c>
      <c r="I4883" t="inlineStr">
        <is>
          <t>29/03/2026</t>
        </is>
      </c>
      <c r="J4883" t="inlineStr">
        <is>
          <t>17/03/2026</t>
        </is>
      </c>
      <c r="K4883" t="inlineStr">
        <is>
          <t>N/A</t>
        </is>
      </c>
      <c r="L4883" t="inlineStr">
        <is>
          <t>Xây Dựng, Quản Lý Dự Án, Engineering</t>
        </is>
      </c>
      <c r="M4883" t="inlineStr">
        <is>
          <t>Bonus, Healthcare Plan, Awards</t>
        </is>
      </c>
      <c r="N4883" s="8">
        <f>HYPERLINK("https://www.vietnamworks.com/ky-su--2015464-jv","Xem chi tiết")</f>
        <v/>
      </c>
    </row>
    <row r="4884">
      <c r="B4884" s="9" t="n">
        <v>4882</v>
      </c>
      <c r="C4884" s="10" t="inlineStr">
        <is>
          <t xml:space="preserve">Trưởng Phòng Marketing </t>
        </is>
      </c>
      <c r="D4884" s="10" t="inlineStr">
        <is>
          <t>Công Ty Cổ Phần Tập Đoàn MIK Group Việt Nam</t>
        </is>
      </c>
      <c r="E4884" s="10" t="inlineStr">
        <is>
          <t>Thương lượng</t>
        </is>
      </c>
      <c r="F4884" s="10" t="inlineStr">
        <is>
          <t>Hà Nội</t>
        </is>
      </c>
      <c r="G4884" s="10" t="inlineStr">
        <is>
          <t>Trưởng phòng</t>
        </is>
      </c>
      <c r="H4884" s="10" t="inlineStr">
        <is>
          <t>27/02/2026</t>
        </is>
      </c>
      <c r="I4884" s="10" t="inlineStr">
        <is>
          <t>29/03/2026</t>
        </is>
      </c>
      <c r="J4884" s="10" t="inlineStr">
        <is>
          <t>17/03/2026</t>
        </is>
      </c>
      <c r="K4884" s="10" t="inlineStr">
        <is>
          <t>N/A</t>
        </is>
      </c>
      <c r="L4884" s="10" t="inlineStr">
        <is>
          <t>Digital Marketing, Lập Kế Hoạch, Quản Lý Ngân Sách, Truyền Thông, Đàm Phán</t>
        </is>
      </c>
      <c r="M4884" s="10" t="inlineStr">
        <is>
          <t>Bonus, Healthcare Plan, Team Activities, Vouchers</t>
        </is>
      </c>
      <c r="N4884" s="11">
        <f>HYPERLINK("https://www.vietnamworks.com/truong-phong-marketing-2015463-jv","Xem chi tiết")</f>
        <v/>
      </c>
      <c r="O4884" s="10" t="n"/>
    </row>
    <row r="4885">
      <c r="B4885" s="7" t="n">
        <v>4883</v>
      </c>
      <c r="C4885" t="inlineStr">
        <is>
          <t>Trưởng Phòng Kinh Doanh - [BAC A BANK - Khu Vực Hà Nội/ Thanh Trì]</t>
        </is>
      </c>
      <c r="D4885" t="inlineStr">
        <is>
          <t>Bắc Á Bank - Https://tuyendung.baca-Bank.vn/</t>
        </is>
      </c>
      <c r="E4885" t="inlineStr">
        <is>
          <t>Thương lượng</t>
        </is>
      </c>
      <c r="F4885" t="inlineStr">
        <is>
          <t>Hà Nội</t>
        </is>
      </c>
      <c r="G4885" t="inlineStr">
        <is>
          <t>Trưởng phòng</t>
        </is>
      </c>
      <c r="H4885" t="inlineStr">
        <is>
          <t>27/02/2026</t>
        </is>
      </c>
      <c r="I4885" t="inlineStr">
        <is>
          <t>29/03/2026</t>
        </is>
      </c>
      <c r="J4885" t="inlineStr">
        <is>
          <t>17/03/2026</t>
        </is>
      </c>
      <c r="K4885" t="inlineStr">
        <is>
          <t>N/A</t>
        </is>
      </c>
      <c r="L4885" t="inlineStr">
        <is>
          <t>Quản Lý Nhóm, Kinh Doanh, Kỹ năng làm việc nhóm</t>
        </is>
      </c>
      <c r="M4885" t="inlineStr">
        <is>
          <t>Bonus, Healthcare Plan, Training, Others</t>
        </is>
      </c>
      <c r="N4885" s="8">
        <f>HYPERLINK("https://www.vietnamworks.com/truong-phong-kinh-doanh-bac-a-bank-khu-vuc-ha-noi-thanh-tri-2015465-jv","Xem chi tiết")</f>
        <v/>
      </c>
    </row>
    <row r="4886">
      <c r="B4886" s="9" t="n">
        <v>4884</v>
      </c>
      <c r="C4886" s="10" t="inlineStr">
        <is>
          <t>Kỹ Sư Dự Án</t>
        </is>
      </c>
      <c r="D4886" s="10" t="inlineStr">
        <is>
          <t>Công Ty TNHH Kỹ Thuật Tự Động An Dương</t>
        </is>
      </c>
      <c r="E4886" s="10" t="inlineStr">
        <is>
          <t>Thương lượng</t>
        </is>
      </c>
      <c r="F4886" s="10" t="inlineStr">
        <is>
          <t>Hồ Chí Minh</t>
        </is>
      </c>
      <c r="G4886" s="10" t="inlineStr">
        <is>
          <t>Nhân viên</t>
        </is>
      </c>
      <c r="H4886" s="10" t="inlineStr">
        <is>
          <t>27/02/2026</t>
        </is>
      </c>
      <c r="I4886" s="10" t="inlineStr">
        <is>
          <t>29/03/2026</t>
        </is>
      </c>
      <c r="J4886" s="10" t="inlineStr">
        <is>
          <t>17/03/2026</t>
        </is>
      </c>
      <c r="K4886" s="10" t="inlineStr">
        <is>
          <t>N/A</t>
        </is>
      </c>
      <c r="L4886" s="10" t="inlineStr">
        <is>
          <t>AutoCAD, Electrical Engineer, Project Engineer, Electrical Systems, Construction Supervision</t>
        </is>
      </c>
      <c r="M4886" s="10" t="inlineStr">
        <is>
          <t>Bonus, Healthcare Plan, Training, Others</t>
        </is>
      </c>
      <c r="N4886" s="11">
        <f>HYPERLINK("https://www.vietnamworks.com/ky-su-du-an-2015467-jv","Xem chi tiết")</f>
        <v/>
      </c>
      <c r="O4886" s="10" t="n"/>
    </row>
    <row r="4887">
      <c r="B4887" s="7" t="n">
        <v>4885</v>
      </c>
      <c r="C4887" t="inlineStr">
        <is>
          <t>Import-Export Team Leader/ Trưởng Nhóm Xuất Nhập Khẩu</t>
        </is>
      </c>
      <c r="D4887" t="inlineStr">
        <is>
          <t>Công Ty TNHH Haivina</t>
        </is>
      </c>
      <c r="E4887" t="inlineStr">
        <is>
          <t>Tới 22tr ₫/tháng</t>
        </is>
      </c>
      <c r="F4887" t="inlineStr">
        <is>
          <t>Hải Dương</t>
        </is>
      </c>
      <c r="G4887" t="inlineStr">
        <is>
          <t>Nhân viên</t>
        </is>
      </c>
      <c r="H4887" t="inlineStr">
        <is>
          <t>27/02/2026</t>
        </is>
      </c>
      <c r="I4887" t="inlineStr">
        <is>
          <t>29/03/2026</t>
        </is>
      </c>
      <c r="J4887" t="inlineStr">
        <is>
          <t>17/03/2026</t>
        </is>
      </c>
      <c r="K4887" t="inlineStr">
        <is>
          <t>N/A</t>
        </is>
      </c>
      <c r="L4887" t="inlineStr">
        <is>
          <t>Chứng Từ Xuất Nhập Khẩu, Hải Quan, ERP, Khai Báo Hải Quan, Quản lý C/O</t>
        </is>
      </c>
      <c r="M4887" t="inlineStr">
        <is>
          <t>Bonus, Healthcare Plan, Others</t>
        </is>
      </c>
      <c r="N4887" s="8">
        <f>HYPERLINK("https://www.vietnamworks.com/import-export-team-leader-truong-nhom-xuat-nhap-khau--2015466-jv","Xem chi tiết")</f>
        <v/>
      </c>
    </row>
    <row r="4888">
      <c r="B4888" s="9" t="n">
        <v>4886</v>
      </c>
      <c r="C4888" s="10" t="inlineStr">
        <is>
          <t>MEP Engineer</t>
        </is>
      </c>
      <c r="D4888" s="10" t="inlineStr">
        <is>
          <t>Atlas Industries (Vietnam) Limited</t>
        </is>
      </c>
      <c r="E4888" s="10" t="inlineStr">
        <is>
          <t>Thương lượng</t>
        </is>
      </c>
      <c r="F4888" s="10" t="inlineStr">
        <is>
          <t>Hồ Chí Minh</t>
        </is>
      </c>
      <c r="G4888" s="10" t="inlineStr">
        <is>
          <t>Nhân viên</t>
        </is>
      </c>
      <c r="H4888" s="10" t="inlineStr">
        <is>
          <t>27/02/2026</t>
        </is>
      </c>
      <c r="I4888" s="10" t="inlineStr">
        <is>
          <t>29/03/2026</t>
        </is>
      </c>
      <c r="J4888" s="10" t="inlineStr">
        <is>
          <t>17/03/2026</t>
        </is>
      </c>
      <c r="K4888" s="10" t="inlineStr">
        <is>
          <t>N/A</t>
        </is>
      </c>
      <c r="L4888" s="10" t="inlineStr">
        <is>
          <t>BIM Application, English Reading, Revit MEP, Solution Oriented, Team Work</t>
        </is>
      </c>
      <c r="M4888" s="10" t="inlineStr">
        <is>
          <t>Others</t>
        </is>
      </c>
      <c r="N4888" s="11">
        <f>HYPERLINK("https://www.vietnamworks.com/mep-engineer-2015469-jv","Xem chi tiết")</f>
        <v/>
      </c>
      <c r="O4888" s="10" t="n"/>
    </row>
    <row r="4889">
      <c r="B4889" s="7" t="n">
        <v>4887</v>
      </c>
      <c r="C4889" t="inlineStr">
        <is>
          <t>Giảng viên tiếng Anh</t>
        </is>
      </c>
      <c r="D4889" t="inlineStr">
        <is>
          <t>TRƯỜNG ĐẠI HỌC BÁCH KHOA ĐHQG-HCM</t>
        </is>
      </c>
      <c r="E4889" t="inlineStr">
        <is>
          <t>Thương lượng</t>
        </is>
      </c>
      <c r="F4889" t="inlineStr">
        <is>
          <t>Hồ Chí Minh</t>
        </is>
      </c>
      <c r="G4889" t="inlineStr">
        <is>
          <t>Nhân viên</t>
        </is>
      </c>
      <c r="H4889" t="inlineStr">
        <is>
          <t>27/02/2026</t>
        </is>
      </c>
      <c r="I4889" t="inlineStr">
        <is>
          <t>29/03/2026</t>
        </is>
      </c>
      <c r="J4889" t="inlineStr">
        <is>
          <t>17/03/2026</t>
        </is>
      </c>
      <c r="K4889" t="inlineStr">
        <is>
          <t>N/A</t>
        </is>
      </c>
      <c r="L4889" t="inlineStr">
        <is>
          <t>Giảng Dạy Tiếng Anh, Phân Tích Dữ Liệu, Thống Kê</t>
        </is>
      </c>
      <c r="M4889" t="inlineStr">
        <is>
          <t>Training, Team Activities, Others</t>
        </is>
      </c>
      <c r="N4889" s="8">
        <f>HYPERLINK("https://www.vietnamworks.com/giang-vien-tieng-anh-2015470-jv","Xem chi tiết")</f>
        <v/>
      </c>
    </row>
    <row r="4890">
      <c r="B4890" s="9" t="n">
        <v>4888</v>
      </c>
      <c r="C4890" s="10" t="inlineStr">
        <is>
          <t>Electronics Engineer (Shuttle Bus TPHCM &amp; Bien Hoa)</t>
        </is>
      </c>
      <c r="D4890" s="10" t="inlineStr">
        <is>
          <t>Công Ty TNHH Công Nghiệp TruAire Việt Nam (TAVN)</t>
        </is>
      </c>
      <c r="E4890" s="10" t="inlineStr">
        <is>
          <t>Thương lượng</t>
        </is>
      </c>
      <c r="F4890" s="10" t="inlineStr">
        <is>
          <t>Đồng Nai</t>
        </is>
      </c>
      <c r="G4890" s="10" t="inlineStr">
        <is>
          <t>Nhân viên</t>
        </is>
      </c>
      <c r="H4890" s="10" t="inlineStr">
        <is>
          <t>27/02/2026</t>
        </is>
      </c>
      <c r="I4890" s="10" t="inlineStr">
        <is>
          <t>29/03/2026</t>
        </is>
      </c>
      <c r="J4890" s="10" t="inlineStr">
        <is>
          <t>17/03/2026</t>
        </is>
      </c>
      <c r="K4890" s="10" t="inlineStr">
        <is>
          <t>N/A</t>
        </is>
      </c>
      <c r="L4890" s="10" t="inlineStr">
        <is>
          <t>Electronic Components, Manufacture Process, Troubleshooting, Điện tử, Electronic Engineering</t>
        </is>
      </c>
      <c r="M4890" s="10" t="inlineStr">
        <is>
          <t>Bonus, Healthcare Plan, Others</t>
        </is>
      </c>
      <c r="N4890" s="11">
        <f>HYPERLINK("https://www.vietnamworks.com/electronics-engineer-shuttle-bus-tphcm-bien-hoa-2015471-jv","Xem chi tiết")</f>
        <v/>
      </c>
      <c r="O4890" s="10" t="n"/>
    </row>
    <row r="4891">
      <c r="B4891" s="7" t="n">
        <v>4889</v>
      </c>
      <c r="C4891" t="inlineStr">
        <is>
          <t>Kỹ Sư Robot / Robotics Engineer Ngành Ôtô</t>
        </is>
      </c>
      <c r="D4891" t="inlineStr">
        <is>
          <t>Công Ty Cổ Phần Khu Công Nghiệp Tổ Hợp Công Nghệ Thành Công Việt Hưng (Thành Công Việt Hưng)</t>
        </is>
      </c>
      <c r="E4891" t="inlineStr">
        <is>
          <t>$$ 800-1,000 /tháng</t>
        </is>
      </c>
      <c r="F4891" t="inlineStr">
        <is>
          <t>Quảng Ninh</t>
        </is>
      </c>
      <c r="G4891" t="inlineStr">
        <is>
          <t>Nhân viên</t>
        </is>
      </c>
      <c r="H4891" t="inlineStr">
        <is>
          <t>27/02/2026</t>
        </is>
      </c>
      <c r="I4891" t="inlineStr">
        <is>
          <t>29/03/2026</t>
        </is>
      </c>
      <c r="J4891" t="inlineStr">
        <is>
          <t>17/03/2026</t>
        </is>
      </c>
      <c r="K4891" t="inlineStr">
        <is>
          <t>N/A</t>
        </is>
      </c>
      <c r="L4891" t="inlineStr">
        <is>
          <t>Lập Trình Robot Công Nghiệp, PLC Code, Industrial Automation, FANUC Robot, Robot Tự Động Hoá</t>
        </is>
      </c>
      <c r="M4891" t="inlineStr">
        <is>
          <t>Bonus, Healthcare Plan, Transportation</t>
        </is>
      </c>
      <c r="N4891" s="8">
        <f>HYPERLINK("https://www.vietnamworks.com/ky-su-robot-robotics-engineer-nganh-oto--2015474-jv","Xem chi tiết")</f>
        <v/>
      </c>
    </row>
    <row r="4892">
      <c r="B4892" s="9" t="n">
        <v>4890</v>
      </c>
      <c r="C4892" s="10" t="inlineStr">
        <is>
          <t>Nhân Viên Xuất Nhập Khẩu Tiếng Trung (Thu Nhập 25-30 Triệu+)</t>
        </is>
      </c>
      <c r="D4892" s="10" t="inlineStr">
        <is>
          <t>Công Ty Cổ Phần Khoáng Sản Công Nghiệp Yên Bái (YBM)</t>
        </is>
      </c>
      <c r="E4892" s="10" t="inlineStr">
        <is>
          <t>25,000-30,000 ₫/tháng</t>
        </is>
      </c>
      <c r="F4892" s="10" t="inlineStr">
        <is>
          <t>Hà Nội</t>
        </is>
      </c>
      <c r="G4892" s="10" t="inlineStr">
        <is>
          <t>Nhân viên</t>
        </is>
      </c>
      <c r="H4892" s="10" t="inlineStr">
        <is>
          <t>27/02/2026</t>
        </is>
      </c>
      <c r="I4892" s="10" t="inlineStr">
        <is>
          <t>29/03/2026</t>
        </is>
      </c>
      <c r="J4892" s="10" t="inlineStr">
        <is>
          <t>17/03/2026</t>
        </is>
      </c>
      <c r="K4892" s="10" t="inlineStr">
        <is>
          <t>N/A</t>
        </is>
      </c>
      <c r="L4892" s="10" t="inlineStr">
        <is>
          <t>Kinh Doanh Xuất Nhập Khẩu, B2B Business Development, Tiếng Trung, HSK 5, Xuất Nhập Khẩu</t>
        </is>
      </c>
      <c r="M4892" s="10" t="inlineStr">
        <is>
          <t>Bonus, Canteen, Others</t>
        </is>
      </c>
      <c r="N4892" s="11">
        <f>HYPERLINK("https://www.vietnamworks.com/nhan-vien-xuat-nhap-khau-tieng-trung-thu-nhap-25-30-trieu--2015479-jv","Xem chi tiết")</f>
        <v/>
      </c>
      <c r="O4892" s="10" t="n"/>
    </row>
    <row r="4893">
      <c r="B4893" s="7" t="n">
        <v>4891</v>
      </c>
      <c r="C4893" t="inlineStr">
        <is>
          <t>Marketing Manager</t>
        </is>
      </c>
      <c r="D4893" t="inlineStr">
        <is>
          <t>Trung Thuy Group</t>
        </is>
      </c>
      <c r="E4893" t="inlineStr">
        <is>
          <t>$$ 2,500-2,500 /tháng</t>
        </is>
      </c>
      <c r="F4893" t="inlineStr">
        <is>
          <t>Hồ Chí Minh</t>
        </is>
      </c>
      <c r="G4893" t="inlineStr">
        <is>
          <t>Trưởng phòng</t>
        </is>
      </c>
      <c r="H4893" t="inlineStr">
        <is>
          <t>27/02/2026</t>
        </is>
      </c>
      <c r="I4893" t="inlineStr">
        <is>
          <t>29/03/2026</t>
        </is>
      </c>
      <c r="J4893" t="inlineStr">
        <is>
          <t>17/03/2026</t>
        </is>
      </c>
      <c r="K4893" t="inlineStr">
        <is>
          <t>N/A</t>
        </is>
      </c>
      <c r="L4893" t="inlineStr">
        <is>
          <t>Marketing Planning, Digital Marketing, Branding, IMC campaigns, Communication Strategy</t>
        </is>
      </c>
      <c r="M4893" t="inlineStr">
        <is>
          <t>Healthcare Plan, Canteen</t>
        </is>
      </c>
      <c r="N4893" s="8">
        <f>HYPERLINK("https://www.vietnamworks.com/marketing-manager--2015476-jv","Xem chi tiết")</f>
        <v/>
      </c>
    </row>
    <row r="4894">
      <c r="B4894" s="9" t="n">
        <v>4892</v>
      </c>
      <c r="C4894" s="10" t="inlineStr">
        <is>
          <t>Customer Experience Staff</t>
        </is>
      </c>
      <c r="D4894" s="10" t="inlineStr">
        <is>
          <t>Công Ty TNHH LG Innotek Việt Nam Hải Phòng</t>
        </is>
      </c>
      <c r="E4894" s="10" t="inlineStr">
        <is>
          <t>Thương lượng</t>
        </is>
      </c>
      <c r="F4894" s="10" t="inlineStr">
        <is>
          <t>Hải Phòng</t>
        </is>
      </c>
      <c r="G4894" s="10" t="inlineStr">
        <is>
          <t>Nhân viên</t>
        </is>
      </c>
      <c r="H4894" s="10" t="inlineStr">
        <is>
          <t>27/02/2026</t>
        </is>
      </c>
      <c r="I4894" s="10" t="inlineStr">
        <is>
          <t>29/03/2026</t>
        </is>
      </c>
      <c r="J4894" s="10" t="inlineStr">
        <is>
          <t>17/03/2026</t>
        </is>
      </c>
      <c r="K4894" s="10" t="inlineStr">
        <is>
          <t>N/A</t>
        </is>
      </c>
      <c r="L4894" s="10" t="inlineStr">
        <is>
          <t>Cơ Khí, Customer Experience Management, Customer Support, Sản xuất, Điện tử</t>
        </is>
      </c>
      <c r="M4894" s="10" t="inlineStr">
        <is>
          <t>Bonus, Transportation, Others</t>
        </is>
      </c>
      <c r="N4894" s="11">
        <f>HYPERLINK("https://www.vietnamworks.com/customer-experience-staff-2015489-jv","Xem chi tiết")</f>
        <v/>
      </c>
      <c r="O4894" s="10" t="n"/>
    </row>
    <row r="4895">
      <c r="B4895" s="7" t="n">
        <v>4893</v>
      </c>
      <c r="C4895" t="inlineStr">
        <is>
          <t>Giáo Viên Tiếng Anh (Part-Time / Full-Time)</t>
        </is>
      </c>
      <c r="D4895" t="inlineStr">
        <is>
          <t>CÔNG TY TNHH BÁ HỌC - ANH NGỮ SCHOLA</t>
        </is>
      </c>
      <c r="E4895" t="inlineStr">
        <is>
          <t>8tr-20tr ₫/tháng</t>
        </is>
      </c>
      <c r="F4895" t="inlineStr">
        <is>
          <t>Hồ Chí Minh</t>
        </is>
      </c>
      <c r="G4895" t="inlineStr">
        <is>
          <t>Mới Tốt Nghiệp</t>
        </is>
      </c>
      <c r="H4895" t="inlineStr">
        <is>
          <t>27/02/2026</t>
        </is>
      </c>
      <c r="I4895" t="inlineStr">
        <is>
          <t>29/03/2026</t>
        </is>
      </c>
      <c r="J4895" t="inlineStr">
        <is>
          <t>17/03/2026</t>
        </is>
      </c>
      <c r="K4895" t="inlineStr">
        <is>
          <t>N/A</t>
        </is>
      </c>
      <c r="L4895" t="inlineStr">
        <is>
          <t>Giảng Dạy Tiếng Anh, Chuẩn Bị Giáo Án, Theo Dõi Tiến Độ Học, Quản Lý Lớp Học, Sư Phạm</t>
        </is>
      </c>
      <c r="M4895" t="inlineStr">
        <is>
          <t>Training, Others</t>
        </is>
      </c>
      <c r="N4895" s="8">
        <f>HYPERLINK("https://www.vietnamworks.com/giao-vien-tieng-anh-part-time-full-time-2015483-jv","Xem chi tiết")</f>
        <v/>
      </c>
    </row>
    <row r="4896">
      <c r="B4896" s="9" t="n">
        <v>4894</v>
      </c>
      <c r="C4896" s="10" t="inlineStr">
        <is>
          <t>Human Capital &amp; Administration Manager (A Subsidiary of Sabeco)</t>
        </is>
      </c>
      <c r="D4896" s="10" t="inlineStr">
        <is>
          <t>Saigon Beer - Alcohol - Beverage Corporation (Sabeco)</t>
        </is>
      </c>
      <c r="E4896" s="10" t="inlineStr">
        <is>
          <t>Thương lượng</t>
        </is>
      </c>
      <c r="F4896" s="10" t="inlineStr">
        <is>
          <t>Hồ Chí Minh</t>
        </is>
      </c>
      <c r="G4896" s="10" t="inlineStr">
        <is>
          <t>Trưởng phòng</t>
        </is>
      </c>
      <c r="H4896" s="10" t="inlineStr">
        <is>
          <t>27/02/2026</t>
        </is>
      </c>
      <c r="I4896" s="10" t="inlineStr">
        <is>
          <t>29/03/2026</t>
        </is>
      </c>
      <c r="J4896" s="10" t="inlineStr">
        <is>
          <t>17/03/2026</t>
        </is>
      </c>
      <c r="K4896" s="10" t="inlineStr">
        <is>
          <t>N/A</t>
        </is>
      </c>
      <c r="L4896" s="10" t="inlineStr">
        <is>
          <t>Human Resources, C&amp;B &amp; Payroll, Training, Administration, Performance Management</t>
        </is>
      </c>
      <c r="M4896" s="10" t="inlineStr">
        <is>
          <t>Bonus, Laptop, Mobile</t>
        </is>
      </c>
      <c r="N4896" s="11">
        <f>HYPERLINK("https://www.vietnamworks.com/human-capital-administration-manager-a-subsidiary-of-sabeco--2015495-jv","Xem chi tiết")</f>
        <v/>
      </c>
      <c r="O4896" s="10" t="n"/>
    </row>
    <row r="4897">
      <c r="B4897" s="7" t="n">
        <v>4895</v>
      </c>
      <c r="C4897" t="inlineStr">
        <is>
          <t>Kế Toán Trưởng (Thu nhập hấp dẫn)</t>
        </is>
      </c>
      <c r="D4897" t="inlineStr">
        <is>
          <t>Thời Trang Adidas - Công Ty Cổ Phần Đầu Tư Thương Mại Phượng Hoàng</t>
        </is>
      </c>
      <c r="E4897" t="inlineStr">
        <is>
          <t>50tr-65tr ₫/tháng</t>
        </is>
      </c>
      <c r="F4897" t="inlineStr">
        <is>
          <t>Hà Nội</t>
        </is>
      </c>
      <c r="G4897" t="inlineStr">
        <is>
          <t>Trưởng phòng</t>
        </is>
      </c>
      <c r="H4897" t="inlineStr">
        <is>
          <t>27/02/2026</t>
        </is>
      </c>
      <c r="I4897" t="inlineStr">
        <is>
          <t>29/03/2026</t>
        </is>
      </c>
      <c r="J4897" t="inlineStr">
        <is>
          <t>17/03/2026</t>
        </is>
      </c>
      <c r="K4897" t="inlineStr">
        <is>
          <t>N/A</t>
        </is>
      </c>
      <c r="L4897" t="inlineStr">
        <is>
          <t>Báo Cáo Tài Chính, Kế Toán, Quản Lý Tài Chính, Tin Học Văn Phòng, Trách Nhiệm</t>
        </is>
      </c>
      <c r="M4897" t="inlineStr">
        <is>
          <t>Bonus, Healthcare Plan, Paid Leave, Training, Team Activities, Others</t>
        </is>
      </c>
      <c r="N4897" s="8">
        <f>HYPERLINK("https://www.vietnamworks.com/ke-toan-truong-thu-nhap-hap-dan-2015490-jv","Xem chi tiết")</f>
        <v/>
      </c>
    </row>
    <row r="4898">
      <c r="B4898" s="9" t="n">
        <v>4896</v>
      </c>
      <c r="C4898" s="10" t="inlineStr">
        <is>
          <t>Chuyên Viên Quản Lý Hàng Hóa</t>
        </is>
      </c>
      <c r="D4898" s="10" t="inlineStr">
        <is>
          <t>Tổng Công Ty Thương Mại Kỹ Thuật Và Đầu Tư – CTCP</t>
        </is>
      </c>
      <c r="E4898" s="10" t="inlineStr">
        <is>
          <t>Từ $ 100 /tháng</t>
        </is>
      </c>
      <c r="F4898" s="10" t="inlineStr">
        <is>
          <t>Hồ Chí Minh</t>
        </is>
      </c>
      <c r="G4898" s="10" t="inlineStr">
        <is>
          <t>Nhân viên</t>
        </is>
      </c>
      <c r="H4898" s="10" t="inlineStr">
        <is>
          <t>27/02/2026</t>
        </is>
      </c>
      <c r="I4898" s="10" t="inlineStr">
        <is>
          <t>29/03/2026</t>
        </is>
      </c>
      <c r="J4898" s="10" t="inlineStr">
        <is>
          <t>17/03/2026</t>
        </is>
      </c>
      <c r="K4898" s="10" t="inlineStr">
        <is>
          <t>N/A</t>
        </is>
      </c>
      <c r="L4898" s="10" t="inlineStr">
        <is>
          <t>Xuất nhập hàng hoá, Báo Cáo Kiểm Kê</t>
        </is>
      </c>
      <c r="M4898" s="10" t="inlineStr">
        <is>
          <t>Healthcare Plan, Paid Leave, Awards</t>
        </is>
      </c>
      <c r="N4898" s="11">
        <f>HYPERLINK("https://www.vietnamworks.com/chuyen-vien-quan-ly-hang-hoa--2015493-jv","Xem chi tiết")</f>
        <v/>
      </c>
      <c r="O4898" s="10" t="n"/>
    </row>
    <row r="4899">
      <c r="B4899" s="7" t="n">
        <v>4897</v>
      </c>
      <c r="C4899" t="inlineStr">
        <is>
          <t>QA Engineer (Kỹ Sư Chất Lượng, Tiếng Anh Thành Thạo )</t>
        </is>
      </c>
      <c r="D4899" t="inlineStr">
        <is>
          <t>Công Ty TNHH LG Innotek Việt Nam Hải Phòng</t>
        </is>
      </c>
      <c r="E4899" t="inlineStr">
        <is>
          <t>Thương lượng</t>
        </is>
      </c>
      <c r="F4899" t="inlineStr">
        <is>
          <t>Hải Phòng</t>
        </is>
      </c>
      <c r="G4899" t="inlineStr">
        <is>
          <t>Nhân viên</t>
        </is>
      </c>
      <c r="H4899" t="inlineStr">
        <is>
          <t>27/02/2026</t>
        </is>
      </c>
      <c r="I4899" t="inlineStr">
        <is>
          <t>29/03/2026</t>
        </is>
      </c>
      <c r="J4899" t="inlineStr">
        <is>
          <t>17/03/2026</t>
        </is>
      </c>
      <c r="K4899" t="inlineStr">
        <is>
          <t>N/A</t>
        </is>
      </c>
      <c r="L4899" t="inlineStr">
        <is>
          <t>Quality Assurance, Process Improvement, PQA, Quality Control, Đảm Bảo Chất Lượng</t>
        </is>
      </c>
      <c r="M4899" t="inlineStr">
        <is>
          <t>Bonus, Healthcare Plan, Paid Leave, Training, Laptop, Team Activities, Transportation, Canteen, Others</t>
        </is>
      </c>
      <c r="N4899" s="8">
        <f>HYPERLINK("https://www.vietnamworks.com/qa-engineer-ky-su-chat-luong-tieng-anh-thanh-thao-2015482-jv","Xem chi tiết")</f>
        <v/>
      </c>
    </row>
    <row r="4900">
      <c r="B4900" s="9" t="n">
        <v>4898</v>
      </c>
      <c r="C4900" s="10" t="inlineStr">
        <is>
          <t>Nhân Viên Hành Chính - Tuyển Sinh (Full-Time)</t>
        </is>
      </c>
      <c r="D4900" s="10" t="inlineStr">
        <is>
          <t>CÔNG TY TNHH BÁ HỌC - ANH NGỮ SCHOLA</t>
        </is>
      </c>
      <c r="E4900" s="10" t="inlineStr">
        <is>
          <t>Thương lượng</t>
        </is>
      </c>
      <c r="F4900" s="10" t="inlineStr">
        <is>
          <t>Hồ Chí Minh</t>
        </is>
      </c>
      <c r="G4900" s="10" t="inlineStr">
        <is>
          <t>Mới Tốt Nghiệp</t>
        </is>
      </c>
      <c r="H4900" s="10" t="inlineStr">
        <is>
          <t>27/02/2026</t>
        </is>
      </c>
      <c r="I4900" s="10" t="inlineStr">
        <is>
          <t>29/03/2026</t>
        </is>
      </c>
      <c r="J4900" s="10" t="inlineStr">
        <is>
          <t>17/03/2026</t>
        </is>
      </c>
      <c r="K4900" s="10" t="inlineStr">
        <is>
          <t>N/A</t>
        </is>
      </c>
      <c r="L4900" s="10" t="inlineStr">
        <is>
          <t>Quản Lý Hồ Sơ, Giao Tiếp, Tư Vấn Tuyển Sinh, Giáo dục, Hành Chính</t>
        </is>
      </c>
      <c r="M4900" s="10" t="inlineStr">
        <is>
          <t>Bonus, Healthcare Plan, Training, Others</t>
        </is>
      </c>
      <c r="N4900" s="11">
        <f>HYPERLINK("https://www.vietnamworks.com/nhan-vien-hanh-chinh-tuyen-sinh-full-time-2015481-jv","Xem chi tiết")</f>
        <v/>
      </c>
      <c r="O4900" s="10" t="n"/>
    </row>
    <row r="4901">
      <c r="B4901" s="7" t="n">
        <v>4899</v>
      </c>
      <c r="C4901" t="inlineStr">
        <is>
          <t>R&amp;D Engineer</t>
        </is>
      </c>
      <c r="D4901" t="inlineStr">
        <is>
          <t>Công Ty TNHH LG Innotek Việt Nam Hải Phòng</t>
        </is>
      </c>
      <c r="E4901" t="inlineStr">
        <is>
          <t>Thương lượng</t>
        </is>
      </c>
      <c r="F4901" t="inlineStr">
        <is>
          <t>Hải Phòng</t>
        </is>
      </c>
      <c r="G4901" t="inlineStr">
        <is>
          <t>Mới Tốt Nghiệp</t>
        </is>
      </c>
      <c r="H4901" t="inlineStr">
        <is>
          <t>27/02/2026</t>
        </is>
      </c>
      <c r="I4901" t="inlineStr">
        <is>
          <t>29/03/2026</t>
        </is>
      </c>
      <c r="J4901" t="inlineStr">
        <is>
          <t>17/03/2026</t>
        </is>
      </c>
      <c r="K4901" t="inlineStr">
        <is>
          <t>N/A</t>
        </is>
      </c>
      <c r="L4901" t="inlineStr">
        <is>
          <t>Development, Nghiên Cứu Sản Phẩm, Nghiên Cứu Sản Xuất, Research, Thiết Kế Sản Phẩm</t>
        </is>
      </c>
      <c r="M4901" t="inlineStr">
        <is>
          <t>Bonus, Healthcare Plan, Team Activities</t>
        </is>
      </c>
      <c r="N4901" s="8">
        <f>HYPERLINK("https://www.vietnamworks.com/randd-engineer-2015487-jv","Xem chi tiết")</f>
        <v/>
      </c>
    </row>
    <row r="4902">
      <c r="B4902" s="9" t="n">
        <v>4900</v>
      </c>
      <c r="C4902" s="10" t="inlineStr">
        <is>
          <t>Kế Toán Tổng Hợp</t>
        </is>
      </c>
      <c r="D4902" s="10" t="inlineStr">
        <is>
          <t>Công Ty Cổ Phần Vận Tải Biển Hòa Phát</t>
        </is>
      </c>
      <c r="E4902" s="10" t="inlineStr">
        <is>
          <t>Thương lượng</t>
        </is>
      </c>
      <c r="F4902" s="10" t="inlineStr">
        <is>
          <t>Hà Nội</t>
        </is>
      </c>
      <c r="G4902" s="10" t="inlineStr">
        <is>
          <t>Nhân viên</t>
        </is>
      </c>
      <c r="H4902" s="10" t="inlineStr">
        <is>
          <t>27/02/2026</t>
        </is>
      </c>
      <c r="I4902" s="10" t="inlineStr">
        <is>
          <t>29/03/2026</t>
        </is>
      </c>
      <c r="J4902" s="10" t="inlineStr">
        <is>
          <t>17/03/2026</t>
        </is>
      </c>
      <c r="K4902" s="10" t="inlineStr">
        <is>
          <t>N/A</t>
        </is>
      </c>
      <c r="L4902" s="10" t="inlineStr">
        <is>
          <t>Kế Toán, Tài Chính, Kế Toán Tổng Hợp, Báo Cáo Tài Chính, Vận Tải</t>
        </is>
      </c>
      <c r="M4902" s="10" t="inlineStr">
        <is>
          <t>Bonus, Healthcare Plan, Travel Opportunities</t>
        </is>
      </c>
      <c r="N4902" s="11">
        <f>HYPERLINK("https://www.vietnamworks.com/ke-toan-tong-hop--2015498-jv","Xem chi tiết")</f>
        <v/>
      </c>
      <c r="O4902" s="10" t="n"/>
    </row>
    <row r="4903">
      <c r="B4903" s="7" t="n">
        <v>4901</v>
      </c>
      <c r="C4903" t="inlineStr">
        <is>
          <t>Nhân Viên Kỹ Thuật</t>
        </is>
      </c>
      <c r="D4903" t="inlineStr">
        <is>
          <t>Công Ty TNHH Công Nghệ Index</t>
        </is>
      </c>
      <c r="E4903" t="inlineStr">
        <is>
          <t>13tr-17tr ₫/tháng</t>
        </is>
      </c>
      <c r="F4903" t="inlineStr">
        <is>
          <t>Hà Nội</t>
        </is>
      </c>
      <c r="G4903" t="inlineStr">
        <is>
          <t>Nhân viên</t>
        </is>
      </c>
      <c r="H4903" t="inlineStr">
        <is>
          <t>27/02/2026</t>
        </is>
      </c>
      <c r="I4903" t="inlineStr">
        <is>
          <t>29/03/2026</t>
        </is>
      </c>
      <c r="J4903" t="inlineStr">
        <is>
          <t>17/03/2026</t>
        </is>
      </c>
      <c r="K4903" t="inlineStr">
        <is>
          <t>N/A</t>
        </is>
      </c>
      <c r="L4903" t="inlineStr">
        <is>
          <t>AutoCAD, SolidWorks, Bản Vẽ Kỹ Thuật, Cơ khí chế tạo máy, Sửa Chữa Bảo Trì Máy</t>
        </is>
      </c>
      <c r="M4903" t="inlineStr">
        <is>
          <t>Bonus, Healthcare Plan, Training, Others</t>
        </is>
      </c>
      <c r="N4903" s="8">
        <f>HYPERLINK("https://www.vietnamworks.com/nhan-vien-ky-thuat-2015497-jv","Xem chi tiết")</f>
        <v/>
      </c>
    </row>
    <row r="4904">
      <c r="B4904" s="9" t="n">
        <v>4902</v>
      </c>
      <c r="C4904" s="10" t="inlineStr">
        <is>
          <t>Nhân Viên Kế Toán Nội Bộ</t>
        </is>
      </c>
      <c r="D4904" s="10" t="inlineStr">
        <is>
          <t>Công Ty TNHH Công Nghệ Index</t>
        </is>
      </c>
      <c r="E4904" s="10" t="inlineStr">
        <is>
          <t>8tr-10tr ₫/tháng</t>
        </is>
      </c>
      <c r="F4904" s="10" t="inlineStr">
        <is>
          <t>Hà Nội</t>
        </is>
      </c>
      <c r="G4904" s="10" t="inlineStr">
        <is>
          <t>Nhân viên</t>
        </is>
      </c>
      <c r="H4904" s="10" t="inlineStr">
        <is>
          <t>27/02/2026</t>
        </is>
      </c>
      <c r="I4904" s="10" t="inlineStr">
        <is>
          <t>29/03/2026</t>
        </is>
      </c>
      <c r="J4904" s="10" t="inlineStr">
        <is>
          <t>17/03/2026</t>
        </is>
      </c>
      <c r="K4904" s="10" t="inlineStr">
        <is>
          <t>N/A</t>
        </is>
      </c>
      <c r="L4904" s="10" t="inlineStr">
        <is>
          <t>Kế Toán, Phần mềm kế toán Misa, Excel, Quản Lý, Làm Việc Nhóm</t>
        </is>
      </c>
      <c r="M4904" s="10" t="inlineStr">
        <is>
          <t>Bonus, Healthcare Plan, Training, Others</t>
        </is>
      </c>
      <c r="N4904" s="11">
        <f>HYPERLINK("https://www.vietnamworks.com/nhan-vien-ke-toan-noi-bo-2015491-jv","Xem chi tiết")</f>
        <v/>
      </c>
      <c r="O4904" s="10" t="n"/>
    </row>
    <row r="4905">
      <c r="B4905" s="7" t="n">
        <v>4903</v>
      </c>
      <c r="C4905" t="inlineStr">
        <is>
          <t>Procurement Specialist - Direc</t>
        </is>
      </c>
      <c r="D4905" t="inlineStr">
        <is>
          <t>Avery Dennison Vietnam</t>
        </is>
      </c>
      <c r="E4905" t="inlineStr">
        <is>
          <t>Thương lượng</t>
        </is>
      </c>
      <c r="F4905" t="inlineStr">
        <is>
          <t>Hồ Chí Minh</t>
        </is>
      </c>
      <c r="G4905" t="inlineStr">
        <is>
          <t>Mới Tốt Nghiệp</t>
        </is>
      </c>
      <c r="H4905" t="inlineStr">
        <is>
          <t>27/02/2026</t>
        </is>
      </c>
      <c r="I4905" t="inlineStr">
        <is>
          <t>29/03/2026</t>
        </is>
      </c>
      <c r="J4905" t="inlineStr">
        <is>
          <t>17/03/2026</t>
        </is>
      </c>
      <c r="K4905" t="inlineStr">
        <is>
          <t>N/A</t>
        </is>
      </c>
      <c r="L4905" t="inlineStr">
        <is>
          <t>English, Communication Skills, Negotiation, Purchasing, Contract Management</t>
        </is>
      </c>
      <c r="M4905" t="inlineStr">
        <is>
          <t>Bonus, Healthcare Plan, Paid Leave</t>
        </is>
      </c>
      <c r="N4905" s="8">
        <f>HYPERLINK("https://www.vietnamworks.com/procurement-specialist-direc-2015499-jv","Xem chi tiết")</f>
        <v/>
      </c>
    </row>
    <row r="4906">
      <c r="B4906" s="9" t="n">
        <v>4904</v>
      </c>
      <c r="C4906" s="10" t="inlineStr">
        <is>
          <t>Senior/ Interior Designer</t>
        </is>
      </c>
      <c r="D4906" s="10" t="inlineStr">
        <is>
          <t>KUME DESIGN ASIA CO.LTD</t>
        </is>
      </c>
      <c r="E4906" s="10" t="inlineStr">
        <is>
          <t>Thương lượng</t>
        </is>
      </c>
      <c r="F4906" s="10" t="inlineStr">
        <is>
          <t>Hồ Chí Minh</t>
        </is>
      </c>
      <c r="G4906" s="10" t="inlineStr">
        <is>
          <t>Nhân viên</t>
        </is>
      </c>
      <c r="H4906" s="10" t="inlineStr">
        <is>
          <t>27/02/2026</t>
        </is>
      </c>
      <c r="I4906" s="10" t="inlineStr">
        <is>
          <t>29/03/2026</t>
        </is>
      </c>
      <c r="J4906" s="10" t="inlineStr">
        <is>
          <t>17/03/2026</t>
        </is>
      </c>
      <c r="K4906" s="10" t="inlineStr">
        <is>
          <t>N/A</t>
        </is>
      </c>
      <c r="L4906" s="10" t="inlineStr">
        <is>
          <t>Interior Design, Thiết Kế Nội Thất, Team Leader, Concept Design, Adobe Photoshop</t>
        </is>
      </c>
      <c r="M4906" s="10" t="inlineStr">
        <is>
          <t>Bonus, Healthcare Plan, Paid Leave</t>
        </is>
      </c>
      <c r="N4906" s="11">
        <f>HYPERLINK("https://www.vietnamworks.com/senior-interior-designer--2015496-jv","Xem chi tiết")</f>
        <v/>
      </c>
      <c r="O4906" s="10" t="n"/>
    </row>
    <row r="4907">
      <c r="B4907" s="7" t="n">
        <v>4905</v>
      </c>
      <c r="C4907" t="inlineStr">
        <is>
          <t>Kế Toán Thuế (Thu Nhập 15-20M)</t>
        </is>
      </c>
      <c r="D4907" t="inlineStr">
        <is>
          <t>Cong ty TNHH KIAN VIET NAM</t>
        </is>
      </c>
      <c r="E4907" t="inlineStr">
        <is>
          <t>15tr-20tr ₫/tháng</t>
        </is>
      </c>
      <c r="F4907" t="inlineStr">
        <is>
          <t>Hà Nội</t>
        </is>
      </c>
      <c r="G4907" t="inlineStr">
        <is>
          <t>Nhân viên</t>
        </is>
      </c>
      <c r="H4907" t="inlineStr">
        <is>
          <t>27/02/2026</t>
        </is>
      </c>
      <c r="I4907" t="inlineStr">
        <is>
          <t>29/03/2026</t>
        </is>
      </c>
      <c r="J4907" t="inlineStr">
        <is>
          <t>17/03/2026</t>
        </is>
      </c>
      <c r="K4907" t="inlineStr">
        <is>
          <t>N/A</t>
        </is>
      </c>
      <c r="L4907" t="inlineStr">
        <is>
          <t>Kế Toán Thuế, Kế Toán, Thuế, TAX, Tax Advisory</t>
        </is>
      </c>
      <c r="M4907" t="inlineStr">
        <is>
          <t>Paid Leave</t>
        </is>
      </c>
      <c r="N4907" s="8">
        <f>HYPERLINK("https://www.vietnamworks.com/ke-toan-thue-thu-nhap-15-20m-2015500-jv","Xem chi tiết")</f>
        <v/>
      </c>
    </row>
    <row r="4908">
      <c r="B4908" s="9" t="n">
        <v>4906</v>
      </c>
      <c r="C4908" s="10" t="inlineStr">
        <is>
          <t>Nhân Viên Phòng Quản Lý Sản Xuất - Nhà Máy Hưng Yên (Có Xe Đưa Đón)</t>
        </is>
      </c>
      <c r="D4908" s="10" t="inlineStr">
        <is>
          <t>TOTO Vietnam Co., Ltd</t>
        </is>
      </c>
      <c r="E4908" s="10" t="inlineStr">
        <is>
          <t>Thương lượng</t>
        </is>
      </c>
      <c r="F4908" s="10" t="inlineStr">
        <is>
          <t>Hưng Yên, Hà Nội</t>
        </is>
      </c>
      <c r="G4908" s="10" t="inlineStr">
        <is>
          <t>Nhân viên</t>
        </is>
      </c>
      <c r="H4908" s="10" t="inlineStr">
        <is>
          <t>27/02/2026</t>
        </is>
      </c>
      <c r="I4908" s="10" t="inlineStr">
        <is>
          <t>29/03/2026</t>
        </is>
      </c>
      <c r="J4908" s="10" t="inlineStr">
        <is>
          <t>17/03/2026</t>
        </is>
      </c>
      <c r="K4908" s="10" t="inlineStr">
        <is>
          <t>N/A</t>
        </is>
      </c>
      <c r="L4908" s="10" t="inlineStr">
        <is>
          <t>Quản Lý Sản Xuất, Kế Hoạch Sản Xuất, Planning Production, Production Control</t>
        </is>
      </c>
      <c r="M4908" s="10" t="inlineStr">
        <is>
          <t>Bonus, Paid Leave, Transportation</t>
        </is>
      </c>
      <c r="N4908" s="11">
        <f>HYPERLINK("https://www.vietnamworks.com/nhan-vien-phong-quan-ly-san-xuat-nha-may-hung-yen-co-xe-dua-don--2015502-jv","Xem chi tiết")</f>
        <v/>
      </c>
      <c r="O4908" s="10" t="n"/>
    </row>
    <row r="4909">
      <c r="B4909" s="7" t="n">
        <v>4907</v>
      </c>
      <c r="C4909" t="inlineStr">
        <is>
          <t>Kỹ Sư Quản Lý Sản Xuất</t>
        </is>
      </c>
      <c r="D4909" t="inlineStr">
        <is>
          <t>Công Ty TNHH LG Innotek Việt Nam Hải Phòng</t>
        </is>
      </c>
      <c r="E4909" t="inlineStr">
        <is>
          <t>Tới $ 1,000 /tháng</t>
        </is>
      </c>
      <c r="F4909" t="inlineStr">
        <is>
          <t>Hải Phòng</t>
        </is>
      </c>
      <c r="G4909" t="inlineStr">
        <is>
          <t>Nhân viên</t>
        </is>
      </c>
      <c r="H4909" t="inlineStr">
        <is>
          <t>27/02/2026</t>
        </is>
      </c>
      <c r="I4909" t="inlineStr">
        <is>
          <t>29/03/2026</t>
        </is>
      </c>
      <c r="J4909" t="inlineStr">
        <is>
          <t>17/03/2026</t>
        </is>
      </c>
      <c r="K4909" t="inlineStr">
        <is>
          <t>N/A</t>
        </is>
      </c>
      <c r="L4909" t="inlineStr">
        <is>
          <t>Production Planning, Quản Lý Sản Xuất, Material Control, Quality Control, AutoCAD</t>
        </is>
      </c>
      <c r="M4909" t="inlineStr">
        <is>
          <t>Bonus, Transportation, Others</t>
        </is>
      </c>
      <c r="N4909" s="8">
        <f>HYPERLINK("https://www.vietnamworks.com/ky-su-quan-ly-san-xuat--2015484-jv","Xem chi tiết")</f>
        <v/>
      </c>
    </row>
    <row r="4910">
      <c r="B4910" s="9" t="n">
        <v>4908</v>
      </c>
      <c r="C4910" s="10" t="inlineStr">
        <is>
          <t>Nhân Viên Kinh Doanh Quốc Tế (B2B) Thu Nhập 25-30Tr/tháng</t>
        </is>
      </c>
      <c r="D4910" s="10" t="inlineStr">
        <is>
          <t>Công Ty Cổ Phần Khoáng Sản Công Nghiệp Yên Bái (YBM)</t>
        </is>
      </c>
      <c r="E4910" s="10" t="inlineStr">
        <is>
          <t>25tr-30tr ₫/tháng</t>
        </is>
      </c>
      <c r="F4910" s="10" t="inlineStr">
        <is>
          <t>Hà Nội</t>
        </is>
      </c>
      <c r="G4910" s="10" t="inlineStr">
        <is>
          <t>Nhân viên</t>
        </is>
      </c>
      <c r="H4910" s="10" t="inlineStr">
        <is>
          <t>27/02/2026</t>
        </is>
      </c>
      <c r="I4910" s="10" t="inlineStr">
        <is>
          <t>29/03/2026</t>
        </is>
      </c>
      <c r="J4910" s="10" t="inlineStr">
        <is>
          <t>17/03/2026</t>
        </is>
      </c>
      <c r="K4910" s="10" t="inlineStr">
        <is>
          <t>N/A</t>
        </is>
      </c>
      <c r="L4910" s="10" t="inlineStr">
        <is>
          <t>B2B Sales, HSK5, Kinh Doanh Quốc Tế, Lập Kế Hoạch Kinh Doanh, Tìm Kiếm Khách Hàng</t>
        </is>
      </c>
      <c r="M4910" s="10" t="inlineStr">
        <is>
          <t>Bonus, Healthcare Plan, Canteen, Others</t>
        </is>
      </c>
      <c r="N4910" s="11">
        <f>HYPERLINK("https://www.vietnamworks.com/nhan-vien-kinh-doanh-quoc-te-b2b-thu-nhap-25-30trthang-2015477-jv","Xem chi tiết")</f>
        <v/>
      </c>
      <c r="O4910" s="10" t="n"/>
    </row>
    <row r="4911">
      <c r="B4911" s="7" t="n">
        <v>4909</v>
      </c>
      <c r="C4911" t="inlineStr">
        <is>
          <t>Sales Executive (Pharmaceutical/dietary Supplements) | Nhân Viên Kinh Doanh</t>
        </is>
      </c>
      <c r="D4911" t="inlineStr">
        <is>
          <t>Công ty TNHH SMARC</t>
        </is>
      </c>
      <c r="E4911" t="inlineStr">
        <is>
          <t>Thương lượng</t>
        </is>
      </c>
      <c r="F4911" t="inlineStr">
        <is>
          <t>Hồ Chí Minh</t>
        </is>
      </c>
      <c r="G4911" t="inlineStr">
        <is>
          <t>Nhân viên</t>
        </is>
      </c>
      <c r="H4911" t="inlineStr">
        <is>
          <t>27/02/2026</t>
        </is>
      </c>
      <c r="I4911" t="inlineStr">
        <is>
          <t>29/03/2026</t>
        </is>
      </c>
      <c r="J4911" t="inlineStr">
        <is>
          <t>17/03/2026</t>
        </is>
      </c>
      <c r="K4911" t="inlineStr">
        <is>
          <t>N/A</t>
        </is>
      </c>
      <c r="L4911" t="inlineStr">
        <is>
          <t>Tiếng Anh, Tìm Kiếm Khách Hàng, Bán hàng &amp; Chăm sóc khách hàng, Giao Tiếp Tốt</t>
        </is>
      </c>
      <c r="M4911" t="inlineStr">
        <is>
          <t>Bonus, Healthcare Plan, Paid Leave, Training, Travel Opportunities, Team Activities, Others</t>
        </is>
      </c>
      <c r="N4911" s="8">
        <f>HYPERLINK("https://www.vietnamworks.com/sales-executive-pharmaceutical-dietary-supplements-nhan-vien-kinh-doanh--2015506-jv","Xem chi tiết")</f>
        <v/>
      </c>
    </row>
    <row r="4912">
      <c r="B4912" s="9" t="n">
        <v>4910</v>
      </c>
      <c r="C4912" s="10" t="inlineStr">
        <is>
          <t>Nhân Viên Bảo Trì Bảo Dưỡng</t>
        </is>
      </c>
      <c r="D4912" s="10" t="inlineStr">
        <is>
          <t>CÔNG TY TNHH CƠ KHÍ CHÍNH XÁC KIM MINH</t>
        </is>
      </c>
      <c r="E4912" s="10" t="inlineStr">
        <is>
          <t>Thương lượng</t>
        </is>
      </c>
      <c r="F4912" s="10" t="inlineStr">
        <is>
          <t>Hà Nội</t>
        </is>
      </c>
      <c r="G4912" s="10" t="inlineStr">
        <is>
          <t>Nhân viên</t>
        </is>
      </c>
      <c r="H4912" s="10" t="inlineStr">
        <is>
          <t>27/02/2026</t>
        </is>
      </c>
      <c r="I4912" s="10" t="inlineStr">
        <is>
          <t>29/03/2026</t>
        </is>
      </c>
      <c r="J4912" s="10" t="inlineStr">
        <is>
          <t>17/03/2026</t>
        </is>
      </c>
      <c r="K4912" s="10" t="inlineStr">
        <is>
          <t>N/A</t>
        </is>
      </c>
      <c r="L4912" s="10" t="inlineStr">
        <is>
          <t>Bảo Dưỡng Bảo Trì, Bảo Trì Công Nghiệp, Kỹ Thuật Bảo Dưỡng, Lập Kế Hoạch Bảo Trì, Sửa Chữa Khắc Phục</t>
        </is>
      </c>
      <c r="M4912" s="10" t="inlineStr">
        <is>
          <t>Training, Transportation, Canteen</t>
        </is>
      </c>
      <c r="N4912" s="11">
        <f>HYPERLINK("https://www.vietnamworks.com/nhan-vien-bao-tri-bao-duong-2015516-jv","Xem chi tiết")</f>
        <v/>
      </c>
      <c r="O4912" s="10" t="n"/>
    </row>
    <row r="4913">
      <c r="B4913" s="7" t="n">
        <v>4911</v>
      </c>
      <c r="C4913" t="inlineStr">
        <is>
          <t>Chuyên Viên Lập Trình</t>
        </is>
      </c>
      <c r="D4913" t="inlineStr">
        <is>
          <t>Công Ty Cổ Phần Khu Công Nghiệp Tổ Hợp Công Nghệ Thành Công Việt Hưng (Thành Công Việt Hưng)</t>
        </is>
      </c>
      <c r="E4913" t="inlineStr">
        <is>
          <t>Thương lượng</t>
        </is>
      </c>
      <c r="F4913" t="inlineStr">
        <is>
          <t>Hà Nội</t>
        </is>
      </c>
      <c r="G4913" t="inlineStr">
        <is>
          <t>Nhân viên</t>
        </is>
      </c>
      <c r="H4913" t="inlineStr">
        <is>
          <t>27/02/2026</t>
        </is>
      </c>
      <c r="I4913" t="inlineStr">
        <is>
          <t>29/03/2026</t>
        </is>
      </c>
      <c r="J4913" t="inlineStr">
        <is>
          <t>17/03/2026</t>
        </is>
      </c>
      <c r="K4913" t="inlineStr">
        <is>
          <t>N/A</t>
        </is>
      </c>
      <c r="L4913" t="inlineStr">
        <is>
          <t>Angular, CSS, HTML</t>
        </is>
      </c>
      <c r="M4913" t="inlineStr">
        <is>
          <t>Bonus, Healthcare Plan, Others</t>
        </is>
      </c>
      <c r="N4913" s="8">
        <f>HYPERLINK("https://www.vietnamworks.com/chuyen-vien-lap-trinh-2015525-jv","Xem chi tiết")</f>
        <v/>
      </c>
    </row>
    <row r="4914">
      <c r="B4914" s="9" t="n">
        <v>4912</v>
      </c>
      <c r="C4914" s="10" t="inlineStr">
        <is>
          <t>Merchandising Manager (Strong in Denim)</t>
        </is>
      </c>
      <c r="D4914" s="10" t="inlineStr">
        <is>
          <t>Representative Office - MGF Sourcing/ Tsam Limited</t>
        </is>
      </c>
      <c r="E4914" s="10" t="inlineStr">
        <is>
          <t>Thương lượng</t>
        </is>
      </c>
      <c r="F4914" s="10" t="inlineStr">
        <is>
          <t>Hồ Chí Minh</t>
        </is>
      </c>
      <c r="G4914" s="10" t="inlineStr">
        <is>
          <t>Trưởng phòng</t>
        </is>
      </c>
      <c r="H4914" s="10" t="inlineStr">
        <is>
          <t>27/02/2026</t>
        </is>
      </c>
      <c r="I4914" s="10" t="inlineStr">
        <is>
          <t>29/03/2026</t>
        </is>
      </c>
      <c r="J4914" s="10" t="inlineStr">
        <is>
          <t>17/03/2026</t>
        </is>
      </c>
      <c r="K4914" s="10" t="inlineStr">
        <is>
          <t>N/A</t>
        </is>
      </c>
      <c r="L4914" s="10" t="inlineStr">
        <is>
          <t>Denim Product Development, Merchandising, Denim Expertise, Denims Washing, Kinh Nghiệm Hàng Denim</t>
        </is>
      </c>
      <c r="M4914" s="10" t="inlineStr">
        <is>
          <t>Healthcare Plan, Paid Leave, Training, Awards, Laptop, Team Activities</t>
        </is>
      </c>
      <c r="N4914" s="11">
        <f>HYPERLINK("https://www.vietnamworks.com/merchandising-manager-strong-in-denim-2015514-jv","Xem chi tiết")</f>
        <v/>
      </c>
      <c r="O4914" s="10" t="n"/>
    </row>
    <row r="4915">
      <c r="B4915" s="7" t="n">
        <v>4913</v>
      </c>
      <c r="C4915" t="inlineStr">
        <is>
          <t>Quản Lý Sản Xuất</t>
        </is>
      </c>
      <c r="D4915" t="inlineStr">
        <is>
          <t>CÔNG TY TNHH CƠ KHÍ CHÍNH XÁC KIM MINH</t>
        </is>
      </c>
      <c r="E4915" t="inlineStr">
        <is>
          <t>20tr-25tr ₫/tháng</t>
        </is>
      </c>
      <c r="F4915" t="inlineStr">
        <is>
          <t>Hà Nội</t>
        </is>
      </c>
      <c r="G4915" t="inlineStr">
        <is>
          <t>Nhân viên</t>
        </is>
      </c>
      <c r="H4915" t="inlineStr">
        <is>
          <t>27/02/2026</t>
        </is>
      </c>
      <c r="I4915" t="inlineStr">
        <is>
          <t>29/03/2026</t>
        </is>
      </c>
      <c r="J4915" t="inlineStr">
        <is>
          <t>17/03/2026</t>
        </is>
      </c>
      <c r="K4915" t="inlineStr">
        <is>
          <t>N/A</t>
        </is>
      </c>
      <c r="L4915" t="inlineStr">
        <is>
          <t>Cơ Khí, Phát Triển Sản Phẩm, Quản Lý Con Người, Quản Lý Sản Xuất, Đọc Bản Vẽ Kỹ Thuật</t>
        </is>
      </c>
      <c r="M4915" t="inlineStr">
        <is>
          <t>Training, Transportation, Canteen</t>
        </is>
      </c>
      <c r="N4915" s="8">
        <f>HYPERLINK("https://www.vietnamworks.com/quan-ly-san-xuat-2015509-jv","Xem chi tiết")</f>
        <v/>
      </c>
    </row>
    <row r="4916">
      <c r="B4916" s="9" t="n">
        <v>4914</v>
      </c>
      <c r="C4916" s="10" t="inlineStr">
        <is>
          <t>Nhân Viên Kinh Doanh Xuất Khẩu (Sales Export)</t>
        </is>
      </c>
      <c r="D4916" s="10" t="inlineStr">
        <is>
          <t>CÔNG TY TNHH XNK MY PLY</t>
        </is>
      </c>
      <c r="E4916" s="10" t="inlineStr">
        <is>
          <t>7tr-15tr ₫/tháng</t>
        </is>
      </c>
      <c r="F4916" s="10" t="inlineStr">
        <is>
          <t>Hà Nội</t>
        </is>
      </c>
      <c r="G4916" s="10" t="inlineStr">
        <is>
          <t>Mới Tốt Nghiệp</t>
        </is>
      </c>
      <c r="H4916" s="10" t="inlineStr">
        <is>
          <t>27/02/2026</t>
        </is>
      </c>
      <c r="I4916" s="10" t="inlineStr">
        <is>
          <t>29/03/2026</t>
        </is>
      </c>
      <c r="J4916" s="10" t="inlineStr">
        <is>
          <t>17/03/2026</t>
        </is>
      </c>
      <c r="K4916" s="10" t="inlineStr">
        <is>
          <t>N/A</t>
        </is>
      </c>
      <c r="L4916" s="10" t="inlineStr">
        <is>
          <t>Giao Tiếp, Thuyết Phục, Tiếng  Anh Giao Tiếp, Tìm Kiếm Khách Hàng, Đàm Phán</t>
        </is>
      </c>
      <c r="M4916" s="10" t="inlineStr">
        <is>
          <t>Bonus, Healthcare Plan, Others</t>
        </is>
      </c>
      <c r="N4916" s="11">
        <f>HYPERLINK("https://www.vietnamworks.com/nhan-vien-kinh-doanh-xuat-khau-sales-export-2015537-jv","Xem chi tiết")</f>
        <v/>
      </c>
      <c r="O4916" s="10" t="n"/>
    </row>
    <row r="4917">
      <c r="B4917" s="7" t="n">
        <v>4915</v>
      </c>
      <c r="C4917" t="inlineStr">
        <is>
          <t>Nhân Viên Kế Hoạch Kỹ Thuật</t>
        </is>
      </c>
      <c r="D4917" t="inlineStr">
        <is>
          <t>Công Ty Cổ Phần Tập Đoàn Đèo Cả</t>
        </is>
      </c>
      <c r="E4917" t="inlineStr">
        <is>
          <t>16tr-25tr ₫/tháng</t>
        </is>
      </c>
      <c r="F4917" t="inlineStr">
        <is>
          <t>Tiền Giang, Trà Vinh, Phú Thọ</t>
        </is>
      </c>
      <c r="G4917" t="inlineStr">
        <is>
          <t>Nhân viên</t>
        </is>
      </c>
      <c r="H4917" t="inlineStr">
        <is>
          <t>27/02/2026</t>
        </is>
      </c>
      <c r="I4917" t="inlineStr">
        <is>
          <t>29/03/2026</t>
        </is>
      </c>
      <c r="J4917" t="inlineStr">
        <is>
          <t>17/03/2026</t>
        </is>
      </c>
      <c r="K4917" t="inlineStr">
        <is>
          <t>N/A</t>
        </is>
      </c>
      <c r="L4917" t="inlineStr">
        <is>
          <t>Hạ Tầng Giao Thông, Kinh Tế Xây Dựng, MS Office, Xây Dựng Cầu Đường</t>
        </is>
      </c>
      <c r="M4917" t="inlineStr">
        <is>
          <t>Bonus, Healthcare Plan, Paid Leave, Training, Laptop, Team Activities, Transportation, Others</t>
        </is>
      </c>
      <c r="N4917" s="8">
        <f>HYPERLINK("https://www.vietnamworks.com/nhan-vien-ke-hoach-ky-thuat-2015538-jv","Xem chi tiết")</f>
        <v/>
      </c>
    </row>
    <row r="4918">
      <c r="B4918" s="9" t="n">
        <v>4916</v>
      </c>
      <c r="C4918" s="10" t="inlineStr">
        <is>
          <t>Supervisor Giám Sát Vận Hành &amp; Chất Lượng (Dookki &amp; Crispy Donuts)</t>
        </is>
      </c>
      <c r="D4918" s="10" t="inlineStr">
        <is>
          <t>CÔNG TY TNHH NORANG COMPANY</t>
        </is>
      </c>
      <c r="E4918" s="10" t="inlineStr">
        <is>
          <t>Thương lượng</t>
        </is>
      </c>
      <c r="F4918" s="10" t="inlineStr">
        <is>
          <t>Hồ Chí Minh</t>
        </is>
      </c>
      <c r="G4918" s="10" t="inlineStr">
        <is>
          <t>Nhân viên</t>
        </is>
      </c>
      <c r="H4918" s="10" t="inlineStr">
        <is>
          <t>27/02/2026</t>
        </is>
      </c>
      <c r="I4918" s="10" t="inlineStr">
        <is>
          <t>29/03/2026</t>
        </is>
      </c>
      <c r="J4918" s="10" t="inlineStr">
        <is>
          <t>17/03/2026</t>
        </is>
      </c>
      <c r="K4918" s="10" t="inlineStr">
        <is>
          <t>N/A</t>
        </is>
      </c>
      <c r="L4918" s="10" t="inlineStr">
        <is>
          <t>Dịch Vụ Khách Hàng, F&amp;B Business, Quality Control, Store Operations, Training Development</t>
        </is>
      </c>
      <c r="M4918" s="10" t="inlineStr">
        <is>
          <t>Others</t>
        </is>
      </c>
      <c r="N4918" s="11">
        <f>HYPERLINK("https://www.vietnamworks.com/supervisor-giam-sat-van-hanh-and-chat-luong-dookki-and-crispy-donuts-2015531-jv","Xem chi tiết")</f>
        <v/>
      </c>
      <c r="O4918" s="10" t="n"/>
    </row>
    <row r="4919">
      <c r="B4919" s="7" t="n">
        <v>4917</v>
      </c>
      <c r="C4919" t="inlineStr">
        <is>
          <t>Nhân Viên Kinh Doanh B2B – Thiết Bị Cơ Điện (15–25 Triệu)</t>
        </is>
      </c>
      <c r="D4919" t="inlineStr">
        <is>
          <t>Công Ty TNHH K O T I T I Việt Nam</t>
        </is>
      </c>
      <c r="E4919" t="inlineStr">
        <is>
          <t>15tr-25tr ₫/tháng</t>
        </is>
      </c>
      <c r="F4919" t="inlineStr">
        <is>
          <t>Hà Nội</t>
        </is>
      </c>
      <c r="G4919" t="inlineStr">
        <is>
          <t>Nhân viên</t>
        </is>
      </c>
      <c r="H4919" t="inlineStr">
        <is>
          <t>27/02/2026</t>
        </is>
      </c>
      <c r="I4919" t="inlineStr">
        <is>
          <t>29/03/2026</t>
        </is>
      </c>
      <c r="J4919" t="inlineStr">
        <is>
          <t>17/03/2026</t>
        </is>
      </c>
      <c r="K4919" t="inlineStr">
        <is>
          <t>N/A</t>
        </is>
      </c>
      <c r="L4919" t="inlineStr">
        <is>
          <t>Sales B2B, Electric - Mechanical Machine, Sales Engineering, Thiết Bị Công Nghiệp, Mechanical</t>
        </is>
      </c>
      <c r="M4919" t="inlineStr">
        <is>
          <t>Bonus, Healthcare Plan, Team Activities</t>
        </is>
      </c>
      <c r="N4919" s="8">
        <f>HYPERLINK("https://www.vietnamworks.com/nhan-vien-kinh-doanh-b2b-thiet-bi-co-dien-15-25-trieu-2015527-jv","Xem chi tiết")</f>
        <v/>
      </c>
    </row>
    <row r="4920">
      <c r="B4920" s="9" t="n">
        <v>4918</v>
      </c>
      <c r="C4920" s="10" t="inlineStr">
        <is>
          <t>International Sales Specialist</t>
        </is>
      </c>
      <c r="D4920" s="10" t="inlineStr">
        <is>
          <t>Stavian Group</t>
        </is>
      </c>
      <c r="E4920" s="10" t="inlineStr">
        <is>
          <t>$$ 800-1,500 /tháng</t>
        </is>
      </c>
      <c r="F4920" s="10" t="inlineStr">
        <is>
          <t>Hà Nội</t>
        </is>
      </c>
      <c r="G4920" s="10" t="inlineStr">
        <is>
          <t>Nhân viên</t>
        </is>
      </c>
      <c r="H4920" s="10" t="inlineStr">
        <is>
          <t>27/02/2026</t>
        </is>
      </c>
      <c r="I4920" s="10" t="inlineStr">
        <is>
          <t>29/03/2026</t>
        </is>
      </c>
      <c r="J4920" s="10" t="inlineStr">
        <is>
          <t>17/03/2026</t>
        </is>
      </c>
      <c r="K4920" s="10" t="inlineStr">
        <is>
          <t>N/A</t>
        </is>
      </c>
      <c r="L4920" s="10" t="inlineStr">
        <is>
          <t>Xuất Nhập Khẩu, Sales Export Management, Sales Export, Kinh Doanh, Business Development</t>
        </is>
      </c>
      <c r="M4920" s="10" t="inlineStr">
        <is>
          <t>Bonus, Healthcare Plan, Travel Opportunities</t>
        </is>
      </c>
      <c r="N4920" s="11">
        <f>HYPERLINK("https://www.vietnamworks.com/international-sales-specialist--2015533-jv","Xem chi tiết")</f>
        <v/>
      </c>
      <c r="O4920" s="10" t="n"/>
    </row>
    <row r="4921">
      <c r="B4921" s="7" t="n">
        <v>4919</v>
      </c>
      <c r="C4921" t="inlineStr">
        <is>
          <t>Chuyên Viên Quan Hệ Khách Hàng Doanh Nghiệp - [BAC A BANK - KV Nội Thành Hà Nội/ Đông Anh/ Gia Lâm/ Hoài Đức/ Sơn Tây/ Thanh Trì]</t>
        </is>
      </c>
      <c r="D4921" t="inlineStr">
        <is>
          <t>Bắc Á Bank - Https://tuyendung.baca-Bank.vn/</t>
        </is>
      </c>
      <c r="E4921" t="inlineStr">
        <is>
          <t>Thương lượng</t>
        </is>
      </c>
      <c r="F4921" t="inlineStr">
        <is>
          <t>Hà Nội</t>
        </is>
      </c>
      <c r="G4921" t="inlineStr">
        <is>
          <t>Mới Tốt Nghiệp</t>
        </is>
      </c>
      <c r="H4921" t="inlineStr">
        <is>
          <t>27/02/2026</t>
        </is>
      </c>
      <c r="I4921" t="inlineStr">
        <is>
          <t>29/03/2026</t>
        </is>
      </c>
      <c r="J4921" t="inlineStr">
        <is>
          <t>17/03/2026</t>
        </is>
      </c>
      <c r="K4921" t="inlineStr">
        <is>
          <t>N/A</t>
        </is>
      </c>
      <c r="L4921" t="inlineStr">
        <is>
          <t>Giao Tiếp, Bán Hàng, Phân Tích Da, Đàm Phán, Tư Duy</t>
        </is>
      </c>
      <c r="M4921" t="inlineStr">
        <is>
          <t>Bonus, Healthcare Plan, Training, Others</t>
        </is>
      </c>
      <c r="N4921" s="8">
        <f>HYPERLINK("https://www.vietnamworks.com/chuyen-vien-quan-he-khach-hang-doanh-nghiep-bac-a-bank-kv-noi-thanh-ha-noi-djong-anh-gia-lam-hoai-djuc-son-tay-thanh-tri-2015526-jv","Xem chi tiết")</f>
        <v/>
      </c>
    </row>
    <row r="4922">
      <c r="B4922" s="9" t="n">
        <v>4920</v>
      </c>
      <c r="C4922" s="10" t="inlineStr">
        <is>
          <t>Organization Development Leader (TN Phát Triển Tổ Chức) - Upto 50M</t>
        </is>
      </c>
      <c r="D4922" s="10" t="inlineStr">
        <is>
          <t>Thời Trang Adidas - Công Ty Cổ Phần Đầu Tư Thương Mại Phượng Hoàng</t>
        </is>
      </c>
      <c r="E4922" s="10" t="inlineStr">
        <is>
          <t>40tr-50tr ₫/tháng</t>
        </is>
      </c>
      <c r="F4922" s="10" t="inlineStr">
        <is>
          <t>Hà Nội</t>
        </is>
      </c>
      <c r="G4922" s="10" t="inlineStr">
        <is>
          <t>Nhân viên</t>
        </is>
      </c>
      <c r="H4922" s="10" t="inlineStr">
        <is>
          <t>27/02/2026</t>
        </is>
      </c>
      <c r="I4922" s="10" t="inlineStr">
        <is>
          <t>29/03/2026</t>
        </is>
      </c>
      <c r="J4922" s="10" t="inlineStr">
        <is>
          <t>17/03/2026</t>
        </is>
      </c>
      <c r="K4922" s="10" t="inlineStr">
        <is>
          <t>N/A</t>
        </is>
      </c>
      <c r="L4922" s="10" t="inlineStr">
        <is>
          <t>Phát Triển Cộng Đồng, Quản Lý Dự Án, Quản Trị Nhân Sự, Tư Duy Hệ Thống, Ứng Dụng IOS</t>
        </is>
      </c>
      <c r="M4922" s="10" t="inlineStr">
        <is>
          <t>Bonus, Healthcare Plan, Paid Leave, Training, Laptop, Travel Opportunities, Team Activities, Others</t>
        </is>
      </c>
      <c r="N4922" s="11">
        <f>HYPERLINK("https://www.vietnamworks.com/organization-development-leader-tn-phat-trien-to-chuc-upto-50m-2015535-jv","Xem chi tiết")</f>
        <v/>
      </c>
      <c r="O4922" s="10" t="n"/>
    </row>
    <row r="4923">
      <c r="B4923" s="7" t="n">
        <v>4921</v>
      </c>
      <c r="C4923" t="inlineStr">
        <is>
          <t>[Urgent] Nhân Viên Kho Điều Chế - Nhà Máy Hưng Yên</t>
        </is>
      </c>
      <c r="D4923" t="inlineStr">
        <is>
          <t>TOTO Vietnam Co., Ltd</t>
        </is>
      </c>
      <c r="E4923" t="inlineStr">
        <is>
          <t>Thương lượng</t>
        </is>
      </c>
      <c r="F4923" t="inlineStr">
        <is>
          <t>Hưng Yên, Hà Nội</t>
        </is>
      </c>
      <c r="G4923" t="inlineStr">
        <is>
          <t>Nhân viên</t>
        </is>
      </c>
      <c r="H4923" t="inlineStr">
        <is>
          <t>27/02/2026</t>
        </is>
      </c>
      <c r="I4923" t="inlineStr">
        <is>
          <t>29/03/2026</t>
        </is>
      </c>
      <c r="J4923" t="inlineStr">
        <is>
          <t>17/03/2026</t>
        </is>
      </c>
      <c r="K4923" t="inlineStr">
        <is>
          <t>N/A</t>
        </is>
      </c>
      <c r="L4923" t="inlineStr">
        <is>
          <t>Bảo Hộ Lao Động, Sản Xuất</t>
        </is>
      </c>
      <c r="M4923" t="inlineStr">
        <is>
          <t>Bonus, Paid Leave, Transportation</t>
        </is>
      </c>
      <c r="N4923" s="8">
        <f>HYPERLINK("https://www.vietnamworks.com/urgent-nhan-vien-kho-dieu-che-nha-may-hung-yen--2015523-jv","Xem chi tiết")</f>
        <v/>
      </c>
    </row>
    <row r="4924">
      <c r="B4924" s="9" t="n">
        <v>4922</v>
      </c>
      <c r="C4924" s="10" t="inlineStr">
        <is>
          <t>Nhân Viên Kinh Doanh Logistics (Sales Logistics)</t>
        </is>
      </c>
      <c r="D4924" s="10" t="inlineStr">
        <is>
          <t>CÔNG TY TNHH HAEWOO VINA</t>
        </is>
      </c>
      <c r="E4924" s="10" t="inlineStr">
        <is>
          <t>7tr-20tr ₫/tháng</t>
        </is>
      </c>
      <c r="F4924" s="10" t="inlineStr">
        <is>
          <t>Hà Nội</t>
        </is>
      </c>
      <c r="G4924" s="10" t="inlineStr">
        <is>
          <t>Nhân viên</t>
        </is>
      </c>
      <c r="H4924" s="10" t="inlineStr">
        <is>
          <t>27/02/2026</t>
        </is>
      </c>
      <c r="I4924" s="10" t="inlineStr">
        <is>
          <t>29/03/2026</t>
        </is>
      </c>
      <c r="J4924" s="10" t="inlineStr">
        <is>
          <t>17/03/2026</t>
        </is>
      </c>
      <c r="K4924" s="10" t="inlineStr">
        <is>
          <t>N/A</t>
        </is>
      </c>
      <c r="L4924" s="10" t="inlineStr">
        <is>
          <t>Giao Tiếp, Kinh Doanh, Nhiệt Lạnh, Thuyết Phục, Đàm Phán</t>
        </is>
      </c>
      <c r="M4924" s="10" t="inlineStr">
        <is>
          <t>Healthcare Plan, Others</t>
        </is>
      </c>
      <c r="N4924" s="11">
        <f>HYPERLINK("https://www.vietnamworks.com/nhan-vien-kinh-doanh-logistics-sales-logistics-2015528-jv","Xem chi tiết")</f>
        <v/>
      </c>
      <c r="O4924" s="10" t="n"/>
    </row>
    <row r="4925">
      <c r="B4925" s="7" t="n">
        <v>4923</v>
      </c>
      <c r="C4925" t="inlineStr">
        <is>
          <t>Chuyên Viên Kinh Doanh</t>
        </is>
      </c>
      <c r="D4925" t="inlineStr">
        <is>
          <t>CÔNG TY TNHH DT HOME INVEST</t>
        </is>
      </c>
      <c r="E4925" t="inlineStr">
        <is>
          <t>5.4tr-21tr ₫/tháng</t>
        </is>
      </c>
      <c r="F4925" t="inlineStr">
        <is>
          <t>Hồ Chí Minh, Quảng Bình</t>
        </is>
      </c>
      <c r="G4925" t="inlineStr">
        <is>
          <t>Nhân viên</t>
        </is>
      </c>
      <c r="H4925" t="inlineStr">
        <is>
          <t>27/02/2026</t>
        </is>
      </c>
      <c r="I4925" t="inlineStr">
        <is>
          <t>29/03/2026</t>
        </is>
      </c>
      <c r="J4925" t="inlineStr">
        <is>
          <t>17/03/2026</t>
        </is>
      </c>
      <c r="K4925" t="inlineStr">
        <is>
          <t>N/A</t>
        </is>
      </c>
      <c r="L4925" t="inlineStr">
        <is>
          <t>Bán Hàng, Bất Động Sản, Chăm Sóc Khách Hàng, Chứng Khoán, Tư Vấn Tài Chính</t>
        </is>
      </c>
      <c r="M4925" t="inlineStr">
        <is>
          <t>Bonus, Healthcare Plan, Training, Others</t>
        </is>
      </c>
      <c r="N4925" s="8">
        <f>HYPERLINK("https://www.vietnamworks.com/chuyen-vien-kinh-doanh-2015529-jv","Xem chi tiết")</f>
        <v/>
      </c>
    </row>
    <row r="4926">
      <c r="B4926" s="9" t="n">
        <v>4924</v>
      </c>
      <c r="C4926" s="10" t="inlineStr">
        <is>
          <t>Sales Executive | Nhân Viên Kinh Doanh (Logistics Fowarding)</t>
        </is>
      </c>
      <c r="D4926" s="10" t="inlineStr">
        <is>
          <t>PENTAGON PRIME VIET NAM</t>
        </is>
      </c>
      <c r="E4926" s="10" t="inlineStr">
        <is>
          <t>Thương lượng</t>
        </is>
      </c>
      <c r="F4926" s="10" t="inlineStr">
        <is>
          <t>Hồ Chí Minh</t>
        </is>
      </c>
      <c r="G4926" s="10" t="inlineStr">
        <is>
          <t>Nhân viên</t>
        </is>
      </c>
      <c r="H4926" s="10" t="inlineStr">
        <is>
          <t>27/02/2026</t>
        </is>
      </c>
      <c r="I4926" s="10" t="inlineStr">
        <is>
          <t>29/03/2026</t>
        </is>
      </c>
      <c r="J4926" s="10" t="inlineStr">
        <is>
          <t>17/03/2026</t>
        </is>
      </c>
      <c r="K4926" s="10" t="inlineStr">
        <is>
          <t>N/A</t>
        </is>
      </c>
      <c r="L4926" s="10" t="inlineStr">
        <is>
          <t>Freight Forwarding, Logistics, Sales Logistics, Business Development, Forwarding</t>
        </is>
      </c>
      <c r="M4926" s="10" t="inlineStr">
        <is>
          <t>Bonus, Awards, Travel Opportunities</t>
        </is>
      </c>
      <c r="N4926" s="11">
        <f>HYPERLINK("https://www.vietnamworks.com/sales-executive-nhan-vien-kinh-doanh-logistics-fowarding-2015539-jv","Xem chi tiết")</f>
        <v/>
      </c>
      <c r="O4926" s="10" t="n"/>
    </row>
    <row r="4927">
      <c r="B4927" s="7" t="n">
        <v>4925</v>
      </c>
      <c r="C4927" t="inlineStr">
        <is>
          <t>Kỹ Sư Bán Hàng (Sales Engineer)</t>
        </is>
      </c>
      <c r="D4927" t="inlineStr">
        <is>
          <t>Công Ty TNHH Kỹ Thuật Tự Động An Dương</t>
        </is>
      </c>
      <c r="E4927" t="inlineStr">
        <is>
          <t>Thương lượng</t>
        </is>
      </c>
      <c r="F4927" t="inlineStr">
        <is>
          <t>Hồ Chí Minh</t>
        </is>
      </c>
      <c r="G4927" t="inlineStr">
        <is>
          <t>Mới Tốt Nghiệp</t>
        </is>
      </c>
      <c r="H4927" t="inlineStr">
        <is>
          <t>27/02/2026</t>
        </is>
      </c>
      <c r="I4927" t="inlineStr">
        <is>
          <t>29/03/2026</t>
        </is>
      </c>
      <c r="J4927" t="inlineStr">
        <is>
          <t>17/03/2026</t>
        </is>
      </c>
      <c r="K4927" t="inlineStr">
        <is>
          <t>N/A</t>
        </is>
      </c>
      <c r="L4927" t="inlineStr">
        <is>
          <t>Technical Sales, Sales Engineering, B2B Sales, Electrical Engineering, Solution consulting</t>
        </is>
      </c>
      <c r="M4927" t="inlineStr">
        <is>
          <t>Bonus, Healthcare Plan, Training, Others</t>
        </is>
      </c>
      <c r="N4927" s="8">
        <f>HYPERLINK("https://www.vietnamworks.com/ky-su-ban-hang-sales-engineer-2015530-jv","Xem chi tiết")</f>
        <v/>
      </c>
    </row>
    <row r="4928">
      <c r="B4928" s="9" t="n">
        <v>4926</v>
      </c>
      <c r="C4928" s="10" t="inlineStr">
        <is>
          <t>Nhân Viên Thiết Kế Kĩ Thuật</t>
        </is>
      </c>
      <c r="D4928" s="10" t="inlineStr">
        <is>
          <t>CÔNG TY TNHH CƠ KHÍ CHÍNH XÁC KIM MINH</t>
        </is>
      </c>
      <c r="E4928" s="10" t="inlineStr">
        <is>
          <t>Thương lượng</t>
        </is>
      </c>
      <c r="F4928" s="10" t="inlineStr">
        <is>
          <t>Hà Nội</t>
        </is>
      </c>
      <c r="G4928" s="10" t="inlineStr">
        <is>
          <t>Nhân viên</t>
        </is>
      </c>
      <c r="H4928" s="10" t="inlineStr">
        <is>
          <t>27/02/2026</t>
        </is>
      </c>
      <c r="I4928" s="10" t="inlineStr">
        <is>
          <t>29/03/2026</t>
        </is>
      </c>
      <c r="J4928" s="10" t="inlineStr">
        <is>
          <t>17/03/2026</t>
        </is>
      </c>
      <c r="K4928" s="10" t="inlineStr">
        <is>
          <t>N/A</t>
        </is>
      </c>
      <c r="L4928" s="10" t="inlineStr">
        <is>
          <t>Gia Công Cơ Khí, Kỹ Thuật, Bóc Tách Bản Vẽ Chi Tiết, Kỹ Thuật Cơ Khí, AutoCAD</t>
        </is>
      </c>
      <c r="M4928" s="10" t="inlineStr">
        <is>
          <t>Bonus, Paid Leave, Training</t>
        </is>
      </c>
      <c r="N4928" s="11">
        <f>HYPERLINK("https://www.vietnamworks.com/nhan-vien-thiet-ke-ki-thuat-2015507-jv","Xem chi tiết")</f>
        <v/>
      </c>
      <c r="O4928" s="10" t="n"/>
    </row>
    <row r="4929">
      <c r="B4929" s="7" t="n">
        <v>4927</v>
      </c>
      <c r="C4929" t="inlineStr">
        <is>
          <t>Giám Sát Bảo Trì - Tây Ninh</t>
        </is>
      </c>
      <c r="D4929" t="inlineStr">
        <is>
          <t>Vietnam Intersnack Cashew Co., Ltd</t>
        </is>
      </c>
      <c r="E4929" t="inlineStr">
        <is>
          <t>Thương lượng</t>
        </is>
      </c>
      <c r="F4929" t="inlineStr">
        <is>
          <t>Tây Ninh</t>
        </is>
      </c>
      <c r="G4929" t="inlineStr">
        <is>
          <t>Nhân viên</t>
        </is>
      </c>
      <c r="H4929" t="inlineStr">
        <is>
          <t>27/02/2026</t>
        </is>
      </c>
      <c r="I4929" t="inlineStr">
        <is>
          <t>29/03/2026</t>
        </is>
      </c>
      <c r="J4929" t="inlineStr">
        <is>
          <t>17/03/2026</t>
        </is>
      </c>
      <c r="K4929" t="inlineStr">
        <is>
          <t>N/A</t>
        </is>
      </c>
      <c r="L4929" t="inlineStr">
        <is>
          <t>Giải Quyết Sự Cố, Kỹ năng vi tính</t>
        </is>
      </c>
      <c r="M4929" t="inlineStr">
        <is>
          <t>Healthcare Plan, Paid Leave, Training, Laptop, Transportation, Canteen</t>
        </is>
      </c>
      <c r="N4929" s="8">
        <f>HYPERLINK("https://www.vietnamworks.com/giam-sat-bao-tri-tay-ninh-2015544-jv","Xem chi tiết")</f>
        <v/>
      </c>
    </row>
    <row r="4930">
      <c r="B4930" s="9" t="n">
        <v>4928</v>
      </c>
      <c r="C4930" s="10" t="inlineStr">
        <is>
          <t>Nam Nhân Viên Điều Chế Thí Nghiệm _ Nhà Máy Hưng Yên</t>
        </is>
      </c>
      <c r="D4930" s="10" t="inlineStr">
        <is>
          <t>TOTO Vietnam Co., Ltd</t>
        </is>
      </c>
      <c r="E4930" s="10" t="inlineStr">
        <is>
          <t>Thương lượng</t>
        </is>
      </c>
      <c r="F4930" s="10" t="inlineStr">
        <is>
          <t>Hưng Yên, Hà Nội</t>
        </is>
      </c>
      <c r="G4930" s="10" t="inlineStr">
        <is>
          <t>Nhân viên</t>
        </is>
      </c>
      <c r="H4930" s="10" t="inlineStr">
        <is>
          <t>27/02/2026</t>
        </is>
      </c>
      <c r="I4930" s="10" t="inlineStr">
        <is>
          <t>29/03/2026</t>
        </is>
      </c>
      <c r="J4930" s="10" t="inlineStr">
        <is>
          <t>17/03/2026</t>
        </is>
      </c>
      <c r="K4930" s="10" t="inlineStr">
        <is>
          <t>N/A</t>
        </is>
      </c>
      <c r="L4930" s="10" t="inlineStr">
        <is>
          <t>Hoá Học Vật Liệu, Chemical Silicat, Ceramic Technology, Đánh Giá Chất Lượng, Phát Triển Sản Phẩm</t>
        </is>
      </c>
      <c r="M4930" s="10" t="inlineStr">
        <is>
          <t>Bonus, Healthcare Plan, Training</t>
        </is>
      </c>
      <c r="N4930" s="11">
        <f>HYPERLINK("https://www.vietnamworks.com/nam-nhan-vien-dieu-che-thi-nghiem-nha-may-hung-yen--2015508-jv","Xem chi tiết")</f>
        <v/>
      </c>
      <c r="O4930" s="10" t="n"/>
    </row>
    <row r="4931">
      <c r="B4931" s="7" t="n">
        <v>4929</v>
      </c>
      <c r="C4931" t="inlineStr">
        <is>
          <t>Nhân Viên Kế Toán</t>
        </is>
      </c>
      <c r="D4931" t="inlineStr">
        <is>
          <t>CÔNG TY TNHH XNK MY PLY</t>
        </is>
      </c>
      <c r="E4931" t="inlineStr">
        <is>
          <t>Thương lượng</t>
        </is>
      </c>
      <c r="F4931" t="inlineStr">
        <is>
          <t>Hà Nội</t>
        </is>
      </c>
      <c r="G4931" t="inlineStr">
        <is>
          <t>Nhân viên</t>
        </is>
      </c>
      <c r="H4931" t="inlineStr">
        <is>
          <t>27/02/2026</t>
        </is>
      </c>
      <c r="I4931" t="inlineStr">
        <is>
          <t>29/03/2026</t>
        </is>
      </c>
      <c r="J4931" t="inlineStr">
        <is>
          <t>17/03/2026</t>
        </is>
      </c>
      <c r="K4931" t="inlineStr">
        <is>
          <t>N/A</t>
        </is>
      </c>
      <c r="L4931" t="inlineStr">
        <is>
          <t>Kế Toán, Phần mềm kế toán Misa, Excel, Luật Thuế, Trách nhiệm</t>
        </is>
      </c>
      <c r="M4931" t="inlineStr">
        <is>
          <t>Healthcare Plan, Paid Leave, Others</t>
        </is>
      </c>
      <c r="N4931" s="8">
        <f>HYPERLINK("https://www.vietnamworks.com/nhan-vien-ke-toan-2015540-jv","Xem chi tiết")</f>
        <v/>
      </c>
    </row>
    <row r="4932">
      <c r="B4932" s="9" t="n">
        <v>4930</v>
      </c>
      <c r="C4932" s="10" t="inlineStr">
        <is>
          <t>Trưởng Bộ Phận Phụ Trách Kinh Doanh BĐS Công Nghiệp</t>
        </is>
      </c>
      <c r="D4932" s="10" t="inlineStr">
        <is>
          <t>Tổng Công Ty Đầu Tư FECON</t>
        </is>
      </c>
      <c r="E4932" s="10" t="inlineStr">
        <is>
          <t>Thương lượng</t>
        </is>
      </c>
      <c r="F4932" s="10" t="inlineStr">
        <is>
          <t>Hà Nội</t>
        </is>
      </c>
      <c r="G4932" s="10" t="inlineStr">
        <is>
          <t>Nhân viên</t>
        </is>
      </c>
      <c r="H4932" s="10" t="inlineStr">
        <is>
          <t>27/02/2026</t>
        </is>
      </c>
      <c r="I4932" s="10" t="inlineStr">
        <is>
          <t>29/03/2026</t>
        </is>
      </c>
      <c r="J4932" s="10" t="inlineStr">
        <is>
          <t>17/03/2026</t>
        </is>
      </c>
      <c r="K4932" s="10" t="inlineStr">
        <is>
          <t>N/A</t>
        </is>
      </c>
      <c r="L4932" s="10" t="inlineStr">
        <is>
          <t>Phân Tích Tài Chính, Quản Lý Tài Chính, Tài Chính Doanh Nghiệp, Tài Chính Kinh Tế, Tài Chính Đầu Tư</t>
        </is>
      </c>
      <c r="M4932" s="10" t="inlineStr">
        <is>
          <t>Bonus, Healthcare Plan, Training</t>
        </is>
      </c>
      <c r="N4932" s="11">
        <f>HYPERLINK("https://www.vietnamworks.com/truong-bo-phan-phu-trach-kinh-doanh-bds-cong-nghiep-2015555-jv","Xem chi tiết")</f>
        <v/>
      </c>
      <c r="O4932" s="10" t="n"/>
    </row>
    <row r="4933">
      <c r="B4933" s="7" t="n">
        <v>4931</v>
      </c>
      <c r="C4933" t="inlineStr">
        <is>
          <t>SOC Operation &amp; Development Senior</t>
        </is>
      </c>
      <c r="D4933" t="inlineStr">
        <is>
          <t>Công Ty Cổ Phần Dịch Vụ Công Nghệ Tin Học HPT</t>
        </is>
      </c>
      <c r="E4933" t="inlineStr">
        <is>
          <t>$$ 1,500-2,500 /tháng</t>
        </is>
      </c>
      <c r="F4933" t="inlineStr">
        <is>
          <t>Hồ Chí Minh</t>
        </is>
      </c>
      <c r="G4933" t="inlineStr">
        <is>
          <t>Nhân viên</t>
        </is>
      </c>
      <c r="H4933" t="inlineStr">
        <is>
          <t>27/02/2026</t>
        </is>
      </c>
      <c r="I4933" t="inlineStr">
        <is>
          <t>29/03/2026</t>
        </is>
      </c>
      <c r="J4933" t="inlineStr">
        <is>
          <t>17/03/2026</t>
        </is>
      </c>
      <c r="K4933" t="inlineStr">
        <is>
          <t>N/A</t>
        </is>
      </c>
      <c r="L4933" t="inlineStr">
        <is>
          <t>SIEM tools, Edr Systems, Incident Response, Scripting, Analytical Thinking</t>
        </is>
      </c>
      <c r="M4933" t="inlineStr">
        <is>
          <t>Bonus, Awards, Laptop, Team Activities, Others</t>
        </is>
      </c>
      <c r="N4933" s="8">
        <f>HYPERLINK("https://www.vietnamworks.com/soc-operation-and-development-senior-2015552-jv","Xem chi tiết")</f>
        <v/>
      </c>
    </row>
    <row r="4934">
      <c r="B4934" s="9" t="n">
        <v>4932</v>
      </c>
      <c r="C4934" s="10" t="inlineStr">
        <is>
          <t>Chuyên Viên Quản Trị Tuân Thủ</t>
        </is>
      </c>
      <c r="D4934" s="10" t="inlineStr">
        <is>
          <t>CÔNG TY CỔ PHẦN VINSMART FUTURE</t>
        </is>
      </c>
      <c r="E4934" s="10" t="inlineStr">
        <is>
          <t>Thương lượng</t>
        </is>
      </c>
      <c r="F4934" s="10" t="inlineStr">
        <is>
          <t>Hà Nội</t>
        </is>
      </c>
      <c r="G4934" s="10" t="inlineStr">
        <is>
          <t>Nhân viên</t>
        </is>
      </c>
      <c r="H4934" s="10" t="inlineStr">
        <is>
          <t>27/02/2026</t>
        </is>
      </c>
      <c r="I4934" s="10" t="inlineStr">
        <is>
          <t>29/03/2026</t>
        </is>
      </c>
      <c r="J4934" s="10" t="inlineStr">
        <is>
          <t>17/03/2026</t>
        </is>
      </c>
      <c r="K4934" s="10" t="inlineStr">
        <is>
          <t>N/A</t>
        </is>
      </c>
      <c r="L4934" s="10" t="inlineStr">
        <is>
          <t>Kiểm Soát Tuân Thủ, Quản Trị Hệ Thống CNTT, Mô Phỏng Phân Tích, Kiểm Toán Độc Lập, Pháp Lý Quản Trị Nội Bộ</t>
        </is>
      </c>
      <c r="M4934" s="10" t="inlineStr">
        <is>
          <t>Bonus, Healthcare Plan, Laptop</t>
        </is>
      </c>
      <c r="N4934" s="11">
        <f>HYPERLINK("https://www.vietnamworks.com/chuyen-vien-quan-tri-tuan-thu-2015542-jv","Xem chi tiết")</f>
        <v/>
      </c>
      <c r="O4934" s="10" t="n"/>
    </row>
    <row r="4935">
      <c r="B4935" s="7" t="n">
        <v>4933</v>
      </c>
      <c r="C4935" t="inlineStr">
        <is>
          <t>Trưởng Phòng Nghiên Cứu và Phát Triển (R&amp;D) (Điện Lạnh, Điện, Hvac,...)</t>
        </is>
      </c>
      <c r="D4935" t="inlineStr">
        <is>
          <t>Công ty cổ phần công nghệ mới Hanel PT</t>
        </is>
      </c>
      <c r="E4935" t="inlineStr">
        <is>
          <t>Thương lượng</t>
        </is>
      </c>
      <c r="F4935" t="inlineStr">
        <is>
          <t>Bắc Ninh</t>
        </is>
      </c>
      <c r="G4935" t="inlineStr">
        <is>
          <t>Giám Đốc và Cấp Cao Hơn</t>
        </is>
      </c>
      <c r="H4935" t="inlineStr">
        <is>
          <t>27/02/2026</t>
        </is>
      </c>
      <c r="I4935" t="inlineStr">
        <is>
          <t>29/03/2026</t>
        </is>
      </c>
      <c r="J4935" t="inlineStr">
        <is>
          <t>17/03/2026</t>
        </is>
      </c>
      <c r="K4935" t="inlineStr">
        <is>
          <t>N/A</t>
        </is>
      </c>
      <c r="L4935" t="inlineStr">
        <is>
          <t>Quản Lý Quy Trình, Giám Sát Chất Lượng, Tối Ưu Hóa Thiết Kế, Phát Triển Sản Phẩm, Điện Lạnh</t>
        </is>
      </c>
      <c r="M4935" t="inlineStr">
        <is>
          <t>Bonus, Healthcare Plan, Paid Leave</t>
        </is>
      </c>
      <c r="N4935" s="8">
        <f>HYPERLINK("https://www.vietnamworks.com/truong-phong-nghien-cuu-va-phat-trien-randd-djien-lanh-djien-hvac-2015545-jv","Xem chi tiết")</f>
        <v/>
      </c>
    </row>
    <row r="4936">
      <c r="B4936" s="9" t="n">
        <v>4934</v>
      </c>
      <c r="C4936" s="10" t="inlineStr">
        <is>
          <t>Digital &amp; Content Manager</t>
        </is>
      </c>
      <c r="D4936" s="10" t="inlineStr">
        <is>
          <t>Công ty TNHHH ĐT XNK Hoan TT</t>
        </is>
      </c>
      <c r="E4936" s="10" t="inlineStr">
        <is>
          <t>25tr-35tr ₫/tháng</t>
        </is>
      </c>
      <c r="F4936" s="10" t="inlineStr">
        <is>
          <t>Hà Nội</t>
        </is>
      </c>
      <c r="G4936" s="10" t="inlineStr">
        <is>
          <t>Trưởng phòng</t>
        </is>
      </c>
      <c r="H4936" s="10" t="inlineStr">
        <is>
          <t>27/02/2026</t>
        </is>
      </c>
      <c r="I4936" s="10" t="inlineStr">
        <is>
          <t>29/03/2026</t>
        </is>
      </c>
      <c r="J4936" s="10" t="inlineStr">
        <is>
          <t>17/03/2026</t>
        </is>
      </c>
      <c r="K4936" s="10" t="inlineStr">
        <is>
          <t>N/A</t>
        </is>
      </c>
      <c r="L4936" s="10" t="inlineStr">
        <is>
          <t>Digital Marketing, Data Analysis, Content Strategy, Facebook Ads, FMCG</t>
        </is>
      </c>
      <c r="M4936" s="10" t="inlineStr">
        <is>
          <t>Bonus, Paid Leave, Training, Others</t>
        </is>
      </c>
      <c r="N4936" s="11">
        <f>HYPERLINK("https://www.vietnamworks.com/digital-and-content-manager-2015541-jv","Xem chi tiết")</f>
        <v/>
      </c>
      <c r="O4936" s="10" t="n"/>
    </row>
    <row r="4937">
      <c r="B4937" s="7" t="n">
        <v>4935</v>
      </c>
      <c r="C4937" t="inlineStr">
        <is>
          <t>HR Manager (Quản Lý/Trưởng Phòng/Chủ Quản HCNS)</t>
        </is>
      </c>
      <c r="D4937" t="inlineStr">
        <is>
          <t>Công ty Cổ phần Dịch vụ Cảng Quốc tế Long River</t>
        </is>
      </c>
      <c r="E4937" t="inlineStr">
        <is>
          <t>28tr-35tr ₫/tháng</t>
        </is>
      </c>
      <c r="F4937" t="inlineStr">
        <is>
          <t>Hà Nội, Hà Tĩnh</t>
        </is>
      </c>
      <c r="G4937" t="inlineStr">
        <is>
          <t>Trưởng phòng</t>
        </is>
      </c>
      <c r="H4937" t="inlineStr">
        <is>
          <t>27/02/2026</t>
        </is>
      </c>
      <c r="I4937" t="inlineStr">
        <is>
          <t>29/03/2026</t>
        </is>
      </c>
      <c r="J4937" t="inlineStr">
        <is>
          <t>17/03/2026</t>
        </is>
      </c>
      <c r="K4937" t="inlineStr">
        <is>
          <t>N/A</t>
        </is>
      </c>
      <c r="L4937" t="inlineStr">
        <is>
          <t>Quản Lý Nhân Sự, Tuyển Dụng, Xây dựng KPIs, Phân Tích Da, Giao Tiếp</t>
        </is>
      </c>
      <c r="M4937" t="inlineStr">
        <is>
          <t>Healthcare Plan, Team Activities, Others</t>
        </is>
      </c>
      <c r="N4937" s="8">
        <f>HYPERLINK("https://www.vietnamworks.com/hr-manager-quan-lytruong-phongchu-quan-hcns-2015546-jv","Xem chi tiết")</f>
        <v/>
      </c>
    </row>
    <row r="4938">
      <c r="B4938" s="9" t="n">
        <v>4936</v>
      </c>
      <c r="C4938" s="10" t="inlineStr">
        <is>
          <t>Ecommerce Manager (TP Kinh doanh Online) Thu nhập hâp dẫn</t>
        </is>
      </c>
      <c r="D4938" s="10" t="inlineStr">
        <is>
          <t>Thời Trang Adidas - Công Ty Cổ Phần Đầu Tư Thương Mại Phượng Hoàng</t>
        </is>
      </c>
      <c r="E4938" s="10" t="inlineStr">
        <is>
          <t>70tr-100tr ₫/tháng</t>
        </is>
      </c>
      <c r="F4938" s="10" t="inlineStr">
        <is>
          <t>Hà Nội</t>
        </is>
      </c>
      <c r="G4938" s="10" t="inlineStr">
        <is>
          <t>Trưởng phòng</t>
        </is>
      </c>
      <c r="H4938" s="10" t="inlineStr">
        <is>
          <t>27/02/2026</t>
        </is>
      </c>
      <c r="I4938" s="10" t="inlineStr">
        <is>
          <t>29/03/2026</t>
        </is>
      </c>
      <c r="J4938" s="10" t="inlineStr">
        <is>
          <t>17/03/2026</t>
        </is>
      </c>
      <c r="K4938" s="10" t="inlineStr">
        <is>
          <t>N/A</t>
        </is>
      </c>
      <c r="L4938" s="10" t="inlineStr">
        <is>
          <t>Digital Marketing, Giao Tiếp, Phân Tích Thị Trường, Quản Trị Kinh Doanh, Thương Mại Điện Tử</t>
        </is>
      </c>
      <c r="M4938" s="10" t="inlineStr">
        <is>
          <t>Bonus, Healthcare Plan, Paid Leave, Training, Team Activities, Others</t>
        </is>
      </c>
      <c r="N4938" s="11">
        <f>HYPERLINK("https://www.vietnamworks.com/ecommerce-manager-tp-kinh-doanh-online-thu-nhap-hap-dan-2015553-jv","Xem chi tiết")</f>
        <v/>
      </c>
      <c r="O4938" s="10" t="n"/>
    </row>
    <row r="4939">
      <c r="B4939" s="7" t="n">
        <v>4937</v>
      </c>
      <c r="C4939" t="inlineStr">
        <is>
          <t>Chuyên Viên Giải Phóng Mặt Bằng</t>
        </is>
      </c>
      <c r="D4939" t="inlineStr">
        <is>
          <t>Vingroup</t>
        </is>
      </c>
      <c r="E4939" t="inlineStr">
        <is>
          <t>Thương lượng</t>
        </is>
      </c>
      <c r="F4939" t="inlineStr">
        <is>
          <t>Hà Nội</t>
        </is>
      </c>
      <c r="G4939" t="inlineStr">
        <is>
          <t>Nhân viên</t>
        </is>
      </c>
      <c r="H4939" t="inlineStr">
        <is>
          <t>27/02/2026</t>
        </is>
      </c>
      <c r="I4939" t="inlineStr">
        <is>
          <t>29/03/2026</t>
        </is>
      </c>
      <c r="J4939" t="inlineStr">
        <is>
          <t>17/03/2026</t>
        </is>
      </c>
      <c r="K4939" t="inlineStr">
        <is>
          <t>N/A</t>
        </is>
      </c>
      <c r="L4939" t="inlineStr">
        <is>
          <t>Giải Phóng Mặt Bằng, Quản Lý Đất Đai</t>
        </is>
      </c>
      <c r="M4939" t="inlineStr">
        <is>
          <t>Bonus, Healthcare Plan, Others</t>
        </is>
      </c>
      <c r="N4939" s="8">
        <f>HYPERLINK("https://www.vietnamworks.com/chuyen-vien-giai-phong-mat-bang--2015550-jv","Xem chi tiết")</f>
        <v/>
      </c>
    </row>
    <row r="4940">
      <c r="B4940" s="9" t="n">
        <v>4938</v>
      </c>
      <c r="C4940" s="10" t="inlineStr">
        <is>
          <t>Nhân Viên Mua Hàng</t>
        </is>
      </c>
      <c r="D4940" s="10" t="inlineStr">
        <is>
          <t>Công ty Cổ Phần Đầu Tư và Phân Phối Thế Giới Công Nghệ TWD</t>
        </is>
      </c>
      <c r="E4940" s="10" t="inlineStr">
        <is>
          <t>10tr-15tr ₫/tháng</t>
        </is>
      </c>
      <c r="F4940" s="10" t="inlineStr">
        <is>
          <t>Hà Nội</t>
        </is>
      </c>
      <c r="G4940" s="10" t="inlineStr">
        <is>
          <t>Nhân viên</t>
        </is>
      </c>
      <c r="H4940" s="10" t="inlineStr">
        <is>
          <t>27/02/2026</t>
        </is>
      </c>
      <c r="I4940" s="10" t="inlineStr">
        <is>
          <t>29/03/2026</t>
        </is>
      </c>
      <c r="J4940" s="10" t="inlineStr">
        <is>
          <t>17/03/2026</t>
        </is>
      </c>
      <c r="K4940" s="10" t="inlineStr">
        <is>
          <t>N/A</t>
        </is>
      </c>
      <c r="L4940" s="10" t="inlineStr">
        <is>
          <t>Kinh Tế, Logistics, Ngoại Thương, Theo Dõi Đơn Hàng, Thu Mua</t>
        </is>
      </c>
      <c r="M4940" s="10" t="inlineStr">
        <is>
          <t>Bonus, Others</t>
        </is>
      </c>
      <c r="N4940" s="11">
        <f>HYPERLINK("https://www.vietnamworks.com/nhan-vien-mua-hang-2015554-jv","Xem chi tiết")</f>
        <v/>
      </c>
      <c r="O4940" s="10" t="n"/>
    </row>
    <row r="4941">
      <c r="B4941" s="7" t="n">
        <v>4939</v>
      </c>
      <c r="C4941" t="inlineStr">
        <is>
          <t>Kế Toán Viên (Đi Làm Ngay)</t>
        </is>
      </c>
      <c r="D4941" t="inlineStr">
        <is>
          <t>Công Ty TNHH Một Thành Viên Dịch Vụ Kỹ Thuật Và Thương Mại Ngọc Minh</t>
        </is>
      </c>
      <c r="E4941" t="inlineStr">
        <is>
          <t>Thương lượng</t>
        </is>
      </c>
      <c r="F4941" t="inlineStr">
        <is>
          <t>Hồ Chí Minh</t>
        </is>
      </c>
      <c r="G4941" t="inlineStr">
        <is>
          <t>Nhân viên</t>
        </is>
      </c>
      <c r="H4941" t="inlineStr">
        <is>
          <t>27/02/2026</t>
        </is>
      </c>
      <c r="I4941" t="inlineStr">
        <is>
          <t>29/03/2026</t>
        </is>
      </c>
      <c r="J4941" t="inlineStr">
        <is>
          <t>17/03/2026</t>
        </is>
      </c>
      <c r="K4941" t="inlineStr">
        <is>
          <t>N/A</t>
        </is>
      </c>
      <c r="L4941" t="inlineStr">
        <is>
          <t>Tài Chính, Kế Toán, Finance, Chief Accountant Certificate, Accounting</t>
        </is>
      </c>
      <c r="M4941" t="inlineStr">
        <is>
          <t>Bonus, Healthcare Plan, Travel Opportunities</t>
        </is>
      </c>
      <c r="N4941" s="8">
        <f>HYPERLINK("https://www.vietnamworks.com/ke-toan-vien-di-lam-ngay--2015566-jv","Xem chi tiết")</f>
        <v/>
      </c>
    </row>
    <row r="4942">
      <c r="B4942" s="9" t="n">
        <v>4940</v>
      </c>
      <c r="C4942" s="10" t="inlineStr">
        <is>
          <t>Kỹ Sư Tư Vấn Thiết Kế Hệ Thống CNTT &amp; Điện Nhẹ (ELV Pre-Sales)</t>
        </is>
      </c>
      <c r="D4942" s="10" t="inlineStr">
        <is>
          <t>Công ty Cổ Phần Đầu Tư và Phân Phối Thế Giới Công Nghệ TWD</t>
        </is>
      </c>
      <c r="E4942" s="10" t="inlineStr">
        <is>
          <t>12tr-20tr ₫/tháng</t>
        </is>
      </c>
      <c r="F4942" s="10" t="inlineStr">
        <is>
          <t>Hà Nội, Hồ Chí Minh</t>
        </is>
      </c>
      <c r="G4942" s="10" t="inlineStr">
        <is>
          <t>Nhân viên</t>
        </is>
      </c>
      <c r="H4942" s="10" t="inlineStr">
        <is>
          <t>27/02/2026</t>
        </is>
      </c>
      <c r="I4942" s="10" t="inlineStr">
        <is>
          <t>29/03/2026</t>
        </is>
      </c>
      <c r="J4942" s="10" t="inlineStr">
        <is>
          <t>17/03/2026</t>
        </is>
      </c>
      <c r="K4942" s="10" t="inlineStr">
        <is>
          <t>N/A</t>
        </is>
      </c>
      <c r="L4942" s="10" t="inlineStr">
        <is>
          <t>AutoCAD, Quản Trị Hệ Thống CNTT, Thiết Kế Điện Nhẹ, Tư Vấn Giải Pháp, Tư Vấn Giải Pháp Kỹ Thuật</t>
        </is>
      </c>
      <c r="M4942" s="10" t="inlineStr">
        <is>
          <t>Bonus, Others</t>
        </is>
      </c>
      <c r="N4942" s="11">
        <f>HYPERLINK("https://www.vietnamworks.com/ky-su-tu-van-thiet-ke-he-thong-cntt-and-djien-nhe-elv-pre-sales-2015567-jv","Xem chi tiết")</f>
        <v/>
      </c>
      <c r="O4942" s="10" t="n"/>
    </row>
    <row r="4943">
      <c r="B4943" s="7" t="n">
        <v>4941</v>
      </c>
      <c r="C4943" t="inlineStr">
        <is>
          <t>IT Plant Support</t>
        </is>
      </c>
      <c r="D4943" t="inlineStr">
        <is>
          <t>Công Ty TNHH I.P. One (Việt Nam)</t>
        </is>
      </c>
      <c r="E4943" t="inlineStr">
        <is>
          <t>Thương lượng</t>
        </is>
      </c>
      <c r="F4943" t="inlineStr">
        <is>
          <t>Đồng Nai, Hồ Chí Minh</t>
        </is>
      </c>
      <c r="G4943" t="inlineStr">
        <is>
          <t>Nhân viên</t>
        </is>
      </c>
      <c r="H4943" t="inlineStr">
        <is>
          <t>27/02/2026</t>
        </is>
      </c>
      <c r="I4943" t="inlineStr">
        <is>
          <t>29/03/2026</t>
        </is>
      </c>
      <c r="J4943" t="inlineStr">
        <is>
          <t>17/03/2026</t>
        </is>
      </c>
      <c r="K4943" t="inlineStr">
        <is>
          <t>N/A</t>
        </is>
      </c>
      <c r="L4943" t="inlineStr">
        <is>
          <t>IT Administration, IT Help Desk, IT Operations, IT Support, Technical Helpdesk</t>
        </is>
      </c>
      <c r="M4943" t="inlineStr">
        <is>
          <t>Bonus, Healthcare Plan, Laptop</t>
        </is>
      </c>
      <c r="N4943" s="8">
        <f>HYPERLINK("https://www.vietnamworks.com/it-plant-support-2015557-jv","Xem chi tiết")</f>
        <v/>
      </c>
    </row>
    <row r="4944">
      <c r="B4944" s="9" t="n">
        <v>4942</v>
      </c>
      <c r="C4944" s="10" t="inlineStr">
        <is>
          <t>Nhân Viên IT (ODOO Developer)</t>
        </is>
      </c>
      <c r="D4944" s="10" t="inlineStr">
        <is>
          <t>Công Ty TNHH Kỹ Thuật Tự Động An Dương</t>
        </is>
      </c>
      <c r="E4944" s="10" t="inlineStr">
        <is>
          <t>Thương lượng</t>
        </is>
      </c>
      <c r="F4944" s="10" t="inlineStr">
        <is>
          <t>Hồ Chí Minh</t>
        </is>
      </c>
      <c r="G4944" s="10" t="inlineStr">
        <is>
          <t>Nhân viên</t>
        </is>
      </c>
      <c r="H4944" s="10" t="inlineStr">
        <is>
          <t>27/02/2026</t>
        </is>
      </c>
      <c r="I4944" s="10" t="inlineStr">
        <is>
          <t>29/03/2026</t>
        </is>
      </c>
      <c r="J4944" s="10" t="inlineStr">
        <is>
          <t>17/03/2026</t>
        </is>
      </c>
      <c r="K4944" s="10" t="inlineStr">
        <is>
          <t>N/A</t>
        </is>
      </c>
      <c r="L4944" s="10" t="inlineStr">
        <is>
          <t>Odoo ERP Development, Python, JavaScript, ERP Implementation, Backend Development</t>
        </is>
      </c>
      <c r="M4944" s="10" t="inlineStr">
        <is>
          <t>Bonus, Healthcare Plan, Training, Others</t>
        </is>
      </c>
      <c r="N4944" s="11">
        <f>HYPERLINK("https://www.vietnamworks.com/nhan-vien-it-odoo-developer-2015536-jv","Xem chi tiết")</f>
        <v/>
      </c>
      <c r="O4944" s="10" t="n"/>
    </row>
    <row r="4945">
      <c r="B4945" s="7" t="n">
        <v>4943</v>
      </c>
      <c r="C4945" t="inlineStr">
        <is>
          <t>Nhân Viên Kinh Doanh (销售员)</t>
        </is>
      </c>
      <c r="D4945" t="inlineStr">
        <is>
          <t>CÔNG TY TNHH SINOTECH LOGISTICS</t>
        </is>
      </c>
      <c r="E4945" t="inlineStr">
        <is>
          <t>Thương lượng</t>
        </is>
      </c>
      <c r="F4945" t="inlineStr">
        <is>
          <t>Hà Nội</t>
        </is>
      </c>
      <c r="G4945" t="inlineStr">
        <is>
          <t>Nhân viên</t>
        </is>
      </c>
      <c r="H4945" t="inlineStr">
        <is>
          <t>27/02/2026</t>
        </is>
      </c>
      <c r="I4945" t="inlineStr">
        <is>
          <t>29/03/2026</t>
        </is>
      </c>
      <c r="J4945" t="inlineStr">
        <is>
          <t>17/03/2026</t>
        </is>
      </c>
      <c r="K4945" t="inlineStr">
        <is>
          <t>N/A</t>
        </is>
      </c>
      <c r="L4945" t="inlineStr">
        <is>
          <t>Kinh Doanh Vận Tải, Tiếng Anh, Tiếng Trung, Tin Học Văn Phòng, Tư Vấn</t>
        </is>
      </c>
      <c r="M4945" t="inlineStr">
        <is>
          <t>Others</t>
        </is>
      </c>
      <c r="N4945" s="8">
        <f>HYPERLINK("https://www.vietnamworks.com/nhan-vien-kinh-doanh-2015574-jv","Xem chi tiết")</f>
        <v/>
      </c>
    </row>
    <row r="4946">
      <c r="B4946" s="9" t="n">
        <v>4944</v>
      </c>
      <c r="C4946" s="10" t="inlineStr">
        <is>
          <t>Senior Specialist, Sourcing Operations</t>
        </is>
      </c>
      <c r="D4946" s="10" t="inlineStr">
        <is>
          <t>VF Asia Ltd.</t>
        </is>
      </c>
      <c r="E4946" s="10" t="inlineStr">
        <is>
          <t>Thương lượng</t>
        </is>
      </c>
      <c r="F4946" s="10" t="inlineStr">
        <is>
          <t>Hồ Chí Minh</t>
        </is>
      </c>
      <c r="G4946" s="10" t="inlineStr">
        <is>
          <t>Nhân viên</t>
        </is>
      </c>
      <c r="H4946" s="10" t="inlineStr">
        <is>
          <t>27/02/2026</t>
        </is>
      </c>
      <c r="I4946" s="10" t="inlineStr">
        <is>
          <t>29/03/2026</t>
        </is>
      </c>
      <c r="J4946" s="10" t="inlineStr">
        <is>
          <t>17/03/2026</t>
        </is>
      </c>
      <c r="K4946" s="10" t="inlineStr">
        <is>
          <t>N/A</t>
        </is>
      </c>
      <c r="L4946" s="10" t="inlineStr">
        <is>
          <t>Operations Production, Data Analytics, Manufacture Process, Quản Lý Sản Xuất, Industrial Engineering</t>
        </is>
      </c>
      <c r="M4946" s="10" t="inlineStr">
        <is>
          <t>Bonus</t>
        </is>
      </c>
      <c r="N4946" s="11">
        <f>HYPERLINK("https://www.vietnamworks.com/senior-specialist-sourcing-operations-2015559-jv","Xem chi tiết")</f>
        <v/>
      </c>
      <c r="O4946" s="10" t="n"/>
    </row>
    <row r="4947">
      <c r="B4947" s="7" t="n">
        <v>4945</v>
      </c>
      <c r="C4947" t="inlineStr">
        <is>
          <t>Kế Toán Viên</t>
        </is>
      </c>
      <c r="D4947" t="inlineStr">
        <is>
          <t>Công ty Cổ Phần Đầu Tư và Phân Phối Thế Giới Công Nghệ TWD</t>
        </is>
      </c>
      <c r="E4947" t="inlineStr">
        <is>
          <t>10tr-15tr ₫/tháng</t>
        </is>
      </c>
      <c r="F4947" t="inlineStr">
        <is>
          <t>Hà Nội</t>
        </is>
      </c>
      <c r="G4947" t="inlineStr">
        <is>
          <t>Nhân viên</t>
        </is>
      </c>
      <c r="H4947" t="inlineStr">
        <is>
          <t>27/02/2026</t>
        </is>
      </c>
      <c r="I4947" t="inlineStr">
        <is>
          <t>29/03/2026</t>
        </is>
      </c>
      <c r="J4947" t="inlineStr">
        <is>
          <t>17/03/2026</t>
        </is>
      </c>
      <c r="K4947" t="inlineStr">
        <is>
          <t>N/A</t>
        </is>
      </c>
      <c r="L4947" t="inlineStr">
        <is>
          <t>Kế Toán Kho, Kế Toán Ngân Hàng, Kế Toán Thu Chi, Kế Toán Thuế Công Nợ, Tài Chính Kế Toán</t>
        </is>
      </c>
      <c r="M4947" t="inlineStr">
        <is>
          <t>Bonus, Healthcare Plan, Others</t>
        </is>
      </c>
      <c r="N4947" s="8">
        <f>HYPERLINK("https://www.vietnamworks.com/ke-toan-vien--2015578-jv","Xem chi tiết")</f>
        <v/>
      </c>
    </row>
    <row r="4948">
      <c r="B4948" s="9" t="n">
        <v>4946</v>
      </c>
      <c r="C4948" s="10" t="inlineStr">
        <is>
          <t>Beauty &amp; Wellbeing Brand Manager (Simple)</t>
        </is>
      </c>
      <c r="D4948" s="10" t="inlineStr">
        <is>
          <t>Unilever Vietnam</t>
        </is>
      </c>
      <c r="E4948" s="10" t="inlineStr">
        <is>
          <t>Thương lượng</t>
        </is>
      </c>
      <c r="F4948" s="10" t="inlineStr">
        <is>
          <t>Hồ Chí Minh</t>
        </is>
      </c>
      <c r="G4948" s="10" t="inlineStr">
        <is>
          <t>Nhân viên</t>
        </is>
      </c>
      <c r="H4948" s="10" t="inlineStr">
        <is>
          <t>27/02/2026</t>
        </is>
      </c>
      <c r="I4948" s="10" t="inlineStr">
        <is>
          <t>29/03/2026</t>
        </is>
      </c>
      <c r="J4948" s="10" t="inlineStr">
        <is>
          <t>17/03/2026</t>
        </is>
      </c>
      <c r="K4948" s="10" t="inlineStr">
        <is>
          <t>N/A</t>
        </is>
      </c>
      <c r="L4948" s="10" t="inlineStr">
        <is>
          <t>Brand Marketing, Branding, Content Marketing, Event Marketing Strategy, Social Content Marketing</t>
        </is>
      </c>
      <c r="M4948" s="10" t="inlineStr">
        <is>
          <t>Bonus</t>
        </is>
      </c>
      <c r="N4948" s="11">
        <f>HYPERLINK("https://www.vietnamworks.com/beauty-and-wellbeing-brand-manager-simple-2015577-jv","Xem chi tiết")</f>
        <v/>
      </c>
      <c r="O4948" s="10" t="n"/>
    </row>
    <row r="4949">
      <c r="B4949" s="7" t="n">
        <v>4947</v>
      </c>
      <c r="C4949" t="inlineStr">
        <is>
          <t>Kỹ Thuật Viên Kiến Trúc/ Giám Sát Thi Công</t>
        </is>
      </c>
      <c r="D4949" t="inlineStr">
        <is>
          <t>CÔNG TY TNHH NORANG COMPANY</t>
        </is>
      </c>
      <c r="E4949" t="inlineStr">
        <is>
          <t>Thương lượng</t>
        </is>
      </c>
      <c r="F4949" t="inlineStr">
        <is>
          <t>Hồ Chí Minh</t>
        </is>
      </c>
      <c r="G4949" t="inlineStr">
        <is>
          <t>Nhân viên</t>
        </is>
      </c>
      <c r="H4949" t="inlineStr">
        <is>
          <t>27/02/2026</t>
        </is>
      </c>
      <c r="I4949" t="inlineStr">
        <is>
          <t>29/03/2026</t>
        </is>
      </c>
      <c r="J4949" t="inlineStr">
        <is>
          <t>17/03/2026</t>
        </is>
      </c>
      <c r="K4949" t="inlineStr">
        <is>
          <t>N/A</t>
        </is>
      </c>
      <c r="L4949" t="inlineStr">
        <is>
          <t>AutoCAD, Bóc Tách Khối Lượng, Giám Sát Thi Công, Thiết Kế Thi Công, Vật liệu xây dựng</t>
        </is>
      </c>
      <c r="M4949" t="inlineStr">
        <is>
          <t>Healthcare Plan, Others</t>
        </is>
      </c>
      <c r="N4949" s="8">
        <f>HYPERLINK("https://www.vietnamworks.com/ky-thuat-vien-kien-truc-giam-sat-thi-cong-2015551-jv","Xem chi tiết")</f>
        <v/>
      </c>
    </row>
    <row r="4950">
      <c r="B4950" s="9" t="n">
        <v>4948</v>
      </c>
      <c r="C4950" s="10" t="inlineStr">
        <is>
          <t>Nhân Viên Kinh Doanh (销售员)</t>
        </is>
      </c>
      <c r="D4950" s="10" t="inlineStr">
        <is>
          <t>CÔNG TY TNHH SINOTECH LOGISTICS</t>
        </is>
      </c>
      <c r="E4950" s="10" t="inlineStr">
        <is>
          <t>Thương lượng</t>
        </is>
      </c>
      <c r="F4950" s="10" t="inlineStr">
        <is>
          <t>Hồ Chí Minh</t>
        </is>
      </c>
      <c r="G4950" s="10" t="inlineStr">
        <is>
          <t>Nhân viên</t>
        </is>
      </c>
      <c r="H4950" s="10" t="inlineStr">
        <is>
          <t>27/02/2026</t>
        </is>
      </c>
      <c r="I4950" s="10" t="inlineStr">
        <is>
          <t>29/03/2026</t>
        </is>
      </c>
      <c r="J4950" s="10" t="inlineStr">
        <is>
          <t>17/03/2026</t>
        </is>
      </c>
      <c r="K4950" s="10" t="inlineStr">
        <is>
          <t>N/A</t>
        </is>
      </c>
      <c r="L4950" s="10" t="inlineStr">
        <is>
          <t>Kinh Doanh Vận Tải, Tiếng Anh, Tiếng Trung, Tin Học Văn Phòng, Tư Vấn</t>
        </is>
      </c>
      <c r="M4950" s="10" t="inlineStr">
        <is>
          <t>Others</t>
        </is>
      </c>
      <c r="N4950" s="11">
        <f>HYPERLINK("https://www.vietnamworks.com/nhan-vien-kinh-doanh-2015573-jv","Xem chi tiết")</f>
        <v/>
      </c>
      <c r="O4950" s="10" t="n"/>
    </row>
    <row r="4951">
      <c r="B4951" s="7" t="n">
        <v>4949</v>
      </c>
      <c r="C4951" t="inlineStr">
        <is>
          <t>Chuyên Viên Cao Cấp Nguồn Vốn Và Đầu Tư</t>
        </is>
      </c>
      <c r="D4951" t="inlineStr">
        <is>
          <t>Công ty Cổ phần Chứng khoán An Bình</t>
        </is>
      </c>
      <c r="E4951" t="inlineStr">
        <is>
          <t>Thương lượng</t>
        </is>
      </c>
      <c r="F4951" t="inlineStr">
        <is>
          <t>Hà Nội</t>
        </is>
      </c>
      <c r="G4951" t="inlineStr">
        <is>
          <t>Nhân viên</t>
        </is>
      </c>
      <c r="H4951" t="inlineStr">
        <is>
          <t>27/02/2026</t>
        </is>
      </c>
      <c r="I4951" t="inlineStr">
        <is>
          <t>29/03/2026</t>
        </is>
      </c>
      <c r="J4951" t="inlineStr">
        <is>
          <t>17/03/2026</t>
        </is>
      </c>
      <c r="K4951" t="inlineStr">
        <is>
          <t>N/A</t>
        </is>
      </c>
      <c r="L4951" t="inlineStr">
        <is>
          <t>Tài Chính, ngân hàng, Kinh Tế, Money Market, Quản Lý</t>
        </is>
      </c>
      <c r="M4951" t="inlineStr">
        <is>
          <t>Bonus, Healthcare Plan, Paid Leave, Training, Others</t>
        </is>
      </c>
      <c r="N4951" s="8">
        <f>HYPERLINK("https://www.vietnamworks.com/chuyen-vien-cao-cap-nguon-von-va-djau-tu-2015575-jv","Xem chi tiết")</f>
        <v/>
      </c>
    </row>
    <row r="4952">
      <c r="B4952" s="9" t="n">
        <v>4950</v>
      </c>
      <c r="C4952" s="10" t="inlineStr">
        <is>
          <t>[Urgent] Store Manager Trainee</t>
        </is>
      </c>
      <c r="D4952" s="10" t="inlineStr">
        <is>
          <t>Công Ty TNHH HLA Garment (Việt Nam)</t>
        </is>
      </c>
      <c r="E4952" s="10" t="inlineStr">
        <is>
          <t>11tr-12tr ₫/tháng</t>
        </is>
      </c>
      <c r="F4952" s="10" t="inlineStr">
        <is>
          <t>Hà Nội, Hồ Chí Minh</t>
        </is>
      </c>
      <c r="G4952" s="10" t="inlineStr">
        <is>
          <t>Mới Tốt Nghiệp</t>
        </is>
      </c>
      <c r="H4952" s="10" t="inlineStr">
        <is>
          <t>27/02/2026</t>
        </is>
      </c>
      <c r="I4952" s="10" t="inlineStr">
        <is>
          <t>29/03/2026</t>
        </is>
      </c>
      <c r="J4952" s="10" t="inlineStr">
        <is>
          <t>17/03/2026</t>
        </is>
      </c>
      <c r="K4952" s="10" t="inlineStr">
        <is>
          <t>N/A</t>
        </is>
      </c>
      <c r="L4952" s="10" t="inlineStr">
        <is>
          <t>Customer Support, English, Fashion Retail, Retail Store Operations, Training</t>
        </is>
      </c>
      <c r="M4952" s="10" t="inlineStr">
        <is>
          <t>Bonus, Healthcare Plan, Paid Leave, Others</t>
        </is>
      </c>
      <c r="N4952" s="11">
        <f>HYPERLINK("https://www.vietnamworks.com/urgent-store-manager-trainee-2015561-jv","Xem chi tiết")</f>
        <v/>
      </c>
      <c r="O4952" s="10" t="n"/>
    </row>
    <row r="4953">
      <c r="B4953" s="7" t="n">
        <v>4951</v>
      </c>
      <c r="C4953" t="inlineStr">
        <is>
          <t>Designer</t>
        </is>
      </c>
      <c r="D4953" t="inlineStr">
        <is>
          <t>CÔNG TY TNHH NORANG COMPANY</t>
        </is>
      </c>
      <c r="E4953" t="inlineStr">
        <is>
          <t>Thương lượng</t>
        </is>
      </c>
      <c r="F4953" t="inlineStr">
        <is>
          <t>Hồ Chí Minh</t>
        </is>
      </c>
      <c r="G4953" t="inlineStr">
        <is>
          <t>Nhân viên</t>
        </is>
      </c>
      <c r="H4953" t="inlineStr">
        <is>
          <t>27/02/2026</t>
        </is>
      </c>
      <c r="I4953" t="inlineStr">
        <is>
          <t>29/03/2026</t>
        </is>
      </c>
      <c r="J4953" t="inlineStr">
        <is>
          <t>17/03/2026</t>
        </is>
      </c>
      <c r="K4953" t="inlineStr">
        <is>
          <t>N/A</t>
        </is>
      </c>
      <c r="L4953" t="inlineStr">
        <is>
          <t>Illustrator, Indesign, Photoshop, Thiết Kế Đồ Họa, Tư Duy Thẩm Mỹ</t>
        </is>
      </c>
      <c r="M4953" t="inlineStr">
        <is>
          <t>Healthcare Plan, Others</t>
        </is>
      </c>
      <c r="N4953" s="8">
        <f>HYPERLINK("https://www.vietnamworks.com/designer-2015564-jv","Xem chi tiết")</f>
        <v/>
      </c>
    </row>
    <row r="4954">
      <c r="B4954" s="9" t="n">
        <v>4952</v>
      </c>
      <c r="C4954" s="10" t="inlineStr">
        <is>
          <t>Chuyên Viên Quan Hệ Khách Hàng - [BAC A BANK -Kv Hà Nội/ Đông Anh/ Gia Lâm/ Hoài Đức/ Thanh Trì/ Chúc Sơn/ Sơn Tây/ Hòa Lạc/ Thạch Thất/ An Khánh]</t>
        </is>
      </c>
      <c r="D4954" s="10" t="inlineStr">
        <is>
          <t>Bắc Á Bank - Https://tuyendung.baca-Bank.vn/</t>
        </is>
      </c>
      <c r="E4954" s="10" t="inlineStr">
        <is>
          <t>Thương lượng</t>
        </is>
      </c>
      <c r="F4954" s="10" t="inlineStr">
        <is>
          <t>Hà Nội</t>
        </is>
      </c>
      <c r="G4954" s="10" t="inlineStr">
        <is>
          <t>Mới Tốt Nghiệp</t>
        </is>
      </c>
      <c r="H4954" s="10" t="inlineStr">
        <is>
          <t>27/02/2026</t>
        </is>
      </c>
      <c r="I4954" s="10" t="inlineStr">
        <is>
          <t>29/03/2026</t>
        </is>
      </c>
      <c r="J4954" s="10" t="inlineStr">
        <is>
          <t>17/03/2026</t>
        </is>
      </c>
      <c r="K4954" s="10" t="inlineStr">
        <is>
          <t>N/A</t>
        </is>
      </c>
      <c r="L4954" s="10" t="inlineStr">
        <is>
          <t>Giao Tiếp, Làm Việc Nhóm, Duy Trì Mối Quan Hệ, Am Hiểu Pháp Luật</t>
        </is>
      </c>
      <c r="M4954" s="10" t="inlineStr">
        <is>
          <t>Bonus, Healthcare Plan, Training, Others</t>
        </is>
      </c>
      <c r="N4954" s="11">
        <f>HYPERLINK("https://www.vietnamworks.com/chuyen-vien-quan-he-khach-hang-bac-a-bank-kv-ha-noi-djong-anh-gia-lam-hoai-djuc-thanh-tri-chuc-son-son-tay-hoa-lac-thach-that-an-khanh-2015560-jv","Xem chi tiết")</f>
        <v/>
      </c>
      <c r="O4954" s="10" t="n"/>
    </row>
    <row r="4955">
      <c r="B4955" s="7" t="n">
        <v>4953</v>
      </c>
      <c r="C4955" t="inlineStr">
        <is>
          <t>Chuyên Viên Đào Tạo - Lĩnh Vực Bất Động Sản - Đi Làm Ngay</t>
        </is>
      </c>
      <c r="D4955" t="inlineStr">
        <is>
          <t>CÔNG TY TNHH TƯ VẤN ĐẦU TƯ ĐỊA ỐC NHÀ ĐẠI PHÁT</t>
        </is>
      </c>
      <c r="E4955" t="inlineStr">
        <is>
          <t>12tr-20tr ₫/tháng</t>
        </is>
      </c>
      <c r="F4955" t="inlineStr">
        <is>
          <t>Hồ Chí Minh</t>
        </is>
      </c>
      <c r="G4955" t="inlineStr">
        <is>
          <t>Nhân viên</t>
        </is>
      </c>
      <c r="H4955" t="inlineStr">
        <is>
          <t>27/02/2026</t>
        </is>
      </c>
      <c r="I4955" t="inlineStr">
        <is>
          <t>29/03/2026</t>
        </is>
      </c>
      <c r="J4955" t="inlineStr">
        <is>
          <t>17/03/2026</t>
        </is>
      </c>
      <c r="K4955" t="inlineStr">
        <is>
          <t>N/A</t>
        </is>
      </c>
      <c r="L4955" t="inlineStr">
        <is>
          <t>Bất Động Sản, Đào Tạo, Training, HR Training, Đào Tạo Nhân Sự</t>
        </is>
      </c>
      <c r="M4955" t="inlineStr">
        <is>
          <t>Bonus, Healthcare Plan, Paid Leave, Training, Travel Opportunities, Team Activities</t>
        </is>
      </c>
      <c r="N4955" s="8">
        <f>HYPERLINK("https://www.vietnamworks.com/chuyen-vien-dao-tao-linh-vuc-bat-dong-san-di-lam-ngay-2015563-jv","Xem chi tiết")</f>
        <v/>
      </c>
    </row>
    <row r="4956">
      <c r="B4956" s="9" t="n">
        <v>4954</v>
      </c>
      <c r="C4956" s="10" t="inlineStr">
        <is>
          <t>Phó Giám Đốc PGD Phụ Trách Kinh Doanh - [BAC A BANK KV Hà Nội]</t>
        </is>
      </c>
      <c r="D4956" s="10" t="inlineStr">
        <is>
          <t>Bắc Á Bank - Https://tuyendung.baca-Bank.vn/</t>
        </is>
      </c>
      <c r="E4956" s="10" t="inlineStr">
        <is>
          <t>Thương lượng</t>
        </is>
      </c>
      <c r="F4956" s="10" t="inlineStr">
        <is>
          <t>Hà Nội</t>
        </is>
      </c>
      <c r="G4956" s="10" t="inlineStr">
        <is>
          <t>Trưởng phòng</t>
        </is>
      </c>
      <c r="H4956" s="10" t="inlineStr">
        <is>
          <t>27/02/2026</t>
        </is>
      </c>
      <c r="I4956" s="10" t="inlineStr">
        <is>
          <t>29/03/2026</t>
        </is>
      </c>
      <c r="J4956" s="10" t="inlineStr">
        <is>
          <t>17/03/2026</t>
        </is>
      </c>
      <c r="K4956" s="10" t="inlineStr">
        <is>
          <t>N/A</t>
        </is>
      </c>
      <c r="L4956" s="10" t="inlineStr">
        <is>
          <t>Quản Trị Đội Ngũ, Giải Trình Ngân Hàng, Kỹ năng lập kế hoạch, Thẩm Định Tín Dụng</t>
        </is>
      </c>
      <c r="M4956" s="10" t="inlineStr">
        <is>
          <t>Bonus, Healthcare Plan, Training, Others</t>
        </is>
      </c>
      <c r="N4956" s="11">
        <f>HYPERLINK("https://www.vietnamworks.com/pho-giam-djoc-pgd-phu-trach-kinh-doanh-bac-a-bank-kv-ha-noi-2015568-jv","Xem chi tiết")</f>
        <v/>
      </c>
      <c r="O4956" s="10" t="n"/>
    </row>
    <row r="4957">
      <c r="B4957" s="7" t="n">
        <v>4955</v>
      </c>
      <c r="C4957" t="inlineStr">
        <is>
          <t>Kế Toán Công Nợ Bán Hàng</t>
        </is>
      </c>
      <c r="D4957" t="inlineStr">
        <is>
          <t>CÔNG TY TNHH NORANG COMPANY</t>
        </is>
      </c>
      <c r="E4957" t="inlineStr">
        <is>
          <t>Tới 15tr ₫/tháng</t>
        </is>
      </c>
      <c r="F4957" t="inlineStr">
        <is>
          <t>Hồ Chí Minh</t>
        </is>
      </c>
      <c r="G4957" t="inlineStr">
        <is>
          <t>Nhân viên</t>
        </is>
      </c>
      <c r="H4957" t="inlineStr">
        <is>
          <t>27/02/2026</t>
        </is>
      </c>
      <c r="I4957" t="inlineStr">
        <is>
          <t>29/03/2026</t>
        </is>
      </c>
      <c r="J4957" t="inlineStr">
        <is>
          <t>17/03/2026</t>
        </is>
      </c>
      <c r="K4957" t="inlineStr">
        <is>
          <t>N/A</t>
        </is>
      </c>
      <c r="L4957" t="inlineStr">
        <is>
          <t>Excel, Kế Toán Công Nợ, Nghiệp Vụ Kế Toán, Phần mềm kế toán</t>
        </is>
      </c>
      <c r="M4957" t="inlineStr">
        <is>
          <t>Healthcare Plan, Others</t>
        </is>
      </c>
      <c r="N4957" s="8">
        <f>HYPERLINK("https://www.vietnamworks.com/ke-toan-cong-no-ban-hang-2015565-jv","Xem chi tiết")</f>
        <v/>
      </c>
    </row>
    <row r="4958">
      <c r="B4958" s="9" t="n">
        <v>4956</v>
      </c>
      <c r="C4958" s="10" t="inlineStr">
        <is>
          <t>[Tuyển Gấp] Nhân Viên Kinh Doanh (Lương 8 - 15 Triệu + Thưởng Doanh Thu)</t>
        </is>
      </c>
      <c r="D4958" s="10" t="inlineStr">
        <is>
          <t>Công Ty Cổ Phần Gamma</t>
        </is>
      </c>
      <c r="E4958" s="10" t="inlineStr">
        <is>
          <t>8tr-15tr ₫/tháng</t>
        </is>
      </c>
      <c r="F4958" s="10" t="inlineStr">
        <is>
          <t>Hà Nội, Hồ Chí Minh</t>
        </is>
      </c>
      <c r="G4958" s="10" t="inlineStr">
        <is>
          <t>Nhân viên</t>
        </is>
      </c>
      <c r="H4958" s="10" t="inlineStr">
        <is>
          <t>27/02/2026</t>
        </is>
      </c>
      <c r="I4958" s="10" t="inlineStr">
        <is>
          <t>29/03/2026</t>
        </is>
      </c>
      <c r="J4958" s="10" t="inlineStr">
        <is>
          <t>17/03/2026</t>
        </is>
      </c>
      <c r="K4958" s="10" t="inlineStr">
        <is>
          <t>N/A</t>
        </is>
      </c>
      <c r="L4958" s="10" t="inlineStr">
        <is>
          <t>Kỹ Thuật Điện, Phát Triển Kinh Doanh, Tìm Kiếm Khách Hàng, Tư Vấn Giải Pháp, Đàm Phán Hợp Đồng</t>
        </is>
      </c>
      <c r="M4958" s="10" t="inlineStr">
        <is>
          <t>Bonus, Healthcare Plan, Training, Others</t>
        </is>
      </c>
      <c r="N4958" s="11">
        <f>HYPERLINK("https://www.vietnamworks.com/tuyen-gap-nhan-vien-kinh-doanh-luong-8-15-trieu-thuong-doanh-thu-2015569-jv","Xem chi tiết")</f>
        <v/>
      </c>
      <c r="O4958" s="10" t="n"/>
    </row>
    <row r="4959">
      <c r="B4959" s="7" t="n">
        <v>4957</v>
      </c>
      <c r="C4959" t="inlineStr">
        <is>
          <t>Customer Strategy &amp; Planning Assistant Manager - Professional Channel</t>
        </is>
      </c>
      <c r="D4959" t="inlineStr">
        <is>
          <t>Unilever Vietnam</t>
        </is>
      </c>
      <c r="E4959" t="inlineStr">
        <is>
          <t>Thương lượng</t>
        </is>
      </c>
      <c r="F4959" t="inlineStr">
        <is>
          <t>Hồ Chí Minh</t>
        </is>
      </c>
      <c r="G4959" t="inlineStr">
        <is>
          <t>Nhân viên</t>
        </is>
      </c>
      <c r="H4959" t="inlineStr">
        <is>
          <t>27/02/2026</t>
        </is>
      </c>
      <c r="I4959" t="inlineStr">
        <is>
          <t>29/03/2026</t>
        </is>
      </c>
      <c r="J4959" t="inlineStr">
        <is>
          <t>17/03/2026</t>
        </is>
      </c>
      <c r="K4959" t="inlineStr">
        <is>
          <t>N/A</t>
        </is>
      </c>
      <c r="L4959" t="inlineStr">
        <is>
          <t>Marketing, Trade Marketing, Trade Budget Management, Trade Management, Analytics</t>
        </is>
      </c>
      <c r="M4959" t="inlineStr">
        <is>
          <t>Bonus, Healthcare Plan, Others</t>
        </is>
      </c>
      <c r="N4959" s="8">
        <f>HYPERLINK("https://www.vietnamworks.com/customer-strategy-planning-assistant-manager-professional-channel--2015572-jv","Xem chi tiết")</f>
        <v/>
      </c>
    </row>
    <row r="4960">
      <c r="B4960" s="9" t="n">
        <v>4958</v>
      </c>
      <c r="C4960" s="10" t="inlineStr">
        <is>
          <t xml:space="preserve">Nhân viên Chăm Sóc Khách Hàng </t>
        </is>
      </c>
      <c r="D4960" s="10" t="inlineStr">
        <is>
          <t>CÔNG TY TNHH SINOTECH LOGISTICS</t>
        </is>
      </c>
      <c r="E4960" s="10" t="inlineStr">
        <is>
          <t>Thương lượng</t>
        </is>
      </c>
      <c r="F4960" s="10" t="inlineStr">
        <is>
          <t>Hà Nội, Hồ Chí Minh</t>
        </is>
      </c>
      <c r="G4960" s="10" t="inlineStr">
        <is>
          <t>Nhân viên</t>
        </is>
      </c>
      <c r="H4960" s="10" t="inlineStr">
        <is>
          <t>27/02/2026</t>
        </is>
      </c>
      <c r="I4960" s="10" t="inlineStr">
        <is>
          <t>29/03/2026</t>
        </is>
      </c>
      <c r="J4960" s="10" t="inlineStr">
        <is>
          <t>17/03/2026</t>
        </is>
      </c>
      <c r="K4960" s="10" t="inlineStr">
        <is>
          <t>N/A</t>
        </is>
      </c>
      <c r="L4960" s="10" t="inlineStr">
        <is>
          <t>Tiếng Anh, Chăm Sóc Khách Hàng, Customer Care, Customer Support, Tiếng Trung HSK4</t>
        </is>
      </c>
      <c r="M4960" s="10" t="inlineStr">
        <is>
          <t>Others</t>
        </is>
      </c>
      <c r="N4960" s="11">
        <f>HYPERLINK("https://www.vietnamworks.com/nhan-vien-cham-soc-khach-hang-2015579-jv","Xem chi tiết")</f>
        <v/>
      </c>
      <c r="O4960" s="10" t="n"/>
    </row>
    <row r="4961">
      <c r="B4961" s="7" t="n">
        <v>4959</v>
      </c>
      <c r="C4961" t="inlineStr">
        <is>
          <t>Phó Giám Đốc PGD Phụ Trách Vận Hành - [BAC A BANK KV Hà Nội, Hòa Lạc]</t>
        </is>
      </c>
      <c r="D4961" t="inlineStr">
        <is>
          <t>Bắc Á Bank - Https://tuyendung.baca-Bank.vn/</t>
        </is>
      </c>
      <c r="E4961" t="inlineStr">
        <is>
          <t>Thương lượng</t>
        </is>
      </c>
      <c r="F4961" t="inlineStr">
        <is>
          <t>Hà Nội</t>
        </is>
      </c>
      <c r="G4961" t="inlineStr">
        <is>
          <t>Giám Đốc và Cấp Cao Hơn</t>
        </is>
      </c>
      <c r="H4961" t="inlineStr">
        <is>
          <t>27/02/2026</t>
        </is>
      </c>
      <c r="I4961" t="inlineStr">
        <is>
          <t>29/03/2026</t>
        </is>
      </c>
      <c r="J4961" t="inlineStr">
        <is>
          <t>17/03/2026</t>
        </is>
      </c>
      <c r="K4961" t="inlineStr">
        <is>
          <t>N/A</t>
        </is>
      </c>
      <c r="L4961" t="inlineStr">
        <is>
          <t>Quản Lý, Đào Tạo, Giao Tiếp, Kinh Tế, Bán Hàng</t>
        </is>
      </c>
      <c r="M4961" t="inlineStr">
        <is>
          <t>Bonus, Healthcare Plan, Training, Others</t>
        </is>
      </c>
      <c r="N4961" s="8">
        <f>HYPERLINK("https://www.vietnamworks.com/pho-giam-djoc-pgd-phu-trach-van-hanh-bac-a-bank-kv-ha-noi-hoa-lac-2015580-jv","Xem chi tiết")</f>
        <v/>
      </c>
    </row>
    <row r="4962">
      <c r="B4962" s="9" t="n">
        <v>4960</v>
      </c>
      <c r="C4962" s="10" t="inlineStr">
        <is>
          <t>Architects | Kiến Trúc Sư</t>
        </is>
      </c>
      <c r="D4962" s="10" t="inlineStr">
        <is>
          <t>Steelman Partners Vietnam</t>
        </is>
      </c>
      <c r="E4962" s="10" t="inlineStr">
        <is>
          <t>Thương lượng</t>
        </is>
      </c>
      <c r="F4962" s="10" t="inlineStr">
        <is>
          <t>Hồ Chí Minh</t>
        </is>
      </c>
      <c r="G4962" s="10" t="inlineStr">
        <is>
          <t>Nhân viên</t>
        </is>
      </c>
      <c r="H4962" s="10" t="inlineStr">
        <is>
          <t>27/02/2026</t>
        </is>
      </c>
      <c r="I4962" s="10" t="inlineStr">
        <is>
          <t>29/03/2026</t>
        </is>
      </c>
      <c r="J4962" s="10" t="inlineStr">
        <is>
          <t>17/03/2026</t>
        </is>
      </c>
      <c r="K4962" s="10" t="inlineStr">
        <is>
          <t>N/A</t>
        </is>
      </c>
      <c r="L4962" s="10" t="inlineStr">
        <is>
          <t>Thiết Kế Kiến Trúc, Revit, Kiến Trúc Sư, architech, Kiến Trúc Quy Hoạch</t>
        </is>
      </c>
      <c r="M4962" s="10" t="inlineStr">
        <is>
          <t>Bonus, Healthcare Plan, Paid Leave</t>
        </is>
      </c>
      <c r="N4962" s="11">
        <f>HYPERLINK("https://www.vietnamworks.com/architects-kien-truc-su--2015586-jv","Xem chi tiết")</f>
        <v/>
      </c>
      <c r="O4962" s="10" t="n"/>
    </row>
    <row r="4963">
      <c r="B4963" s="7" t="n">
        <v>4961</v>
      </c>
      <c r="C4963" t="inlineStr">
        <is>
          <t>Assistant Project Manager</t>
        </is>
      </c>
      <c r="D4963" t="inlineStr">
        <is>
          <t>CapitaLand Development (Vietnam)</t>
        </is>
      </c>
      <c r="E4963" t="inlineStr">
        <is>
          <t>Thương lượng</t>
        </is>
      </c>
      <c r="F4963" t="inlineStr">
        <is>
          <t>Hải Phòng</t>
        </is>
      </c>
      <c r="G4963" t="inlineStr">
        <is>
          <t>Nhân viên</t>
        </is>
      </c>
      <c r="H4963" t="inlineStr">
        <is>
          <t>27/02/2026</t>
        </is>
      </c>
      <c r="I4963" t="inlineStr">
        <is>
          <t>29/03/2026</t>
        </is>
      </c>
      <c r="J4963" t="inlineStr">
        <is>
          <t>17/03/2026</t>
        </is>
      </c>
      <c r="K4963" t="inlineStr">
        <is>
          <t>N/A</t>
        </is>
      </c>
      <c r="L4963" t="inlineStr">
        <is>
          <t>Project Management, Construction Project, Site Management, Quản Lý Dự Án</t>
        </is>
      </c>
      <c r="M4963" t="inlineStr">
        <is>
          <t>Bonus</t>
        </is>
      </c>
      <c r="N4963" s="8">
        <f>HYPERLINK("https://www.vietnamworks.com/assistant-project-manager-21--2015582-jv","Xem chi tiết")</f>
        <v/>
      </c>
    </row>
    <row r="4964">
      <c r="B4964" s="9" t="n">
        <v>4962</v>
      </c>
      <c r="C4964" s="10" t="inlineStr">
        <is>
          <t>Senior Cost Accountant</t>
        </is>
      </c>
      <c r="D4964" s="10" t="inlineStr">
        <is>
          <t>Avery Dennison Vietnam</t>
        </is>
      </c>
      <c r="E4964" s="10" t="inlineStr">
        <is>
          <t>Thương lượng</t>
        </is>
      </c>
      <c r="F4964" s="10" t="inlineStr">
        <is>
          <t>Long An, Hồ Chí Minh</t>
        </is>
      </c>
      <c r="G4964" s="10" t="inlineStr">
        <is>
          <t>Nhân viên</t>
        </is>
      </c>
      <c r="H4964" s="10" t="inlineStr">
        <is>
          <t>27/02/2026</t>
        </is>
      </c>
      <c r="I4964" s="10" t="inlineStr">
        <is>
          <t>29/03/2026</t>
        </is>
      </c>
      <c r="J4964" s="10" t="inlineStr">
        <is>
          <t>17/03/2026</t>
        </is>
      </c>
      <c r="K4964" s="10" t="inlineStr">
        <is>
          <t>N/A</t>
        </is>
      </c>
      <c r="L4964" s="10" t="inlineStr">
        <is>
          <t>Cost Control, Cost Management, Costing, Accounting, Auditing</t>
        </is>
      </c>
      <c r="M4964" s="10" t="inlineStr">
        <is>
          <t>Bonus, Healthcare Plan, Paid Leave</t>
        </is>
      </c>
      <c r="N4964" s="11">
        <f>HYPERLINK("https://www.vietnamworks.com/senior-cost-accountant--2015591-jv","Xem chi tiết")</f>
        <v/>
      </c>
      <c r="O4964" s="10" t="n"/>
    </row>
    <row r="4965">
      <c r="B4965" s="7" t="n">
        <v>4963</v>
      </c>
      <c r="C4965" t="inlineStr">
        <is>
          <t>Project Admin (Female)</t>
        </is>
      </c>
      <c r="D4965" t="inlineStr">
        <is>
          <t>Korn Design</t>
        </is>
      </c>
      <c r="E4965" t="inlineStr">
        <is>
          <t>Thương lượng</t>
        </is>
      </c>
      <c r="F4965" t="inlineStr">
        <is>
          <t>Hồ Chí Minh</t>
        </is>
      </c>
      <c r="G4965" t="inlineStr">
        <is>
          <t>Nhân viên</t>
        </is>
      </c>
      <c r="H4965" t="inlineStr">
        <is>
          <t>27/02/2026</t>
        </is>
      </c>
      <c r="I4965" t="inlineStr">
        <is>
          <t>29/03/2026</t>
        </is>
      </c>
      <c r="J4965" t="inlineStr">
        <is>
          <t>17/03/2026</t>
        </is>
      </c>
      <c r="K4965" t="inlineStr">
        <is>
          <t>N/A</t>
        </is>
      </c>
      <c r="L4965" t="inlineStr">
        <is>
          <t>English Communication, Ms Project, Organizational skills, Project Management</t>
        </is>
      </c>
      <c r="M4965" t="inlineStr">
        <is>
          <t>Bonus, Healthcare Plan, Paid Leave, Training, Others</t>
        </is>
      </c>
      <c r="N4965" s="8">
        <f>HYPERLINK("https://www.vietnamworks.com/project-admin-female-2015589-jv","Xem chi tiết")</f>
        <v/>
      </c>
    </row>
    <row r="4966">
      <c r="B4966" s="9" t="n">
        <v>4964</v>
      </c>
      <c r="C4966" s="10" t="inlineStr">
        <is>
          <t>Nhân Viên Hồ Sơ Chứng Từ (Export Import Document Staff)</t>
        </is>
      </c>
      <c r="D4966" s="10" t="inlineStr">
        <is>
          <t>CÔNG TY TNHH THƯƠNG MẠI INTELLIGENT TRAVEL</t>
        </is>
      </c>
      <c r="E4966" s="10" t="inlineStr">
        <is>
          <t>15tr-20tr ₫/tháng</t>
        </is>
      </c>
      <c r="F4966" s="10" t="inlineStr">
        <is>
          <t>Hà Nội</t>
        </is>
      </c>
      <c r="G4966" s="10" t="inlineStr">
        <is>
          <t>Nhân viên</t>
        </is>
      </c>
      <c r="H4966" s="10" t="inlineStr">
        <is>
          <t>27/02/2026</t>
        </is>
      </c>
      <c r="I4966" s="10" t="inlineStr">
        <is>
          <t>29/03/2026</t>
        </is>
      </c>
      <c r="J4966" s="10" t="inlineStr">
        <is>
          <t>17/03/2026</t>
        </is>
      </c>
      <c r="K4966" s="10" t="inlineStr">
        <is>
          <t>N/A</t>
        </is>
      </c>
      <c r="L4966" s="10" t="inlineStr">
        <is>
          <t>Khai Hải Quan Điện Tử, Kiểm Tra Chứng Từ, Quản Lý Đơn Hàng, Lưu Trữ Hồ Sơ, Xuất Nhập Khẩu</t>
        </is>
      </c>
      <c r="M4966" s="10" t="inlineStr">
        <is>
          <t>Bonus, Paid Leave, Others</t>
        </is>
      </c>
      <c r="N4966" s="11">
        <f>HYPERLINK("https://www.vietnamworks.com/nhan-vien-ho-so-chung-tu-export-import-document-staff-2015588-jv","Xem chi tiết")</f>
        <v/>
      </c>
      <c r="O4966" s="10" t="n"/>
    </row>
    <row r="4967">
      <c r="B4967" s="7" t="n">
        <v>4965</v>
      </c>
      <c r="C4967" t="inlineStr">
        <is>
          <t>Chuyên Viên Phân Tích Dữ Liệu Sản Xuất</t>
        </is>
      </c>
      <c r="D4967" t="inlineStr">
        <is>
          <t>Công Ty Cổ Phần Nhôm Nhựa Kim Hằng</t>
        </is>
      </c>
      <c r="E4967" t="inlineStr">
        <is>
          <t>14tr-20tr ₫/tháng</t>
        </is>
      </c>
      <c r="F4967" t="inlineStr">
        <is>
          <t>Hồ Chí Minh</t>
        </is>
      </c>
      <c r="G4967" t="inlineStr">
        <is>
          <t>Nhân viên</t>
        </is>
      </c>
      <c r="H4967" t="inlineStr">
        <is>
          <t>27/02/2026</t>
        </is>
      </c>
      <c r="I4967" t="inlineStr">
        <is>
          <t>29/03/2026</t>
        </is>
      </c>
      <c r="J4967" t="inlineStr">
        <is>
          <t>17/03/2026</t>
        </is>
      </c>
      <c r="K4967" t="inlineStr">
        <is>
          <t>N/A</t>
        </is>
      </c>
      <c r="L4967" t="inlineStr">
        <is>
          <t>Phân tích dữ liệu, Sử dụng Excel, Lập Trình SQL Server, Lập Trình Python, Kỹ năng giao tiêp</t>
        </is>
      </c>
      <c r="M4967" t="inlineStr">
        <is>
          <t>Bonus, Healthcare Plan, Others</t>
        </is>
      </c>
      <c r="N4967" s="8">
        <f>HYPERLINK("https://www.vietnamworks.com/chuyen-vien-phan-tich-du-lieu-san-xuat-2015583-jv","Xem chi tiết")</f>
        <v/>
      </c>
    </row>
    <row r="4968">
      <c r="B4968" s="9" t="n">
        <v>4966</v>
      </c>
      <c r="C4968" s="10" t="inlineStr">
        <is>
          <t>Nhân Viên Hỗ Trợ Kinh Doanh Dự Án Sales Support</t>
        </is>
      </c>
      <c r="D4968" s="10" t="inlineStr">
        <is>
          <t>Công ty Cổ Phần Đầu Tư và Phân Phối Thế Giới Công Nghệ TWD</t>
        </is>
      </c>
      <c r="E4968" s="10" t="inlineStr">
        <is>
          <t>10tr-15tr ₫/tháng</t>
        </is>
      </c>
      <c r="F4968" s="10" t="inlineStr">
        <is>
          <t>Hồ Chí Minh, Hà Nội</t>
        </is>
      </c>
      <c r="G4968" s="10" t="inlineStr">
        <is>
          <t>Nhân viên</t>
        </is>
      </c>
      <c r="H4968" s="10" t="inlineStr">
        <is>
          <t>27/02/2026</t>
        </is>
      </c>
      <c r="I4968" s="10" t="inlineStr">
        <is>
          <t>29/03/2026</t>
        </is>
      </c>
      <c r="J4968" s="10" t="inlineStr">
        <is>
          <t>17/03/2026</t>
        </is>
      </c>
      <c r="K4968" s="10" t="inlineStr">
        <is>
          <t>N/A</t>
        </is>
      </c>
      <c r="L4968" s="10" t="inlineStr">
        <is>
          <t>Báo Giá, Lập Báo Cáo Doanh Thu, Marketing Development, Quản Trị Kinh Doanh, Sales Admin</t>
        </is>
      </c>
      <c r="M4968" s="10" t="inlineStr">
        <is>
          <t>Bonus, Others</t>
        </is>
      </c>
      <c r="N4968" s="11">
        <f>HYPERLINK("https://www.vietnamworks.com/nhan-vien-ho-tro-kinh-doanh-du-an-sales-support-2015595-jv","Xem chi tiết")</f>
        <v/>
      </c>
      <c r="O4968" s="10" t="n"/>
    </row>
    <row r="4969">
      <c r="B4969" s="7" t="n">
        <v>4967</v>
      </c>
      <c r="C4969" t="inlineStr">
        <is>
          <t>Nhân viên bán Sim Card - Sân bay Quốc tế Tân Sơn Nhất</t>
        </is>
      </c>
      <c r="D4969" t="inlineStr">
        <is>
          <t>Công Ty Cổ Phần Vận Tải Hàng Không Miền Nam (Satsco)</t>
        </is>
      </c>
      <c r="E4969" t="inlineStr">
        <is>
          <t>$$ 500-700 /tháng</t>
        </is>
      </c>
      <c r="F4969" t="inlineStr">
        <is>
          <t>Hồ Chí Minh</t>
        </is>
      </c>
      <c r="G4969" t="inlineStr">
        <is>
          <t>Nhân viên</t>
        </is>
      </c>
      <c r="H4969" t="inlineStr">
        <is>
          <t>27/02/2026</t>
        </is>
      </c>
      <c r="I4969" t="inlineStr">
        <is>
          <t>29/03/2026</t>
        </is>
      </c>
      <c r="J4969" t="inlineStr">
        <is>
          <t>17/03/2026</t>
        </is>
      </c>
      <c r="K4969" t="inlineStr">
        <is>
          <t>N/A</t>
        </is>
      </c>
      <c r="L4969" t="inlineStr">
        <is>
          <t>Giải quyết vấn đề, Giao Tiếp Tốt, Ngoại ngữ</t>
        </is>
      </c>
      <c r="M4969" t="inlineStr">
        <is>
          <t>Bonus, Paid Leave, Others</t>
        </is>
      </c>
      <c r="N4969" s="8">
        <f>HYPERLINK("https://www.vietnamworks.com/nhan-vien-ban-sim-card-san-bay-quoc-te-tan-son-nhat-2015590-jv","Xem chi tiết")</f>
        <v/>
      </c>
    </row>
    <row r="4970">
      <c r="B4970" s="9" t="n">
        <v>4968</v>
      </c>
      <c r="C4970" s="10" t="inlineStr">
        <is>
          <t>Chuyên Viên Phát Triển Kinh Doanh</t>
        </is>
      </c>
      <c r="D4970" s="10" t="inlineStr">
        <is>
          <t>Công Ty Bảo Việt Tràng An</t>
        </is>
      </c>
      <c r="E4970" s="10" t="inlineStr">
        <is>
          <t>Từ 5tr ₫/tháng</t>
        </is>
      </c>
      <c r="F4970" s="10" t="inlineStr">
        <is>
          <t>Hà Nội</t>
        </is>
      </c>
      <c r="G4970" s="10" t="inlineStr">
        <is>
          <t>Nhân viên</t>
        </is>
      </c>
      <c r="H4970" s="10" t="inlineStr">
        <is>
          <t>27/02/2026</t>
        </is>
      </c>
      <c r="I4970" s="10" t="inlineStr">
        <is>
          <t>29/03/2026</t>
        </is>
      </c>
      <c r="J4970" s="10" t="inlineStr">
        <is>
          <t>17/03/2026</t>
        </is>
      </c>
      <c r="K4970" s="10" t="inlineStr">
        <is>
          <t>N/A</t>
        </is>
      </c>
      <c r="L4970" s="10" t="inlineStr">
        <is>
          <t>Bảo Hiểm, Phát Triển Kênh Phân Phối, Phát Triển Kinh Doanh, Kinh Doanh, Tư Vấn Bán Hàng</t>
        </is>
      </c>
      <c r="M4970" s="10" t="inlineStr">
        <is>
          <t>Bonus, Healthcare Plan, Others</t>
        </is>
      </c>
      <c r="N4970" s="11">
        <f>HYPERLINK("https://www.vietnamworks.com/chuyen-vien-phat-trien-kinh-doanh-2015592-jv","Xem chi tiết")</f>
        <v/>
      </c>
      <c r="O4970" s="10" t="n"/>
    </row>
    <row r="4971">
      <c r="B4971" s="7" t="n">
        <v>4969</v>
      </c>
      <c r="C4971" t="inlineStr">
        <is>
          <t>Trưởng Bộ Phận Cung Ứng Hàng Nhà Máy</t>
        </is>
      </c>
      <c r="D4971" t="inlineStr">
        <is>
          <t>Công Ty Cổ Phần Elmich</t>
        </is>
      </c>
      <c r="E4971" t="inlineStr">
        <is>
          <t>18tr-20tr ₫/tháng</t>
        </is>
      </c>
      <c r="F4971" t="inlineStr">
        <is>
          <t>Hà Nội</t>
        </is>
      </c>
      <c r="G4971" t="inlineStr">
        <is>
          <t>Trưởng phòng</t>
        </is>
      </c>
      <c r="H4971" t="inlineStr">
        <is>
          <t>27/02/2026</t>
        </is>
      </c>
      <c r="I4971" t="inlineStr">
        <is>
          <t>29/03/2026</t>
        </is>
      </c>
      <c r="J4971" t="inlineStr">
        <is>
          <t>17/03/2026</t>
        </is>
      </c>
      <c r="K4971" t="inlineStr">
        <is>
          <t>N/A</t>
        </is>
      </c>
      <c r="L4971" t="inlineStr">
        <is>
          <t>Mua Hàng, ERP, Tiếng Anh, Cung Ứng, Excel</t>
        </is>
      </c>
      <c r="M4971" t="inlineStr">
        <is>
          <t>Bonus, Healthcare Plan, Paid Leave, Travel Opportunities, Vouchers</t>
        </is>
      </c>
      <c r="N4971" s="8">
        <f>HYPERLINK("https://www.vietnamworks.com/truong-bo-phan-cung-ung-hang-nha-may-2015585-jv","Xem chi tiết")</f>
        <v/>
      </c>
    </row>
    <row r="4972">
      <c r="B4972" s="9" t="n">
        <v>4970</v>
      </c>
      <c r="C4972" s="10" t="inlineStr">
        <is>
          <t>Product Specialist/ Chuyên Viên Sản Phẩm (Thiết Bị Y Tế)</t>
        </is>
      </c>
      <c r="D4972" s="10" t="inlineStr">
        <is>
          <t>Transmedic Healthcare Co., LTD</t>
        </is>
      </c>
      <c r="E4972" s="10" t="inlineStr">
        <is>
          <t>Thương lượng</t>
        </is>
      </c>
      <c r="F4972" s="10" t="inlineStr">
        <is>
          <t>Hà Nội</t>
        </is>
      </c>
      <c r="G4972" s="10" t="inlineStr">
        <is>
          <t>Nhân viên</t>
        </is>
      </c>
      <c r="H4972" s="10" t="inlineStr">
        <is>
          <t>27/02/2026</t>
        </is>
      </c>
      <c r="I4972" s="10" t="inlineStr">
        <is>
          <t>29/03/2026</t>
        </is>
      </c>
      <c r="J4972" s="10" t="inlineStr">
        <is>
          <t>17/03/2026</t>
        </is>
      </c>
      <c r="K4972" s="10" t="inlineStr">
        <is>
          <t>N/A</t>
        </is>
      </c>
      <c r="L4972" s="10" t="inlineStr">
        <is>
          <t>Medical Sales, English Communication, Medical Device, Health Care Devices</t>
        </is>
      </c>
      <c r="M4972" s="10" t="inlineStr">
        <is>
          <t>Healthcare Plan, Training, Team Activities</t>
        </is>
      </c>
      <c r="N4972" s="11">
        <f>HYPERLINK("https://www.vietnamworks.com/product-specialist-chuyen-vien-san-pham-thiet-bi-y-te-3--2015594-jv","Xem chi tiết")</f>
        <v/>
      </c>
      <c r="O4972" s="10" t="n"/>
    </row>
    <row r="4973">
      <c r="B4973" s="7" t="n">
        <v>4971</v>
      </c>
      <c r="C4973" t="inlineStr">
        <is>
          <t>Nhân Viên Hành Chính kiêm Lập Kế Hoạch Sản Xuất</t>
        </is>
      </c>
      <c r="D4973" t="inlineStr">
        <is>
          <t>Công Ty Cổ Phần Đầu Tư Và Sản Xuất Thương Mại Ngọc Minh Châu</t>
        </is>
      </c>
      <c r="E4973" t="inlineStr">
        <is>
          <t>Từ 12tr ₫/tháng</t>
        </is>
      </c>
      <c r="F4973" t="inlineStr">
        <is>
          <t>Hà Nội</t>
        </is>
      </c>
      <c r="G4973" t="inlineStr">
        <is>
          <t>Mới Tốt Nghiệp</t>
        </is>
      </c>
      <c r="H4973" t="inlineStr">
        <is>
          <t>27/02/2026</t>
        </is>
      </c>
      <c r="I4973" t="inlineStr">
        <is>
          <t>29/03/2026</t>
        </is>
      </c>
      <c r="J4973" t="inlineStr">
        <is>
          <t>17/03/2026</t>
        </is>
      </c>
      <c r="K4973" t="inlineStr">
        <is>
          <t>N/A</t>
        </is>
      </c>
      <c r="L4973" t="inlineStr">
        <is>
          <t>Nhân Sự, Bảo Hiểm, Hành Chính Nhân Sự, Sản xuất may mặc, Tính Lương</t>
        </is>
      </c>
      <c r="M4973" t="inlineStr">
        <is>
          <t>Others</t>
        </is>
      </c>
      <c r="N4973" s="8">
        <f>HYPERLINK("https://www.vietnamworks.com/nhan-vien-hanh-chinh-kiem-lap-ke-hoach-san-xuat-2015600-jv","Xem chi tiết")</f>
        <v/>
      </c>
    </row>
    <row r="4974">
      <c r="B4974" s="9" t="n">
        <v>4972</v>
      </c>
      <c r="C4974" s="10" t="inlineStr">
        <is>
          <t>Project Coordinator</t>
        </is>
      </c>
      <c r="D4974" s="10" t="inlineStr">
        <is>
          <t>SEN Consulting Joint Stock Company</t>
        </is>
      </c>
      <c r="E4974" s="10" t="inlineStr">
        <is>
          <t>Thương lượng</t>
        </is>
      </c>
      <c r="F4974" s="10" t="inlineStr">
        <is>
          <t>Hồ Chí Minh</t>
        </is>
      </c>
      <c r="G4974" s="10" t="inlineStr">
        <is>
          <t>Nhân viên</t>
        </is>
      </c>
      <c r="H4974" s="10" t="inlineStr">
        <is>
          <t>27/02/2026</t>
        </is>
      </c>
      <c r="I4974" s="10" t="inlineStr">
        <is>
          <t>29/03/2026</t>
        </is>
      </c>
      <c r="J4974" s="10" t="inlineStr">
        <is>
          <t>17/03/2026</t>
        </is>
      </c>
      <c r="K4974" s="10" t="inlineStr">
        <is>
          <t>N/A</t>
        </is>
      </c>
      <c r="L4974" s="10" t="inlineStr">
        <is>
          <t>Project Management, English Fluency, Presentation Skills, HSE, Project Coordination</t>
        </is>
      </c>
      <c r="M4974" s="10" t="inlineStr">
        <is>
          <t>Bonus, Others</t>
        </is>
      </c>
      <c r="N4974" s="11">
        <f>HYPERLINK("https://www.vietnamworks.com/project-coordinator-2015597-jv","Xem chi tiết")</f>
        <v/>
      </c>
      <c r="O4974" s="10" t="n"/>
    </row>
    <row r="4975">
      <c r="B4975" s="7" t="n">
        <v>4973</v>
      </c>
      <c r="C4975" t="inlineStr">
        <is>
          <t>Kế Toán Kho/ Thống Kê</t>
        </is>
      </c>
      <c r="D4975" t="inlineStr">
        <is>
          <t>Lam Boutique Vietnam</t>
        </is>
      </c>
      <c r="E4975" t="inlineStr">
        <is>
          <t>Thương lượng</t>
        </is>
      </c>
      <c r="F4975" t="inlineStr">
        <is>
          <t>Hồ Chí Minh</t>
        </is>
      </c>
      <c r="G4975" t="inlineStr">
        <is>
          <t>Nhân viên</t>
        </is>
      </c>
      <c r="H4975" t="inlineStr">
        <is>
          <t>27/02/2026</t>
        </is>
      </c>
      <c r="I4975" t="inlineStr">
        <is>
          <t>29/03/2026</t>
        </is>
      </c>
      <c r="J4975" t="inlineStr">
        <is>
          <t>17/03/2026</t>
        </is>
      </c>
      <c r="K4975" t="inlineStr">
        <is>
          <t>N/A</t>
        </is>
      </c>
      <c r="L4975" t="inlineStr">
        <is>
          <t>Kế Toán Kho, Kế Toán, Báo Cáo Thuế, Kiểm kho, Quản lý xuất nhập hàng</t>
        </is>
      </c>
      <c r="M4975" t="inlineStr">
        <is>
          <t>Bonus, Training, Team Activities, Vouchers</t>
        </is>
      </c>
      <c r="N4975" s="8">
        <f>HYPERLINK("https://www.vietnamworks.com/ke-toan-kho-thong-ke-2015598-jv","Xem chi tiết")</f>
        <v/>
      </c>
    </row>
    <row r="4976">
      <c r="B4976" s="9" t="n">
        <v>4974</v>
      </c>
      <c r="C4976" s="10" t="inlineStr">
        <is>
          <t>Kế Toán Vật Tư Văn Phòng</t>
        </is>
      </c>
      <c r="D4976" s="10" t="inlineStr">
        <is>
          <t>CÔNG TY CỔ PHẦN EUSTEEL</t>
        </is>
      </c>
      <c r="E4976" s="10" t="inlineStr">
        <is>
          <t>14tr-15tr ₫/tháng</t>
        </is>
      </c>
      <c r="F4976" s="10" t="inlineStr">
        <is>
          <t>Hà Nội</t>
        </is>
      </c>
      <c r="G4976" s="10" t="inlineStr">
        <is>
          <t>Nhân viên</t>
        </is>
      </c>
      <c r="H4976" s="10" t="inlineStr">
        <is>
          <t>27/02/2026</t>
        </is>
      </c>
      <c r="I4976" s="10" t="inlineStr">
        <is>
          <t>29/03/2026</t>
        </is>
      </c>
      <c r="J4976" s="10" t="inlineStr">
        <is>
          <t>17/03/2026</t>
        </is>
      </c>
      <c r="K4976" s="10" t="inlineStr">
        <is>
          <t>N/A</t>
        </is>
      </c>
      <c r="L4976" s="10" t="inlineStr">
        <is>
          <t>Kế Toán Kho, Kiểm Soát Tồn Kho, Lập Kế Hoạch Vật Tư, Theo Dõi Vật Tư Hàng Hóa, Kế Toán</t>
        </is>
      </c>
      <c r="M4976" s="10" t="inlineStr">
        <is>
          <t>Bonus, Paid Leave, Travel Opportunities</t>
        </is>
      </c>
      <c r="N4976" s="11">
        <f>HYPERLINK("https://www.vietnamworks.com/ke-toan-vat-tu-van-phong--2015606-jv","Xem chi tiết")</f>
        <v/>
      </c>
      <c r="O4976" s="10" t="n"/>
    </row>
    <row r="4977">
      <c r="B4977" s="7" t="n">
        <v>4975</v>
      </c>
      <c r="C4977" t="inlineStr">
        <is>
          <t>Senior Legal Executive</t>
        </is>
      </c>
      <c r="D4977" t="inlineStr">
        <is>
          <t>Công Ty TNHH I.P. One (Việt Nam)</t>
        </is>
      </c>
      <c r="E4977" t="inlineStr">
        <is>
          <t>Thương lượng</t>
        </is>
      </c>
      <c r="F4977" t="inlineStr">
        <is>
          <t>Hồ Chí Minh</t>
        </is>
      </c>
      <c r="G4977" t="inlineStr">
        <is>
          <t>Nhân viên</t>
        </is>
      </c>
      <c r="H4977" t="inlineStr">
        <is>
          <t>27/02/2026</t>
        </is>
      </c>
      <c r="I4977" t="inlineStr">
        <is>
          <t>29/03/2026</t>
        </is>
      </c>
      <c r="J4977" t="inlineStr">
        <is>
          <t>17/03/2026</t>
        </is>
      </c>
      <c r="K4977" t="inlineStr">
        <is>
          <t>N/A</t>
        </is>
      </c>
      <c r="L4977" t="inlineStr">
        <is>
          <t>Critical Thinking, Legal Compliance, Review Contract, Risk Management, Contract Drafting</t>
        </is>
      </c>
      <c r="M4977" t="inlineStr">
        <is>
          <t>Bonus, Healthcare Plan, Travel Opportunities</t>
        </is>
      </c>
      <c r="N4977" s="8">
        <f>HYPERLINK("https://www.vietnamworks.com/senior-legal-executive-2015602-jv","Xem chi tiết")</f>
        <v/>
      </c>
    </row>
    <row r="4978">
      <c r="B4978" s="9" t="n">
        <v>4976</v>
      </c>
      <c r="C4978" s="10" t="inlineStr">
        <is>
          <t>M&amp;E Site Manager</t>
        </is>
      </c>
      <c r="D4978" s="10" t="inlineStr">
        <is>
          <t>Trung Thuy Group</t>
        </is>
      </c>
      <c r="E4978" s="10" t="inlineStr">
        <is>
          <t>Thương lượng</t>
        </is>
      </c>
      <c r="F4978" s="10" t="inlineStr">
        <is>
          <t>Đà Nẵng</t>
        </is>
      </c>
      <c r="G4978" s="10" t="inlineStr">
        <is>
          <t>Trưởng phòng</t>
        </is>
      </c>
      <c r="H4978" s="10" t="inlineStr">
        <is>
          <t>27/02/2026</t>
        </is>
      </c>
      <c r="I4978" s="10" t="inlineStr">
        <is>
          <t>29/03/2026</t>
        </is>
      </c>
      <c r="J4978" s="10" t="inlineStr">
        <is>
          <t>17/03/2026</t>
        </is>
      </c>
      <c r="K4978" s="10" t="inlineStr">
        <is>
          <t>N/A</t>
        </is>
      </c>
      <c r="L4978" s="10" t="inlineStr">
        <is>
          <t>Fire Protection Systems, HVAC, Plumbing, Electrical, Project Management</t>
        </is>
      </c>
      <c r="M4978" s="10" t="inlineStr">
        <is>
          <t>Healthcare Plan, Canteen</t>
        </is>
      </c>
      <c r="N4978" s="11">
        <f>HYPERLINK("https://www.vietnamworks.com/m-e-site-manager--2015599-jv","Xem chi tiết")</f>
        <v/>
      </c>
      <c r="O4978" s="10" t="n"/>
    </row>
    <row r="4979">
      <c r="B4979" s="7" t="n">
        <v>4977</v>
      </c>
      <c r="C4979" t="inlineStr">
        <is>
          <t>[ Hot Job ] Trợ Lý Chủ Tịch</t>
        </is>
      </c>
      <c r="D4979" t="inlineStr">
        <is>
          <t>Trần Hồng Quân Holdings</t>
        </is>
      </c>
      <c r="E4979" t="inlineStr">
        <is>
          <t>Thương lượng</t>
        </is>
      </c>
      <c r="F4979" t="inlineStr">
        <is>
          <t>Hà Nội</t>
        </is>
      </c>
      <c r="G4979" t="inlineStr">
        <is>
          <t>Nhân viên</t>
        </is>
      </c>
      <c r="H4979" t="inlineStr">
        <is>
          <t>27/02/2026</t>
        </is>
      </c>
      <c r="I4979" t="inlineStr">
        <is>
          <t>29/03/2026</t>
        </is>
      </c>
      <c r="J4979" t="inlineStr">
        <is>
          <t>17/03/2026</t>
        </is>
      </c>
      <c r="K4979" t="inlineStr">
        <is>
          <t>N/A</t>
        </is>
      </c>
      <c r="L4979" t="inlineStr">
        <is>
          <t>Mua Hàng Kỹ Thuật, Mua Sắm Vật Tư, Thiết Bị Công Nghiệp, Tiếng Anh, Trợ Lý</t>
        </is>
      </c>
      <c r="M4979" t="inlineStr">
        <is>
          <t>Bonus, Healthcare Plan, Laptop, Team Activities, Canteen, Others</t>
        </is>
      </c>
      <c r="N4979" s="8">
        <f>HYPERLINK("https://www.vietnamworks.com/hot-job-tro-ly-chu-tich-2015605-jv","Xem chi tiết")</f>
        <v/>
      </c>
    </row>
    <row r="4980">
      <c r="B4980" s="9" t="n">
        <v>4978</v>
      </c>
      <c r="C4980" s="10" t="inlineStr">
        <is>
          <t>Nhân Viên Kế Toán</t>
        </is>
      </c>
      <c r="D4980" s="10" t="inlineStr">
        <is>
          <t>Công Ty Trang Thiết Bị Y Tế Inamed</t>
        </is>
      </c>
      <c r="E4980" s="10" t="inlineStr">
        <is>
          <t>Thương lượng</t>
        </is>
      </c>
      <c r="F4980" s="10" t="inlineStr">
        <is>
          <t>Hồ Chí Minh</t>
        </is>
      </c>
      <c r="G4980" s="10" t="inlineStr">
        <is>
          <t>Nhân viên</t>
        </is>
      </c>
      <c r="H4980" s="10" t="inlineStr">
        <is>
          <t>27/02/2026</t>
        </is>
      </c>
      <c r="I4980" s="10" t="inlineStr">
        <is>
          <t>29/03/2026</t>
        </is>
      </c>
      <c r="J4980" s="10" t="inlineStr">
        <is>
          <t>17/03/2026</t>
        </is>
      </c>
      <c r="K4980" s="10" t="inlineStr">
        <is>
          <t>N/A</t>
        </is>
      </c>
      <c r="L4980" s="10" t="inlineStr">
        <is>
          <t>Tài Chính Kế Toán, Tài Chính, Kiểm Toán, Kế Toán Tổng Hợp, Báo Cáo Tài Chính</t>
        </is>
      </c>
      <c r="M4980" s="10" t="inlineStr">
        <is>
          <t>Bonus, Training, Travel Opportunities</t>
        </is>
      </c>
      <c r="N4980" s="11">
        <f>HYPERLINK("https://www.vietnamworks.com/nhan-vien-ke-toan--2015609-jv","Xem chi tiết")</f>
        <v/>
      </c>
      <c r="O4980" s="10" t="n"/>
    </row>
    <row r="4981">
      <c r="B4981" s="7" t="n">
        <v>4979</v>
      </c>
      <c r="C4981" t="inlineStr">
        <is>
          <t>Nhân Viên Hỗ Trợ Kinh Doanh</t>
        </is>
      </c>
      <c r="D4981" t="inlineStr">
        <is>
          <t>CÔNG TY CỔ PHẦN EUSTEEL</t>
        </is>
      </c>
      <c r="E4981" t="inlineStr">
        <is>
          <t>12tr-15tr ₫/tháng</t>
        </is>
      </c>
      <c r="F4981" t="inlineStr">
        <is>
          <t>Hà Nội</t>
        </is>
      </c>
      <c r="G4981" t="inlineStr">
        <is>
          <t>Nhân viên</t>
        </is>
      </c>
      <c r="H4981" t="inlineStr">
        <is>
          <t>27/02/2026</t>
        </is>
      </c>
      <c r="I4981" t="inlineStr">
        <is>
          <t>29/03/2026</t>
        </is>
      </c>
      <c r="J4981" t="inlineStr">
        <is>
          <t>17/03/2026</t>
        </is>
      </c>
      <c r="K4981" t="inlineStr">
        <is>
          <t>N/A</t>
        </is>
      </c>
      <c r="L4981" t="inlineStr">
        <is>
          <t>Sales Support, Sales Administration, Kinh Doanh, Hỗ Trợ Kinh Doanh, Chăm Sóc Khách Hàng</t>
        </is>
      </c>
      <c r="M4981" t="inlineStr">
        <is>
          <t>Bonus, Paid Leave, Training</t>
        </is>
      </c>
      <c r="N4981" s="8">
        <f>HYPERLINK("https://www.vietnamworks.com/nhan-vien-ho-tro-kinh-doanh--2015611-jv","Xem chi tiết")</f>
        <v/>
      </c>
    </row>
    <row r="4982">
      <c r="B4982" s="9" t="n">
        <v>4980</v>
      </c>
      <c r="C4982" s="10" t="inlineStr">
        <is>
          <t>Technical Designer (Garment)</t>
        </is>
      </c>
      <c r="D4982" s="10" t="inlineStr">
        <is>
          <t>CÔNG TY TNHH ERALDA VIỆT NAM</t>
        </is>
      </c>
      <c r="E4982" s="10" t="inlineStr">
        <is>
          <t>Thương lượng</t>
        </is>
      </c>
      <c r="F4982" s="10" t="inlineStr">
        <is>
          <t>Hưng Yên, Bắc Ninh, Hà Nội</t>
        </is>
      </c>
      <c r="G4982" s="10" t="inlineStr">
        <is>
          <t>Nhân viên</t>
        </is>
      </c>
      <c r="H4982" s="10" t="inlineStr">
        <is>
          <t>27/02/2026</t>
        </is>
      </c>
      <c r="I4982" s="10" t="inlineStr">
        <is>
          <t>29/03/2026</t>
        </is>
      </c>
      <c r="J4982" s="10" t="inlineStr">
        <is>
          <t>17/03/2026</t>
        </is>
      </c>
      <c r="K4982" s="10" t="inlineStr">
        <is>
          <t>N/A</t>
        </is>
      </c>
      <c r="L4982" s="10" t="inlineStr">
        <is>
          <t>Garment, Product Development, Garment Measurement, Samples Development, Garment Technology</t>
        </is>
      </c>
      <c r="M4982" s="10" t="inlineStr">
        <is>
          <t>Bonus, Healthcare Plan, Paid Leave</t>
        </is>
      </c>
      <c r="N4982" s="11">
        <f>HYPERLINK("https://www.vietnamworks.com/technical-designer-garment--2015616-jv","Xem chi tiết")</f>
        <v/>
      </c>
      <c r="O4982" s="10" t="n"/>
    </row>
    <row r="4983">
      <c r="B4983" s="7" t="n">
        <v>4981</v>
      </c>
      <c r="C4983" t="inlineStr">
        <is>
          <t>Production Technician (Shift Working)</t>
        </is>
      </c>
      <c r="D4983" t="inlineStr">
        <is>
          <t>Avery Dennison Vietnam</t>
        </is>
      </c>
      <c r="E4983" t="inlineStr">
        <is>
          <t>Thương lượng</t>
        </is>
      </c>
      <c r="F4983" t="inlineStr">
        <is>
          <t>Hồ Chí Minh</t>
        </is>
      </c>
      <c r="G4983" t="inlineStr">
        <is>
          <t>Nhân viên</t>
        </is>
      </c>
      <c r="H4983" t="inlineStr">
        <is>
          <t>27/02/2026</t>
        </is>
      </c>
      <c r="I4983" t="inlineStr">
        <is>
          <t>29/03/2026</t>
        </is>
      </c>
      <c r="J4983" t="inlineStr">
        <is>
          <t>17/03/2026</t>
        </is>
      </c>
      <c r="K4983" t="inlineStr">
        <is>
          <t>N/A</t>
        </is>
      </c>
      <c r="L4983" t="inlineStr">
        <is>
          <t>Mechanical Troubleshooting, Offset Printing\r\r, Production Reports, Quality Control, Safety Training</t>
        </is>
      </c>
      <c r="M4983" t="inlineStr">
        <is>
          <t>Bonus</t>
        </is>
      </c>
      <c r="N4983" s="8">
        <f>HYPERLINK("https://www.vietnamworks.com/production-technician-shift-working-2015618-jv","Xem chi tiết")</f>
        <v/>
      </c>
    </row>
    <row r="4984">
      <c r="B4984" s="9" t="n">
        <v>4982</v>
      </c>
      <c r="C4984" s="10" t="inlineStr">
        <is>
          <t>Autocad Operator (Japanese Speaking)</t>
        </is>
      </c>
      <c r="D4984" s="10" t="inlineStr">
        <is>
          <t>Gecoss Viet Nam CO., LTD</t>
        </is>
      </c>
      <c r="E4984" s="10" t="inlineStr">
        <is>
          <t>Thương lượng</t>
        </is>
      </c>
      <c r="F4984" s="10" t="inlineStr">
        <is>
          <t>Hồ Chí Minh</t>
        </is>
      </c>
      <c r="G4984" s="10" t="inlineStr">
        <is>
          <t>Nhân viên</t>
        </is>
      </c>
      <c r="H4984" s="10" t="inlineStr">
        <is>
          <t>27/02/2026</t>
        </is>
      </c>
      <c r="I4984" s="10" t="inlineStr">
        <is>
          <t>29/03/2026</t>
        </is>
      </c>
      <c r="J4984" s="10" t="inlineStr">
        <is>
          <t>17/03/2026</t>
        </is>
      </c>
      <c r="K4984" s="10" t="inlineStr">
        <is>
          <t>N/A</t>
        </is>
      </c>
      <c r="L4984" s="10" t="inlineStr">
        <is>
          <t>Japanese N4, Structural Design, AutoCAD 2D, AutoCAD 3D, Structural Drawing</t>
        </is>
      </c>
      <c r="M4984" s="10" t="inlineStr">
        <is>
          <t>Bonus, Healthcare Plan, Training</t>
        </is>
      </c>
      <c r="N4984" s="11">
        <f>HYPERLINK("https://www.vietnamworks.com/autocad-operator-japanese-speaking--2015632-jv","Xem chi tiết")</f>
        <v/>
      </c>
      <c r="O4984" s="10" t="n"/>
    </row>
    <row r="4985">
      <c r="B4985" s="7" t="n">
        <v>4983</v>
      </c>
      <c r="C4985" t="inlineStr">
        <is>
          <t>Trưởng Phòng Thiết Kế</t>
        </is>
      </c>
      <c r="D4985" t="inlineStr">
        <is>
          <t>Công Ty TNHH Xây Dựng Ivy</t>
        </is>
      </c>
      <c r="E4985" t="inlineStr">
        <is>
          <t>Thương lượng</t>
        </is>
      </c>
      <c r="F4985" t="inlineStr">
        <is>
          <t>Hồ Chí Minh</t>
        </is>
      </c>
      <c r="G4985" t="inlineStr">
        <is>
          <t>Trưởng phòng</t>
        </is>
      </c>
      <c r="H4985" t="inlineStr">
        <is>
          <t>27/02/2026</t>
        </is>
      </c>
      <c r="I4985" t="inlineStr">
        <is>
          <t>29/03/2026</t>
        </is>
      </c>
      <c r="J4985" t="inlineStr">
        <is>
          <t>17/03/2026</t>
        </is>
      </c>
      <c r="K4985" t="inlineStr">
        <is>
          <t>N/A</t>
        </is>
      </c>
      <c r="L4985" t="inlineStr">
        <is>
          <t>AutoCAD, Revit, Quản Lý Thi Công, Quản Lý Thiết Kế, Thiết Kế Xây Dựng</t>
        </is>
      </c>
      <c r="M4985" t="inlineStr">
        <is>
          <t>Bonus, Healthcare Plan, Paid Leave, Training, Travel Opportunities, Canteen, Others</t>
        </is>
      </c>
      <c r="N4985" s="8">
        <f>HYPERLINK("https://www.vietnamworks.com/truong-phong-thiet-ke-2015612-jv","Xem chi tiết")</f>
        <v/>
      </c>
    </row>
    <row r="4986">
      <c r="B4986" s="9" t="n">
        <v>4984</v>
      </c>
      <c r="C4986" s="10" t="inlineStr">
        <is>
          <t>HR Staff - Nhân Viên Hành Chính Nhân Sự</t>
        </is>
      </c>
      <c r="D4986" s="10" t="inlineStr">
        <is>
          <t>Chi Nhánh Hà Nội - Công Ty TNHH Kiara Garments Việt Nam</t>
        </is>
      </c>
      <c r="E4986" s="10" t="inlineStr">
        <is>
          <t>$$ 500-1,000 /tháng</t>
        </is>
      </c>
      <c r="F4986" s="10" t="inlineStr">
        <is>
          <t>Hà Nội</t>
        </is>
      </c>
      <c r="G4986" s="10" t="inlineStr">
        <is>
          <t>Nhân viên</t>
        </is>
      </c>
      <c r="H4986" s="10" t="inlineStr">
        <is>
          <t>27/02/2026</t>
        </is>
      </c>
      <c r="I4986" s="10" t="inlineStr">
        <is>
          <t>29/03/2026</t>
        </is>
      </c>
      <c r="J4986" s="10" t="inlineStr">
        <is>
          <t>17/03/2026</t>
        </is>
      </c>
      <c r="K4986" s="10" t="inlineStr">
        <is>
          <t>N/A</t>
        </is>
      </c>
      <c r="L4986" s="10" t="inlineStr">
        <is>
          <t>communication, English, Labor Law, Procedure Management, EXCEL văn phòng</t>
        </is>
      </c>
      <c r="M4986" s="10" t="inlineStr">
        <is>
          <t>Bonus, Paid Leave, Others</t>
        </is>
      </c>
      <c r="N4986" s="11">
        <f>HYPERLINK("https://www.vietnamworks.com/hr-staff-nhan-vien-hanh-chinh-nhan-su--2015629-jv","Xem chi tiết")</f>
        <v/>
      </c>
      <c r="O4986" s="10" t="n"/>
    </row>
    <row r="4987">
      <c r="B4987" s="7" t="n">
        <v>4985</v>
      </c>
      <c r="C4987" t="inlineStr">
        <is>
          <t>Chuyên Viên Nhân Sự (HR Executive)</t>
        </is>
      </c>
      <c r="D4987" t="inlineStr">
        <is>
          <t>Vietnam Land Holdings</t>
        </is>
      </c>
      <c r="E4987" t="inlineStr">
        <is>
          <t>Thương lượng</t>
        </is>
      </c>
      <c r="F4987" t="inlineStr">
        <is>
          <t>Hà Nội</t>
        </is>
      </c>
      <c r="G4987" t="inlineStr">
        <is>
          <t>Nhân viên</t>
        </is>
      </c>
      <c r="H4987" t="inlineStr">
        <is>
          <t>27/02/2026</t>
        </is>
      </c>
      <c r="I4987" t="inlineStr">
        <is>
          <t>29/03/2026</t>
        </is>
      </c>
      <c r="J4987" t="inlineStr">
        <is>
          <t>17/03/2026</t>
        </is>
      </c>
      <c r="K4987" t="inlineStr">
        <is>
          <t>N/A</t>
        </is>
      </c>
      <c r="L4987" t="inlineStr">
        <is>
          <t>Tuyển Dụng, Recruitment, Nhân Sự, HR, C&amp;B</t>
        </is>
      </c>
      <c r="M4987" t="inlineStr">
        <is>
          <t>Bonus, Healthcare Plan, Paid Leave</t>
        </is>
      </c>
      <c r="N4987" s="8">
        <f>HYPERLINK("https://www.vietnamworks.com/chuyen-vien-nhan-su-hr-executive--2015631-jv","Xem chi tiết")</f>
        <v/>
      </c>
    </row>
    <row r="4988">
      <c r="B4988" s="9" t="n">
        <v>4986</v>
      </c>
      <c r="C4988" s="10" t="inlineStr">
        <is>
          <t>Trợ Lý Nông Nghiệp (Tiếng Đài)</t>
        </is>
      </c>
      <c r="D4988" s="10" t="inlineStr">
        <is>
          <t>Capital House Group</t>
        </is>
      </c>
      <c r="E4988" s="10" t="inlineStr">
        <is>
          <t>Thương lượng</t>
        </is>
      </c>
      <c r="F4988" s="10" t="inlineStr">
        <is>
          <t>Hà Nội</t>
        </is>
      </c>
      <c r="G4988" s="10" t="inlineStr">
        <is>
          <t>Nhân viên</t>
        </is>
      </c>
      <c r="H4988" s="10" t="inlineStr">
        <is>
          <t>27/02/2026</t>
        </is>
      </c>
      <c r="I4988" s="10" t="inlineStr">
        <is>
          <t>29/03/2026</t>
        </is>
      </c>
      <c r="J4988" s="10" t="inlineStr">
        <is>
          <t>17/03/2026</t>
        </is>
      </c>
      <c r="K4988" s="10" t="inlineStr">
        <is>
          <t>N/A</t>
        </is>
      </c>
      <c r="L4988" s="10" t="inlineStr">
        <is>
          <t>Administrative Expenses, Nông nghiệp, Tài Chính Đầu Tư, Trợ Lý Tổng Giám Đốc, Tư duy &amp; Giải quyết vấn đề</t>
        </is>
      </c>
      <c r="M4988" s="10" t="inlineStr">
        <is>
          <t>Bonus, Healthcare Plan, Paid Leave, Training, Team Activities, Others</t>
        </is>
      </c>
      <c r="N4988" s="11">
        <f>HYPERLINK("https://www.vietnamworks.com/tro-ly-nong-nghiep-tieng-dai-2015613-jv","Xem chi tiết")</f>
        <v/>
      </c>
      <c r="O4988" s="10" t="n"/>
    </row>
    <row r="4989">
      <c r="B4989" s="7" t="n">
        <v>4987</v>
      </c>
      <c r="C4989" t="inlineStr">
        <is>
          <t>Video Editor (Up-To $2,000)</t>
        </is>
      </c>
      <c r="D4989" t="inlineStr">
        <is>
          <t>Crossian Việt Nam</t>
        </is>
      </c>
      <c r="E4989" t="inlineStr">
        <is>
          <t>Tới $ 2,000 /năm</t>
        </is>
      </c>
      <c r="F4989" t="inlineStr">
        <is>
          <t>Hà Nội, Hồ Chí Minh</t>
        </is>
      </c>
      <c r="G4989" t="inlineStr">
        <is>
          <t>Nhân viên</t>
        </is>
      </c>
      <c r="H4989" t="inlineStr">
        <is>
          <t>27/02/2026</t>
        </is>
      </c>
      <c r="I4989" t="inlineStr">
        <is>
          <t>29/03/2026</t>
        </is>
      </c>
      <c r="J4989" t="inlineStr">
        <is>
          <t>17/03/2026</t>
        </is>
      </c>
      <c r="K4989" t="inlineStr">
        <is>
          <t>N/A</t>
        </is>
      </c>
      <c r="L4989" t="inlineStr">
        <is>
          <t>Video Editor</t>
        </is>
      </c>
      <c r="M4989" t="inlineStr">
        <is>
          <t>Bonus, Healthcare Plan, Paid Leave, Training, Others</t>
        </is>
      </c>
      <c r="N4989" s="8">
        <f>HYPERLINK("https://www.vietnamworks.com/video-editor-up-to-dollar2000-2015619-jv","Xem chi tiết")</f>
        <v/>
      </c>
    </row>
    <row r="4990">
      <c r="B4990" s="9" t="n">
        <v>4988</v>
      </c>
      <c r="C4990" s="10" t="inlineStr">
        <is>
          <t>ICM CHĂM SÓC KHÁCH HÀNG</t>
        </is>
      </c>
      <c r="D4990" s="10" t="inlineStr">
        <is>
          <t>BIDV MetLife</t>
        </is>
      </c>
      <c r="E4990" s="10" t="inlineStr">
        <is>
          <t>Thương lượng</t>
        </is>
      </c>
      <c r="F4990" s="10" t="inlineStr">
        <is>
          <t>Hà Nội, Hồ Chí Minh, Ninh Bình</t>
        </is>
      </c>
      <c r="G4990" s="10" t="inlineStr">
        <is>
          <t>Nhân viên</t>
        </is>
      </c>
      <c r="H4990" s="10" t="inlineStr">
        <is>
          <t>27/02/2026</t>
        </is>
      </c>
      <c r="I4990" s="10" t="inlineStr">
        <is>
          <t>29/03/2026</t>
        </is>
      </c>
      <c r="J4990" s="10" t="inlineStr">
        <is>
          <t>17/03/2026</t>
        </is>
      </c>
      <c r="K4990" s="10" t="inlineStr">
        <is>
          <t>N/A</t>
        </is>
      </c>
      <c r="L4990" s="10" t="inlineStr">
        <is>
          <t>Chăm Sóc Khách Hàng, Ngân hàng, Nhân viên kinh doanh, Tư Vấn, Tư Vấn Bảo Hiểm</t>
        </is>
      </c>
      <c r="M4990" s="10" t="inlineStr">
        <is>
          <t>Healthcare Plan, Training</t>
        </is>
      </c>
      <c r="N4990" s="11">
        <f>HYPERLINK("https://www.vietnamworks.com/icm-cham-soc-khach-hang-2015617-jv","Xem chi tiết")</f>
        <v/>
      </c>
      <c r="O4990" s="10" t="n"/>
    </row>
    <row r="4991">
      <c r="B4991" s="7" t="n">
        <v>4989</v>
      </c>
      <c r="C4991" t="inlineStr">
        <is>
          <t>AVPI Projects and Events Coordinator</t>
        </is>
      </c>
      <c r="D4991" t="inlineStr">
        <is>
          <t>RMIT University Vietnam</t>
        </is>
      </c>
      <c r="E4991" t="inlineStr">
        <is>
          <t>Từ 25.5tr ₫/tháng</t>
        </is>
      </c>
      <c r="F4991" t="inlineStr">
        <is>
          <t>Hà Nội</t>
        </is>
      </c>
      <c r="G4991" t="inlineStr">
        <is>
          <t>Nhân viên</t>
        </is>
      </c>
      <c r="H4991" t="inlineStr">
        <is>
          <t>27/02/2026</t>
        </is>
      </c>
      <c r="I4991" t="inlineStr">
        <is>
          <t>29/03/2026</t>
        </is>
      </c>
      <c r="J4991" t="inlineStr">
        <is>
          <t>17/03/2026</t>
        </is>
      </c>
      <c r="K4991" t="inlineStr">
        <is>
          <t>N/A</t>
        </is>
      </c>
      <c r="L4991" t="inlineStr">
        <is>
          <t>Admin Support, Event Coordination, Event Management, Project Management</t>
        </is>
      </c>
      <c r="M4991" t="inlineStr">
        <is>
          <t>Bonus, Healthcare Plan, Paid Leave</t>
        </is>
      </c>
      <c r="N4991" s="8">
        <f>HYPERLINK("https://www.vietnamworks.com/avpi-projects-and-events-coordinator-2015614-jv","Xem chi tiết")</f>
        <v/>
      </c>
    </row>
    <row r="4992">
      <c r="B4992" s="9" t="n">
        <v>4990</v>
      </c>
      <c r="C4992" s="10" t="inlineStr">
        <is>
          <t>[Hot Job] Kế Toán Viên/ Accountant (Ưu Tiên Có Kinh Nghiệm Kế Toán Ngân Hàng) Số Lượng: 02 Người</t>
        </is>
      </c>
      <c r="D4992" s="10" t="inlineStr">
        <is>
          <t>Công Ty Cổ Phần Khoáng Sản Công Nghiệp Yên Bái (YBM)</t>
        </is>
      </c>
      <c r="E4992" s="10" t="inlineStr">
        <is>
          <t>14tr-16tr ₫/tháng</t>
        </is>
      </c>
      <c r="F4992" s="10" t="inlineStr">
        <is>
          <t>Hà Nội</t>
        </is>
      </c>
      <c r="G4992" s="10" t="inlineStr">
        <is>
          <t>Nhân viên</t>
        </is>
      </c>
      <c r="H4992" s="10" t="inlineStr">
        <is>
          <t>27/02/2026</t>
        </is>
      </c>
      <c r="I4992" s="10" t="inlineStr">
        <is>
          <t>29/03/2026</t>
        </is>
      </c>
      <c r="J4992" s="10" t="inlineStr">
        <is>
          <t>17/03/2026</t>
        </is>
      </c>
      <c r="K4992" s="10" t="inlineStr">
        <is>
          <t>N/A</t>
        </is>
      </c>
      <c r="L4992" s="10" t="inlineStr">
        <is>
          <t>Kế Toán Ngân Hàng, Microsoft Office, Kiểm Toán, Quản Lý Thu Chi, Chứng Từ Kế Toán</t>
        </is>
      </c>
      <c r="M4992" s="10" t="inlineStr">
        <is>
          <t>Bonus, Healthcare Plan, Team Activities, Canteen</t>
        </is>
      </c>
      <c r="N4992" s="11">
        <f>HYPERLINK("https://www.vietnamworks.com/hot-job-ke-toan-vien-accountant-uu-tien-co-kinh-nghiem-ke-toan-ngan-hang-so-luong-02-nguoi-2015628-jv","Xem chi tiết")</f>
        <v/>
      </c>
      <c r="O4992" s="10" t="n"/>
    </row>
    <row r="4993">
      <c r="B4993" s="7" t="n">
        <v>4991</v>
      </c>
      <c r="C4993" t="inlineStr">
        <is>
          <t>Senior Associate – Business Transformation | Business Consulting</t>
        </is>
      </c>
      <c r="D4993" t="inlineStr">
        <is>
          <t>Ernst &amp; Young Vietnam Limited (EY Vietnam)</t>
        </is>
      </c>
      <c r="E4993" t="inlineStr">
        <is>
          <t>Thương lượng</t>
        </is>
      </c>
      <c r="F4993" t="inlineStr">
        <is>
          <t>Hà Nội</t>
        </is>
      </c>
      <c r="G4993" t="inlineStr">
        <is>
          <t>Nhân viên</t>
        </is>
      </c>
      <c r="H4993" t="inlineStr">
        <is>
          <t>27/02/2026</t>
        </is>
      </c>
      <c r="I4993" t="inlineStr">
        <is>
          <t>29/03/2026</t>
        </is>
      </c>
      <c r="J4993" t="inlineStr">
        <is>
          <t>17/03/2026</t>
        </is>
      </c>
      <c r="K4993" t="inlineStr">
        <is>
          <t>N/A</t>
        </is>
      </c>
      <c r="L4993" t="inlineStr">
        <is>
          <t>Business Transformation, Consulting, Finance Transformation, Strategy Planning</t>
        </is>
      </c>
      <c r="M4993" t="inlineStr">
        <is>
          <t>Others</t>
        </is>
      </c>
      <c r="N4993" s="8">
        <f>HYPERLINK("https://www.vietnamworks.com/senior-associate-business-transformation-or-business-consulting-2015638-jv","Xem chi tiết")</f>
        <v/>
      </c>
    </row>
    <row r="4994">
      <c r="B4994" s="9" t="n">
        <v>4992</v>
      </c>
      <c r="C4994" s="10" t="inlineStr">
        <is>
          <t>[Hot Job] Kế Toán Tổng Hợp/ General Accountant – Thu Nhập Upto 20-25Tr/tháng (SL: 02 Người)</t>
        </is>
      </c>
      <c r="D4994" s="10" t="inlineStr">
        <is>
          <t>Công Ty Cổ Phần Khoáng Sản Công Nghiệp Yên Bái (YBM)</t>
        </is>
      </c>
      <c r="E4994" s="10" t="inlineStr">
        <is>
          <t>20tr-25tr ₫/tháng</t>
        </is>
      </c>
      <c r="F4994" s="10" t="inlineStr">
        <is>
          <t>Hà Nội</t>
        </is>
      </c>
      <c r="G4994" s="10" t="inlineStr">
        <is>
          <t>Nhân viên</t>
        </is>
      </c>
      <c r="H4994" s="10" t="inlineStr">
        <is>
          <t>27/02/2026</t>
        </is>
      </c>
      <c r="I4994" s="10" t="inlineStr">
        <is>
          <t>29/03/2026</t>
        </is>
      </c>
      <c r="J4994" s="10" t="inlineStr">
        <is>
          <t>17/03/2026</t>
        </is>
      </c>
      <c r="K4994" s="10" t="inlineStr">
        <is>
          <t>N/A</t>
        </is>
      </c>
      <c r="L4994" s="10" t="inlineStr">
        <is>
          <t>Microsoft Office, Kiểm Toán, Tài Chính, MISA</t>
        </is>
      </c>
      <c r="M4994" s="10" t="inlineStr">
        <is>
          <t>Bonus, Healthcare Plan, Team Activities, Canteen</t>
        </is>
      </c>
      <c r="N4994" s="11">
        <f>HYPERLINK("https://www.vietnamworks.com/hot-job-ke-toan-tong-hop-general-accountant-thu-nhap-upto-20-25trthang-sl-02-nguoi-2015633-jv","Xem chi tiết")</f>
        <v/>
      </c>
      <c r="O4994" s="10" t="n"/>
    </row>
    <row r="4995">
      <c r="B4995" s="7" t="n">
        <v>4993</v>
      </c>
      <c r="C4995" t="inlineStr">
        <is>
          <t>Safety Staff</t>
        </is>
      </c>
      <c r="D4995" t="inlineStr">
        <is>
          <t>Công Ty TNHH SEI Optifrontier Việt Nam</t>
        </is>
      </c>
      <c r="E4995" t="inlineStr">
        <is>
          <t>Thương lượng</t>
        </is>
      </c>
      <c r="F4995" t="inlineStr">
        <is>
          <t>Phú Thọ, Hà Nội</t>
        </is>
      </c>
      <c r="G4995" t="inlineStr">
        <is>
          <t>Nhân viên</t>
        </is>
      </c>
      <c r="H4995" t="inlineStr">
        <is>
          <t>27/02/2026</t>
        </is>
      </c>
      <c r="I4995" t="inlineStr">
        <is>
          <t>29/03/2026</t>
        </is>
      </c>
      <c r="J4995" t="inlineStr">
        <is>
          <t>17/03/2026</t>
        </is>
      </c>
      <c r="K4995" t="inlineStr">
        <is>
          <t>N/A</t>
        </is>
      </c>
      <c r="L4995" t="inlineStr">
        <is>
          <t>Chemical Safety, Fire Safety, MS Office, Safety Inspection, Safety Regulations</t>
        </is>
      </c>
      <c r="M4995" t="inlineStr">
        <is>
          <t>Bonus, Healthcare Plan, Paid Leave, Travel Opportunities, Transportation, Kindergarten, Others</t>
        </is>
      </c>
      <c r="N4995" s="8">
        <f>HYPERLINK("https://www.vietnamworks.com/safety-staff-2015636-jv","Xem chi tiết")</f>
        <v/>
      </c>
    </row>
    <row r="4996">
      <c r="B4996" s="9" t="n">
        <v>4994</v>
      </c>
      <c r="C4996" s="10" t="inlineStr">
        <is>
          <t>Chuyên Viên Kế Toán (12-16 Triệu)</t>
        </is>
      </c>
      <c r="D4996" s="10" t="inlineStr">
        <is>
          <t>Công Ty CP TM HMH Việt Nam</t>
        </is>
      </c>
      <c r="E4996" s="10" t="inlineStr">
        <is>
          <t>12tr-16tr ₫/tháng</t>
        </is>
      </c>
      <c r="F4996" s="10" t="inlineStr">
        <is>
          <t>Hà Nội</t>
        </is>
      </c>
      <c r="G4996" s="10" t="inlineStr">
        <is>
          <t>Nhân viên</t>
        </is>
      </c>
      <c r="H4996" s="10" t="inlineStr">
        <is>
          <t>27/02/2026</t>
        </is>
      </c>
      <c r="I4996" s="10" t="inlineStr">
        <is>
          <t>29/03/2026</t>
        </is>
      </c>
      <c r="J4996" s="10" t="inlineStr">
        <is>
          <t>17/03/2026</t>
        </is>
      </c>
      <c r="K4996" s="10" t="inlineStr">
        <is>
          <t>N/A</t>
        </is>
      </c>
      <c r="L4996" s="10" t="inlineStr">
        <is>
          <t>Chứng Từ Thanh Toán, Hạch Toán, Phần Mềm Kế Toán, Quản Lý Hóa Đơn, Theo Dõi Công Nợ</t>
        </is>
      </c>
      <c r="M4996" s="10" t="inlineStr">
        <is>
          <t>Bonus, Healthcare Plan, Training, Awards, Laptop, Others</t>
        </is>
      </c>
      <c r="N4996" s="11">
        <f>HYPERLINK("https://www.vietnamworks.com/chuyen-vien-ke-toan-12-16-trieu-2015637-jv","Xem chi tiết")</f>
        <v/>
      </c>
      <c r="O4996" s="10" t="n"/>
    </row>
    <row r="4997">
      <c r="B4997" s="7" t="n">
        <v>4995</v>
      </c>
      <c r="C4997" t="inlineStr">
        <is>
          <t>Nhân Viên Kinh Doanh/ Sales Executive/ 销售人员</t>
        </is>
      </c>
      <c r="D4997" t="inlineStr">
        <is>
          <t>CÔNG TY TNHH CÔNG NGHỆ VẬT LIỆU MỚI ĐỨC THỊNH</t>
        </is>
      </c>
      <c r="E4997" t="inlineStr">
        <is>
          <t>10tr-50tr ₫/tháng</t>
        </is>
      </c>
      <c r="F4997" t="inlineStr">
        <is>
          <t>Hà Nội</t>
        </is>
      </c>
      <c r="G4997" t="inlineStr">
        <is>
          <t>Nhân viên</t>
        </is>
      </c>
      <c r="H4997" t="inlineStr">
        <is>
          <t>27/02/2026</t>
        </is>
      </c>
      <c r="I4997" t="inlineStr">
        <is>
          <t>29/03/2026</t>
        </is>
      </c>
      <c r="J4997" t="inlineStr">
        <is>
          <t>17/03/2026</t>
        </is>
      </c>
      <c r="K4997" t="inlineStr">
        <is>
          <t>N/A</t>
        </is>
      </c>
      <c r="L4997" t="inlineStr">
        <is>
          <t>Bán hàng, Kinh Doanh, Sales Executive, Sales xuất khẩu, Xuất Nhập Khẩu &amp; Logistics</t>
        </is>
      </c>
      <c r="M4997" t="inlineStr">
        <is>
          <t>Bonus, Healthcare Plan, Team Activities</t>
        </is>
      </c>
      <c r="N4997" s="8">
        <f>HYPERLINK("https://www.vietnamworks.com/nhan-vien-kinh-doanh-sales-executive-2015634-jv","Xem chi tiết")</f>
        <v/>
      </c>
    </row>
    <row r="4998">
      <c r="B4998" s="9" t="n">
        <v>4996</v>
      </c>
      <c r="C4998" s="10" t="inlineStr">
        <is>
          <t>VNPT EPAY - Chuyên Viên Kinh Doanh Mảng Cổng Thanh Toán</t>
        </is>
      </c>
      <c r="D4998" s="10" t="inlineStr">
        <is>
          <t>Công Ty CP Thanh Toán Điện Tử VNPT</t>
        </is>
      </c>
      <c r="E4998" s="10" t="inlineStr">
        <is>
          <t>18tr-40tr ₫/tháng</t>
        </is>
      </c>
      <c r="F4998" s="10" t="inlineStr">
        <is>
          <t>Hà Nội, Hồ Chí Minh</t>
        </is>
      </c>
      <c r="G4998" s="10" t="inlineStr">
        <is>
          <t>Nhân viên</t>
        </is>
      </c>
      <c r="H4998" s="10" t="inlineStr">
        <is>
          <t>27/02/2026</t>
        </is>
      </c>
      <c r="I4998" s="10" t="inlineStr">
        <is>
          <t>29/03/2026</t>
        </is>
      </c>
      <c r="J4998" s="10" t="inlineStr">
        <is>
          <t>17/03/2026</t>
        </is>
      </c>
      <c r="K4998" s="10" t="inlineStr">
        <is>
          <t>N/A</t>
        </is>
      </c>
      <c r="L4998" s="10" t="inlineStr">
        <is>
          <t>Kinh Doanh, Phát Triển Đối Tác, Phát Triển Kinh Doanh, Tìm Kiếm Khách Hàng, Bán Hàng</t>
        </is>
      </c>
      <c r="M4998" s="10" t="inlineStr">
        <is>
          <t>Bonus, Healthcare Plan, Travel Opportunities</t>
        </is>
      </c>
      <c r="N4998" s="11">
        <f>HYPERLINK("https://www.vietnamworks.com/vnpt-epay-chuyen-vien-kinh-doanh-mang-cong-thanh-toan--2015635-jv","Xem chi tiết")</f>
        <v/>
      </c>
      <c r="O4998" s="10" t="n"/>
    </row>
    <row r="4999">
      <c r="B4999" s="7" t="n">
        <v>4997</v>
      </c>
      <c r="C4999" t="inlineStr">
        <is>
          <t>International Business Assistant To Sales Director</t>
        </is>
      </c>
      <c r="D4999" t="inlineStr">
        <is>
          <t>Công Ty TNHH Bình Minh P.A.T</t>
        </is>
      </c>
      <c r="E4999" t="inlineStr">
        <is>
          <t>Thương lượng</t>
        </is>
      </c>
      <c r="F4999" t="inlineStr">
        <is>
          <t>Hồ Chí Minh</t>
        </is>
      </c>
      <c r="G4999" t="inlineStr">
        <is>
          <t>Mới Tốt Nghiệp</t>
        </is>
      </c>
      <c r="H4999" t="inlineStr">
        <is>
          <t>27/02/2026</t>
        </is>
      </c>
      <c r="I4999" t="inlineStr">
        <is>
          <t>29/03/2026</t>
        </is>
      </c>
      <c r="J4999" t="inlineStr">
        <is>
          <t>17/03/2026</t>
        </is>
      </c>
      <c r="K4999" t="inlineStr">
        <is>
          <t>N/A</t>
        </is>
      </c>
      <c r="L4999" t="inlineStr">
        <is>
          <t>International Business, Sales Planning, sales admin, Sales Support, trợ lý kinh doanh</t>
        </is>
      </c>
      <c r="M4999" t="inlineStr">
        <is>
          <t>Training, Travel Opportunities, Others</t>
        </is>
      </c>
      <c r="N4999" s="8">
        <f>HYPERLINK("https://www.vietnamworks.com/international-business-assistant-to-sales-director-2015607-jv","Xem chi tiết")</f>
        <v/>
      </c>
    </row>
    <row r="5000">
      <c r="B5000" s="9" t="n">
        <v>4998</v>
      </c>
      <c r="C5000" s="10" t="inlineStr">
        <is>
          <t>Store Manager (Cửa Hàng Trưởng) - Đà Nẵng</t>
        </is>
      </c>
      <c r="D5000" s="10" t="inlineStr">
        <is>
          <t>Havana Store</t>
        </is>
      </c>
      <c r="E5000" s="10" t="inlineStr">
        <is>
          <t>10tr-15tr ₫/tháng</t>
        </is>
      </c>
      <c r="F5000" s="10" t="inlineStr">
        <is>
          <t>Đà Nẵng</t>
        </is>
      </c>
      <c r="G5000" s="10" t="inlineStr">
        <is>
          <t>Trưởng phòng</t>
        </is>
      </c>
      <c r="H5000" s="10" t="inlineStr">
        <is>
          <t>27/02/2026</t>
        </is>
      </c>
      <c r="I5000" s="10" t="inlineStr">
        <is>
          <t>29/03/2026</t>
        </is>
      </c>
      <c r="J5000" s="10" t="inlineStr">
        <is>
          <t>17/03/2026</t>
        </is>
      </c>
      <c r="K5000" s="10" t="inlineStr">
        <is>
          <t>N/A</t>
        </is>
      </c>
      <c r="L5000" s="10" t="inlineStr">
        <is>
          <t>Quản Lý Cửa Hàng, Cửa hàng trưởng, Store Manager, Retail Management, Customer &amp; Client Service Excellence</t>
        </is>
      </c>
      <c r="M5000" s="10" t="inlineStr">
        <is>
          <t>Bonus, Healthcare Plan, Awards, Library, Others</t>
        </is>
      </c>
      <c r="N5000" s="11">
        <f>HYPERLINK("https://www.vietnamworks.com/store-manager-cua-hang-truong-da-nang-2015641-jv","Xem chi tiết")</f>
        <v/>
      </c>
      <c r="O5000" s="10" t="n"/>
    </row>
    <row r="5001">
      <c r="B5001" s="7" t="n">
        <v>4999</v>
      </c>
      <c r="C5001" t="inlineStr">
        <is>
          <t>Phiên Dịch Tiếng Trung (Lương Upto 20 Triệu/ Tháng)</t>
        </is>
      </c>
      <c r="D5001" t="inlineStr">
        <is>
          <t>Công ty TNHH Điện tử Meiko Hòa Bình</t>
        </is>
      </c>
      <c r="E5001" t="inlineStr">
        <is>
          <t>14tr-20tr ₫/tháng</t>
        </is>
      </c>
      <c r="F5001" t="inlineStr">
        <is>
          <t>Hòa Bình, Hà Nội</t>
        </is>
      </c>
      <c r="G5001" t="inlineStr">
        <is>
          <t>Nhân viên</t>
        </is>
      </c>
      <c r="H5001" t="inlineStr">
        <is>
          <t>27/02/2026</t>
        </is>
      </c>
      <c r="I5001" t="inlineStr">
        <is>
          <t>29/03/2026</t>
        </is>
      </c>
      <c r="J5001" t="inlineStr">
        <is>
          <t>17/03/2026</t>
        </is>
      </c>
      <c r="K5001" t="inlineStr">
        <is>
          <t>N/A</t>
        </is>
      </c>
      <c r="L5001" t="inlineStr">
        <is>
          <t>Biên Dịch, Chứng Chỉ Hsk5, HSK 5, Phiên Dịch, Tiếng Trung Hsk5</t>
        </is>
      </c>
      <c r="M5001" t="inlineStr">
        <is>
          <t>Bonus, Paid Leave, Training, Transportation, Canteen, Others</t>
        </is>
      </c>
      <c r="N5001" s="8">
        <f>HYPERLINK("https://www.vietnamworks.com/phien-dich-tieng-trung-luong-upto-20-trieu-thang-2015630-jv","Xem chi tiết")</f>
        <v/>
      </c>
    </row>
    <row r="5002">
      <c r="B5002" s="9" t="n">
        <v>5000</v>
      </c>
      <c r="C5002" s="10" t="inlineStr">
        <is>
          <t>Sale Support</t>
        </is>
      </c>
      <c r="D5002" s="10" t="inlineStr">
        <is>
          <t>Công Ty TNHH Dart GLOBAL Logistics Việt Nam</t>
        </is>
      </c>
      <c r="E5002" s="10" t="inlineStr">
        <is>
          <t>Thương lượng</t>
        </is>
      </c>
      <c r="F5002" s="10" t="inlineStr">
        <is>
          <t>Hồ Chí Minh</t>
        </is>
      </c>
      <c r="G5002" s="10" t="inlineStr">
        <is>
          <t>Nhân viên</t>
        </is>
      </c>
      <c r="H5002" s="10" t="inlineStr">
        <is>
          <t>27/02/2026</t>
        </is>
      </c>
      <c r="I5002" s="10" t="inlineStr">
        <is>
          <t>29/03/2026</t>
        </is>
      </c>
      <c r="J5002" s="10" t="inlineStr">
        <is>
          <t>17/03/2026</t>
        </is>
      </c>
      <c r="K5002" s="10" t="inlineStr">
        <is>
          <t>N/A</t>
        </is>
      </c>
      <c r="L5002" s="10" t="inlineStr">
        <is>
          <t>Foreign Trade, Forwarding, Import-Export, International Sales &amp; Marketing, Logistics</t>
        </is>
      </c>
      <c r="M5002" s="10" t="inlineStr">
        <is>
          <t>Bonus, Healthcare Plan, Others</t>
        </is>
      </c>
      <c r="N5002" s="11">
        <f>HYPERLINK("https://www.vietnamworks.com/sale-support--2015689-jv","Xem chi tiết")</f>
        <v/>
      </c>
      <c r="O5002" s="10" t="n"/>
    </row>
    <row r="5003">
      <c r="B5003" s="7" t="n">
        <v>5001</v>
      </c>
      <c r="C5003" t="inlineStr">
        <is>
          <t>Trưởng Phòng Trade Marketing (30 - 40 Triệu, Hà Nội, Ưu Tiên Phỏng Vấn Đi Làm Luôn)</t>
        </is>
      </c>
      <c r="D5003" t="inlineStr">
        <is>
          <t>Công ty Cổ phần Tập đoàn Đầu tư Bảo Ngọc</t>
        </is>
      </c>
      <c r="E5003" t="inlineStr">
        <is>
          <t>30tr-40tr ₫/tháng</t>
        </is>
      </c>
      <c r="F5003" t="inlineStr">
        <is>
          <t>Hà Nội</t>
        </is>
      </c>
      <c r="G5003" t="inlineStr">
        <is>
          <t>Trưởng phòng</t>
        </is>
      </c>
      <c r="H5003" t="inlineStr">
        <is>
          <t>27/02/2026</t>
        </is>
      </c>
      <c r="I5003" t="inlineStr">
        <is>
          <t>29/03/2026</t>
        </is>
      </c>
      <c r="J5003" t="inlineStr">
        <is>
          <t>17/03/2026</t>
        </is>
      </c>
      <c r="K5003" t="inlineStr">
        <is>
          <t>N/A</t>
        </is>
      </c>
      <c r="L5003" t="inlineStr">
        <is>
          <t>Trade Marketing, Market Analysis, Data Analysis, Quản Lý Doanh Số Bán Hàng, Quản Lý Ngân Sách</t>
        </is>
      </c>
      <c r="M5003" t="inlineStr">
        <is>
          <t>Bonus, Healthcare Plan, Training, Laptop, Team Activities, Canteen, Others</t>
        </is>
      </c>
      <c r="N5003" s="8">
        <f>HYPERLINK("https://www.vietnamworks.com/truong-phong-trade-marketing-30-40-trieu-ha-noi-uu-tien-phong-van-dji-lam-luon-2015639-jv","Xem chi tiết")</f>
        <v/>
      </c>
    </row>
    <row r="5004">
      <c r="B5004" s="9" t="n">
        <v>5002</v>
      </c>
      <c r="C5004" s="10" t="inlineStr">
        <is>
          <t>Nhân Viên Phát Triển</t>
        </is>
      </c>
      <c r="D5004" s="10" t="inlineStr">
        <is>
          <t>Công Ty TNHH Jungho Việt Nam</t>
        </is>
      </c>
      <c r="E5004" s="10" t="inlineStr">
        <is>
          <t>$$ 800-900 /tháng</t>
        </is>
      </c>
      <c r="F5004" s="10" t="inlineStr">
        <is>
          <t>Bắc Ninh</t>
        </is>
      </c>
      <c r="G5004" s="10" t="inlineStr">
        <is>
          <t>Nhân viên</t>
        </is>
      </c>
      <c r="H5004" s="10" t="inlineStr">
        <is>
          <t>27/02/2026</t>
        </is>
      </c>
      <c r="I5004" s="10" t="inlineStr">
        <is>
          <t>29/03/2026</t>
        </is>
      </c>
      <c r="J5004" s="10" t="inlineStr">
        <is>
          <t>17/03/2026</t>
        </is>
      </c>
      <c r="K5004" s="10" t="inlineStr">
        <is>
          <t>N/A</t>
        </is>
      </c>
      <c r="L5004" s="10" t="inlineStr">
        <is>
          <t>Đọc Dịch Bản Vẽ, Quản Lý Điều Hành Sản Xuất, Quản Lý Đề Xuất, Producing Wire Harness, Thành thạo Excel</t>
        </is>
      </c>
      <c r="M5004" s="10" t="inlineStr">
        <is>
          <t>Bonus, Healthcare Plan, Paid Leave</t>
        </is>
      </c>
      <c r="N5004" s="11">
        <f>HYPERLINK("https://www.vietnamworks.com/nhan-vien-phat-trien-2015650-jv","Xem chi tiết")</f>
        <v/>
      </c>
      <c r="O5004" s="10" t="n"/>
    </row>
    <row r="5005">
      <c r="B5005" s="7" t="n">
        <v>5003</v>
      </c>
      <c r="C5005" t="inlineStr">
        <is>
          <t>Import-Export Specialist</t>
        </is>
      </c>
      <c r="D5005" t="inlineStr">
        <is>
          <t>RRC Power Solutions</t>
        </is>
      </c>
      <c r="E5005" t="inlineStr">
        <is>
          <t>Thương lượng</t>
        </is>
      </c>
      <c r="F5005" t="inlineStr">
        <is>
          <t>Hải Phòng</t>
        </is>
      </c>
      <c r="G5005" t="inlineStr">
        <is>
          <t>Nhân viên</t>
        </is>
      </c>
      <c r="H5005" t="inlineStr">
        <is>
          <t>27/02/2026</t>
        </is>
      </c>
      <c r="I5005" t="inlineStr">
        <is>
          <t>29/03/2026</t>
        </is>
      </c>
      <c r="J5005" t="inlineStr">
        <is>
          <t>17/03/2026</t>
        </is>
      </c>
      <c r="K5005" t="inlineStr">
        <is>
          <t>N/A</t>
        </is>
      </c>
      <c r="L5005" t="inlineStr">
        <is>
          <t>Import-Export Procedure, Cargo Operation, Logistics Control, Microsoft Office, Analytical Skills</t>
        </is>
      </c>
      <c r="M5005" t="inlineStr">
        <is>
          <t>Healthcare Plan, Awards, Laptop</t>
        </is>
      </c>
      <c r="N5005" s="8">
        <f>HYPERLINK("https://www.vietnamworks.com/import-export-specialist-2015661-jv","Xem chi tiết")</f>
        <v/>
      </c>
    </row>
    <row r="5006">
      <c r="B5006" s="9" t="n">
        <v>5004</v>
      </c>
      <c r="C5006" s="10" t="inlineStr">
        <is>
          <t>Nhân Viên Marketing (Tại Hà Nội) - Đi Làm Ngay!</t>
        </is>
      </c>
      <c r="D5006" s="10" t="inlineStr">
        <is>
          <t>Công Ty TNHH Một Thành Viên Thương Mại Và Hợp Tác Giáo Dục Mỹ Việt</t>
        </is>
      </c>
      <c r="E5006" s="10" t="inlineStr">
        <is>
          <t>10tr-15tr ₫/tháng</t>
        </is>
      </c>
      <c r="F5006" s="10" t="inlineStr">
        <is>
          <t>Hà Nội</t>
        </is>
      </c>
      <c r="G5006" s="10" t="inlineStr">
        <is>
          <t>Nhân viên</t>
        </is>
      </c>
      <c r="H5006" s="10" t="inlineStr">
        <is>
          <t>27/02/2026</t>
        </is>
      </c>
      <c r="I5006" s="10" t="inlineStr">
        <is>
          <t>29/03/2026</t>
        </is>
      </c>
      <c r="J5006" s="10" t="inlineStr">
        <is>
          <t>17/03/2026</t>
        </is>
      </c>
      <c r="K5006" s="10" t="inlineStr">
        <is>
          <t>N/A</t>
        </is>
      </c>
      <c r="L5006" s="10" t="inlineStr">
        <is>
          <t>Content Creation, Digital Storytelling, Video Editing, Creative Thinking, English Communication</t>
        </is>
      </c>
      <c r="M5006" s="10" t="inlineStr">
        <is>
          <t>Bonus, Healthcare Plan, Travel Opportunities, Team Activities, Others</t>
        </is>
      </c>
      <c r="N5006" s="11">
        <f>HYPERLINK("https://www.vietnamworks.com/nhan-vien-marketing-tai-ha-noi-dji-lam-ngay-2015687-jv","Xem chi tiết")</f>
        <v/>
      </c>
      <c r="O5006" s="10" t="n"/>
    </row>
    <row r="5007">
      <c r="B5007" s="7" t="n">
        <v>5005</v>
      </c>
      <c r="C5007" t="inlineStr">
        <is>
          <t>IT Staff</t>
        </is>
      </c>
      <c r="D5007" t="inlineStr">
        <is>
          <t>Công Ty TNHH SEI Optifrontier Việt Nam</t>
        </is>
      </c>
      <c r="E5007" t="inlineStr">
        <is>
          <t>Thương lượng</t>
        </is>
      </c>
      <c r="F5007" t="inlineStr">
        <is>
          <t>Phú Thọ, Hà Nội</t>
        </is>
      </c>
      <c r="G5007" t="inlineStr">
        <is>
          <t>Nhân viên</t>
        </is>
      </c>
      <c r="H5007" t="inlineStr">
        <is>
          <t>27/02/2026</t>
        </is>
      </c>
      <c r="I5007" t="inlineStr">
        <is>
          <t>29/03/2026</t>
        </is>
      </c>
      <c r="J5007" t="inlineStr">
        <is>
          <t>17/03/2026</t>
        </is>
      </c>
      <c r="K5007" t="inlineStr">
        <is>
          <t>N/A</t>
        </is>
      </c>
      <c r="L5007" t="inlineStr">
        <is>
          <t>Excel Macro, Power Query, Python, SQL Server</t>
        </is>
      </c>
      <c r="M5007" t="inlineStr">
        <is>
          <t>Bonus, Healthcare Plan, Paid Leave, Travel Opportunities, Transportation, Kindergarten, Others</t>
        </is>
      </c>
      <c r="N5007" s="8">
        <f>HYPERLINK("https://www.vietnamworks.com/it-staff-2015643-jv","Xem chi tiết")</f>
        <v/>
      </c>
    </row>
    <row r="5008">
      <c r="B5008" s="9" t="n">
        <v>5006</v>
      </c>
      <c r="C5008" s="10" t="inlineStr">
        <is>
          <t>Analyst (1 Year Contract) - Remittance Operation/Risk Management</t>
        </is>
      </c>
      <c r="D5008" s="10" t="inlineStr">
        <is>
          <t>Mizuho Bank, Ltd.</t>
        </is>
      </c>
      <c r="E5008" s="10" t="inlineStr">
        <is>
          <t>Thương lượng</t>
        </is>
      </c>
      <c r="F5008" s="10" t="inlineStr">
        <is>
          <t>Hà Nội</t>
        </is>
      </c>
      <c r="G5008" s="10" t="inlineStr">
        <is>
          <t>Nhân viên</t>
        </is>
      </c>
      <c r="H5008" s="10" t="inlineStr">
        <is>
          <t>27/02/2026</t>
        </is>
      </c>
      <c r="I5008" s="10" t="inlineStr">
        <is>
          <t>29/03/2026</t>
        </is>
      </c>
      <c r="J5008" s="10" t="inlineStr">
        <is>
          <t>17/03/2026</t>
        </is>
      </c>
      <c r="K5008" s="10" t="inlineStr">
        <is>
          <t>N/A</t>
        </is>
      </c>
      <c r="L5008" s="10" t="inlineStr">
        <is>
          <t>Analytical Skills, Banking, Credit Risk Management, English, Finance</t>
        </is>
      </c>
      <c r="M5008" s="10" t="inlineStr">
        <is>
          <t>Bonus, Healthcare Plan, Paid Leave, Others</t>
        </is>
      </c>
      <c r="N5008" s="11">
        <f>HYPERLINK("https://www.vietnamworks.com/analyst-1-year-contract-remittance-operationrisk-management-2015699-jv","Xem chi tiết")</f>
        <v/>
      </c>
      <c r="O5008" s="10" t="n"/>
    </row>
    <row r="5009">
      <c r="B5009" s="7" t="n">
        <v>5007</v>
      </c>
      <c r="C5009" t="inlineStr">
        <is>
          <t>QA Staff (In Charge of Internal Quality Issues)</t>
        </is>
      </c>
      <c r="D5009" t="inlineStr">
        <is>
          <t>Công Ty TNHH SEI Optifrontier Việt Nam</t>
        </is>
      </c>
      <c r="E5009" t="inlineStr">
        <is>
          <t>Thương lượng</t>
        </is>
      </c>
      <c r="F5009" t="inlineStr">
        <is>
          <t>Phú Thọ, Hà Nội</t>
        </is>
      </c>
      <c r="G5009" t="inlineStr">
        <is>
          <t>Nhân viên</t>
        </is>
      </c>
      <c r="H5009" t="inlineStr">
        <is>
          <t>27/02/2026</t>
        </is>
      </c>
      <c r="I5009" t="inlineStr">
        <is>
          <t>29/03/2026</t>
        </is>
      </c>
      <c r="J5009" t="inlineStr">
        <is>
          <t>17/03/2026</t>
        </is>
      </c>
      <c r="K5009" t="inlineStr">
        <is>
          <t>N/A</t>
        </is>
      </c>
      <c r="L5009" t="inlineStr">
        <is>
          <t>Analytical Skills, English, Process Quality Management, QMS Auditing, Reporting</t>
        </is>
      </c>
      <c r="M5009" t="inlineStr">
        <is>
          <t>Bonus, Healthcare Plan, Paid Leave, Travel Opportunities, Transportation, Kindergarten, Others</t>
        </is>
      </c>
      <c r="N5009" s="8">
        <f>HYPERLINK("https://www.vietnamworks.com/qa-staff-in-charge-of-internal-quality-issues-2015693-jv","Xem chi tiết")</f>
        <v/>
      </c>
    </row>
    <row r="5010">
      <c r="B5010" s="9" t="n">
        <v>5008</v>
      </c>
      <c r="C5010" s="10" t="inlineStr">
        <is>
          <t>Sea Export Staff</t>
        </is>
      </c>
      <c r="D5010" s="10" t="inlineStr">
        <is>
          <t>LX Pantos Vietnam</t>
        </is>
      </c>
      <c r="E5010" s="10" t="inlineStr">
        <is>
          <t>Thương lượng</t>
        </is>
      </c>
      <c r="F5010" s="10" t="inlineStr">
        <is>
          <t>Hà Nội</t>
        </is>
      </c>
      <c r="G5010" s="10" t="inlineStr">
        <is>
          <t>Nhân viên</t>
        </is>
      </c>
      <c r="H5010" s="10" t="inlineStr">
        <is>
          <t>27/02/2026</t>
        </is>
      </c>
      <c r="I5010" s="10" t="inlineStr">
        <is>
          <t>29/03/2026</t>
        </is>
      </c>
      <c r="J5010" s="10" t="inlineStr">
        <is>
          <t>17/03/2026</t>
        </is>
      </c>
      <c r="K5010" s="10" t="inlineStr">
        <is>
          <t>N/A</t>
        </is>
      </c>
      <c r="L5010" s="10" t="inlineStr">
        <is>
          <t>Sea Export, Freight Forwarding, Logistics, Sea Freight, Tiếng Anh</t>
        </is>
      </c>
      <c r="M5010" s="10" t="inlineStr">
        <is>
          <t>Bonus, Healthcare Plan, Training</t>
        </is>
      </c>
      <c r="N5010" s="11">
        <f>HYPERLINK("https://www.vietnamworks.com/sea-export-staff--2015694-jv","Xem chi tiết")</f>
        <v/>
      </c>
      <c r="O5010" s="10" t="n"/>
    </row>
    <row r="5011">
      <c r="B5011" s="7" t="n">
        <v>5009</v>
      </c>
      <c r="C5011" t="inlineStr">
        <is>
          <t>Tele-Consultant (Pharmacy)</t>
        </is>
      </c>
      <c r="D5011" t="inlineStr">
        <is>
          <t>Zuellig Pharma Viet Nam</t>
        </is>
      </c>
      <c r="E5011" t="inlineStr">
        <is>
          <t>Thương lượng</t>
        </is>
      </c>
      <c r="F5011" t="inlineStr">
        <is>
          <t>Hồ Chí Minh</t>
        </is>
      </c>
      <c r="G5011" t="inlineStr">
        <is>
          <t>Nhân viên</t>
        </is>
      </c>
      <c r="H5011" t="inlineStr">
        <is>
          <t>27/02/2026</t>
        </is>
      </c>
      <c r="I5011" t="inlineStr">
        <is>
          <t>29/03/2026</t>
        </is>
      </c>
      <c r="J5011" t="inlineStr">
        <is>
          <t>17/03/2026</t>
        </is>
      </c>
      <c r="K5011" t="inlineStr">
        <is>
          <t>N/A</t>
        </is>
      </c>
      <c r="L5011" t="inlineStr">
        <is>
          <t>Telesales, Customer Service, Pharmaceutical Healthcare</t>
        </is>
      </c>
      <c r="M5011" t="inlineStr">
        <is>
          <t>Bonus, Healthcare Plan, Paid Leave</t>
        </is>
      </c>
      <c r="N5011" s="8">
        <f>HYPERLINK("https://www.vietnamworks.com/tele-consultant-pharmacy--2015702-jv","Xem chi tiết")</f>
        <v/>
      </c>
    </row>
    <row r="5012">
      <c r="B5012" s="9" t="n">
        <v>5010</v>
      </c>
      <c r="C5012" s="10" t="inlineStr">
        <is>
          <t>C#, .Net Senior Developer</t>
        </is>
      </c>
      <c r="D5012" s="10" t="inlineStr">
        <is>
          <t>Công Ty Cổ Phần Icsp Việt Nam</t>
        </is>
      </c>
      <c r="E5012" s="10" t="inlineStr">
        <is>
          <t>Tới 50tr ₫/tháng</t>
        </is>
      </c>
      <c r="F5012" s="10" t="inlineStr">
        <is>
          <t>Hà Nội</t>
        </is>
      </c>
      <c r="G5012" s="10" t="inlineStr">
        <is>
          <t>Nhân viên</t>
        </is>
      </c>
      <c r="H5012" s="10" t="inlineStr">
        <is>
          <t>27/02/2026</t>
        </is>
      </c>
      <c r="I5012" s="10" t="inlineStr">
        <is>
          <t>29/03/2026</t>
        </is>
      </c>
      <c r="J5012" s="10" t="inlineStr">
        <is>
          <t>17/03/2026</t>
        </is>
      </c>
      <c r="K5012" s="10" t="inlineStr">
        <is>
          <t>N/A</t>
        </is>
      </c>
      <c r="L5012" s="10" t="inlineStr">
        <is>
          <t>C#, SQL Server, Dev Leader Experience, Agile Scrum, Teamwork</t>
        </is>
      </c>
      <c r="M5012" s="10" t="inlineStr">
        <is>
          <t>Bonus, Healthcare Plan, Paid Leave, Training, Others</t>
        </is>
      </c>
      <c r="N5012" s="11">
        <f>HYPERLINK("https://www.vietnamworks.com/c-net-senior-developer-2015688-jv","Xem chi tiết")</f>
        <v/>
      </c>
      <c r="O5012" s="10" t="n"/>
    </row>
    <row r="5013">
      <c r="B5013" s="7" t="n">
        <v>5011</v>
      </c>
      <c r="C5013" t="inlineStr">
        <is>
          <t>QA Staff (In Change of ISO 9001)</t>
        </is>
      </c>
      <c r="D5013" t="inlineStr">
        <is>
          <t>Công Ty TNHH SEI Optifrontier Việt Nam</t>
        </is>
      </c>
      <c r="E5013" t="inlineStr">
        <is>
          <t>Thương lượng</t>
        </is>
      </c>
      <c r="F5013" t="inlineStr">
        <is>
          <t>Phú Thọ, Hà Nội</t>
        </is>
      </c>
      <c r="G5013" t="inlineStr">
        <is>
          <t>Nhân viên</t>
        </is>
      </c>
      <c r="H5013" t="inlineStr">
        <is>
          <t>27/02/2026</t>
        </is>
      </c>
      <c r="I5013" t="inlineStr">
        <is>
          <t>29/03/2026</t>
        </is>
      </c>
      <c r="J5013" t="inlineStr">
        <is>
          <t>17/03/2026</t>
        </is>
      </c>
      <c r="K5013" t="inlineStr">
        <is>
          <t>N/A</t>
        </is>
      </c>
      <c r="L5013" t="inlineStr">
        <is>
          <t>Analytical Skills, English, ISO 9001, QMS, Reporting</t>
        </is>
      </c>
      <c r="M5013" t="inlineStr">
        <is>
          <t>Bonus, Healthcare Plan, Paid Leave, Travel Opportunities, Transportation, Kindergarten, Others</t>
        </is>
      </c>
      <c r="N5013" s="8">
        <f>HYPERLINK("https://www.vietnamworks.com/qa-staff-in-change-of-iso-9001-2015686-jv","Xem chi tiết")</f>
        <v/>
      </c>
    </row>
    <row r="5014">
      <c r="B5014" s="9" t="n">
        <v>5012</v>
      </c>
      <c r="C5014" s="10" t="inlineStr">
        <is>
          <t>Custodian/ Tạp Vụ (2 Vị Trí)</t>
        </is>
      </c>
      <c r="D5014" s="10" t="inlineStr">
        <is>
          <t>U.S. Mission Vietnam – U.S. Embassy In Hanoi</t>
        </is>
      </c>
      <c r="E5014" s="10" t="inlineStr">
        <is>
          <t>Thương lượng</t>
        </is>
      </c>
      <c r="F5014" s="10" t="inlineStr">
        <is>
          <t>Hà Nội</t>
        </is>
      </c>
      <c r="G5014" s="10" t="inlineStr">
        <is>
          <t>Nhân viên</t>
        </is>
      </c>
      <c r="H5014" s="10" t="inlineStr">
        <is>
          <t>27/02/2026</t>
        </is>
      </c>
      <c r="I5014" s="10" t="inlineStr">
        <is>
          <t>29/03/2026</t>
        </is>
      </c>
      <c r="J5014" s="10" t="inlineStr">
        <is>
          <t>17/03/2026</t>
        </is>
      </c>
      <c r="K5014" s="10" t="inlineStr">
        <is>
          <t>N/A</t>
        </is>
      </c>
      <c r="L5014" s="10" t="inlineStr">
        <is>
          <t>English, Lao Động Tạp Vụ, Quản Lý Tạp Vụ, Quản Lý Vệ Sinh, Vệ Sinh Lau Dọn</t>
        </is>
      </c>
      <c r="M5014" s="10" t="inlineStr">
        <is>
          <t>Bonus, Healthcare Plan, Others</t>
        </is>
      </c>
      <c r="N5014" s="11">
        <f>HYPERLINK("https://www.vietnamworks.com/custodian-tap-vu-2-vi-tri-2015695-jv","Xem chi tiết")</f>
        <v/>
      </c>
      <c r="O5014" s="10" t="n"/>
    </row>
    <row r="5015">
      <c r="B5015" s="7" t="n">
        <v>5013</v>
      </c>
      <c r="C5015" t="inlineStr">
        <is>
          <t>Kỹ Sư Máy</t>
        </is>
      </c>
      <c r="D5015" t="inlineStr">
        <is>
          <t>Nomura - Haiphong Industrial Zone Development Corporation</t>
        </is>
      </c>
      <c r="E5015" t="inlineStr">
        <is>
          <t>Thương lượng</t>
        </is>
      </c>
      <c r="F5015" t="inlineStr">
        <is>
          <t>Hải Phòng</t>
        </is>
      </c>
      <c r="G5015" t="inlineStr">
        <is>
          <t>Nhân viên</t>
        </is>
      </c>
      <c r="H5015" t="inlineStr">
        <is>
          <t>27/02/2026</t>
        </is>
      </c>
      <c r="I5015" t="inlineStr">
        <is>
          <t>29/03/2026</t>
        </is>
      </c>
      <c r="J5015" t="inlineStr">
        <is>
          <t>17/03/2026</t>
        </is>
      </c>
      <c r="K5015" t="inlineStr">
        <is>
          <t>N/A</t>
        </is>
      </c>
      <c r="L5015" t="inlineStr">
        <is>
          <t>Kỹ Thuật Cơ Khí, Tiếng Anh, Bảo Dưỡng</t>
        </is>
      </c>
      <c r="M5015" t="inlineStr">
        <is>
          <t>Bonus, Healthcare Plan, Paid Leave</t>
        </is>
      </c>
      <c r="N5015" s="8">
        <f>HYPERLINK("https://www.vietnamworks.com/ky-su-may--2015696-jv","Xem chi tiết")</f>
        <v/>
      </c>
    </row>
    <row r="5016">
      <c r="B5016" s="9" t="n">
        <v>5014</v>
      </c>
      <c r="C5016" s="10" t="inlineStr">
        <is>
          <t>Chuyên Viên Cao Cấp Đầu Tư (Phân Tích Mô Hình Kinh Doanh)</t>
        </is>
      </c>
      <c r="D5016" s="10" t="inlineStr">
        <is>
          <t>Công ty TNHH SX&amp;TM Minh Ngọc</t>
        </is>
      </c>
      <c r="E5016" s="10" t="inlineStr">
        <is>
          <t>Thương lượng</t>
        </is>
      </c>
      <c r="F5016" s="10" t="inlineStr">
        <is>
          <t>Hà Nội</t>
        </is>
      </c>
      <c r="G5016" s="10" t="inlineStr">
        <is>
          <t>Nhân viên</t>
        </is>
      </c>
      <c r="H5016" s="10" t="inlineStr">
        <is>
          <t>27/02/2026</t>
        </is>
      </c>
      <c r="I5016" s="10" t="inlineStr">
        <is>
          <t>29/03/2026</t>
        </is>
      </c>
      <c r="J5016" s="10" t="inlineStr">
        <is>
          <t>17/03/2026</t>
        </is>
      </c>
      <c r="K5016" s="10" t="inlineStr">
        <is>
          <t>N/A</t>
        </is>
      </c>
      <c r="L5016" s="10" t="inlineStr">
        <is>
          <t>Phân Tích Tài Chính, Nghiên Cứu Thị Trường, Quản Trị Kinh Doanh, Tư Vấn Đầu Tư, Tiếng Anh</t>
        </is>
      </c>
      <c r="M5016" s="10" t="inlineStr">
        <is>
          <t>Bonus, Healthcare Plan, Training, Others</t>
        </is>
      </c>
      <c r="N5016" s="11">
        <f>HYPERLINK("https://www.vietnamworks.com/chuyen-vien-cao-cap-djau-tu-phan-tich-mo-hinh-kinh-doanh-2015697-jv","Xem chi tiết")</f>
        <v/>
      </c>
      <c r="O5016" s="10" t="n"/>
    </row>
    <row r="5017">
      <c r="B5017" s="7" t="n">
        <v>5015</v>
      </c>
      <c r="C5017" t="inlineStr">
        <is>
          <t>Trợ Lý Quản Lý Sản Xuất- Supervisor</t>
        </is>
      </c>
      <c r="D5017" t="inlineStr">
        <is>
          <t>Công Ty TNHH Jungho Việt Nam</t>
        </is>
      </c>
      <c r="E5017" t="inlineStr">
        <is>
          <t>Thương lượng</t>
        </is>
      </c>
      <c r="F5017" t="inlineStr">
        <is>
          <t>Bắc Ninh</t>
        </is>
      </c>
      <c r="G5017" t="inlineStr">
        <is>
          <t>Mới Tốt Nghiệp</t>
        </is>
      </c>
      <c r="H5017" t="inlineStr">
        <is>
          <t>27/02/2026</t>
        </is>
      </c>
      <c r="I5017" t="inlineStr">
        <is>
          <t>29/03/2026</t>
        </is>
      </c>
      <c r="J5017" t="inlineStr">
        <is>
          <t>17/03/2026</t>
        </is>
      </c>
      <c r="K5017" t="inlineStr">
        <is>
          <t>N/A</t>
        </is>
      </c>
      <c r="L5017" t="inlineStr">
        <is>
          <t>Lắp Ráp, Quản Lý Tồn Kho, CAPA, Quản Trị Hệ Thống ERP, Soạn Báo Cáo</t>
        </is>
      </c>
      <c r="M5017" t="inlineStr">
        <is>
          <t>Bonus, Healthcare Plan, Paid Leave, Training</t>
        </is>
      </c>
      <c r="N5017" s="8">
        <f>HYPERLINK("https://www.vietnamworks.com/tro-ly-quan-ly-san-xuat-supervisor-2015660-jv","Xem chi tiết")</f>
        <v/>
      </c>
    </row>
    <row r="5018">
      <c r="B5018" s="9" t="n">
        <v>5016</v>
      </c>
      <c r="C5018" s="10" t="inlineStr">
        <is>
          <t>Content Marketing Lead (Thu Nhập Lên Tới 18 Triệu/ Tháng)</t>
        </is>
      </c>
      <c r="D5018" s="10" t="inlineStr">
        <is>
          <t>Công Ty TNHH Thương Mại Konox Việt Nam</t>
        </is>
      </c>
      <c r="E5018" s="10" t="inlineStr">
        <is>
          <t>16tr-18tr ₫/tháng</t>
        </is>
      </c>
      <c r="F5018" s="10" t="inlineStr">
        <is>
          <t>Hà Nội</t>
        </is>
      </c>
      <c r="G5018" s="10" t="inlineStr">
        <is>
          <t>Nhân viên</t>
        </is>
      </c>
      <c r="H5018" s="10" t="inlineStr">
        <is>
          <t>27/02/2026</t>
        </is>
      </c>
      <c r="I5018" s="10" t="inlineStr">
        <is>
          <t>29/03/2026</t>
        </is>
      </c>
      <c r="J5018" s="10" t="inlineStr">
        <is>
          <t>17/03/2026</t>
        </is>
      </c>
      <c r="K5018" s="10" t="inlineStr">
        <is>
          <t>N/A</t>
        </is>
      </c>
      <c r="L5018" s="10" t="inlineStr">
        <is>
          <t>Digital Marketing, Google Ads, Facebook Ads, Data Analysis, Content Marketing</t>
        </is>
      </c>
      <c r="M5018" s="10" t="inlineStr">
        <is>
          <t>Bonus, Healthcare Plan, Training, Laptop, Team Activities, Others</t>
        </is>
      </c>
      <c r="N5018" s="11">
        <f>HYPERLINK("https://www.vietnamworks.com/content-marketing-lead-thu-nhap-len-toi-18-trieu-thang-2015703-jv","Xem chi tiết")</f>
        <v/>
      </c>
      <c r="O5018" s="10" t="n"/>
    </row>
    <row r="5019">
      <c r="B5019" s="7" t="n">
        <v>5017</v>
      </c>
      <c r="C5019" t="inlineStr">
        <is>
          <t>EVENT MANAGER (DỰ ÁN TRUYỀN THÔNG - MEDIA AGENCY)</t>
        </is>
      </c>
      <c r="D5019" t="inlineStr">
        <is>
          <t>Công Ty Cổ phần TAJ Việt Nam</t>
        </is>
      </c>
      <c r="E5019" t="inlineStr">
        <is>
          <t>Thương lượng</t>
        </is>
      </c>
      <c r="F5019" t="inlineStr">
        <is>
          <t>Hồ Chí Minh</t>
        </is>
      </c>
      <c r="G5019" t="inlineStr">
        <is>
          <t>Trưởng phòng</t>
        </is>
      </c>
      <c r="H5019" t="inlineStr">
        <is>
          <t>27/02/2026</t>
        </is>
      </c>
      <c r="I5019" t="inlineStr">
        <is>
          <t>29/03/2026</t>
        </is>
      </c>
      <c r="J5019" t="inlineStr">
        <is>
          <t>17/03/2026</t>
        </is>
      </c>
      <c r="K5019" t="inlineStr">
        <is>
          <t>N/A</t>
        </is>
      </c>
      <c r="L5019" t="inlineStr">
        <is>
          <t>Event Advertising, Event Content, Event Marketing, Quảng Cáo, Truyền Thông Sản Phẩm</t>
        </is>
      </c>
      <c r="M5019" t="inlineStr">
        <is>
          <t>Bonus, Healthcare Plan, Paid Leave, Training, Others</t>
        </is>
      </c>
      <c r="N5019" s="8">
        <f>HYPERLINK("https://www.vietnamworks.com/event-manager-du-an-truyen-thong-media-agency-2015685-jv","Xem chi tiết")</f>
        <v/>
      </c>
    </row>
    <row r="5020">
      <c r="B5020" s="9" t="n">
        <v>5018</v>
      </c>
      <c r="C5020" s="10" t="inlineStr">
        <is>
          <t>Phiên Dịch Tiếng Hàn</t>
        </is>
      </c>
      <c r="D5020" s="10" t="inlineStr">
        <is>
          <t>CÔNG TY TNHH VIETNAM SAFETY</t>
        </is>
      </c>
      <c r="E5020" s="10" t="inlineStr">
        <is>
          <t>Từ 30tr ₫/tháng</t>
        </is>
      </c>
      <c r="F5020" s="10" t="inlineStr">
        <is>
          <t>Hà Nội</t>
        </is>
      </c>
      <c r="G5020" s="10" t="inlineStr">
        <is>
          <t>Mới Tốt Nghiệp</t>
        </is>
      </c>
      <c r="H5020" s="10" t="inlineStr">
        <is>
          <t>27/02/2026</t>
        </is>
      </c>
      <c r="I5020" s="10" t="inlineStr">
        <is>
          <t>29/03/2026</t>
        </is>
      </c>
      <c r="J5020" s="10" t="inlineStr">
        <is>
          <t>17/03/2026</t>
        </is>
      </c>
      <c r="K5020" s="10" t="inlineStr">
        <is>
          <t>N/A</t>
        </is>
      </c>
      <c r="L5020" s="10" t="inlineStr">
        <is>
          <t>Korean Language, Translation skills, Business Communication, Drafting Documents, Interpersonal skills</t>
        </is>
      </c>
      <c r="M5020" s="10" t="inlineStr">
        <is>
          <t>Bonus, Healthcare Plan, Others</t>
        </is>
      </c>
      <c r="N5020" s="11">
        <f>HYPERLINK("https://www.vietnamworks.com/phien-dich-tieng-han-2015684-jv","Xem chi tiết")</f>
        <v/>
      </c>
      <c r="O5020" s="10" t="n"/>
    </row>
    <row r="5021">
      <c r="B5021" s="7" t="n">
        <v>5019</v>
      </c>
      <c r="C5021" t="inlineStr">
        <is>
          <t>Senior Sales Manager</t>
        </is>
      </c>
      <c r="D5021" t="inlineStr">
        <is>
          <t>CÔNG TY TNHH FAMILY SAKURA</t>
        </is>
      </c>
      <c r="E5021" t="inlineStr">
        <is>
          <t>Thương lượng</t>
        </is>
      </c>
      <c r="F5021" t="inlineStr">
        <is>
          <t>Hồ Chí Minh</t>
        </is>
      </c>
      <c r="G5021" t="inlineStr">
        <is>
          <t>Trưởng phòng</t>
        </is>
      </c>
      <c r="H5021" t="inlineStr">
        <is>
          <t>27/02/2026</t>
        </is>
      </c>
      <c r="I5021" t="inlineStr">
        <is>
          <t>29/03/2026</t>
        </is>
      </c>
      <c r="J5021" t="inlineStr">
        <is>
          <t>17/03/2026</t>
        </is>
      </c>
      <c r="K5021" t="inlineStr">
        <is>
          <t>N/A</t>
        </is>
      </c>
      <c r="L5021" t="inlineStr">
        <is>
          <t>Sales Management, Market Development, Key Account Management, Negotiation, Communication</t>
        </is>
      </c>
      <c r="M5021" t="inlineStr">
        <is>
          <t>Bonus, Healthcare Plan, Paid Leave, Laptop, Transportation, Others</t>
        </is>
      </c>
      <c r="N5021" s="8">
        <f>HYPERLINK("https://www.vietnamworks.com/senior-sales-manager-2015642-jv","Xem chi tiết")</f>
        <v/>
      </c>
    </row>
    <row r="5022">
      <c r="B5022" s="9" t="n">
        <v>5020</v>
      </c>
      <c r="C5022" s="10" t="inlineStr">
        <is>
          <t>Assistant Manager</t>
        </is>
      </c>
      <c r="D5022" s="10" t="inlineStr">
        <is>
          <t>Golden Owl Solutions Corporation</t>
        </is>
      </c>
      <c r="E5022" s="10" t="inlineStr">
        <is>
          <t>25tr-30tr ₫/tháng</t>
        </is>
      </c>
      <c r="F5022" s="10" t="inlineStr">
        <is>
          <t>Hồ Chí Minh</t>
        </is>
      </c>
      <c r="G5022" s="10" t="inlineStr">
        <is>
          <t>Nhân viên</t>
        </is>
      </c>
      <c r="H5022" s="10" t="inlineStr">
        <is>
          <t>27/02/2026</t>
        </is>
      </c>
      <c r="I5022" s="10" t="inlineStr">
        <is>
          <t>29/03/2026</t>
        </is>
      </c>
      <c r="J5022" s="10" t="inlineStr">
        <is>
          <t>17/03/2026</t>
        </is>
      </c>
      <c r="K5022" s="10" t="inlineStr">
        <is>
          <t>N/A</t>
        </is>
      </c>
      <c r="L5022" s="10" t="inlineStr">
        <is>
          <t>Operations Management, Cross-Functional Coordination, English Communication, Executive Support, Strategy Execution</t>
        </is>
      </c>
      <c r="M5022" s="10" t="inlineStr">
        <is>
          <t>Bonus, Healthcare Plan, Paid Leave, Training, Laptop, Travel Opportunities, Team Activities, Canteen, Others</t>
        </is>
      </c>
      <c r="N5022" s="11">
        <f>HYPERLINK("https://www.vietnamworks.com/assistant-manager-2015698-jv","Xem chi tiết")</f>
        <v/>
      </c>
      <c r="O5022" s="10" t="n"/>
    </row>
    <row r="5023">
      <c r="B5023" s="7" t="n">
        <v>5021</v>
      </c>
      <c r="C5023" t="inlineStr">
        <is>
          <t>ACCOUNT EXECUTIVE (QUẢN LÝ DỰ ÁN TRUYỀN THÔNG - MEDIA AGENCY)</t>
        </is>
      </c>
      <c r="D5023" t="inlineStr">
        <is>
          <t>Công Ty Cổ phần TAJ Việt Nam</t>
        </is>
      </c>
      <c r="E5023" t="inlineStr">
        <is>
          <t>Thương lượng</t>
        </is>
      </c>
      <c r="F5023" t="inlineStr">
        <is>
          <t>Hà Nội</t>
        </is>
      </c>
      <c r="G5023" t="inlineStr">
        <is>
          <t>Nhân viên</t>
        </is>
      </c>
      <c r="H5023" t="inlineStr">
        <is>
          <t>27/02/2026</t>
        </is>
      </c>
      <c r="I5023" t="inlineStr">
        <is>
          <t>29/03/2026</t>
        </is>
      </c>
      <c r="J5023" t="inlineStr">
        <is>
          <t>17/03/2026</t>
        </is>
      </c>
      <c r="K5023" t="inlineStr">
        <is>
          <t>N/A</t>
        </is>
      </c>
      <c r="L5023" t="inlineStr">
        <is>
          <t>Event Advertising, Event Content, Event Marketing, Quảng Cáo, Truyền Thông Sản Phẩm</t>
        </is>
      </c>
      <c r="M5023" t="inlineStr">
        <is>
          <t>Bonus, Healthcare Plan, Paid Leave, Training, Others</t>
        </is>
      </c>
      <c r="N5023" s="8">
        <f>HYPERLINK("https://www.vietnamworks.com/account-executive-quan-ly-du-an-truyen-thong-media-agency-2015706-jv","Xem chi tiết")</f>
        <v/>
      </c>
    </row>
    <row r="5024">
      <c r="B5024" s="9" t="n">
        <v>5022</v>
      </c>
      <c r="C5024" s="10" t="inlineStr">
        <is>
          <t>Kỹ Sư SMT - Ưu Tiên Tiếng Trung Giao Tiếp</t>
        </is>
      </c>
      <c r="D5024" s="10" t="inlineStr">
        <is>
          <t>Công Ty TNHH Điện Tử Longcheer Meiko Việt Nam</t>
        </is>
      </c>
      <c r="E5024" s="10" t="inlineStr">
        <is>
          <t>$$ 600-1,000 /tháng</t>
        </is>
      </c>
      <c r="F5024" s="10" t="inlineStr">
        <is>
          <t>Hà Nội</t>
        </is>
      </c>
      <c r="G5024" s="10" t="inlineStr">
        <is>
          <t>Nhân viên</t>
        </is>
      </c>
      <c r="H5024" s="10" t="inlineStr">
        <is>
          <t>27/02/2026</t>
        </is>
      </c>
      <c r="I5024" s="10" t="inlineStr">
        <is>
          <t>29/03/2026</t>
        </is>
      </c>
      <c r="J5024" s="10" t="inlineStr">
        <is>
          <t>17/03/2026</t>
        </is>
      </c>
      <c r="K5024" s="10" t="inlineStr">
        <is>
          <t>N/A</t>
        </is>
      </c>
      <c r="L5024" s="10" t="inlineStr">
        <is>
          <t>Tiếng Trung Giao Tiếp, SMT, AOI, VR/AR, FUJI NXT placement machines</t>
        </is>
      </c>
      <c r="M5024" s="10" t="inlineStr">
        <is>
          <t>Bonus, Paid Leave, Transportation</t>
        </is>
      </c>
      <c r="N5024" s="11">
        <f>HYPERLINK("https://www.vietnamworks.com/ky-su-smt-uu-tien-tieng-trung-giao-tiep--2015701-jv","Xem chi tiết")</f>
        <v/>
      </c>
      <c r="O5024" s="10" t="n"/>
    </row>
    <row r="5025">
      <c r="B5025" s="7" t="n">
        <v>5023</v>
      </c>
      <c r="C5025" t="inlineStr">
        <is>
          <t>Kế Toán Tổng Hợp (10-12 Triệu)</t>
        </is>
      </c>
      <c r="D5025" t="inlineStr">
        <is>
          <t>Công ty Cổ phần Thế giới Hạt Dưỡng (HANUTI)</t>
        </is>
      </c>
      <c r="E5025" t="inlineStr">
        <is>
          <t>10tr-12tr ₫/tháng</t>
        </is>
      </c>
      <c r="F5025" t="inlineStr">
        <is>
          <t>Hà Nội</t>
        </is>
      </c>
      <c r="G5025" t="inlineStr">
        <is>
          <t>Mới Tốt Nghiệp</t>
        </is>
      </c>
      <c r="H5025" t="inlineStr">
        <is>
          <t>27/02/2026</t>
        </is>
      </c>
      <c r="I5025" t="inlineStr">
        <is>
          <t>29/03/2026</t>
        </is>
      </c>
      <c r="J5025" t="inlineStr">
        <is>
          <t>17/03/2026</t>
        </is>
      </c>
      <c r="K5025" t="inlineStr">
        <is>
          <t>N/A</t>
        </is>
      </c>
      <c r="L5025" t="inlineStr">
        <is>
          <t>Kế Toán Tổng Hợp, Excel, Báo Cáo Thu Chi, Hạch Toán, Quản Lý Công Nợ</t>
        </is>
      </c>
      <c r="M5025" t="inlineStr">
        <is>
          <t>Bonus, Healthcare Plan, Training, Mobile, Others</t>
        </is>
      </c>
      <c r="N5025" s="8">
        <f>HYPERLINK("https://www.vietnamworks.com/ke-toan-tong-hop-10-12-trieu--2015705-jv","Xem chi tiết")</f>
        <v/>
      </c>
    </row>
    <row r="5026">
      <c r="B5026" s="9" t="n">
        <v>5024</v>
      </c>
      <c r="C5026" s="10" t="inlineStr">
        <is>
          <t>Chuyên Viên Hành Chính Nhân Sự Tổng Hợp</t>
        </is>
      </c>
      <c r="D5026" s="10" t="inlineStr">
        <is>
          <t>CÔNG TY TNHH FLAMINPOP</t>
        </is>
      </c>
      <c r="E5026" s="10" t="inlineStr">
        <is>
          <t>15tr-20tr ₫/tháng</t>
        </is>
      </c>
      <c r="F5026" s="10" t="inlineStr">
        <is>
          <t>Hồ Chí Minh</t>
        </is>
      </c>
      <c r="G5026" s="10" t="inlineStr">
        <is>
          <t>Nhân viên</t>
        </is>
      </c>
      <c r="H5026" s="10" t="inlineStr">
        <is>
          <t>27/02/2026</t>
        </is>
      </c>
      <c r="I5026" s="10" t="inlineStr">
        <is>
          <t>29/03/2026</t>
        </is>
      </c>
      <c r="J5026" s="10" t="inlineStr">
        <is>
          <t>17/03/2026</t>
        </is>
      </c>
      <c r="K5026" s="10" t="inlineStr">
        <is>
          <t>N/A</t>
        </is>
      </c>
      <c r="L5026" s="10" t="inlineStr">
        <is>
          <t>Quản Trị Nhân Sự, Hành Chính Nhân Sự, Nhân Sự Tổng Hợp, HR &amp; Admin, Hành Chính Tổng Hợp</t>
        </is>
      </c>
      <c r="M5026" s="10" t="inlineStr">
        <is>
          <t>Bonus, Healthcare Plan, Travel Opportunities, Others</t>
        </is>
      </c>
      <c r="N5026" s="11">
        <f>HYPERLINK("https://www.vietnamworks.com/chuyen-vien-hanh-chinh-nhan-su-tong-hop-2015700-jv","Xem chi tiết")</f>
        <v/>
      </c>
      <c r="O5026" s="10" t="n"/>
    </row>
    <row r="5027">
      <c r="B5027" s="7" t="n">
        <v>5025</v>
      </c>
      <c r="C5027" t="inlineStr">
        <is>
          <t>Thông Dịch Viên Tiếng Hàn</t>
        </is>
      </c>
      <c r="D5027" t="inlineStr">
        <is>
          <t>DS Chemsol Vietnam</t>
        </is>
      </c>
      <c r="E5027" t="inlineStr">
        <is>
          <t>Từ 20tr ₫/tháng</t>
        </is>
      </c>
      <c r="F5027" t="inlineStr">
        <is>
          <t>Hồ Chí Minh</t>
        </is>
      </c>
      <c r="G5027" t="inlineStr">
        <is>
          <t>Nhân viên</t>
        </is>
      </c>
      <c r="H5027" t="inlineStr">
        <is>
          <t>27/02/2026</t>
        </is>
      </c>
      <c r="I5027" t="inlineStr">
        <is>
          <t>29/03/2026</t>
        </is>
      </c>
      <c r="J5027" t="inlineStr">
        <is>
          <t>17/03/2026</t>
        </is>
      </c>
      <c r="K5027" t="inlineStr">
        <is>
          <t>N/A</t>
        </is>
      </c>
      <c r="L5027" t="inlineStr">
        <is>
          <t>Microsoft Office, Topik 5, Trợ lý Giám Đốc, Lập Báo Cáo, Tổng Hợp Phân Tích</t>
        </is>
      </c>
      <c r="M5027" t="inlineStr">
        <is>
          <t>Bonus, Healthcare Plan, Others</t>
        </is>
      </c>
      <c r="N5027" s="8">
        <f>HYPERLINK("https://www.vietnamworks.com/thong-dich-vien-tieng-han--2015704-jv","Xem chi tiết")</f>
        <v/>
      </c>
    </row>
    <row r="5028">
      <c r="B5028" s="9" t="n">
        <v>5026</v>
      </c>
      <c r="C5028" s="10" t="inlineStr">
        <is>
          <t>Nhân Viên Kế Toán Tổng Hợp</t>
        </is>
      </c>
      <c r="D5028" s="10" t="inlineStr">
        <is>
          <t>Monstaz</t>
        </is>
      </c>
      <c r="E5028" s="10" t="inlineStr">
        <is>
          <t>Thương lượng</t>
        </is>
      </c>
      <c r="F5028" s="10" t="inlineStr">
        <is>
          <t>Hồ Chí Minh</t>
        </is>
      </c>
      <c r="G5028" s="10" t="inlineStr">
        <is>
          <t>Nhân viên</t>
        </is>
      </c>
      <c r="H5028" s="10" t="inlineStr">
        <is>
          <t>27/02/2026</t>
        </is>
      </c>
      <c r="I5028" s="10" t="inlineStr">
        <is>
          <t>29/03/2026</t>
        </is>
      </c>
      <c r="J5028" s="10" t="inlineStr">
        <is>
          <t>17/03/2026</t>
        </is>
      </c>
      <c r="K5028" s="10" t="inlineStr">
        <is>
          <t>N/A</t>
        </is>
      </c>
      <c r="L5028" s="10" t="inlineStr">
        <is>
          <t>Excel, General Accounting, Nghiệp Vụ Kế Toán, Theo Dõi Công Nợ, Thuế</t>
        </is>
      </c>
      <c r="M5028" s="10" t="inlineStr">
        <is>
          <t>Bonus, Healthcare Plan, Paid Leave, Travel Opportunities, Canteen, Others</t>
        </is>
      </c>
      <c r="N5028" s="11">
        <f>HYPERLINK("https://www.vietnamworks.com/nhan-vien-ke-toan-tong-hop-2015707-jv","Xem chi tiết")</f>
        <v/>
      </c>
      <c r="O5028" s="10" t="n"/>
    </row>
    <row r="5029">
      <c r="B5029" s="7" t="n">
        <v>5027</v>
      </c>
      <c r="C5029" t="inlineStr">
        <is>
          <t>Production Engineer (NPI)</t>
        </is>
      </c>
      <c r="D5029" t="inlineStr">
        <is>
          <t>Sonion Viet Nam II Co, Ltd</t>
        </is>
      </c>
      <c r="E5029" t="inlineStr">
        <is>
          <t>Thương lượng</t>
        </is>
      </c>
      <c r="F5029" t="inlineStr">
        <is>
          <t>Hồ Chí Minh</t>
        </is>
      </c>
      <c r="G5029" t="inlineStr">
        <is>
          <t>Nhân viên</t>
        </is>
      </c>
      <c r="H5029" t="inlineStr">
        <is>
          <t>27/02/2026</t>
        </is>
      </c>
      <c r="I5029" t="inlineStr">
        <is>
          <t>29/03/2026</t>
        </is>
      </c>
      <c r="J5029" t="inlineStr">
        <is>
          <t>17/03/2026</t>
        </is>
      </c>
      <c r="K5029" t="inlineStr">
        <is>
          <t>N/A</t>
        </is>
      </c>
      <c r="L5029" t="inlineStr">
        <is>
          <t>English, NPI, Process Improvement, Production engineering, SolidWorks</t>
        </is>
      </c>
      <c r="M5029" t="inlineStr">
        <is>
          <t>Bonus, Healthcare Plan, Travel Opportunities, Transportation, Canteen</t>
        </is>
      </c>
      <c r="N5029" s="8">
        <f>HYPERLINK("https://www.vietnamworks.com/production-engineer-npi-2015711-jv","Xem chi tiết")</f>
        <v/>
      </c>
    </row>
    <row r="5030">
      <c r="B5030" s="9" t="n">
        <v>5028</v>
      </c>
      <c r="C5030" s="10" t="inlineStr">
        <is>
          <t>Purchaser/ Nhân Viên Mua Hàng</t>
        </is>
      </c>
      <c r="D5030" s="10" t="inlineStr">
        <is>
          <t>Công ty CP Thủy Điện Leader Nam Tiến</t>
        </is>
      </c>
      <c r="E5030" s="10" t="inlineStr">
        <is>
          <t>10tr-13tr ₫/tháng</t>
        </is>
      </c>
      <c r="F5030" s="10" t="inlineStr">
        <is>
          <t>Lào Cai</t>
        </is>
      </c>
      <c r="G5030" s="10" t="inlineStr">
        <is>
          <t>Nhân viên</t>
        </is>
      </c>
      <c r="H5030" s="10" t="inlineStr">
        <is>
          <t>27/02/2026</t>
        </is>
      </c>
      <c r="I5030" s="10" t="inlineStr">
        <is>
          <t>29/03/2026</t>
        </is>
      </c>
      <c r="J5030" s="10" t="inlineStr">
        <is>
          <t>17/03/2026</t>
        </is>
      </c>
      <c r="K5030" s="10" t="inlineStr">
        <is>
          <t>N/A</t>
        </is>
      </c>
      <c r="L5030" s="10" t="inlineStr">
        <is>
          <t>Purchasing Expertise, SAP, ERP, Kế Toán, Mua Sắm Tài Sản</t>
        </is>
      </c>
      <c r="M5030" s="10" t="inlineStr">
        <is>
          <t>Healthcare Plan, Awards, Travel Opportunities, Team Activities, Others</t>
        </is>
      </c>
      <c r="N5030" s="11">
        <f>HYPERLINK("https://www.vietnamworks.com/purchaser-nhan-vien-mua-hang-2015718-jv","Xem chi tiết")</f>
        <v/>
      </c>
      <c r="O5030" s="10" t="n"/>
    </row>
    <row r="5031">
      <c r="B5031" s="7" t="n">
        <v>5029</v>
      </c>
      <c r="C5031" t="inlineStr">
        <is>
          <t>Sales Executive</t>
        </is>
      </c>
      <c r="D5031" t="inlineStr">
        <is>
          <t>CTY TNHH DELMAR INTERNATIONAL (VIỆT NAM)</t>
        </is>
      </c>
      <c r="E5031" t="inlineStr">
        <is>
          <t>Thương lượng</t>
        </is>
      </c>
      <c r="F5031" t="inlineStr">
        <is>
          <t>Hồ Chí Minh</t>
        </is>
      </c>
      <c r="G5031" t="inlineStr">
        <is>
          <t>Nhân viên</t>
        </is>
      </c>
      <c r="H5031" t="inlineStr">
        <is>
          <t>27/02/2026</t>
        </is>
      </c>
      <c r="I5031" t="inlineStr">
        <is>
          <t>29/03/2026</t>
        </is>
      </c>
      <c r="J5031" t="inlineStr">
        <is>
          <t>17/03/2026</t>
        </is>
      </c>
      <c r="K5031" t="inlineStr">
        <is>
          <t>N/A</t>
        </is>
      </c>
      <c r="L5031" t="inlineStr">
        <is>
          <t>Sales logistics, Sales Export, Kinh Doanh Xuất Nhập Khẩu, Customer Service, Shipping Processes</t>
        </is>
      </c>
      <c r="M5031" t="inlineStr">
        <is>
          <t>Bonus, Paid Leave, Training, Travel Opportunities</t>
        </is>
      </c>
      <c r="N5031" s="8">
        <f>HYPERLINK("https://www.vietnamworks.com/sales-executive-2015721-jv","Xem chi tiết")</f>
        <v/>
      </c>
    </row>
    <row r="5032">
      <c r="B5032" s="9" t="n">
        <v>5030</v>
      </c>
      <c r="C5032" s="10" t="inlineStr">
        <is>
          <t>Sea Freight Executive</t>
        </is>
      </c>
      <c r="D5032" s="10" t="inlineStr">
        <is>
          <t>CTY TNHH DELMAR INTERNATIONAL (VIỆT NAM)</t>
        </is>
      </c>
      <c r="E5032" s="10" t="inlineStr">
        <is>
          <t>Thương lượng</t>
        </is>
      </c>
      <c r="F5032" s="10" t="inlineStr">
        <is>
          <t>Hồ Chí Minh</t>
        </is>
      </c>
      <c r="G5032" s="10" t="inlineStr">
        <is>
          <t>Nhân viên</t>
        </is>
      </c>
      <c r="H5032" s="10" t="inlineStr">
        <is>
          <t>27/02/2026</t>
        </is>
      </c>
      <c r="I5032" s="10" t="inlineStr">
        <is>
          <t>29/03/2026</t>
        </is>
      </c>
      <c r="J5032" s="10" t="inlineStr">
        <is>
          <t>17/03/2026</t>
        </is>
      </c>
      <c r="K5032" s="10" t="inlineStr">
        <is>
          <t>N/A</t>
        </is>
      </c>
      <c r="L5032" s="10" t="inlineStr">
        <is>
          <t>Sea Freight, Shipping Documents, Logistics Management, English, Shipping Processes</t>
        </is>
      </c>
      <c r="M5032" s="10" t="inlineStr">
        <is>
          <t>Bonus, Healthcare Plan, Paid Leave, Training, Travel Opportunities</t>
        </is>
      </c>
      <c r="N5032" s="11">
        <f>HYPERLINK("https://www.vietnamworks.com/sea-freight-executive-2015723-jv","Xem chi tiết")</f>
        <v/>
      </c>
      <c r="O5032" s="10" t="n"/>
    </row>
    <row r="5033">
      <c r="B5033" s="7" t="n">
        <v>5031</v>
      </c>
      <c r="C5033" t="inlineStr">
        <is>
          <t>Chuyên Viên Khách Hàng Lớn - CN. Đồng Nai (CN26.22)</t>
        </is>
      </c>
      <c r="D5033" t="inlineStr">
        <is>
          <t>NGÂN HÀNG TMCP QUÂN ĐỘI – MBBANK</t>
        </is>
      </c>
      <c r="E5033" t="inlineStr">
        <is>
          <t>Thương lượng</t>
        </is>
      </c>
      <c r="F5033" t="inlineStr">
        <is>
          <t>Đồng Nai</t>
        </is>
      </c>
      <c r="G5033" t="inlineStr">
        <is>
          <t>Nhân viên</t>
        </is>
      </c>
      <c r="H5033" t="inlineStr">
        <is>
          <t>27/02/2026</t>
        </is>
      </c>
      <c r="I5033" t="inlineStr">
        <is>
          <t>29/03/2026</t>
        </is>
      </c>
      <c r="J5033" t="inlineStr">
        <is>
          <t>17/03/2026</t>
        </is>
      </c>
      <c r="K5033" t="inlineStr">
        <is>
          <t>N/A</t>
        </is>
      </c>
      <c r="L5033" t="inlineStr">
        <is>
          <t>Khách Hàng Doanh Nghiệp, Phát Triển Khách Hàng, Quản Lý Danh Mục Khách Hàng, Tài Chính Ngân Hàng, Tìm Kiếm Khách Hàng</t>
        </is>
      </c>
      <c r="M5033" t="inlineStr">
        <is>
          <t>Bonus, Healthcare Plan, Paid Leave, Training, Team Activities, Vouchers, Others</t>
        </is>
      </c>
      <c r="N5033" s="8">
        <f>HYPERLINK("https://www.vietnamworks.com/chuyen-vien-khach-hang-lon-cn-djong-nai-cn26-22-2015724-jv","Xem chi tiết")</f>
        <v/>
      </c>
    </row>
    <row r="5034">
      <c r="B5034" s="9" t="n">
        <v>5032</v>
      </c>
      <c r="C5034" s="10" t="inlineStr">
        <is>
          <t>Nhân Viên Pricing FCL</t>
        </is>
      </c>
      <c r="D5034" s="10" t="inlineStr">
        <is>
          <t>Thami Corporation</t>
        </is>
      </c>
      <c r="E5034" s="10" t="inlineStr">
        <is>
          <t>$$ 500-800 /tháng</t>
        </is>
      </c>
      <c r="F5034" s="10" t="inlineStr">
        <is>
          <t>Hồ Chí Minh</t>
        </is>
      </c>
      <c r="G5034" s="10" t="inlineStr">
        <is>
          <t>Nhân viên</t>
        </is>
      </c>
      <c r="H5034" s="10" t="inlineStr">
        <is>
          <t>27/02/2026</t>
        </is>
      </c>
      <c r="I5034" s="10" t="inlineStr">
        <is>
          <t>29/03/2026</t>
        </is>
      </c>
      <c r="J5034" s="10" t="inlineStr">
        <is>
          <t>17/03/2026</t>
        </is>
      </c>
      <c r="K5034" s="10" t="inlineStr">
        <is>
          <t>N/A</t>
        </is>
      </c>
      <c r="L5034" s="10" t="inlineStr">
        <is>
          <t>Pricing Hàng Xuất Nhập Khẩu, Pricing FCL</t>
        </is>
      </c>
      <c r="M5034" s="10" t="inlineStr">
        <is>
          <t>Bonus, Healthcare Plan, Paid Leave</t>
        </is>
      </c>
      <c r="N5034" s="11">
        <f>HYPERLINK("https://www.vietnamworks.com/nhan-vien-pricing-fcl-2015726-jv","Xem chi tiết")</f>
        <v/>
      </c>
      <c r="O5034" s="10" t="n"/>
    </row>
    <row r="5035">
      <c r="B5035" s="7" t="n">
        <v>5033</v>
      </c>
      <c r="C5035" t="inlineStr">
        <is>
          <t>Chăm Sóc Khách Hàng (Làm Ca Đêm - Thưởng Hấp Dẫn - Tổng Thu Nhập 2X. Trở Lên)</t>
        </is>
      </c>
      <c r="D5035" t="inlineStr">
        <is>
          <t>Fastboy Marketing</t>
        </is>
      </c>
      <c r="E5035" t="inlineStr">
        <is>
          <t>$$ 400-1,500 /tháng</t>
        </is>
      </c>
      <c r="F5035" t="inlineStr">
        <is>
          <t>Hồ Chí Minh</t>
        </is>
      </c>
      <c r="G5035" t="inlineStr">
        <is>
          <t>Nhân viên</t>
        </is>
      </c>
      <c r="H5035" t="inlineStr">
        <is>
          <t>27/02/2026</t>
        </is>
      </c>
      <c r="I5035" t="inlineStr">
        <is>
          <t>29/03/2026</t>
        </is>
      </c>
      <c r="J5035" t="inlineStr">
        <is>
          <t>17/03/2026</t>
        </is>
      </c>
      <c r="K5035" t="inlineStr">
        <is>
          <t>N/A</t>
        </is>
      </c>
      <c r="L5035" t="inlineStr">
        <is>
          <t>Customer Management, Marketing Support, Tiếng Anh Thành Thạo, Chăm Sóc Khách Hàng, Phiên Dịch</t>
        </is>
      </c>
      <c r="M5035" t="inlineStr">
        <is>
          <t>Bonus, Paid Leave, Travel Opportunities</t>
        </is>
      </c>
      <c r="N5035" s="8">
        <f>HYPERLINK("https://www.vietnamworks.com/cham-soc-khach-hang-lam-ca-dem-thuong-hap-dan-tong-thu-nhap-2x-tro-len--2015709-jv","Xem chi tiết")</f>
        <v/>
      </c>
    </row>
    <row r="5036">
      <c r="B5036" s="9" t="n">
        <v>5034</v>
      </c>
      <c r="C5036" s="10" t="inlineStr">
        <is>
          <t>Hành Chính - Kế Toán Tổng Hợp</t>
        </is>
      </c>
      <c r="D5036" s="10" t="inlineStr">
        <is>
          <t>Công Ty Cổ Phần Tài Việt (Vietstock.vn)</t>
        </is>
      </c>
      <c r="E5036" s="10" t="inlineStr">
        <is>
          <t>$$ 500-800 /tháng</t>
        </is>
      </c>
      <c r="F5036" s="10" t="inlineStr">
        <is>
          <t>Hồ Chí Minh</t>
        </is>
      </c>
      <c r="G5036" s="10" t="inlineStr">
        <is>
          <t>Nhân viên</t>
        </is>
      </c>
      <c r="H5036" s="10" t="inlineStr">
        <is>
          <t>27/02/2026</t>
        </is>
      </c>
      <c r="I5036" s="10" t="inlineStr">
        <is>
          <t>29/03/2026</t>
        </is>
      </c>
      <c r="J5036" s="10" t="inlineStr">
        <is>
          <t>17/03/2026</t>
        </is>
      </c>
      <c r="K5036" s="10" t="inlineStr">
        <is>
          <t>N/A</t>
        </is>
      </c>
      <c r="L5036" s="10" t="inlineStr">
        <is>
          <t>Kế Toán Tổng Hợp, Kế Toán Hành Chính, Hành Chính, Kế Toán, Báo Cáo Thuế</t>
        </is>
      </c>
      <c r="M5036" s="10" t="inlineStr">
        <is>
          <t>Healthcare Plan, Paid Leave, Travel Opportunities</t>
        </is>
      </c>
      <c r="N5036" s="11">
        <f>HYPERLINK("https://www.vietnamworks.com/hanh-chinh-ke-toan-tong-hop--2015715-jv","Xem chi tiết")</f>
        <v/>
      </c>
      <c r="O5036" s="10" t="n"/>
    </row>
    <row r="5037">
      <c r="B5037" s="7" t="n">
        <v>5035</v>
      </c>
      <c r="C5037" t="inlineStr">
        <is>
          <t>General Accountant Specialist</t>
        </is>
      </c>
      <c r="D5037" t="inlineStr">
        <is>
          <t>Công Ty TNHH LiuGong Machinery Việt Nam</t>
        </is>
      </c>
      <c r="E5037" t="inlineStr">
        <is>
          <t>Tới $ 1,000 /tháng</t>
        </is>
      </c>
      <c r="F5037" t="inlineStr">
        <is>
          <t>Hà Nội</t>
        </is>
      </c>
      <c r="G5037" t="inlineStr">
        <is>
          <t>Nhân viên</t>
        </is>
      </c>
      <c r="H5037" t="inlineStr">
        <is>
          <t>27/02/2026</t>
        </is>
      </c>
      <c r="I5037" t="inlineStr">
        <is>
          <t>29/03/2026</t>
        </is>
      </c>
      <c r="J5037" t="inlineStr">
        <is>
          <t>17/03/2026</t>
        </is>
      </c>
      <c r="K5037" t="inlineStr">
        <is>
          <t>N/A</t>
        </is>
      </c>
      <c r="L5037" t="inlineStr">
        <is>
          <t>Kế Toán Tổng Hợp, Báo Cáo Tài Chính, Tài Chính, Kiểm Toán, Kế Toán</t>
        </is>
      </c>
      <c r="M5037" t="inlineStr">
        <is>
          <t>Bonus, Healthcare Plan, Training</t>
        </is>
      </c>
      <c r="N5037" s="8">
        <f>HYPERLINK("https://www.vietnamworks.com/general-accountant-specialist-2015716-jv","Xem chi tiết")</f>
        <v/>
      </c>
    </row>
    <row r="5038">
      <c r="B5038" s="9" t="n">
        <v>5036</v>
      </c>
      <c r="C5038" s="10" t="inlineStr">
        <is>
          <t>Sales Engineer – Industrial Equipment</t>
        </is>
      </c>
      <c r="D5038" s="10" t="inlineStr">
        <is>
          <t>Công Ty Cổ Phần Đầu Tư Và Thương Mại Đông Tây</t>
        </is>
      </c>
      <c r="E5038" s="10" t="inlineStr">
        <is>
          <t>Từ 12tr ₫/tháng</t>
        </is>
      </c>
      <c r="F5038" s="10" t="inlineStr">
        <is>
          <t>Hà Nội, Hồ Chí Minh, Quảng Ngãi</t>
        </is>
      </c>
      <c r="G5038" s="10" t="inlineStr">
        <is>
          <t>Nhân viên</t>
        </is>
      </c>
      <c r="H5038" s="10" t="inlineStr">
        <is>
          <t>27/02/2026</t>
        </is>
      </c>
      <c r="I5038" s="10" t="inlineStr">
        <is>
          <t>29/03/2026</t>
        </is>
      </c>
      <c r="J5038" s="10" t="inlineStr">
        <is>
          <t>17/03/2026</t>
        </is>
      </c>
      <c r="K5038" s="10" t="inlineStr">
        <is>
          <t>N/A</t>
        </is>
      </c>
      <c r="L5038" s="10" t="inlineStr">
        <is>
          <t>Cơ Khí, Kinh Doanh Kỹ Thuật, Thiết Lập Báo Giá, Tìm Kiếm Khách Hàng, Tư Vấn Khách Hàng</t>
        </is>
      </c>
      <c r="M5038" s="10" t="inlineStr">
        <is>
          <t>Bonus, Healthcare Plan, Paid Leave, Training, Others</t>
        </is>
      </c>
      <c r="N5038" s="11">
        <f>HYPERLINK("https://www.vietnamworks.com/sales-engineer-industrial-equipment--2015719-jv","Xem chi tiết")</f>
        <v/>
      </c>
      <c r="O5038" s="10" t="n"/>
    </row>
    <row r="5039">
      <c r="B5039" s="7" t="n">
        <v>5037</v>
      </c>
      <c r="C5039" t="inlineStr">
        <is>
          <t>Giám Đốc Triển Khai Dự Án Hạ Tầng &amp; LOGISTICS</t>
        </is>
      </c>
      <c r="D5039" t="inlineStr">
        <is>
          <t>CÔNG TY CỔ PHẦN THƯƠNG MẠI XUẤT NHẬP KHẨU VHS</t>
        </is>
      </c>
      <c r="E5039" t="inlineStr">
        <is>
          <t>Thương lượng</t>
        </is>
      </c>
      <c r="F5039" t="inlineStr">
        <is>
          <t>Hà Nội</t>
        </is>
      </c>
      <c r="G5039" t="inlineStr">
        <is>
          <t>Giám Đốc và Cấp Cao Hơn</t>
        </is>
      </c>
      <c r="H5039" t="inlineStr">
        <is>
          <t>27/02/2026</t>
        </is>
      </c>
      <c r="I5039" t="inlineStr">
        <is>
          <t>29/03/2026</t>
        </is>
      </c>
      <c r="J5039" t="inlineStr">
        <is>
          <t>17/03/2026</t>
        </is>
      </c>
      <c r="K5039" t="inlineStr">
        <is>
          <t>N/A</t>
        </is>
      </c>
      <c r="L5039" t="inlineStr">
        <is>
          <t>Pháp Lý Xây Dựng, Phát Triển Dự Án, Triển Khai Dự Án, Xây Dựng, Đầu Tư Dự Án Xây Dựng</t>
        </is>
      </c>
      <c r="M5039" t="inlineStr">
        <is>
          <t>Bonus, Healthcare Plan, Training</t>
        </is>
      </c>
      <c r="N5039" s="8">
        <f>HYPERLINK("https://www.vietnamworks.com/giam-djoc-trien-khai-du-an-ha-tang-and-logistics-2015722-jv","Xem chi tiết")</f>
        <v/>
      </c>
    </row>
    <row r="5040">
      <c r="B5040" s="9" t="n">
        <v>5038</v>
      </c>
      <c r="C5040" s="10" t="inlineStr">
        <is>
          <t>Nhân Viên Tư Vấn Bán Tour Tại Hà Nội - Lương Cứng 15-20 Triệu</t>
        </is>
      </c>
      <c r="D5040" s="10" t="inlineStr">
        <is>
          <t>Công Ty TNHH Vietrantour</t>
        </is>
      </c>
      <c r="E5040" s="10" t="inlineStr">
        <is>
          <t>15tr-20tr ₫/tháng</t>
        </is>
      </c>
      <c r="F5040" s="10" t="inlineStr">
        <is>
          <t>Hà Nội</t>
        </is>
      </c>
      <c r="G5040" s="10" t="inlineStr">
        <is>
          <t>Nhân viên</t>
        </is>
      </c>
      <c r="H5040" s="10" t="inlineStr">
        <is>
          <t>27/02/2026</t>
        </is>
      </c>
      <c r="I5040" s="10" t="inlineStr">
        <is>
          <t>29/03/2026</t>
        </is>
      </c>
      <c r="J5040" s="10" t="inlineStr">
        <is>
          <t>17/03/2026</t>
        </is>
      </c>
      <c r="K5040" s="10" t="inlineStr">
        <is>
          <t>N/A</t>
        </is>
      </c>
      <c r="L5040" s="10" t="inlineStr">
        <is>
          <t>Giao Tiếp, Đàm Phán, Nghiên Cứu Thị Trường, Du Lịch Lữ Hành, Kinh Doanh</t>
        </is>
      </c>
      <c r="M5040" s="10" t="inlineStr">
        <is>
          <t>Bonus, Healthcare Plan, Travel Opportunities</t>
        </is>
      </c>
      <c r="N5040" s="11">
        <f>HYPERLINK("https://www.vietnamworks.com/nhan-vien-tu-van-ban-tour-tai-ha-noi-luong-cung-15-20-trieu-2015720-jv","Xem chi tiết")</f>
        <v/>
      </c>
      <c r="O5040" s="10" t="n"/>
    </row>
    <row r="5041">
      <c r="B5041" s="7" t="n">
        <v>5039</v>
      </c>
      <c r="C5041" t="inlineStr">
        <is>
          <t>Senior Equity Research Analyst, Property Sector</t>
        </is>
      </c>
      <c r="D5041" t="inlineStr">
        <is>
          <t>Ho Chi Minh City Securities Corporation (HSC)</t>
        </is>
      </c>
      <c r="E5041" t="inlineStr">
        <is>
          <t>Thương lượng</t>
        </is>
      </c>
      <c r="F5041" t="inlineStr">
        <is>
          <t>Hồ Chí Minh</t>
        </is>
      </c>
      <c r="G5041" t="inlineStr">
        <is>
          <t>Nhân viên</t>
        </is>
      </c>
      <c r="H5041" t="inlineStr">
        <is>
          <t>27/02/2026</t>
        </is>
      </c>
      <c r="I5041" t="inlineStr">
        <is>
          <t>29/03/2026</t>
        </is>
      </c>
      <c r="J5041" t="inlineStr">
        <is>
          <t>17/03/2026</t>
        </is>
      </c>
      <c r="K5041" t="inlineStr">
        <is>
          <t>N/A</t>
        </is>
      </c>
      <c r="L5041" t="inlineStr">
        <is>
          <t>Equity Research, Equity Valuation, Finance Analyst, Financial Modeling, Research Methodology</t>
        </is>
      </c>
      <c r="M5041" t="inlineStr">
        <is>
          <t>Bonus, Healthcare Plan, Paid Leave, Training</t>
        </is>
      </c>
      <c r="N5041" s="8">
        <f>HYPERLINK("https://www.vietnamworks.com/senior-equity-research-analyst-property-sector-2015712-jv","Xem chi tiết")</f>
        <v/>
      </c>
    </row>
    <row r="5042">
      <c r="B5042" s="9" t="n">
        <v>5040</v>
      </c>
      <c r="C5042" s="10" t="inlineStr">
        <is>
          <t>Nhân Viên Kinh Doanh Thiết Bị Y Tế (Thu Nhập Hấp Dẫn Từ 10 Triệu + Hoa Hồng)</t>
        </is>
      </c>
      <c r="D5042" s="10" t="inlineStr">
        <is>
          <t>CÔNG TY CỔ PHẦN THƯƠNG MẠI VÀ DỊCH VỤ CHĂM SÓC SỨC KHOẺ PT</t>
        </is>
      </c>
      <c r="E5042" s="10" t="inlineStr">
        <is>
          <t>Từ 10tr ₫/tháng</t>
        </is>
      </c>
      <c r="F5042" s="10" t="inlineStr">
        <is>
          <t>Hồ Chí Minh</t>
        </is>
      </c>
      <c r="G5042" s="10" t="inlineStr">
        <is>
          <t>Nhân viên</t>
        </is>
      </c>
      <c r="H5042" s="10" t="inlineStr">
        <is>
          <t>27/02/2026</t>
        </is>
      </c>
      <c r="I5042" s="10" t="inlineStr">
        <is>
          <t>29/03/2026</t>
        </is>
      </c>
      <c r="J5042" s="10" t="inlineStr">
        <is>
          <t>17/03/2026</t>
        </is>
      </c>
      <c r="K5042" s="10" t="inlineStr">
        <is>
          <t>N/A</t>
        </is>
      </c>
      <c r="L5042" s="10" t="inlineStr">
        <is>
          <t>Business Development, Customer Relation, English Communication, Medical Device, Sales</t>
        </is>
      </c>
      <c r="M5042" s="10" t="inlineStr">
        <is>
          <t>Bonus, Healthcare Plan, Paid Leave, Training, Laptop, Travel Opportunities, Team Activities, Others</t>
        </is>
      </c>
      <c r="N5042" s="11">
        <f>HYPERLINK("https://www.vietnamworks.com/nhan-vien-kinh-doanh-thiet-bi-y-te-thu-nhap-hap-dan-tu-10-trieu-hoa-hong-2015710-jv","Xem chi tiết")</f>
        <v/>
      </c>
      <c r="O5042" s="10" t="n"/>
    </row>
    <row r="5043">
      <c r="B5043" s="7" t="n">
        <v>5041</v>
      </c>
      <c r="C5043" t="inlineStr">
        <is>
          <t>Giám Đốc Phòng Quản Lý Xây Dựng, An Toàn Và Môi Trường</t>
        </is>
      </c>
      <c r="D5043" t="inlineStr">
        <is>
          <t>Novaland</t>
        </is>
      </c>
      <c r="E5043" t="inlineStr">
        <is>
          <t>Thương lượng</t>
        </is>
      </c>
      <c r="F5043" t="inlineStr">
        <is>
          <t>Bình Thuận</t>
        </is>
      </c>
      <c r="G5043" t="inlineStr">
        <is>
          <t>Giám Đốc và Cấp Cao Hơn</t>
        </is>
      </c>
      <c r="H5043" t="inlineStr">
        <is>
          <t>27/02/2026</t>
        </is>
      </c>
      <c r="I5043" t="inlineStr">
        <is>
          <t>29/03/2026</t>
        </is>
      </c>
      <c r="J5043" t="inlineStr">
        <is>
          <t>17/03/2026</t>
        </is>
      </c>
      <c r="K5043" t="inlineStr">
        <is>
          <t>N/A</t>
        </is>
      </c>
      <c r="L5043" t="inlineStr">
        <is>
          <t>Pháp Lý Xây Dựng, Quản Lý Dự Án Công Trình Xây Dựng, Quản Lý Nhà Thầu Xây Dựng, Điều Hành</t>
        </is>
      </c>
      <c r="M5043" t="inlineStr">
        <is>
          <t>Bonus</t>
        </is>
      </c>
      <c r="N5043" s="8">
        <f>HYPERLINK("https://www.vietnamworks.com/giam-djoc-phong-quan-ly-xay-dung-an-toan-va-moi-truong-2015725-jv","Xem chi tiết")</f>
        <v/>
      </c>
    </row>
    <row r="5044">
      <c r="B5044" s="9" t="n">
        <v>5042</v>
      </c>
      <c r="C5044" s="10" t="inlineStr">
        <is>
          <t>Sales Executive – Steel Structure Industry</t>
        </is>
      </c>
      <c r="D5044" s="10" t="inlineStr">
        <is>
          <t>Viet - Aus Steel Solutions</t>
        </is>
      </c>
      <c r="E5044" s="10" t="inlineStr">
        <is>
          <t>Từ 19tr ₫/tháng</t>
        </is>
      </c>
      <c r="F5044" s="10" t="inlineStr">
        <is>
          <t>Hồ Chí Minh</t>
        </is>
      </c>
      <c r="G5044" s="10" t="inlineStr">
        <is>
          <t>Nhân viên</t>
        </is>
      </c>
      <c r="H5044" s="10" t="inlineStr">
        <is>
          <t>27/02/2026</t>
        </is>
      </c>
      <c r="I5044" s="10" t="inlineStr">
        <is>
          <t>29/03/2026</t>
        </is>
      </c>
      <c r="J5044" s="10" t="inlineStr">
        <is>
          <t>17/03/2026</t>
        </is>
      </c>
      <c r="K5044" s="10" t="inlineStr">
        <is>
          <t>N/A</t>
        </is>
      </c>
      <c r="L5044" s="10" t="inlineStr">
        <is>
          <t>Business Development, Client Relationship, Negotiation, Sales, Steel Structure</t>
        </is>
      </c>
      <c r="M5044" s="10" t="inlineStr">
        <is>
          <t>Bonus, Healthcare Plan, Paid Leave, Training, Canteen, Others</t>
        </is>
      </c>
      <c r="N5044" s="11">
        <f>HYPERLINK("https://www.vietnamworks.com/sales-executive-steel-structure-industry-2015717-jv","Xem chi tiết")</f>
        <v/>
      </c>
      <c r="O5044" s="10" t="n"/>
    </row>
    <row r="5045">
      <c r="B5045" s="7" t="n">
        <v>5043</v>
      </c>
      <c r="C5045" t="inlineStr">
        <is>
          <t>HRBP Expert</t>
        </is>
      </c>
      <c r="D5045" t="inlineStr">
        <is>
          <t>Novaland</t>
        </is>
      </c>
      <c r="E5045" t="inlineStr">
        <is>
          <t>Thương lượng</t>
        </is>
      </c>
      <c r="F5045" t="inlineStr">
        <is>
          <t>Hồ Chí Minh</t>
        </is>
      </c>
      <c r="G5045" t="inlineStr">
        <is>
          <t>Trưởng phòng</t>
        </is>
      </c>
      <c r="H5045" t="inlineStr">
        <is>
          <t>27/02/2026</t>
        </is>
      </c>
      <c r="I5045" t="inlineStr">
        <is>
          <t>29/03/2026</t>
        </is>
      </c>
      <c r="J5045" t="inlineStr">
        <is>
          <t>17/03/2026</t>
        </is>
      </c>
      <c r="K5045" t="inlineStr">
        <is>
          <t>N/A</t>
        </is>
      </c>
      <c r="L5045" t="inlineStr">
        <is>
          <t>Giải Quyết Vấn Đề, Giao Tiếp Tiếng Anh, Phát Triển Tư Duy, Quản Trị Thay Đổi, Đàm Phán</t>
        </is>
      </c>
      <c r="M5045" t="inlineStr">
        <is>
          <t>Bonus, Training, Others</t>
        </is>
      </c>
      <c r="N5045" s="8">
        <f>HYPERLINK("https://www.vietnamworks.com/hrbp-expert-2015713-jv","Xem chi tiết")</f>
        <v/>
      </c>
    </row>
    <row r="5046">
      <c r="B5046" s="9" t="n">
        <v>5044</v>
      </c>
      <c r="C5046" s="10" t="inlineStr">
        <is>
          <t>Phó Giám Đốc Phát Triển Tổ Chức và Quản Lý Nhân Tài</t>
        </is>
      </c>
      <c r="D5046" s="10" t="inlineStr">
        <is>
          <t>Novaland</t>
        </is>
      </c>
      <c r="E5046" s="10" t="inlineStr">
        <is>
          <t>Thương lượng</t>
        </is>
      </c>
      <c r="F5046" s="10" t="inlineStr">
        <is>
          <t>Hồ Chí Minh</t>
        </is>
      </c>
      <c r="G5046" s="10" t="inlineStr">
        <is>
          <t>Giám Đốc và Cấp Cao Hơn</t>
        </is>
      </c>
      <c r="H5046" s="10" t="inlineStr">
        <is>
          <t>27/02/2026</t>
        </is>
      </c>
      <c r="I5046" s="10" t="inlineStr">
        <is>
          <t>29/03/2026</t>
        </is>
      </c>
      <c r="J5046" s="10" t="inlineStr">
        <is>
          <t>17/03/2026</t>
        </is>
      </c>
      <c r="K5046" s="10" t="inlineStr">
        <is>
          <t>N/A</t>
        </is>
      </c>
      <c r="L5046" s="10" t="inlineStr">
        <is>
          <t>Organizational Management, Talent Development, Talent Management</t>
        </is>
      </c>
      <c r="M5046" s="10" t="inlineStr">
        <is>
          <t>Bonus, Healthcare Plan, Awards</t>
        </is>
      </c>
      <c r="N5046" s="11">
        <f>HYPERLINK("https://www.vietnamworks.com/pho-giam-doc-phat-trien-to-chuc-va-quan-ly-nhan-tai--2015714-jv","Xem chi tiết")</f>
        <v/>
      </c>
      <c r="O5046" s="10" t="n"/>
    </row>
    <row r="5047">
      <c r="B5047" s="7" t="n">
        <v>5045</v>
      </c>
      <c r="C5047" t="inlineStr">
        <is>
          <t>Trợ Lý Văn Phòng - Hành Chính Nhân Sự (Tiếng Anh Tốt)</t>
        </is>
      </c>
      <c r="D5047" t="inlineStr">
        <is>
          <t>Công Ty Cổ phần TAJ Việt Nam</t>
        </is>
      </c>
      <c r="E5047" t="inlineStr">
        <is>
          <t>Thương lượng</t>
        </is>
      </c>
      <c r="F5047" t="inlineStr">
        <is>
          <t>Hồ Chí Minh</t>
        </is>
      </c>
      <c r="G5047" t="inlineStr">
        <is>
          <t>Nhân viên</t>
        </is>
      </c>
      <c r="H5047" t="inlineStr">
        <is>
          <t>27/02/2026</t>
        </is>
      </c>
      <c r="I5047" t="inlineStr">
        <is>
          <t>29/03/2026</t>
        </is>
      </c>
      <c r="J5047" t="inlineStr">
        <is>
          <t>17/03/2026</t>
        </is>
      </c>
      <c r="K5047" t="inlineStr">
        <is>
          <t>N/A</t>
        </is>
      </c>
      <c r="L5047" t="inlineStr">
        <is>
          <t>Chăm Sóc Khách Hàng, Hành Chính, HR, Nhân Sự, Tuyển Dụng</t>
        </is>
      </c>
      <c r="M5047" t="inlineStr">
        <is>
          <t>Bonus, Healthcare Plan, Paid Leave, Training, Others</t>
        </is>
      </c>
      <c r="N5047" s="8">
        <f>HYPERLINK("https://www.vietnamworks.com/tro-ly-van-phong-hanh-chinh-nhan-su-tieng-anh-tot-2015727-jv","Xem chi tiết")</f>
        <v/>
      </c>
    </row>
    <row r="5048">
      <c r="B5048" s="9" t="n">
        <v>5046</v>
      </c>
      <c r="C5048" s="10" t="inlineStr">
        <is>
          <t>Quản Lý Sàn Thương Mại Điện Tử</t>
        </is>
      </c>
      <c r="D5048" s="10" t="inlineStr">
        <is>
          <t>CÔNG TY CỔ PHẦN F-LABS</t>
        </is>
      </c>
      <c r="E5048" s="10" t="inlineStr">
        <is>
          <t>12tr-18tr ₫/tháng</t>
        </is>
      </c>
      <c r="F5048" s="10" t="inlineStr">
        <is>
          <t>Hồ Chí Minh</t>
        </is>
      </c>
      <c r="G5048" s="10" t="inlineStr">
        <is>
          <t>Nhân viên</t>
        </is>
      </c>
      <c r="H5048" s="10" t="inlineStr">
        <is>
          <t>27/02/2026</t>
        </is>
      </c>
      <c r="I5048" s="10" t="inlineStr">
        <is>
          <t>29/03/2026</t>
        </is>
      </c>
      <c r="J5048" s="10" t="inlineStr">
        <is>
          <t>17/03/2026</t>
        </is>
      </c>
      <c r="K5048" s="10" t="inlineStr">
        <is>
          <t>N/A</t>
        </is>
      </c>
      <c r="L5048" s="10" t="inlineStr">
        <is>
          <t>Quản lý sàn TMĐT, Kỹ Thuật Vận Hành, Quảng Cáo, Thành thạo Excel, Tư duy logic</t>
        </is>
      </c>
      <c r="M5048" s="10" t="inlineStr">
        <is>
          <t>Bonus, Healthcare Plan, Training, Others</t>
        </is>
      </c>
      <c r="N5048" s="11">
        <f>HYPERLINK("https://www.vietnamworks.com/quan-ly-san-thuong-mai-djien-tu-2015743-jv","Xem chi tiết")</f>
        <v/>
      </c>
      <c r="O5048" s="10" t="n"/>
    </row>
    <row r="5049">
      <c r="B5049" s="7" t="n">
        <v>5047</v>
      </c>
      <c r="C5049" t="inlineStr">
        <is>
          <t>Kế Toán Tổng Hợp (General Accontant)</t>
        </is>
      </c>
      <c r="D5049" t="inlineStr">
        <is>
          <t>CÔNG TY CỔ PHẦN THƯƠNG MẠI XUẤT NHẬP KHẨU VHS</t>
        </is>
      </c>
      <c r="E5049" t="inlineStr">
        <is>
          <t>12,000-18,000 ₫/tháng</t>
        </is>
      </c>
      <c r="F5049" t="inlineStr">
        <is>
          <t>Hà Nội</t>
        </is>
      </c>
      <c r="G5049" t="inlineStr">
        <is>
          <t>Nhân viên</t>
        </is>
      </c>
      <c r="H5049" t="inlineStr">
        <is>
          <t>27/02/2026</t>
        </is>
      </c>
      <c r="I5049" t="inlineStr">
        <is>
          <t>29/03/2026</t>
        </is>
      </c>
      <c r="J5049" t="inlineStr">
        <is>
          <t>17/03/2026</t>
        </is>
      </c>
      <c r="K5049" t="inlineStr">
        <is>
          <t>N/A</t>
        </is>
      </c>
      <c r="L5049" t="inlineStr">
        <is>
          <t>Kế Toán Tổng Hợp, Kiểm Soát Chi Phí, Hạch Toán, Thuế</t>
        </is>
      </c>
      <c r="M5049" t="inlineStr">
        <is>
          <t>Bonus, Healthcare Plan, Paid Leave</t>
        </is>
      </c>
      <c r="N5049" s="8">
        <f>HYPERLINK("https://www.vietnamworks.com/ke-toan-tong-hop-general-accontant--2015729-jv","Xem chi tiết")</f>
        <v/>
      </c>
    </row>
    <row r="5050">
      <c r="B5050" s="9" t="n">
        <v>5048</v>
      </c>
      <c r="C5050" s="10" t="inlineStr">
        <is>
          <t>Nhân Viên Kinh Doanh B2B/ Account Manager (Sales IT)</t>
        </is>
      </c>
      <c r="D5050" s="10" t="inlineStr">
        <is>
          <t>Công Ty Cổ Phần Dịch Vụ Công Nghệ Tin Học HPT</t>
        </is>
      </c>
      <c r="E5050" s="10" t="inlineStr">
        <is>
          <t>Tới 20tr ₫/tháng</t>
        </is>
      </c>
      <c r="F5050" s="10" t="inlineStr">
        <is>
          <t>Hồ Chí Minh, Hà Nội</t>
        </is>
      </c>
      <c r="G5050" s="10" t="inlineStr">
        <is>
          <t>Nhân viên</t>
        </is>
      </c>
      <c r="H5050" s="10" t="inlineStr">
        <is>
          <t>27/02/2026</t>
        </is>
      </c>
      <c r="I5050" s="10" t="inlineStr">
        <is>
          <t>29/03/2026</t>
        </is>
      </c>
      <c r="J5050" s="10" t="inlineStr">
        <is>
          <t>17/03/2026</t>
        </is>
      </c>
      <c r="K5050" s="10" t="inlineStr">
        <is>
          <t>N/A</t>
        </is>
      </c>
      <c r="L5050" s="10" t="inlineStr">
        <is>
          <t>Kinh Doanh B2B, Presentation Skills, Negotiation Skills, English, Tìm Kiếm Khách Hàng</t>
        </is>
      </c>
      <c r="M5050" s="10" t="inlineStr">
        <is>
          <t>Bonus, Healthcare Plan, Training, Laptop, Team Activities, Others</t>
        </is>
      </c>
      <c r="N5050" s="11">
        <f>HYPERLINK("https://www.vietnamworks.com/nhan-vien-kinh-doanh-b2b-account-manager-sales-it-2015734-jv","Xem chi tiết")</f>
        <v/>
      </c>
      <c r="O5050" s="10" t="n"/>
    </row>
    <row r="5051">
      <c r="B5051" s="7" t="n">
        <v>5049</v>
      </c>
      <c r="C5051" t="inlineStr">
        <is>
          <t>Customer Services Staff _ Nhân Viên Chứng Từ Xuất Nhập Khẩu _ Logistics/ Export &amp; Import Documentation</t>
        </is>
      </c>
      <c r="D5051" t="inlineStr">
        <is>
          <t>Mitsui-Soko Vietnam Co., LTD</t>
        </is>
      </c>
      <c r="E5051" t="inlineStr">
        <is>
          <t>$$ 500-800 /tháng</t>
        </is>
      </c>
      <c r="F5051" t="inlineStr">
        <is>
          <t>Hồ Chí Minh, Hải Phòng</t>
        </is>
      </c>
      <c r="G5051" t="inlineStr">
        <is>
          <t>Nhân viên</t>
        </is>
      </c>
      <c r="H5051" t="inlineStr">
        <is>
          <t>27/02/2026</t>
        </is>
      </c>
      <c r="I5051" t="inlineStr">
        <is>
          <t>29/03/2026</t>
        </is>
      </c>
      <c r="J5051" t="inlineStr">
        <is>
          <t>17/03/2026</t>
        </is>
      </c>
      <c r="K5051" t="inlineStr">
        <is>
          <t>N/A</t>
        </is>
      </c>
      <c r="L5051" t="inlineStr">
        <is>
          <t>Xuất Nhập Khẩu, Logistics, Dịch Vụ Khách Hàng, Import/Export Documentation, Theo Dõi Logistics</t>
        </is>
      </c>
      <c r="M5051" t="inlineStr">
        <is>
          <t>Bonus, Healthcare Plan, Others</t>
        </is>
      </c>
      <c r="N5051" s="8">
        <f>HYPERLINK("https://www.vietnamworks.com/customer-services-staff-nhan-vien-chung-tu-xuat-nhap-khau-logistics-export-import-documentation--2015750-jv","Xem chi tiết")</f>
        <v/>
      </c>
    </row>
    <row r="5052">
      <c r="B5052" s="9" t="n">
        <v>5050</v>
      </c>
      <c r="C5052" s="10" t="inlineStr">
        <is>
          <t>Assistant Key Account Manager</t>
        </is>
      </c>
      <c r="D5052" s="10" t="inlineStr">
        <is>
          <t>Orion Food Vina Co,. Ltd - Head Office</t>
        </is>
      </c>
      <c r="E5052" s="10" t="inlineStr">
        <is>
          <t>Thương lượng</t>
        </is>
      </c>
      <c r="F5052" s="10" t="inlineStr">
        <is>
          <t>Hồ Chí Minh</t>
        </is>
      </c>
      <c r="G5052" s="10" t="inlineStr">
        <is>
          <t>Nhân viên</t>
        </is>
      </c>
      <c r="H5052" s="10" t="inlineStr">
        <is>
          <t>27/02/2026</t>
        </is>
      </c>
      <c r="I5052" s="10" t="inlineStr">
        <is>
          <t>29/03/2026</t>
        </is>
      </c>
      <c r="J5052" s="10" t="inlineStr">
        <is>
          <t>17/03/2026</t>
        </is>
      </c>
      <c r="K5052" s="10" t="inlineStr">
        <is>
          <t>N/A</t>
        </is>
      </c>
      <c r="L5052" s="10" t="inlineStr">
        <is>
          <t>Modern Trade Planning, Customer Development, Report Analysis, Key Account Management, Sales Analysis</t>
        </is>
      </c>
      <c r="M5052" s="10" t="inlineStr">
        <is>
          <t>Bonus, Healthcare Plan, Team Activities</t>
        </is>
      </c>
      <c r="N5052" s="11">
        <f>HYPERLINK("https://www.vietnamworks.com/assistant-key-account-manager--2015745-jv","Xem chi tiết")</f>
        <v/>
      </c>
      <c r="O5052" s="10" t="n"/>
    </row>
    <row r="5053">
      <c r="B5053" s="7" t="n">
        <v>5051</v>
      </c>
      <c r="C5053" t="inlineStr">
        <is>
          <t>Nhân Viên Hành Chính Biết Tiếng Trung</t>
        </is>
      </c>
      <c r="D5053" t="inlineStr">
        <is>
          <t>Công Ty TNHH Zoomlion Việt Nam</t>
        </is>
      </c>
      <c r="E5053" t="inlineStr">
        <is>
          <t>$$ 500-700 /tháng</t>
        </is>
      </c>
      <c r="F5053" t="inlineStr">
        <is>
          <t>Hà Nội</t>
        </is>
      </c>
      <c r="G5053" t="inlineStr">
        <is>
          <t>Nhân viên</t>
        </is>
      </c>
      <c r="H5053" t="inlineStr">
        <is>
          <t>27/02/2026</t>
        </is>
      </c>
      <c r="I5053" t="inlineStr">
        <is>
          <t>29/03/2026</t>
        </is>
      </c>
      <c r="J5053" t="inlineStr">
        <is>
          <t>17/03/2026</t>
        </is>
      </c>
      <c r="K5053" t="inlineStr">
        <is>
          <t>N/A</t>
        </is>
      </c>
      <c r="L5053" t="inlineStr">
        <is>
          <t>Tiếng Trung, Hành Chính, Biên Phiên Dịch Tiếng Trung, HSK5, Admin</t>
        </is>
      </c>
      <c r="M5053" t="inlineStr">
        <is>
          <t>Bonus, Healthcare Plan, Team Activities</t>
        </is>
      </c>
      <c r="N5053" s="8">
        <f>HYPERLINK("https://www.vietnamworks.com/nhan-vien-hanh-chinh-biet-tieng-trung--2015737-jv","Xem chi tiết")</f>
        <v/>
      </c>
    </row>
    <row r="5054">
      <c r="B5054" s="9" t="n">
        <v>5052</v>
      </c>
      <c r="C5054" s="10" t="inlineStr">
        <is>
          <t>Kỹ Sư Cao Cấp Giám Sát Cơ Điện</t>
        </is>
      </c>
      <c r="D5054" s="10" t="inlineStr">
        <is>
          <t>Novaland</t>
        </is>
      </c>
      <c r="E5054" s="10" t="inlineStr">
        <is>
          <t>Thương lượng</t>
        </is>
      </c>
      <c r="F5054" s="10" t="inlineStr">
        <is>
          <t>Đồng Nai</t>
        </is>
      </c>
      <c r="G5054" s="10" t="inlineStr">
        <is>
          <t>Nhân viên</t>
        </is>
      </c>
      <c r="H5054" s="10" t="inlineStr">
        <is>
          <t>27/02/2026</t>
        </is>
      </c>
      <c r="I5054" s="10" t="inlineStr">
        <is>
          <t>29/03/2026</t>
        </is>
      </c>
      <c r="J5054" s="10" t="inlineStr">
        <is>
          <t>17/03/2026</t>
        </is>
      </c>
      <c r="K5054" s="10" t="inlineStr">
        <is>
          <t>N/A</t>
        </is>
      </c>
      <c r="L5054" s="10" t="inlineStr">
        <is>
          <t>Engineering, MEP, MEP Construction, AutoCAD, Xây Dựng</t>
        </is>
      </c>
      <c r="M5054" s="10" t="inlineStr">
        <is>
          <t>Bonus, Healthcare Plan, Awards</t>
        </is>
      </c>
      <c r="N5054" s="11">
        <f>HYPERLINK("https://www.vietnamworks.com/ky-su-cao-cap-giam-sat-co-dien--2015738-jv","Xem chi tiết")</f>
        <v/>
      </c>
      <c r="O5054" s="10" t="n"/>
    </row>
    <row r="5055">
      <c r="B5055" s="7" t="n">
        <v>5053</v>
      </c>
      <c r="C5055" t="inlineStr">
        <is>
          <t>Kế Toán Trưởng</t>
        </is>
      </c>
      <c r="D5055" t="inlineStr">
        <is>
          <t>CÔNG TY CỔ PHẦN THƯƠNG MẠI XUẤT NHẬP KHẨU VHS</t>
        </is>
      </c>
      <c r="E5055" t="inlineStr">
        <is>
          <t>Thương lượng</t>
        </is>
      </c>
      <c r="F5055" t="inlineStr">
        <is>
          <t>Hà Nội</t>
        </is>
      </c>
      <c r="G5055" t="inlineStr">
        <is>
          <t>Trưởng phòng</t>
        </is>
      </c>
      <c r="H5055" t="inlineStr">
        <is>
          <t>27/02/2026</t>
        </is>
      </c>
      <c r="I5055" t="inlineStr">
        <is>
          <t>29/03/2026</t>
        </is>
      </c>
      <c r="J5055" t="inlineStr">
        <is>
          <t>17/03/2026</t>
        </is>
      </c>
      <c r="K5055" t="inlineStr">
        <is>
          <t>N/A</t>
        </is>
      </c>
      <c r="L5055" t="inlineStr">
        <is>
          <t>Quản Lý Kế Toán, Luật Thuế, Excel, Nghiệp Vụ Kế Toán, Quản Trị</t>
        </is>
      </c>
      <c r="M5055" t="inlineStr">
        <is>
          <t>Bonus, Healthcare Plan, Training, Others</t>
        </is>
      </c>
      <c r="N5055" s="8">
        <f>HYPERLINK("https://www.vietnamworks.com/ke-toan-truong-2015733-jv","Xem chi tiết")</f>
        <v/>
      </c>
    </row>
    <row r="5056">
      <c r="B5056" s="9" t="n">
        <v>5054</v>
      </c>
      <c r="C5056" s="10" t="inlineStr">
        <is>
          <t>HRM – Trưởng Phòng Nhân Sự (Biết Tiếng Trung)</t>
        </is>
      </c>
      <c r="D5056" s="10" t="inlineStr">
        <is>
          <t>Long star</t>
        </is>
      </c>
      <c r="E5056" s="10" t="inlineStr">
        <is>
          <t>Thương lượng</t>
        </is>
      </c>
      <c r="F5056" s="10" t="inlineStr">
        <is>
          <t>Bình Dương</t>
        </is>
      </c>
      <c r="G5056" s="10" t="inlineStr">
        <is>
          <t>Trưởng phòng</t>
        </is>
      </c>
      <c r="H5056" s="10" t="inlineStr">
        <is>
          <t>27/02/2026</t>
        </is>
      </c>
      <c r="I5056" s="10" t="inlineStr">
        <is>
          <t>29/03/2026</t>
        </is>
      </c>
      <c r="J5056" s="10" t="inlineStr">
        <is>
          <t>17/03/2026</t>
        </is>
      </c>
      <c r="K5056" s="10" t="inlineStr">
        <is>
          <t>N/A</t>
        </is>
      </c>
      <c r="L5056" s="10" t="inlineStr">
        <is>
          <t>Lập Kế Hoạch, Luật Lao Động, Quản Lý Nhân Sự, Tiếng Trung, Xây Dựng Quy Trình</t>
        </is>
      </c>
      <c r="M5056" s="10" t="inlineStr">
        <is>
          <t>Bonus, Healthcare Plan, Training, Vouchers, Others</t>
        </is>
      </c>
      <c r="N5056" s="11">
        <f>HYPERLINK("https://www.vietnamworks.com/hrm-truong-phong-nhan-su-biet-tieng-trung-2015732-jv","Xem chi tiết")</f>
        <v/>
      </c>
      <c r="O5056" s="10" t="n"/>
    </row>
    <row r="5057">
      <c r="B5057" s="7" t="n">
        <v>5055</v>
      </c>
      <c r="C5057" t="inlineStr">
        <is>
          <t>Trưởng Phòng Điều Hành Dự Án</t>
        </is>
      </c>
      <c r="D5057" t="inlineStr">
        <is>
          <t>Novaland</t>
        </is>
      </c>
      <c r="E5057" t="inlineStr">
        <is>
          <t>Thương lượng</t>
        </is>
      </c>
      <c r="F5057" t="inlineStr">
        <is>
          <t>Hồ Chí Minh</t>
        </is>
      </c>
      <c r="G5057" t="inlineStr">
        <is>
          <t>Trưởng phòng</t>
        </is>
      </c>
      <c r="H5057" t="inlineStr">
        <is>
          <t>27/02/2026</t>
        </is>
      </c>
      <c r="I5057" t="inlineStr">
        <is>
          <t>29/03/2026</t>
        </is>
      </c>
      <c r="J5057" t="inlineStr">
        <is>
          <t>17/03/2026</t>
        </is>
      </c>
      <c r="K5057" t="inlineStr">
        <is>
          <t>N/A</t>
        </is>
      </c>
      <c r="L5057" t="inlineStr">
        <is>
          <t>Giao Tiếp Tiếng Anh, Lãnh Đạo, Lập Kế Hoạch, Quản Lý Rủi Ro, Xây Dựng</t>
        </is>
      </c>
      <c r="M5057" t="inlineStr">
        <is>
          <t>Bonus, Healthcare Plan, Paid Leave, Laptop, Travel Opportunities</t>
        </is>
      </c>
      <c r="N5057" s="8">
        <f>HYPERLINK("https://www.vietnamworks.com/truong-phong-djieu-hanh-du-an-2015731-jv","Xem chi tiết")</f>
        <v/>
      </c>
    </row>
    <row r="5058">
      <c r="B5058" s="9" t="n">
        <v>5056</v>
      </c>
      <c r="C5058" s="10" t="inlineStr">
        <is>
          <t>Điều Hành Outbound Tại Hà Nội - Lương Cứng Từ 15-25 Triệu</t>
        </is>
      </c>
      <c r="D5058" s="10" t="inlineStr">
        <is>
          <t>Công Ty TNHH Vietrantour</t>
        </is>
      </c>
      <c r="E5058" s="10" t="inlineStr">
        <is>
          <t>15tr-25tr ₫/tháng</t>
        </is>
      </c>
      <c r="F5058" s="10" t="inlineStr">
        <is>
          <t>Hà Nội</t>
        </is>
      </c>
      <c r="G5058" s="10" t="inlineStr">
        <is>
          <t>Nhân viên</t>
        </is>
      </c>
      <c r="H5058" s="10" t="inlineStr">
        <is>
          <t>27/02/2026</t>
        </is>
      </c>
      <c r="I5058" s="10" t="inlineStr">
        <is>
          <t>29/03/2026</t>
        </is>
      </c>
      <c r="J5058" s="10" t="inlineStr">
        <is>
          <t>17/03/2026</t>
        </is>
      </c>
      <c r="K5058" s="10" t="inlineStr">
        <is>
          <t>N/A</t>
        </is>
      </c>
      <c r="L5058" s="10" t="inlineStr">
        <is>
          <t>Kỹ năng giao tiêp, Đàm Phán, Tin Học Văn Phòng, Tiếng Anh, Outbound</t>
        </is>
      </c>
      <c r="M5058" s="10" t="inlineStr">
        <is>
          <t>Bonus, Healthcare Plan, Travel Opportunities</t>
        </is>
      </c>
      <c r="N5058" s="11">
        <f>HYPERLINK("https://www.vietnamworks.com/dieu-hanh-outbound-tai-ha-noi-luong-cung-tu-15-25-trieu-2015739-jv","Xem chi tiết")</f>
        <v/>
      </c>
      <c r="O5058" s="10" t="n"/>
    </row>
    <row r="5059">
      <c r="B5059" s="7" t="n">
        <v>5057</v>
      </c>
      <c r="C5059" t="inlineStr">
        <is>
          <t>Chuyên Viên Marketing Bất Động Sản</t>
        </is>
      </c>
      <c r="D5059" t="inlineStr">
        <is>
          <t>Công Ty Cổ Phần Tập Đoàn Danko</t>
        </is>
      </c>
      <c r="E5059" t="inlineStr">
        <is>
          <t>800-1,200 ₫/tháng</t>
        </is>
      </c>
      <c r="F5059" t="inlineStr">
        <is>
          <t>Hà Nội</t>
        </is>
      </c>
      <c r="G5059" t="inlineStr">
        <is>
          <t>Nhân viên</t>
        </is>
      </c>
      <c r="H5059" t="inlineStr">
        <is>
          <t>27/02/2026</t>
        </is>
      </c>
      <c r="I5059" t="inlineStr">
        <is>
          <t>29/03/2026</t>
        </is>
      </c>
      <c r="J5059" t="inlineStr">
        <is>
          <t>17/03/2026</t>
        </is>
      </c>
      <c r="K5059" t="inlineStr">
        <is>
          <t>N/A</t>
        </is>
      </c>
      <c r="L5059" t="inlineStr">
        <is>
          <t>Marketing, Nghiên Cứu Thị Trường</t>
        </is>
      </c>
      <c r="M5059" t="inlineStr">
        <is>
          <t>Bonus, Awards, Travel Opportunities</t>
        </is>
      </c>
      <c r="N5059" s="8">
        <f>HYPERLINK("https://www.vietnamworks.com/chuyen-vien-marketing-bat-dong-san--2015730-jv","Xem chi tiết")</f>
        <v/>
      </c>
    </row>
    <row r="5060">
      <c r="B5060" s="9" t="n">
        <v>5058</v>
      </c>
      <c r="C5060" s="10" t="inlineStr">
        <is>
          <t>Trưởng Ban Quản Lý Vận Hành Khu Đô Thị Lương 45Tr - 60Tr</t>
        </is>
      </c>
      <c r="D5060" s="10" t="inlineStr">
        <is>
          <t>Công Ty Cổ Phần Việt Mỹ. Group</t>
        </is>
      </c>
      <c r="E5060" s="10" t="inlineStr">
        <is>
          <t>Thương lượng</t>
        </is>
      </c>
      <c r="F5060" s="10" t="inlineStr">
        <is>
          <t>Phú Thọ</t>
        </is>
      </c>
      <c r="G5060" s="10" t="inlineStr">
        <is>
          <t>Trưởng phòng</t>
        </is>
      </c>
      <c r="H5060" s="10" t="inlineStr">
        <is>
          <t>27/02/2026</t>
        </is>
      </c>
      <c r="I5060" s="10" t="inlineStr">
        <is>
          <t>29/03/2026</t>
        </is>
      </c>
      <c r="J5060" s="10" t="inlineStr">
        <is>
          <t>17/03/2026</t>
        </is>
      </c>
      <c r="K5060" s="10" t="inlineStr">
        <is>
          <t>N/A</t>
        </is>
      </c>
      <c r="L5060" s="10" t="inlineStr">
        <is>
          <t>Hạ Tầng Kỹ Thuật, Luật Đất Đai, Quản Lý Vận Hành, Quản Trị Rủi Ro, Quy Hoạch Đô Thị</t>
        </is>
      </c>
      <c r="M5060" s="10" t="inlineStr">
        <is>
          <t>Bonus, Team Activities, Transportation, Others</t>
        </is>
      </c>
      <c r="N5060" s="11">
        <f>HYPERLINK("https://www.vietnamworks.com/truong-ban-quan-ly-van-hanh-khu-do-thi-luong-45tr-60tr-2015744-jv","Xem chi tiết")</f>
        <v/>
      </c>
      <c r="O5060" s="10" t="n"/>
    </row>
    <row r="5061">
      <c r="B5061" s="7" t="n">
        <v>5059</v>
      </c>
      <c r="C5061" t="inlineStr">
        <is>
          <t>Chief Accountant</t>
        </is>
      </c>
      <c r="D5061" t="inlineStr">
        <is>
          <t>Novaland</t>
        </is>
      </c>
      <c r="E5061" t="inlineStr">
        <is>
          <t>Thương lượng</t>
        </is>
      </c>
      <c r="F5061" t="inlineStr">
        <is>
          <t>Hồ Chí Minh</t>
        </is>
      </c>
      <c r="G5061" t="inlineStr">
        <is>
          <t>Trưởng phòng</t>
        </is>
      </c>
      <c r="H5061" t="inlineStr">
        <is>
          <t>27/02/2026</t>
        </is>
      </c>
      <c r="I5061" t="inlineStr">
        <is>
          <t>29/03/2026</t>
        </is>
      </c>
      <c r="J5061" t="inlineStr">
        <is>
          <t>17/03/2026</t>
        </is>
      </c>
      <c r="K5061" t="inlineStr">
        <is>
          <t>N/A</t>
        </is>
      </c>
      <c r="L5061" t="inlineStr">
        <is>
          <t>Tài Chính, Kế Toán, Chief Accountant Certificate, Kiểm Toán</t>
        </is>
      </c>
      <c r="M5061" t="inlineStr">
        <is>
          <t>Bonus, Healthcare Plan, Awards</t>
        </is>
      </c>
      <c r="N5061" s="8">
        <f>HYPERLINK("https://www.vietnamworks.com/chief-accountant--2015741-jv","Xem chi tiết")</f>
        <v/>
      </c>
    </row>
    <row r="5062">
      <c r="B5062" s="9" t="n">
        <v>5060</v>
      </c>
      <c r="C5062" s="10" t="inlineStr">
        <is>
          <t>Kế Toán Tổng Hợp</t>
        </is>
      </c>
      <c r="D5062" s="10" t="inlineStr">
        <is>
          <t>CÔNG TY CỔ PHẦN F-LABS</t>
        </is>
      </c>
      <c r="E5062" s="10" t="inlineStr">
        <is>
          <t>15tr-20tr ₫/tháng</t>
        </is>
      </c>
      <c r="F5062" s="10" t="inlineStr">
        <is>
          <t>Hồ Chí Minh</t>
        </is>
      </c>
      <c r="G5062" s="10" t="inlineStr">
        <is>
          <t>Nhân viên</t>
        </is>
      </c>
      <c r="H5062" s="10" t="inlineStr">
        <is>
          <t>27/02/2026</t>
        </is>
      </c>
      <c r="I5062" s="10" t="inlineStr">
        <is>
          <t>29/03/2026</t>
        </is>
      </c>
      <c r="J5062" s="10" t="inlineStr">
        <is>
          <t>17/03/2026</t>
        </is>
      </c>
      <c r="K5062" s="10" t="inlineStr">
        <is>
          <t>N/A</t>
        </is>
      </c>
      <c r="L5062" s="10" t="inlineStr">
        <is>
          <t>Kế Toán Tổng Hợp, Báo Cáo Tài Chính, Quy Định Thuế, Phần mềm kế toán Misa, Trách nhiệm</t>
        </is>
      </c>
      <c r="M5062" s="10" t="inlineStr">
        <is>
          <t>Bonus, Healthcare Plan, Others</t>
        </is>
      </c>
      <c r="N5062" s="11">
        <f>HYPERLINK("https://www.vietnamworks.com/ke-toan-tong-hop-2015740-jv","Xem chi tiết")</f>
        <v/>
      </c>
      <c r="O5062" s="10" t="n"/>
    </row>
    <row r="5063">
      <c r="B5063" s="7" t="n">
        <v>5061</v>
      </c>
      <c r="C5063" t="inlineStr">
        <is>
          <t>Nhân Viên Kinh Doanh (Thu Nhập 15Tr - 30Tr)</t>
        </is>
      </c>
      <c r="D5063" t="inlineStr">
        <is>
          <t>Công Ty Cổ Phần Đầu Tư Và Sản Xuất Thương Mại Ngọc Minh Châu</t>
        </is>
      </c>
      <c r="E5063" t="inlineStr">
        <is>
          <t>Từ 10tr ₫/tháng</t>
        </is>
      </c>
      <c r="F5063" t="inlineStr">
        <is>
          <t>Hà Nội</t>
        </is>
      </c>
      <c r="G5063" t="inlineStr">
        <is>
          <t>Nhân viên</t>
        </is>
      </c>
      <c r="H5063" t="inlineStr">
        <is>
          <t>27/02/2026</t>
        </is>
      </c>
      <c r="I5063" t="inlineStr">
        <is>
          <t>29/03/2026</t>
        </is>
      </c>
      <c r="J5063" t="inlineStr">
        <is>
          <t>17/03/2026</t>
        </is>
      </c>
      <c r="K5063" t="inlineStr">
        <is>
          <t>N/A</t>
        </is>
      </c>
      <c r="L5063" t="inlineStr">
        <is>
          <t>Kinh Doanh, Đàm Phán, Chăm Sóc Khách Hàng, Mở rộng thị trường</t>
        </is>
      </c>
      <c r="M5063" t="inlineStr">
        <is>
          <t>Others</t>
        </is>
      </c>
      <c r="N5063" s="8">
        <f>HYPERLINK("https://www.vietnamworks.com/nhan-vien-kinh-doanh-thu-nhap-15tr-30tr-2015736-jv","Xem chi tiết")</f>
        <v/>
      </c>
    </row>
    <row r="5064">
      <c r="B5064" s="9" t="n">
        <v>5062</v>
      </c>
      <c r="C5064" s="10" t="inlineStr">
        <is>
          <t>Kỹ Sư Dự Án (Môi Trường - Cơ/Điện)</t>
        </is>
      </c>
      <c r="D5064" s="10" t="inlineStr">
        <is>
          <t>Công Ty TNHH Koastal Eco Industries.</t>
        </is>
      </c>
      <c r="E5064" s="10" t="inlineStr">
        <is>
          <t>18tr-20tr ₫/tháng</t>
        </is>
      </c>
      <c r="F5064" s="10" t="inlineStr">
        <is>
          <t>Hà Nội</t>
        </is>
      </c>
      <c r="G5064" s="10" t="inlineStr">
        <is>
          <t>Nhân viên</t>
        </is>
      </c>
      <c r="H5064" s="10" t="inlineStr">
        <is>
          <t>27/02/2026</t>
        </is>
      </c>
      <c r="I5064" s="10" t="inlineStr">
        <is>
          <t>29/03/2026</t>
        </is>
      </c>
      <c r="J5064" s="10" t="inlineStr">
        <is>
          <t>17/03/2026</t>
        </is>
      </c>
      <c r="K5064" s="10" t="inlineStr">
        <is>
          <t>N/A</t>
        </is>
      </c>
      <c r="L5064" s="10" t="inlineStr">
        <is>
          <t>Môi Trường, Cơ Điện, Quản Lý Dự Án, Kỹ Sư Dự Án, Project Engineer</t>
        </is>
      </c>
      <c r="M5064" s="10" t="inlineStr">
        <is>
          <t>Bonus, Healthcare Plan, Others</t>
        </is>
      </c>
      <c r="N5064" s="11">
        <f>HYPERLINK("https://www.vietnamworks.com/ky-su-du-an-moi-truong-codjien-2015749-jv","Xem chi tiết")</f>
        <v/>
      </c>
      <c r="O5064" s="10" t="n"/>
    </row>
    <row r="5065">
      <c r="B5065" s="7" t="n">
        <v>5063</v>
      </c>
      <c r="C5065" t="inlineStr">
        <is>
          <t>Kỹ Sư Cao Cấp Giám Sát An Toàn Lao Động</t>
        </is>
      </c>
      <c r="D5065" t="inlineStr">
        <is>
          <t>Novaland</t>
        </is>
      </c>
      <c r="E5065" t="inlineStr">
        <is>
          <t>Thương lượng</t>
        </is>
      </c>
      <c r="F5065" t="inlineStr">
        <is>
          <t>Đồng Nai</t>
        </is>
      </c>
      <c r="G5065" t="inlineStr">
        <is>
          <t>Nhân viên</t>
        </is>
      </c>
      <c r="H5065" t="inlineStr">
        <is>
          <t>27/02/2026</t>
        </is>
      </c>
      <c r="I5065" t="inlineStr">
        <is>
          <t>29/03/2026</t>
        </is>
      </c>
      <c r="J5065" t="inlineStr">
        <is>
          <t>17/03/2026</t>
        </is>
      </c>
      <c r="K5065" t="inlineStr">
        <is>
          <t>N/A</t>
        </is>
      </c>
      <c r="L5065" t="inlineStr">
        <is>
          <t>An Toàn Lao Động, Kỹ Sư, Engineering, Xây Dựng, Bất Động Sản</t>
        </is>
      </c>
      <c r="M5065" t="inlineStr">
        <is>
          <t>Bonus, Healthcare Plan, Awards</t>
        </is>
      </c>
      <c r="N5065" s="8">
        <f>HYPERLINK("https://www.vietnamworks.com/ky-su-cao-cap-giam-sat-an-toan-lao-dong--2015735-jv","Xem chi tiết")</f>
        <v/>
      </c>
    </row>
    <row r="5066">
      <c r="B5066" s="9" t="n">
        <v>5064</v>
      </c>
      <c r="C5066" s="10" t="inlineStr">
        <is>
          <t>Safety Manager</t>
        </is>
      </c>
      <c r="D5066" s="10" t="inlineStr">
        <is>
          <t>Công Ty TNHH Olam Việt Nam</t>
        </is>
      </c>
      <c r="E5066" s="10" t="inlineStr">
        <is>
          <t>Thương lượng</t>
        </is>
      </c>
      <c r="F5066" s="10" t="inlineStr">
        <is>
          <t>Hồ Chí Minh</t>
        </is>
      </c>
      <c r="G5066" s="10" t="inlineStr">
        <is>
          <t>Trưởng phòng</t>
        </is>
      </c>
      <c r="H5066" s="10" t="inlineStr">
        <is>
          <t>27/02/2026</t>
        </is>
      </c>
      <c r="I5066" s="10" t="inlineStr">
        <is>
          <t>29/03/2026</t>
        </is>
      </c>
      <c r="J5066" s="10" t="inlineStr">
        <is>
          <t>17/03/2026</t>
        </is>
      </c>
      <c r="K5066" s="10" t="inlineStr">
        <is>
          <t>N/A</t>
        </is>
      </c>
      <c r="L5066" s="10" t="inlineStr">
        <is>
          <t>HSE, Hazard Control, Root Cause Analysis, OSHA, Safety Management</t>
        </is>
      </c>
      <c r="M5066" s="10" t="inlineStr">
        <is>
          <t>Bonus, Laptop</t>
        </is>
      </c>
      <c r="N5066" s="11">
        <f>HYPERLINK("https://www.vietnamworks.com/safety-manager--2015754-jv","Xem chi tiết")</f>
        <v/>
      </c>
      <c r="O5066" s="10" t="n"/>
    </row>
    <row r="5067">
      <c r="B5067" s="7" t="n">
        <v>5065</v>
      </c>
      <c r="C5067" t="inlineStr">
        <is>
          <t>Thư Ký Cho Cán Bộ Lãnh Đạo Cấp Cao</t>
        </is>
      </c>
      <c r="D5067" t="inlineStr">
        <is>
          <t>Vingroup</t>
        </is>
      </c>
      <c r="E5067" t="inlineStr">
        <is>
          <t>Thương lượng</t>
        </is>
      </c>
      <c r="F5067" t="inlineStr">
        <is>
          <t>Hà Nội</t>
        </is>
      </c>
      <c r="G5067" t="inlineStr">
        <is>
          <t>Nhân viên</t>
        </is>
      </c>
      <c r="H5067" t="inlineStr">
        <is>
          <t>27/02/2026</t>
        </is>
      </c>
      <c r="I5067" t="inlineStr">
        <is>
          <t>29/03/2026</t>
        </is>
      </c>
      <c r="J5067" t="inlineStr">
        <is>
          <t>17/03/2026</t>
        </is>
      </c>
      <c r="K5067" t="inlineStr">
        <is>
          <t>N/A</t>
        </is>
      </c>
      <c r="L5067" t="inlineStr">
        <is>
          <t>Business English, Interpersonal Skills, Microsoft Office, Organizational skills</t>
        </is>
      </c>
      <c r="M5067" t="inlineStr">
        <is>
          <t>Bonus, Paid Leave, Others</t>
        </is>
      </c>
      <c r="N5067" s="8">
        <f>HYPERLINK("https://www.vietnamworks.com/thu-ky-cho-can-bo-lanh-djao-cap-cao-2015757-jv","Xem chi tiết")</f>
        <v/>
      </c>
    </row>
    <row r="5068">
      <c r="B5068" s="9" t="n">
        <v>5066</v>
      </c>
      <c r="C5068" s="10" t="inlineStr">
        <is>
          <t>Kỹ Sư Giải Pháp Kỹ Thuật (Technical Engineer)</t>
        </is>
      </c>
      <c r="D5068" s="10" t="inlineStr">
        <is>
          <t>Truetech Co., Ltd.</t>
        </is>
      </c>
      <c r="E5068" s="10" t="inlineStr">
        <is>
          <t>Thương lượng</t>
        </is>
      </c>
      <c r="F5068" s="10" t="inlineStr">
        <is>
          <t>Bà Rịa - Vũng Tàu</t>
        </is>
      </c>
      <c r="G5068" s="10" t="inlineStr">
        <is>
          <t>Nhân viên</t>
        </is>
      </c>
      <c r="H5068" s="10" t="inlineStr">
        <is>
          <t>27/02/2026</t>
        </is>
      </c>
      <c r="I5068" s="10" t="inlineStr">
        <is>
          <t>29/03/2026</t>
        </is>
      </c>
      <c r="J5068" s="10" t="inlineStr">
        <is>
          <t>17/03/2026</t>
        </is>
      </c>
      <c r="K5068" s="10" t="inlineStr">
        <is>
          <t>N/A</t>
        </is>
      </c>
      <c r="L5068" s="10" t="inlineStr">
        <is>
          <t>Cơ Khí, Cơ Khí Công Trình, Cơ Khí Giao Thông Vận Tải, Kỹ Thuật, Xây Dựng</t>
        </is>
      </c>
      <c r="M5068" s="10" t="inlineStr">
        <is>
          <t>Bonus, Healthcare Plan, Paid Leave, Training, Others</t>
        </is>
      </c>
      <c r="N5068" s="11">
        <f>HYPERLINK("https://www.vietnamworks.com/ky-su-giai-phap-ky-thuat-technical-engineer-2015752-jv","Xem chi tiết")</f>
        <v/>
      </c>
      <c r="O5068" s="10" t="n"/>
    </row>
    <row r="5069">
      <c r="B5069" s="7" t="n">
        <v>5067</v>
      </c>
      <c r="C5069" t="inlineStr">
        <is>
          <t>Nhân Viên Marketing</t>
        </is>
      </c>
      <c r="D5069" t="inlineStr">
        <is>
          <t>CÔNG TY CỔ PHẦN F-LABS</t>
        </is>
      </c>
      <c r="E5069" t="inlineStr">
        <is>
          <t>10tr-15tr ₫/tháng</t>
        </is>
      </c>
      <c r="F5069" t="inlineStr">
        <is>
          <t>Hồ Chí Minh</t>
        </is>
      </c>
      <c r="G5069" t="inlineStr">
        <is>
          <t>Nhân viên</t>
        </is>
      </c>
      <c r="H5069" t="inlineStr">
        <is>
          <t>27/02/2026</t>
        </is>
      </c>
      <c r="I5069" t="inlineStr">
        <is>
          <t>29/03/2026</t>
        </is>
      </c>
      <c r="J5069" t="inlineStr">
        <is>
          <t>17/03/2026</t>
        </is>
      </c>
      <c r="K5069" t="inlineStr">
        <is>
          <t>N/A</t>
        </is>
      </c>
      <c r="L5069" t="inlineStr">
        <is>
          <t>Marketing Development, Livestream, Video Editing, Content Creation, Creativity</t>
        </is>
      </c>
      <c r="M5069" t="inlineStr">
        <is>
          <t>Bonus, Healthcare Plan, Training, Others</t>
        </is>
      </c>
      <c r="N5069" s="8">
        <f>HYPERLINK("https://www.vietnamworks.com/nhan-vien-marketing-2015747-jv","Xem chi tiết")</f>
        <v/>
      </c>
    </row>
    <row r="5070">
      <c r="B5070" s="9" t="n">
        <v>5068</v>
      </c>
      <c r="C5070" s="10" t="inlineStr">
        <is>
          <t>Engineering Facilities Manager</t>
        </is>
      </c>
      <c r="D5070" s="10" t="inlineStr">
        <is>
          <t>Jones Lang LaSalle Vietnam</t>
        </is>
      </c>
      <c r="E5070" s="10" t="inlineStr">
        <is>
          <t>Thương lượng</t>
        </is>
      </c>
      <c r="F5070" s="10" t="inlineStr">
        <is>
          <t>Hồ Chí Minh</t>
        </is>
      </c>
      <c r="G5070" s="10" t="inlineStr">
        <is>
          <t>Trưởng phòng</t>
        </is>
      </c>
      <c r="H5070" s="10" t="inlineStr">
        <is>
          <t>27/02/2026</t>
        </is>
      </c>
      <c r="I5070" s="10" t="inlineStr">
        <is>
          <t>29/03/2026</t>
        </is>
      </c>
      <c r="J5070" s="10" t="inlineStr">
        <is>
          <t>17/03/2026</t>
        </is>
      </c>
      <c r="K5070" s="10" t="inlineStr">
        <is>
          <t>N/A</t>
        </is>
      </c>
      <c r="L5070" s="10" t="inlineStr">
        <is>
          <t>Facilities Management, Electrical, Engineering Experience, HVAC, English Language Proficiency</t>
        </is>
      </c>
      <c r="M5070" s="10" t="inlineStr">
        <is>
          <t>Bonus, Healthcare Plan, Paid Leave</t>
        </is>
      </c>
      <c r="N5070" s="11">
        <f>HYPERLINK("https://www.vietnamworks.com/engineering-facilities-manager-2015759-jv","Xem chi tiết")</f>
        <v/>
      </c>
      <c r="O5070" s="10" t="n"/>
    </row>
    <row r="5071">
      <c r="B5071" s="7" t="n">
        <v>5069</v>
      </c>
      <c r="C5071" t="inlineStr">
        <is>
          <t>Senior Export Manager</t>
        </is>
      </c>
      <c r="D5071" t="inlineStr">
        <is>
          <t>ANDROS Vietnam - Công Ty TNHH Sản Xuất Trái Cây Hùng Phát</t>
        </is>
      </c>
      <c r="E5071" t="inlineStr">
        <is>
          <t>Thương lượng</t>
        </is>
      </c>
      <c r="F5071" t="inlineStr">
        <is>
          <t>Hồ Chí Minh</t>
        </is>
      </c>
      <c r="G5071" t="inlineStr">
        <is>
          <t>Trưởng phòng</t>
        </is>
      </c>
      <c r="H5071" t="inlineStr">
        <is>
          <t>27/02/2026</t>
        </is>
      </c>
      <c r="I5071" t="inlineStr">
        <is>
          <t>29/03/2026</t>
        </is>
      </c>
      <c r="J5071" t="inlineStr">
        <is>
          <t>17/03/2026</t>
        </is>
      </c>
      <c r="K5071" t="inlineStr">
        <is>
          <t>N/A</t>
        </is>
      </c>
      <c r="L5071" t="inlineStr">
        <is>
          <t>Business Expansion, Distributor System Management, Sales Strategy, Communication, Export Sales</t>
        </is>
      </c>
      <c r="M5071" t="inlineStr">
        <is>
          <t>Bonus, Healthcare Plan, Paid Leave, Training, Others</t>
        </is>
      </c>
      <c r="N5071" s="8">
        <f>HYPERLINK("https://www.vietnamworks.com/senior-export-manager-2015751-jv","Xem chi tiết")</f>
        <v/>
      </c>
    </row>
    <row r="5072">
      <c r="B5072" s="9" t="n">
        <v>5070</v>
      </c>
      <c r="C5072" s="10" t="inlineStr">
        <is>
          <t>Mechanical Engineer_Senior Level</t>
        </is>
      </c>
      <c r="D5072" s="10" t="inlineStr">
        <is>
          <t>ORGANO (VIETNAM) - Global Engineering Center</t>
        </is>
      </c>
      <c r="E5072" s="10" t="inlineStr">
        <is>
          <t>Tới $ 12,000 /tháng</t>
        </is>
      </c>
      <c r="F5072" s="10" t="inlineStr">
        <is>
          <t>Hồ Chí Minh</t>
        </is>
      </c>
      <c r="G5072" s="10" t="inlineStr">
        <is>
          <t>Nhân viên</t>
        </is>
      </c>
      <c r="H5072" s="10" t="inlineStr">
        <is>
          <t>27/02/2026</t>
        </is>
      </c>
      <c r="I5072" s="10" t="inlineStr">
        <is>
          <t>29/03/2026</t>
        </is>
      </c>
      <c r="J5072" s="10" t="inlineStr">
        <is>
          <t>17/03/2026</t>
        </is>
      </c>
      <c r="K5072" s="10" t="inlineStr">
        <is>
          <t>N/A</t>
        </is>
      </c>
      <c r="L5072" s="10" t="inlineStr">
        <is>
          <t>Piping Design, Mechanical engineer, Routing, Auto CAD, MS Office</t>
        </is>
      </c>
      <c r="M5072" s="10" t="inlineStr">
        <is>
          <t>Paid Leave, Training, Travel Opportunities</t>
        </is>
      </c>
      <c r="N5072" s="11">
        <f>HYPERLINK("https://www.vietnamworks.com/mechanical-engineer-senior-level-2015762-jv","Xem chi tiết")</f>
        <v/>
      </c>
      <c r="O5072" s="10" t="n"/>
    </row>
    <row r="5073">
      <c r="B5073" s="7" t="n">
        <v>5071</v>
      </c>
      <c r="C5073" t="inlineStr">
        <is>
          <t>Kỹ Thuật Giám Sát Hiện Trường (MEP &amp; PCCC)</t>
        </is>
      </c>
      <c r="D5073" t="inlineStr">
        <is>
          <t>CÔNG TY CỔ PHẦN CƠ ĐIỆN VÀ PCCC THĂNG LONG HÀ NỘI</t>
        </is>
      </c>
      <c r="E5073" t="inlineStr">
        <is>
          <t>15tr-25tr ₫/tháng</t>
        </is>
      </c>
      <c r="F5073" t="inlineStr">
        <is>
          <t>Phú Thọ, Hải Dương, Bắc Giang</t>
        </is>
      </c>
      <c r="G5073" t="inlineStr">
        <is>
          <t>Nhân viên</t>
        </is>
      </c>
      <c r="H5073" t="inlineStr">
        <is>
          <t>27/02/2026</t>
        </is>
      </c>
      <c r="I5073" t="inlineStr">
        <is>
          <t>29/03/2026</t>
        </is>
      </c>
      <c r="J5073" t="inlineStr">
        <is>
          <t>17/03/2026</t>
        </is>
      </c>
      <c r="K5073" t="inlineStr">
        <is>
          <t>N/A</t>
        </is>
      </c>
      <c r="L5073" t="inlineStr">
        <is>
          <t>Giám Sát Giàn Giáo, Đọc Hiểu Bản Vẽ, Lập Trình AutoCAD, Giám Sát Hiện Trường, MEP</t>
        </is>
      </c>
      <c r="M5073" t="inlineStr">
        <is>
          <t>Bonus, Healthcare Plan, Others</t>
        </is>
      </c>
      <c r="N5073" s="8">
        <f>HYPERLINK("https://www.vietnamworks.com/ky-thuat-giam-sat-hien-truong-mep-and-pccc-2015760-jv","Xem chi tiết")</f>
        <v/>
      </c>
    </row>
    <row r="5074">
      <c r="B5074" s="9" t="n">
        <v>5072</v>
      </c>
      <c r="C5074" s="10" t="inlineStr">
        <is>
          <t>Nhân Viên Vận Hành Và Phân Tích Dữ Liệu Thương Mại Điện Tử Quốc Tế</t>
        </is>
      </c>
      <c r="D5074" s="10" t="inlineStr">
        <is>
          <t>CÔNG TY TNHH FLAMINPOP</t>
        </is>
      </c>
      <c r="E5074" s="10" t="inlineStr">
        <is>
          <t>Thương lượng</t>
        </is>
      </c>
      <c r="F5074" s="10" t="inlineStr">
        <is>
          <t>Hồ Chí Minh</t>
        </is>
      </c>
      <c r="G5074" s="10" t="inlineStr">
        <is>
          <t>Nhân viên</t>
        </is>
      </c>
      <c r="H5074" s="10" t="inlineStr">
        <is>
          <t>27/02/2026</t>
        </is>
      </c>
      <c r="I5074" s="10" t="inlineStr">
        <is>
          <t>29/03/2026</t>
        </is>
      </c>
      <c r="J5074" s="10" t="inlineStr">
        <is>
          <t>17/03/2026</t>
        </is>
      </c>
      <c r="K5074" s="10" t="inlineStr">
        <is>
          <t>N/A</t>
        </is>
      </c>
      <c r="L5074" s="10" t="inlineStr">
        <is>
          <t>Sử dụng Excel, Nghiên Cứu Thị Trường, Phân Tích Số Liệu, Vận Hành, Thương Mại Điện Tử</t>
        </is>
      </c>
      <c r="M5074" s="10" t="inlineStr">
        <is>
          <t>Bonus, Healthcare Plan, Travel Opportunities, Others</t>
        </is>
      </c>
      <c r="N5074" s="11">
        <f>HYPERLINK("https://www.vietnamworks.com/nhan-vien-van-hanh-va-phan-tich-du-lieu-thuong-mai-djien-tu-quoc-te-2015761-jv","Xem chi tiết")</f>
        <v/>
      </c>
      <c r="O5074" s="10" t="n"/>
    </row>
    <row r="5075">
      <c r="B5075" s="7" t="n">
        <v>5073</v>
      </c>
      <c r="C5075" t="inlineStr">
        <is>
          <t>Trưởng Phòng Phụ Trách Tìm Kiếm Cơ Hội Đầu Tư</t>
        </is>
      </c>
      <c r="D5075" t="inlineStr">
        <is>
          <t>Novaland</t>
        </is>
      </c>
      <c r="E5075" t="inlineStr">
        <is>
          <t>Thương lượng</t>
        </is>
      </c>
      <c r="F5075" t="inlineStr">
        <is>
          <t>Hồ Chí Minh</t>
        </is>
      </c>
      <c r="G5075" t="inlineStr">
        <is>
          <t>Trưởng phòng</t>
        </is>
      </c>
      <c r="H5075" t="inlineStr">
        <is>
          <t>27/02/2026</t>
        </is>
      </c>
      <c r="I5075" t="inlineStr">
        <is>
          <t>29/03/2026</t>
        </is>
      </c>
      <c r="J5075" t="inlineStr">
        <is>
          <t>17/03/2026</t>
        </is>
      </c>
      <c r="K5075" t="inlineStr">
        <is>
          <t>N/A</t>
        </is>
      </c>
      <c r="L5075" t="inlineStr">
        <is>
          <t>Phát Triển Bất Động Sản, Investment Planning, Đầu Tư Bất Động Sản, Đầu Tư Phát Triển Dự Án</t>
        </is>
      </c>
      <c r="M5075" t="inlineStr">
        <is>
          <t>Bonus, Healthcare Plan, Awards</t>
        </is>
      </c>
      <c r="N5075" s="8">
        <f>HYPERLINK("https://www.vietnamworks.com/truong-phong-phu-trach-tim-kiem-co-hoi-dau-tu--2015742-jv","Xem chi tiết")</f>
        <v/>
      </c>
    </row>
    <row r="5076">
      <c r="B5076" s="9" t="n">
        <v>5074</v>
      </c>
      <c r="C5076" s="10" t="inlineStr">
        <is>
          <t>AVPI Engagement and Projects Lead</t>
        </is>
      </c>
      <c r="D5076" s="10" t="inlineStr">
        <is>
          <t>RMIT University Vietnam</t>
        </is>
      </c>
      <c r="E5076" s="10" t="inlineStr">
        <is>
          <t>Từ 45.349tr ₫/tháng</t>
        </is>
      </c>
      <c r="F5076" s="10" t="inlineStr">
        <is>
          <t>Hà Nội</t>
        </is>
      </c>
      <c r="G5076" s="10" t="inlineStr">
        <is>
          <t>Nhân viên</t>
        </is>
      </c>
      <c r="H5076" s="10" t="inlineStr">
        <is>
          <t>27/02/2026</t>
        </is>
      </c>
      <c r="I5076" s="10" t="inlineStr">
        <is>
          <t>29/03/2026</t>
        </is>
      </c>
      <c r="J5076" s="10" t="inlineStr">
        <is>
          <t>17/03/2026</t>
        </is>
      </c>
      <c r="K5076" s="10" t="inlineStr">
        <is>
          <t>N/A</t>
        </is>
      </c>
      <c r="L5076" s="10" t="inlineStr">
        <is>
          <t>Admin Support, Event Coordination, Event Management, Project Management</t>
        </is>
      </c>
      <c r="M5076" s="10" t="inlineStr">
        <is>
          <t>Bonus, Healthcare Plan, Paid Leave</t>
        </is>
      </c>
      <c r="N5076" s="11">
        <f>HYPERLINK("https://www.vietnamworks.com/avpi-engagement-and-projects-lead-2015764-jv","Xem chi tiết")</f>
        <v/>
      </c>
      <c r="O5076" s="10" t="n"/>
    </row>
    <row r="5077">
      <c r="B5077" s="7" t="n">
        <v>5075</v>
      </c>
      <c r="C5077" t="inlineStr">
        <is>
          <t>(SCGA) AP Accountant</t>
        </is>
      </c>
      <c r="D5077" t="inlineStr">
        <is>
          <t>CHI NHÁNH SCG ACCOUNTING SERVICES CO., LTD. TẠI THÀNH PHỐ HỒ CHÍ MINH</t>
        </is>
      </c>
      <c r="E5077" t="inlineStr">
        <is>
          <t>Thương lượng</t>
        </is>
      </c>
      <c r="F5077" t="inlineStr">
        <is>
          <t>Hồ Chí Minh</t>
        </is>
      </c>
      <c r="G5077" t="inlineStr">
        <is>
          <t>Nhân viên</t>
        </is>
      </c>
      <c r="H5077" t="inlineStr">
        <is>
          <t>27/02/2026</t>
        </is>
      </c>
      <c r="I5077" t="inlineStr">
        <is>
          <t>29/03/2026</t>
        </is>
      </c>
      <c r="J5077" t="inlineStr">
        <is>
          <t>17/03/2026</t>
        </is>
      </c>
      <c r="K5077" t="inlineStr">
        <is>
          <t>N/A</t>
        </is>
      </c>
      <c r="L5077" t="inlineStr">
        <is>
          <t>Account Reconciliation, Effective Communication, Payment Process, Ap Invoices Management, Sap-Erp Proficiency</t>
        </is>
      </c>
      <c r="M5077" t="inlineStr">
        <is>
          <t>Healthcare Plan, Paid Leave, Laptop</t>
        </is>
      </c>
      <c r="N5077" s="8">
        <f>HYPERLINK("https://www.vietnamworks.com/-scga-ap-accountant-2015763-jv","Xem chi tiết")</f>
        <v/>
      </c>
    </row>
    <row r="5078">
      <c r="B5078" s="9" t="n">
        <v>5076</v>
      </c>
      <c r="C5078" s="10" t="inlineStr">
        <is>
          <t>Trưởng Phòng Kỹ Thuật Triển Khai (Làm tại VP)</t>
        </is>
      </c>
      <c r="D5078" s="10" t="inlineStr">
        <is>
          <t>Công ty Cổ phần Thương mại và Giải pháp Công nghệ Daly</t>
        </is>
      </c>
      <c r="E5078" s="10" t="inlineStr">
        <is>
          <t>20tr-30tr ₫/tháng</t>
        </is>
      </c>
      <c r="F5078" s="10" t="inlineStr">
        <is>
          <t>Hà Nội</t>
        </is>
      </c>
      <c r="G5078" s="10" t="inlineStr">
        <is>
          <t>Trưởng phòng</t>
        </is>
      </c>
      <c r="H5078" s="10" t="inlineStr">
        <is>
          <t>27/02/2026</t>
        </is>
      </c>
      <c r="I5078" s="10" t="inlineStr">
        <is>
          <t>29/03/2026</t>
        </is>
      </c>
      <c r="J5078" s="10" t="inlineStr">
        <is>
          <t>17/03/2026</t>
        </is>
      </c>
      <c r="K5078" s="10" t="inlineStr">
        <is>
          <t>N/A</t>
        </is>
      </c>
      <c r="L5078" s="10" t="inlineStr">
        <is>
          <t>Hệ Thống Điện, Tự Động Hóa, Điện, Điện Nhẹ</t>
        </is>
      </c>
      <c r="M5078" s="10" t="inlineStr">
        <is>
          <t>Bonus, Healthcare Plan, Paid Leave, Laptop, Team Activities, Canteen, Others</t>
        </is>
      </c>
      <c r="N5078" s="11">
        <f>HYPERLINK("https://www.vietnamworks.com/truong-phong-ky-thuat-trien-khai-lam-tai-vp-2015767-jv","Xem chi tiết")</f>
        <v/>
      </c>
      <c r="O5078" s="10" t="n"/>
    </row>
    <row r="5079">
      <c r="B5079" s="7" t="n">
        <v>5077</v>
      </c>
      <c r="C5079" t="inlineStr">
        <is>
          <t>Kindergarten Teacher</t>
        </is>
      </c>
      <c r="D5079" t="inlineStr">
        <is>
          <t>St. Mary's International School</t>
        </is>
      </c>
      <c r="E5079" t="inlineStr">
        <is>
          <t>Thương lượng</t>
        </is>
      </c>
      <c r="F5079" t="inlineStr">
        <is>
          <t>Hà Nội</t>
        </is>
      </c>
      <c r="G5079" t="inlineStr">
        <is>
          <t>Nhân viên</t>
        </is>
      </c>
      <c r="H5079" t="inlineStr">
        <is>
          <t>27/02/2026</t>
        </is>
      </c>
      <c r="I5079" t="inlineStr">
        <is>
          <t>29/03/2026</t>
        </is>
      </c>
      <c r="J5079" t="inlineStr">
        <is>
          <t>17/03/2026</t>
        </is>
      </c>
      <c r="K5079" t="inlineStr">
        <is>
          <t>N/A</t>
        </is>
      </c>
      <c r="L5079" t="inlineStr">
        <is>
          <t>Early Childhood Education, Communication, Problem Solving, Education, Kindergarten</t>
        </is>
      </c>
      <c r="M5079" t="inlineStr">
        <is>
          <t>Bonus, Healthcare Plan</t>
        </is>
      </c>
      <c r="N5079" s="8">
        <f>HYPERLINK("https://www.vietnamworks.com/kindergarten-teacher-2015765-jv","Xem chi tiết")</f>
        <v/>
      </c>
    </row>
    <row r="5080">
      <c r="B5080" s="9" t="n">
        <v>5078</v>
      </c>
      <c r="C5080" s="10" t="inlineStr">
        <is>
          <t>Tuyển Gấp: Chuyên Viên Khai Báo Hải Quan (Lương Từ 10-13 Triệu VND hoặc Thỏa Thuận Theo Năng Lực)</t>
        </is>
      </c>
      <c r="D5080" s="10" t="inlineStr">
        <is>
          <t>Công Ty Cổ Phần Vận Tải Biển Container Thái Bình Dương</t>
        </is>
      </c>
      <c r="E5080" s="10" t="inlineStr">
        <is>
          <t>10tr-13tr ₫/tháng</t>
        </is>
      </c>
      <c r="F5080" s="10" t="inlineStr">
        <is>
          <t>Hà Nội, Hồ Chí Minh</t>
        </is>
      </c>
      <c r="G5080" s="10" t="inlineStr">
        <is>
          <t>Nhân viên</t>
        </is>
      </c>
      <c r="H5080" s="10" t="inlineStr">
        <is>
          <t>27/02/2026</t>
        </is>
      </c>
      <c r="I5080" s="10" t="inlineStr">
        <is>
          <t>29/03/2026</t>
        </is>
      </c>
      <c r="J5080" s="10" t="inlineStr">
        <is>
          <t>17/03/2026</t>
        </is>
      </c>
      <c r="K5080" s="10" t="inlineStr">
        <is>
          <t>N/A</t>
        </is>
      </c>
      <c r="L5080" s="10" t="inlineStr">
        <is>
          <t>Khai Báo Hải Quan, Sử Dụng Phần Mềm Ecus, Đọc Tiếng Anh, Luật Hải Quan, Hải quan ECUS</t>
        </is>
      </c>
      <c r="M5080" s="10" t="inlineStr">
        <is>
          <t>Bonus, Healthcare Plan, Awards, Travel Opportunities, Others</t>
        </is>
      </c>
      <c r="N5080" s="11">
        <f>HYPERLINK("https://www.vietnamworks.com/tuyen-gap-chuyen-vien-khai-bao-hai-quan-luong-tu-10-13-trieu-vnd-hoac-thoa-thuan-theo-nang-luc-2015758-jv","Xem chi tiết")</f>
        <v/>
      </c>
      <c r="O5080" s="10" t="n"/>
    </row>
    <row r="5081">
      <c r="B5081" s="7" t="n">
        <v>5079</v>
      </c>
      <c r="C5081" t="inlineStr">
        <is>
          <t>Chuyên Viên Bán Hàng Kỹ Thuật Lĩnh Vực HVAC &amp; Cấp Thoát Nước - Thu Nhập Hấp Dẫn Đến $2000+</t>
        </is>
      </c>
      <c r="D5081" t="inlineStr">
        <is>
          <t>Công Ty Cổ Phần Công Nghệ Combitek Việt Nam</t>
        </is>
      </c>
      <c r="E5081" t="inlineStr">
        <is>
          <t>Tới $ 2,000 /tháng</t>
        </is>
      </c>
      <c r="F5081" t="inlineStr">
        <is>
          <t>Hà Nội, Hồ Chí Minh</t>
        </is>
      </c>
      <c r="G5081" t="inlineStr">
        <is>
          <t>Nhân viên</t>
        </is>
      </c>
      <c r="H5081" t="inlineStr">
        <is>
          <t>27/02/2026</t>
        </is>
      </c>
      <c r="I5081" t="inlineStr">
        <is>
          <t>29/03/2026</t>
        </is>
      </c>
      <c r="J5081" t="inlineStr">
        <is>
          <t>17/03/2026</t>
        </is>
      </c>
      <c r="K5081" t="inlineStr">
        <is>
          <t>N/A</t>
        </is>
      </c>
      <c r="L5081" t="inlineStr">
        <is>
          <t>Bán hàng, Bán Hàng Kỹ Thuật, Sales, Tìm Kiếm Khách Hàng, Tư Vấn Giải Pháp</t>
        </is>
      </c>
      <c r="M5081" t="inlineStr">
        <is>
          <t>Bonus, Healthcare Plan, Paid Leave, Training, Awards, Team Activities, Transportation, Others</t>
        </is>
      </c>
      <c r="N5081" s="8">
        <f>HYPERLINK("https://www.vietnamworks.com/chuyen-vien-ban-hang-ky-thuat-linh-vuc-hvac-cap-thoat-nuoc-thu-nhap-hap-dan-den-2000-2015766-jv","Xem chi tiết")</f>
        <v/>
      </c>
    </row>
    <row r="5082">
      <c r="B5082" s="9" t="n">
        <v>5080</v>
      </c>
      <c r="C5082" s="10" t="inlineStr">
        <is>
          <t>Finance Manager</t>
        </is>
      </c>
      <c r="D5082" s="10" t="inlineStr">
        <is>
          <t>Vingroup</t>
        </is>
      </c>
      <c r="E5082" s="10" t="inlineStr">
        <is>
          <t>Thương lượng</t>
        </is>
      </c>
      <c r="F5082" s="10" t="inlineStr">
        <is>
          <t>Hà Nội</t>
        </is>
      </c>
      <c r="G5082" s="10" t="inlineStr">
        <is>
          <t>Trưởng phòng</t>
        </is>
      </c>
      <c r="H5082" s="10" t="inlineStr">
        <is>
          <t>27/02/2026</t>
        </is>
      </c>
      <c r="I5082" s="10" t="inlineStr">
        <is>
          <t>29/03/2026</t>
        </is>
      </c>
      <c r="J5082" s="10" t="inlineStr">
        <is>
          <t>17/03/2026</t>
        </is>
      </c>
      <c r="K5082" s="10" t="inlineStr">
        <is>
          <t>N/A</t>
        </is>
      </c>
      <c r="L5082" s="10" t="inlineStr">
        <is>
          <t>Phân Tích Tài Chính, Tài Chính Ngân Hàng, Tài Chính, Quản Lý Tài Chính, Kiểm Toán</t>
        </is>
      </c>
      <c r="M5082" s="10" t="inlineStr">
        <is>
          <t>Bonus, Healthcare Plan, Others</t>
        </is>
      </c>
      <c r="N5082" s="11">
        <f>HYPERLINK("https://www.vietnamworks.com/finance-manager--2015768-jv","Xem chi tiết")</f>
        <v/>
      </c>
      <c r="O5082" s="10" t="n"/>
    </row>
    <row r="5083">
      <c r="B5083" s="7" t="n">
        <v>5081</v>
      </c>
      <c r="C5083" t="inlineStr">
        <is>
          <t>Admin Oversea</t>
        </is>
      </c>
      <c r="D5083" t="inlineStr">
        <is>
          <t>KAS E&amp;C (Vietnam) Ltd Company</t>
        </is>
      </c>
      <c r="E5083" t="inlineStr">
        <is>
          <t>10tr-15tr ₫/tháng</t>
        </is>
      </c>
      <c r="F5083" t="inlineStr">
        <is>
          <t>Hà Nội</t>
        </is>
      </c>
      <c r="G5083" t="inlineStr">
        <is>
          <t>Nhân viên</t>
        </is>
      </c>
      <c r="H5083" t="inlineStr">
        <is>
          <t>27/02/2026</t>
        </is>
      </c>
      <c r="I5083" t="inlineStr">
        <is>
          <t>29/03/2026</t>
        </is>
      </c>
      <c r="J5083" t="inlineStr">
        <is>
          <t>17/03/2026</t>
        </is>
      </c>
      <c r="K5083" t="inlineStr">
        <is>
          <t>N/A</t>
        </is>
      </c>
      <c r="L5083" t="inlineStr">
        <is>
          <t>Bidding Process, Import-Export, Contract Management, Good English Skills, Communication</t>
        </is>
      </c>
      <c r="M5083" t="inlineStr">
        <is>
          <t>Bonus, Healthcare Plan, Paid Leave, Team Activities, Others</t>
        </is>
      </c>
      <c r="N5083" s="8">
        <f>HYPERLINK("https://www.vietnamworks.com/admin-oversea-2015773-jv","Xem chi tiết")</f>
        <v/>
      </c>
    </row>
    <row r="5084">
      <c r="B5084" s="9" t="n">
        <v>5082</v>
      </c>
      <c r="C5084" s="10" t="inlineStr">
        <is>
          <t>Nhân Viên Kinh Doanh Hội Nghị – Tiệc Cưới</t>
        </is>
      </c>
      <c r="D5084" s="10" t="inlineStr">
        <is>
          <t>Công Ty CP Capella Center</t>
        </is>
      </c>
      <c r="E5084" s="10" t="inlineStr">
        <is>
          <t>Thương lượng</t>
        </is>
      </c>
      <c r="F5084" s="10" t="inlineStr">
        <is>
          <t>Hồ Chí Minh</t>
        </is>
      </c>
      <c r="G5084" s="10" t="inlineStr">
        <is>
          <t>Nhân viên</t>
        </is>
      </c>
      <c r="H5084" s="10" t="inlineStr">
        <is>
          <t>27/02/2026</t>
        </is>
      </c>
      <c r="I5084" s="10" t="inlineStr">
        <is>
          <t>29/03/2026</t>
        </is>
      </c>
      <c r="J5084" s="10" t="inlineStr">
        <is>
          <t>17/03/2026</t>
        </is>
      </c>
      <c r="K5084" s="10" t="inlineStr">
        <is>
          <t>N/A</t>
        </is>
      </c>
      <c r="L5084" s="10" t="inlineStr">
        <is>
          <t>Sales Management, Sales Executive, Tư Vấn Khách Hàng, Quản Lý Kinh Doanh</t>
        </is>
      </c>
      <c r="M5084" s="10" t="inlineStr">
        <is>
          <t>Bonus, Canteen, Vouchers</t>
        </is>
      </c>
      <c r="N5084" s="11">
        <f>HYPERLINK("https://www.vietnamworks.com/nhan-vien-kinh-doanh-hoi-nghi-tiec-cuoi--2015777-jv","Xem chi tiết")</f>
        <v/>
      </c>
      <c r="O5084" s="10" t="n"/>
    </row>
    <row r="5085">
      <c r="B5085" s="7" t="n">
        <v>5083</v>
      </c>
      <c r="C5085" t="inlineStr">
        <is>
          <t>Sales Coordinator &amp; Marketing Support</t>
        </is>
      </c>
      <c r="D5085" t="inlineStr">
        <is>
          <t>CÔNG TY TNHH DENIM CODE VIỆT NAM</t>
        </is>
      </c>
      <c r="E5085" t="inlineStr">
        <is>
          <t>Thương lượng</t>
        </is>
      </c>
      <c r="F5085" t="inlineStr">
        <is>
          <t>Hà Nội</t>
        </is>
      </c>
      <c r="G5085" t="inlineStr">
        <is>
          <t>Nhân viên</t>
        </is>
      </c>
      <c r="H5085" t="inlineStr">
        <is>
          <t>27/02/2026</t>
        </is>
      </c>
      <c r="I5085" t="inlineStr">
        <is>
          <t>29/03/2026</t>
        </is>
      </c>
      <c r="J5085" t="inlineStr">
        <is>
          <t>17/03/2026</t>
        </is>
      </c>
      <c r="K5085" t="inlineStr">
        <is>
          <t>N/A</t>
        </is>
      </c>
      <c r="L5085" t="inlineStr">
        <is>
          <t>Sales Administration, Customer Service, MS Office, Communication Skills, Sales Support</t>
        </is>
      </c>
      <c r="M5085" t="inlineStr">
        <is>
          <t>Bonus, Healthcare Plan, Paid Leave</t>
        </is>
      </c>
      <c r="N5085" s="8">
        <f>HYPERLINK("https://www.vietnamworks.com/sales-coordinator-and-marketing-support-2015775-jv","Xem chi tiết")</f>
        <v/>
      </c>
    </row>
    <row r="5086">
      <c r="B5086" s="9" t="n">
        <v>5084</v>
      </c>
      <c r="C5086" s="10" t="inlineStr">
        <is>
          <t>Talent Acquisition Executive (Chuyên Viên Tuyển Dụng)</t>
        </is>
      </c>
      <c r="D5086" s="10" t="inlineStr">
        <is>
          <t>Vietnam Intersnack Cashew Co., Ltd</t>
        </is>
      </c>
      <c r="E5086" s="10" t="inlineStr">
        <is>
          <t>Thương lượng</t>
        </is>
      </c>
      <c r="F5086" s="10" t="inlineStr">
        <is>
          <t>Long An</t>
        </is>
      </c>
      <c r="G5086" s="10" t="inlineStr">
        <is>
          <t>Nhân viên</t>
        </is>
      </c>
      <c r="H5086" s="10" t="inlineStr">
        <is>
          <t>27/02/2026</t>
        </is>
      </c>
      <c r="I5086" s="10" t="inlineStr">
        <is>
          <t>29/03/2026</t>
        </is>
      </c>
      <c r="J5086" s="10" t="inlineStr">
        <is>
          <t>17/03/2026</t>
        </is>
      </c>
      <c r="K5086" s="10" t="inlineStr">
        <is>
          <t>N/A</t>
        </is>
      </c>
      <c r="L5086" s="10" t="inlineStr">
        <is>
          <t>Talent Acquisition, Recruitment, Tuyển Dụng, Nhân Sự, Tuyển Dụng Nhân Sự</t>
        </is>
      </c>
      <c r="M5086" s="10" t="inlineStr">
        <is>
          <t>Bonus, Healthcare Plan, Training</t>
        </is>
      </c>
      <c r="N5086" s="11">
        <f>HYPERLINK("https://www.vietnamworks.com/talent-acquisition-executive-chuyen-vien-tuyen-dung--2015770-jv","Xem chi tiết")</f>
        <v/>
      </c>
      <c r="O5086" s="10" t="n"/>
    </row>
    <row r="5087">
      <c r="B5087" s="7" t="n">
        <v>5085</v>
      </c>
      <c r="C5087" t="inlineStr">
        <is>
          <t>Quản Lý Sản Xuất</t>
        </is>
      </c>
      <c r="D5087" t="inlineStr">
        <is>
          <t>CÔNG TY TNHH FLAMINPOP</t>
        </is>
      </c>
      <c r="E5087" t="inlineStr">
        <is>
          <t>20tr-25tr ₫/tháng</t>
        </is>
      </c>
      <c r="F5087" t="inlineStr">
        <is>
          <t>Hồ Chí Minh</t>
        </is>
      </c>
      <c r="G5087" t="inlineStr">
        <is>
          <t>Trưởng phòng</t>
        </is>
      </c>
      <c r="H5087" t="inlineStr">
        <is>
          <t>27/02/2026</t>
        </is>
      </c>
      <c r="I5087" t="inlineStr">
        <is>
          <t>29/03/2026</t>
        </is>
      </c>
      <c r="J5087" t="inlineStr">
        <is>
          <t>17/03/2026</t>
        </is>
      </c>
      <c r="K5087" t="inlineStr">
        <is>
          <t>N/A</t>
        </is>
      </c>
      <c r="L5087" t="inlineStr">
        <is>
          <t>Quản Lý Sản Xuất, Kế Hoạch Sản Xuất, Quản Lý Công Nghiệp, Sản Xuất, Điều Phối Vận Hành</t>
        </is>
      </c>
      <c r="M5087" t="inlineStr">
        <is>
          <t>Bonus, Healthcare Plan, Others</t>
        </is>
      </c>
      <c r="N5087" s="8">
        <f>HYPERLINK("https://www.vietnamworks.com/quan-ly-san-xuat-2015803-jv","Xem chi tiết")</f>
        <v/>
      </c>
    </row>
    <row r="5088">
      <c r="B5088" s="9" t="n">
        <v>5086</v>
      </c>
      <c r="C5088" s="10" t="inlineStr">
        <is>
          <t>Sales Executive/ Manager in Packaging - Electronics</t>
        </is>
      </c>
      <c r="D5088" s="10" t="inlineStr">
        <is>
          <t>Mainetti (Vietnam)</t>
        </is>
      </c>
      <c r="E5088" s="10" t="inlineStr">
        <is>
          <t>Thương lượng</t>
        </is>
      </c>
      <c r="F5088" s="10" t="inlineStr">
        <is>
          <t>Hưng Yên, Hà Nội</t>
        </is>
      </c>
      <c r="G5088" s="10" t="inlineStr">
        <is>
          <t>Nhân viên</t>
        </is>
      </c>
      <c r="H5088" s="10" t="inlineStr">
        <is>
          <t>27/02/2026</t>
        </is>
      </c>
      <c r="I5088" s="10" t="inlineStr">
        <is>
          <t>29/03/2026</t>
        </is>
      </c>
      <c r="J5088" s="10" t="inlineStr">
        <is>
          <t>17/03/2026</t>
        </is>
      </c>
      <c r="K5088" s="10" t="inlineStr">
        <is>
          <t>N/A</t>
        </is>
      </c>
      <c r="L5088" s="10" t="inlineStr">
        <is>
          <t>Sales, Sales Experience, Electronics, bao bì, Packaging</t>
        </is>
      </c>
      <c r="M5088" s="10" t="inlineStr">
        <is>
          <t>Bonus</t>
        </is>
      </c>
      <c r="N5088" s="11">
        <f>HYPERLINK("https://www.vietnamworks.com/sales-executive-manager-in-packaging-electronics-2015781-jv","Xem chi tiết")</f>
        <v/>
      </c>
      <c r="O5088" s="10" t="n"/>
    </row>
    <row r="5089">
      <c r="B5089" s="7" t="n">
        <v>5087</v>
      </c>
      <c r="C5089" t="inlineStr">
        <is>
          <t>Photographer</t>
        </is>
      </c>
      <c r="D5089" t="inlineStr">
        <is>
          <t>CÔNG TY TNHH FLAMINPOP</t>
        </is>
      </c>
      <c r="E5089" t="inlineStr">
        <is>
          <t>10tr-18tr ₫/tháng</t>
        </is>
      </c>
      <c r="F5089" t="inlineStr">
        <is>
          <t>Hồ Chí Minh</t>
        </is>
      </c>
      <c r="G5089" t="inlineStr">
        <is>
          <t>Nhân viên</t>
        </is>
      </c>
      <c r="H5089" t="inlineStr">
        <is>
          <t>27/02/2026</t>
        </is>
      </c>
      <c r="I5089" t="inlineStr">
        <is>
          <t>29/03/2026</t>
        </is>
      </c>
      <c r="J5089" t="inlineStr">
        <is>
          <t>17/03/2026</t>
        </is>
      </c>
      <c r="K5089" t="inlineStr">
        <is>
          <t>N/A</t>
        </is>
      </c>
      <c r="L5089" t="inlineStr">
        <is>
          <t>Photography, Video Editing, premiere, Lightroom, Aesthetic Thinking</t>
        </is>
      </c>
      <c r="M5089" t="inlineStr">
        <is>
          <t>Bonus, Healthcare Plan, Travel Opportunities, Others</t>
        </is>
      </c>
      <c r="N5089" s="8">
        <f>HYPERLINK("https://www.vietnamworks.com/photographer--2015772-jv","Xem chi tiết")</f>
        <v/>
      </c>
    </row>
    <row r="5090">
      <c r="B5090" s="9" t="n">
        <v>5088</v>
      </c>
      <c r="C5090" s="10" t="inlineStr">
        <is>
          <t>Kỹ Thuật Viên Bảo Trì Điện</t>
        </is>
      </c>
      <c r="D5090" s="10" t="inlineStr">
        <is>
          <t>Rich Products Vietnam</t>
        </is>
      </c>
      <c r="E5090" s="10" t="inlineStr">
        <is>
          <t>Thương lượng</t>
        </is>
      </c>
      <c r="F5090" s="10" t="inlineStr">
        <is>
          <t>Bình Dương</t>
        </is>
      </c>
      <c r="G5090" s="10" t="inlineStr">
        <is>
          <t>Nhân viên</t>
        </is>
      </c>
      <c r="H5090" s="10" t="inlineStr">
        <is>
          <t>27/02/2026</t>
        </is>
      </c>
      <c r="I5090" s="10" t="inlineStr">
        <is>
          <t>29/03/2026</t>
        </is>
      </c>
      <c r="J5090" s="10" t="inlineStr">
        <is>
          <t>17/03/2026</t>
        </is>
      </c>
      <c r="K5090" s="10" t="inlineStr">
        <is>
          <t>N/A</t>
        </is>
      </c>
      <c r="L5090" s="10" t="inlineStr">
        <is>
          <t>Auto Cad, Ms Office Skills</t>
        </is>
      </c>
      <c r="M5090" s="10" t="inlineStr">
        <is>
          <t>Bonus, Training, Team Activities</t>
        </is>
      </c>
      <c r="N5090" s="11">
        <f>HYPERLINK("https://www.vietnamworks.com/ky-thuat-vien-bao-tri-dien--2015782-jv","Xem chi tiết")</f>
        <v/>
      </c>
      <c r="O5090" s="10" t="n"/>
    </row>
    <row r="5091">
      <c r="B5091" s="7" t="n">
        <v>5089</v>
      </c>
      <c r="C5091" t="inlineStr">
        <is>
          <t>[Thạch Bàn Long Biên HN] Phó Phòng Kinh Doanh</t>
        </is>
      </c>
      <c r="D5091" t="inlineStr">
        <is>
          <t>Công ty CP Tiếp vận Hòa Phát</t>
        </is>
      </c>
      <c r="E5091" t="inlineStr">
        <is>
          <t>15tr-40tr ₫/tháng</t>
        </is>
      </c>
      <c r="F5091" t="inlineStr">
        <is>
          <t>Hà Nội</t>
        </is>
      </c>
      <c r="G5091" t="inlineStr">
        <is>
          <t>Trưởng phòng</t>
        </is>
      </c>
      <c r="H5091" t="inlineStr">
        <is>
          <t>27/02/2026</t>
        </is>
      </c>
      <c r="I5091" t="inlineStr">
        <is>
          <t>29/03/2026</t>
        </is>
      </c>
      <c r="J5091" t="inlineStr">
        <is>
          <t>17/03/2026</t>
        </is>
      </c>
      <c r="K5091" t="inlineStr">
        <is>
          <t>N/A</t>
        </is>
      </c>
      <c r="L5091" t="inlineStr">
        <is>
          <t>Thương Mại Quốc Tế, Kinh Doanh, Giao Tiếp, Luật Hải Quan, Quản Lý Quan Hệ Khách Hàng</t>
        </is>
      </c>
      <c r="M5091" t="inlineStr">
        <is>
          <t>Bonus, Healthcare Plan, Paid Leave, Training, Team Activities, Others</t>
        </is>
      </c>
      <c r="N5091" s="8">
        <f>HYPERLINK("https://www.vietnamworks.com/thach-ban-long-bien-hn-pho-phong-kinh-doanh-2015798-jv","Xem chi tiết")</f>
        <v/>
      </c>
    </row>
    <row r="5092">
      <c r="B5092" s="9" t="n">
        <v>5090</v>
      </c>
      <c r="C5092" s="10" t="inlineStr">
        <is>
          <t>Giám Sát Môi Trường</t>
        </is>
      </c>
      <c r="D5092" s="10" t="inlineStr">
        <is>
          <t>Japfa Comfeed Vietnam Ltd</t>
        </is>
      </c>
      <c r="E5092" s="10" t="inlineStr">
        <is>
          <t>$$ 500-1,200 /tháng</t>
        </is>
      </c>
      <c r="F5092" s="10" t="inlineStr">
        <is>
          <t>Phú Thọ</t>
        </is>
      </c>
      <c r="G5092" s="10" t="inlineStr">
        <is>
          <t>Nhân viên</t>
        </is>
      </c>
      <c r="H5092" s="10" t="inlineStr">
        <is>
          <t>27/02/2026</t>
        </is>
      </c>
      <c r="I5092" s="10" t="inlineStr">
        <is>
          <t>29/03/2026</t>
        </is>
      </c>
      <c r="J5092" s="10" t="inlineStr">
        <is>
          <t>17/03/2026</t>
        </is>
      </c>
      <c r="K5092" s="10" t="inlineStr">
        <is>
          <t>N/A</t>
        </is>
      </c>
      <c r="L5092" s="10" t="inlineStr">
        <is>
          <t>Luật Môi Trường, Giám Sát Công Trình, Báo Cáo Môi Trường, An Toàn Lao Động, Environmental Safety</t>
        </is>
      </c>
      <c r="M5092" s="10" t="inlineStr">
        <is>
          <t>Healthcare Plan, Training, Transportation, Others</t>
        </is>
      </c>
      <c r="N5092" s="11">
        <f>HYPERLINK("https://www.vietnamworks.com/giam-sat-moi-truong-2015789-jv","Xem chi tiết")</f>
        <v/>
      </c>
      <c r="O5092" s="10" t="n"/>
    </row>
    <row r="5093">
      <c r="B5093" s="7" t="n">
        <v>5091</v>
      </c>
      <c r="C5093" t="inlineStr">
        <is>
          <t>[Tuyển Gấp] Nhân Viên Kinh Doanh - Công Nghệ Sinh Học</t>
        </is>
      </c>
      <c r="D5093" t="inlineStr">
        <is>
          <t>Công Ty TNHH Phát Triển Khoa Học Vitech</t>
        </is>
      </c>
      <c r="E5093" t="inlineStr">
        <is>
          <t>15tr-25tr ₫/tháng</t>
        </is>
      </c>
      <c r="F5093" t="inlineStr">
        <is>
          <t>Hồ Chí Minh, Hà Nội</t>
        </is>
      </c>
      <c r="G5093" t="inlineStr">
        <is>
          <t>Nhân viên</t>
        </is>
      </c>
      <c r="H5093" t="inlineStr">
        <is>
          <t>27/02/2026</t>
        </is>
      </c>
      <c r="I5093" t="inlineStr">
        <is>
          <t>29/03/2026</t>
        </is>
      </c>
      <c r="J5093" t="inlineStr">
        <is>
          <t>17/03/2026</t>
        </is>
      </c>
      <c r="K5093" t="inlineStr">
        <is>
          <t>N/A</t>
        </is>
      </c>
      <c r="L5093" t="inlineStr">
        <is>
          <t>Công Nghệ Sinh Học, Kinh Doanh Hóa Chất, Kỹ Thuật Sinh Học, Kỹ Thuật Y Sinh, Sinh Học Phân Tử</t>
        </is>
      </c>
      <c r="M5093" t="inlineStr">
        <is>
          <t>Bonus, Healthcare Plan, Paid Leave</t>
        </is>
      </c>
      <c r="N5093" s="8">
        <f>HYPERLINK("https://www.vietnamworks.com/tuyen-gap-nhan-vien-kinh-doanh-cong-nghe-sinh-hoc--2015771-jv","Xem chi tiết")</f>
        <v/>
      </c>
    </row>
    <row r="5094">
      <c r="B5094" s="9" t="n">
        <v>5092</v>
      </c>
      <c r="C5094" s="10" t="inlineStr">
        <is>
          <t>Chuyên Viên Khai Báo Hải Quan</t>
        </is>
      </c>
      <c r="D5094" s="10" t="inlineStr">
        <is>
          <t>Bros Cargo VietNam</t>
        </is>
      </c>
      <c r="E5094" s="10" t="inlineStr">
        <is>
          <t>12tr-20tr ₫/tháng</t>
        </is>
      </c>
      <c r="F5094" s="10" t="inlineStr">
        <is>
          <t>Hà Nội</t>
        </is>
      </c>
      <c r="G5094" s="10" t="inlineStr">
        <is>
          <t>Nhân viên</t>
        </is>
      </c>
      <c r="H5094" s="10" t="inlineStr">
        <is>
          <t>27/02/2026</t>
        </is>
      </c>
      <c r="I5094" s="10" t="inlineStr">
        <is>
          <t>29/03/2026</t>
        </is>
      </c>
      <c r="J5094" s="10" t="inlineStr">
        <is>
          <t>17/03/2026</t>
        </is>
      </c>
      <c r="K5094" s="10" t="inlineStr">
        <is>
          <t>N/A</t>
        </is>
      </c>
      <c r="L5094" s="10" t="inlineStr">
        <is>
          <t>Khai Báo Hải Quan, ECUS, HS Code, Luật Xuất Nhập Khẩu, VNACCS</t>
        </is>
      </c>
      <c r="M5094" s="10" t="inlineStr">
        <is>
          <t>Bonus, Healthcare Plan, Awards, Others</t>
        </is>
      </c>
      <c r="N5094" s="11">
        <f>HYPERLINK("https://www.vietnamworks.com/chuyen-vien-khai-bao-hai-quan-2015780-jv","Xem chi tiết")</f>
        <v/>
      </c>
      <c r="O5094" s="10" t="n"/>
    </row>
    <row r="5095">
      <c r="B5095" s="7" t="n">
        <v>5093</v>
      </c>
      <c r="C5095" t="inlineStr">
        <is>
          <t>[$300 - $500] Sales Executive - Nhân Viên Kinh Doanh - Hồ Chí Minh</t>
        </is>
      </c>
      <c r="D5095" t="inlineStr">
        <is>
          <t>Dolphin Logistics Co., Ltd</t>
        </is>
      </c>
      <c r="E5095" t="inlineStr">
        <is>
          <t>$$ 300-500 /tháng</t>
        </is>
      </c>
      <c r="F5095" t="inlineStr">
        <is>
          <t>Hồ Chí Minh</t>
        </is>
      </c>
      <c r="G5095" t="inlineStr">
        <is>
          <t>Nhân viên</t>
        </is>
      </c>
      <c r="H5095" t="inlineStr">
        <is>
          <t>27/02/2026</t>
        </is>
      </c>
      <c r="I5095" t="inlineStr">
        <is>
          <t>29/03/2026</t>
        </is>
      </c>
      <c r="J5095" t="inlineStr">
        <is>
          <t>17/03/2026</t>
        </is>
      </c>
      <c r="K5095" t="inlineStr">
        <is>
          <t>N/A</t>
        </is>
      </c>
      <c r="L5095" t="inlineStr">
        <is>
          <t>Sales Planning, Customer Service, English, Finding Customers, Debt Collection</t>
        </is>
      </c>
      <c r="M5095" t="inlineStr">
        <is>
          <t>Bonus, Healthcare Plan, Paid Leave</t>
        </is>
      </c>
      <c r="N5095" s="8">
        <f>HYPERLINK("https://www.vietnamworks.com/300-500-sales-executive-nhan-vien-kinh-doanh-ho-chi-minh--2015778-jv","Xem chi tiết")</f>
        <v/>
      </c>
    </row>
    <row r="5096">
      <c r="B5096" s="9" t="n">
        <v>5094</v>
      </c>
      <c r="C5096" s="10" t="inlineStr">
        <is>
          <t>Inventory Accountant - Porsche Centre Saigon</t>
        </is>
      </c>
      <c r="D5096" s="10" t="inlineStr">
        <is>
          <t>Porsche Centre Saigon</t>
        </is>
      </c>
      <c r="E5096" s="10" t="inlineStr">
        <is>
          <t>Thương lượng</t>
        </is>
      </c>
      <c r="F5096" s="10" t="inlineStr">
        <is>
          <t>Hồ Chí Minh</t>
        </is>
      </c>
      <c r="G5096" s="10" t="inlineStr">
        <is>
          <t>Nhân viên</t>
        </is>
      </c>
      <c r="H5096" s="10" t="inlineStr">
        <is>
          <t>27/02/2026</t>
        </is>
      </c>
      <c r="I5096" s="10" t="inlineStr">
        <is>
          <t>29/03/2026</t>
        </is>
      </c>
      <c r="J5096" s="10" t="inlineStr">
        <is>
          <t>17/03/2026</t>
        </is>
      </c>
      <c r="K5096" s="10" t="inlineStr">
        <is>
          <t>N/A</t>
        </is>
      </c>
      <c r="L5096" s="10" t="inlineStr">
        <is>
          <t>Kế Toán, Kiểm toán, Audit, Accountant</t>
        </is>
      </c>
      <c r="M5096" s="10" t="inlineStr">
        <is>
          <t>Bonus, Healthcare Plan, Travel Opportunities</t>
        </is>
      </c>
      <c r="N5096" s="11">
        <f>HYPERLINK("https://www.vietnamworks.com/inventory-accountant-porsche-centre-saigon-2015799-jv","Xem chi tiết")</f>
        <v/>
      </c>
      <c r="O5096" s="10" t="n"/>
    </row>
    <row r="5097">
      <c r="B5097" s="7" t="n">
        <v>5095</v>
      </c>
      <c r="C5097" t="inlineStr">
        <is>
          <t>Trưởng Phòng / Quản Lý Nhân Sự</t>
        </is>
      </c>
      <c r="D5097" t="inlineStr">
        <is>
          <t>Vingroup</t>
        </is>
      </c>
      <c r="E5097" t="inlineStr">
        <is>
          <t>Thương lượng</t>
        </is>
      </c>
      <c r="F5097" t="inlineStr">
        <is>
          <t>Hà Nội</t>
        </is>
      </c>
      <c r="G5097" t="inlineStr">
        <is>
          <t>Trưởng phòng</t>
        </is>
      </c>
      <c r="H5097" t="inlineStr">
        <is>
          <t>27/02/2026</t>
        </is>
      </c>
      <c r="I5097" t="inlineStr">
        <is>
          <t>29/03/2026</t>
        </is>
      </c>
      <c r="J5097" t="inlineStr">
        <is>
          <t>17/03/2026</t>
        </is>
      </c>
      <c r="K5097" t="inlineStr">
        <is>
          <t>N/A</t>
        </is>
      </c>
      <c r="L5097" t="inlineStr">
        <is>
          <t>Tuyển Dụng, Quản Trị Nhân Sự, Hành Chính Nhân Sự, Hành Chính</t>
        </is>
      </c>
      <c r="M5097" t="inlineStr">
        <is>
          <t>Bonus, Healthcare Plan, Others</t>
        </is>
      </c>
      <c r="N5097" s="8">
        <f>HYPERLINK("https://www.vietnamworks.com/truong-phong-quan-ly-nhan-su--2015800-jv","Xem chi tiết")</f>
        <v/>
      </c>
    </row>
    <row r="5098">
      <c r="B5098" s="9" t="n">
        <v>5096</v>
      </c>
      <c r="C5098" s="10" t="inlineStr">
        <is>
          <t>Nhân Viên Kinh Doanh Khu Vực Miền Bắc - Miền Trung</t>
        </is>
      </c>
      <c r="D5098" s="10" t="inlineStr">
        <is>
          <t>CÔNG TY CỔ PHẦN ẮC QUY ENI - FLORENCE</t>
        </is>
      </c>
      <c r="E5098" s="10" t="inlineStr">
        <is>
          <t>18tr-22tr ₫/tháng</t>
        </is>
      </c>
      <c r="F5098" s="10" t="inlineStr">
        <is>
          <t>Đắk Lắk, Khánh Hòa, Ninh Bình</t>
        </is>
      </c>
      <c r="G5098" s="10" t="inlineStr">
        <is>
          <t>Nhân viên</t>
        </is>
      </c>
      <c r="H5098" s="10" t="inlineStr">
        <is>
          <t>27/02/2026</t>
        </is>
      </c>
      <c r="I5098" s="10" t="inlineStr">
        <is>
          <t>29/03/2026</t>
        </is>
      </c>
      <c r="J5098" s="10" t="inlineStr">
        <is>
          <t>17/03/2026</t>
        </is>
      </c>
      <c r="K5098" s="10" t="inlineStr">
        <is>
          <t>N/A</t>
        </is>
      </c>
      <c r="L5098" s="10" t="inlineStr">
        <is>
          <t>Công Nghệ Ô Tô, Kinh Doanh, Ô Tô, Sales Planning, Tin Học Văn Phòng</t>
        </is>
      </c>
      <c r="M5098" s="10" t="inlineStr">
        <is>
          <t>Paid Leave, Training, Team Activities, Others</t>
        </is>
      </c>
      <c r="N5098" s="11">
        <f>HYPERLINK("https://www.vietnamworks.com/nhan-vien-kinh-doanh-khu-vuc-mien-bac-mien-trung-2015783-jv","Xem chi tiết")</f>
        <v/>
      </c>
      <c r="O5098" s="10" t="n"/>
    </row>
    <row r="5099">
      <c r="B5099" s="7" t="n">
        <v>5097</v>
      </c>
      <c r="C5099" t="inlineStr">
        <is>
          <t>Phó Văn Phòng Đại Diện Miền Trung</t>
        </is>
      </c>
      <c r="D5099" t="inlineStr">
        <is>
          <t>CÔNG TY CỔ PHẦN ẮC QUY ENI - FLORENCE</t>
        </is>
      </c>
      <c r="E5099" t="inlineStr">
        <is>
          <t>22tr-35tr ₫/tháng</t>
        </is>
      </c>
      <c r="F5099" t="inlineStr">
        <is>
          <t>Đà Nẵng</t>
        </is>
      </c>
      <c r="G5099" t="inlineStr">
        <is>
          <t>Trưởng phòng</t>
        </is>
      </c>
      <c r="H5099" t="inlineStr">
        <is>
          <t>27/02/2026</t>
        </is>
      </c>
      <c r="I5099" t="inlineStr">
        <is>
          <t>29/03/2026</t>
        </is>
      </c>
      <c r="J5099" t="inlineStr">
        <is>
          <t>17/03/2026</t>
        </is>
      </c>
      <c r="K5099" t="inlineStr">
        <is>
          <t>N/A</t>
        </is>
      </c>
      <c r="L5099" t="inlineStr">
        <is>
          <t>Bán Hàng Công Nghiệp, Công Nghệ Ô Tô, Kinh Doanh, Quản Lý Kinh Doanh, Quản Lý Điều Hành</t>
        </is>
      </c>
      <c r="M5099" t="inlineStr">
        <is>
          <t>Bonus, Paid Leave, Training, Team Activities, Others</t>
        </is>
      </c>
      <c r="N5099" s="8">
        <f>HYPERLINK("https://www.vietnamworks.com/pho-van-phong-djai-dien-mien-trung-2015801-jv","Xem chi tiết")</f>
        <v/>
      </c>
    </row>
    <row r="5100">
      <c r="B5100" s="9" t="n">
        <v>5098</v>
      </c>
      <c r="C5100" s="10" t="inlineStr">
        <is>
          <t>[Gấp] Leader Kỹ Sư Thiết Kế Cơ Khí - - Đi Lam Ngay - Lương 15-30 triệu/tháng</t>
        </is>
      </c>
      <c r="D5100" s="10" t="inlineStr">
        <is>
          <t>CÔNG TY CP CƠ KHÍ VÀ TỰ ĐỘNG HÓA ALPHA VINA</t>
        </is>
      </c>
      <c r="E5100" s="10" t="inlineStr">
        <is>
          <t>15tr-30tr ₫/tháng</t>
        </is>
      </c>
      <c r="F5100" s="10" t="inlineStr">
        <is>
          <t>Hồ Chí Minh</t>
        </is>
      </c>
      <c r="G5100" s="10" t="inlineStr">
        <is>
          <t>Nhân viên</t>
        </is>
      </c>
      <c r="H5100" s="10" t="inlineStr">
        <is>
          <t>27/02/2026</t>
        </is>
      </c>
      <c r="I5100" s="10" t="inlineStr">
        <is>
          <t>29/03/2026</t>
        </is>
      </c>
      <c r="J5100" s="10" t="inlineStr">
        <is>
          <t>17/03/2026</t>
        </is>
      </c>
      <c r="K5100" s="10" t="inlineStr">
        <is>
          <t>N/A</t>
        </is>
      </c>
      <c r="L5100" s="10" t="inlineStr">
        <is>
          <t>AutoCAD, Dự Toán, Lắp Ráp Thiết Bị, Solid Edge, Thiết Kế Cơ Khí</t>
        </is>
      </c>
      <c r="M5100" s="10" t="inlineStr">
        <is>
          <t>Bonus, Healthcare Plan, Paid Leave, Awards, Travel Opportunities, Canteen, Others</t>
        </is>
      </c>
      <c r="N5100" s="11">
        <f>HYPERLINK("https://www.vietnamworks.com/gap-leader-ky-su-thiet-ke-co-khi-dji-lam-ngay-luong-15-30-trieuthang-2015804-jv","Xem chi tiết")</f>
        <v/>
      </c>
      <c r="O5100" s="10" t="n"/>
    </row>
    <row r="5101">
      <c r="B5101" s="7" t="n">
        <v>5099</v>
      </c>
      <c r="C5101" t="inlineStr">
        <is>
          <t>Chuyên Viên Khách Hàng Doanh Nghiệp - Khu Vực Miền Bắc</t>
        </is>
      </c>
      <c r="D5101" t="inlineStr">
        <is>
          <t>Ngân Hàng TNHH Indovina – Hội Sở</t>
        </is>
      </c>
      <c r="E5101" t="inlineStr">
        <is>
          <t>Thương lượng</t>
        </is>
      </c>
      <c r="F5101" t="inlineStr">
        <is>
          <t>Hà Nội</t>
        </is>
      </c>
      <c r="G5101" t="inlineStr">
        <is>
          <t>Nhân viên</t>
        </is>
      </c>
      <c r="H5101" t="inlineStr">
        <is>
          <t>27/02/2026</t>
        </is>
      </c>
      <c r="I5101" t="inlineStr">
        <is>
          <t>29/03/2026</t>
        </is>
      </c>
      <c r="J5101" t="inlineStr">
        <is>
          <t>17/03/2026</t>
        </is>
      </c>
      <c r="K5101" t="inlineStr">
        <is>
          <t>N/A</t>
        </is>
      </c>
      <c r="L5101" t="inlineStr">
        <is>
          <t>Corporate Management, Corporate Loan Collection, Banking, Corporate Development, Corporate Responsibility</t>
        </is>
      </c>
      <c r="M5101" t="inlineStr">
        <is>
          <t>Bonus, Healthcare Plan, Others</t>
        </is>
      </c>
      <c r="N5101" s="8">
        <f>HYPERLINK("https://www.vietnamworks.com/chuyen-vien-khach-hang-doanh-nghiep-khu-vuc-mien-bac--2015802-jv","Xem chi tiết")</f>
        <v/>
      </c>
    </row>
    <row r="5102">
      <c r="B5102" s="9" t="n">
        <v>5100</v>
      </c>
      <c r="C5102" s="10" t="inlineStr">
        <is>
          <t>Chuyên Viên Kỹ Thuật Máy Công Trình</t>
        </is>
      </c>
      <c r="D5102" s="10" t="inlineStr">
        <is>
          <t>Công Ty TNHH Zoomlion Việt Nam</t>
        </is>
      </c>
      <c r="E5102" s="10" t="inlineStr">
        <is>
          <t>$$ 700-1,000 /tháng</t>
        </is>
      </c>
      <c r="F5102" s="10" t="inlineStr">
        <is>
          <t>Hà Nội, Hồ Chí Minh, Nghệ An</t>
        </is>
      </c>
      <c r="G5102" s="10" t="inlineStr">
        <is>
          <t>Nhân viên</t>
        </is>
      </c>
      <c r="H5102" s="10" t="inlineStr">
        <is>
          <t>27/02/2026</t>
        </is>
      </c>
      <c r="I5102" s="10" t="inlineStr">
        <is>
          <t>29/03/2026</t>
        </is>
      </c>
      <c r="J5102" s="10" t="inlineStr">
        <is>
          <t>17/03/2026</t>
        </is>
      </c>
      <c r="K5102" s="10" t="inlineStr">
        <is>
          <t>N/A</t>
        </is>
      </c>
      <c r="L5102" s="10" t="inlineStr">
        <is>
          <t>Điện tử, Cơ Khí, Sửa Chữa, Bảo Trì, Kỹ Thuật</t>
        </is>
      </c>
      <c r="M5102" s="10" t="inlineStr">
        <is>
          <t>Bonus, Healthcare Plan, Team Activities</t>
        </is>
      </c>
      <c r="N5102" s="11">
        <f>HYPERLINK("https://www.vietnamworks.com/chuyen-vien-ky-thuat-may-cong-trinh-2015784-jv","Xem chi tiết")</f>
        <v/>
      </c>
      <c r="O5102" s="10" t="n"/>
    </row>
    <row r="5103">
      <c r="B5103" s="7" t="n">
        <v>5101</v>
      </c>
      <c r="C5103" t="inlineStr">
        <is>
          <t>Nhân Viên Kế Toán - Ngành Xây Dựng</t>
        </is>
      </c>
      <c r="D5103" t="inlineStr">
        <is>
          <t>CÔNG TY TNHH TƯ VẤN ĐẦU TƯ XÂY DỰNG THƯƠNG MẠI VIỆT AN</t>
        </is>
      </c>
      <c r="E5103" t="inlineStr">
        <is>
          <t>10tr-18tr ₫/tháng</t>
        </is>
      </c>
      <c r="F5103" t="inlineStr">
        <is>
          <t>Hồ Chí Minh</t>
        </is>
      </c>
      <c r="G5103" t="inlineStr">
        <is>
          <t>Nhân viên</t>
        </is>
      </c>
      <c r="H5103" t="inlineStr">
        <is>
          <t>27/02/2026</t>
        </is>
      </c>
      <c r="I5103" t="inlineStr">
        <is>
          <t>29/03/2026</t>
        </is>
      </c>
      <c r="J5103" t="inlineStr">
        <is>
          <t>17/03/2026</t>
        </is>
      </c>
      <c r="K5103" t="inlineStr">
        <is>
          <t>N/A</t>
        </is>
      </c>
      <c r="L5103" t="inlineStr">
        <is>
          <t>Báo Cáo, Hạch Toán, Kế Toán, Kế Toán Xây Dựng, Thống Kê Excel</t>
        </is>
      </c>
      <c r="M5103" t="inlineStr">
        <is>
          <t>Bonus, Healthcare Plan, Awards, Travel Opportunities, Others</t>
        </is>
      </c>
      <c r="N5103" s="8">
        <f>HYPERLINK("https://www.vietnamworks.com/nhan-vien-ke-toan-nganh-xay-dung--2015824-jv","Xem chi tiết")</f>
        <v/>
      </c>
    </row>
    <row r="5104">
      <c r="B5104" s="9" t="n">
        <v>5102</v>
      </c>
      <c r="C5104" s="10" t="inlineStr">
        <is>
          <t>Kỹ Sư Xây Dựng, Dự Toán Bóc Tách Khối Lượng - Phòng Kế Hoạch</t>
        </is>
      </c>
      <c r="D5104" s="10" t="inlineStr">
        <is>
          <t>Công ty Cổ phần Xây dựng Hợp Lực</t>
        </is>
      </c>
      <c r="E5104" s="10" t="inlineStr">
        <is>
          <t>Thương lượng</t>
        </is>
      </c>
      <c r="F5104" s="10" t="inlineStr">
        <is>
          <t>Hà Nội</t>
        </is>
      </c>
      <c r="G5104" s="10" t="inlineStr">
        <is>
          <t>Nhân viên</t>
        </is>
      </c>
      <c r="H5104" s="10" t="inlineStr">
        <is>
          <t>27/02/2026</t>
        </is>
      </c>
      <c r="I5104" s="10" t="inlineStr">
        <is>
          <t>29/03/2026</t>
        </is>
      </c>
      <c r="J5104" s="10" t="inlineStr">
        <is>
          <t>17/03/2026</t>
        </is>
      </c>
      <c r="K5104" s="10" t="inlineStr">
        <is>
          <t>N/A</t>
        </is>
      </c>
      <c r="L5104" s="10" t="inlineStr">
        <is>
          <t>Thi Công Xây Dựng, Kiểm Soát Khối Lượng, Làm Hồ Sơ Thầu, Dự Toán Xây Dựng, Xây Dựng</t>
        </is>
      </c>
      <c r="M5104" s="10" t="inlineStr">
        <is>
          <t>Bonus, Healthcare Plan, Paid Leave</t>
        </is>
      </c>
      <c r="N5104" s="11">
        <f>HYPERLINK("https://www.vietnamworks.com/ky-su-xay-dung-du-toan-boc-tach-khoi-luong-phong-ke-hoach--2015805-jv","Xem chi tiết")</f>
        <v/>
      </c>
      <c r="O5104" s="10" t="n"/>
    </row>
    <row r="5105">
      <c r="B5105" s="7" t="n">
        <v>5103</v>
      </c>
      <c r="C5105" t="inlineStr">
        <is>
          <t>Nhân Viên Kinh Doanh Bất Động Sản – Hoa Hồng Cao – Thu Nhập Lên Tới 200 Triệu</t>
        </is>
      </c>
      <c r="D5105" t="inlineStr">
        <is>
          <t>Công ty Cổ phần Tư vấn Đầu tư Kinh doanh Bất động sản Vingrand Center</t>
        </is>
      </c>
      <c r="E5105" t="inlineStr">
        <is>
          <t>Tới 200tr ₫/tháng</t>
        </is>
      </c>
      <c r="F5105" t="inlineStr">
        <is>
          <t>Hồ Chí Minh</t>
        </is>
      </c>
      <c r="G5105" t="inlineStr">
        <is>
          <t>Mới Tốt Nghiệp</t>
        </is>
      </c>
      <c r="H5105" t="inlineStr">
        <is>
          <t>27/02/2026</t>
        </is>
      </c>
      <c r="I5105" t="inlineStr">
        <is>
          <t>29/03/2026</t>
        </is>
      </c>
      <c r="J5105" t="inlineStr">
        <is>
          <t>17/03/2026</t>
        </is>
      </c>
      <c r="K5105" t="inlineStr">
        <is>
          <t>N/A</t>
        </is>
      </c>
      <c r="L5105" t="inlineStr">
        <is>
          <t>Chăm Sóc Khách Hàng, Bất Động Sản, Sales, Business Development, Tìm Kiếm Khách Hàng</t>
        </is>
      </c>
      <c r="M5105" t="inlineStr">
        <is>
          <t>Bonus, Training, Laptop, Team Activities, Others</t>
        </is>
      </c>
      <c r="N5105" s="8">
        <f>HYPERLINK("https://www.vietnamworks.com/nhan-vien-kinh-doanh-bat-dong-san-hoa-hong-cao-thu-nhap-len-toi-200-trieu-2015807-jv","Xem chi tiết")</f>
        <v/>
      </c>
    </row>
    <row r="5106">
      <c r="B5106" s="9" t="n">
        <v>5104</v>
      </c>
      <c r="C5106" s="10" t="inlineStr">
        <is>
          <t>Kế Toán Chi Phí Giá Vốn &amp; Công Nợ Phải Trả</t>
        </is>
      </c>
      <c r="D5106" s="10" t="inlineStr">
        <is>
          <t>Công ty cổ phần phát triển du lịch Lily</t>
        </is>
      </c>
      <c r="E5106" s="10" t="inlineStr">
        <is>
          <t>17tr-20tr ₫/tháng</t>
        </is>
      </c>
      <c r="F5106" s="10" t="inlineStr">
        <is>
          <t>Hà Nội</t>
        </is>
      </c>
      <c r="G5106" s="10" t="inlineStr">
        <is>
          <t>Nhân viên</t>
        </is>
      </c>
      <c r="H5106" s="10" t="inlineStr">
        <is>
          <t>27/02/2026</t>
        </is>
      </c>
      <c r="I5106" s="10" t="inlineStr">
        <is>
          <t>29/03/2026</t>
        </is>
      </c>
      <c r="J5106" s="10" t="inlineStr">
        <is>
          <t>17/03/2026</t>
        </is>
      </c>
      <c r="K5106" s="10" t="inlineStr">
        <is>
          <t>N/A</t>
        </is>
      </c>
      <c r="L5106" s="10" t="inlineStr">
        <is>
          <t>Đàm Phán, Kiểm Soát Chất Lượng, Hạch Toán, Hạch Toán Chi Phí, MISA Accounting Software</t>
        </is>
      </c>
      <c r="M5106" s="10" t="inlineStr">
        <is>
          <t>Bonus, Healthcare Plan, Team Activities</t>
        </is>
      </c>
      <c r="N5106" s="11">
        <f>HYPERLINK("https://www.vietnamworks.com/ke-toan-chi-phi-gia-von-cong-no-phai-tra-2015816-jv","Xem chi tiết")</f>
        <v/>
      </c>
      <c r="O5106" s="10" t="n"/>
    </row>
    <row r="5107">
      <c r="B5107" s="7" t="n">
        <v>5105</v>
      </c>
      <c r="C5107" t="inlineStr">
        <is>
          <t>Trưởng Phòng Phát Triển Kinh Doanh Thị Trường Điện</t>
        </is>
      </c>
      <c r="D5107" t="inlineStr">
        <is>
          <t>CÔNG TY CỔ PHẦN TẬP ĐOÀN ĐẦU TƯ HOÀNG GIA VIỆT NAM</t>
        </is>
      </c>
      <c r="E5107" t="inlineStr">
        <is>
          <t>Thương lượng</t>
        </is>
      </c>
      <c r="F5107" t="inlineStr">
        <is>
          <t>Hồ Chí Minh</t>
        </is>
      </c>
      <c r="G5107" t="inlineStr">
        <is>
          <t>Trưởng phòng</t>
        </is>
      </c>
      <c r="H5107" t="inlineStr">
        <is>
          <t>27/02/2026</t>
        </is>
      </c>
      <c r="I5107" t="inlineStr">
        <is>
          <t>29/03/2026</t>
        </is>
      </c>
      <c r="J5107" t="inlineStr">
        <is>
          <t>17/03/2026</t>
        </is>
      </c>
      <c r="K5107" t="inlineStr">
        <is>
          <t>N/A</t>
        </is>
      </c>
      <c r="L5107" t="inlineStr">
        <is>
          <t>Điện, Năng lượng điện mặt trời, Phát Triển Kinh Doanh, Điện Công Nghiệp, Điện Gió</t>
        </is>
      </c>
      <c r="M5107" t="inlineStr">
        <is>
          <t>Healthcare Plan, Training, Travel Opportunities</t>
        </is>
      </c>
      <c r="N5107" s="8">
        <f>HYPERLINK("https://www.vietnamworks.com/truong-phong-phat-trien-kinh-doanh-thi-truong-dien--2015813-jv","Xem chi tiết")</f>
        <v/>
      </c>
    </row>
    <row r="5108">
      <c r="B5108" s="9" t="n">
        <v>5106</v>
      </c>
      <c r="C5108" s="10" t="inlineStr">
        <is>
          <t>[Hot] Nhân Viên Kinh Doanh (Không Yêu Cầu Kinh Nghiệm, Lương Cứng 10 Triệu, Thu Nhập Lên Tới 30 Triệu)</t>
        </is>
      </c>
      <c r="D5108" s="10" t="inlineStr">
        <is>
          <t>CÔNG TY TNHH MẸ GẤU PILATES</t>
        </is>
      </c>
      <c r="E5108" s="10" t="inlineStr">
        <is>
          <t>Tới 30tr ₫/tháng</t>
        </is>
      </c>
      <c r="F5108" s="10" t="inlineStr">
        <is>
          <t>Hà Nội</t>
        </is>
      </c>
      <c r="G5108" s="10" t="inlineStr">
        <is>
          <t>Nhân viên</t>
        </is>
      </c>
      <c r="H5108" s="10" t="inlineStr">
        <is>
          <t>27/02/2026</t>
        </is>
      </c>
      <c r="I5108" s="10" t="inlineStr">
        <is>
          <t>29/03/2026</t>
        </is>
      </c>
      <c r="J5108" s="10" t="inlineStr">
        <is>
          <t>17/03/2026</t>
        </is>
      </c>
      <c r="K5108" s="10" t="inlineStr">
        <is>
          <t>N/A</t>
        </is>
      </c>
      <c r="L5108" s="10" t="inlineStr">
        <is>
          <t>Tư Vấn Khách Hàng, Kinh Doanh, Chăm Sóc Khách Hàng, Kiến Thức Sức Khỏe, Sales Planning</t>
        </is>
      </c>
      <c r="M5108" s="10" t="inlineStr">
        <is>
          <t>Bonus, Healthcare Plan, Training, Travel Opportunities, Others</t>
        </is>
      </c>
      <c r="N5108" s="11">
        <f>HYPERLINK("https://www.vietnamworks.com/hot-nhan-vien-kinh-doanh-khong-yeu-cau-kinh-nghiem-luong-cung-10-trieu-thu-nhap-len-toi-30-trieu-2015808-jv","Xem chi tiết")</f>
        <v/>
      </c>
      <c r="O5108" s="10" t="n"/>
    </row>
    <row r="5109">
      <c r="B5109" s="7" t="n">
        <v>5107</v>
      </c>
      <c r="C5109" t="inlineStr">
        <is>
          <t>Kế Toán Tổng Hợp</t>
        </is>
      </c>
      <c r="D5109" t="inlineStr">
        <is>
          <t>CÔNG TY CỔ PHẦN TẬP ĐOÀN ĐẦU TƯ HOÀNG GIA VIỆT NAM</t>
        </is>
      </c>
      <c r="E5109" t="inlineStr">
        <is>
          <t>Thương lượng</t>
        </is>
      </c>
      <c r="F5109" t="inlineStr">
        <is>
          <t>Hồ Chí Minh, Long An</t>
        </is>
      </c>
      <c r="G5109" t="inlineStr">
        <is>
          <t>Nhân viên</t>
        </is>
      </c>
      <c r="H5109" t="inlineStr">
        <is>
          <t>27/02/2026</t>
        </is>
      </c>
      <c r="I5109" t="inlineStr">
        <is>
          <t>29/03/2026</t>
        </is>
      </c>
      <c r="J5109" t="inlineStr">
        <is>
          <t>17/03/2026</t>
        </is>
      </c>
      <c r="K5109" t="inlineStr">
        <is>
          <t>N/A</t>
        </is>
      </c>
      <c r="L5109" t="inlineStr">
        <is>
          <t>Kế Toán, Kế Toán Tổng Hợp, Hạch Toán, Quản Lý Công Nợ, Tài Chính</t>
        </is>
      </c>
      <c r="M5109" t="inlineStr">
        <is>
          <t>Bonus, Healthcare Plan, Travel Opportunities, Canteen</t>
        </is>
      </c>
      <c r="N5109" s="8">
        <f>HYPERLINK("https://www.vietnamworks.com/ke-toan-tong-hop-2015815-jv","Xem chi tiết")</f>
        <v/>
      </c>
    </row>
    <row r="5110">
      <c r="B5110" s="9" t="n">
        <v>5108</v>
      </c>
      <c r="C5110" s="10" t="inlineStr">
        <is>
          <t>Nhân Viên Thiết Kế 3D</t>
        </is>
      </c>
      <c r="D5110" s="10" t="inlineStr">
        <is>
          <t>CÔNG TY TNHH FLAMINPOP</t>
        </is>
      </c>
      <c r="E5110" s="10" t="inlineStr">
        <is>
          <t>10tr-15tr ₫/tháng</t>
        </is>
      </c>
      <c r="F5110" s="10" t="inlineStr">
        <is>
          <t>Hồ Chí Minh</t>
        </is>
      </c>
      <c r="G5110" s="10" t="inlineStr">
        <is>
          <t>Nhân viên</t>
        </is>
      </c>
      <c r="H5110" s="10" t="inlineStr">
        <is>
          <t>27/02/2026</t>
        </is>
      </c>
      <c r="I5110" s="10" t="inlineStr">
        <is>
          <t>29/03/2026</t>
        </is>
      </c>
      <c r="J5110" s="10" t="inlineStr">
        <is>
          <t>17/03/2026</t>
        </is>
      </c>
      <c r="K5110" s="10" t="inlineStr">
        <is>
          <t>N/A</t>
        </is>
      </c>
      <c r="L5110" s="10" t="inlineStr">
        <is>
          <t>Adobe Illustrator, Rhino 3D CAD, 3D Rendering, Thiết Kế Đồ Họa 3D, AI</t>
        </is>
      </c>
      <c r="M5110" s="10" t="inlineStr">
        <is>
          <t>Healthcare Plan, Paid Leave, Training, Travel Opportunities, Others</t>
        </is>
      </c>
      <c r="N5110" s="11">
        <f>HYPERLINK("https://www.vietnamworks.com/nhan-vien-thiet-ke-3d-2015822-jv","Xem chi tiết")</f>
        <v/>
      </c>
      <c r="O5110" s="10" t="n"/>
    </row>
    <row r="5111">
      <c r="B5111" s="7" t="n">
        <v>5109</v>
      </c>
      <c r="C5111" t="inlineStr">
        <is>
          <t>[Hot] Admin Vận Hành Phòng Tập (Thu Nhập Lên Tới 10 Triệu/tháng)</t>
        </is>
      </c>
      <c r="D5111" t="inlineStr">
        <is>
          <t>CÔNG TY TNHH MẸ GẤU PILATES</t>
        </is>
      </c>
      <c r="E5111" t="inlineStr">
        <is>
          <t>8tr-10tr ₫/tháng</t>
        </is>
      </c>
      <c r="F5111" t="inlineStr">
        <is>
          <t>Hà Nội</t>
        </is>
      </c>
      <c r="G5111" t="inlineStr">
        <is>
          <t>Nhân viên</t>
        </is>
      </c>
      <c r="H5111" t="inlineStr">
        <is>
          <t>27/02/2026</t>
        </is>
      </c>
      <c r="I5111" t="inlineStr">
        <is>
          <t>29/03/2026</t>
        </is>
      </c>
      <c r="J5111" t="inlineStr">
        <is>
          <t>17/03/2026</t>
        </is>
      </c>
      <c r="K5111" t="inlineStr">
        <is>
          <t>N/A</t>
        </is>
      </c>
      <c r="L5111" t="inlineStr">
        <is>
          <t>Tư Vấn Khách Hàng, Chăm Sóc Khách Hàng, Kiến Thức Sức Khỏe, Admin, Lễ Tân</t>
        </is>
      </c>
      <c r="M5111" t="inlineStr">
        <is>
          <t>Bonus, Healthcare Plan, Training, Travel Opportunities, Others</t>
        </is>
      </c>
      <c r="N5111" s="8">
        <f>HYPERLINK("https://www.vietnamworks.com/hot-admin-van-hanh-phong-tap-thu-nhap-len-toi-10-trieu-thang-2015806-jv","Xem chi tiết")</f>
        <v/>
      </c>
    </row>
    <row r="5112">
      <c r="B5112" s="9" t="n">
        <v>5110</v>
      </c>
      <c r="C5112" s="10" t="inlineStr">
        <is>
          <t>Nhân Viên Thiết Kế 2D</t>
        </is>
      </c>
      <c r="D5112" s="10" t="inlineStr">
        <is>
          <t>CÔNG TY TNHH FLAMINPOP</t>
        </is>
      </c>
      <c r="E5112" s="10" t="inlineStr">
        <is>
          <t>10tr-15tr ₫/tháng</t>
        </is>
      </c>
      <c r="F5112" s="10" t="inlineStr">
        <is>
          <t>Hồ Chí Minh</t>
        </is>
      </c>
      <c r="G5112" s="10" t="inlineStr">
        <is>
          <t>Nhân viên</t>
        </is>
      </c>
      <c r="H5112" s="10" t="inlineStr">
        <is>
          <t>27/02/2026</t>
        </is>
      </c>
      <c r="I5112" s="10" t="inlineStr">
        <is>
          <t>29/03/2026</t>
        </is>
      </c>
      <c r="J5112" s="10" t="inlineStr">
        <is>
          <t>17/03/2026</t>
        </is>
      </c>
      <c r="K5112" s="10" t="inlineStr">
        <is>
          <t>N/A</t>
        </is>
      </c>
      <c r="L5112" s="10" t="inlineStr">
        <is>
          <t>Vẽ Tay, Thiết Kế Đồ Họa, Design, Illustrator, Graphic Designer</t>
        </is>
      </c>
      <c r="M5112" s="10" t="inlineStr">
        <is>
          <t>Healthcare Plan, Paid Leave, Training, Travel Opportunities</t>
        </is>
      </c>
      <c r="N5112" s="11">
        <f>HYPERLINK("https://www.vietnamworks.com/nhan-vien-thiet-ke-2d-2015814-jv","Xem chi tiết")</f>
        <v/>
      </c>
      <c r="O5112" s="10" t="n"/>
    </row>
    <row r="5113">
      <c r="B5113" s="7" t="n">
        <v>5111</v>
      </c>
      <c r="C5113" t="inlineStr">
        <is>
          <t>Trưởng Phòng Tổ Chức Hành Chính</t>
        </is>
      </c>
      <c r="D5113" t="inlineStr">
        <is>
          <t>Tổng Công Ty Dược Việt Nam - CTCP</t>
        </is>
      </c>
      <c r="E5113" t="inlineStr">
        <is>
          <t>Thương lượng</t>
        </is>
      </c>
      <c r="F5113" t="inlineStr">
        <is>
          <t>Hà Nội</t>
        </is>
      </c>
      <c r="G5113" t="inlineStr">
        <is>
          <t>Trưởng phòng</t>
        </is>
      </c>
      <c r="H5113" t="inlineStr">
        <is>
          <t>27/02/2026</t>
        </is>
      </c>
      <c r="I5113" t="inlineStr">
        <is>
          <t>29/03/2026</t>
        </is>
      </c>
      <c r="J5113" t="inlineStr">
        <is>
          <t>17/03/2026</t>
        </is>
      </c>
      <c r="K5113" t="inlineStr">
        <is>
          <t>N/A</t>
        </is>
      </c>
      <c r="L5113" t="inlineStr">
        <is>
          <t>Giải quyết xung đột, Giao Tiếp, Phát triển văn hoá doanh nghiệp</t>
        </is>
      </c>
      <c r="M5113" t="inlineStr">
        <is>
          <t>Healthcare Plan, Others</t>
        </is>
      </c>
      <c r="N5113" s="8">
        <f>HYPERLINK("https://www.vietnamworks.com/truong-phong-to-chuc-hanh-chinh-2015819-jv","Xem chi tiết")</f>
        <v/>
      </c>
    </row>
    <row r="5114">
      <c r="B5114" s="9" t="n">
        <v>5112</v>
      </c>
      <c r="C5114" s="10" t="inlineStr">
        <is>
          <t>Kỹ Sư Bán Hàng/ Sales Engineer - Thu Nhập Upto 30Tr/ Tháng</t>
        </is>
      </c>
      <c r="D5114" s="10" t="inlineStr">
        <is>
          <t>CÔNG TY CP CƠ KHÍ VÀ TỰ ĐỘNG HÓA ALPHA VINA</t>
        </is>
      </c>
      <c r="E5114" s="10" t="inlineStr">
        <is>
          <t>Tới 30tr ₫/tháng</t>
        </is>
      </c>
      <c r="F5114" s="10" t="inlineStr">
        <is>
          <t>Hồ Chí Minh</t>
        </is>
      </c>
      <c r="G5114" s="10" t="inlineStr">
        <is>
          <t>Nhân viên</t>
        </is>
      </c>
      <c r="H5114" s="10" t="inlineStr">
        <is>
          <t>27/02/2026</t>
        </is>
      </c>
      <c r="I5114" s="10" t="inlineStr">
        <is>
          <t>29/03/2026</t>
        </is>
      </c>
      <c r="J5114" s="10" t="inlineStr">
        <is>
          <t>17/03/2026</t>
        </is>
      </c>
      <c r="K5114" s="10" t="inlineStr">
        <is>
          <t>N/A</t>
        </is>
      </c>
      <c r="L5114" s="10" t="inlineStr">
        <is>
          <t>Chăm Sóc Khách Hàng, Kinh Doanh B2B, Tìm Kiếm Khách Hàng, Tư Vấn Sản Phẩm, Đàm Phán</t>
        </is>
      </c>
      <c r="M5114" s="10" t="inlineStr">
        <is>
          <t>Bonus, Healthcare Plan, Training, Awards, Travel Opportunities, Team Activities, Others</t>
        </is>
      </c>
      <c r="N5114" s="11">
        <f>HYPERLINK("https://www.vietnamworks.com/ky-su-ban-hang-sales-engineer-thu-nhap-upto-30tr-thang-2015812-jv","Xem chi tiết")</f>
        <v/>
      </c>
      <c r="O5114" s="10" t="n"/>
    </row>
    <row r="5115">
      <c r="B5115" s="7" t="n">
        <v>5113</v>
      </c>
      <c r="C5115" t="inlineStr">
        <is>
          <t>Project Assistant (Sales and Marketing)</t>
        </is>
      </c>
      <c r="D5115" t="inlineStr">
        <is>
          <t>Insights LTD.</t>
        </is>
      </c>
      <c r="E5115" t="inlineStr">
        <is>
          <t>$$ 550-750 /tháng</t>
        </is>
      </c>
      <c r="F5115" t="inlineStr">
        <is>
          <t>Hà Nội</t>
        </is>
      </c>
      <c r="G5115" t="inlineStr">
        <is>
          <t>Nhân viên</t>
        </is>
      </c>
      <c r="H5115" t="inlineStr">
        <is>
          <t>27/02/2026</t>
        </is>
      </c>
      <c r="I5115" t="inlineStr">
        <is>
          <t>29/03/2026</t>
        </is>
      </c>
      <c r="J5115" t="inlineStr">
        <is>
          <t>17/03/2026</t>
        </is>
      </c>
      <c r="K5115" t="inlineStr">
        <is>
          <t>N/A</t>
        </is>
      </c>
      <c r="L5115" t="inlineStr">
        <is>
          <t>Marketing, Business, Research, Marketing Analyze, Communications</t>
        </is>
      </c>
      <c r="M5115" t="inlineStr">
        <is>
          <t>Bonus, Healthcare Plan, Travel Opportunities</t>
        </is>
      </c>
      <c r="N5115" s="8">
        <f>HYPERLINK("https://www.vietnamworks.com/project-assistant-sales-and-marketing-2015823-jv","Xem chi tiết")</f>
        <v/>
      </c>
    </row>
    <row r="5116">
      <c r="B5116" s="9" t="n">
        <v>5114</v>
      </c>
      <c r="C5116" s="10" t="inlineStr">
        <is>
          <t>Kế Toán Bán Hàng</t>
        </is>
      </c>
      <c r="D5116" s="10" t="inlineStr">
        <is>
          <t>So Natural</t>
        </is>
      </c>
      <c r="E5116" s="10" t="inlineStr">
        <is>
          <t>Thương lượng</t>
        </is>
      </c>
      <c r="F5116" s="10" t="inlineStr">
        <is>
          <t>Hồ Chí Minh</t>
        </is>
      </c>
      <c r="G5116" s="10" t="inlineStr">
        <is>
          <t>Nhân viên</t>
        </is>
      </c>
      <c r="H5116" s="10" t="inlineStr">
        <is>
          <t>27/02/2026</t>
        </is>
      </c>
      <c r="I5116" s="10" t="inlineStr">
        <is>
          <t>29/03/2026</t>
        </is>
      </c>
      <c r="J5116" s="10" t="inlineStr">
        <is>
          <t>17/03/2026</t>
        </is>
      </c>
      <c r="K5116" s="10" t="inlineStr">
        <is>
          <t>N/A</t>
        </is>
      </c>
      <c r="L5116" s="10" t="inlineStr">
        <is>
          <t>Báo Cáo Tồn Kho, Kế Toán Bán Hàng, Nghiệp Vụ Kế Toán, Theo Dõi Công Nợ, Xuất Nhập Tồn Kho</t>
        </is>
      </c>
      <c r="M5116" s="10" t="inlineStr">
        <is>
          <t>Bonus, Travel Opportunities, Team Activities, Others</t>
        </is>
      </c>
      <c r="N5116" s="11">
        <f>HYPERLINK("https://www.vietnamworks.com/ke-toan-ban-hang-2015821-jv","Xem chi tiết")</f>
        <v/>
      </c>
      <c r="O5116" s="10" t="n"/>
    </row>
    <row r="5117">
      <c r="B5117" s="7" t="n">
        <v>5115</v>
      </c>
      <c r="C5117" t="inlineStr">
        <is>
          <t>Kỹ Sư QS - Hạ Tầng Kỹ Thuật</t>
        </is>
      </c>
      <c r="D5117" t="inlineStr">
        <is>
          <t>CÔNG TY CỔ PHẦN TẬP ĐOÀN ĐẦU TƯ HOÀNG GIA VIỆT NAM</t>
        </is>
      </c>
      <c r="E5117" t="inlineStr">
        <is>
          <t>Thương lượng</t>
        </is>
      </c>
      <c r="F5117" t="inlineStr">
        <is>
          <t>Hồ Chí Minh</t>
        </is>
      </c>
      <c r="G5117" t="inlineStr">
        <is>
          <t>Nhân viên</t>
        </is>
      </c>
      <c r="H5117" t="inlineStr">
        <is>
          <t>27/02/2026</t>
        </is>
      </c>
      <c r="I5117" t="inlineStr">
        <is>
          <t>29/03/2026</t>
        </is>
      </c>
      <c r="J5117" t="inlineStr">
        <is>
          <t>17/03/2026</t>
        </is>
      </c>
      <c r="K5117" t="inlineStr">
        <is>
          <t>N/A</t>
        </is>
      </c>
      <c r="L5117" t="inlineStr">
        <is>
          <t>Hạ Tầng Kỹ Thuật, Kinh Tế Xây Dựng, Kỹ Sư Xây Dựng, Quản Lý Đấu Thầu</t>
        </is>
      </c>
      <c r="M5117" t="inlineStr">
        <is>
          <t>Bonus, Healthcare Plan, Travel Opportunities, Canteen</t>
        </is>
      </c>
      <c r="N5117" s="8">
        <f>HYPERLINK("https://www.vietnamworks.com/ky-su-qs-ha-tang-ky-thuat-2015810-jv","Xem chi tiết")</f>
        <v/>
      </c>
    </row>
    <row r="5118">
      <c r="B5118" s="9" t="n">
        <v>5116</v>
      </c>
      <c r="C5118" s="10" t="inlineStr">
        <is>
          <t>Senior Data Scientist</t>
        </is>
      </c>
      <c r="D5118" s="10" t="inlineStr">
        <is>
          <t>Trusting Social</t>
        </is>
      </c>
      <c r="E5118" s="10" t="inlineStr">
        <is>
          <t>Thương lượng</t>
        </is>
      </c>
      <c r="F5118" s="10" t="inlineStr">
        <is>
          <t>Hồ Chí Minh</t>
        </is>
      </c>
      <c r="G5118" s="10" t="inlineStr">
        <is>
          <t>Nhân viên</t>
        </is>
      </c>
      <c r="H5118" s="10" t="inlineStr">
        <is>
          <t>27/02/2026</t>
        </is>
      </c>
      <c r="I5118" s="10" t="inlineStr">
        <is>
          <t>29/03/2026</t>
        </is>
      </c>
      <c r="J5118" s="10" t="inlineStr">
        <is>
          <t>17/03/2026</t>
        </is>
      </c>
      <c r="K5118" s="10" t="inlineStr">
        <is>
          <t>N/A</t>
        </is>
      </c>
      <c r="L5118" s="10" t="inlineStr">
        <is>
          <t>Data Science, Fintech, Python, LLM, NLP</t>
        </is>
      </c>
      <c r="M5118" s="10" t="inlineStr">
        <is>
          <t>Bonus, Healthcare Plan, Paid Leave, Team Activities, Canteen, Others</t>
        </is>
      </c>
      <c r="N5118" s="11">
        <f>HYPERLINK("https://www.vietnamworks.com/senior-data-scientist-2015817-jv","Xem chi tiết")</f>
        <v/>
      </c>
      <c r="O5118" s="10" t="n"/>
    </row>
    <row r="5119">
      <c r="B5119" s="7" t="n">
        <v>5117</v>
      </c>
      <c r="C5119" t="inlineStr">
        <is>
          <t>Nhân Viên IT</t>
        </is>
      </c>
      <c r="D5119" t="inlineStr">
        <is>
          <t>Công ty TNHH Vico</t>
        </is>
      </c>
      <c r="E5119" t="inlineStr">
        <is>
          <t>Thương lượng</t>
        </is>
      </c>
      <c r="F5119" t="inlineStr">
        <is>
          <t>Hải Phòng</t>
        </is>
      </c>
      <c r="G5119" t="inlineStr">
        <is>
          <t>Nhân viên</t>
        </is>
      </c>
      <c r="H5119" t="inlineStr">
        <is>
          <t>27/02/2026</t>
        </is>
      </c>
      <c r="I5119" t="inlineStr">
        <is>
          <t>29/03/2026</t>
        </is>
      </c>
      <c r="J5119" t="inlineStr">
        <is>
          <t>17/03/2026</t>
        </is>
      </c>
      <c r="K5119" t="inlineStr">
        <is>
          <t>N/A</t>
        </is>
      </c>
      <c r="L5119" t="inlineStr">
        <is>
          <t>Dựng Video, IT Support, Máy In, Quản Lý Trang Web, Xử Lý Sự Cố Máy Tính</t>
        </is>
      </c>
      <c r="M5119" t="inlineStr">
        <is>
          <t>Bonus, Healthcare Plan, Team Activities, Canteen, Others</t>
        </is>
      </c>
      <c r="N5119" s="8">
        <f>HYPERLINK("https://www.vietnamworks.com/nhan-vien-it-2015818-jv","Xem chi tiết")</f>
        <v/>
      </c>
    </row>
    <row r="5120">
      <c r="B5120" s="9" t="n">
        <v>5118</v>
      </c>
      <c r="C5120" s="10" t="inlineStr">
        <is>
          <t>Phó Trưởng Phòng Phụ Trách Quản Lý Rủi Ro Và Tuân Thủ</t>
        </is>
      </c>
      <c r="D5120" s="10" t="inlineStr">
        <is>
          <t>Tổng Công Ty Dược Việt Nam - CTCP</t>
        </is>
      </c>
      <c r="E5120" s="10" t="inlineStr">
        <is>
          <t>Thương lượng</t>
        </is>
      </c>
      <c r="F5120" s="10" t="inlineStr">
        <is>
          <t>Hà Nội</t>
        </is>
      </c>
      <c r="G5120" s="10" t="inlineStr">
        <is>
          <t>Trưởng phòng</t>
        </is>
      </c>
      <c r="H5120" s="10" t="inlineStr">
        <is>
          <t>27/02/2026</t>
        </is>
      </c>
      <c r="I5120" s="10" t="inlineStr">
        <is>
          <t>29/03/2026</t>
        </is>
      </c>
      <c r="J5120" s="10" t="inlineStr">
        <is>
          <t>17/03/2026</t>
        </is>
      </c>
      <c r="K5120" s="10" t="inlineStr">
        <is>
          <t>N/A</t>
        </is>
      </c>
      <c r="L5120" s="10" t="inlineStr">
        <is>
          <t>Compliance, Giao Tiếp, Kiểm Soát Tuân Thủ, Lãnh Đạo, Quản Lý Rủi Ro</t>
        </is>
      </c>
      <c r="M5120" s="10" t="inlineStr">
        <is>
          <t>Healthcare Plan, Others</t>
        </is>
      </c>
      <c r="N5120" s="11">
        <f>HYPERLINK("https://www.vietnamworks.com/pho-truong-phong-phu-trach-quan-ly-rui-ro-va-tuan-thu-2015811-jv","Xem chi tiết")</f>
        <v/>
      </c>
      <c r="O5120" s="10" t="n"/>
    </row>
    <row r="5121">
      <c r="B5121" s="7" t="n">
        <v>5119</v>
      </c>
      <c r="C5121" t="inlineStr">
        <is>
          <t>[Gấp] Kỹ Sư Thiết Kế Cơ Khí - Đi Làm Ngay - Lương 10-30 Triệu/tháng</t>
        </is>
      </c>
      <c r="D5121" t="inlineStr">
        <is>
          <t>CÔNG TY CP CƠ KHÍ VÀ TỰ ĐỘNG HÓA ALPHA VINA</t>
        </is>
      </c>
      <c r="E5121" t="inlineStr">
        <is>
          <t>10tr-30tr ₫/tháng</t>
        </is>
      </c>
      <c r="F5121" t="inlineStr">
        <is>
          <t>Bắc Giang</t>
        </is>
      </c>
      <c r="G5121" t="inlineStr">
        <is>
          <t>Nhân viên</t>
        </is>
      </c>
      <c r="H5121" t="inlineStr">
        <is>
          <t>27/02/2026</t>
        </is>
      </c>
      <c r="I5121" t="inlineStr">
        <is>
          <t>29/03/2026</t>
        </is>
      </c>
      <c r="J5121" t="inlineStr">
        <is>
          <t>17/03/2026</t>
        </is>
      </c>
      <c r="K5121" t="inlineStr">
        <is>
          <t>N/A</t>
        </is>
      </c>
      <c r="L5121" t="inlineStr">
        <is>
          <t>AutoCAD, Bóc Tách Vật Tư, Concept 3D, Solid Edge, Đọc Hiểu Bản Vẽ</t>
        </is>
      </c>
      <c r="M5121" t="inlineStr">
        <is>
          <t>Bonus, Healthcare Plan, Paid Leave, Awards, Travel Opportunities, Canteen, Others</t>
        </is>
      </c>
      <c r="N5121" s="8">
        <f>HYPERLINK("https://www.vietnamworks.com/gap-ky-su-thiet-ke-co-khi-di-lam-ngay-luong-10-30-trieu-thang-2015820-jv","Xem chi tiết")</f>
        <v/>
      </c>
    </row>
    <row r="5122">
      <c r="B5122" s="9" t="n">
        <v>5120</v>
      </c>
      <c r="C5122" s="10" t="inlineStr">
        <is>
          <t>Chuyên Viên QS (Quantity Surveyor)</t>
        </is>
      </c>
      <c r="D5122" s="10" t="inlineStr">
        <is>
          <t>Novaland</t>
        </is>
      </c>
      <c r="E5122" s="10" t="inlineStr">
        <is>
          <t>Thương lượng</t>
        </is>
      </c>
      <c r="F5122" s="10" t="inlineStr">
        <is>
          <t>Hồ Chí Minh</t>
        </is>
      </c>
      <c r="G5122" s="10" t="inlineStr">
        <is>
          <t>Nhân viên</t>
        </is>
      </c>
      <c r="H5122" s="10" t="inlineStr">
        <is>
          <t>27/02/2026</t>
        </is>
      </c>
      <c r="I5122" s="10" t="inlineStr">
        <is>
          <t>29/03/2026</t>
        </is>
      </c>
      <c r="J5122" s="10" t="inlineStr">
        <is>
          <t>17/03/2026</t>
        </is>
      </c>
      <c r="K5122" s="10" t="inlineStr">
        <is>
          <t>N/A</t>
        </is>
      </c>
      <c r="L5122" s="10" t="inlineStr">
        <is>
          <t>QS, QS Ngành Xây Dựng, Kinh Tế Xây Dựng, Dự Toán, Quantity Surveyor</t>
        </is>
      </c>
      <c r="M5122" s="10" t="inlineStr">
        <is>
          <t>Bonus, Healthcare Plan, Awards</t>
        </is>
      </c>
      <c r="N5122" s="11">
        <f>HYPERLINK("https://www.vietnamworks.com/chuyen-vien-qs-quantity-surveyor--2015825-jv","Xem chi tiết")</f>
        <v/>
      </c>
      <c r="O5122" s="10" t="n"/>
    </row>
    <row r="5123">
      <c r="B5123" s="7" t="n">
        <v>5121</v>
      </c>
      <c r="C5123" t="inlineStr">
        <is>
          <t>Giám Đốc Tài Chính</t>
        </is>
      </c>
      <c r="D5123" t="inlineStr">
        <is>
          <t>Tổng Công Ty Dược Việt Nam - CTCP</t>
        </is>
      </c>
      <c r="E5123" t="inlineStr">
        <is>
          <t>Thương lượng</t>
        </is>
      </c>
      <c r="F5123" t="inlineStr">
        <is>
          <t>Hà Nội</t>
        </is>
      </c>
      <c r="G5123" t="inlineStr">
        <is>
          <t>Giám Đốc và Cấp Cao Hơn</t>
        </is>
      </c>
      <c r="H5123" t="inlineStr">
        <is>
          <t>27/02/2026</t>
        </is>
      </c>
      <c r="I5123" t="inlineStr">
        <is>
          <t>29/03/2026</t>
        </is>
      </c>
      <c r="J5123" t="inlineStr">
        <is>
          <t>17/03/2026</t>
        </is>
      </c>
      <c r="K5123" t="inlineStr">
        <is>
          <t>N/A</t>
        </is>
      </c>
      <c r="L5123" t="inlineStr">
        <is>
          <t>Lãnh Đạo, Lập Kế Hoạch, Phân Tích Tài Chính, Quản Lý Tài Chính, Quản Trị Rủi Ro</t>
        </is>
      </c>
      <c r="M5123" t="inlineStr">
        <is>
          <t>Healthcare Plan, Paid Leave</t>
        </is>
      </c>
      <c r="N5123" s="8">
        <f>HYPERLINK("https://www.vietnamworks.com/giam-djoc-tai-chinh-2015832-jv","Xem chi tiết")</f>
        <v/>
      </c>
    </row>
    <row r="5124">
      <c r="B5124" s="9" t="n">
        <v>5122</v>
      </c>
      <c r="C5124" s="10" t="inlineStr">
        <is>
          <t>Kỹ Sư Điện - Điện Tử</t>
        </is>
      </c>
      <c r="D5124" s="10" t="inlineStr">
        <is>
          <t>CÔNG TY CỔ PHẦN ẮC QUY ENI - FLORENCE</t>
        </is>
      </c>
      <c r="E5124" s="10" t="inlineStr">
        <is>
          <t>14tr-20tr ₫/tháng</t>
        </is>
      </c>
      <c r="F5124" s="10" t="inlineStr">
        <is>
          <t>Ninh Bình</t>
        </is>
      </c>
      <c r="G5124" s="10" t="inlineStr">
        <is>
          <t>Nhân viên</t>
        </is>
      </c>
      <c r="H5124" s="10" t="inlineStr">
        <is>
          <t>27/02/2026</t>
        </is>
      </c>
      <c r="I5124" s="10" t="inlineStr">
        <is>
          <t>29/03/2026</t>
        </is>
      </c>
      <c r="J5124" s="10" t="inlineStr">
        <is>
          <t>17/03/2026</t>
        </is>
      </c>
      <c r="K5124" s="10" t="inlineStr">
        <is>
          <t>N/A</t>
        </is>
      </c>
      <c r="L5124" s="10" t="inlineStr">
        <is>
          <t>BMS, Phân Tích Sự Cố, Tự Động Hóa, Điện Tử, Pin Lithium</t>
        </is>
      </c>
      <c r="M5124" s="10" t="inlineStr">
        <is>
          <t>Others</t>
        </is>
      </c>
      <c r="N5124" s="11">
        <f>HYPERLINK("https://www.vietnamworks.com/ky-su-djien-djien-tu-2015827-jv","Xem chi tiết")</f>
        <v/>
      </c>
      <c r="O5124" s="10" t="n"/>
    </row>
    <row r="5125">
      <c r="B5125" s="7" t="n">
        <v>5123</v>
      </c>
      <c r="C5125" t="inlineStr">
        <is>
          <t>Kỹ Sư Xây Dựng Dân Dụng &amp; Công Nghiệp</t>
        </is>
      </c>
      <c r="D5125" t="inlineStr">
        <is>
          <t>CÔNG TY TNHH TƯ VẤN ĐẦU TƯ XÂY DỰNG THƯƠNG MẠI VIỆT AN</t>
        </is>
      </c>
      <c r="E5125" t="inlineStr">
        <is>
          <t>15tr-25tr ₫/tháng</t>
        </is>
      </c>
      <c r="F5125" t="inlineStr">
        <is>
          <t>Hồ Chí Minh</t>
        </is>
      </c>
      <c r="G5125" t="inlineStr">
        <is>
          <t>Nhân viên</t>
        </is>
      </c>
      <c r="H5125" t="inlineStr">
        <is>
          <t>27/02/2026</t>
        </is>
      </c>
      <c r="I5125" t="inlineStr">
        <is>
          <t>29/03/2026</t>
        </is>
      </c>
      <c r="J5125" t="inlineStr">
        <is>
          <t>17/03/2026</t>
        </is>
      </c>
      <c r="K5125" t="inlineStr">
        <is>
          <t>N/A</t>
        </is>
      </c>
      <c r="L5125" t="inlineStr">
        <is>
          <t>Autocad, Giám Sát Thi Công, Lập Dự Toán, Xây Dựng Dân Dụng và Công Nghiệp, Kỹ Sư Xây Dựng</t>
        </is>
      </c>
      <c r="M5125" t="inlineStr">
        <is>
          <t>Bonus, Healthcare Plan, Travel Opportunities, Others</t>
        </is>
      </c>
      <c r="N5125" s="8">
        <f>HYPERLINK("https://www.vietnamworks.com/ky-su-xay-dung-dan-dung-and-cong-nghiep-2015828-jv","Xem chi tiết")</f>
        <v/>
      </c>
    </row>
    <row r="5126">
      <c r="B5126" s="9" t="n">
        <v>5124</v>
      </c>
      <c r="C5126" s="10" t="inlineStr">
        <is>
          <t>Kỹ Sư Cao Cấp Giám Sát Hạ Tầng Kỹ Thuật</t>
        </is>
      </c>
      <c r="D5126" s="10" t="inlineStr">
        <is>
          <t>Novaland</t>
        </is>
      </c>
      <c r="E5126" s="10" t="inlineStr">
        <is>
          <t>Thương lượng</t>
        </is>
      </c>
      <c r="F5126" s="10" t="inlineStr">
        <is>
          <t>Đồng Nai</t>
        </is>
      </c>
      <c r="G5126" s="10" t="inlineStr">
        <is>
          <t>Nhân viên</t>
        </is>
      </c>
      <c r="H5126" s="10" t="inlineStr">
        <is>
          <t>27/02/2026</t>
        </is>
      </c>
      <c r="I5126" s="10" t="inlineStr">
        <is>
          <t>29/03/2026</t>
        </is>
      </c>
      <c r="J5126" s="10" t="inlineStr">
        <is>
          <t>17/03/2026</t>
        </is>
      </c>
      <c r="K5126" s="10" t="inlineStr">
        <is>
          <t>N/A</t>
        </is>
      </c>
      <c r="L5126" s="10" t="inlineStr">
        <is>
          <t>Xây Dựng, Hạ Tầng, Bất Động Sản</t>
        </is>
      </c>
      <c r="M5126" s="10" t="inlineStr">
        <is>
          <t>Bonus, Healthcare Plan, Awards</t>
        </is>
      </c>
      <c r="N5126" s="11">
        <f>HYPERLINK("https://www.vietnamworks.com/ky-su-cao-cap-giam-sat-ha-tang-ky-thuat--2015826-jv","Xem chi tiết")</f>
        <v/>
      </c>
      <c r="O5126" s="10" t="n"/>
    </row>
    <row r="5127">
      <c r="B5127" s="7" t="n">
        <v>5125</v>
      </c>
      <c r="C5127" t="inlineStr">
        <is>
          <t>Chuyên Viên Tài Chính Trái Phiếu</t>
        </is>
      </c>
      <c r="D5127" t="inlineStr">
        <is>
          <t>Novaland</t>
        </is>
      </c>
      <c r="E5127" t="inlineStr">
        <is>
          <t>Thương lượng</t>
        </is>
      </c>
      <c r="F5127" t="inlineStr">
        <is>
          <t>Hồ Chí Minh</t>
        </is>
      </c>
      <c r="G5127" t="inlineStr">
        <is>
          <t>Nhân viên</t>
        </is>
      </c>
      <c r="H5127" t="inlineStr">
        <is>
          <t>27/02/2026</t>
        </is>
      </c>
      <c r="I5127" t="inlineStr">
        <is>
          <t>29/03/2026</t>
        </is>
      </c>
      <c r="J5127" t="inlineStr">
        <is>
          <t>17/03/2026</t>
        </is>
      </c>
      <c r="K5127" t="inlineStr">
        <is>
          <t>N/A</t>
        </is>
      </c>
      <c r="L5127" t="inlineStr">
        <is>
          <t>Phân Phối Trái Phiếu, Báo Cáo Tài Chính, Tài Chính</t>
        </is>
      </c>
      <c r="M5127" t="inlineStr">
        <is>
          <t>Bonus, Healthcare Plan, Awards</t>
        </is>
      </c>
      <c r="N5127" s="8">
        <f>HYPERLINK("https://www.vietnamworks.com/chuyen-vien-tai-chinh-trai-phieu--2015831-jv","Xem chi tiết")</f>
        <v/>
      </c>
    </row>
    <row r="5128">
      <c r="B5128" s="9" t="n">
        <v>5126</v>
      </c>
      <c r="C5128" s="10" t="inlineStr">
        <is>
          <t>(SCGA) Accountant (Business Analysis and Reporting)</t>
        </is>
      </c>
      <c r="D5128" s="10" t="inlineStr">
        <is>
          <t>CHI NHÁNH SCG ACCOUNTING SERVICES CO., LTD. TẠI THÀNH PHỐ HỒ CHÍ MINH</t>
        </is>
      </c>
      <c r="E5128" s="10" t="inlineStr">
        <is>
          <t>Thương lượng</t>
        </is>
      </c>
      <c r="F5128" s="10" t="inlineStr">
        <is>
          <t>Bà Rịa - Vũng Tàu</t>
        </is>
      </c>
      <c r="G5128" s="10" t="inlineStr">
        <is>
          <t>Nhân viên</t>
        </is>
      </c>
      <c r="H5128" s="10" t="inlineStr">
        <is>
          <t>27/02/2026</t>
        </is>
      </c>
      <c r="I5128" s="10" t="inlineStr">
        <is>
          <t>29/03/2026</t>
        </is>
      </c>
      <c r="J5128" s="10" t="inlineStr">
        <is>
          <t>17/03/2026</t>
        </is>
      </c>
      <c r="K5128" s="10" t="inlineStr">
        <is>
          <t>N/A</t>
        </is>
      </c>
      <c r="L5128" s="10" t="inlineStr">
        <is>
          <t>Accounting, Excel Skills, Financial Analysis, Interpersonal Skills, SAP</t>
        </is>
      </c>
      <c r="M5128" s="10" t="inlineStr">
        <is>
          <t>Healthcare Plan, Paid Leave, Training</t>
        </is>
      </c>
      <c r="N5128" s="11">
        <f>HYPERLINK("https://www.vietnamworks.com/-scga-accountant-business-analysis-and-reporting-2015839-jv","Xem chi tiết")</f>
        <v/>
      </c>
      <c r="O5128" s="10" t="n"/>
    </row>
    <row r="5129">
      <c r="B5129" s="7" t="n">
        <v>5127</v>
      </c>
      <c r="C5129" t="inlineStr">
        <is>
          <t>Kỹ Sư Dự Toán</t>
        </is>
      </c>
      <c r="D5129" t="inlineStr">
        <is>
          <t>CÔNG TY TNHH TƯ VẤN ĐẦU TƯ XÂY DỰNG THƯƠNG MẠI VIỆT AN</t>
        </is>
      </c>
      <c r="E5129" t="inlineStr">
        <is>
          <t>15tr-20tr ₫/tháng</t>
        </is>
      </c>
      <c r="F5129" t="inlineStr">
        <is>
          <t>Hồ Chí Minh</t>
        </is>
      </c>
      <c r="G5129" t="inlineStr">
        <is>
          <t>Nhân viên</t>
        </is>
      </c>
      <c r="H5129" t="inlineStr">
        <is>
          <t>27/02/2026</t>
        </is>
      </c>
      <c r="I5129" t="inlineStr">
        <is>
          <t>29/03/2026</t>
        </is>
      </c>
      <c r="J5129" t="inlineStr">
        <is>
          <t>17/03/2026</t>
        </is>
      </c>
      <c r="K5129" t="inlineStr">
        <is>
          <t>N/A</t>
        </is>
      </c>
      <c r="L5129" t="inlineStr">
        <is>
          <t>Autocad, Dự Toán, Dự Toán Kết Cấu, Hạ Tầng Kỹ Thuật, Kinh Tế Xây Dựng</t>
        </is>
      </c>
      <c r="M5129" t="inlineStr">
        <is>
          <t>Bonus, Healthcare Plan, Travel Opportunities, Others</t>
        </is>
      </c>
      <c r="N5129" s="8">
        <f>HYPERLINK("https://www.vietnamworks.com/ky-su-du-toan--2015835-jv","Xem chi tiết")</f>
        <v/>
      </c>
    </row>
    <row r="5130">
      <c r="B5130" s="9" t="n">
        <v>5128</v>
      </c>
      <c r="C5130" s="10" t="inlineStr">
        <is>
          <t>Giám Đốc Ban Tổ Chức Tài Chính Kế Toán (CFO)</t>
        </is>
      </c>
      <c r="D5130" s="10" t="inlineStr">
        <is>
          <t>Công Ty Cổ Phần Tổng Công Ty Nova Service</t>
        </is>
      </c>
      <c r="E5130" s="10" t="inlineStr">
        <is>
          <t>$$ 5,000-7,000 /tháng</t>
        </is>
      </c>
      <c r="F5130" s="10" t="inlineStr">
        <is>
          <t>Hồ Chí Minh</t>
        </is>
      </c>
      <c r="G5130" s="10" t="inlineStr">
        <is>
          <t>Giám Đốc và Cấp Cao Hơn</t>
        </is>
      </c>
      <c r="H5130" s="10" t="inlineStr">
        <is>
          <t>27/02/2026</t>
        </is>
      </c>
      <c r="I5130" s="10" t="inlineStr">
        <is>
          <t>29/03/2026</t>
        </is>
      </c>
      <c r="J5130" s="10" t="inlineStr">
        <is>
          <t>17/03/2026</t>
        </is>
      </c>
      <c r="K5130" s="10" t="inlineStr">
        <is>
          <t>N/A</t>
        </is>
      </c>
      <c r="L5130" s="10" t="inlineStr">
        <is>
          <t>CFO, Financial Controlling, Accouting, Kế Toán Trưởng, Financial Analyst</t>
        </is>
      </c>
      <c r="M5130" s="10" t="inlineStr">
        <is>
          <t>Bonus, Paid Leave, Training</t>
        </is>
      </c>
      <c r="N5130" s="11">
        <f>HYPERLINK("https://www.vietnamworks.com/giam-doc-ban-to-chuc-tai-chinh-ke-toan-cfo-2015829-jv","Xem chi tiết")</f>
        <v/>
      </c>
      <c r="O5130" s="10" t="n"/>
    </row>
    <row r="5131">
      <c r="B5131" s="7" t="n">
        <v>5129</v>
      </c>
      <c r="C5131" t="inlineStr">
        <is>
          <t>Chuyên Viên Cao Cấp Dịch Vụ Khách Hàng (Hậu Mãi)</t>
        </is>
      </c>
      <c r="D5131" t="inlineStr">
        <is>
          <t>Novaland</t>
        </is>
      </c>
      <c r="E5131" t="inlineStr">
        <is>
          <t>Thương lượng</t>
        </is>
      </c>
      <c r="F5131" t="inlineStr">
        <is>
          <t>Hồ Chí Minh</t>
        </is>
      </c>
      <c r="G5131" t="inlineStr">
        <is>
          <t>Nhân viên</t>
        </is>
      </c>
      <c r="H5131" t="inlineStr">
        <is>
          <t>27/02/2026</t>
        </is>
      </c>
      <c r="I5131" t="inlineStr">
        <is>
          <t>29/03/2026</t>
        </is>
      </c>
      <c r="J5131" t="inlineStr">
        <is>
          <t>17/03/2026</t>
        </is>
      </c>
      <c r="K5131" t="inlineStr">
        <is>
          <t>N/A</t>
        </is>
      </c>
      <c r="L5131" t="inlineStr">
        <is>
          <t>Dịch Vụ Khách Hàng, Chăm Sóc Khách Hàng, Xử Lý Tình Huống Linh Hoạt</t>
        </is>
      </c>
      <c r="M5131" t="inlineStr">
        <is>
          <t>Bonus, Healthcare Plan, Awards</t>
        </is>
      </c>
      <c r="N5131" s="8">
        <f>HYPERLINK("https://www.vietnamworks.com/chuyen-vien-cao-cap-dich-vu-khach-hang-hau-mai--2015842-jv","Xem chi tiết")</f>
        <v/>
      </c>
    </row>
    <row r="5132">
      <c r="B5132" s="9" t="n">
        <v>5130</v>
      </c>
      <c r="C5132" s="10" t="inlineStr">
        <is>
          <t>Kế Toán Tổng Hợp</t>
        </is>
      </c>
      <c r="D5132" s="10" t="inlineStr">
        <is>
          <t>CÔNG TY CỔ PHẦN TẬP ĐOÀN PHÚ CƯỜNG</t>
        </is>
      </c>
      <c r="E5132" s="10" t="inlineStr">
        <is>
          <t>Thương lượng</t>
        </is>
      </c>
      <c r="F5132" s="10" t="inlineStr">
        <is>
          <t>Hồ Chí Minh</t>
        </is>
      </c>
      <c r="G5132" s="10" t="inlineStr">
        <is>
          <t>Nhân viên</t>
        </is>
      </c>
      <c r="H5132" s="10" t="inlineStr">
        <is>
          <t>27/02/2026</t>
        </is>
      </c>
      <c r="I5132" s="10" t="inlineStr">
        <is>
          <t>29/03/2026</t>
        </is>
      </c>
      <c r="J5132" s="10" t="inlineStr">
        <is>
          <t>17/03/2026</t>
        </is>
      </c>
      <c r="K5132" s="10" t="inlineStr">
        <is>
          <t>N/A</t>
        </is>
      </c>
      <c r="L5132" s="10" t="inlineStr">
        <is>
          <t>Kiểm Toán, Báo Cáo Tài Chính, Hạch Toán Khấu Hao, Nghiệp Vụ Kế Toán, Quyết Toán Thuế</t>
        </is>
      </c>
      <c r="M5132" s="10" t="inlineStr">
        <is>
          <t>Bonus</t>
        </is>
      </c>
      <c r="N5132" s="11">
        <f>HYPERLINK("https://www.vietnamworks.com/ke-toan-tong-hop-2015840-jv","Xem chi tiết")</f>
        <v/>
      </c>
      <c r="O5132" s="10" t="n"/>
    </row>
    <row r="5133">
      <c r="B5133" s="7" t="n">
        <v>5131</v>
      </c>
      <c r="C5133" t="inlineStr">
        <is>
          <t>Trưởng Phòng Kế Hoạch Đầu Tư</t>
        </is>
      </c>
      <c r="D5133" t="inlineStr">
        <is>
          <t>Tổng Công Ty Dược Việt Nam - CTCP</t>
        </is>
      </c>
      <c r="E5133" t="inlineStr">
        <is>
          <t>Thương lượng</t>
        </is>
      </c>
      <c r="F5133" t="inlineStr">
        <is>
          <t>Hà Nội</t>
        </is>
      </c>
      <c r="G5133" t="inlineStr">
        <is>
          <t>Giám Đốc và Cấp Cao Hơn</t>
        </is>
      </c>
      <c r="H5133" t="inlineStr">
        <is>
          <t>27/02/2026</t>
        </is>
      </c>
      <c r="I5133" t="inlineStr">
        <is>
          <t>29/03/2026</t>
        </is>
      </c>
      <c r="J5133" t="inlineStr">
        <is>
          <t>17/03/2026</t>
        </is>
      </c>
      <c r="K5133" t="inlineStr">
        <is>
          <t>N/A</t>
        </is>
      </c>
      <c r="L5133" t="inlineStr">
        <is>
          <t>Lãnh Đạo, Lập Kế Hoạch, Phân Tích Tài Chính, Quản Lý Dự Án, Quản Lý Nhân Sự</t>
        </is>
      </c>
      <c r="M5133" t="inlineStr">
        <is>
          <t>Healthcare Plan, Paid Leave</t>
        </is>
      </c>
      <c r="N5133" s="8">
        <f>HYPERLINK("https://www.vietnamworks.com/truong-phong-ke-hoach-djau-tu-2015846-jv","Xem chi tiết")</f>
        <v/>
      </c>
    </row>
    <row r="5134">
      <c r="B5134" s="9" t="n">
        <v>5132</v>
      </c>
      <c r="C5134" s="10" t="inlineStr">
        <is>
          <t>Manager/Senior Manager | IT Audit (Digital Trust) in Hanoi Office</t>
        </is>
      </c>
      <c r="D5134" s="10" t="inlineStr">
        <is>
          <t>Ernst &amp; Young Vietnam Limited (EY Vietnam)</t>
        </is>
      </c>
      <c r="E5134" s="10" t="inlineStr">
        <is>
          <t>Thương lượng</t>
        </is>
      </c>
      <c r="F5134" s="10" t="inlineStr">
        <is>
          <t>Hà Nội</t>
        </is>
      </c>
      <c r="G5134" s="10" t="inlineStr">
        <is>
          <t>Trưởng phòng</t>
        </is>
      </c>
      <c r="H5134" s="10" t="inlineStr">
        <is>
          <t>27/02/2026</t>
        </is>
      </c>
      <c r="I5134" s="10" t="inlineStr">
        <is>
          <t>29/03/2026</t>
        </is>
      </c>
      <c r="J5134" s="10" t="inlineStr">
        <is>
          <t>17/03/2026</t>
        </is>
      </c>
      <c r="K5134" s="10" t="inlineStr">
        <is>
          <t>N/A</t>
        </is>
      </c>
      <c r="L5134" s="10" t="inlineStr">
        <is>
          <t>IT Audit, IT Governance, CISA, ITGC, SOX Control Testing</t>
        </is>
      </c>
      <c r="M5134" s="10" t="inlineStr">
        <is>
          <t>Bonus, Awards, Others</t>
        </is>
      </c>
      <c r="N5134" s="11">
        <f>HYPERLINK("https://www.vietnamworks.com/manager-senior-manager-it-audit-digital-trust-in-hanoi-office-2015833-jv","Xem chi tiết")</f>
        <v/>
      </c>
      <c r="O5134" s="10" t="n"/>
    </row>
    <row r="5135">
      <c r="B5135" s="7" t="n">
        <v>5133</v>
      </c>
      <c r="C5135" t="inlineStr">
        <is>
          <t>Nhân Viên Kế Toán</t>
        </is>
      </c>
      <c r="D5135" t="inlineStr">
        <is>
          <t>Công Ty Cổ Phần Thương Mại Tràng An- Việt Nam</t>
        </is>
      </c>
      <c r="E5135" t="inlineStr">
        <is>
          <t>Thương lượng</t>
        </is>
      </c>
      <c r="F5135" t="inlineStr">
        <is>
          <t>Hà Nội</t>
        </is>
      </c>
      <c r="G5135" t="inlineStr">
        <is>
          <t>Nhân viên</t>
        </is>
      </c>
      <c r="H5135" t="inlineStr">
        <is>
          <t>27/02/2026</t>
        </is>
      </c>
      <c r="I5135" t="inlineStr">
        <is>
          <t>29/03/2026</t>
        </is>
      </c>
      <c r="J5135" t="inlineStr">
        <is>
          <t>17/03/2026</t>
        </is>
      </c>
      <c r="K5135" t="inlineStr">
        <is>
          <t>N/A</t>
        </is>
      </c>
      <c r="L5135" t="inlineStr">
        <is>
          <t>Kế Toán, Tài Chính, Thống Kê, Accounting, Accounting Standards</t>
        </is>
      </c>
      <c r="M5135" t="inlineStr">
        <is>
          <t>Bonus, Healthcare Plan, Paid Leave, Others</t>
        </is>
      </c>
      <c r="N5135" s="8">
        <f>HYPERLINK("https://www.vietnamworks.com/nhan-vien-ke-toan-2015836-jv","Xem chi tiết")</f>
        <v/>
      </c>
    </row>
    <row r="5136">
      <c r="B5136" s="9" t="n">
        <v>5134</v>
      </c>
      <c r="C5136" s="10" t="inlineStr">
        <is>
          <t>Kỹ Sư Quản Lý Thiết Kế &amp; Thiết Kế Cảnh Quan (Làm Việc Tại Thái Nguyên)</t>
        </is>
      </c>
      <c r="D5136" s="10" t="inlineStr">
        <is>
          <t>Công Ty Cổ Phần Đầu Tư Le Mont</t>
        </is>
      </c>
      <c r="E5136" s="10" t="inlineStr">
        <is>
          <t>Thương lượng</t>
        </is>
      </c>
      <c r="F5136" s="10" t="inlineStr">
        <is>
          <t>Thái Nguyên, Hà Nội</t>
        </is>
      </c>
      <c r="G5136" s="10" t="inlineStr">
        <is>
          <t>Nhân viên</t>
        </is>
      </c>
      <c r="H5136" s="10" t="inlineStr">
        <is>
          <t>27/02/2026</t>
        </is>
      </c>
      <c r="I5136" s="10" t="inlineStr">
        <is>
          <t>29/03/2026</t>
        </is>
      </c>
      <c r="J5136" s="10" t="inlineStr">
        <is>
          <t>17/03/2026</t>
        </is>
      </c>
      <c r="K5136" s="10" t="inlineStr">
        <is>
          <t>N/A</t>
        </is>
      </c>
      <c r="L5136" s="10" t="inlineStr">
        <is>
          <t>Xây Dựng, Quản Lý Dự Án, Project Management, Quản Lý Đất Đai, Quy Hoạch Xây Dựng</t>
        </is>
      </c>
      <c r="M5136" s="10" t="inlineStr">
        <is>
          <t>Healthcare Plan, Others</t>
        </is>
      </c>
      <c r="N5136" s="11">
        <f>HYPERLINK("https://www.vietnamworks.com/ky-su-quan-ly-thiet-ke-thiet-ke-canh-quan-lam-viec-tai-thai-nguyen-2015838-jv","Xem chi tiết")</f>
        <v/>
      </c>
      <c r="O5136" s="10" t="n"/>
    </row>
    <row r="5137">
      <c r="B5137" s="7" t="n">
        <v>5135</v>
      </c>
      <c r="C5137" t="inlineStr">
        <is>
          <t>Senior Investor Relations Officer</t>
        </is>
      </c>
      <c r="D5137" t="inlineStr">
        <is>
          <t>Novaland</t>
        </is>
      </c>
      <c r="E5137" t="inlineStr">
        <is>
          <t>Thương lượng</t>
        </is>
      </c>
      <c r="F5137" t="inlineStr">
        <is>
          <t>Hồ Chí Minh</t>
        </is>
      </c>
      <c r="G5137" t="inlineStr">
        <is>
          <t>Nhân viên</t>
        </is>
      </c>
      <c r="H5137" t="inlineStr">
        <is>
          <t>27/02/2026</t>
        </is>
      </c>
      <c r="I5137" t="inlineStr">
        <is>
          <t>29/03/2026</t>
        </is>
      </c>
      <c r="J5137" t="inlineStr">
        <is>
          <t>17/03/2026</t>
        </is>
      </c>
      <c r="K5137" t="inlineStr">
        <is>
          <t>N/A</t>
        </is>
      </c>
      <c r="L5137" t="inlineStr">
        <is>
          <t>Investor Relations, Investor Relationship Management</t>
        </is>
      </c>
      <c r="M5137" t="inlineStr">
        <is>
          <t>Bonus, Healthcare Plan, Awards</t>
        </is>
      </c>
      <c r="N5137" s="8">
        <f>HYPERLINK("https://www.vietnamworks.com/senior-investor-relations-officer--2015837-jv","Xem chi tiết")</f>
        <v/>
      </c>
    </row>
    <row r="5138">
      <c r="B5138" s="9" t="n">
        <v>5136</v>
      </c>
      <c r="C5138" s="10" t="inlineStr">
        <is>
          <t>Financial Planning &amp; Analysis (FP&amp;A) Specialist</t>
        </is>
      </c>
      <c r="D5138" s="10" t="inlineStr">
        <is>
          <t>Novaland</t>
        </is>
      </c>
      <c r="E5138" s="10" t="inlineStr">
        <is>
          <t>Thương lượng</t>
        </is>
      </c>
      <c r="F5138" s="10" t="inlineStr">
        <is>
          <t>Hồ Chí Minh</t>
        </is>
      </c>
      <c r="G5138" s="10" t="inlineStr">
        <is>
          <t>Nhân viên</t>
        </is>
      </c>
      <c r="H5138" s="10" t="inlineStr">
        <is>
          <t>27/02/2026</t>
        </is>
      </c>
      <c r="I5138" s="10" t="inlineStr">
        <is>
          <t>29/03/2026</t>
        </is>
      </c>
      <c r="J5138" s="10" t="inlineStr">
        <is>
          <t>17/03/2026</t>
        </is>
      </c>
      <c r="K5138" s="10" t="inlineStr">
        <is>
          <t>N/A</t>
        </is>
      </c>
      <c r="L5138" s="10" t="inlineStr">
        <is>
          <t>Finance, Finance Analyst, Finance And Cost Control Skills, Finance Planning, P&amp;L</t>
        </is>
      </c>
      <c r="M5138" s="10" t="inlineStr">
        <is>
          <t>Bonus, Healthcare Plan, Awards</t>
        </is>
      </c>
      <c r="N5138" s="11">
        <f>HYPERLINK("https://www.vietnamworks.com/financial-planning-analysis-fp-a-specialist--2015834-jv","Xem chi tiết")</f>
        <v/>
      </c>
      <c r="O5138" s="10" t="n"/>
    </row>
    <row r="5139">
      <c r="B5139" s="7" t="n">
        <v>5137</v>
      </c>
      <c r="C5139" t="inlineStr">
        <is>
          <t>Trưởng Phòng Kinh Doanh</t>
        </is>
      </c>
      <c r="D5139" t="inlineStr">
        <is>
          <t>Novaland</t>
        </is>
      </c>
      <c r="E5139" t="inlineStr">
        <is>
          <t>Thương lượng</t>
        </is>
      </c>
      <c r="F5139" t="inlineStr">
        <is>
          <t>Hồ Chí Minh</t>
        </is>
      </c>
      <c r="G5139" t="inlineStr">
        <is>
          <t>Trưởng phòng</t>
        </is>
      </c>
      <c r="H5139" t="inlineStr">
        <is>
          <t>27/02/2026</t>
        </is>
      </c>
      <c r="I5139" t="inlineStr">
        <is>
          <t>29/03/2026</t>
        </is>
      </c>
      <c r="J5139" t="inlineStr">
        <is>
          <t>17/03/2026</t>
        </is>
      </c>
      <c r="K5139" t="inlineStr">
        <is>
          <t>N/A</t>
        </is>
      </c>
      <c r="L5139" t="inlineStr">
        <is>
          <t>Phát Triển Đội Ngũ Kinh Doanh</t>
        </is>
      </c>
      <c r="M5139" t="inlineStr">
        <is>
          <t>Bonus, Healthcare Plan, Awards</t>
        </is>
      </c>
      <c r="N5139" s="8">
        <f>HYPERLINK("https://www.vietnamworks.com/truong-phong-kinh-doanh--2015843-jv","Xem chi tiết")</f>
        <v/>
      </c>
    </row>
    <row r="5140">
      <c r="B5140" s="9" t="n">
        <v>5138</v>
      </c>
      <c r="C5140" s="10" t="inlineStr">
        <is>
          <t>Kế Toán Trưởng</t>
        </is>
      </c>
      <c r="D5140" s="10" t="inlineStr">
        <is>
          <t>Công Ty TNHH Thương Mại Dịch Vụ Minh Lập Thành</t>
        </is>
      </c>
      <c r="E5140" s="10" t="inlineStr">
        <is>
          <t>Thương lượng</t>
        </is>
      </c>
      <c r="F5140" s="10" t="inlineStr">
        <is>
          <t>Bình Dương</t>
        </is>
      </c>
      <c r="G5140" s="10" t="inlineStr">
        <is>
          <t>Nhân viên</t>
        </is>
      </c>
      <c r="H5140" s="10" t="inlineStr">
        <is>
          <t>27/02/2026</t>
        </is>
      </c>
      <c r="I5140" s="10" t="inlineStr">
        <is>
          <t>29/03/2026</t>
        </is>
      </c>
      <c r="J5140" s="10" t="inlineStr">
        <is>
          <t>17/03/2026</t>
        </is>
      </c>
      <c r="K5140" s="10" t="inlineStr">
        <is>
          <t>N/A</t>
        </is>
      </c>
      <c r="L5140" s="10" t="inlineStr">
        <is>
          <t>English, Tài Chính, Kiểm Toán, Kế Toán Tổng Hợp, Chứng Từ Kế Toán</t>
        </is>
      </c>
      <c r="M5140" s="10" t="inlineStr">
        <is>
          <t>Bonus, Healthcare Plan, Paid Leave</t>
        </is>
      </c>
      <c r="N5140" s="11">
        <f>HYPERLINK("https://www.vietnamworks.com/ke-toan-truong--2015845-jv","Xem chi tiết")</f>
        <v/>
      </c>
      <c r="O5140" s="10" t="n"/>
    </row>
    <row r="5141">
      <c r="B5141" s="7" t="n">
        <v>5139</v>
      </c>
      <c r="C5141" t="inlineStr">
        <is>
          <t>Trưởng Phòng Phụ Trách Quản Lý Đầu Tư</t>
        </is>
      </c>
      <c r="D5141" t="inlineStr">
        <is>
          <t>Novaland</t>
        </is>
      </c>
      <c r="E5141" t="inlineStr">
        <is>
          <t>Thương lượng</t>
        </is>
      </c>
      <c r="F5141" t="inlineStr">
        <is>
          <t>Hồ Chí Minh</t>
        </is>
      </c>
      <c r="G5141" t="inlineStr">
        <is>
          <t>Trưởng phòng</t>
        </is>
      </c>
      <c r="H5141" t="inlineStr">
        <is>
          <t>27/02/2026</t>
        </is>
      </c>
      <c r="I5141" t="inlineStr">
        <is>
          <t>29/03/2026</t>
        </is>
      </c>
      <c r="J5141" t="inlineStr">
        <is>
          <t>17/03/2026</t>
        </is>
      </c>
      <c r="K5141" t="inlineStr">
        <is>
          <t>N/A</t>
        </is>
      </c>
      <c r="L5141" t="inlineStr">
        <is>
          <t>Investment Strategies, Investment Planning, Investment, Đầu Tư Bất Động Sản, Đầu Tư Phát Triển Dự Án</t>
        </is>
      </c>
      <c r="M5141" t="inlineStr">
        <is>
          <t>Bonus, Healthcare Plan, Awards</t>
        </is>
      </c>
      <c r="N5141" s="8">
        <f>HYPERLINK("https://www.vietnamworks.com/truong-phong-phu-trach-quan-ly-dau-tu--2015841-jv","Xem chi tiết")</f>
        <v/>
      </c>
    </row>
    <row r="5142">
      <c r="B5142" s="9" t="n">
        <v>5140</v>
      </c>
      <c r="C5142" s="10" t="inlineStr">
        <is>
          <t>Trưởng Phòng Pháp Chế, Quản Lý Rủi Ro Và Tuân Thủ</t>
        </is>
      </c>
      <c r="D5142" s="10" t="inlineStr">
        <is>
          <t>Tổng Công Ty Dược Việt Nam - CTCP</t>
        </is>
      </c>
      <c r="E5142" s="10" t="inlineStr">
        <is>
          <t>Thương lượng</t>
        </is>
      </c>
      <c r="F5142" s="10" t="inlineStr">
        <is>
          <t>Hà Nội</t>
        </is>
      </c>
      <c r="G5142" s="10" t="inlineStr">
        <is>
          <t>Trưởng phòng</t>
        </is>
      </c>
      <c r="H5142" s="10" t="inlineStr">
        <is>
          <t>27/02/2026</t>
        </is>
      </c>
      <c r="I5142" s="10" t="inlineStr">
        <is>
          <t>29/03/2026</t>
        </is>
      </c>
      <c r="J5142" s="10" t="inlineStr">
        <is>
          <t>17/03/2026</t>
        </is>
      </c>
      <c r="K5142" s="10" t="inlineStr">
        <is>
          <t>N/A</t>
        </is>
      </c>
      <c r="L5142" s="10" t="inlineStr">
        <is>
          <t>Kiểm Soát Tuân Thủ, Lãnh Đạo, Luật Dân Sự, Luật Doanh Nghiệp, Tư Vấn Pháp Lý</t>
        </is>
      </c>
      <c r="M5142" s="10" t="inlineStr">
        <is>
          <t>Others</t>
        </is>
      </c>
      <c r="N5142" s="11">
        <f>HYPERLINK("https://www.vietnamworks.com/truong-phong-phap-che-quan-ly-rui-ro-va-tuan-thu-2015844-jv","Xem chi tiết")</f>
        <v/>
      </c>
      <c r="O5142" s="10" t="n"/>
    </row>
    <row r="5143">
      <c r="B5143" s="7" t="n">
        <v>5141</v>
      </c>
      <c r="C5143" t="inlineStr">
        <is>
          <t>Electrical &amp; Automation Control Engineer</t>
        </is>
      </c>
      <c r="D5143" t="inlineStr">
        <is>
          <t>Enkei Vietnam Co.,Ltd</t>
        </is>
      </c>
      <c r="E5143" t="inlineStr">
        <is>
          <t>Thương lượng</t>
        </is>
      </c>
      <c r="F5143" t="inlineStr">
        <is>
          <t>Hà Nội</t>
        </is>
      </c>
      <c r="G5143" t="inlineStr">
        <is>
          <t>Nhân viên</t>
        </is>
      </c>
      <c r="H5143" t="inlineStr">
        <is>
          <t>27/02/2026</t>
        </is>
      </c>
      <c r="I5143" t="inlineStr">
        <is>
          <t>29/03/2026</t>
        </is>
      </c>
      <c r="J5143" t="inlineStr">
        <is>
          <t>17/03/2026</t>
        </is>
      </c>
      <c r="K5143" t="inlineStr">
        <is>
          <t>N/A</t>
        </is>
      </c>
      <c r="L5143" t="inlineStr">
        <is>
          <t>Electrical Knowledge, PLC Programming, Technical Engineering, Automation Design, Automation</t>
        </is>
      </c>
      <c r="M5143" t="inlineStr">
        <is>
          <t>Bonus, Healthcare Plan, Laptop, Others</t>
        </is>
      </c>
      <c r="N5143" s="8">
        <f>HYPERLINK("https://www.vietnamworks.com/electrical-and-automation-control-engineer-2015852-jv","Xem chi tiết")</f>
        <v/>
      </c>
    </row>
    <row r="5144">
      <c r="B5144" s="9" t="n">
        <v>5142</v>
      </c>
      <c r="C5144" s="10" t="inlineStr">
        <is>
          <t>[Aeon Hải Dương] - Trưởng bộ phận Quản lý Khách thuê</t>
        </is>
      </c>
      <c r="D5144" s="10" t="inlineStr">
        <is>
          <t>Công Ty TNHH Aeon Việt Nam</t>
        </is>
      </c>
      <c r="E5144" s="10" t="inlineStr">
        <is>
          <t>Thương lượng</t>
        </is>
      </c>
      <c r="F5144" s="10" t="inlineStr">
        <is>
          <t>Hải Phòng</t>
        </is>
      </c>
      <c r="G5144" s="10" t="inlineStr">
        <is>
          <t>Trưởng phòng</t>
        </is>
      </c>
      <c r="H5144" s="10" t="inlineStr">
        <is>
          <t>27/02/2026</t>
        </is>
      </c>
      <c r="I5144" s="10" t="inlineStr">
        <is>
          <t>29/03/2026</t>
        </is>
      </c>
      <c r="J5144" s="10" t="inlineStr">
        <is>
          <t>17/03/2026</t>
        </is>
      </c>
      <c r="K5144" s="10" t="inlineStr">
        <is>
          <t>N/A</t>
        </is>
      </c>
      <c r="L5144" s="10" t="inlineStr">
        <is>
          <t>Budget Monitoring, Communication, Safety Management, Sales Contract Management, Sales Planning</t>
        </is>
      </c>
      <c r="M5144" s="10" t="inlineStr">
        <is>
          <t>Bonus, Healthcare Plan, Paid Leave, Training, Canteen, Vouchers, Others</t>
        </is>
      </c>
      <c r="N5144" s="11">
        <f>HYPERLINK("https://www.vietnamworks.com/aeon-hai-duong-truong-bo-phan-quan-ly-khach-thue-2015850-jv","Xem chi tiết")</f>
        <v/>
      </c>
      <c r="O5144" s="10" t="n"/>
    </row>
    <row r="5145">
      <c r="B5145" s="7" t="n">
        <v>5143</v>
      </c>
      <c r="C5145" t="inlineStr">
        <is>
          <t>Trợ Lý Tổng Giám Đốc</t>
        </is>
      </c>
      <c r="D5145" t="inlineStr">
        <is>
          <t>Tổng Công Ty Dược Việt Nam - CTCP</t>
        </is>
      </c>
      <c r="E5145" t="inlineStr">
        <is>
          <t>Thương lượng</t>
        </is>
      </c>
      <c r="F5145" t="inlineStr">
        <is>
          <t>Hà Nội</t>
        </is>
      </c>
      <c r="G5145" t="inlineStr">
        <is>
          <t>Nhân viên</t>
        </is>
      </c>
      <c r="H5145" t="inlineStr">
        <is>
          <t>27/02/2026</t>
        </is>
      </c>
      <c r="I5145" t="inlineStr">
        <is>
          <t>29/03/2026</t>
        </is>
      </c>
      <c r="J5145" t="inlineStr">
        <is>
          <t>17/03/2026</t>
        </is>
      </c>
      <c r="K5145" t="inlineStr">
        <is>
          <t>N/A</t>
        </is>
      </c>
      <c r="L5145" t="inlineStr">
        <is>
          <t>Báo Cáo Quản Trị, Giao Tiếp, Phân Tích Dữ Liệu, Quản Trị Doanh Nghiệp, Điều Phối</t>
        </is>
      </c>
      <c r="M5145" t="inlineStr">
        <is>
          <t>Others</t>
        </is>
      </c>
      <c r="N5145" s="8">
        <f>HYPERLINK("https://www.vietnamworks.com/tro-ly-tong-giam-djoc-2015857-jv","Xem chi tiết")</f>
        <v/>
      </c>
    </row>
    <row r="5146">
      <c r="B5146" s="9" t="n">
        <v>5144</v>
      </c>
      <c r="C5146" s="10" t="inlineStr">
        <is>
          <t>Sales Supervisor</t>
        </is>
      </c>
      <c r="D5146" s="10" t="inlineStr">
        <is>
          <t>Viet Nam Golf Distribution Co., Ltd</t>
        </is>
      </c>
      <c r="E5146" s="10" t="inlineStr">
        <is>
          <t>15tr-25tr ₫/tháng</t>
        </is>
      </c>
      <c r="F5146" s="10" t="inlineStr">
        <is>
          <t>Hà Nội</t>
        </is>
      </c>
      <c r="G5146" s="10" t="inlineStr">
        <is>
          <t>Nhân viên</t>
        </is>
      </c>
      <c r="H5146" s="10" t="inlineStr">
        <is>
          <t>27/02/2026</t>
        </is>
      </c>
      <c r="I5146" s="10" t="inlineStr">
        <is>
          <t>29/03/2026</t>
        </is>
      </c>
      <c r="J5146" s="10" t="inlineStr">
        <is>
          <t>17/03/2026</t>
        </is>
      </c>
      <c r="K5146" s="10" t="inlineStr">
        <is>
          <t>N/A</t>
        </is>
      </c>
      <c r="L5146" s="10" t="inlineStr">
        <is>
          <t>Business Development, Kinh Doanh, Bán Hàng, English, Sales Planning</t>
        </is>
      </c>
      <c r="M5146" s="10" t="inlineStr">
        <is>
          <t>Bonus, Training, Team Activities</t>
        </is>
      </c>
      <c r="N5146" s="11">
        <f>HYPERLINK("https://www.vietnamworks.com/sales-supervisor--2015853-jv","Xem chi tiết")</f>
        <v/>
      </c>
      <c r="O5146" s="10" t="n"/>
    </row>
    <row r="5147">
      <c r="B5147" s="7" t="n">
        <v>5145</v>
      </c>
      <c r="C5147" t="inlineStr">
        <is>
          <t>Nhân Viên Kỹ Thuật (Vận Hành Nhà Máy)</t>
        </is>
      </c>
      <c r="D5147" t="inlineStr">
        <is>
          <t>TNHH MTV Eundan</t>
        </is>
      </c>
      <c r="E5147" t="inlineStr">
        <is>
          <t>25tr-35tr ₫/tháng</t>
        </is>
      </c>
      <c r="F5147" t="inlineStr">
        <is>
          <t>Tây Ninh</t>
        </is>
      </c>
      <c r="G5147" t="inlineStr">
        <is>
          <t>Nhân viên</t>
        </is>
      </c>
      <c r="H5147" t="inlineStr">
        <is>
          <t>27/02/2026</t>
        </is>
      </c>
      <c r="I5147" t="inlineStr">
        <is>
          <t>29/03/2026</t>
        </is>
      </c>
      <c r="J5147" t="inlineStr">
        <is>
          <t>17/03/2026</t>
        </is>
      </c>
      <c r="K5147" t="inlineStr">
        <is>
          <t>N/A</t>
        </is>
      </c>
      <c r="L5147" t="inlineStr">
        <is>
          <t>Điện Công Nghiệp, Bảo Trì Điện, AutoCAD, MS Project, Giải quyết vấn đề</t>
        </is>
      </c>
      <c r="M5147" t="inlineStr">
        <is>
          <t>Bonus, Healthcare Plan, Canteen</t>
        </is>
      </c>
      <c r="N5147" s="8">
        <f>HYPERLINK("https://www.vietnamworks.com/nhan-vien-ky-thuat-van-hanh-nha-may-2015863-jv","Xem chi tiết")</f>
        <v/>
      </c>
    </row>
    <row r="5148">
      <c r="B5148" s="9" t="n">
        <v>5146</v>
      </c>
      <c r="C5148" s="10" t="inlineStr">
        <is>
          <t>Customer Service Staff</t>
        </is>
      </c>
      <c r="D5148" s="10" t="inlineStr">
        <is>
          <t>Ken Logistics CO., LTD.</t>
        </is>
      </c>
      <c r="E5148" s="10" t="inlineStr">
        <is>
          <t>Thương lượng</t>
        </is>
      </c>
      <c r="F5148" s="10" t="inlineStr">
        <is>
          <t>Hà Nội</t>
        </is>
      </c>
      <c r="G5148" s="10" t="inlineStr">
        <is>
          <t>Mới Tốt Nghiệp</t>
        </is>
      </c>
      <c r="H5148" s="10" t="inlineStr">
        <is>
          <t>27/02/2026</t>
        </is>
      </c>
      <c r="I5148" s="10" t="inlineStr">
        <is>
          <t>29/03/2026</t>
        </is>
      </c>
      <c r="J5148" s="10" t="inlineStr">
        <is>
          <t>17/03/2026</t>
        </is>
      </c>
      <c r="K5148" s="10" t="inlineStr">
        <is>
          <t>N/A</t>
        </is>
      </c>
      <c r="L5148" s="10" t="inlineStr">
        <is>
          <t>Customer Service, Logistics, Forwarding, Trucking, Import-Export</t>
        </is>
      </c>
      <c r="M5148" s="10" t="inlineStr">
        <is>
          <t>Bonus, Paid Leave, Others</t>
        </is>
      </c>
      <c r="N5148" s="11">
        <f>HYPERLINK("https://www.vietnamworks.com/customer-service-staff--2015862-jv","Xem chi tiết")</f>
        <v/>
      </c>
      <c r="O5148" s="10" t="n"/>
    </row>
    <row r="5149">
      <c r="B5149" s="7" t="n">
        <v>5147</v>
      </c>
      <c r="C5149" t="inlineStr">
        <is>
          <t>Personal Assistant (Exellent in English)</t>
        </is>
      </c>
      <c r="D5149" t="inlineStr">
        <is>
          <t>Công Ty TNHH Carter &amp; Font Outsourcing</t>
        </is>
      </c>
      <c r="E5149" t="inlineStr">
        <is>
          <t>$$ 600-650 /tháng</t>
        </is>
      </c>
      <c r="F5149" t="inlineStr">
        <is>
          <t>Hồ Chí Minh</t>
        </is>
      </c>
      <c r="G5149" t="inlineStr">
        <is>
          <t>Nhân viên</t>
        </is>
      </c>
      <c r="H5149" t="inlineStr">
        <is>
          <t>27/02/2026</t>
        </is>
      </c>
      <c r="I5149" t="inlineStr">
        <is>
          <t>29/03/2026</t>
        </is>
      </c>
      <c r="J5149" t="inlineStr">
        <is>
          <t>17/03/2026</t>
        </is>
      </c>
      <c r="K5149" t="inlineStr">
        <is>
          <t>N/A</t>
        </is>
      </c>
      <c r="L5149" t="inlineStr">
        <is>
          <t>Sales Support, Customer Handling, Office Administration, Sales Administration</t>
        </is>
      </c>
      <c r="M5149" t="inlineStr">
        <is>
          <t>Bonus</t>
        </is>
      </c>
      <c r="N5149" s="8">
        <f>HYPERLINK("https://www.vietnamworks.com/personal-assistant-exellent-in-english--2015855-jv","Xem chi tiết")</f>
        <v/>
      </c>
    </row>
    <row r="5150">
      <c r="B5150" s="9" t="n">
        <v>5148</v>
      </c>
      <c r="C5150" s="10" t="inlineStr">
        <is>
          <t>Revit Engineer (CAD / BIM / MEP) Lương Upto 40 Triệu</t>
        </is>
      </c>
      <c r="D5150" s="10" t="inlineStr">
        <is>
          <t>Công ty TNHH Phần mềm HICAS</t>
        </is>
      </c>
      <c r="E5150" s="10" t="inlineStr">
        <is>
          <t>Tới 40tr ₫/tháng</t>
        </is>
      </c>
      <c r="F5150" s="10" t="inlineStr">
        <is>
          <t>Hà Nội, Hải Phòng</t>
        </is>
      </c>
      <c r="G5150" s="10" t="inlineStr">
        <is>
          <t>Nhân viên</t>
        </is>
      </c>
      <c r="H5150" s="10" t="inlineStr">
        <is>
          <t>27/02/2026</t>
        </is>
      </c>
      <c r="I5150" s="10" t="inlineStr">
        <is>
          <t>29/03/2026</t>
        </is>
      </c>
      <c r="J5150" s="10" t="inlineStr">
        <is>
          <t>17/03/2026</t>
        </is>
      </c>
      <c r="K5150" s="10" t="inlineStr">
        <is>
          <t>N/A</t>
        </is>
      </c>
      <c r="L5150" s="10" t="inlineStr">
        <is>
          <t>MEP, Kỹ Sư Kết Cấu, BIM, Cơ Khí, Xây Dựng</t>
        </is>
      </c>
      <c r="M5150" s="10" t="inlineStr">
        <is>
          <t>Bonus, Team Activities, Others</t>
        </is>
      </c>
      <c r="N5150" s="11">
        <f>HYPERLINK("https://www.vietnamworks.com/revit-engineer-cad-bim-mep-luong-upto-40-trieu-2015847-jv","Xem chi tiết")</f>
        <v/>
      </c>
      <c r="O5150" s="10" t="n"/>
    </row>
    <row r="5151">
      <c r="B5151" s="7" t="n">
        <v>5149</v>
      </c>
      <c r="C5151" t="inlineStr">
        <is>
          <t>Chuyên Viên Nhãn Hàng (ABM) - Quảng Ngãi</t>
        </is>
      </c>
      <c r="D5151" t="inlineStr">
        <is>
          <t>Công Ty Sữa Đậu Nành Việt Nam - Vinasoy</t>
        </is>
      </c>
      <c r="E5151" t="inlineStr">
        <is>
          <t>Thương lượng</t>
        </is>
      </c>
      <c r="F5151" t="inlineStr">
        <is>
          <t>Quảng Ngãi</t>
        </is>
      </c>
      <c r="G5151" t="inlineStr">
        <is>
          <t>Nhân viên</t>
        </is>
      </c>
      <c r="H5151" t="inlineStr">
        <is>
          <t>27/02/2026</t>
        </is>
      </c>
      <c r="I5151" t="inlineStr">
        <is>
          <t>29/03/2026</t>
        </is>
      </c>
      <c r="J5151" t="inlineStr">
        <is>
          <t>17/03/2026</t>
        </is>
      </c>
      <c r="K5151" t="inlineStr">
        <is>
          <t>N/A</t>
        </is>
      </c>
      <c r="L5151" t="inlineStr">
        <is>
          <t>Content Creation, Brand Activation, FMCG, Marketing, Truyền Thông</t>
        </is>
      </c>
      <c r="M5151" t="inlineStr">
        <is>
          <t>Bonus, Healthcare Plan, Paid Leave, Training, Mobile, Travel Opportunities, Kindergarten, Others</t>
        </is>
      </c>
      <c r="N5151" s="8">
        <f>HYPERLINK("https://www.vietnamworks.com/chuyen-vien-nhan-hang-abm-quang-ngai-2015851-jv","Xem chi tiết")</f>
        <v/>
      </c>
    </row>
    <row r="5152">
      <c r="B5152" s="9" t="n">
        <v>5150</v>
      </c>
      <c r="C5152" s="10" t="inlineStr">
        <is>
          <t>IT Infrastructure Engineer</t>
        </is>
      </c>
      <c r="D5152" s="10" t="inlineStr">
        <is>
          <t>LVHA Manufacturing Company Limited</t>
        </is>
      </c>
      <c r="E5152" s="10" t="inlineStr">
        <is>
          <t>Thương lượng</t>
        </is>
      </c>
      <c r="F5152" s="10" t="inlineStr">
        <is>
          <t>Đồng Nai</t>
        </is>
      </c>
      <c r="G5152" s="10" t="inlineStr">
        <is>
          <t>Nhân viên</t>
        </is>
      </c>
      <c r="H5152" s="10" t="inlineStr">
        <is>
          <t>27/02/2026</t>
        </is>
      </c>
      <c r="I5152" s="10" t="inlineStr">
        <is>
          <t>29/03/2026</t>
        </is>
      </c>
      <c r="J5152" s="10" t="inlineStr">
        <is>
          <t>17/03/2026</t>
        </is>
      </c>
      <c r="K5152" s="10" t="inlineStr">
        <is>
          <t>N/A</t>
        </is>
      </c>
      <c r="L5152" s="10" t="inlineStr">
        <is>
          <t>IT Infrastructure Management, IT Helpdesk, IT System Administration, Network, IT Infrastructure</t>
        </is>
      </c>
      <c r="M5152" s="10" t="inlineStr">
        <is>
          <t>Bonus, Healthcare Plan, Laptop</t>
        </is>
      </c>
      <c r="N5152" s="11">
        <f>HYPERLINK("https://www.vietnamworks.com/it-infrastructure-engineer--2015859-jv","Xem chi tiết")</f>
        <v/>
      </c>
      <c r="O5152" s="10" t="n"/>
    </row>
    <row r="5153">
      <c r="B5153" s="7" t="n">
        <v>5151</v>
      </c>
      <c r="C5153" t="inlineStr">
        <is>
          <t>Nhân Viên Marketing (Dược - TPCN)</t>
        </is>
      </c>
      <c r="D5153" t="inlineStr">
        <is>
          <t>TNHH MTV Eundan</t>
        </is>
      </c>
      <c r="E5153" t="inlineStr">
        <is>
          <t>20tr-30tr ₫/tháng</t>
        </is>
      </c>
      <c r="F5153" t="inlineStr">
        <is>
          <t>Hồ Chí Minh</t>
        </is>
      </c>
      <c r="G5153" t="inlineStr">
        <is>
          <t>Nhân viên</t>
        </is>
      </c>
      <c r="H5153" t="inlineStr">
        <is>
          <t>27/02/2026</t>
        </is>
      </c>
      <c r="I5153" t="inlineStr">
        <is>
          <t>29/03/2026</t>
        </is>
      </c>
      <c r="J5153" t="inlineStr">
        <is>
          <t>17/03/2026</t>
        </is>
      </c>
      <c r="K5153" t="inlineStr">
        <is>
          <t>N/A</t>
        </is>
      </c>
      <c r="L5153" t="inlineStr">
        <is>
          <t>Marketing Strategy, Content Creation, Social Media Management, Design Software, Teamwork</t>
        </is>
      </c>
      <c r="M5153" t="inlineStr">
        <is>
          <t>Bonus, Healthcare Plan, Training, Team Activities, Canteen, Others</t>
        </is>
      </c>
      <c r="N5153" s="8">
        <f>HYPERLINK("https://www.vietnamworks.com/nhan-vien-marketing-duoc-tpcn-2015871-jv","Xem chi tiết")</f>
        <v/>
      </c>
    </row>
    <row r="5154">
      <c r="B5154" s="9" t="n">
        <v>5152</v>
      </c>
      <c r="C5154" s="10" t="inlineStr">
        <is>
          <t>Điều Phối Viên Marketing - Marketing Coordinator</t>
        </is>
      </c>
      <c r="D5154" s="10" t="inlineStr">
        <is>
          <t>Vietnamworks' Client</t>
        </is>
      </c>
      <c r="E5154" s="10" t="inlineStr">
        <is>
          <t>14tr-20tr ₫/tháng</t>
        </is>
      </c>
      <c r="F5154" s="10" t="inlineStr">
        <is>
          <t>Hồ Chí Minh</t>
        </is>
      </c>
      <c r="G5154" s="10" t="inlineStr">
        <is>
          <t>Nhân viên</t>
        </is>
      </c>
      <c r="H5154" s="10" t="inlineStr">
        <is>
          <t>27/02/2026</t>
        </is>
      </c>
      <c r="I5154" s="10" t="inlineStr">
        <is>
          <t>29/03/2026</t>
        </is>
      </c>
      <c r="J5154" s="10" t="inlineStr">
        <is>
          <t>17/03/2026</t>
        </is>
      </c>
      <c r="K5154" s="10" t="inlineStr">
        <is>
          <t>N/A</t>
        </is>
      </c>
      <c r="L5154" s="10" t="inlineStr">
        <is>
          <t>Planning Marketing, Budget Management, Data Analysis, Project Management, Communication</t>
        </is>
      </c>
      <c r="M5154" s="10" t="inlineStr">
        <is>
          <t>Bonus</t>
        </is>
      </c>
      <c r="N5154" s="11">
        <f>HYPERLINK("https://www.vietnamworks.com/dieu-phoi-vien-marketing-marketing-coordinator-2015860-jv","Xem chi tiết")</f>
        <v/>
      </c>
      <c r="O5154" s="10" t="n"/>
    </row>
    <row r="5155">
      <c r="B5155" s="7" t="n">
        <v>5153</v>
      </c>
      <c r="C5155" t="inlineStr">
        <is>
          <t>Purchasing Staff</t>
        </is>
      </c>
      <c r="D5155" t="inlineStr">
        <is>
          <t>Enkei Vietnam Co.,Ltd</t>
        </is>
      </c>
      <c r="E5155" t="inlineStr">
        <is>
          <t>Thương lượng</t>
        </is>
      </c>
      <c r="F5155" t="inlineStr">
        <is>
          <t>Hà Nội</t>
        </is>
      </c>
      <c r="G5155" t="inlineStr">
        <is>
          <t>Mới Tốt Nghiệp</t>
        </is>
      </c>
      <c r="H5155" t="inlineStr">
        <is>
          <t>27/02/2026</t>
        </is>
      </c>
      <c r="I5155" t="inlineStr">
        <is>
          <t>29/03/2026</t>
        </is>
      </c>
      <c r="J5155" t="inlineStr">
        <is>
          <t>17/03/2026</t>
        </is>
      </c>
      <c r="K5155" t="inlineStr">
        <is>
          <t>N/A</t>
        </is>
      </c>
      <c r="L5155" t="inlineStr">
        <is>
          <t>Purchasing Expertise, Import – Export, Logistics, Purchase Management, Purchasing</t>
        </is>
      </c>
      <c r="M5155" t="inlineStr">
        <is>
          <t>Bonus, Healthcare Plan, Laptop, Others</t>
        </is>
      </c>
      <c r="N5155" s="8">
        <f>HYPERLINK("https://www.vietnamworks.com/purchasing-staff-2015864-jv","Xem chi tiết")</f>
        <v/>
      </c>
    </row>
    <row r="5156">
      <c r="B5156" s="9" t="n">
        <v>5154</v>
      </c>
      <c r="C5156" s="10" t="inlineStr">
        <is>
          <t>Chuyên Viên Phát Triển Khách Hàng (CRM - Marketing Kênh Y Tế)</t>
        </is>
      </c>
      <c r="D5156" s="10" t="inlineStr">
        <is>
          <t>Công Ty Cổ Phần Sữa Việt Nam (Vinamilk)</t>
        </is>
      </c>
      <c r="E5156" s="10" t="inlineStr">
        <is>
          <t>Thương lượng</t>
        </is>
      </c>
      <c r="F5156" s="10" t="inlineStr">
        <is>
          <t>Hồ Chí Minh</t>
        </is>
      </c>
      <c r="G5156" s="10" t="inlineStr">
        <is>
          <t>Nhân viên</t>
        </is>
      </c>
      <c r="H5156" s="10" t="inlineStr">
        <is>
          <t>27/02/2026</t>
        </is>
      </c>
      <c r="I5156" s="10" t="inlineStr">
        <is>
          <t>29/03/2026</t>
        </is>
      </c>
      <c r="J5156" s="10" t="inlineStr">
        <is>
          <t>17/03/2026</t>
        </is>
      </c>
      <c r="K5156" s="10" t="inlineStr">
        <is>
          <t>N/A</t>
        </is>
      </c>
      <c r="L5156" s="10" t="inlineStr">
        <is>
          <t>Giao Tiếp, Lập Kế Hoạch Marketing, Phát Triển Khách Hàng, Quản Trị Khách Hàng, Telesales Marketing</t>
        </is>
      </c>
      <c r="M5156" s="10" t="inlineStr">
        <is>
          <t>Bonus, Canteen</t>
        </is>
      </c>
      <c r="N5156" s="11">
        <f>HYPERLINK("https://www.vietnamworks.com/chuyen-vien-phat-trien-khach-hang-crm-marketing-kenh-y-te-2015848-jv","Xem chi tiết")</f>
        <v/>
      </c>
      <c r="O5156" s="10" t="n"/>
    </row>
    <row r="5157">
      <c r="B5157" s="7" t="n">
        <v>5155</v>
      </c>
      <c r="C5157" t="inlineStr">
        <is>
          <t>Senior Inventory Control (Working in Hai Phong)</t>
        </is>
      </c>
      <c r="D5157" t="inlineStr">
        <is>
          <t>VINFAST TRADING AND PRODUCTION JSC</t>
        </is>
      </c>
      <c r="E5157" t="inlineStr">
        <is>
          <t>Thương lượng</t>
        </is>
      </c>
      <c r="F5157" t="inlineStr">
        <is>
          <t>Hải Phòng</t>
        </is>
      </c>
      <c r="G5157" t="inlineStr">
        <is>
          <t>Nhân viên</t>
        </is>
      </c>
      <c r="H5157" t="inlineStr">
        <is>
          <t>27/02/2026</t>
        </is>
      </c>
      <c r="I5157" t="inlineStr">
        <is>
          <t>29/03/2026</t>
        </is>
      </c>
      <c r="J5157" t="inlineStr">
        <is>
          <t>17/03/2026</t>
        </is>
      </c>
      <c r="K5157" t="inlineStr">
        <is>
          <t>N/A</t>
        </is>
      </c>
      <c r="L5157" t="inlineStr">
        <is>
          <t>Inventory System, Inventory Control, Logistic &amp; Operation, Logistic Management, Warehouse Management</t>
        </is>
      </c>
      <c r="M5157" t="inlineStr">
        <is>
          <t>Bonus, Healthcare Plan, Others</t>
        </is>
      </c>
      <c r="N5157" s="8">
        <f>HYPERLINK("https://www.vietnamworks.com/senior-inventory-control-working-in-hai-phong-2015856-jv","Xem chi tiết")</f>
        <v/>
      </c>
    </row>
    <row r="5158">
      <c r="B5158" s="9" t="n">
        <v>5156</v>
      </c>
      <c r="C5158" s="10" t="inlineStr">
        <is>
          <t>Giám Đốc Kinh Doanh Hệ Thống Khách Sạn Nesta</t>
        </is>
      </c>
      <c r="D5158" s="10" t="inlineStr">
        <is>
          <t>NESTA HOTEL GROUP</t>
        </is>
      </c>
      <c r="E5158" s="10" t="inlineStr">
        <is>
          <t>Thương lượng</t>
        </is>
      </c>
      <c r="F5158" s="10" t="inlineStr">
        <is>
          <t>Hà Nội</t>
        </is>
      </c>
      <c r="G5158" s="10" t="inlineStr">
        <is>
          <t>Giám Đốc và Cấp Cao Hơn</t>
        </is>
      </c>
      <c r="H5158" s="10" t="inlineStr">
        <is>
          <t>27/02/2026</t>
        </is>
      </c>
      <c r="I5158" s="10" t="inlineStr">
        <is>
          <t>29/03/2026</t>
        </is>
      </c>
      <c r="J5158" s="10" t="inlineStr">
        <is>
          <t>17/03/2026</t>
        </is>
      </c>
      <c r="K5158" s="10" t="inlineStr">
        <is>
          <t>N/A</t>
        </is>
      </c>
      <c r="L5158" s="10" t="inlineStr">
        <is>
          <t>Quản Trị Khách Sạn, Kinh Doanh, Du lịch, Hospitality, Business Development</t>
        </is>
      </c>
      <c r="M5158" s="10" t="inlineStr">
        <is>
          <t>Bonus, Healthcare Plan, Laptop</t>
        </is>
      </c>
      <c r="N5158" s="11">
        <f>HYPERLINK("https://www.vietnamworks.com/giam-doc-kinh-doanh-he-thong-khach-san-nesta-2015866-jv","Xem chi tiết")</f>
        <v/>
      </c>
      <c r="O5158" s="10" t="n"/>
    </row>
    <row r="5159">
      <c r="B5159" s="7" t="n">
        <v>5157</v>
      </c>
      <c r="C5159" t="inlineStr">
        <is>
          <t>Chuyên Viên Sáng Tạo Nội Dung - Content Creator</t>
        </is>
      </c>
      <c r="D5159" t="inlineStr">
        <is>
          <t>Vietnamworks' Client</t>
        </is>
      </c>
      <c r="E5159" t="inlineStr">
        <is>
          <t>12tr-18tr ₫/tháng</t>
        </is>
      </c>
      <c r="F5159" t="inlineStr">
        <is>
          <t>Hồ Chí Minh</t>
        </is>
      </c>
      <c r="G5159" t="inlineStr">
        <is>
          <t>Nhân viên</t>
        </is>
      </c>
      <c r="H5159" t="inlineStr">
        <is>
          <t>27/02/2026</t>
        </is>
      </c>
      <c r="I5159" t="inlineStr">
        <is>
          <t>29/03/2026</t>
        </is>
      </c>
      <c r="J5159" t="inlineStr">
        <is>
          <t>17/03/2026</t>
        </is>
      </c>
      <c r="K5159" t="inlineStr">
        <is>
          <t>N/A</t>
        </is>
      </c>
      <c r="L5159" t="inlineStr">
        <is>
          <t>Social Media Development, SEO, Sáng Tạo Nội Dung, Content Creation, Content</t>
        </is>
      </c>
      <c r="M5159" t="inlineStr">
        <is>
          <t>Bonus</t>
        </is>
      </c>
      <c r="N5159" s="8">
        <f>HYPERLINK("https://www.vietnamworks.com/chuyen-vien-sang-tao-noi-dung-content-creator--2015869-jv","Xem chi tiết")</f>
        <v/>
      </c>
    </row>
    <row r="5160">
      <c r="B5160" s="9" t="n">
        <v>5158</v>
      </c>
      <c r="C5160" s="10" t="inlineStr">
        <is>
          <t>Trưởng Phòng Phụ Trách Tổ Chức Hoạch Định và Phân Tích Tài Chính (FP&amp;A)</t>
        </is>
      </c>
      <c r="D5160" s="10" t="inlineStr">
        <is>
          <t>Công Ty Cổ Phần Tổng Công Ty Nova Service</t>
        </is>
      </c>
      <c r="E5160" s="10" t="inlineStr">
        <is>
          <t>$$ 1,500-2,000 /tháng</t>
        </is>
      </c>
      <c r="F5160" s="10" t="inlineStr">
        <is>
          <t>Hồ Chí Minh</t>
        </is>
      </c>
      <c r="G5160" s="10" t="inlineStr">
        <is>
          <t>Trưởng phòng</t>
        </is>
      </c>
      <c r="H5160" s="10" t="inlineStr">
        <is>
          <t>27/02/2026</t>
        </is>
      </c>
      <c r="I5160" s="10" t="inlineStr">
        <is>
          <t>29/03/2026</t>
        </is>
      </c>
      <c r="J5160" s="10" t="inlineStr">
        <is>
          <t>17/03/2026</t>
        </is>
      </c>
      <c r="K5160" s="10" t="inlineStr">
        <is>
          <t>N/A</t>
        </is>
      </c>
      <c r="L5160" s="10" t="inlineStr">
        <is>
          <t>Fp&amp;A, Fp&amp;A Experience, Finance Planning, Finance/Investment/Business Development, Financial Operations</t>
        </is>
      </c>
      <c r="M5160" s="10" t="inlineStr">
        <is>
          <t>Bonus, Paid Leave, Training</t>
        </is>
      </c>
      <c r="N5160" s="11">
        <f>HYPERLINK("https://www.vietnamworks.com/truong-phong-phu-trach-to-chuc-hoach-dinh-va-phan-tich-tai-chinh-fp-a-2015870-jv","Xem chi tiết")</f>
        <v/>
      </c>
      <c r="O5160" s="10" t="n"/>
    </row>
    <row r="5161">
      <c r="B5161" s="7" t="n">
        <v>5159</v>
      </c>
      <c r="C5161" t="inlineStr">
        <is>
          <t>Chuyên Viên Tổ Chức Sự Kiện Marketing - Marketing Event Planner</t>
        </is>
      </c>
      <c r="D5161" t="inlineStr">
        <is>
          <t>Vietnamworks' Client</t>
        </is>
      </c>
      <c r="E5161" t="inlineStr">
        <is>
          <t>15tr-22tr ₫/tháng</t>
        </is>
      </c>
      <c r="F5161" t="inlineStr">
        <is>
          <t>Hồ Chí Minh</t>
        </is>
      </c>
      <c r="G5161" t="inlineStr">
        <is>
          <t>Nhân viên</t>
        </is>
      </c>
      <c r="H5161" t="inlineStr">
        <is>
          <t>27/02/2026</t>
        </is>
      </c>
      <c r="I5161" t="inlineStr">
        <is>
          <t>29/03/2026</t>
        </is>
      </c>
      <c r="J5161" t="inlineStr">
        <is>
          <t>17/03/2026</t>
        </is>
      </c>
      <c r="K5161" t="inlineStr">
        <is>
          <t>N/A</t>
        </is>
      </c>
      <c r="L5161" t="inlineStr">
        <is>
          <t>Event Planning, Budget Management, Vendor Management, Creative Thinking, Communication Skills</t>
        </is>
      </c>
      <c r="M5161" t="inlineStr">
        <is>
          <t>Bonus</t>
        </is>
      </c>
      <c r="N5161" s="8">
        <f>HYPERLINK("https://www.vietnamworks.com/chuyen-vien-to-chuc-su-kien-marketing-marketing-event-planner--2015865-jv","Xem chi tiết")</f>
        <v/>
      </c>
    </row>
    <row r="5162">
      <c r="B5162" s="9" t="n">
        <v>5160</v>
      </c>
      <c r="C5162" s="10" t="inlineStr">
        <is>
          <t>Sales Executive - Chuyên Viên Kinh Doanh (Miền Tây)</t>
        </is>
      </c>
      <c r="D5162" s="10" t="inlineStr">
        <is>
          <t>Công Ty TNHH Ariston Việt Nam</t>
        </is>
      </c>
      <c r="E5162" s="10" t="inlineStr">
        <is>
          <t>Thương lượng</t>
        </is>
      </c>
      <c r="F5162" s="10" t="inlineStr">
        <is>
          <t>Cần Thơ</t>
        </is>
      </c>
      <c r="G5162" s="10" t="inlineStr">
        <is>
          <t>Nhân viên</t>
        </is>
      </c>
      <c r="H5162" s="10" t="inlineStr">
        <is>
          <t>27/02/2026</t>
        </is>
      </c>
      <c r="I5162" s="10" t="inlineStr">
        <is>
          <t>29/03/2026</t>
        </is>
      </c>
      <c r="J5162" s="10" t="inlineStr">
        <is>
          <t>17/03/2026</t>
        </is>
      </c>
      <c r="K5162" s="10" t="inlineStr">
        <is>
          <t>N/A</t>
        </is>
      </c>
      <c r="L5162" s="10" t="inlineStr">
        <is>
          <t>Collaboration, Data Analysis, Negotiation Skills, Sales manager</t>
        </is>
      </c>
      <c r="M5162" s="10" t="inlineStr">
        <is>
          <t>Bonus, Healthcare Plan, Team Activities</t>
        </is>
      </c>
      <c r="N5162" s="11">
        <f>HYPERLINK("https://www.vietnamworks.com/sales-executive-chuyen-vien-kinh-doanh-mien-tay-2015872-jv","Xem chi tiết")</f>
        <v/>
      </c>
      <c r="O5162" s="10" t="n"/>
    </row>
    <row r="5163">
      <c r="B5163" s="7" t="n">
        <v>5161</v>
      </c>
      <c r="C5163" t="inlineStr">
        <is>
          <t>Trình Dược Viên (Toàn Quốc)</t>
        </is>
      </c>
      <c r="D5163" t="inlineStr">
        <is>
          <t>Hetero Labs Limited</t>
        </is>
      </c>
      <c r="E5163" t="inlineStr">
        <is>
          <t>10tr-18tr ₫/tháng</t>
        </is>
      </c>
      <c r="F5163" t="inlineStr">
        <is>
          <t>Hồ Chí Minh</t>
        </is>
      </c>
      <c r="G5163" t="inlineStr">
        <is>
          <t>Nhân viên</t>
        </is>
      </c>
      <c r="H5163" t="inlineStr">
        <is>
          <t>27/02/2026</t>
        </is>
      </c>
      <c r="I5163" t="inlineStr">
        <is>
          <t>29/03/2026</t>
        </is>
      </c>
      <c r="J5163" t="inlineStr">
        <is>
          <t>17/03/2026</t>
        </is>
      </c>
      <c r="K5163" t="inlineStr">
        <is>
          <t>N/A</t>
        </is>
      </c>
      <c r="L5163" t="inlineStr">
        <is>
          <t>Pharmacy, Dược, Trình Dược Viên, Training, pharmaceutical</t>
        </is>
      </c>
      <c r="M5163" t="inlineStr">
        <is>
          <t>Bonus, Healthcare Plan, Team Activities</t>
        </is>
      </c>
      <c r="N5163" s="8">
        <f>HYPERLINK("https://www.vietnamworks.com/trinh-duoc-vien-toan-quoc-2015874-jv","Xem chi tiết")</f>
        <v/>
      </c>
    </row>
    <row r="5164">
      <c r="B5164" s="9" t="n">
        <v>5162</v>
      </c>
      <c r="C5164" s="10" t="inlineStr">
        <is>
          <t>Sale Admin/ Kế Toán Bán Hàng</t>
        </is>
      </c>
      <c r="D5164" s="10" t="inlineStr">
        <is>
          <t>Công Ty TNHH Thương Mại Agrimex Việt Nam</t>
        </is>
      </c>
      <c r="E5164" s="10" t="inlineStr">
        <is>
          <t>9tr-12tr ₫/tháng</t>
        </is>
      </c>
      <c r="F5164" s="10" t="inlineStr">
        <is>
          <t>Hà Nội</t>
        </is>
      </c>
      <c r="G5164" s="10" t="inlineStr">
        <is>
          <t>Nhân viên</t>
        </is>
      </c>
      <c r="H5164" s="10" t="inlineStr">
        <is>
          <t>27/02/2026</t>
        </is>
      </c>
      <c r="I5164" s="10" t="inlineStr">
        <is>
          <t>29/03/2026</t>
        </is>
      </c>
      <c r="J5164" s="10" t="inlineStr">
        <is>
          <t>17/03/2026</t>
        </is>
      </c>
      <c r="K5164" s="10" t="inlineStr">
        <is>
          <t>N/A</t>
        </is>
      </c>
      <c r="L5164" s="10" t="inlineStr">
        <is>
          <t>Kế Toán, Quản Trị Kinh Doanh, Giao Tiếp, Đàm Phán, Làm Việc Nhóm</t>
        </is>
      </c>
      <c r="M5164" s="10" t="inlineStr">
        <is>
          <t>Bonus, Healthcare Plan, Paid Leave, Others</t>
        </is>
      </c>
      <c r="N5164" s="11">
        <f>HYPERLINK("https://www.vietnamworks.com/sale-admin-ke-toan-ban-hang-2015910-jv","Xem chi tiết")</f>
        <v/>
      </c>
      <c r="O5164" s="10" t="n"/>
    </row>
    <row r="5165">
      <c r="B5165" s="7" t="n">
        <v>5163</v>
      </c>
      <c r="C5165" t="inlineStr">
        <is>
          <t>Nhân Viên Truyền Thông kiêm Trợ Lý</t>
        </is>
      </c>
      <c r="D5165" t="inlineStr">
        <is>
          <t>Công Ty TNHH Mega D&amp;C</t>
        </is>
      </c>
      <c r="E5165" t="inlineStr">
        <is>
          <t>Thương lượng</t>
        </is>
      </c>
      <c r="F5165" t="inlineStr">
        <is>
          <t>Hồ Chí Minh</t>
        </is>
      </c>
      <c r="G5165" t="inlineStr">
        <is>
          <t>Nhân viên</t>
        </is>
      </c>
      <c r="H5165" t="inlineStr">
        <is>
          <t>27/02/2026</t>
        </is>
      </c>
      <c r="I5165" t="inlineStr">
        <is>
          <t>29/03/2026</t>
        </is>
      </c>
      <c r="J5165" t="inlineStr">
        <is>
          <t>17/03/2026</t>
        </is>
      </c>
      <c r="K5165" t="inlineStr">
        <is>
          <t>N/A</t>
        </is>
      </c>
      <c r="L5165" t="inlineStr">
        <is>
          <t>Photoshop, illustrator, Quản lý Website, Thiết Kế, Truyền Thông</t>
        </is>
      </c>
      <c r="M5165" t="inlineStr">
        <is>
          <t>Bonus, Healthcare Plan, Paid Leave, Others</t>
        </is>
      </c>
      <c r="N5165" s="8">
        <f>HYPERLINK("https://www.vietnamworks.com/nhan-vien-truyen-thong-kiem-tro-ly-2015894-jv","Xem chi tiết")</f>
        <v/>
      </c>
    </row>
    <row r="5166">
      <c r="B5166" s="9" t="n">
        <v>5164</v>
      </c>
      <c r="C5166" s="10" t="inlineStr">
        <is>
          <t>Overseas Operation Management Trainee (Salary Starting from USD 2,000)</t>
        </is>
      </c>
      <c r="D5166" s="10" t="inlineStr">
        <is>
          <t>STINGRAY MEDIA CREATION SDN. BHD.</t>
        </is>
      </c>
      <c r="E5166" s="10" t="inlineStr">
        <is>
          <t>Từ $ 2,000 /tháng</t>
        </is>
      </c>
      <c r="F5166" s="10" t="inlineStr">
        <is>
          <t>Hồ Chí Minh</t>
        </is>
      </c>
      <c r="G5166" s="10" t="inlineStr">
        <is>
          <t>Mới Tốt Nghiệp</t>
        </is>
      </c>
      <c r="H5166" s="10" t="inlineStr">
        <is>
          <t>27/02/2026</t>
        </is>
      </c>
      <c r="I5166" s="10" t="inlineStr">
        <is>
          <t>29/03/2026</t>
        </is>
      </c>
      <c r="J5166" s="10" t="inlineStr">
        <is>
          <t>17/03/2026</t>
        </is>
      </c>
      <c r="K5166" s="10" t="inlineStr">
        <is>
          <t>N/A</t>
        </is>
      </c>
      <c r="L5166" s="10" t="inlineStr">
        <is>
          <t>Market Analysis, Digital Marketing, Data Analysis, Collaboration</t>
        </is>
      </c>
      <c r="M5166" s="10" t="inlineStr">
        <is>
          <t>Bonus, Paid Leave, Others</t>
        </is>
      </c>
      <c r="N5166" s="11">
        <f>HYPERLINK("https://www.vietnamworks.com/overseas-operation-management-trainee-salary-starting-from-usd-2000-2015884-jv","Xem chi tiết")</f>
        <v/>
      </c>
      <c r="O5166" s="10" t="n"/>
    </row>
    <row r="5167">
      <c r="B5167" s="7" t="n">
        <v>5165</v>
      </c>
      <c r="C5167" t="inlineStr">
        <is>
          <t>Chuyên Viên Kế Toán Giá Thành (Thu Nhập Từ 15-20 Triệu)</t>
        </is>
      </c>
      <c r="D5167" t="inlineStr">
        <is>
          <t>Công Ty Cổ Phần Tập Đoàn 5S Fashion</t>
        </is>
      </c>
      <c r="E5167" t="inlineStr">
        <is>
          <t>15tr-20tr ₫/tháng</t>
        </is>
      </c>
      <c r="F5167" t="inlineStr">
        <is>
          <t>Hà Nội</t>
        </is>
      </c>
      <c r="G5167" t="inlineStr">
        <is>
          <t>Nhân viên</t>
        </is>
      </c>
      <c r="H5167" t="inlineStr">
        <is>
          <t>27/02/2026</t>
        </is>
      </c>
      <c r="I5167" t="inlineStr">
        <is>
          <t>29/03/2026</t>
        </is>
      </c>
      <c r="J5167" t="inlineStr">
        <is>
          <t>17/03/2026</t>
        </is>
      </c>
      <c r="K5167" t="inlineStr">
        <is>
          <t>N/A</t>
        </is>
      </c>
      <c r="L5167" t="inlineStr">
        <is>
          <t>Làm Việc Nhóm, Kế Toán Giá Thành, Quản trị tồn kho, Tối ưu hóa chi phí, Phần mềm Fast</t>
        </is>
      </c>
      <c r="M5167" t="inlineStr">
        <is>
          <t>Bonus, Healthcare Plan, Training, Team Activities, Others</t>
        </is>
      </c>
      <c r="N5167" s="8">
        <f>HYPERLINK("https://www.vietnamworks.com/chuyen-vien-ke-toan-gia-thanh-thu-nhap-tu-15-20-trieu-2015878-jv","Xem chi tiết")</f>
        <v/>
      </c>
    </row>
    <row r="5168">
      <c r="B5168" s="9" t="n">
        <v>5166</v>
      </c>
      <c r="C5168" s="10" t="inlineStr">
        <is>
          <t>Phòng Logistic - Bộ Phận Kế Hoạch</t>
        </is>
      </c>
      <c r="D5168" s="10" t="inlineStr">
        <is>
          <t>Công Ty TNHH Thương Mại Agrimex Việt Nam</t>
        </is>
      </c>
      <c r="E5168" s="10" t="inlineStr">
        <is>
          <t>Thương lượng</t>
        </is>
      </c>
      <c r="F5168" s="10" t="inlineStr">
        <is>
          <t>Hà Nội</t>
        </is>
      </c>
      <c r="G5168" s="10" t="inlineStr">
        <is>
          <t>Nhân viên</t>
        </is>
      </c>
      <c r="H5168" s="10" t="inlineStr">
        <is>
          <t>27/02/2026</t>
        </is>
      </c>
      <c r="I5168" s="10" t="inlineStr">
        <is>
          <t>29/03/2026</t>
        </is>
      </c>
      <c r="J5168" s="10" t="inlineStr">
        <is>
          <t>17/03/2026</t>
        </is>
      </c>
      <c r="K5168" s="10" t="inlineStr">
        <is>
          <t>N/A</t>
        </is>
      </c>
      <c r="L5168" s="10" t="inlineStr">
        <is>
          <t>Kỹ năng Excel, Lập Báo Cáo, Kế Hoạch Giao Hàng, Office Software, Soạn Thảo Văn Bản</t>
        </is>
      </c>
      <c r="M5168" s="10" t="inlineStr">
        <is>
          <t>Bonus, Healthcare Plan, Paid Leave, Training, Others</t>
        </is>
      </c>
      <c r="N5168" s="11">
        <f>HYPERLINK("https://www.vietnamworks.com/phong-logistic-bo-phan-ke-hoach-2015893-jv","Xem chi tiết")</f>
        <v/>
      </c>
      <c r="O5168" s="10" t="n"/>
    </row>
    <row r="5169">
      <c r="B5169" s="7" t="n">
        <v>5167</v>
      </c>
      <c r="C5169" t="inlineStr">
        <is>
          <t>Detailing Engineer (Steel Structure)</t>
        </is>
      </c>
      <c r="D5169" t="inlineStr">
        <is>
          <t>Zamil Steel Vietnam</t>
        </is>
      </c>
      <c r="E5169" t="inlineStr">
        <is>
          <t>Thương lượng</t>
        </is>
      </c>
      <c r="F5169" t="inlineStr">
        <is>
          <t>Hà Nội</t>
        </is>
      </c>
      <c r="G5169" t="inlineStr">
        <is>
          <t>Nhân viên</t>
        </is>
      </c>
      <c r="H5169" t="inlineStr">
        <is>
          <t>27/02/2026</t>
        </is>
      </c>
      <c r="I5169" t="inlineStr">
        <is>
          <t>29/03/2026</t>
        </is>
      </c>
      <c r="J5169" t="inlineStr">
        <is>
          <t>17/03/2026</t>
        </is>
      </c>
      <c r="K5169" t="inlineStr">
        <is>
          <t>N/A</t>
        </is>
      </c>
      <c r="L5169" t="inlineStr">
        <is>
          <t>AutoCAD, Erection Drawing, Mechanical Engineering, BOM Management, Autocad Structural Detailing</t>
        </is>
      </c>
      <c r="M5169" t="inlineStr">
        <is>
          <t>Bonus, Training</t>
        </is>
      </c>
      <c r="N5169" s="8">
        <f>HYPERLINK("https://www.vietnamworks.com/detailing-engineer-steel-structure--2015876-jv","Xem chi tiết")</f>
        <v/>
      </c>
    </row>
    <row r="5170">
      <c r="B5170" s="9" t="n">
        <v>5168</v>
      </c>
      <c r="C5170" s="10" t="inlineStr">
        <is>
          <t>Nhân Viên Kế Toán Tổng Hợp</t>
        </is>
      </c>
      <c r="D5170" s="10" t="inlineStr">
        <is>
          <t>CÔNG TY CỔ PHẦN XÂY DỰNG CÔNG TRÌNH Á CHÂU</t>
        </is>
      </c>
      <c r="E5170" s="10" t="inlineStr">
        <is>
          <t>13tr-15tr ₫/tháng</t>
        </is>
      </c>
      <c r="F5170" s="10" t="inlineStr">
        <is>
          <t>Hồ Chí Minh</t>
        </is>
      </c>
      <c r="G5170" s="10" t="inlineStr">
        <is>
          <t>Nhân viên</t>
        </is>
      </c>
      <c r="H5170" s="10" t="inlineStr">
        <is>
          <t>27/02/2026</t>
        </is>
      </c>
      <c r="I5170" s="10" t="inlineStr">
        <is>
          <t>29/03/2026</t>
        </is>
      </c>
      <c r="J5170" s="10" t="inlineStr">
        <is>
          <t>17/03/2026</t>
        </is>
      </c>
      <c r="K5170" s="10" t="inlineStr">
        <is>
          <t>N/A</t>
        </is>
      </c>
      <c r="L5170" s="10" t="inlineStr">
        <is>
          <t>Kế Toán Tổng Hợp, Phần mềm kế toán Misa, Tin Học Văn Phòng, Quản Lý Công Nợ, Giao Tiếp</t>
        </is>
      </c>
      <c r="M5170" s="10" t="inlineStr">
        <is>
          <t>Bonus, Healthcare Plan, Paid Leave, Laptop, Others</t>
        </is>
      </c>
      <c r="N5170" s="11">
        <f>HYPERLINK("https://www.vietnamworks.com/nhan-vien-ke-toan-tong-hop-2015888-jv","Xem chi tiết")</f>
        <v/>
      </c>
      <c r="O5170" s="10" t="n"/>
    </row>
    <row r="5171">
      <c r="B5171" s="7" t="n">
        <v>5169</v>
      </c>
      <c r="C5171" t="inlineStr">
        <is>
          <t>Phụ Trách Bán Hàng Sơn Công Nghiệp</t>
        </is>
      </c>
      <c r="D5171" t="inlineStr">
        <is>
          <t>Công Ty TNHH Sơn Kansai Việt Nam</t>
        </is>
      </c>
      <c r="E5171" t="inlineStr">
        <is>
          <t>Tới 50tr ₫/tháng</t>
        </is>
      </c>
      <c r="F5171" t="inlineStr">
        <is>
          <t>Hưng Yên</t>
        </is>
      </c>
      <c r="G5171" t="inlineStr">
        <is>
          <t>Nhân viên</t>
        </is>
      </c>
      <c r="H5171" t="inlineStr">
        <is>
          <t>27/02/2026</t>
        </is>
      </c>
      <c r="I5171" t="inlineStr">
        <is>
          <t>29/03/2026</t>
        </is>
      </c>
      <c r="J5171" t="inlineStr">
        <is>
          <t>17/03/2026</t>
        </is>
      </c>
      <c r="K5171" t="inlineStr">
        <is>
          <t>N/A</t>
        </is>
      </c>
      <c r="L5171" t="inlineStr">
        <is>
          <t>Kinh Doanh, Dự án, Kinh Nghiệm Vật Liệu Xây Dựng, Sơn, B2B Sale</t>
        </is>
      </c>
      <c r="M5171" t="inlineStr">
        <is>
          <t>Healthcare Plan, Paid Leave, Transportation</t>
        </is>
      </c>
      <c r="N5171" s="8">
        <f>HYPERLINK("https://www.vietnamworks.com/phu-trach-ban-hang-son-cong-nghiep-2015877-jv","Xem chi tiết")</f>
        <v/>
      </c>
    </row>
    <row r="5172">
      <c r="B5172" s="9" t="n">
        <v>5170</v>
      </c>
      <c r="C5172" s="10" t="inlineStr">
        <is>
          <t>Sales Admin</t>
        </is>
      </c>
      <c r="D5172" s="10" t="inlineStr">
        <is>
          <t>Welcron Global Vietnam Jst Company</t>
        </is>
      </c>
      <c r="E5172" s="10" t="inlineStr">
        <is>
          <t>Thương lượng</t>
        </is>
      </c>
      <c r="F5172" s="10" t="inlineStr">
        <is>
          <t>Đồng Nai</t>
        </is>
      </c>
      <c r="G5172" s="10" t="inlineStr">
        <is>
          <t>Nhân viên</t>
        </is>
      </c>
      <c r="H5172" s="10" t="inlineStr">
        <is>
          <t>27/02/2026</t>
        </is>
      </c>
      <c r="I5172" s="10" t="inlineStr">
        <is>
          <t>29/03/2026</t>
        </is>
      </c>
      <c r="J5172" s="10" t="inlineStr">
        <is>
          <t>17/03/2026</t>
        </is>
      </c>
      <c r="K5172" s="10" t="inlineStr">
        <is>
          <t>N/A</t>
        </is>
      </c>
      <c r="L5172" s="10" t="inlineStr">
        <is>
          <t>Giao Tiếp Tiếng Anh, Quản Lý Đơn Hàng, Triển Khai Kế Hoạch, Giải quyết vấn đề, Phát Triển Mẫu</t>
        </is>
      </c>
      <c r="M5172" s="10" t="inlineStr">
        <is>
          <t>Bonus, Healthcare Plan, Others</t>
        </is>
      </c>
      <c r="N5172" s="11">
        <f>HYPERLINK("https://www.vietnamworks.com/sales-admin-2015890-jv","Xem chi tiết")</f>
        <v/>
      </c>
      <c r="O5172" s="10" t="n"/>
    </row>
    <row r="5173">
      <c r="B5173" s="7" t="n">
        <v>5171</v>
      </c>
      <c r="C5173" t="inlineStr">
        <is>
          <t>Kế Toán</t>
        </is>
      </c>
      <c r="D5173" t="inlineStr">
        <is>
          <t>Công Ty TNHH Đầu Tư Và Sản Xuất Đại Việt - Daveco</t>
        </is>
      </c>
      <c r="E5173" t="inlineStr">
        <is>
          <t>10tr-15tr ₫/tháng</t>
        </is>
      </c>
      <c r="F5173" t="inlineStr">
        <is>
          <t>Hà Nội</t>
        </is>
      </c>
      <c r="G5173" t="inlineStr">
        <is>
          <t>Mới Tốt Nghiệp</t>
        </is>
      </c>
      <c r="H5173" t="inlineStr">
        <is>
          <t>27/02/2026</t>
        </is>
      </c>
      <c r="I5173" t="inlineStr">
        <is>
          <t>29/03/2026</t>
        </is>
      </c>
      <c r="J5173" t="inlineStr">
        <is>
          <t>17/03/2026</t>
        </is>
      </c>
      <c r="K5173" t="inlineStr">
        <is>
          <t>N/A</t>
        </is>
      </c>
      <c r="L5173" t="inlineStr">
        <is>
          <t>Theo Dõi Công Nợ, Kế Toán, Thuế, Misa, Hạch Toán</t>
        </is>
      </c>
      <c r="M5173" t="inlineStr">
        <is>
          <t>Bonus, Healthcare Plan, Team Activities</t>
        </is>
      </c>
      <c r="N5173" s="8">
        <f>HYPERLINK("https://www.vietnamworks.com/ke-toan--2015889-jv","Xem chi tiết")</f>
        <v/>
      </c>
    </row>
    <row r="5174">
      <c r="B5174" s="9" t="n">
        <v>5172</v>
      </c>
      <c r="C5174" s="10" t="inlineStr">
        <is>
          <t>Giáo Viên Tiếng Trung - Atlantic Group - Giảng Dạy Tại Trường Học &amp; Tại Trung Tâm</t>
        </is>
      </c>
      <c r="D5174" s="10" t="inlineStr">
        <is>
          <t>Tập Đoàn Giáo Dục Và Đào Tạo Quốc Tế Đại Tây Dương - Atlantic Group</t>
        </is>
      </c>
      <c r="E5174" s="10" t="inlineStr">
        <is>
          <t>12tr-16tr ₫/tháng</t>
        </is>
      </c>
      <c r="F5174" s="10" t="inlineStr">
        <is>
          <t>Hà Nội</t>
        </is>
      </c>
      <c r="G5174" s="10" t="inlineStr">
        <is>
          <t>Nhân viên</t>
        </is>
      </c>
      <c r="H5174" s="10" t="inlineStr">
        <is>
          <t>27/02/2026</t>
        </is>
      </c>
      <c r="I5174" s="10" t="inlineStr">
        <is>
          <t>29/03/2026</t>
        </is>
      </c>
      <c r="J5174" s="10" t="inlineStr">
        <is>
          <t>17/03/2026</t>
        </is>
      </c>
      <c r="K5174" s="10" t="inlineStr">
        <is>
          <t>N/A</t>
        </is>
      </c>
      <c r="L5174" s="10" t="inlineStr">
        <is>
          <t>Giao Tiếp, Kiểm Duyệt Tài Liệu, Lập Kế Hoạch, Quản Lý Nhóm, Giảng dạy tiếng Trung</t>
        </is>
      </c>
      <c r="M5174" s="10" t="inlineStr">
        <is>
          <t>Healthcare Plan, Training, Travel Opportunities, Others</t>
        </is>
      </c>
      <c r="N5174" s="11">
        <f>HYPERLINK("https://www.vietnamworks.com/giao-vien-tieng-trung-atlantic-group-giang-day-tai-truong-hoc-tai-trung-tam-2015895-jv","Xem chi tiết")</f>
        <v/>
      </c>
      <c r="O5174" s="10" t="n"/>
    </row>
    <row r="5175">
      <c r="B5175" s="7" t="n">
        <v>5173</v>
      </c>
      <c r="C5175" t="inlineStr">
        <is>
          <t>Chuyên Viên Kế Hoạch Nhu Cầu Chuỗi Cung Ứng (Demand Planning Specialist)</t>
        </is>
      </c>
      <c r="D5175" t="inlineStr">
        <is>
          <t>Công Ty Cổ Phần Sữa Việt Nam (Vinamilk)</t>
        </is>
      </c>
      <c r="E5175" t="inlineStr">
        <is>
          <t>Thương lượng</t>
        </is>
      </c>
      <c r="F5175" t="inlineStr">
        <is>
          <t>Hồ Chí Minh</t>
        </is>
      </c>
      <c r="G5175" t="inlineStr">
        <is>
          <t>Nhân viên</t>
        </is>
      </c>
      <c r="H5175" t="inlineStr">
        <is>
          <t>27/02/2026</t>
        </is>
      </c>
      <c r="I5175" t="inlineStr">
        <is>
          <t>29/03/2026</t>
        </is>
      </c>
      <c r="J5175" t="inlineStr">
        <is>
          <t>17/03/2026</t>
        </is>
      </c>
      <c r="K5175" t="inlineStr">
        <is>
          <t>N/A</t>
        </is>
      </c>
      <c r="L5175" t="inlineStr">
        <is>
          <t>Planning, Demand Forecasting, Supply Chain</t>
        </is>
      </c>
      <c r="M5175" t="inlineStr">
        <is>
          <t>Bonus, Healthcare Plan, Training</t>
        </is>
      </c>
      <c r="N5175" s="8">
        <f>HYPERLINK("https://www.vietnamworks.com/chuyen-vien-ke-hoach-nhu-cau-chuoi-cung-ung-demand-planning-specialist--2015887-jv","Xem chi tiết")</f>
        <v/>
      </c>
    </row>
    <row r="5176">
      <c r="B5176" s="9" t="n">
        <v>5174</v>
      </c>
      <c r="C5176" s="10" t="inlineStr">
        <is>
          <t>Quản Lý Chất Lượng QA/QC (Kết Cấu Thép/ Piping) - Làm Việc Tại Hải Phòng</t>
        </is>
      </c>
      <c r="D5176" s="10" t="inlineStr">
        <is>
          <t>Công Ty TNHH Công Nghiệp Nặng BUMHAN VINA (Tên Cũ DOOSAN VINA Hai Phong)</t>
        </is>
      </c>
      <c r="E5176" s="10" t="inlineStr">
        <is>
          <t>9tr-20tr ₫/tháng</t>
        </is>
      </c>
      <c r="F5176" s="10" t="inlineStr">
        <is>
          <t>Hải Phòng, Hải Dương</t>
        </is>
      </c>
      <c r="G5176" s="10" t="inlineStr">
        <is>
          <t>Nhân viên</t>
        </is>
      </c>
      <c r="H5176" s="10" t="inlineStr">
        <is>
          <t>27/02/2026</t>
        </is>
      </c>
      <c r="I5176" s="10" t="inlineStr">
        <is>
          <t>29/03/2026</t>
        </is>
      </c>
      <c r="J5176" s="10" t="inlineStr">
        <is>
          <t>17/03/2026</t>
        </is>
      </c>
      <c r="K5176" s="10" t="inlineStr">
        <is>
          <t>N/A</t>
        </is>
      </c>
      <c r="L5176" s="10" t="inlineStr">
        <is>
          <t>Quản Lý Chất Lượng, Đảm Bảo Chất Lượng, QA Engineering, Qc Engineering, Cơ Khí</t>
        </is>
      </c>
      <c r="M5176" s="10" t="inlineStr">
        <is>
          <t>Bonus, Healthcare Plan, Awards</t>
        </is>
      </c>
      <c r="N5176" s="11">
        <f>HYPERLINK("https://www.vietnamworks.com/quan-ly-chat-luong-qa-qc-ket-cau-thep-piping-lam-viec-tai-hai-phong-2015901-jv","Xem chi tiết")</f>
        <v/>
      </c>
      <c r="O5176" s="10" t="n"/>
    </row>
    <row r="5177">
      <c r="B5177" s="7" t="n">
        <v>5175</v>
      </c>
      <c r="C5177" t="inlineStr">
        <is>
          <t>Leader Ecom Project</t>
        </is>
      </c>
      <c r="D5177" t="inlineStr">
        <is>
          <t>Công Ty TNHH Xuất Nhập Khẩu Rutop Việt Nam</t>
        </is>
      </c>
      <c r="E5177" t="inlineStr">
        <is>
          <t>$$ 800-1,000 /tháng</t>
        </is>
      </c>
      <c r="F5177" t="inlineStr">
        <is>
          <t>Hà Nội</t>
        </is>
      </c>
      <c r="G5177" t="inlineStr">
        <is>
          <t>Trưởng phòng</t>
        </is>
      </c>
      <c r="H5177" t="inlineStr">
        <is>
          <t>27/02/2026</t>
        </is>
      </c>
      <c r="I5177" t="inlineStr">
        <is>
          <t>29/03/2026</t>
        </is>
      </c>
      <c r="J5177" t="inlineStr">
        <is>
          <t>17/03/2026</t>
        </is>
      </c>
      <c r="K5177" t="inlineStr">
        <is>
          <t>N/A</t>
        </is>
      </c>
      <c r="L5177" t="inlineStr">
        <is>
          <t>Lập Kế Hoạch Kinh Doanh, Dược mỹ phẩm, Social Media Management, eCommerce Management</t>
        </is>
      </c>
      <c r="M5177" t="inlineStr">
        <is>
          <t>Bonus, Training, Laptop</t>
        </is>
      </c>
      <c r="N5177" s="8">
        <f>HYPERLINK("https://www.vietnamworks.com/leader-ecom-project-2015891-jv","Xem chi tiết")</f>
        <v/>
      </c>
    </row>
    <row r="5178">
      <c r="B5178" s="9" t="n">
        <v>5176</v>
      </c>
      <c r="C5178" s="10" t="inlineStr">
        <is>
          <t>Kỹ Sư PCCC</t>
        </is>
      </c>
      <c r="D5178" s="10" t="inlineStr">
        <is>
          <t>CÔNG TY CỔ PHẦN THƯƠNG MẠI DỊCH VỤ XUẤT NHẬP KHẨU DUY TÙNG</t>
        </is>
      </c>
      <c r="E5178" s="10" t="inlineStr">
        <is>
          <t>Thương lượng</t>
        </is>
      </c>
      <c r="F5178" s="10" t="inlineStr">
        <is>
          <t>Hồ Chí Minh</t>
        </is>
      </c>
      <c r="G5178" s="10" t="inlineStr">
        <is>
          <t>Nhân viên</t>
        </is>
      </c>
      <c r="H5178" s="10" t="inlineStr">
        <is>
          <t>27/02/2026</t>
        </is>
      </c>
      <c r="I5178" s="10" t="inlineStr">
        <is>
          <t>29/03/2026</t>
        </is>
      </c>
      <c r="J5178" s="10" t="inlineStr">
        <is>
          <t>17/03/2026</t>
        </is>
      </c>
      <c r="K5178" s="10" t="inlineStr">
        <is>
          <t>N/A</t>
        </is>
      </c>
      <c r="L5178" s="10" t="inlineStr">
        <is>
          <t>Tư Vấn Giải Pháp, Đọc Hiểu Hệ Thống PCCC, Autocad, Bóc Tách Khối Lượng, Tư Vấn Kỹ Thuật</t>
        </is>
      </c>
      <c r="M5178" s="10" t="inlineStr">
        <is>
          <t>Bonus, Healthcare Plan, Training, Travel Opportunities, Others</t>
        </is>
      </c>
      <c r="N5178" s="11">
        <f>HYPERLINK("https://www.vietnamworks.com/ky-su-pccc-2015886-jv","Xem chi tiết")</f>
        <v/>
      </c>
      <c r="O5178" s="10" t="n"/>
    </row>
    <row r="5179">
      <c r="B5179" s="7" t="n">
        <v>5177</v>
      </c>
      <c r="C5179" t="inlineStr">
        <is>
          <t>Phiên Dịch Tiếng Hàn</t>
        </is>
      </c>
      <c r="D5179" t="inlineStr">
        <is>
          <t>Công Ty TNHH TK P&amp;s VINA (Long Thành - Đồng Nai)</t>
        </is>
      </c>
      <c r="E5179" t="inlineStr">
        <is>
          <t>Thương lượng</t>
        </is>
      </c>
      <c r="F5179" t="inlineStr">
        <is>
          <t>Đồng Nai</t>
        </is>
      </c>
      <c r="G5179" t="inlineStr">
        <is>
          <t>Nhân viên</t>
        </is>
      </c>
      <c r="H5179" t="inlineStr">
        <is>
          <t>27/02/2026</t>
        </is>
      </c>
      <c r="I5179" t="inlineStr">
        <is>
          <t>29/03/2026</t>
        </is>
      </c>
      <c r="J5179" t="inlineStr">
        <is>
          <t>17/03/2026</t>
        </is>
      </c>
      <c r="K5179" t="inlineStr">
        <is>
          <t>N/A</t>
        </is>
      </c>
      <c r="L5179" t="inlineStr">
        <is>
          <t>Biên Phiên Dịch, Dịch Thuật, Phiên Dịch Hiện Trường, Phiên Dịch Sản Xuất, Tiếng Hàn</t>
        </is>
      </c>
      <c r="M5179" t="inlineStr">
        <is>
          <t>Bonus, Healthcare Plan, Travel Opportunities, Others</t>
        </is>
      </c>
      <c r="N5179" s="8">
        <f>HYPERLINK("https://www.vietnamworks.com/phien-dich-tieng-han-2015897-jv","Xem chi tiết")</f>
        <v/>
      </c>
    </row>
    <row r="5180">
      <c r="B5180" s="9" t="n">
        <v>5178</v>
      </c>
      <c r="C5180" s="10" t="inlineStr">
        <is>
          <t>Electrical Engineer</t>
        </is>
      </c>
      <c r="D5180" s="10" t="inlineStr">
        <is>
          <t>Công Ty TNHH Kỹ Thuật Red &amp; Blue</t>
        </is>
      </c>
      <c r="E5180" s="10" t="inlineStr">
        <is>
          <t>10tr-15tr ₫/tháng</t>
        </is>
      </c>
      <c r="F5180" s="10" t="inlineStr">
        <is>
          <t>Hồ Chí Minh</t>
        </is>
      </c>
      <c r="G5180" s="10" t="inlineStr">
        <is>
          <t>Nhân viên</t>
        </is>
      </c>
      <c r="H5180" s="10" t="inlineStr">
        <is>
          <t>27/02/2026</t>
        </is>
      </c>
      <c r="I5180" s="10" t="inlineStr">
        <is>
          <t>29/03/2026</t>
        </is>
      </c>
      <c r="J5180" s="10" t="inlineStr">
        <is>
          <t>17/03/2026</t>
        </is>
      </c>
      <c r="K5180" s="10" t="inlineStr">
        <is>
          <t>N/A</t>
        </is>
      </c>
      <c r="L5180" s="10" t="inlineStr">
        <is>
          <t>AutoCAD, PLC, SCADA, Automation, MS Office</t>
        </is>
      </c>
      <c r="M5180" s="10" t="inlineStr">
        <is>
          <t>Bonus, Healthcare Plan, Team Activities, Others</t>
        </is>
      </c>
      <c r="N5180" s="11">
        <f>HYPERLINK("https://www.vietnamworks.com/electrical-engineer-2015912-jv","Xem chi tiết")</f>
        <v/>
      </c>
      <c r="O5180" s="10" t="n"/>
    </row>
    <row r="5181">
      <c r="B5181" s="7" t="n">
        <v>5179</v>
      </c>
      <c r="C5181" t="inlineStr">
        <is>
          <t>Head Of Finance Operations</t>
        </is>
      </c>
      <c r="D5181" t="inlineStr">
        <is>
          <t>Yes4All Trading Services Company Limited</t>
        </is>
      </c>
      <c r="E5181" t="inlineStr">
        <is>
          <t>Thương lượng</t>
        </is>
      </c>
      <c r="F5181" t="inlineStr">
        <is>
          <t>Hồ Chí Minh</t>
        </is>
      </c>
      <c r="G5181" t="inlineStr">
        <is>
          <t>Giám Đốc và Cấp Cao Hơn</t>
        </is>
      </c>
      <c r="H5181" t="inlineStr">
        <is>
          <t>27/02/2026</t>
        </is>
      </c>
      <c r="I5181" t="inlineStr">
        <is>
          <t>29/03/2026</t>
        </is>
      </c>
      <c r="J5181" t="inlineStr">
        <is>
          <t>17/03/2026</t>
        </is>
      </c>
      <c r="K5181" t="inlineStr">
        <is>
          <t>N/A</t>
        </is>
      </c>
      <c r="L5181" t="inlineStr">
        <is>
          <t>English, Financial Analysis, Financial Regulations, Leadership Skills, Strategic Planning</t>
        </is>
      </c>
      <c r="M5181" t="inlineStr">
        <is>
          <t>Others</t>
        </is>
      </c>
      <c r="N5181" s="8">
        <f>HYPERLINK("https://www.vietnamworks.com/head-of-finance-operations-2015885-jv","Xem chi tiết")</f>
        <v/>
      </c>
    </row>
    <row r="5182">
      <c r="B5182" s="9" t="n">
        <v>5180</v>
      </c>
      <c r="C5182" s="10" t="inlineStr">
        <is>
          <t>(SCGA) General Accountant</t>
        </is>
      </c>
      <c r="D5182" s="10" t="inlineStr">
        <is>
          <t>CHI NHÁNH SCG ACCOUNTING SERVICES CO., LTD. TẠI THÀNH PHỐ HỒ CHÍ MINH</t>
        </is>
      </c>
      <c r="E5182" s="10" t="inlineStr">
        <is>
          <t>Thương lượng</t>
        </is>
      </c>
      <c r="F5182" s="10" t="inlineStr">
        <is>
          <t>Hồ Chí Minh</t>
        </is>
      </c>
      <c r="G5182" s="10" t="inlineStr">
        <is>
          <t>Nhân viên</t>
        </is>
      </c>
      <c r="H5182" s="10" t="inlineStr">
        <is>
          <t>27/02/2026</t>
        </is>
      </c>
      <c r="I5182" s="10" t="inlineStr">
        <is>
          <t>29/03/2026</t>
        </is>
      </c>
      <c r="J5182" s="10" t="inlineStr">
        <is>
          <t>17/03/2026</t>
        </is>
      </c>
      <c r="K5182" s="10" t="inlineStr">
        <is>
          <t>N/A</t>
        </is>
      </c>
      <c r="L5182" s="10" t="inlineStr">
        <is>
          <t>Analytical Skills, Communication, General Accounting, Tax Accounting, Time Management</t>
        </is>
      </c>
      <c r="M5182" s="10" t="inlineStr">
        <is>
          <t>Healthcare Plan, Paid Leave, Training</t>
        </is>
      </c>
      <c r="N5182" s="11">
        <f>HYPERLINK("https://www.vietnamworks.com/-scga-general-accountant-2015914-jv","Xem chi tiết")</f>
        <v/>
      </c>
      <c r="O5182" s="10" t="n"/>
    </row>
    <row r="5183">
      <c r="B5183" s="7" t="n">
        <v>5181</v>
      </c>
      <c r="C5183" t="inlineStr">
        <is>
          <t>Kỹ Sư Thiết Kế Cấp Thoát Nước</t>
        </is>
      </c>
      <c r="D5183" t="inlineStr">
        <is>
          <t>CÔNG TY CỔ PHẦN TƯ VẤN KỸ THUẬT VIỆT TIẾN</t>
        </is>
      </c>
      <c r="E5183" t="inlineStr">
        <is>
          <t>Thương lượng</t>
        </is>
      </c>
      <c r="F5183" t="inlineStr">
        <is>
          <t>Hà Nội</t>
        </is>
      </c>
      <c r="G5183" t="inlineStr">
        <is>
          <t>Nhân viên</t>
        </is>
      </c>
      <c r="H5183" t="inlineStr">
        <is>
          <t>27/02/2026</t>
        </is>
      </c>
      <c r="I5183" t="inlineStr">
        <is>
          <t>29/03/2026</t>
        </is>
      </c>
      <c r="J5183" t="inlineStr">
        <is>
          <t>17/03/2026</t>
        </is>
      </c>
      <c r="K5183" t="inlineStr">
        <is>
          <t>N/A</t>
        </is>
      </c>
      <c r="L5183" t="inlineStr">
        <is>
          <t>Thiết Kế Công Trình, AutoCAD, Revit, Cấp Thoát Nước, Triển Khai Thiết Kế</t>
        </is>
      </c>
      <c r="M5183" t="inlineStr">
        <is>
          <t>Bonus, Healthcare Plan, Training, Laptop, Travel Opportunities, Others</t>
        </is>
      </c>
      <c r="N5183" s="8">
        <f>HYPERLINK("https://www.vietnamworks.com/ky-su-thiet-ke-cap-thoat-nuoc-2015926-jv","Xem chi tiết")</f>
        <v/>
      </c>
    </row>
    <row r="5184">
      <c r="B5184" s="9" t="n">
        <v>5182</v>
      </c>
      <c r="C5184" s="10" t="inlineStr">
        <is>
          <t>Business Staff (Khu Vực Hà Nội Ưu Tiên Mê Linh - Đông Anh - Sóc Sơn)</t>
        </is>
      </c>
      <c r="D5184" s="10" t="inlineStr">
        <is>
          <t>Công Ty TNHH Daiichi Kinzoku Viet Nam</t>
        </is>
      </c>
      <c r="E5184" s="10" t="inlineStr">
        <is>
          <t>Thương lượng</t>
        </is>
      </c>
      <c r="F5184" s="10" t="inlineStr">
        <is>
          <t>Hà Nội</t>
        </is>
      </c>
      <c r="G5184" s="10" t="inlineStr">
        <is>
          <t>Nhân viên</t>
        </is>
      </c>
      <c r="H5184" s="10" t="inlineStr">
        <is>
          <t>27/02/2026</t>
        </is>
      </c>
      <c r="I5184" s="10" t="inlineStr">
        <is>
          <t>29/03/2026</t>
        </is>
      </c>
      <c r="J5184" s="10" t="inlineStr">
        <is>
          <t>17/03/2026</t>
        </is>
      </c>
      <c r="K5184" s="10" t="inlineStr">
        <is>
          <t>N/A</t>
        </is>
      </c>
      <c r="L5184" s="10" t="inlineStr">
        <is>
          <t>Negotiation Skills, English, Export Procedure, HS Code, Sales Support</t>
        </is>
      </c>
      <c r="M5184" s="10" t="inlineStr">
        <is>
          <t>Bonus, Healthcare Plan, Paid Leave, Awards, Transportation</t>
        </is>
      </c>
      <c r="N5184" s="11">
        <f>HYPERLINK("https://www.vietnamworks.com/business-staff-khu-vuc-ha-noi-uu-tien-me-linh-dong-anh-soc-son-2015924-jv","Xem chi tiết")</f>
        <v/>
      </c>
      <c r="O5184" s="10" t="n"/>
    </row>
    <row r="5185">
      <c r="B5185" s="7" t="n">
        <v>5183</v>
      </c>
      <c r="C5185" t="inlineStr">
        <is>
          <t>Customer Service Manager (Real Estate – High-End Projects)</t>
        </is>
      </c>
      <c r="D5185" t="inlineStr">
        <is>
          <t>Công ty Cổ phần Đầu tư Dịch vụ Thương mại Bách Lộc</t>
        </is>
      </c>
      <c r="E5185" t="inlineStr">
        <is>
          <t>25tr-30tr ₫/tháng</t>
        </is>
      </c>
      <c r="F5185" t="inlineStr">
        <is>
          <t>Hồ Chí Minh</t>
        </is>
      </c>
      <c r="G5185" t="inlineStr">
        <is>
          <t>Trưởng phòng</t>
        </is>
      </c>
      <c r="H5185" t="inlineStr">
        <is>
          <t>27/02/2026</t>
        </is>
      </c>
      <c r="I5185" t="inlineStr">
        <is>
          <t>29/03/2026</t>
        </is>
      </c>
      <c r="J5185" t="inlineStr">
        <is>
          <t>17/03/2026</t>
        </is>
      </c>
      <c r="K5185" t="inlineStr">
        <is>
          <t>N/A</t>
        </is>
      </c>
      <c r="L5185" t="inlineStr">
        <is>
          <t>Excel, Customer Service, Communication, Bất Động Sản, CRM</t>
        </is>
      </c>
      <c r="M5185" t="inlineStr">
        <is>
          <t>Bonus, Healthcare Plan, Training, Others</t>
        </is>
      </c>
      <c r="N5185" s="8">
        <f>HYPERLINK("https://www.vietnamworks.com/customer-service-manager-real-estate-high-end-projects-2015919-jv","Xem chi tiết")</f>
        <v/>
      </c>
    </row>
    <row r="5186">
      <c r="B5186" s="9" t="n">
        <v>5184</v>
      </c>
      <c r="C5186" s="10" t="inlineStr">
        <is>
          <t>Sales Executive Industrial</t>
        </is>
      </c>
      <c r="D5186" s="10" t="inlineStr">
        <is>
          <t>CÔNG TY TNHH MATERIAL WORLD ASIA</t>
        </is>
      </c>
      <c r="E5186" s="10" t="inlineStr">
        <is>
          <t>$$ 500-1,000 /tháng</t>
        </is>
      </c>
      <c r="F5186" s="10" t="inlineStr">
        <is>
          <t>Hồ Chí Minh</t>
        </is>
      </c>
      <c r="G5186" s="10" t="inlineStr">
        <is>
          <t>Nhân viên</t>
        </is>
      </c>
      <c r="H5186" s="10" t="inlineStr">
        <is>
          <t>27/02/2026</t>
        </is>
      </c>
      <c r="I5186" s="10" t="inlineStr">
        <is>
          <t>29/03/2026</t>
        </is>
      </c>
      <c r="J5186" s="10" t="inlineStr">
        <is>
          <t>17/03/2026</t>
        </is>
      </c>
      <c r="K5186" s="10" t="inlineStr">
        <is>
          <t>N/A</t>
        </is>
      </c>
      <c r="L5186" s="10" t="inlineStr">
        <is>
          <t>Negotiation, Communication, English, Industrial Products, Sales Logistics</t>
        </is>
      </c>
      <c r="M5186" s="10" t="inlineStr">
        <is>
          <t>Bonus, Healthcare Plan, Paid Leave, Training, Others</t>
        </is>
      </c>
      <c r="N5186" s="11">
        <f>HYPERLINK("https://www.vietnamworks.com/sales-executive-industrial-2015921-jv","Xem chi tiết")</f>
        <v/>
      </c>
      <c r="O5186" s="10" t="n"/>
    </row>
    <row r="5187">
      <c r="B5187" s="7" t="n">
        <v>5185</v>
      </c>
      <c r="C5187" t="inlineStr">
        <is>
          <t>AI Engineer (Kỹ Sư Trí Tuệ Nhân Tạo)</t>
        </is>
      </c>
      <c r="D5187" t="inlineStr">
        <is>
          <t>CÔNG TY CP SÁNG TẠO &amp; GIẢI PHÁP TRUYỀN THÔNG SỐ Á CHÂU</t>
        </is>
      </c>
      <c r="E5187" t="inlineStr">
        <is>
          <t>Từ 35tr ₫/tháng</t>
        </is>
      </c>
      <c r="F5187" t="inlineStr">
        <is>
          <t>Hà Nội</t>
        </is>
      </c>
      <c r="G5187" t="inlineStr">
        <is>
          <t>Nhân viên</t>
        </is>
      </c>
      <c r="H5187" t="inlineStr">
        <is>
          <t>27/02/2026</t>
        </is>
      </c>
      <c r="I5187" t="inlineStr">
        <is>
          <t>29/03/2026</t>
        </is>
      </c>
      <c r="J5187" t="inlineStr">
        <is>
          <t>17/03/2026</t>
        </is>
      </c>
      <c r="K5187" t="inlineStr">
        <is>
          <t>N/A</t>
        </is>
      </c>
      <c r="L5187" t="inlineStr">
        <is>
          <t>AI Engineering, Big Data, Data Science, Machine Learning</t>
        </is>
      </c>
      <c r="M5187" t="inlineStr">
        <is>
          <t>Bonus, Others</t>
        </is>
      </c>
      <c r="N5187" s="8">
        <f>HYPERLINK("https://www.vietnamworks.com/ai-engineer-ky-su-tri-tue-nhan-tao-2015928-jv","Xem chi tiết")</f>
        <v/>
      </c>
    </row>
    <row r="5188">
      <c r="B5188" s="9" t="n">
        <v>5186</v>
      </c>
      <c r="C5188" s="10" t="inlineStr">
        <is>
          <t>Pricing Specialist (Nhân Viên Pricing Logistics Freight Forwarding)</t>
        </is>
      </c>
      <c r="D5188" s="10" t="inlineStr">
        <is>
          <t>Công ty TNHH LBS Logistics</t>
        </is>
      </c>
      <c r="E5188" s="10" t="inlineStr">
        <is>
          <t>Tới $ 1,000 /tháng</t>
        </is>
      </c>
      <c r="F5188" s="10" t="inlineStr">
        <is>
          <t>Hồ Chí Minh</t>
        </is>
      </c>
      <c r="G5188" s="10" t="inlineStr">
        <is>
          <t>Nhân viên</t>
        </is>
      </c>
      <c r="H5188" s="10" t="inlineStr">
        <is>
          <t>27/02/2026</t>
        </is>
      </c>
      <c r="I5188" s="10" t="inlineStr">
        <is>
          <t>29/03/2026</t>
        </is>
      </c>
      <c r="J5188" s="10" t="inlineStr">
        <is>
          <t>17/03/2026</t>
        </is>
      </c>
      <c r="K5188" s="10" t="inlineStr">
        <is>
          <t>N/A</t>
        </is>
      </c>
      <c r="L5188" s="10" t="inlineStr">
        <is>
          <t>Logistics, Supply Chain, Documentation, Logistic Forwarding, Sea/Air freight shipments</t>
        </is>
      </c>
      <c r="M5188" s="10" t="inlineStr">
        <is>
          <t>Bonus, Healthcare Plan, Paid Leave, Training, Travel Opportunities, Team Activities, Others</t>
        </is>
      </c>
      <c r="N5188" s="11">
        <f>HYPERLINK("https://www.vietnamworks.com/pricing-specialist-nhan-vien-pricing-logistics-freight-forwarding-2015916-jv","Xem chi tiết")</f>
        <v/>
      </c>
      <c r="O5188" s="10" t="n"/>
    </row>
    <row r="5189">
      <c r="B5189" s="7" t="n">
        <v>5187</v>
      </c>
      <c r="C5189" t="inlineStr">
        <is>
          <t>[Viettel Asset] - Kỹ Sư Thẩm Định Hệ Thống Cơ Điện (MEP)/ điện lạnh (HVAC)</t>
        </is>
      </c>
      <c r="D5189" t="inlineStr">
        <is>
          <t>Tập Đoàn Công Nghiệp - Viễn Thông Quân Đội - Công Ty Quản Lý Tài Sản Viettel</t>
        </is>
      </c>
      <c r="E5189" t="inlineStr">
        <is>
          <t>$$ 1,000-2,000 /tháng</t>
        </is>
      </c>
      <c r="F5189" t="inlineStr">
        <is>
          <t>Hà Nội</t>
        </is>
      </c>
      <c r="G5189" t="inlineStr">
        <is>
          <t>Nhân viên</t>
        </is>
      </c>
      <c r="H5189" t="inlineStr">
        <is>
          <t>27/02/2026</t>
        </is>
      </c>
      <c r="I5189" t="inlineStr">
        <is>
          <t>29/03/2026</t>
        </is>
      </c>
      <c r="J5189" t="inlineStr">
        <is>
          <t>17/03/2026</t>
        </is>
      </c>
      <c r="K5189" t="inlineStr">
        <is>
          <t>N/A</t>
        </is>
      </c>
      <c r="L5189" t="inlineStr">
        <is>
          <t>Giám Sát Thi Công, Phân Tích Thiết Kế, Thẩm Định Hồ Sơ, Thiết Kế Cơ Điện, Tư Vấn Hồ Sơ</t>
        </is>
      </c>
      <c r="M5189" t="inlineStr">
        <is>
          <t>Bonus, Healthcare Plan, Paid Leave, Training, Others</t>
        </is>
      </c>
      <c r="N5189" s="8">
        <f>HYPERLINK("https://www.vietnamworks.com/viettel-asset-ky-su-tham-djinh-he-thong-co-djien-mep-djien-lanh-hvac-2015892-jv","Xem chi tiết")</f>
        <v/>
      </c>
    </row>
    <row r="5190">
      <c r="B5190" s="9" t="n">
        <v>5188</v>
      </c>
      <c r="C5190" s="10" t="inlineStr">
        <is>
          <t>Executive Assistant</t>
        </is>
      </c>
      <c r="D5190" s="10" t="inlineStr">
        <is>
          <t>Yes4All Trading Services Company Limited</t>
        </is>
      </c>
      <c r="E5190" s="10" t="inlineStr">
        <is>
          <t>Thương lượng</t>
        </is>
      </c>
      <c r="F5190" s="10" t="inlineStr">
        <is>
          <t>Hồ Chí Minh</t>
        </is>
      </c>
      <c r="G5190" s="10" t="inlineStr">
        <is>
          <t>Nhân viên</t>
        </is>
      </c>
      <c r="H5190" s="10" t="inlineStr">
        <is>
          <t>27/02/2026</t>
        </is>
      </c>
      <c r="I5190" s="10" t="inlineStr">
        <is>
          <t>29/03/2026</t>
        </is>
      </c>
      <c r="J5190" s="10" t="inlineStr">
        <is>
          <t>17/03/2026</t>
        </is>
      </c>
      <c r="K5190" s="10" t="inlineStr">
        <is>
          <t>N/A</t>
        </is>
      </c>
      <c r="L5190" s="10" t="inlineStr">
        <is>
          <t>N/A</t>
        </is>
      </c>
      <c r="M5190" s="10" t="inlineStr">
        <is>
          <t>Others</t>
        </is>
      </c>
      <c r="N5190" s="11">
        <f>HYPERLINK("https://www.vietnamworks.com/executive-assistant-2015925-jv","Xem chi tiết")</f>
        <v/>
      </c>
      <c r="O5190" s="10" t="n"/>
    </row>
    <row r="5191">
      <c r="B5191" s="7" t="n">
        <v>5189</v>
      </c>
      <c r="C5191" t="inlineStr">
        <is>
          <t>Kỹ Sư Giám Sát Hiện Trường (Công Trình Nhà Cao Tầng/công Nghiệp) - Lương Lên Đến 25 Triệu</t>
        </is>
      </c>
      <c r="D5191" t="inlineStr">
        <is>
          <t>Công Ty CP Đầu Tư Xây Dựng và Thương Mại Kiến Hưng</t>
        </is>
      </c>
      <c r="E5191" t="inlineStr">
        <is>
          <t>16tr-25tr ₫/tháng</t>
        </is>
      </c>
      <c r="F5191" t="inlineStr">
        <is>
          <t>Thanh Hóa, Hà Nội</t>
        </is>
      </c>
      <c r="G5191" t="inlineStr">
        <is>
          <t>Nhân viên</t>
        </is>
      </c>
      <c r="H5191" t="inlineStr">
        <is>
          <t>27/02/2026</t>
        </is>
      </c>
      <c r="I5191" t="inlineStr">
        <is>
          <t>29/03/2026</t>
        </is>
      </c>
      <c r="J5191" t="inlineStr">
        <is>
          <t>17/03/2026</t>
        </is>
      </c>
      <c r="K5191" t="inlineStr">
        <is>
          <t>N/A</t>
        </is>
      </c>
      <c r="L5191" t="inlineStr">
        <is>
          <t>Giám Sát Thi Công, Quản Lý An Toàn Lao Động, Kiểm Vật Tư, Kỹ Sư hiện trường, Kỹ Thuật Xây Dựng</t>
        </is>
      </c>
      <c r="M5191" t="inlineStr">
        <is>
          <t>Bonus, Paid Leave, Travel Opportunities, Others</t>
        </is>
      </c>
      <c r="N5191" s="8">
        <f>HYPERLINK("https://www.vietnamworks.com/ky-su-giam-sat-hien-truong-cong-trinh-nha-cao-tangcong-nghiep-luong-len-djen-25-trieu-2015922-jv","Xem chi tiết")</f>
        <v/>
      </c>
    </row>
    <row r="5192">
      <c r="B5192" s="9" t="n">
        <v>5190</v>
      </c>
      <c r="C5192" s="10" t="inlineStr">
        <is>
          <t>Accounting Manager - Chief Accountant</t>
        </is>
      </c>
      <c r="D5192" s="10" t="inlineStr">
        <is>
          <t>Yes4All Trading Services Company Limited</t>
        </is>
      </c>
      <c r="E5192" s="10" t="inlineStr">
        <is>
          <t>Thương lượng</t>
        </is>
      </c>
      <c r="F5192" s="10" t="inlineStr">
        <is>
          <t>Hồ Chí Minh</t>
        </is>
      </c>
      <c r="G5192" s="10" t="inlineStr">
        <is>
          <t>Trưởng phòng</t>
        </is>
      </c>
      <c r="H5192" s="10" t="inlineStr">
        <is>
          <t>27/02/2026</t>
        </is>
      </c>
      <c r="I5192" s="10" t="inlineStr">
        <is>
          <t>29/03/2026</t>
        </is>
      </c>
      <c r="J5192" s="10" t="inlineStr">
        <is>
          <t>17/03/2026</t>
        </is>
      </c>
      <c r="K5192" s="10" t="inlineStr">
        <is>
          <t>N/A</t>
        </is>
      </c>
      <c r="L5192" s="10" t="inlineStr">
        <is>
          <t>Analytical Skills, Cash Flow Forecasting, Financial Report, IFRS, Payment Management</t>
        </is>
      </c>
      <c r="M5192" s="10" t="inlineStr">
        <is>
          <t>Bonus, Healthcare Plan, Paid Leave, Awards, Team Activities, Others</t>
        </is>
      </c>
      <c r="N5192" s="11">
        <f>HYPERLINK("https://www.vietnamworks.com/accounting-manager-chief-accountant-2015911-jv","Xem chi tiết")</f>
        <v/>
      </c>
      <c r="O5192" s="10" t="n"/>
    </row>
    <row r="5193">
      <c r="B5193" s="7" t="n">
        <v>5191</v>
      </c>
      <c r="C5193" t="inlineStr">
        <is>
          <t>Trưởng Phòng Pháp Chế</t>
        </is>
      </c>
      <c r="D5193" t="inlineStr">
        <is>
          <t>Dolphin Sea Air Services Corp.</t>
        </is>
      </c>
      <c r="E5193" t="inlineStr">
        <is>
          <t>$$ 1,000-2,500 /tháng</t>
        </is>
      </c>
      <c r="F5193" t="inlineStr">
        <is>
          <t>Hà Nội</t>
        </is>
      </c>
      <c r="G5193" t="inlineStr">
        <is>
          <t>Trưởng phòng</t>
        </is>
      </c>
      <c r="H5193" t="inlineStr">
        <is>
          <t>27/02/2026</t>
        </is>
      </c>
      <c r="I5193" t="inlineStr">
        <is>
          <t>29/03/2026</t>
        </is>
      </c>
      <c r="J5193" t="inlineStr">
        <is>
          <t>17/03/2026</t>
        </is>
      </c>
      <c r="K5193" t="inlineStr">
        <is>
          <t>N/A</t>
        </is>
      </c>
      <c r="L5193" t="inlineStr">
        <is>
          <t>Pháp Chế, Legal Consulting, Legal, Legal Advise, Law</t>
        </is>
      </c>
      <c r="M5193" t="inlineStr">
        <is>
          <t>Bonus, Awards, Others</t>
        </is>
      </c>
      <c r="N5193" s="8">
        <f>HYPERLINK("https://www.vietnamworks.com/truong-phong-phap-che--2015915-jv","Xem chi tiết")</f>
        <v/>
      </c>
    </row>
    <row r="5194">
      <c r="B5194" s="9" t="n">
        <v>5192</v>
      </c>
      <c r="C5194" s="10" t="inlineStr">
        <is>
          <t>Cus Support / Document FCL HCM (Freight Forwarding)</t>
        </is>
      </c>
      <c r="D5194" s="10" t="inlineStr">
        <is>
          <t>Ecu Worldwide Vietnam</t>
        </is>
      </c>
      <c r="E5194" s="10" t="inlineStr">
        <is>
          <t>Thương lượng</t>
        </is>
      </c>
      <c r="F5194" s="10" t="inlineStr">
        <is>
          <t>Hồ Chí Minh</t>
        </is>
      </c>
      <c r="G5194" s="10" t="inlineStr">
        <is>
          <t>Mới Tốt Nghiệp</t>
        </is>
      </c>
      <c r="H5194" s="10" t="inlineStr">
        <is>
          <t>27/02/2026</t>
        </is>
      </c>
      <c r="I5194" s="10" t="inlineStr">
        <is>
          <t>29/03/2026</t>
        </is>
      </c>
      <c r="J5194" s="10" t="inlineStr">
        <is>
          <t>17/03/2026</t>
        </is>
      </c>
      <c r="K5194" s="10" t="inlineStr">
        <is>
          <t>N/A</t>
        </is>
      </c>
      <c r="L5194" s="10" t="inlineStr">
        <is>
          <t>Logistics, Freight Forwarding, English Communication, Customs Clearance, Customs Operations</t>
        </is>
      </c>
      <c r="M5194" s="10" t="inlineStr">
        <is>
          <t>Bonus, Healthcare Plan, Training</t>
        </is>
      </c>
      <c r="N5194" s="11">
        <f>HYPERLINK("https://www.vietnamworks.com/cus-support-document-fcl-hcm-freight-forwarding-2015917-jv","Xem chi tiết")</f>
        <v/>
      </c>
      <c r="O5194" s="10" t="n"/>
    </row>
    <row r="5195">
      <c r="B5195" s="7" t="n">
        <v>5193</v>
      </c>
      <c r="C5195" t="inlineStr">
        <is>
          <t>Accountant Hanoi (Freight Forwarding)</t>
        </is>
      </c>
      <c r="D5195" t="inlineStr">
        <is>
          <t>Ecu Worldwide Vietnam</t>
        </is>
      </c>
      <c r="E5195" t="inlineStr">
        <is>
          <t>Thương lượng</t>
        </is>
      </c>
      <c r="F5195" t="inlineStr">
        <is>
          <t>Hà Nội</t>
        </is>
      </c>
      <c r="G5195" t="inlineStr">
        <is>
          <t>Nhân viên</t>
        </is>
      </c>
      <c r="H5195" t="inlineStr">
        <is>
          <t>27/02/2026</t>
        </is>
      </c>
      <c r="I5195" t="inlineStr">
        <is>
          <t>29/03/2026</t>
        </is>
      </c>
      <c r="J5195" t="inlineStr">
        <is>
          <t>17/03/2026</t>
        </is>
      </c>
      <c r="K5195" t="inlineStr">
        <is>
          <t>N/A</t>
        </is>
      </c>
      <c r="L5195" t="inlineStr">
        <is>
          <t>Logistics, Tiếng Anh, Báo Cáo Thuế, Hành Chính, Quản Lý Công Nợ</t>
        </is>
      </c>
      <c r="M5195" t="inlineStr">
        <is>
          <t>Bonus, Healthcare Plan, Training, Others</t>
        </is>
      </c>
      <c r="N5195" s="8">
        <f>HYPERLINK("https://www.vietnamworks.com/accountant-hanoi-freight-forwarding-2015913-jv","Xem chi tiết")</f>
        <v/>
      </c>
    </row>
    <row r="5196">
      <c r="B5196" s="9" t="n">
        <v>5194</v>
      </c>
      <c r="C5196" s="10" t="inlineStr">
        <is>
          <t>Sales Admin Manager (Real Estate – High-End Projects)</t>
        </is>
      </c>
      <c r="D5196" s="10" t="inlineStr">
        <is>
          <t>Công ty Cổ phần Đầu tư Dịch vụ Thương mại Bách Lộc</t>
        </is>
      </c>
      <c r="E5196" s="10" t="inlineStr">
        <is>
          <t>25tr-30tr ₫/tháng</t>
        </is>
      </c>
      <c r="F5196" s="10" t="inlineStr">
        <is>
          <t>Hồ Chí Minh</t>
        </is>
      </c>
      <c r="G5196" s="10" t="inlineStr">
        <is>
          <t>Trưởng phòng</t>
        </is>
      </c>
      <c r="H5196" s="10" t="inlineStr">
        <is>
          <t>27/02/2026</t>
        </is>
      </c>
      <c r="I5196" s="10" t="inlineStr">
        <is>
          <t>29/03/2026</t>
        </is>
      </c>
      <c r="J5196" s="10" t="inlineStr">
        <is>
          <t>17/03/2026</t>
        </is>
      </c>
      <c r="K5196" s="10" t="inlineStr">
        <is>
          <t>N/A</t>
        </is>
      </c>
      <c r="L5196" s="10" t="inlineStr">
        <is>
          <t>Sales Operations, Sales Admin Manager, CRM Management, Real Estate Sales Support, Bất động sản cao cấp</t>
        </is>
      </c>
      <c r="M5196" s="10" t="inlineStr">
        <is>
          <t>Bonus, Healthcare Plan, Training, Others</t>
        </is>
      </c>
      <c r="N5196" s="11">
        <f>HYPERLINK("https://www.vietnamworks.com/sales-admin-manager-real-estate-high-end-projects-2015927-jv","Xem chi tiết")</f>
        <v/>
      </c>
      <c r="O5196" s="10" t="n"/>
    </row>
    <row r="5197">
      <c r="B5197" s="7" t="n">
        <v>5195</v>
      </c>
      <c r="C5197" t="inlineStr">
        <is>
          <t>Kế Toán Giá Thành (Ngành Sản Xuất)</t>
        </is>
      </c>
      <c r="D5197" t="inlineStr">
        <is>
          <t>Công Ty CP SX TM Vina Fnv</t>
        </is>
      </c>
      <c r="E5197" t="inlineStr">
        <is>
          <t>Thương lượng</t>
        </is>
      </c>
      <c r="F5197" t="inlineStr">
        <is>
          <t>Hồ Chí Minh</t>
        </is>
      </c>
      <c r="G5197" t="inlineStr">
        <is>
          <t>Nhân viên</t>
        </is>
      </c>
      <c r="H5197" t="inlineStr">
        <is>
          <t>27/02/2026</t>
        </is>
      </c>
      <c r="I5197" t="inlineStr">
        <is>
          <t>29/03/2026</t>
        </is>
      </c>
      <c r="J5197" t="inlineStr">
        <is>
          <t>17/03/2026</t>
        </is>
      </c>
      <c r="K5197" t="inlineStr">
        <is>
          <t>N/A</t>
        </is>
      </c>
      <c r="L5197" t="inlineStr">
        <is>
          <t>Kế Toán, Phân Tích Chi Phí, Phần mềm kế toán, Kế Toán Giá Thành, Payable Accounting</t>
        </is>
      </c>
      <c r="M5197" t="inlineStr">
        <is>
          <t>Laptop</t>
        </is>
      </c>
      <c r="N5197" s="8">
        <f>HYPERLINK("https://www.vietnamworks.com/ke-toan-gia-thanh-nganh-san-xuat-2015920-jv","Xem chi tiết")</f>
        <v/>
      </c>
    </row>
    <row r="5198">
      <c r="B5198" s="9" t="n">
        <v>5196</v>
      </c>
      <c r="C5198" s="10" t="inlineStr">
        <is>
          <t>Kỹ Sư Thiết Kế Điện</t>
        </is>
      </c>
      <c r="D5198" s="10" t="inlineStr">
        <is>
          <t>CÔNG TY CỔ PHẦN TƯ VẤN KỸ THUẬT VIỆT TIẾN</t>
        </is>
      </c>
      <c r="E5198" s="10" t="inlineStr">
        <is>
          <t>Thương lượng</t>
        </is>
      </c>
      <c r="F5198" s="10" t="inlineStr">
        <is>
          <t>Hà Nội</t>
        </is>
      </c>
      <c r="G5198" s="10" t="inlineStr">
        <is>
          <t>Mới Tốt Nghiệp</t>
        </is>
      </c>
      <c r="H5198" s="10" t="inlineStr">
        <is>
          <t>27/02/2026</t>
        </is>
      </c>
      <c r="I5198" s="10" t="inlineStr">
        <is>
          <t>29/03/2026</t>
        </is>
      </c>
      <c r="J5198" s="10" t="inlineStr">
        <is>
          <t>17/03/2026</t>
        </is>
      </c>
      <c r="K5198" s="10" t="inlineStr">
        <is>
          <t>N/A</t>
        </is>
      </c>
      <c r="L5198" s="10" t="inlineStr">
        <is>
          <t>Thiết Kế Công Trình, AutoCAD, Revit, Giám Sát, Công Trình Dân Dụng</t>
        </is>
      </c>
      <c r="M5198" s="10" t="inlineStr">
        <is>
          <t>Bonus, Healthcare Plan, Training, Awards, Laptop, Travel Opportunities, Others</t>
        </is>
      </c>
      <c r="N5198" s="11">
        <f>HYPERLINK("https://www.vietnamworks.com/ky-su-thiet-ke-djien-2015918-jv","Xem chi tiết")</f>
        <v/>
      </c>
      <c r="O5198" s="10" t="n"/>
    </row>
    <row r="5199">
      <c r="B5199" s="7" t="n">
        <v>5197</v>
      </c>
      <c r="C5199" t="inlineStr">
        <is>
          <t>Nhân Viên Kinh Doanh Thị Trường (B2B Công Nghiệp)</t>
        </is>
      </c>
      <c r="D5199" t="inlineStr">
        <is>
          <t>Công Ty TNHH Sản Xuất Thương Mại Dịch Vụ Vật Liệu Làm Kín Lê Gia</t>
        </is>
      </c>
      <c r="E5199" t="inlineStr">
        <is>
          <t>Thương lượng</t>
        </is>
      </c>
      <c r="F5199" t="inlineStr">
        <is>
          <t>Hồ Chí Minh</t>
        </is>
      </c>
      <c r="G5199" t="inlineStr">
        <is>
          <t>Nhân viên</t>
        </is>
      </c>
      <c r="H5199" t="inlineStr">
        <is>
          <t>27/02/2026</t>
        </is>
      </c>
      <c r="I5199" t="inlineStr">
        <is>
          <t>29/03/2026</t>
        </is>
      </c>
      <c r="J5199" t="inlineStr">
        <is>
          <t>17/03/2026</t>
        </is>
      </c>
      <c r="K5199" t="inlineStr">
        <is>
          <t>N/A</t>
        </is>
      </c>
      <c r="L5199" t="inlineStr">
        <is>
          <t>Kinh Doanh B2B, Application Consultation, Industrial Sales, Tư Vấn Kỹ Thuật, Đàm Phán</t>
        </is>
      </c>
      <c r="M5199" t="inlineStr">
        <is>
          <t>Bonus, Training, Awards, Travel Opportunities, Others</t>
        </is>
      </c>
      <c r="N5199" s="8">
        <f>HYPERLINK("https://www.vietnamworks.com/nhan-vien-kinh-doanh-thi-truong-b2b-cong-nghiep-2015923-jv","Xem chi tiết")</f>
        <v/>
      </c>
    </row>
    <row r="5200">
      <c r="B5200" s="9" t="n">
        <v>5198</v>
      </c>
      <c r="C5200" s="10" t="inlineStr">
        <is>
          <t>Sales</t>
        </is>
      </c>
      <c r="D5200" s="10" t="inlineStr">
        <is>
          <t>CÔNG TY CỔ PHẦN THƯƠNG MẠI VÀ DỊCH VỤ KỸ THUẬT TÂN KHANG</t>
        </is>
      </c>
      <c r="E5200" s="10" t="inlineStr">
        <is>
          <t>12tr-15tr ₫/tháng</t>
        </is>
      </c>
      <c r="F5200" s="10" t="inlineStr">
        <is>
          <t>Hồ Chí Minh</t>
        </is>
      </c>
      <c r="G5200" s="10" t="inlineStr">
        <is>
          <t>Nhân viên</t>
        </is>
      </c>
      <c r="H5200" s="10" t="inlineStr">
        <is>
          <t>27/02/2026</t>
        </is>
      </c>
      <c r="I5200" s="10" t="inlineStr">
        <is>
          <t>29/03/2026</t>
        </is>
      </c>
      <c r="J5200" s="10" t="inlineStr">
        <is>
          <t>17/03/2026</t>
        </is>
      </c>
      <c r="K5200" s="10" t="inlineStr">
        <is>
          <t>N/A</t>
        </is>
      </c>
      <c r="L5200" s="10" t="inlineStr">
        <is>
          <t>Tiếng Anh, Bán hàng, Giao Tiếp, Kinh Doanh, Vật Tư Y tế</t>
        </is>
      </c>
      <c r="M5200" s="10" t="inlineStr">
        <is>
          <t>Bonus, Healthcare Plan, Paid Leave</t>
        </is>
      </c>
      <c r="N5200" s="11">
        <f>HYPERLINK("https://www.vietnamworks.com/sales-2015929-jv","Xem chi tiết")</f>
        <v/>
      </c>
      <c r="O5200" s="10" t="n"/>
    </row>
    <row r="5201">
      <c r="B5201" s="7" t="n">
        <v>5199</v>
      </c>
      <c r="C5201" t="inlineStr">
        <is>
          <t>Nhân Viên Sourcing / Mua Hàng Kỹ Thuật</t>
        </is>
      </c>
      <c r="D5201" t="inlineStr">
        <is>
          <t>Công Ty TNHH Sản Xuất Thương Mại Dịch Vụ Vật Liệu Làm Kín Lê Gia</t>
        </is>
      </c>
      <c r="E5201" t="inlineStr">
        <is>
          <t>Thương lượng</t>
        </is>
      </c>
      <c r="F5201" t="inlineStr">
        <is>
          <t>Hồ Chí Minh</t>
        </is>
      </c>
      <c r="G5201" t="inlineStr">
        <is>
          <t>Nhân viên</t>
        </is>
      </c>
      <c r="H5201" t="inlineStr">
        <is>
          <t>27/02/2026</t>
        </is>
      </c>
      <c r="I5201" t="inlineStr">
        <is>
          <t>29/03/2026</t>
        </is>
      </c>
      <c r="J5201" t="inlineStr">
        <is>
          <t>17/03/2026</t>
        </is>
      </c>
      <c r="K5201" t="inlineStr">
        <is>
          <t>N/A</t>
        </is>
      </c>
      <c r="L5201" t="inlineStr">
        <is>
          <t>Sourcing Management, Cost Analysis, English Communication, English, Price Negotiation</t>
        </is>
      </c>
      <c r="M5201" t="inlineStr">
        <is>
          <t>Bonus, Healthcare Plan, Travel Opportunities, Others</t>
        </is>
      </c>
      <c r="N5201" s="8">
        <f>HYPERLINK("https://www.vietnamworks.com/nhan-vien-sourcing-mua-hang-ky-thuat-2015931-jv","Xem chi tiết")</f>
        <v/>
      </c>
    </row>
    <row r="5202">
      <c r="B5202" s="9" t="n">
        <v>5200</v>
      </c>
      <c r="C5202" s="10" t="inlineStr">
        <is>
          <t>Marketing Executive</t>
        </is>
      </c>
      <c r="D5202" s="10" t="inlineStr">
        <is>
          <t>CÔNG TY CỔ PHẦN TƯ VẤN GIÁO DỤC VÀ ĐÀO TẠO S.E.T</t>
        </is>
      </c>
      <c r="E5202" s="10" t="inlineStr">
        <is>
          <t>14tr-19tr ₫/tháng</t>
        </is>
      </c>
      <c r="F5202" s="10" t="inlineStr">
        <is>
          <t>Hồ Chí Minh</t>
        </is>
      </c>
      <c r="G5202" s="10" t="inlineStr">
        <is>
          <t>Nhân viên</t>
        </is>
      </c>
      <c r="H5202" s="10" t="inlineStr">
        <is>
          <t>27/02/2026</t>
        </is>
      </c>
      <c r="I5202" s="10" t="inlineStr">
        <is>
          <t>29/03/2026</t>
        </is>
      </c>
      <c r="J5202" s="10" t="inlineStr">
        <is>
          <t>17/03/2026</t>
        </is>
      </c>
      <c r="K5202" s="10" t="inlineStr">
        <is>
          <t>N/A</t>
        </is>
      </c>
      <c r="L5202" s="10" t="inlineStr">
        <is>
          <t>Event Management, Content Creation, Brand Management, Social Media Marketing, Interpersonal skills</t>
        </is>
      </c>
      <c r="M5202" s="10" t="inlineStr">
        <is>
          <t>Bonus, Training, Team Activities, Others</t>
        </is>
      </c>
      <c r="N5202" s="11">
        <f>HYPERLINK("https://www.vietnamworks.com/marketing-executive-2015937-jv","Xem chi tiết")</f>
        <v/>
      </c>
      <c r="O5202" s="10" t="n"/>
    </row>
    <row r="5203">
      <c r="B5203" s="7" t="n">
        <v>5201</v>
      </c>
      <c r="C5203" t="inlineStr">
        <is>
          <t>Nhân Viên Mua Bán Gỗ/ Nội Thất</t>
        </is>
      </c>
      <c r="D5203" t="inlineStr">
        <is>
          <t>CÔNG TY TNHH ĐỒ GỖ BÌNH DƯƠNG</t>
        </is>
      </c>
      <c r="E5203" t="inlineStr">
        <is>
          <t>Thương lượng</t>
        </is>
      </c>
      <c r="F5203" t="inlineStr">
        <is>
          <t>Bình Dương</t>
        </is>
      </c>
      <c r="G5203" t="inlineStr">
        <is>
          <t>Nhân viên</t>
        </is>
      </c>
      <c r="H5203" t="inlineStr">
        <is>
          <t>27/02/2026</t>
        </is>
      </c>
      <c r="I5203" t="inlineStr">
        <is>
          <t>29/03/2026</t>
        </is>
      </c>
      <c r="J5203" t="inlineStr">
        <is>
          <t>17/03/2026</t>
        </is>
      </c>
      <c r="K5203" t="inlineStr">
        <is>
          <t>N/A</t>
        </is>
      </c>
      <c r="L5203" t="inlineStr">
        <is>
          <t>Đọc Tiếng Anh, Tìm Kiếm Khách Hàng, Giao Tiếp, Thu Mua Gỗ, Wood Products</t>
        </is>
      </c>
      <c r="M5203" t="inlineStr">
        <is>
          <t>Bonus, Healthcare Plan, Paid Leave, Mobile, Others</t>
        </is>
      </c>
      <c r="N5203" s="8">
        <f>HYPERLINK("https://www.vietnamworks.com/nhan-vien-mua-ban-go-noi-that-2015942-jv","Xem chi tiết")</f>
        <v/>
      </c>
    </row>
    <row r="5204">
      <c r="B5204" s="9" t="n">
        <v>5202</v>
      </c>
      <c r="C5204" s="10" t="inlineStr">
        <is>
          <t>Medical Affairs Manager</t>
        </is>
      </c>
      <c r="D5204" s="10" t="inlineStr">
        <is>
          <t>Hetero Labs Limited</t>
        </is>
      </c>
      <c r="E5204" s="10" t="inlineStr">
        <is>
          <t>Thương lượng</t>
        </is>
      </c>
      <c r="F5204" s="10" t="inlineStr">
        <is>
          <t>Hồ Chí Minh</t>
        </is>
      </c>
      <c r="G5204" s="10" t="inlineStr">
        <is>
          <t>Trưởng phòng</t>
        </is>
      </c>
      <c r="H5204" s="10" t="inlineStr">
        <is>
          <t>27/02/2026</t>
        </is>
      </c>
      <c r="I5204" s="10" t="inlineStr">
        <is>
          <t>29/03/2026</t>
        </is>
      </c>
      <c r="J5204" s="10" t="inlineStr">
        <is>
          <t>17/03/2026</t>
        </is>
      </c>
      <c r="K5204" s="10" t="inlineStr">
        <is>
          <t>N/A</t>
        </is>
      </c>
      <c r="L5204" s="10" t="inlineStr">
        <is>
          <t>Medical Affairs Strategy, Oncology Nursing, Scholarly Communication, Relationship Building, Data-Driven</t>
        </is>
      </c>
      <c r="M5204" s="10" t="inlineStr">
        <is>
          <t>Bonus, Healthcare Plan, Laptop, Team Activities, Others</t>
        </is>
      </c>
      <c r="N5204" s="11">
        <f>HYPERLINK("https://www.vietnamworks.com/medical-affairs-manager-2015934-jv","Xem chi tiết")</f>
        <v/>
      </c>
      <c r="O5204" s="10" t="n"/>
    </row>
    <row r="5205">
      <c r="B5205" s="7" t="n">
        <v>5203</v>
      </c>
      <c r="C5205" t="inlineStr">
        <is>
          <t>Chief Information Officer ( CIO )</t>
        </is>
      </c>
      <c r="D5205" t="inlineStr">
        <is>
          <t>CÔNG TY CP SÁNG TẠO &amp; GIẢI PHÁP TRUYỀN THÔNG SỐ Á CHÂU</t>
        </is>
      </c>
      <c r="E5205" t="inlineStr">
        <is>
          <t>Từ 60tr ₫/tháng</t>
        </is>
      </c>
      <c r="F5205" t="inlineStr">
        <is>
          <t>Hà Nội</t>
        </is>
      </c>
      <c r="G5205" t="inlineStr">
        <is>
          <t>Giám Đốc và Cấp Cao Hơn</t>
        </is>
      </c>
      <c r="H5205" t="inlineStr">
        <is>
          <t>27/02/2026</t>
        </is>
      </c>
      <c r="I5205" t="inlineStr">
        <is>
          <t>29/03/2026</t>
        </is>
      </c>
      <c r="J5205" t="inlineStr">
        <is>
          <t>17/03/2026</t>
        </is>
      </c>
      <c r="K5205" t="inlineStr">
        <is>
          <t>N/A</t>
        </is>
      </c>
      <c r="L5205" t="inlineStr">
        <is>
          <t>Big Data, CIO, Kiến trúc hệ thống, Quản Trị Dữ Liệu, Security</t>
        </is>
      </c>
      <c r="M5205" t="inlineStr">
        <is>
          <t>Bonus, Others</t>
        </is>
      </c>
      <c r="N5205" s="8">
        <f>HYPERLINK("https://www.vietnamworks.com/chief-information-officer-cio-2015933-jv","Xem chi tiết")</f>
        <v/>
      </c>
    </row>
    <row r="5206">
      <c r="B5206" s="9" t="n">
        <v>5204</v>
      </c>
      <c r="C5206" s="10" t="inlineStr">
        <is>
          <t>Kỹ Sư AI - AI Engineer - Lương Upto 35 Triệu</t>
        </is>
      </c>
      <c r="D5206" s="10" t="inlineStr">
        <is>
          <t>BELLE ASIA LTD.,</t>
        </is>
      </c>
      <c r="E5206" s="10" t="inlineStr">
        <is>
          <t>25tr-35tr ₫/tháng</t>
        </is>
      </c>
      <c r="F5206" s="10" t="inlineStr">
        <is>
          <t>Hà Nội</t>
        </is>
      </c>
      <c r="G5206" s="10" t="inlineStr">
        <is>
          <t>Nhân viên</t>
        </is>
      </c>
      <c r="H5206" s="10" t="inlineStr">
        <is>
          <t>27/02/2026</t>
        </is>
      </c>
      <c r="I5206" s="10" t="inlineStr">
        <is>
          <t>29/03/2026</t>
        </is>
      </c>
      <c r="J5206" s="10" t="inlineStr">
        <is>
          <t>17/03/2026</t>
        </is>
      </c>
      <c r="K5206" s="10" t="inlineStr">
        <is>
          <t>N/A</t>
        </is>
      </c>
      <c r="L5206" s="10" t="inlineStr">
        <is>
          <t>Python, NLP, Computer Vision, Machine Learning, Logical Thinking</t>
        </is>
      </c>
      <c r="M5206" s="10" t="inlineStr">
        <is>
          <t>Healthcare Plan, Travel Opportunities, Team Activities, Others</t>
        </is>
      </c>
      <c r="N5206" s="11">
        <f>HYPERLINK("https://www.vietnamworks.com/ky-su-ai-ai-engineer-luong-upto-35-trieu-2015939-jv","Xem chi tiết")</f>
        <v/>
      </c>
      <c r="O5206" s="10" t="n"/>
    </row>
    <row r="5207">
      <c r="B5207" s="7" t="n">
        <v>5205</v>
      </c>
      <c r="C5207" t="inlineStr">
        <is>
          <t>Tester Leader</t>
        </is>
      </c>
      <c r="D5207" t="inlineStr">
        <is>
          <t>CÔNG TY CP SÁNG TẠO &amp; GIẢI PHÁP TRUYỀN THÔNG SỐ Á CHÂU</t>
        </is>
      </c>
      <c r="E5207" t="inlineStr">
        <is>
          <t>40tr-50tr ₫/tháng</t>
        </is>
      </c>
      <c r="F5207" t="inlineStr">
        <is>
          <t>Hà Nội</t>
        </is>
      </c>
      <c r="G5207" t="inlineStr">
        <is>
          <t>Nhân viên</t>
        </is>
      </c>
      <c r="H5207" t="inlineStr">
        <is>
          <t>27/02/2026</t>
        </is>
      </c>
      <c r="I5207" t="inlineStr">
        <is>
          <t>29/03/2026</t>
        </is>
      </c>
      <c r="J5207" t="inlineStr">
        <is>
          <t>17/03/2026</t>
        </is>
      </c>
      <c r="K5207" t="inlineStr">
        <is>
          <t>N/A</t>
        </is>
      </c>
      <c r="L5207" t="inlineStr">
        <is>
          <t>API Testing, Automation Testing, Bug Tracking, Test Planning, Test Strategy</t>
        </is>
      </c>
      <c r="M5207" t="inlineStr">
        <is>
          <t>Training</t>
        </is>
      </c>
      <c r="N5207" s="8">
        <f>HYPERLINK("https://www.vietnamworks.com/tester-leader-2015936-jv","Xem chi tiết")</f>
        <v/>
      </c>
    </row>
    <row r="5208">
      <c r="B5208" s="9" t="n">
        <v>5206</v>
      </c>
      <c r="C5208" s="10" t="inlineStr">
        <is>
          <t>Nhân Viên Marketing &amp; Tổ Chức Sự Kiện (Nam/nữ)</t>
        </is>
      </c>
      <c r="D5208" s="10" t="inlineStr">
        <is>
          <t>CÔNG TY TNHH DOPPELMAYR VIỆT NAM</t>
        </is>
      </c>
      <c r="E5208" s="10" t="inlineStr">
        <is>
          <t>$$ 800-1,200 /tháng</t>
        </is>
      </c>
      <c r="F5208" s="10" t="inlineStr">
        <is>
          <t>Hà Nội, Hồ Chí Minh</t>
        </is>
      </c>
      <c r="G5208" s="10" t="inlineStr">
        <is>
          <t>Nhân viên</t>
        </is>
      </c>
      <c r="H5208" s="10" t="inlineStr">
        <is>
          <t>27/02/2026</t>
        </is>
      </c>
      <c r="I5208" s="10" t="inlineStr">
        <is>
          <t>29/03/2026</t>
        </is>
      </c>
      <c r="J5208" s="10" t="inlineStr">
        <is>
          <t>17/03/2026</t>
        </is>
      </c>
      <c r="K5208" s="10" t="inlineStr">
        <is>
          <t>N/A</t>
        </is>
      </c>
      <c r="L5208" s="10" t="inlineStr">
        <is>
          <t>Tổ Chức Sự Kiện, Theo Dõi Tiến Độ, Xử Lý Tình Huống, Truyền Thông, Quản Lý Thương Hiệu</t>
        </is>
      </c>
      <c r="M5208" s="10" t="inlineStr">
        <is>
          <t>Bonus, Healthcare Plan, Paid Leave</t>
        </is>
      </c>
      <c r="N5208" s="11">
        <f>HYPERLINK("https://www.vietnamworks.com/nhan-vien-marketing-to-chuc-su-kien-nam-nu-2015938-jv","Xem chi tiết")</f>
        <v/>
      </c>
      <c r="O5208" s="10" t="n"/>
    </row>
    <row r="5209">
      <c r="B5209" s="7" t="n">
        <v>5207</v>
      </c>
      <c r="C5209" t="inlineStr">
        <is>
          <t>Assistant Manager Treasury Sales</t>
        </is>
      </c>
      <c r="D5209" t="inlineStr">
        <is>
          <t>Bank Of China (Hong Kong) Limited - Hochiminh City Branch</t>
        </is>
      </c>
      <c r="E5209" t="inlineStr">
        <is>
          <t>Thương lượng</t>
        </is>
      </c>
      <c r="F5209" t="inlineStr">
        <is>
          <t>Hồ Chí Minh</t>
        </is>
      </c>
      <c r="G5209" t="inlineStr">
        <is>
          <t>Nhân viên</t>
        </is>
      </c>
      <c r="H5209" t="inlineStr">
        <is>
          <t>27/02/2026</t>
        </is>
      </c>
      <c r="I5209" t="inlineStr">
        <is>
          <t>29/03/2026</t>
        </is>
      </c>
      <c r="J5209" t="inlineStr">
        <is>
          <t>17/03/2026</t>
        </is>
      </c>
      <c r="K5209" t="inlineStr">
        <is>
          <t>N/A</t>
        </is>
      </c>
      <c r="L5209" t="inlineStr">
        <is>
          <t>CFA, FRMS, Quản Lý Nguồn Vốn, Tư Vấn Nguồn Vốn, Ngoại hối &amp; Phái sinh</t>
        </is>
      </c>
      <c r="M5209" t="inlineStr">
        <is>
          <t>Bonus, Training, Others</t>
        </is>
      </c>
      <c r="N5209" s="8">
        <f>HYPERLINK("https://www.vietnamworks.com/assistant-manager-treasury-sales-2015935-jv","Xem chi tiết")</f>
        <v/>
      </c>
    </row>
    <row r="5210">
      <c r="B5210" s="9" t="n">
        <v>5208</v>
      </c>
      <c r="C5210" s="10" t="inlineStr">
        <is>
          <t>Đại Diện Kinh Doanh/ Business Representative (Hà Nội/ Hồ Chí Minh)</t>
        </is>
      </c>
      <c r="D5210" s="10" t="inlineStr">
        <is>
          <t>CÔNG TY TNHH INNOTECH MATERIALS VIỆT NAM</t>
        </is>
      </c>
      <c r="E5210" s="10" t="inlineStr">
        <is>
          <t>Thương lượng</t>
        </is>
      </c>
      <c r="F5210" s="10" t="inlineStr">
        <is>
          <t>Hồ Chí Minh, Hà Nội</t>
        </is>
      </c>
      <c r="G5210" s="10" t="inlineStr">
        <is>
          <t>Nhân viên</t>
        </is>
      </c>
      <c r="H5210" s="10" t="inlineStr">
        <is>
          <t>27/02/2026</t>
        </is>
      </c>
      <c r="I5210" s="10" t="inlineStr">
        <is>
          <t>29/03/2026</t>
        </is>
      </c>
      <c r="J5210" s="10" t="inlineStr">
        <is>
          <t>17/03/2026</t>
        </is>
      </c>
      <c r="K5210" s="10" t="inlineStr">
        <is>
          <t>N/A</t>
        </is>
      </c>
      <c r="L5210" s="10" t="inlineStr">
        <is>
          <t>Bán Hàng Hóa Chất, Khảo Sát Thị Trường, Kinh Doanh, Lập Kế Hoạch Bán Hàng, Đàm Phán</t>
        </is>
      </c>
      <c r="M5210" s="10" t="inlineStr">
        <is>
          <t>Bonus, Healthcare Plan, Paid Leave, Training, Travel Opportunities, Team Activities, Transportation, Others</t>
        </is>
      </c>
      <c r="N5210" s="11">
        <f>HYPERLINK("https://www.vietnamworks.com/dai-dien-kinh-doanh-business-representative-ha-noi-ho-chi-minh-2015930-jv","Xem chi tiết")</f>
        <v/>
      </c>
      <c r="O5210" s="10" t="n"/>
    </row>
    <row r="5211">
      <c r="B5211" s="7" t="n">
        <v>5209</v>
      </c>
      <c r="C5211" t="inlineStr">
        <is>
          <t>Nhân Viên Kinh Doanh Du Học &amp; Visa Định Cư (Thu Nhập 50 - 100 Triệu/tháng)</t>
        </is>
      </c>
      <c r="D5211" t="inlineStr">
        <is>
          <t>Công Ty TNHH Thương Mại Quốc Tế Năm Sao Sài Gòn</t>
        </is>
      </c>
      <c r="E5211" t="inlineStr">
        <is>
          <t>50tr-100tr ₫/tháng</t>
        </is>
      </c>
      <c r="F5211" t="inlineStr">
        <is>
          <t>Hồ Chí Minh</t>
        </is>
      </c>
      <c r="G5211" t="inlineStr">
        <is>
          <t>Trưởng phòng</t>
        </is>
      </c>
      <c r="H5211" t="inlineStr">
        <is>
          <t>27/02/2026</t>
        </is>
      </c>
      <c r="I5211" t="inlineStr">
        <is>
          <t>29/03/2026</t>
        </is>
      </c>
      <c r="J5211" t="inlineStr">
        <is>
          <t>17/03/2026</t>
        </is>
      </c>
      <c r="K5211" t="inlineStr">
        <is>
          <t>N/A</t>
        </is>
      </c>
      <c r="L5211" t="inlineStr">
        <is>
          <t>Sales experience, Consulting, Customer Care, Communication Skills, Positive Attitude</t>
        </is>
      </c>
      <c r="M5211" t="inlineStr">
        <is>
          <t>Bonus, Healthcare Plan, Training, Travel Opportunities, Team Activities, Others</t>
        </is>
      </c>
      <c r="N5211" s="8">
        <f>HYPERLINK("https://www.vietnamworks.com/nhan-vien-kinh-doanh-du-hoc-visa-dinh-cu-thu-nhap-50-100-trieu-thang-2015947-jv","Xem chi tiết")</f>
        <v/>
      </c>
    </row>
    <row r="5212">
      <c r="B5212" s="9" t="n">
        <v>5210</v>
      </c>
      <c r="C5212" s="10" t="inlineStr">
        <is>
          <t>Senior HR Supervisor, Operations (Manufacturing)</t>
        </is>
      </c>
      <c r="D5212" s="10" t="inlineStr">
        <is>
          <t>Avery Dennison Vietnam</t>
        </is>
      </c>
      <c r="E5212" s="10" t="inlineStr">
        <is>
          <t>Thương lượng</t>
        </is>
      </c>
      <c r="F5212" s="10" t="inlineStr">
        <is>
          <t>Hồ Chí Minh</t>
        </is>
      </c>
      <c r="G5212" s="10" t="inlineStr">
        <is>
          <t>Nhân viên</t>
        </is>
      </c>
      <c r="H5212" s="10" t="inlineStr">
        <is>
          <t>27/02/2026</t>
        </is>
      </c>
      <c r="I5212" s="10" t="inlineStr">
        <is>
          <t>29/03/2026</t>
        </is>
      </c>
      <c r="J5212" s="10" t="inlineStr">
        <is>
          <t>17/03/2026</t>
        </is>
      </c>
      <c r="K5212" s="10" t="inlineStr">
        <is>
          <t>N/A</t>
        </is>
      </c>
      <c r="L5212" s="10" t="inlineStr">
        <is>
          <t>Employee Engagement, Stakeholder Mangement, Manufacture System</t>
        </is>
      </c>
      <c r="M5212" s="10" t="inlineStr">
        <is>
          <t>Bonus, Healthcare Plan, Paid Leave</t>
        </is>
      </c>
      <c r="N5212" s="11">
        <f>HYPERLINK("https://www.vietnamworks.com/senior-hr-supervisor-operations-manufacturing-2015948-jv","Xem chi tiết")</f>
        <v/>
      </c>
      <c r="O5212" s="10" t="n"/>
    </row>
    <row r="5213">
      <c r="B5213" s="7" t="n">
        <v>5211</v>
      </c>
      <c r="C5213" t="inlineStr">
        <is>
          <t>[Viettel Asset] - Kỹ Sư Giám Sát Xây Dựng Viettel (Chủ Đầu Tư)</t>
        </is>
      </c>
      <c r="D5213" t="inlineStr">
        <is>
          <t>Tập Đoàn Công Nghiệp - Viễn Thông Quân Đội - Công Ty Quản Lý Tài Sản Viettel</t>
        </is>
      </c>
      <c r="E5213" t="inlineStr">
        <is>
          <t>$$ 700-1,200 /tháng</t>
        </is>
      </c>
      <c r="F5213" t="inlineStr">
        <is>
          <t>Hà Nội, Đà Nẵng, Hồ Chí Minh</t>
        </is>
      </c>
      <c r="G5213" t="inlineStr">
        <is>
          <t>Nhân viên</t>
        </is>
      </c>
      <c r="H5213" t="inlineStr">
        <is>
          <t>27/02/2026</t>
        </is>
      </c>
      <c r="I5213" t="inlineStr">
        <is>
          <t>29/03/2026</t>
        </is>
      </c>
      <c r="J5213" t="inlineStr">
        <is>
          <t>17/03/2026</t>
        </is>
      </c>
      <c r="K5213" t="inlineStr">
        <is>
          <t>N/A</t>
        </is>
      </c>
      <c r="L5213" t="inlineStr">
        <is>
          <t>Chất Lượng Xây Dựng, Xây Dựng Dân Dụng, Giám Sát Xây Dựng Công Trình, Quản Lý Tiến Độ, Giám Sát Công Trình</t>
        </is>
      </c>
      <c r="M5213" t="inlineStr">
        <is>
          <t>Bonus, Healthcare Plan, Paid Leave</t>
        </is>
      </c>
      <c r="N5213" s="8">
        <f>HYPERLINK("https://www.vietnamworks.com/viettel-asset-ky-su-giam-sat-xay-dung-viettel-chu-dau-tu-2015946-jv","Xem chi tiết")</f>
        <v/>
      </c>
    </row>
    <row r="5214">
      <c r="B5214" s="9" t="n">
        <v>5212</v>
      </c>
      <c r="C5214" s="10" t="inlineStr">
        <is>
          <t>[Viettel Asset] - Kỹ Sư Quản Lý Thiết Kế Hệ Thống Cơ Điện (MEP Design Management Engineer)</t>
        </is>
      </c>
      <c r="D5214" s="10" t="inlineStr">
        <is>
          <t>Tập Đoàn Công Nghiệp - Viễn Thông Quân Đội - Công Ty Quản Lý Tài Sản Viettel</t>
        </is>
      </c>
      <c r="E5214" s="10" t="inlineStr">
        <is>
          <t>$$ 1,000-2,000 /tháng</t>
        </is>
      </c>
      <c r="F5214" s="10" t="inlineStr">
        <is>
          <t>Hà Nội</t>
        </is>
      </c>
      <c r="G5214" s="10" t="inlineStr">
        <is>
          <t>Nhân viên</t>
        </is>
      </c>
      <c r="H5214" s="10" t="inlineStr">
        <is>
          <t>27/02/2026</t>
        </is>
      </c>
      <c r="I5214" s="10" t="inlineStr">
        <is>
          <t>29/03/2026</t>
        </is>
      </c>
      <c r="J5214" s="10" t="inlineStr">
        <is>
          <t>17/03/2026</t>
        </is>
      </c>
      <c r="K5214" s="10" t="inlineStr">
        <is>
          <t>N/A</t>
        </is>
      </c>
      <c r="L5214" s="10" t="inlineStr">
        <is>
          <t>Quản Lý Dự Án Công Trình Xây Dựng, Quản Lý Dự Án MEP, Quản Lý Hồ Sơ Thiết Kế, Quản Lý Thiết Kế MEP, Đấu Thầu Xây Dựng</t>
        </is>
      </c>
      <c r="M5214" s="10" t="inlineStr">
        <is>
          <t>Bonus, Healthcare Plan, Paid Leave, Training, Others</t>
        </is>
      </c>
      <c r="N5214" s="11">
        <f>HYPERLINK("https://www.vietnamworks.com/viettel-asset-ky-su-quan-ly-thiet-ke-he-thong-co-djien-mep-design-management-engineer-2015932-jv","Xem chi tiết")</f>
        <v/>
      </c>
      <c r="O5214" s="10" t="n"/>
    </row>
    <row r="5215">
      <c r="B5215" s="7" t="n">
        <v>5213</v>
      </c>
      <c r="C5215" t="inlineStr">
        <is>
          <t>Optimization Manager</t>
        </is>
      </c>
      <c r="D5215" t="inlineStr">
        <is>
          <t>PMAX - Total Marketing Partner</t>
        </is>
      </c>
      <c r="E5215" t="inlineStr">
        <is>
          <t>Thương lượng</t>
        </is>
      </c>
      <c r="F5215" t="inlineStr">
        <is>
          <t>Hồ Chí Minh</t>
        </is>
      </c>
      <c r="G5215" t="inlineStr">
        <is>
          <t>Trưởng phòng</t>
        </is>
      </c>
      <c r="H5215" t="inlineStr">
        <is>
          <t>27/02/2026</t>
        </is>
      </c>
      <c r="I5215" t="inlineStr">
        <is>
          <t>29/03/2026</t>
        </is>
      </c>
      <c r="J5215" t="inlineStr">
        <is>
          <t>17/03/2026</t>
        </is>
      </c>
      <c r="K5215" t="inlineStr">
        <is>
          <t>N/A</t>
        </is>
      </c>
      <c r="L5215" t="inlineStr">
        <is>
          <t>Project Management, Analytical Skills, Problem-solving, Digital Marketing, Optimization</t>
        </is>
      </c>
      <c r="M5215" t="inlineStr">
        <is>
          <t>Bonus, Healthcare Plan, Paid Leave, Training, Awards, Laptop, Team Activities, Others</t>
        </is>
      </c>
      <c r="N5215" s="8">
        <f>HYPERLINK("https://www.vietnamworks.com/optimization-manager-2015945-jv","Xem chi tiết")</f>
        <v/>
      </c>
    </row>
    <row r="5216">
      <c r="B5216" s="9" t="n">
        <v>5214</v>
      </c>
      <c r="C5216" s="10" t="inlineStr">
        <is>
          <t>Kế Toán Trưởng</t>
        </is>
      </c>
      <c r="D5216" s="10" t="inlineStr">
        <is>
          <t>Công ty Cổ phần Nội thất Chân Tâm</t>
        </is>
      </c>
      <c r="E5216" s="10" t="inlineStr">
        <is>
          <t>20tr-30tr ₫/tháng</t>
        </is>
      </c>
      <c r="F5216" s="10" t="inlineStr">
        <is>
          <t>Hà Nội</t>
        </is>
      </c>
      <c r="G5216" s="10" t="inlineStr">
        <is>
          <t>Nhân viên</t>
        </is>
      </c>
      <c r="H5216" s="10" t="inlineStr">
        <is>
          <t>27/02/2026</t>
        </is>
      </c>
      <c r="I5216" s="10" t="inlineStr">
        <is>
          <t>29/03/2026</t>
        </is>
      </c>
      <c r="J5216" s="10" t="inlineStr">
        <is>
          <t>17/03/2026</t>
        </is>
      </c>
      <c r="K5216" s="10" t="inlineStr">
        <is>
          <t>N/A</t>
        </is>
      </c>
      <c r="L5216" s="10" t="inlineStr">
        <is>
          <t>Kế Toán, Quản Lý Tài Chính, Misa, Tài Chính, Chứng từ</t>
        </is>
      </c>
      <c r="M5216" s="10" t="inlineStr">
        <is>
          <t>Healthcare Plan, Training</t>
        </is>
      </c>
      <c r="N5216" s="11">
        <f>HYPERLINK("https://www.vietnamworks.com/ke-toan-truong-2015951-jv","Xem chi tiết")</f>
        <v/>
      </c>
      <c r="O5216" s="10" t="n"/>
    </row>
    <row r="5217">
      <c r="B5217" s="7" t="n">
        <v>5215</v>
      </c>
      <c r="C5217" t="inlineStr">
        <is>
          <t>General Marketing Manager</t>
        </is>
      </c>
      <c r="D5217" t="inlineStr">
        <is>
          <t>FORD VIETNAM LIMITED</t>
        </is>
      </c>
      <c r="E5217" t="inlineStr">
        <is>
          <t>Thương lượng</t>
        </is>
      </c>
      <c r="F5217" t="inlineStr">
        <is>
          <t>Hà Nội</t>
        </is>
      </c>
      <c r="G5217" t="inlineStr">
        <is>
          <t>Trưởng phòng</t>
        </is>
      </c>
      <c r="H5217" t="inlineStr">
        <is>
          <t>27/02/2026</t>
        </is>
      </c>
      <c r="I5217" t="inlineStr">
        <is>
          <t>29/03/2026</t>
        </is>
      </c>
      <c r="J5217" t="inlineStr">
        <is>
          <t>17/03/2026</t>
        </is>
      </c>
      <c r="K5217" t="inlineStr">
        <is>
          <t>N/A</t>
        </is>
      </c>
      <c r="L5217" t="inlineStr">
        <is>
          <t>Marketing, Leadership, Marcom Planning, Marcom, Automotive Marketing</t>
        </is>
      </c>
      <c r="M5217" t="inlineStr">
        <is>
          <t>Bonus, Healthcare Plan, Transportation</t>
        </is>
      </c>
      <c r="N5217" s="8">
        <f>HYPERLINK("https://www.vietnamworks.com/general-marketing-manager--2015949-jv","Xem chi tiết")</f>
        <v/>
      </c>
    </row>
    <row r="5218">
      <c r="B5218" s="9" t="n">
        <v>5216</v>
      </c>
      <c r="C5218" s="10" t="inlineStr">
        <is>
          <t>Nhân Viên Hồ Sơ Dự Án (Thầu)</t>
        </is>
      </c>
      <c r="D5218" s="10" t="inlineStr">
        <is>
          <t>CÔNG TY CỔ PHẦN THƯƠNG MẠI VÀ DỊCH VỤ KỸ THUẬT TÂN KHANG</t>
        </is>
      </c>
      <c r="E5218" s="10" t="inlineStr">
        <is>
          <t>Thương lượng</t>
        </is>
      </c>
      <c r="F5218" s="10" t="inlineStr">
        <is>
          <t>Hồ Chí Minh</t>
        </is>
      </c>
      <c r="G5218" s="10" t="inlineStr">
        <is>
          <t>Nhân viên</t>
        </is>
      </c>
      <c r="H5218" s="10" t="inlineStr">
        <is>
          <t>27/02/2026</t>
        </is>
      </c>
      <c r="I5218" s="10" t="inlineStr">
        <is>
          <t>29/03/2026</t>
        </is>
      </c>
      <c r="J5218" s="10" t="inlineStr">
        <is>
          <t>17/03/2026</t>
        </is>
      </c>
      <c r="K5218" s="10" t="inlineStr">
        <is>
          <t>N/A</t>
        </is>
      </c>
      <c r="L5218" s="10" t="inlineStr">
        <is>
          <t>Tiếng Anh, Biên Soạn Hợp Đồng, Dự án, Giao Tiếp, Đấu Thầu</t>
        </is>
      </c>
      <c r="M5218" s="10" t="inlineStr">
        <is>
          <t>Bonus, Healthcare Plan, Paid Leave</t>
        </is>
      </c>
      <c r="N5218" s="11">
        <f>HYPERLINK("https://www.vietnamworks.com/nhan-vien-ho-so-du-an-thau-2015952-jv","Xem chi tiết")</f>
        <v/>
      </c>
      <c r="O5218" s="10" t="n"/>
    </row>
    <row r="5219">
      <c r="B5219" s="7" t="n">
        <v>5217</v>
      </c>
      <c r="C5219" t="inlineStr">
        <is>
          <t>International Purchasing Assistant Manager - From 1,200$</t>
        </is>
      </c>
      <c r="D5219" t="inlineStr">
        <is>
          <t>Sun-Wa Technos (Vietnam) Company Limited</t>
        </is>
      </c>
      <c r="E5219" t="inlineStr">
        <is>
          <t>Từ $ 1,200 /tháng</t>
        </is>
      </c>
      <c r="F5219" t="inlineStr">
        <is>
          <t>Hà Nội</t>
        </is>
      </c>
      <c r="G5219" t="inlineStr">
        <is>
          <t>Nhân viên</t>
        </is>
      </c>
      <c r="H5219" t="inlineStr">
        <is>
          <t>27/02/2026</t>
        </is>
      </c>
      <c r="I5219" t="inlineStr">
        <is>
          <t>29/03/2026</t>
        </is>
      </c>
      <c r="J5219" t="inlineStr">
        <is>
          <t>17/03/2026</t>
        </is>
      </c>
      <c r="K5219" t="inlineStr">
        <is>
          <t>N/A</t>
        </is>
      </c>
      <c r="L5219" t="inlineStr">
        <is>
          <t>Tiếng Nhật N3, Tiếng Anh, Kinh Doanh, Chăm Sóc Khách Hàng, Japanese</t>
        </is>
      </c>
      <c r="M5219" t="inlineStr">
        <is>
          <t>Bonus, Healthcare Plan</t>
        </is>
      </c>
      <c r="N5219" s="8">
        <f>HYPERLINK("https://www.vietnamworks.com/international-purchasing-assistant-manager-from-1-200-2015943-jv","Xem chi tiết")</f>
        <v/>
      </c>
    </row>
    <row r="5220">
      <c r="B5220" s="9" t="n">
        <v>5218</v>
      </c>
      <c r="C5220" s="10" t="inlineStr">
        <is>
          <t>Giám Sát Nôi Thât</t>
        </is>
      </c>
      <c r="D5220" s="10" t="inlineStr">
        <is>
          <t>CÔNG TY CỔ PHẦN XÂY DỰNG VÀ ĐẦU TƯ GALAXY</t>
        </is>
      </c>
      <c r="E5220" s="10" t="inlineStr">
        <is>
          <t>Thương lượng</t>
        </is>
      </c>
      <c r="F5220" s="10" t="inlineStr">
        <is>
          <t>Hồ Chí Minh</t>
        </is>
      </c>
      <c r="G5220" s="10" t="inlineStr">
        <is>
          <t>Mới Tốt Nghiệp</t>
        </is>
      </c>
      <c r="H5220" s="10" t="inlineStr">
        <is>
          <t>27/02/2026</t>
        </is>
      </c>
      <c r="I5220" s="10" t="inlineStr">
        <is>
          <t>29/03/2026</t>
        </is>
      </c>
      <c r="J5220" s="10" t="inlineStr">
        <is>
          <t>17/03/2026</t>
        </is>
      </c>
      <c r="K5220" s="10" t="inlineStr">
        <is>
          <t>N/A</t>
        </is>
      </c>
      <c r="L5220" s="10" t="inlineStr">
        <is>
          <t>Giám Sát Thi Công, Thanh Quyết Toán, Theo Dõi Tiến Độ, Tư Duy Thẩm Mỹ, Đọc Hiểu Bản Vẽ</t>
        </is>
      </c>
      <c r="M5220" s="10" t="inlineStr">
        <is>
          <t>Bonus, Healthcare Plan, Travel Opportunities, Others</t>
        </is>
      </c>
      <c r="N5220" s="11">
        <f>HYPERLINK("https://www.vietnamworks.com/giam-sat-noi-that-2015955-jv","Xem chi tiết")</f>
        <v/>
      </c>
      <c r="O5220" s="10" t="n"/>
    </row>
    <row r="5221">
      <c r="B5221" s="7" t="n">
        <v>5219</v>
      </c>
      <c r="C5221" t="inlineStr">
        <is>
          <t>Kiến Trúc Sư Triển Khai BVTC</t>
        </is>
      </c>
      <c r="D5221" t="inlineStr">
        <is>
          <t>Công Ty Cổ Phần Phát Triển Xây Dựng Và Kiến Trúc Goome</t>
        </is>
      </c>
      <c r="E5221" t="inlineStr">
        <is>
          <t>12tr-22tr ₫/tháng</t>
        </is>
      </c>
      <c r="F5221" t="inlineStr">
        <is>
          <t>Hà Nội</t>
        </is>
      </c>
      <c r="G5221" t="inlineStr">
        <is>
          <t>Nhân viên</t>
        </is>
      </c>
      <c r="H5221" t="inlineStr">
        <is>
          <t>27/02/2026</t>
        </is>
      </c>
      <c r="I5221" t="inlineStr">
        <is>
          <t>29/03/2026</t>
        </is>
      </c>
      <c r="J5221" t="inlineStr">
        <is>
          <t>17/03/2026</t>
        </is>
      </c>
      <c r="K5221" t="inlineStr">
        <is>
          <t>N/A</t>
        </is>
      </c>
      <c r="L5221" t="inlineStr">
        <is>
          <t>Triển Khai Hồ Sơ Thi Công, Đọc Bản Vẽ Thi Công, Triển Khai Bản Vẽ, AutoCad Drawings, Revit</t>
        </is>
      </c>
      <c r="M5221" t="inlineStr">
        <is>
          <t>Bonus, Travel Opportunities, Others</t>
        </is>
      </c>
      <c r="N5221" s="8">
        <f>HYPERLINK("https://www.vietnamworks.com/kien-truc-su-trien-khai-bvtc-2015971-jv","Xem chi tiết")</f>
        <v/>
      </c>
    </row>
    <row r="5222">
      <c r="B5222" s="9" t="n">
        <v>5220</v>
      </c>
      <c r="C5222" s="10" t="inlineStr">
        <is>
          <t>3D Event Designer</t>
        </is>
      </c>
      <c r="D5222" s="10" t="inlineStr">
        <is>
          <t>CÔNG TY TNHH SẢN XUẤT TRUYỀN THÔNG IDS</t>
        </is>
      </c>
      <c r="E5222" s="10" t="inlineStr">
        <is>
          <t>20tr-30tr ₫/tháng</t>
        </is>
      </c>
      <c r="F5222" s="10" t="inlineStr">
        <is>
          <t>Hà Nội</t>
        </is>
      </c>
      <c r="G5222" s="10" t="inlineStr">
        <is>
          <t>Nhân viên</t>
        </is>
      </c>
      <c r="H5222" s="10" t="inlineStr">
        <is>
          <t>27/02/2026</t>
        </is>
      </c>
      <c r="I5222" s="10" t="inlineStr">
        <is>
          <t>29/03/2026</t>
        </is>
      </c>
      <c r="J5222" s="10" t="inlineStr">
        <is>
          <t>17/03/2026</t>
        </is>
      </c>
      <c r="K5222" s="10" t="inlineStr">
        <is>
          <t>N/A</t>
        </is>
      </c>
      <c r="L5222" s="10" t="inlineStr">
        <is>
          <t>3D Design, 3D Max, Autocad, Sketchup, Vray</t>
        </is>
      </c>
      <c r="M5222" s="10" t="inlineStr">
        <is>
          <t>Bonus, Paid Leave, Team Activities, Others</t>
        </is>
      </c>
      <c r="N5222" s="11">
        <f>HYPERLINK("https://www.vietnamworks.com/3d-event-designer--2015966-jv","Xem chi tiết")</f>
        <v/>
      </c>
      <c r="O5222" s="10" t="n"/>
    </row>
    <row r="5223">
      <c r="B5223" s="7" t="n">
        <v>5221</v>
      </c>
      <c r="C5223" t="inlineStr">
        <is>
          <t>Business Development Manager</t>
        </is>
      </c>
      <c r="D5223" t="inlineStr">
        <is>
          <t>PMAX - Total Marketing Partner</t>
        </is>
      </c>
      <c r="E5223" t="inlineStr">
        <is>
          <t>Thương lượng</t>
        </is>
      </c>
      <c r="F5223" t="inlineStr">
        <is>
          <t>Hồ Chí Minh</t>
        </is>
      </c>
      <c r="G5223" t="inlineStr">
        <is>
          <t>Trưởng phòng</t>
        </is>
      </c>
      <c r="H5223" t="inlineStr">
        <is>
          <t>27/02/2026</t>
        </is>
      </c>
      <c r="I5223" t="inlineStr">
        <is>
          <t>29/03/2026</t>
        </is>
      </c>
      <c r="J5223" t="inlineStr">
        <is>
          <t>17/03/2026</t>
        </is>
      </c>
      <c r="K5223" t="inlineStr">
        <is>
          <t>N/A</t>
        </is>
      </c>
      <c r="L5223" t="inlineStr">
        <is>
          <t>B2B Business Development, Sales Strategy, Channel Relationship Management, Team Management, Performance Management</t>
        </is>
      </c>
      <c r="M5223" t="inlineStr">
        <is>
          <t>Bonus, Healthcare Plan, Paid Leave, Training, Awards, Laptop, Team Activities, Others</t>
        </is>
      </c>
      <c r="N5223" s="8">
        <f>HYPERLINK("https://www.vietnamworks.com/business-development-manager-2015953-jv","Xem chi tiết")</f>
        <v/>
      </c>
    </row>
    <row r="5224">
      <c r="B5224" s="9" t="n">
        <v>5222</v>
      </c>
      <c r="C5224" s="10" t="inlineStr">
        <is>
          <t>Content</t>
        </is>
      </c>
      <c r="D5224" s="10" t="inlineStr">
        <is>
          <t>CÔNG TY TNHH SẢN XUẤT TRUYỀN THÔNG IDS</t>
        </is>
      </c>
      <c r="E5224" s="10" t="inlineStr">
        <is>
          <t>Thương lượng</t>
        </is>
      </c>
      <c r="F5224" s="10" t="inlineStr">
        <is>
          <t>Hà Nội</t>
        </is>
      </c>
      <c r="G5224" s="10" t="inlineStr">
        <is>
          <t>Nhân viên</t>
        </is>
      </c>
      <c r="H5224" s="10" t="inlineStr">
        <is>
          <t>27/02/2026</t>
        </is>
      </c>
      <c r="I5224" s="10" t="inlineStr">
        <is>
          <t>29/03/2026</t>
        </is>
      </c>
      <c r="J5224" s="10" t="inlineStr">
        <is>
          <t>17/03/2026</t>
        </is>
      </c>
      <c r="K5224" s="10" t="inlineStr">
        <is>
          <t>N/A</t>
        </is>
      </c>
      <c r="L5224" s="10" t="inlineStr">
        <is>
          <t>Canva, Excel, Powerpoint</t>
        </is>
      </c>
      <c r="M5224" s="10" t="inlineStr">
        <is>
          <t>Bonus, Paid Leave, Team Activities, Others</t>
        </is>
      </c>
      <c r="N5224" s="11">
        <f>HYPERLINK("https://www.vietnamworks.com/content-2015963-jv","Xem chi tiết")</f>
        <v/>
      </c>
      <c r="O5224" s="10" t="n"/>
    </row>
    <row r="5225">
      <c r="B5225" s="7" t="n">
        <v>5223</v>
      </c>
      <c r="C5225" t="inlineStr">
        <is>
          <t>Phụ Trách Ban R&amp;D (Nghiên Cứu &amp; Phát Triển BĐS)</t>
        </is>
      </c>
      <c r="D5225" t="inlineStr">
        <is>
          <t>Công ty Cổ phần SSLAND</t>
        </is>
      </c>
      <c r="E5225" t="inlineStr">
        <is>
          <t>30tr-50tr ₫/tháng</t>
        </is>
      </c>
      <c r="F5225" t="inlineStr">
        <is>
          <t>Hà Nội</t>
        </is>
      </c>
      <c r="G5225" t="inlineStr">
        <is>
          <t>Nhân viên</t>
        </is>
      </c>
      <c r="H5225" t="inlineStr">
        <is>
          <t>27/02/2026</t>
        </is>
      </c>
      <c r="I5225" t="inlineStr">
        <is>
          <t>29/03/2026</t>
        </is>
      </c>
      <c r="J5225" t="inlineStr">
        <is>
          <t>17/03/2026</t>
        </is>
      </c>
      <c r="K5225" t="inlineStr">
        <is>
          <t>N/A</t>
        </is>
      </c>
      <c r="L5225" t="inlineStr">
        <is>
          <t>Phân Tích Thị Trường, Thu Thập Dữ Liệu, Thuyết Trình, Kỹ năng giao tiêp, Phân Tích Chiến Lược</t>
        </is>
      </c>
      <c r="M5225" t="inlineStr">
        <is>
          <t>Healthcare Plan, Paid Leave, Team Activities, Others</t>
        </is>
      </c>
      <c r="N5225" s="8">
        <f>HYPERLINK("https://www.vietnamworks.com/phu-trach-ban-randd-nghien-cuu-and-phat-trien-bdjs-2015964-jv","Xem chi tiết")</f>
        <v/>
      </c>
    </row>
    <row r="5226">
      <c r="B5226" s="9" t="n">
        <v>5224</v>
      </c>
      <c r="C5226" s="10" t="inlineStr">
        <is>
          <t>(Senior) Ecommerce Executive</t>
        </is>
      </c>
      <c r="D5226" s="10" t="inlineStr">
        <is>
          <t>Rubik Solutions ltd.</t>
        </is>
      </c>
      <c r="E5226" s="10" t="inlineStr">
        <is>
          <t>Thương lượng</t>
        </is>
      </c>
      <c r="F5226" s="10" t="inlineStr">
        <is>
          <t>Hồ Chí Minh</t>
        </is>
      </c>
      <c r="G5226" s="10" t="inlineStr">
        <is>
          <t>Nhân viên</t>
        </is>
      </c>
      <c r="H5226" s="10" t="inlineStr">
        <is>
          <t>27/02/2026</t>
        </is>
      </c>
      <c r="I5226" s="10" t="inlineStr">
        <is>
          <t>29/03/2026</t>
        </is>
      </c>
      <c r="J5226" s="10" t="inlineStr">
        <is>
          <t>17/03/2026</t>
        </is>
      </c>
      <c r="K5226" s="10" t="inlineStr">
        <is>
          <t>N/A</t>
        </is>
      </c>
      <c r="L5226" s="10" t="inlineStr">
        <is>
          <t>Advertising, Brand Marketing, Marketing, Account Management, Affiliate Marketing</t>
        </is>
      </c>
      <c r="M5226" s="10" t="inlineStr">
        <is>
          <t>Bonus, Healthcare Plan, Paid Leave, Training, Awards, Transportation</t>
        </is>
      </c>
      <c r="N5226" s="11">
        <f>HYPERLINK("https://www.vietnamworks.com/senior-ecommerce-executive--2015958-jv","Xem chi tiết")</f>
        <v/>
      </c>
      <c r="O5226" s="10" t="n"/>
    </row>
    <row r="5227">
      <c r="B5227" s="7" t="n">
        <v>5225</v>
      </c>
      <c r="C5227" t="inlineStr">
        <is>
          <t>Giảng Viên Ngôn Ngữ Trung Quốc</t>
        </is>
      </c>
      <c r="D5227" t="inlineStr">
        <is>
          <t>Trường Đại Học Ngoại Ngữ - Tin Học Thành Phố Hồ Chí Minh</t>
        </is>
      </c>
      <c r="E5227" t="inlineStr">
        <is>
          <t>Thương lượng</t>
        </is>
      </c>
      <c r="F5227" t="inlineStr">
        <is>
          <t>Hồ Chí Minh</t>
        </is>
      </c>
      <c r="G5227" t="inlineStr">
        <is>
          <t>Nhân viên</t>
        </is>
      </c>
      <c r="H5227" t="inlineStr">
        <is>
          <t>27/02/2026</t>
        </is>
      </c>
      <c r="I5227" t="inlineStr">
        <is>
          <t>29/03/2026</t>
        </is>
      </c>
      <c r="J5227" t="inlineStr">
        <is>
          <t>17/03/2026</t>
        </is>
      </c>
      <c r="K5227" t="inlineStr">
        <is>
          <t>N/A</t>
        </is>
      </c>
      <c r="L5227" t="inlineStr">
        <is>
          <t>Giảng Dạy Tiếng Việt, Sư Phạm Tiếng Trung Quốc, Ngôn Ngữ Học, Giáo Dục Quốc Tế, Đào Tạo</t>
        </is>
      </c>
      <c r="M5227" t="inlineStr">
        <is>
          <t>Bonus, Healthcare Plan, Paid Leave, Training, Team Activities, Others</t>
        </is>
      </c>
      <c r="N5227" s="8">
        <f>HYPERLINK("https://www.vietnamworks.com/giang-vien-ngon-ngu-trung-quoc-2015970-jv","Xem chi tiết")</f>
        <v/>
      </c>
    </row>
    <row r="5228">
      <c r="B5228" s="9" t="n">
        <v>5226</v>
      </c>
      <c r="C5228" s="10" t="inlineStr">
        <is>
          <t>Graduate to Senior Consultant | Digital Trust in Hanoi Office</t>
        </is>
      </c>
      <c r="D5228" s="10" t="inlineStr">
        <is>
          <t>Ernst &amp; Young Vietnam Limited (EY Vietnam)</t>
        </is>
      </c>
      <c r="E5228" s="10" t="inlineStr">
        <is>
          <t>Thương lượng</t>
        </is>
      </c>
      <c r="F5228" s="10" t="inlineStr">
        <is>
          <t>Hà Nội</t>
        </is>
      </c>
      <c r="G5228" s="10" t="inlineStr">
        <is>
          <t>Nhân viên</t>
        </is>
      </c>
      <c r="H5228" s="10" t="inlineStr">
        <is>
          <t>27/02/2026</t>
        </is>
      </c>
      <c r="I5228" s="10" t="inlineStr">
        <is>
          <t>29/03/2026</t>
        </is>
      </c>
      <c r="J5228" s="10" t="inlineStr">
        <is>
          <t>17/03/2026</t>
        </is>
      </c>
      <c r="K5228" s="10" t="inlineStr">
        <is>
          <t>N/A</t>
        </is>
      </c>
      <c r="L5228" s="10" t="inlineStr">
        <is>
          <t>IT Security GRC, IT Audit, CISA, Data protection regulations, IT Governance</t>
        </is>
      </c>
      <c r="M5228" s="10" t="inlineStr">
        <is>
          <t>Bonus, Awards, Others</t>
        </is>
      </c>
      <c r="N5228" s="11">
        <f>HYPERLINK("https://www.vietnamworks.com/graduate-to-senior-consultant-digital-trust-in-hanoi-office-2015954-jv","Xem chi tiết")</f>
        <v/>
      </c>
      <c r="O5228" s="10" t="n"/>
    </row>
    <row r="5229">
      <c r="B5229" s="7" t="n">
        <v>5227</v>
      </c>
      <c r="C5229" t="inlineStr">
        <is>
          <t>Senior Accounting Executive (Urgent)</t>
        </is>
      </c>
      <c r="D5229" t="inlineStr">
        <is>
          <t>Công Ty TNHH Dragonfly Select Brands Vietnam</t>
        </is>
      </c>
      <c r="E5229" t="inlineStr">
        <is>
          <t>15tr-20tr ₫/tháng</t>
        </is>
      </c>
      <c r="F5229" t="inlineStr">
        <is>
          <t>Hồ Chí Minh</t>
        </is>
      </c>
      <c r="G5229" t="inlineStr">
        <is>
          <t>Nhân viên</t>
        </is>
      </c>
      <c r="H5229" t="inlineStr">
        <is>
          <t>27/02/2026</t>
        </is>
      </c>
      <c r="I5229" t="inlineStr">
        <is>
          <t>29/03/2026</t>
        </is>
      </c>
      <c r="J5229" t="inlineStr">
        <is>
          <t>17/03/2026</t>
        </is>
      </c>
      <c r="K5229" t="inlineStr">
        <is>
          <t>N/A</t>
        </is>
      </c>
      <c r="L5229" t="inlineStr">
        <is>
          <t>Accounting, E-commerce, English Fluency, Excel, Inventory Management</t>
        </is>
      </c>
      <c r="M5229" t="inlineStr">
        <is>
          <t>Bonus, Paid Leave, Others</t>
        </is>
      </c>
      <c r="N5229" s="8">
        <f>HYPERLINK("https://www.vietnamworks.com/senior-accounting-executive-urgent-2015962-jv","Xem chi tiết")</f>
        <v/>
      </c>
    </row>
    <row r="5230">
      <c r="B5230" s="9" t="n">
        <v>5228</v>
      </c>
      <c r="C5230" s="10" t="inlineStr">
        <is>
          <t>Trưởng Phòng Nhân Sự (HR Manager)</t>
        </is>
      </c>
      <c r="D5230" s="10" t="inlineStr">
        <is>
          <t>Công Ty Cổ Phần Xây Dựng Và Thương Mại Đại Long Group</t>
        </is>
      </c>
      <c r="E5230" s="10" t="inlineStr">
        <is>
          <t>30tr-60tr ₫/tháng</t>
        </is>
      </c>
      <c r="F5230" s="10" t="inlineStr">
        <is>
          <t>Hà Nội</t>
        </is>
      </c>
      <c r="G5230" s="10" t="inlineStr">
        <is>
          <t>Trưởng phòng</t>
        </is>
      </c>
      <c r="H5230" s="10" t="inlineStr">
        <is>
          <t>27/02/2026</t>
        </is>
      </c>
      <c r="I5230" s="10" t="inlineStr">
        <is>
          <t>29/03/2026</t>
        </is>
      </c>
      <c r="J5230" s="10" t="inlineStr">
        <is>
          <t>17/03/2026</t>
        </is>
      </c>
      <c r="K5230" s="10" t="inlineStr">
        <is>
          <t>N/A</t>
        </is>
      </c>
      <c r="L5230" s="10" t="inlineStr">
        <is>
          <t>Hành Chính, Quản Lý Nhân Sự, Xây dựng hệ thống, Xây dựng văn hóa doanh nghiệp, Phát triển nguồn nhân lực</t>
        </is>
      </c>
      <c r="M5230" s="10" t="inlineStr">
        <is>
          <t>Bonus, Healthcare Plan, Transportation</t>
        </is>
      </c>
      <c r="N5230" s="11">
        <f>HYPERLINK("https://www.vietnamworks.com/truong-phong-nhan-su-hr-manager--2015976-jv","Xem chi tiết")</f>
        <v/>
      </c>
      <c r="O5230" s="10" t="n"/>
    </row>
    <row r="5231">
      <c r="B5231" s="7" t="n">
        <v>5229</v>
      </c>
      <c r="C5231" t="inlineStr">
        <is>
          <t>Nhân Viên Kinh Doanh - Sales - Thu Nhập Upto 30M/ Tháng</t>
        </is>
      </c>
      <c r="D5231" t="inlineStr">
        <is>
          <t>CÔNG TY TNHH SẢN XUẤT THANG MÁY SMARTRISE VIỆT NAM</t>
        </is>
      </c>
      <c r="E5231" t="inlineStr">
        <is>
          <t>15tr-30tr ₫/tháng</t>
        </is>
      </c>
      <c r="F5231" t="inlineStr">
        <is>
          <t>Hà Nội</t>
        </is>
      </c>
      <c r="G5231" t="inlineStr">
        <is>
          <t>Nhân viên</t>
        </is>
      </c>
      <c r="H5231" t="inlineStr">
        <is>
          <t>27/02/2026</t>
        </is>
      </c>
      <c r="I5231" t="inlineStr">
        <is>
          <t>29/03/2026</t>
        </is>
      </c>
      <c r="J5231" t="inlineStr">
        <is>
          <t>17/03/2026</t>
        </is>
      </c>
      <c r="K5231" t="inlineStr">
        <is>
          <t>N/A</t>
        </is>
      </c>
      <c r="L5231" t="inlineStr">
        <is>
          <t>Kinh Doanh, Tin Học Văn Phòng, Tư Vấn, Thuyết Phục Đàm Phán, Tìm Kiếm Khách Hàng</t>
        </is>
      </c>
      <c r="M5231" t="inlineStr">
        <is>
          <t>Bonus, Healthcare Plan, Training, Awards, Team Activities, Others</t>
        </is>
      </c>
      <c r="N5231" s="8">
        <f>HYPERLINK("https://www.vietnamworks.com/nhan-vien-kinh-doanh-sales-thu-nhap-upto-30m-thang-2015973-jv","Xem chi tiết")</f>
        <v/>
      </c>
    </row>
    <row r="5232">
      <c r="B5232" s="9" t="n">
        <v>5230</v>
      </c>
      <c r="C5232" s="10" t="inlineStr">
        <is>
          <t>[Khu Vực Miền Nam] - Chuyên Viên Dịch Vụ KHCN/KHDN - Retail/ Corporate Customer Service Officer</t>
        </is>
      </c>
      <c r="D5232" s="10" t="inlineStr">
        <is>
          <t>Shinhan Bank Vietnam</t>
        </is>
      </c>
      <c r="E5232" s="10" t="inlineStr">
        <is>
          <t>Thương lượng</t>
        </is>
      </c>
      <c r="F5232" s="10" t="inlineStr">
        <is>
          <t>Hồ Chí Minh</t>
        </is>
      </c>
      <c r="G5232" s="10" t="inlineStr">
        <is>
          <t>Nhân viên</t>
        </is>
      </c>
      <c r="H5232" s="10" t="inlineStr">
        <is>
          <t>27/02/2026</t>
        </is>
      </c>
      <c r="I5232" s="10" t="inlineStr">
        <is>
          <t>29/03/2026</t>
        </is>
      </c>
      <c r="J5232" s="10" t="inlineStr">
        <is>
          <t>17/03/2026</t>
        </is>
      </c>
      <c r="K5232" s="10" t="inlineStr">
        <is>
          <t>N/A</t>
        </is>
      </c>
      <c r="L5232" s="10" t="inlineStr">
        <is>
          <t>Dịch Vụ Ngân Hàng, Customer Care, Teller Operations, Giao Dịch Ngân Hàng, Tín Dụng Cá Nhân</t>
        </is>
      </c>
      <c r="M5232" s="10" t="inlineStr">
        <is>
          <t>Healthcare Plan, Paid Leave</t>
        </is>
      </c>
      <c r="N5232" s="11">
        <f>HYPERLINK("https://www.vietnamworks.com/khu-vuc-mien-nam-chuyen-vien-dich-vu-khcn-khdn-retail-corporate-customer-service-officer-2015978-jv","Xem chi tiết")</f>
        <v/>
      </c>
      <c r="O5232" s="10" t="n"/>
    </row>
    <row r="5233">
      <c r="B5233" s="7" t="n">
        <v>5231</v>
      </c>
      <c r="C5233" t="inlineStr">
        <is>
          <t>Chuyên Viên Nhân Sự</t>
        </is>
      </c>
      <c r="D5233" t="inlineStr">
        <is>
          <t>Công ty Cổ phần SSLAND</t>
        </is>
      </c>
      <c r="E5233" t="inlineStr">
        <is>
          <t>15tr-18tr ₫/tháng</t>
        </is>
      </c>
      <c r="F5233" t="inlineStr">
        <is>
          <t>Hà Nội</t>
        </is>
      </c>
      <c r="G5233" t="inlineStr">
        <is>
          <t>Nhân viên</t>
        </is>
      </c>
      <c r="H5233" t="inlineStr">
        <is>
          <t>27/02/2026</t>
        </is>
      </c>
      <c r="I5233" t="inlineStr">
        <is>
          <t>29/03/2026</t>
        </is>
      </c>
      <c r="J5233" t="inlineStr">
        <is>
          <t>17/03/2026</t>
        </is>
      </c>
      <c r="K5233" t="inlineStr">
        <is>
          <t>N/A</t>
        </is>
      </c>
      <c r="L5233" t="inlineStr">
        <is>
          <t>Quản Trị Nhân Lực, C&amp;B, HR Operations</t>
        </is>
      </c>
      <c r="M5233" t="inlineStr">
        <is>
          <t>Bonus, Paid Leave, Training</t>
        </is>
      </c>
      <c r="N5233" s="8">
        <f>HYPERLINK("https://www.vietnamworks.com/chuyen-vien-nhan-su-2015957-jv","Xem chi tiết")</f>
        <v/>
      </c>
    </row>
    <row r="5234">
      <c r="B5234" s="9" t="n">
        <v>5232</v>
      </c>
      <c r="C5234" s="10" t="inlineStr">
        <is>
          <t>[Khu Vực Miền Nam] - Chuyên Viên Quan Hệ Khách Hàng Cá Nhân - Retail Relationship Manager</t>
        </is>
      </c>
      <c r="D5234" s="10" t="inlineStr">
        <is>
          <t>Shinhan Bank Vietnam</t>
        </is>
      </c>
      <c r="E5234" s="10" t="inlineStr">
        <is>
          <t>Thương lượng</t>
        </is>
      </c>
      <c r="F5234" s="10" t="inlineStr">
        <is>
          <t>Hồ Chí Minh</t>
        </is>
      </c>
      <c r="G5234" s="10" t="inlineStr">
        <is>
          <t>Nhân viên</t>
        </is>
      </c>
      <c r="H5234" s="10" t="inlineStr">
        <is>
          <t>27/02/2026</t>
        </is>
      </c>
      <c r="I5234" s="10" t="inlineStr">
        <is>
          <t>29/03/2026</t>
        </is>
      </c>
      <c r="J5234" s="10" t="inlineStr">
        <is>
          <t>17/03/2026</t>
        </is>
      </c>
      <c r="K5234" s="10" t="inlineStr">
        <is>
          <t>N/A</t>
        </is>
      </c>
      <c r="L5234" s="10" t="inlineStr">
        <is>
          <t>Sales Capability, Credit Analysis, Credit Assessment, Credit Appraisal, Communication</t>
        </is>
      </c>
      <c r="M5234" s="10" t="inlineStr">
        <is>
          <t>Healthcare Plan, Paid Leave</t>
        </is>
      </c>
      <c r="N5234" s="11">
        <f>HYPERLINK("https://www.vietnamworks.com/khu-vuc-mien-nam-chuyen-vien-quan-he-khach-hang-ca-nhan-retail-relationship-manager--2015972-jv","Xem chi tiết")</f>
        <v/>
      </c>
      <c r="O5234" s="10" t="n"/>
    </row>
    <row r="5235">
      <c r="B5235" s="7" t="n">
        <v>5233</v>
      </c>
      <c r="C5235" t="inlineStr">
        <is>
          <t>Event Executive</t>
        </is>
      </c>
      <c r="D5235" t="inlineStr">
        <is>
          <t>CÔNG TY TNHH SẢN XUẤT TRUYỀN THÔNG IDS</t>
        </is>
      </c>
      <c r="E5235" t="inlineStr">
        <is>
          <t>Thương lượng</t>
        </is>
      </c>
      <c r="F5235" t="inlineStr">
        <is>
          <t>Hà Nội</t>
        </is>
      </c>
      <c r="G5235" t="inlineStr">
        <is>
          <t>Nhân viên</t>
        </is>
      </c>
      <c r="H5235" t="inlineStr">
        <is>
          <t>27/02/2026</t>
        </is>
      </c>
      <c r="I5235" t="inlineStr">
        <is>
          <t>29/03/2026</t>
        </is>
      </c>
      <c r="J5235" t="inlineStr">
        <is>
          <t>17/03/2026</t>
        </is>
      </c>
      <c r="K5235" t="inlineStr">
        <is>
          <t>N/A</t>
        </is>
      </c>
      <c r="L5235" t="inlineStr">
        <is>
          <t>Event Management, Execution Planning, Microsoft Office, Problem Solving, Sketchup</t>
        </is>
      </c>
      <c r="M5235" t="inlineStr">
        <is>
          <t>Bonus, Paid Leave, Team Activities, Others</t>
        </is>
      </c>
      <c r="N5235" s="8">
        <f>HYPERLINK("https://www.vietnamworks.com/event-executive-2015975-jv","Xem chi tiết")</f>
        <v/>
      </c>
    </row>
    <row r="5236">
      <c r="B5236" s="9" t="n">
        <v>5234</v>
      </c>
      <c r="C5236" s="10" t="inlineStr">
        <is>
          <t>Nhân Viên Kinh Doanh Thị Trường (Đi Công Tác Tỉnh) (Thu Nhập Từ 15 - 25Tr)</t>
        </is>
      </c>
      <c r="D5236" s="10" t="inlineStr">
        <is>
          <t>CÔNG TY CỔ PHẦN KEO DÁN ĐỨC ANH</t>
        </is>
      </c>
      <c r="E5236" s="10" t="inlineStr">
        <is>
          <t>15tr-25tr ₫/tháng</t>
        </is>
      </c>
      <c r="F5236" s="10" t="inlineStr">
        <is>
          <t>Hồ Chí Minh, Hưng Yên, Hà Nội</t>
        </is>
      </c>
      <c r="G5236" s="10" t="inlineStr">
        <is>
          <t>Mới Tốt Nghiệp</t>
        </is>
      </c>
      <c r="H5236" s="10" t="inlineStr">
        <is>
          <t>27/02/2026</t>
        </is>
      </c>
      <c r="I5236" s="10" t="inlineStr">
        <is>
          <t>29/03/2026</t>
        </is>
      </c>
      <c r="J5236" s="10" t="inlineStr">
        <is>
          <t>17/03/2026</t>
        </is>
      </c>
      <c r="K5236" s="10" t="inlineStr">
        <is>
          <t>N/A</t>
        </is>
      </c>
      <c r="L5236" s="10" t="inlineStr">
        <is>
          <t>Chăm Sóc Khách Hàng, Theo Dõi Đơn Hàng, Tìm Kiếm Khách Hàng, Sale Thị Trường, đi công tác tỉnh</t>
        </is>
      </c>
      <c r="M5236" s="10" t="inlineStr">
        <is>
          <t>Bonus, Healthcare Plan, Training</t>
        </is>
      </c>
      <c r="N5236" s="11">
        <f>HYPERLINK("https://www.vietnamworks.com/nhan-vien-kinh-doanh-thi-truong-di-cong-tac-tinh-thu-nhap-tu-15-25tr-2015961-jv","Xem chi tiết")</f>
        <v/>
      </c>
      <c r="O5236" s="10" t="n"/>
    </row>
    <row r="5237">
      <c r="B5237" s="7" t="n">
        <v>5235</v>
      </c>
      <c r="C5237" t="inlineStr">
        <is>
          <t>Field Application Engineer (Technical Documentation &amp; Support)</t>
        </is>
      </c>
      <c r="D5237" t="inlineStr">
        <is>
          <t>Công Ty TNHH Trace - Tec Việt Nam</t>
        </is>
      </c>
      <c r="E5237" t="inlineStr">
        <is>
          <t>Thương lượng</t>
        </is>
      </c>
      <c r="F5237" t="inlineStr">
        <is>
          <t>Hà Nội</t>
        </is>
      </c>
      <c r="G5237" t="inlineStr">
        <is>
          <t>Nhân viên</t>
        </is>
      </c>
      <c r="H5237" t="inlineStr">
        <is>
          <t>27/02/2026</t>
        </is>
      </c>
      <c r="I5237" t="inlineStr">
        <is>
          <t>29/03/2026</t>
        </is>
      </c>
      <c r="J5237" t="inlineStr">
        <is>
          <t>17/03/2026</t>
        </is>
      </c>
      <c r="K5237" t="inlineStr">
        <is>
          <t>N/A</t>
        </is>
      </c>
      <c r="L5237" t="inlineStr">
        <is>
          <t>Electrical Engineering, Electronic Engineering, English Communication, Office Software, Telecommunications</t>
        </is>
      </c>
      <c r="M5237" t="inlineStr">
        <is>
          <t>Bonus, Healthcare Plan, Paid Leave, Laptop, Canteen, Others</t>
        </is>
      </c>
      <c r="N5237" s="8">
        <f>HYPERLINK("https://www.vietnamworks.com/field-application-engineer-technical-documentation-and-support-2015979-jv","Xem chi tiết")</f>
        <v/>
      </c>
    </row>
    <row r="5238">
      <c r="B5238" s="9" t="n">
        <v>5236</v>
      </c>
      <c r="C5238" s="10" t="inlineStr">
        <is>
          <t>Kỹ Sư Cơ Điện</t>
        </is>
      </c>
      <c r="D5238" s="10" t="inlineStr">
        <is>
          <t>Công Ty TNHH Trace - Tec Việt Nam</t>
        </is>
      </c>
      <c r="E5238" s="10" t="inlineStr">
        <is>
          <t>Thương lượng</t>
        </is>
      </c>
      <c r="F5238" s="10" t="inlineStr">
        <is>
          <t>Hà Nội</t>
        </is>
      </c>
      <c r="G5238" s="10" t="inlineStr">
        <is>
          <t>Nhân viên</t>
        </is>
      </c>
      <c r="H5238" s="10" t="inlineStr">
        <is>
          <t>27/02/2026</t>
        </is>
      </c>
      <c r="I5238" s="10" t="inlineStr">
        <is>
          <t>29/03/2026</t>
        </is>
      </c>
      <c r="J5238" s="10" t="inlineStr">
        <is>
          <t>17/03/2026</t>
        </is>
      </c>
      <c r="K5238" s="10" t="inlineStr">
        <is>
          <t>N/A</t>
        </is>
      </c>
      <c r="L5238" s="10" t="inlineStr">
        <is>
          <t>Cơ Điện, Kỹ Thuật, Sản xuất, Thiết Kế, Điện tử</t>
        </is>
      </c>
      <c r="M5238" s="10" t="inlineStr">
        <is>
          <t>Bonus, Paid Leave, Laptop, Canteen, Others</t>
        </is>
      </c>
      <c r="N5238" s="11">
        <f>HYPERLINK("https://www.vietnamworks.com/ky-su-co-djien-2015974-jv","Xem chi tiết")</f>
        <v/>
      </c>
      <c r="O5238" s="10" t="n"/>
    </row>
    <row r="5239">
      <c r="B5239" s="7" t="n">
        <v>5237</v>
      </c>
      <c r="C5239" t="inlineStr">
        <is>
          <t>Kiến Trúc Sư/ Architect</t>
        </is>
      </c>
      <c r="D5239" t="inlineStr">
        <is>
          <t>Công ty TNHH studioMilou Việt Nam</t>
        </is>
      </c>
      <c r="E5239" t="inlineStr">
        <is>
          <t>Thương lượng</t>
        </is>
      </c>
      <c r="F5239" t="inlineStr">
        <is>
          <t>Hà Nội</t>
        </is>
      </c>
      <c r="G5239" t="inlineStr">
        <is>
          <t>Nhân viên</t>
        </is>
      </c>
      <c r="H5239" t="inlineStr">
        <is>
          <t>27/02/2026</t>
        </is>
      </c>
      <c r="I5239" t="inlineStr">
        <is>
          <t>29/03/2026</t>
        </is>
      </c>
      <c r="J5239" t="inlineStr">
        <is>
          <t>17/03/2026</t>
        </is>
      </c>
      <c r="K5239" t="inlineStr">
        <is>
          <t>N/A</t>
        </is>
      </c>
      <c r="L5239" t="inlineStr">
        <is>
          <t>Thiết Kế Kiến Trúc, Sketchup, Revit, Kiến Trúc Xây Dựng, AutoCAD</t>
        </is>
      </c>
      <c r="M5239" t="inlineStr">
        <is>
          <t>Bonus, Healthcare Plan, Others</t>
        </is>
      </c>
      <c r="N5239" s="8">
        <f>HYPERLINK("https://www.vietnamworks.com/kien-truc-su-architect--2015967-jv","Xem chi tiết")</f>
        <v/>
      </c>
    </row>
    <row r="5240">
      <c r="B5240" s="9" t="n">
        <v>5238</v>
      </c>
      <c r="C5240" s="10" t="inlineStr">
        <is>
          <t>Quản Lý Thi Công</t>
        </is>
      </c>
      <c r="D5240" s="10" t="inlineStr">
        <is>
          <t>Công Ty TNHH Đầu Tư Và Xây Dựng Nam Việt</t>
        </is>
      </c>
      <c r="E5240" s="10" t="inlineStr">
        <is>
          <t>Thương lượng</t>
        </is>
      </c>
      <c r="F5240" s="10" t="inlineStr">
        <is>
          <t>Hồ Chí Minh</t>
        </is>
      </c>
      <c r="G5240" s="10" t="inlineStr">
        <is>
          <t>Nhân viên</t>
        </is>
      </c>
      <c r="H5240" s="10" t="inlineStr">
        <is>
          <t>27/02/2026</t>
        </is>
      </c>
      <c r="I5240" s="10" t="inlineStr">
        <is>
          <t>29/03/2026</t>
        </is>
      </c>
      <c r="J5240" s="10" t="inlineStr">
        <is>
          <t>17/03/2026</t>
        </is>
      </c>
      <c r="K5240" s="10" t="inlineStr">
        <is>
          <t>N/A</t>
        </is>
      </c>
      <c r="L5240" s="10" t="inlineStr">
        <is>
          <t>Giám Sát Thi Công, Lập Bản Vẽ Thiết Kế, AutoCAD, Nghiệm Thu Thanh Toán, Xây Dựng Dân Dụng</t>
        </is>
      </c>
      <c r="M5240" s="10" t="inlineStr">
        <is>
          <t>Bonus, Healthcare Plan, Laptop</t>
        </is>
      </c>
      <c r="N5240" s="11">
        <f>HYPERLINK("https://www.vietnamworks.com/quan-ly-thi-cong--2015981-jv","Xem chi tiết")</f>
        <v/>
      </c>
      <c r="O5240" s="10" t="n"/>
    </row>
    <row r="5241">
      <c r="B5241" s="7" t="n">
        <v>5239</v>
      </c>
      <c r="C5241" t="inlineStr">
        <is>
          <t>Nhân Viên Kinh Doanh (Sales Hóa Chất Công Nghiệp)</t>
        </is>
      </c>
      <c r="D5241" t="inlineStr">
        <is>
          <t>CÔNG TY TNHH KIMOU GLOBAL OPERATION (HÀ NỘI)</t>
        </is>
      </c>
      <c r="E5241" t="inlineStr">
        <is>
          <t>Thương lượng</t>
        </is>
      </c>
      <c r="F5241" t="inlineStr">
        <is>
          <t>Hà Nội</t>
        </is>
      </c>
      <c r="G5241" t="inlineStr">
        <is>
          <t>Nhân viên</t>
        </is>
      </c>
      <c r="H5241" t="inlineStr">
        <is>
          <t>27/02/2026</t>
        </is>
      </c>
      <c r="I5241" t="inlineStr">
        <is>
          <t>29/03/2026</t>
        </is>
      </c>
      <c r="J5241" t="inlineStr">
        <is>
          <t>17/03/2026</t>
        </is>
      </c>
      <c r="K5241" t="inlineStr">
        <is>
          <t>N/A</t>
        </is>
      </c>
      <c r="L5241" t="inlineStr">
        <is>
          <t>Chemical Sales, B2B Sales, Chemical Knowledge, Communication Skills, Kinh Doanh Hóa Chất</t>
        </is>
      </c>
      <c r="M5241" t="inlineStr">
        <is>
          <t>Training, Others</t>
        </is>
      </c>
      <c r="N5241" s="8">
        <f>HYPERLINK("https://www.vietnamworks.com/nhan-vien-kinh-doanh-sales-hoa-chat-cong-nghiep-2015993-jv","Xem chi tiết")</f>
        <v/>
      </c>
    </row>
    <row r="5242">
      <c r="B5242" s="9" t="n">
        <v>5240</v>
      </c>
      <c r="C5242" s="10" t="inlineStr">
        <is>
          <t>Service Admin (Trợ Lý Phòng Dịch Vụ Kỹ Thuật) - Lương Cứng 10-15 Triệu + Thưởng</t>
        </is>
      </c>
      <c r="D5242" s="10" t="inlineStr">
        <is>
          <t>Công Ty TNHH Sao Đỏ Việt Nam - Chi Nhánh CMS</t>
        </is>
      </c>
      <c r="E5242" s="10" t="inlineStr">
        <is>
          <t>10tr-15tr ₫/tháng</t>
        </is>
      </c>
      <c r="F5242" s="10" t="inlineStr">
        <is>
          <t>Hà Nội</t>
        </is>
      </c>
      <c r="G5242" s="10" t="inlineStr">
        <is>
          <t>Nhân viên</t>
        </is>
      </c>
      <c r="H5242" s="10" t="inlineStr">
        <is>
          <t>27/02/2026</t>
        </is>
      </c>
      <c r="I5242" s="10" t="inlineStr">
        <is>
          <t>29/03/2026</t>
        </is>
      </c>
      <c r="J5242" s="10" t="inlineStr">
        <is>
          <t>17/03/2026</t>
        </is>
      </c>
      <c r="K5242" s="10" t="inlineStr">
        <is>
          <t>N/A</t>
        </is>
      </c>
      <c r="L5242" s="10" t="inlineStr">
        <is>
          <t>Quản Trị Kinh Doanh, Báo Cáo Công Nợ, Chăm Sóc Khách Hàng, Lưu Trữ Chứng Từ, Soạn Thảo Hợp Đồng</t>
        </is>
      </c>
      <c r="M5242" s="10" t="inlineStr">
        <is>
          <t>Bonus, Healthcare Plan, Training, Others</t>
        </is>
      </c>
      <c r="N5242" s="11">
        <f>HYPERLINK("https://www.vietnamworks.com/service-admin-tro-ly-phong-dich-vu-ky-thuat-luong-cung-10-15-trieu-thuong-2015984-jv","Xem chi tiết")</f>
        <v/>
      </c>
      <c r="O5242" s="10" t="n"/>
    </row>
    <row r="5243">
      <c r="B5243" s="7" t="n">
        <v>5241</v>
      </c>
      <c r="C5243" t="inlineStr">
        <is>
          <t>Nữ Kế Toán Trưởng - Làm Việc Tại Hồ Chí Minh</t>
        </is>
      </c>
      <c r="D5243" t="inlineStr">
        <is>
          <t>CÔNG TY CỔ PHẦN KEO DÁN ĐỨC ANH</t>
        </is>
      </c>
      <c r="E5243" t="inlineStr">
        <is>
          <t>Thương lượng</t>
        </is>
      </c>
      <c r="F5243" t="inlineStr">
        <is>
          <t>Hồ Chí Minh, Bình Dương, Đồng Nai</t>
        </is>
      </c>
      <c r="G5243" t="inlineStr">
        <is>
          <t>Trưởng phòng</t>
        </is>
      </c>
      <c r="H5243" t="inlineStr">
        <is>
          <t>27/02/2026</t>
        </is>
      </c>
      <c r="I5243" t="inlineStr">
        <is>
          <t>29/03/2026</t>
        </is>
      </c>
      <c r="J5243" t="inlineStr">
        <is>
          <t>17/03/2026</t>
        </is>
      </c>
      <c r="K5243" t="inlineStr">
        <is>
          <t>N/A</t>
        </is>
      </c>
      <c r="L5243" t="inlineStr">
        <is>
          <t>Kế Toán Tổng Hợp, Báo Cáo Tài Chính, Kiểm Soát Kho, Phần mềm kế toán, Xử Lý Chứng Từ</t>
        </is>
      </c>
      <c r="M5243" t="inlineStr">
        <is>
          <t>Bonus, Healthcare Plan, Paid Leave, Others</t>
        </is>
      </c>
      <c r="N5243" s="8">
        <f>HYPERLINK("https://www.vietnamworks.com/nu-ke-toan-truong-lam-viec-tai-ho-chi-minh-2015982-jv","Xem chi tiết")</f>
        <v/>
      </c>
    </row>
    <row r="5244">
      <c r="B5244" s="9" t="n">
        <v>5242</v>
      </c>
      <c r="C5244" s="10" t="inlineStr">
        <is>
          <t>Marketing Officer (FMCG)</t>
        </is>
      </c>
      <c r="D5244" s="10" t="inlineStr">
        <is>
          <t>Công Ty TNHH Chăn Nuôi Việt Nhật - Công Ty Thành Viên Của Vinamilk</t>
        </is>
      </c>
      <c r="E5244" s="10" t="inlineStr">
        <is>
          <t>$$ 600-850 /tháng</t>
        </is>
      </c>
      <c r="F5244" s="10" t="inlineStr">
        <is>
          <t>Hồ Chí Minh, Hà Nội</t>
        </is>
      </c>
      <c r="G5244" s="10" t="inlineStr">
        <is>
          <t>Nhân viên</t>
        </is>
      </c>
      <c r="H5244" s="10" t="inlineStr">
        <is>
          <t>27/02/2026</t>
        </is>
      </c>
      <c r="I5244" s="10" t="inlineStr">
        <is>
          <t>29/03/2026</t>
        </is>
      </c>
      <c r="J5244" s="10" t="inlineStr">
        <is>
          <t>17/03/2026</t>
        </is>
      </c>
      <c r="K5244" s="10" t="inlineStr">
        <is>
          <t>N/A</t>
        </is>
      </c>
      <c r="L5244" s="10" t="inlineStr">
        <is>
          <t>Trade Marketing, Nghiên Cứu Thị Trường, FMCG, Offline Marketing, Marketing</t>
        </is>
      </c>
      <c r="M5244" s="10" t="inlineStr">
        <is>
          <t>Bonus, Healthcare Plan, Team Activities</t>
        </is>
      </c>
      <c r="N5244" s="11">
        <f>HYPERLINK("https://www.vietnamworks.com/marketing-officer-fmcg--2015996-jv","Xem chi tiết")</f>
        <v/>
      </c>
      <c r="O5244" s="10" t="n"/>
    </row>
    <row r="5245">
      <c r="B5245" s="7" t="n">
        <v>5243</v>
      </c>
      <c r="C5245" t="inlineStr">
        <is>
          <t>Office Support Officer</t>
        </is>
      </c>
      <c r="D5245" t="inlineStr">
        <is>
          <t>Renaissance International School Saigon</t>
        </is>
      </c>
      <c r="E5245" t="inlineStr">
        <is>
          <t>Thương lượng</t>
        </is>
      </c>
      <c r="F5245" t="inlineStr">
        <is>
          <t>Hồ Chí Minh</t>
        </is>
      </c>
      <c r="G5245" t="inlineStr">
        <is>
          <t>Nhân viên</t>
        </is>
      </c>
      <c r="H5245" t="inlineStr">
        <is>
          <t>27/02/2026</t>
        </is>
      </c>
      <c r="I5245" t="inlineStr">
        <is>
          <t>29/03/2026</t>
        </is>
      </c>
      <c r="J5245" t="inlineStr">
        <is>
          <t>17/03/2026</t>
        </is>
      </c>
      <c r="K5245" t="inlineStr">
        <is>
          <t>N/A</t>
        </is>
      </c>
      <c r="L5245" t="inlineStr">
        <is>
          <t>Resources &amp; Projects Management, Purchasing officer's task, Cashier, Back office, Sale admin</t>
        </is>
      </c>
      <c r="M5245" t="inlineStr">
        <is>
          <t>Healthcare Plan, Paid Leave, Others</t>
        </is>
      </c>
      <c r="N5245" s="8">
        <f>HYPERLINK("https://www.vietnamworks.com/office-support-officer-2015980-jv","Xem chi tiết")</f>
        <v/>
      </c>
    </row>
    <row r="5246">
      <c r="B5246" s="9" t="n">
        <v>5244</v>
      </c>
      <c r="C5246" s="10" t="inlineStr">
        <is>
          <t>Nhân Viên Kinh Doanh / Sales Staff</t>
        </is>
      </c>
      <c r="D5246" s="10" t="inlineStr">
        <is>
          <t>Vina-Sanwa Company Liability Limited</t>
        </is>
      </c>
      <c r="E5246" s="10" t="inlineStr">
        <is>
          <t>Thương lượng</t>
        </is>
      </c>
      <c r="F5246" s="10" t="inlineStr">
        <is>
          <t>Hà Nội</t>
        </is>
      </c>
      <c r="G5246" s="10" t="inlineStr">
        <is>
          <t>Nhân viên</t>
        </is>
      </c>
      <c r="H5246" s="10" t="inlineStr">
        <is>
          <t>27/02/2026</t>
        </is>
      </c>
      <c r="I5246" s="10" t="inlineStr">
        <is>
          <t>29/03/2026</t>
        </is>
      </c>
      <c r="J5246" s="10" t="inlineStr">
        <is>
          <t>17/03/2026</t>
        </is>
      </c>
      <c r="K5246" s="10" t="inlineStr">
        <is>
          <t>N/A</t>
        </is>
      </c>
      <c r="L5246" s="10" t="inlineStr">
        <is>
          <t>Sale, Tìm Kiếm Khách Hàng, Chăm Sóc Khách Hàng, MS Office, Lập Kế Hoạch Bán Hàng</t>
        </is>
      </c>
      <c r="M5246" s="10" t="inlineStr">
        <is>
          <t>Bonus, Healthcare Plan, Transportation</t>
        </is>
      </c>
      <c r="N5246" s="11">
        <f>HYPERLINK("https://www.vietnamworks.com/nhan-vien-kinh-doanh-sales-staff--2015988-jv","Xem chi tiết")</f>
        <v/>
      </c>
      <c r="O5246" s="10" t="n"/>
    </row>
    <row r="5247">
      <c r="B5247" s="7" t="n">
        <v>5245</v>
      </c>
      <c r="C5247" t="inlineStr">
        <is>
          <t>Trưởng Nhóm Kinh Doanh Quốc Tế (Thu Nhập Hấp Dẫn)</t>
        </is>
      </c>
      <c r="D5247" t="inlineStr">
        <is>
          <t>Công Ty Cổ Phần Tập Đoàn Kỹ Thuật Và Công Nghiệp Việt Nam</t>
        </is>
      </c>
      <c r="E5247" t="inlineStr">
        <is>
          <t>Thương lượng</t>
        </is>
      </c>
      <c r="F5247" t="inlineStr">
        <is>
          <t>Hà Nội</t>
        </is>
      </c>
      <c r="G5247" t="inlineStr">
        <is>
          <t>Trưởng phòng</t>
        </is>
      </c>
      <c r="H5247" t="inlineStr">
        <is>
          <t>27/02/2026</t>
        </is>
      </c>
      <c r="I5247" t="inlineStr">
        <is>
          <t>29/03/2026</t>
        </is>
      </c>
      <c r="J5247" t="inlineStr">
        <is>
          <t>17/03/2026</t>
        </is>
      </c>
      <c r="K5247" t="inlineStr">
        <is>
          <t>N/A</t>
        </is>
      </c>
      <c r="L5247" t="inlineStr">
        <is>
          <t>Bán Hàng, Cơ Điện Tử, Kĩ Thuật Tự Động Hóa, Kinh Doanh, Tìm Kiếm Khách Hàng</t>
        </is>
      </c>
      <c r="M5247" t="inlineStr">
        <is>
          <t>Bonus, Healthcare Plan, Training, Awards, Laptop, Mobile, Travel Opportunities, Team Activities, Canteen, Others</t>
        </is>
      </c>
      <c r="N5247" s="8">
        <f>HYPERLINK("https://www.vietnamworks.com/truong-nhom-kinh-doanh-quoc-te-thu-nhap-hap-dan-2015985-jv","Xem chi tiết")</f>
        <v/>
      </c>
    </row>
    <row r="5248">
      <c r="B5248" s="9" t="n">
        <v>5246</v>
      </c>
      <c r="C5248" s="10" t="inlineStr">
        <is>
          <t>Kỹ Sư Kết Cấu - Structural Engineer (Không Yêu Cầu Kinh Nghiệm)</t>
        </is>
      </c>
      <c r="D5248" s="10" t="inlineStr">
        <is>
          <t>COMMONWORKS CONSULTING</t>
        </is>
      </c>
      <c r="E5248" s="10" t="inlineStr">
        <is>
          <t>Từ 11tr ₫/tháng</t>
        </is>
      </c>
      <c r="F5248" s="10" t="inlineStr">
        <is>
          <t>Hồ Chí Minh</t>
        </is>
      </c>
      <c r="G5248" s="10" t="inlineStr">
        <is>
          <t>Mới Tốt Nghiệp</t>
        </is>
      </c>
      <c r="H5248" s="10" t="inlineStr">
        <is>
          <t>27/02/2026</t>
        </is>
      </c>
      <c r="I5248" s="10" t="inlineStr">
        <is>
          <t>29/03/2026</t>
        </is>
      </c>
      <c r="J5248" s="10" t="inlineStr">
        <is>
          <t>17/03/2026</t>
        </is>
      </c>
      <c r="K5248" s="10" t="inlineStr">
        <is>
          <t>N/A</t>
        </is>
      </c>
      <c r="L5248" s="10" t="inlineStr">
        <is>
          <t>AutoCAD, SAP2000, Civil Engineering, Xây Dựng Dân Dụng</t>
        </is>
      </c>
      <c r="M5248" s="10" t="inlineStr">
        <is>
          <t>Bonus, Healthcare Plan, Paid Leave, Training, Travel Opportunities, Others</t>
        </is>
      </c>
      <c r="N5248" s="11">
        <f>HYPERLINK("https://www.vietnamworks.com/ky-su-ket-cau-structural-engineer-khong-yeu-cau-kinh-nghiem-2015994-jv","Xem chi tiết")</f>
        <v/>
      </c>
      <c r="O5248" s="10" t="n"/>
    </row>
    <row r="5249">
      <c r="B5249" s="7" t="n">
        <v>5247</v>
      </c>
      <c r="C5249" t="inlineStr">
        <is>
          <t>Nhân Viên Kinh Doanh Tự Động Hóa (Thu Nhập Hấp Dẫn)</t>
        </is>
      </c>
      <c r="D5249" t="inlineStr">
        <is>
          <t>Công Ty Cổ Phần Tập Đoàn Kỹ Thuật Và Công Nghiệp Việt Nam</t>
        </is>
      </c>
      <c r="E5249" t="inlineStr">
        <is>
          <t>Thương lượng</t>
        </is>
      </c>
      <c r="F5249" t="inlineStr">
        <is>
          <t>Hà Nội</t>
        </is>
      </c>
      <c r="G5249" t="inlineStr">
        <is>
          <t>Nhân viên</t>
        </is>
      </c>
      <c r="H5249" t="inlineStr">
        <is>
          <t>27/02/2026</t>
        </is>
      </c>
      <c r="I5249" t="inlineStr">
        <is>
          <t>29/03/2026</t>
        </is>
      </c>
      <c r="J5249" t="inlineStr">
        <is>
          <t>17/03/2026</t>
        </is>
      </c>
      <c r="K5249" t="inlineStr">
        <is>
          <t>N/A</t>
        </is>
      </c>
      <c r="L5249" t="inlineStr">
        <is>
          <t>Bán Hàng Kỹ Thuật, Cơ Khí Chế Tạo, Cơ Điện Tử, Kinh Doanh Kỹ Thuật, Quản Trị Kinh Doanh</t>
        </is>
      </c>
      <c r="M5249" t="inlineStr">
        <is>
          <t>Bonus, Healthcare Plan, Laptop, Mobile, Travel Opportunities, Team Activities, Canteen, Others</t>
        </is>
      </c>
      <c r="N5249" s="8">
        <f>HYPERLINK("https://www.vietnamworks.com/nhan-vien-kinh-doanh-tu-djong-hoa-thu-nhap-hap-dan-2015989-jv","Xem chi tiết")</f>
        <v/>
      </c>
    </row>
    <row r="5250">
      <c r="B5250" s="9" t="n">
        <v>5248</v>
      </c>
      <c r="C5250" s="10" t="inlineStr">
        <is>
          <t>Trưởng Phòng Kinh Doanh Giải Pháp Tự Động Hóa (Thu Nhập Hấp Dẫn)</t>
        </is>
      </c>
      <c r="D5250" s="10" t="inlineStr">
        <is>
          <t>Công Ty Cổ Phần Tập Đoàn Kỹ Thuật Và Công Nghiệp Việt Nam</t>
        </is>
      </c>
      <c r="E5250" s="10" t="inlineStr">
        <is>
          <t>Thương lượng</t>
        </is>
      </c>
      <c r="F5250" s="10" t="inlineStr">
        <is>
          <t>Hà Nội, Bắc Ninh</t>
        </is>
      </c>
      <c r="G5250" s="10" t="inlineStr">
        <is>
          <t>Trưởng phòng</t>
        </is>
      </c>
      <c r="H5250" s="10" t="inlineStr">
        <is>
          <t>27/02/2026</t>
        </is>
      </c>
      <c r="I5250" s="10" t="inlineStr">
        <is>
          <t>29/03/2026</t>
        </is>
      </c>
      <c r="J5250" s="10" t="inlineStr">
        <is>
          <t>17/03/2026</t>
        </is>
      </c>
      <c r="K5250" s="10" t="inlineStr">
        <is>
          <t>N/A</t>
        </is>
      </c>
      <c r="L5250" s="10" t="inlineStr">
        <is>
          <t>Cơ Khí Tự Động Hóa, Kế Hoạch Kinh Doanh, Kinh Doanh Kỹ Thuật, Quản Lý Kinh Doanh, Đàm Phán Kinh Doanh</t>
        </is>
      </c>
      <c r="M5250" s="10" t="inlineStr">
        <is>
          <t>Bonus, Healthcare Plan, Awards, Laptop, Travel Opportunities, Team Activities, Canteen, Others</t>
        </is>
      </c>
      <c r="N5250" s="11">
        <f>HYPERLINK("https://www.vietnamworks.com/truong-phong-kinh-doanh-giai-phap-tu-djong-hoa-thu-nhap-hap-dan-2015995-jv","Xem chi tiết")</f>
        <v/>
      </c>
      <c r="O5250" s="10" t="n"/>
    </row>
    <row r="5251">
      <c r="B5251" s="7" t="n">
        <v>5249</v>
      </c>
      <c r="C5251" t="inlineStr">
        <is>
          <t>Chuyên Viên Thẩm Định Hồ Sơ Quyết Toán</t>
        </is>
      </c>
      <c r="D5251" t="inlineStr">
        <is>
          <t>Tập Đoàn Nam Cường</t>
        </is>
      </c>
      <c r="E5251" t="inlineStr">
        <is>
          <t>Thương lượng</t>
        </is>
      </c>
      <c r="F5251" t="inlineStr">
        <is>
          <t>Hà Nội</t>
        </is>
      </c>
      <c r="G5251" t="inlineStr">
        <is>
          <t>Nhân viên</t>
        </is>
      </c>
      <c r="H5251" t="inlineStr">
        <is>
          <t>27/02/2026</t>
        </is>
      </c>
      <c r="I5251" t="inlineStr">
        <is>
          <t>29/03/2026</t>
        </is>
      </c>
      <c r="J5251" t="inlineStr">
        <is>
          <t>17/03/2026</t>
        </is>
      </c>
      <c r="K5251" t="inlineStr">
        <is>
          <t>N/A</t>
        </is>
      </c>
      <c r="L5251" t="inlineStr">
        <is>
          <t>Công Trình Giao Thông, Kiến Trúc, Thẩm Định, Thẩm Định Hợp Đồng, Xây Dựng</t>
        </is>
      </c>
      <c r="M5251" t="inlineStr">
        <is>
          <t>Bonus</t>
        </is>
      </c>
      <c r="N5251" s="8">
        <f>HYPERLINK("https://www.vietnamworks.com/chuyen-vien-tham-djinh-ho-so-quyet-toan-2015983-jv","Xem chi tiết")</f>
        <v/>
      </c>
    </row>
    <row r="5252">
      <c r="B5252" s="9" t="n">
        <v>5250</v>
      </c>
      <c r="C5252" s="10" t="inlineStr">
        <is>
          <t>Kiến Trúc Sư Triển Khai Bản Vẽ 2D</t>
        </is>
      </c>
      <c r="D5252" s="10" t="inlineStr">
        <is>
          <t>Công Ty TNHH Uniktech</t>
        </is>
      </c>
      <c r="E5252" s="10" t="inlineStr">
        <is>
          <t>Thương lượng</t>
        </is>
      </c>
      <c r="F5252" s="10" t="inlineStr">
        <is>
          <t>Hồ Chí Minh</t>
        </is>
      </c>
      <c r="G5252" s="10" t="inlineStr">
        <is>
          <t>Nhân viên</t>
        </is>
      </c>
      <c r="H5252" s="10" t="inlineStr">
        <is>
          <t>27/02/2026</t>
        </is>
      </c>
      <c r="I5252" s="10" t="inlineStr">
        <is>
          <t>29/03/2026</t>
        </is>
      </c>
      <c r="J5252" s="10" t="inlineStr">
        <is>
          <t>17/03/2026</t>
        </is>
      </c>
      <c r="K5252" s="10" t="inlineStr">
        <is>
          <t>N/A</t>
        </is>
      </c>
      <c r="L5252" s="10" t="inlineStr">
        <is>
          <t>3D smax, SketchUp 2D, Technical Design, Thiết Kế Công Nghiệp, CAD</t>
        </is>
      </c>
      <c r="M5252" s="10" t="inlineStr">
        <is>
          <t>Bonus, Healthcare Plan, Training, Others</t>
        </is>
      </c>
      <c r="N5252" s="11">
        <f>HYPERLINK("https://www.vietnamworks.com/kien-truc-su-trien-khai-ban-ve-2d-2015999-jv","Xem chi tiết")</f>
        <v/>
      </c>
      <c r="O5252" s="10" t="n"/>
    </row>
    <row r="5253">
      <c r="B5253" s="7" t="n">
        <v>5251</v>
      </c>
      <c r="C5253" t="inlineStr">
        <is>
          <t>Kỹ Sư Triển Khai Hệ Thống</t>
        </is>
      </c>
      <c r="D5253" t="inlineStr">
        <is>
          <t>Công Ty TNHH Công Nghệ Và Thương Mại Ánh Dương</t>
        </is>
      </c>
      <c r="E5253" t="inlineStr">
        <is>
          <t>Thương lượng</t>
        </is>
      </c>
      <c r="F5253" t="inlineStr">
        <is>
          <t>Hà Nội</t>
        </is>
      </c>
      <c r="G5253" t="inlineStr">
        <is>
          <t>Nhân viên</t>
        </is>
      </c>
      <c r="H5253" t="inlineStr">
        <is>
          <t>27/02/2026</t>
        </is>
      </c>
      <c r="I5253" t="inlineStr">
        <is>
          <t>29/03/2026</t>
        </is>
      </c>
      <c r="J5253" t="inlineStr">
        <is>
          <t>17/03/2026</t>
        </is>
      </c>
      <c r="K5253" t="inlineStr">
        <is>
          <t>N/A</t>
        </is>
      </c>
      <c r="L5253" t="inlineStr">
        <is>
          <t>Giải Pháp Kỹ Thuật, Nghiên Cứu Sản Phẩm, Quản Lý Tiến Độ, Xây Dựng Giải Pháp, Đào Tạo Kĩ Thuật</t>
        </is>
      </c>
      <c r="M5253" t="inlineStr">
        <is>
          <t>Bonus, Healthcare Plan, Training, Others</t>
        </is>
      </c>
      <c r="N5253" s="8">
        <f>HYPERLINK("https://www.vietnamworks.com/ky-su-trien-khai-he-thong-2015992-jv","Xem chi tiết")</f>
        <v/>
      </c>
    </row>
    <row r="5254">
      <c r="B5254" s="9" t="n">
        <v>5252</v>
      </c>
      <c r="C5254" s="10" t="inlineStr">
        <is>
          <t>Area Retail Sales Manager - North</t>
        </is>
      </c>
      <c r="D5254" s="10" t="inlineStr">
        <is>
          <t>Knauf Vietnam</t>
        </is>
      </c>
      <c r="E5254" s="10" t="inlineStr">
        <is>
          <t>Thương lượng</t>
        </is>
      </c>
      <c r="F5254" s="10" t="inlineStr">
        <is>
          <t>Hà Nội</t>
        </is>
      </c>
      <c r="G5254" s="10" t="inlineStr">
        <is>
          <t>Trưởng phòng</t>
        </is>
      </c>
      <c r="H5254" s="10" t="inlineStr">
        <is>
          <t>27/02/2026</t>
        </is>
      </c>
      <c r="I5254" s="10" t="inlineStr">
        <is>
          <t>29/03/2026</t>
        </is>
      </c>
      <c r="J5254" s="10" t="inlineStr">
        <is>
          <t>17/03/2026</t>
        </is>
      </c>
      <c r="K5254" s="10" t="inlineStr">
        <is>
          <t>N/A</t>
        </is>
      </c>
      <c r="L5254" s="10" t="inlineStr">
        <is>
          <t>Retail Sales, Distributor GTM, Technical Sales, Trưởng phòng kinh doanh, Bán Hàng Kỹ Thuật</t>
        </is>
      </c>
      <c r="M5254" s="10" t="inlineStr">
        <is>
          <t>Healthcare Plan, Paid Leave, Training</t>
        </is>
      </c>
      <c r="N5254" s="11">
        <f>HYPERLINK("https://www.vietnamworks.com/area-retail-sales-manager-north-2015986-jv","Xem chi tiết")</f>
        <v/>
      </c>
      <c r="O5254" s="10" t="n"/>
    </row>
    <row r="5255">
      <c r="B5255" s="7" t="n">
        <v>5253</v>
      </c>
      <c r="C5255" t="inlineStr">
        <is>
          <t>Chuyên Viên Tuyển Dụng</t>
        </is>
      </c>
      <c r="D5255" t="inlineStr">
        <is>
          <t>Tập Đoàn Nam Cường</t>
        </is>
      </c>
      <c r="E5255" t="inlineStr">
        <is>
          <t>Thương lượng</t>
        </is>
      </c>
      <c r="F5255" t="inlineStr">
        <is>
          <t>Hà Nội</t>
        </is>
      </c>
      <c r="G5255" t="inlineStr">
        <is>
          <t>Nhân viên</t>
        </is>
      </c>
      <c r="H5255" t="inlineStr">
        <is>
          <t>27/02/2026</t>
        </is>
      </c>
      <c r="I5255" t="inlineStr">
        <is>
          <t>29/03/2026</t>
        </is>
      </c>
      <c r="J5255" t="inlineStr">
        <is>
          <t>17/03/2026</t>
        </is>
      </c>
      <c r="K5255" t="inlineStr">
        <is>
          <t>N/A</t>
        </is>
      </c>
      <c r="L5255" t="inlineStr">
        <is>
          <t>HR, Kỹ năng đàm phán, Phỏng Vấn Tuyển Dụng, Tuyển Dụng, Tuyển Dụng Đào Tạo</t>
        </is>
      </c>
      <c r="M5255" t="inlineStr">
        <is>
          <t>Bonus</t>
        </is>
      </c>
      <c r="N5255" s="8">
        <f>HYPERLINK("https://www.vietnamworks.com/chuyen-vien-tuyen-dung-2015987-jv","Xem chi tiết")</f>
        <v/>
      </c>
    </row>
    <row r="5256">
      <c r="B5256" s="9" t="n">
        <v>5254</v>
      </c>
      <c r="C5256" s="10" t="inlineStr">
        <is>
          <t>Giám Đốc Trung Tâm Tiếng Anh (Lương 30-55 Triệu)</t>
        </is>
      </c>
      <c r="D5256" s="10" t="inlineStr">
        <is>
          <t>CÔNG TY CỔ PHẦN SCOTS ENGLISH AUSTRALIA</t>
        </is>
      </c>
      <c r="E5256" s="10" t="inlineStr">
        <is>
          <t>30tr-55tr ₫/tháng</t>
        </is>
      </c>
      <c r="F5256" s="10" t="inlineStr">
        <is>
          <t>Vĩnh Phúc, Hà Nội, Phú Thọ</t>
        </is>
      </c>
      <c r="G5256" s="10" t="inlineStr">
        <is>
          <t>Giám Đốc và Cấp Cao Hơn</t>
        </is>
      </c>
      <c r="H5256" s="10" t="inlineStr">
        <is>
          <t>27/02/2026</t>
        </is>
      </c>
      <c r="I5256" s="10" t="inlineStr">
        <is>
          <t>29/03/2026</t>
        </is>
      </c>
      <c r="J5256" s="10" t="inlineStr">
        <is>
          <t>17/03/2026</t>
        </is>
      </c>
      <c r="K5256" s="10" t="inlineStr">
        <is>
          <t>N/A</t>
        </is>
      </c>
      <c r="L5256" s="10" t="inlineStr">
        <is>
          <t>Quản Lý Nhân Sự, Tư Vấn Tuyển Sinh, Giao Tiếp, Lập Kế Hoạch, Giáo dục</t>
        </is>
      </c>
      <c r="M5256" s="10" t="inlineStr">
        <is>
          <t>Bonus, Healthcare Plan, Paid Leave, Training, Laptop, Others</t>
        </is>
      </c>
      <c r="N5256" s="11">
        <f>HYPERLINK("https://www.vietnamworks.com/giam-doc-trung-tam-tieng-anh-luong-30-55-trieu-2015991-jv","Xem chi tiết")</f>
        <v/>
      </c>
      <c r="O5256" s="10" t="n"/>
    </row>
    <row r="5257">
      <c r="B5257" s="7" t="n">
        <v>5255</v>
      </c>
      <c r="C5257" t="inlineStr">
        <is>
          <t>Chuyên Viên Giám Sát Xây Dựng</t>
        </is>
      </c>
      <c r="D5257" t="inlineStr">
        <is>
          <t>Tập Đoàn Nam Cường</t>
        </is>
      </c>
      <c r="E5257" t="inlineStr">
        <is>
          <t>Thương lượng</t>
        </is>
      </c>
      <c r="F5257" t="inlineStr">
        <is>
          <t>Hà Nội, Nam Định, Hải Phòng</t>
        </is>
      </c>
      <c r="G5257" t="inlineStr">
        <is>
          <t>Nhân viên</t>
        </is>
      </c>
      <c r="H5257" t="inlineStr">
        <is>
          <t>27/02/2026</t>
        </is>
      </c>
      <c r="I5257" t="inlineStr">
        <is>
          <t>29/03/2026</t>
        </is>
      </c>
      <c r="J5257" t="inlineStr">
        <is>
          <t>17/03/2026</t>
        </is>
      </c>
      <c r="K5257" t="inlineStr">
        <is>
          <t>N/A</t>
        </is>
      </c>
      <c r="L5257" t="inlineStr">
        <is>
          <t>Giám Sát Xây Dựng, Kiểm Tra Chất Lượng, Quản Lý Dự Án, Xây Dựng, Xây Dựng Dân Dụng và Công Nghiệp</t>
        </is>
      </c>
      <c r="M5257" t="inlineStr">
        <is>
          <t>Bonus</t>
        </is>
      </c>
      <c r="N5257" s="8">
        <f>HYPERLINK("https://www.vietnamworks.com/chuyen-vien-giam-sat-xay-dung-2015990-jv","Xem chi tiết")</f>
        <v/>
      </c>
    </row>
    <row r="5258">
      <c r="B5258" s="9" t="n">
        <v>5256</v>
      </c>
      <c r="C5258" s="10" t="inlineStr">
        <is>
          <t>Chuyên Viên Giám Sát Cơ Điện</t>
        </is>
      </c>
      <c r="D5258" s="10" t="inlineStr">
        <is>
          <t>Tập Đoàn Nam Cường</t>
        </is>
      </c>
      <c r="E5258" s="10" t="inlineStr">
        <is>
          <t>Thương lượng</t>
        </is>
      </c>
      <c r="F5258" s="10" t="inlineStr">
        <is>
          <t>Hà Nội, Hải Phòng</t>
        </is>
      </c>
      <c r="G5258" s="10" t="inlineStr">
        <is>
          <t>Nhân viên</t>
        </is>
      </c>
      <c r="H5258" s="10" t="inlineStr">
        <is>
          <t>27/02/2026</t>
        </is>
      </c>
      <c r="I5258" s="10" t="inlineStr">
        <is>
          <t>29/03/2026</t>
        </is>
      </c>
      <c r="J5258" s="10" t="inlineStr">
        <is>
          <t>17/03/2026</t>
        </is>
      </c>
      <c r="K5258" s="10" t="inlineStr">
        <is>
          <t>N/A</t>
        </is>
      </c>
      <c r="L5258" s="10" t="inlineStr">
        <is>
          <t>Autocad, Cơ Khí, Giám Sát Thi Công, Quản Lý Dự Án, Kỹ Thuật M&amp;E</t>
        </is>
      </c>
      <c r="M5258" s="10" t="inlineStr">
        <is>
          <t>Bonus</t>
        </is>
      </c>
      <c r="N5258" s="11">
        <f>HYPERLINK("https://www.vietnamworks.com/chuyen-vien-giam-sat-co-djien-2015997-jv","Xem chi tiết")</f>
        <v/>
      </c>
      <c r="O5258" s="10" t="n"/>
    </row>
    <row r="5259">
      <c r="B5259" s="7" t="n">
        <v>5257</v>
      </c>
      <c r="C5259" t="inlineStr">
        <is>
          <t>Nhân Viên Sale Admin Manager</t>
        </is>
      </c>
      <c r="D5259" t="inlineStr">
        <is>
          <t>Mystery Of Mekong Travel CO., LTD</t>
        </is>
      </c>
      <c r="E5259" t="inlineStr">
        <is>
          <t>Thương lượng</t>
        </is>
      </c>
      <c r="F5259" t="inlineStr">
        <is>
          <t>Hồ Chí Minh</t>
        </is>
      </c>
      <c r="G5259" t="inlineStr">
        <is>
          <t>Nhân viên</t>
        </is>
      </c>
      <c r="H5259" t="inlineStr">
        <is>
          <t>27/02/2026</t>
        </is>
      </c>
      <c r="I5259" t="inlineStr">
        <is>
          <t>29/03/2026</t>
        </is>
      </c>
      <c r="J5259" t="inlineStr">
        <is>
          <t>17/03/2026</t>
        </is>
      </c>
      <c r="K5259" t="inlineStr">
        <is>
          <t>N/A</t>
        </is>
      </c>
      <c r="L5259" t="inlineStr">
        <is>
          <t>Pivot Table, Sales Admin, Tài Chính Kế Toán, Tiếng Anh, Xử Lý Dữ Liệu</t>
        </is>
      </c>
      <c r="M5259" t="inlineStr">
        <is>
          <t>Bonus, Healthcare Plan, Paid Leave, Travel Opportunities, Others</t>
        </is>
      </c>
      <c r="N5259" s="8">
        <f>HYPERLINK("https://www.vietnamworks.com/nhan-vien-sale-admin-manager-2016000-jv","Xem chi tiết")</f>
        <v/>
      </c>
    </row>
    <row r="5260">
      <c r="B5260" s="9" t="n">
        <v>5258</v>
      </c>
      <c r="C5260" s="10" t="inlineStr">
        <is>
          <t>Nhân viên - Event Planner / Content Sự Kiện Và Du Lịch</t>
        </is>
      </c>
      <c r="D5260" s="10" t="inlineStr">
        <is>
          <t>Mystery Of Mekong Travel CO., LTD</t>
        </is>
      </c>
      <c r="E5260" s="10" t="inlineStr">
        <is>
          <t>Thương lượng</t>
        </is>
      </c>
      <c r="F5260" s="10" t="inlineStr">
        <is>
          <t>Hồ Chí Minh</t>
        </is>
      </c>
      <c r="G5260" s="10" t="inlineStr">
        <is>
          <t>Nhân viên</t>
        </is>
      </c>
      <c r="H5260" s="10" t="inlineStr">
        <is>
          <t>27/02/2026</t>
        </is>
      </c>
      <c r="I5260" s="10" t="inlineStr">
        <is>
          <t>29/03/2026</t>
        </is>
      </c>
      <c r="J5260" s="10" t="inlineStr">
        <is>
          <t>17/03/2026</t>
        </is>
      </c>
      <c r="K5260" s="10" t="inlineStr">
        <is>
          <t>N/A</t>
        </is>
      </c>
      <c r="L5260" s="10" t="inlineStr">
        <is>
          <t>Communication, Content Creation, Event Planning, Market Research, Proposal Writing</t>
        </is>
      </c>
      <c r="M5260" s="10" t="inlineStr">
        <is>
          <t>Bonus, Healthcare Plan, Travel Opportunities, Team Activities, Others</t>
        </is>
      </c>
      <c r="N5260" s="11">
        <f>HYPERLINK("https://www.vietnamworks.com/nhan-vien-event-planner-content-su-kien-va-du-lich-2016007-jv","Xem chi tiết")</f>
        <v/>
      </c>
      <c r="O5260" s="10" t="n"/>
    </row>
    <row r="5261">
      <c r="B5261" s="7" t="n">
        <v>5259</v>
      </c>
      <c r="C5261" t="inlineStr">
        <is>
          <t>Nhân Viên Xuất Nhập Khẩu (XNK Hóa Chất)</t>
        </is>
      </c>
      <c r="D5261" t="inlineStr">
        <is>
          <t>CÔNG TY TNHH KIMOU GLOBAL OPERATION (HÀ NỘI)</t>
        </is>
      </c>
      <c r="E5261" t="inlineStr">
        <is>
          <t>Thương lượng</t>
        </is>
      </c>
      <c r="F5261" t="inlineStr">
        <is>
          <t>Hà Nội</t>
        </is>
      </c>
      <c r="G5261" t="inlineStr">
        <is>
          <t>Nhân viên</t>
        </is>
      </c>
      <c r="H5261" t="inlineStr">
        <is>
          <t>27/02/2026</t>
        </is>
      </c>
      <c r="I5261" t="inlineStr">
        <is>
          <t>29/03/2026</t>
        </is>
      </c>
      <c r="J5261" t="inlineStr">
        <is>
          <t>17/03/2026</t>
        </is>
      </c>
      <c r="K5261" t="inlineStr">
        <is>
          <t>N/A</t>
        </is>
      </c>
      <c r="L5261" t="inlineStr">
        <is>
          <t>Xuất Nhập Khẩu, Hóa Chất, Hóa Chất Đặc Biệt, Quản Lý Kho, Thủ Tục Hải Quan</t>
        </is>
      </c>
      <c r="M5261" t="inlineStr">
        <is>
          <t>Training, Others</t>
        </is>
      </c>
      <c r="N5261" s="8">
        <f>HYPERLINK("https://www.vietnamworks.com/nhan-vien-xuat-nhap-khau-xnk-hoa-chat-2016015-jv","Xem chi tiết")</f>
        <v/>
      </c>
    </row>
    <row r="5262">
      <c r="B5262" s="9" t="n">
        <v>5260</v>
      </c>
      <c r="C5262" s="10" t="inlineStr">
        <is>
          <t>Senior SAP Consultant</t>
        </is>
      </c>
      <c r="D5262" s="10" t="inlineStr">
        <is>
          <t>CÔNG TY CỔ PHẦN VINSMART FUTURE</t>
        </is>
      </c>
      <c r="E5262" s="10" t="inlineStr">
        <is>
          <t>Thương lượng</t>
        </is>
      </c>
      <c r="F5262" s="10" t="inlineStr">
        <is>
          <t>Hà Nội, Hồ Chí Minh</t>
        </is>
      </c>
      <c r="G5262" s="10" t="inlineStr">
        <is>
          <t>Nhân viên</t>
        </is>
      </c>
      <c r="H5262" s="10" t="inlineStr">
        <is>
          <t>27/02/2026</t>
        </is>
      </c>
      <c r="I5262" s="10" t="inlineStr">
        <is>
          <t>29/03/2026</t>
        </is>
      </c>
      <c r="J5262" s="10" t="inlineStr">
        <is>
          <t>17/03/2026</t>
        </is>
      </c>
      <c r="K5262" s="10" t="inlineStr">
        <is>
          <t>N/A</t>
        </is>
      </c>
      <c r="L5262" s="10" t="inlineStr">
        <is>
          <t>SAP ABAP, SAP, SAP FI, SAP-ERP, SAP CO</t>
        </is>
      </c>
      <c r="M5262" s="10" t="inlineStr">
        <is>
          <t>Bonus, Healthcare Plan, Paid Leave</t>
        </is>
      </c>
      <c r="N5262" s="11">
        <f>HYPERLINK("https://www.vietnamworks.com/senior-sap-consultant--2016055-jv","Xem chi tiết")</f>
        <v/>
      </c>
      <c r="O5262" s="10" t="n"/>
    </row>
    <row r="5263">
      <c r="B5263" s="7" t="n">
        <v>5261</v>
      </c>
      <c r="C5263" t="inlineStr">
        <is>
          <t>Kế Toán Trưởng</t>
        </is>
      </c>
      <c r="D5263" t="inlineStr">
        <is>
          <t>Mystery Of Mekong Travel CO., LTD</t>
        </is>
      </c>
      <c r="E5263" t="inlineStr">
        <is>
          <t>Thương lượng</t>
        </is>
      </c>
      <c r="F5263" t="inlineStr">
        <is>
          <t>Hồ Chí Minh</t>
        </is>
      </c>
      <c r="G5263" t="inlineStr">
        <is>
          <t>Trưởng phòng</t>
        </is>
      </c>
      <c r="H5263" t="inlineStr">
        <is>
          <t>27/02/2026</t>
        </is>
      </c>
      <c r="I5263" t="inlineStr">
        <is>
          <t>29/03/2026</t>
        </is>
      </c>
      <c r="J5263" t="inlineStr">
        <is>
          <t>17/03/2026</t>
        </is>
      </c>
      <c r="K5263" t="inlineStr">
        <is>
          <t>N/A</t>
        </is>
      </c>
      <c r="L5263" t="inlineStr">
        <is>
          <t>Lập Dự Toán Quản Lý, Phân Tích Tài Chính, Tài Chính Kế Toán, quản lí kế toán, Quản lí ngân sách</t>
        </is>
      </c>
      <c r="M5263" t="inlineStr">
        <is>
          <t>Bonus, Healthcare Plan, Paid Leave, Travel Opportunities, Others</t>
        </is>
      </c>
      <c r="N5263" s="8">
        <f>HYPERLINK("https://www.vietnamworks.com/ke-toan-truong--2016003-jv","Xem chi tiết")</f>
        <v/>
      </c>
    </row>
    <row r="5264">
      <c r="B5264" s="9" t="n">
        <v>5262</v>
      </c>
      <c r="C5264" s="10" t="inlineStr">
        <is>
          <t>Nhân Viên Kinh Doanh - Marketing</t>
        </is>
      </c>
      <c r="D5264" s="10" t="inlineStr">
        <is>
          <t>Công ty Cổ phần Bệnh viện SpineTech</t>
        </is>
      </c>
      <c r="E5264" s="10" t="inlineStr">
        <is>
          <t>Thương lượng</t>
        </is>
      </c>
      <c r="F5264" s="10" t="inlineStr">
        <is>
          <t>Hà Nội</t>
        </is>
      </c>
      <c r="G5264" s="10" t="inlineStr">
        <is>
          <t>Nhân viên</t>
        </is>
      </c>
      <c r="H5264" s="10" t="inlineStr">
        <is>
          <t>27/02/2026</t>
        </is>
      </c>
      <c r="I5264" s="10" t="inlineStr">
        <is>
          <t>29/03/2026</t>
        </is>
      </c>
      <c r="J5264" s="10" t="inlineStr">
        <is>
          <t>17/03/2026</t>
        </is>
      </c>
      <c r="K5264" s="10" t="inlineStr">
        <is>
          <t>N/A</t>
        </is>
      </c>
      <c r="L5264" s="10" t="inlineStr">
        <is>
          <t>Phát Triển Kinh Doanh, Phát Triển Thương Hiệu, Sale &amp; Business development, Sale, Kinh doanh &amp; Phát triển khách hàng</t>
        </is>
      </c>
      <c r="M5264" s="10" t="inlineStr">
        <is>
          <t>Others</t>
        </is>
      </c>
      <c r="N5264" s="11">
        <f>HYPERLINK("https://www.vietnamworks.com/nhan-vien-kinh-doanh-marketing--2016054-jv","Xem chi tiết")</f>
        <v/>
      </c>
      <c r="O5264" s="10" t="n"/>
    </row>
    <row r="5265">
      <c r="B5265" s="7" t="n">
        <v>5263</v>
      </c>
      <c r="C5265" t="inlineStr">
        <is>
          <t>Phó Giám Đốc Tài Chính</t>
        </is>
      </c>
      <c r="D5265" t="inlineStr">
        <is>
          <t>Công Ty Cổ Phần Đầu Tư T&amp;l Việt Nam (Tiền Thân Là Hệ Thống Hàng Hiệu Torano)</t>
        </is>
      </c>
      <c r="E5265" t="inlineStr">
        <is>
          <t>40tr-70tr ₫/tháng</t>
        </is>
      </c>
      <c r="F5265" t="inlineStr">
        <is>
          <t>Hà Nội</t>
        </is>
      </c>
      <c r="G5265" t="inlineStr">
        <is>
          <t>Trưởng phòng</t>
        </is>
      </c>
      <c r="H5265" t="inlineStr">
        <is>
          <t>27/02/2026</t>
        </is>
      </c>
      <c r="I5265" t="inlineStr">
        <is>
          <t>29/03/2026</t>
        </is>
      </c>
      <c r="J5265" t="inlineStr">
        <is>
          <t>17/03/2026</t>
        </is>
      </c>
      <c r="K5265" t="inlineStr">
        <is>
          <t>N/A</t>
        </is>
      </c>
      <c r="L5265" t="inlineStr">
        <is>
          <t>Tài Chính, Quản Lý Tài Chính, Financial Management, Finance, Kế Hoạch Ngân Sách</t>
        </is>
      </c>
      <c r="M5265" t="inlineStr">
        <is>
          <t>Bonus, Healthcare Plan, Others</t>
        </is>
      </c>
      <c r="N5265" s="8">
        <f>HYPERLINK("https://www.vietnamworks.com/pho-giam-doc-tai-chinh--2016013-jv","Xem chi tiết")</f>
        <v/>
      </c>
    </row>
    <row r="5266">
      <c r="B5266" s="9" t="n">
        <v>5264</v>
      </c>
      <c r="C5266" s="10" t="inlineStr">
        <is>
          <t>Customer Success Manager</t>
        </is>
      </c>
      <c r="D5266" s="10" t="inlineStr">
        <is>
          <t>ELSA Company Limited</t>
        </is>
      </c>
      <c r="E5266" s="10" t="inlineStr">
        <is>
          <t>Thương lượng</t>
        </is>
      </c>
      <c r="F5266" s="10" t="inlineStr">
        <is>
          <t>Hà Nội, Hồ Chí Minh</t>
        </is>
      </c>
      <c r="G5266" s="10" t="inlineStr">
        <is>
          <t>Trưởng phòng</t>
        </is>
      </c>
      <c r="H5266" s="10" t="inlineStr">
        <is>
          <t>27/02/2026</t>
        </is>
      </c>
      <c r="I5266" s="10" t="inlineStr">
        <is>
          <t>29/03/2026</t>
        </is>
      </c>
      <c r="J5266" s="10" t="inlineStr">
        <is>
          <t>17/03/2026</t>
        </is>
      </c>
      <c r="K5266" s="10" t="inlineStr">
        <is>
          <t>N/A</t>
        </is>
      </c>
      <c r="L5266" s="10" t="inlineStr">
        <is>
          <t>Negotiation Skills, Sales Training, EdTech, Customer Success, English</t>
        </is>
      </c>
      <c r="M5266" s="10" t="inlineStr">
        <is>
          <t>Healthcare Plan, Paid Leave, Training, Awards, Laptop, Mobile, Team Activities</t>
        </is>
      </c>
      <c r="N5266" s="11">
        <f>HYPERLINK("https://www.vietnamworks.com/customer-success-manager--2016038-jv","Xem chi tiết")</f>
        <v/>
      </c>
      <c r="O5266" s="10" t="n"/>
    </row>
    <row r="5267">
      <c r="B5267" s="7" t="n">
        <v>5265</v>
      </c>
      <c r="C5267" t="inlineStr">
        <is>
          <t>CVC/CVCC Chính Sách Phúc Lợi Và Phát Triển Tổ Chức</t>
        </is>
      </c>
      <c r="D5267" t="inlineStr">
        <is>
          <t>CÔNG TY CỔ PHẦN BOLT HOLDINGS</t>
        </is>
      </c>
      <c r="E5267" t="inlineStr">
        <is>
          <t>Thương lượng</t>
        </is>
      </c>
      <c r="F5267" t="inlineStr">
        <is>
          <t>Hà Nội</t>
        </is>
      </c>
      <c r="G5267" t="inlineStr">
        <is>
          <t>Nhân viên</t>
        </is>
      </c>
      <c r="H5267" t="inlineStr">
        <is>
          <t>27/02/2026</t>
        </is>
      </c>
      <c r="I5267" t="inlineStr">
        <is>
          <t>29/03/2026</t>
        </is>
      </c>
      <c r="J5267" t="inlineStr">
        <is>
          <t>17/03/2026</t>
        </is>
      </c>
      <c r="K5267" t="inlineStr">
        <is>
          <t>N/A</t>
        </is>
      </c>
      <c r="L5267" t="inlineStr">
        <is>
          <t>Chính Sách Nhân Sự, Nhân sự C&amp;B</t>
        </is>
      </c>
      <c r="M5267" t="inlineStr">
        <is>
          <t>Bonus, Healthcare Plan, Team Activities</t>
        </is>
      </c>
      <c r="N5267" s="8">
        <f>HYPERLINK("https://www.vietnamworks.com/cvc-cvcc-chinh-sach-phuc-loi-va-phat-trien-to-chuc-2016059-jv","Xem chi tiết")</f>
        <v/>
      </c>
    </row>
    <row r="5268">
      <c r="B5268" s="9" t="n">
        <v>5266</v>
      </c>
      <c r="C5268" s="10" t="inlineStr">
        <is>
          <t>Trưởng Phòng Kinh Doanh Dự Án</t>
        </is>
      </c>
      <c r="D5268" s="10" t="inlineStr">
        <is>
          <t>Công Ty TNHH TKP Việt Nam</t>
        </is>
      </c>
      <c r="E5268" s="10" t="inlineStr">
        <is>
          <t>35tr-35tr ₫/tháng</t>
        </is>
      </c>
      <c r="F5268" s="10" t="inlineStr">
        <is>
          <t>Hồ Chí Minh, Hà Nội</t>
        </is>
      </c>
      <c r="G5268" s="10" t="inlineStr">
        <is>
          <t>Trưởng phòng</t>
        </is>
      </c>
      <c r="H5268" s="10" t="inlineStr">
        <is>
          <t>27/02/2026</t>
        </is>
      </c>
      <c r="I5268" s="10" t="inlineStr">
        <is>
          <t>29/03/2026</t>
        </is>
      </c>
      <c r="J5268" s="10" t="inlineStr">
        <is>
          <t>17/03/2026</t>
        </is>
      </c>
      <c r="K5268" s="10" t="inlineStr">
        <is>
          <t>N/A</t>
        </is>
      </c>
      <c r="L5268" s="10" t="inlineStr">
        <is>
          <t>Lập Kế Hoạch Kinh Doanh, Quản Trị Đội Ngũ, Giao Tiếp Thuyết Phục, Kinh Doanh Dự Án, Phát Triển Thị Trường</t>
        </is>
      </c>
      <c r="M5268" s="10" t="inlineStr">
        <is>
          <t>Bonus, Healthcare Plan, Laptop, Others</t>
        </is>
      </c>
      <c r="N5268" s="11">
        <f>HYPERLINK("https://www.vietnamworks.com/truong-phong-kinh-doanh-du-an-2016064-jv","Xem chi tiết")</f>
        <v/>
      </c>
      <c r="O5268" s="10" t="n"/>
    </row>
    <row r="5269">
      <c r="B5269" s="7" t="n">
        <v>5267</v>
      </c>
      <c r="C5269" t="inlineStr">
        <is>
          <t>Customer Services Agent</t>
        </is>
      </c>
      <c r="D5269" t="inlineStr">
        <is>
          <t>Văn phòng Bán vé Hãng Hàng không Singapore tại Việt Nam</t>
        </is>
      </c>
      <c r="E5269" t="inlineStr">
        <is>
          <t>Thương lượng</t>
        </is>
      </c>
      <c r="F5269" t="inlineStr">
        <is>
          <t>Hà Nội</t>
        </is>
      </c>
      <c r="G5269" t="inlineStr">
        <is>
          <t>Mới Tốt Nghiệp</t>
        </is>
      </c>
      <c r="H5269" t="inlineStr">
        <is>
          <t>27/02/2026</t>
        </is>
      </c>
      <c r="I5269" t="inlineStr">
        <is>
          <t>29/03/2026</t>
        </is>
      </c>
      <c r="J5269" t="inlineStr">
        <is>
          <t>17/03/2026</t>
        </is>
      </c>
      <c r="K5269" t="inlineStr">
        <is>
          <t>N/A</t>
        </is>
      </c>
      <c r="L5269" t="inlineStr">
        <is>
          <t>Customer Service, Interpersonal skills, Computer Skills, Office Software, Team Work</t>
        </is>
      </c>
      <c r="M5269" t="inlineStr">
        <is>
          <t>Bonus, Healthcare Plan, Training, Travel Opportunities</t>
        </is>
      </c>
      <c r="N5269" s="8">
        <f>HYPERLINK("https://www.vietnamworks.com/customer-services-agent-2016017-jv","Xem chi tiết")</f>
        <v/>
      </c>
    </row>
    <row r="5270">
      <c r="B5270" s="9" t="n">
        <v>5268</v>
      </c>
      <c r="C5270" s="10" t="inlineStr">
        <is>
          <t>Regulatory Affairs Executive</t>
        </is>
      </c>
      <c r="D5270" s="10" t="inlineStr">
        <is>
          <t>Công Ty TNHH I.P. One (Việt Nam)</t>
        </is>
      </c>
      <c r="E5270" s="10" t="inlineStr">
        <is>
          <t>Thương lượng</t>
        </is>
      </c>
      <c r="F5270" s="10" t="inlineStr">
        <is>
          <t>Hồ Chí Minh</t>
        </is>
      </c>
      <c r="G5270" s="10" t="inlineStr">
        <is>
          <t>Nhân viên</t>
        </is>
      </c>
      <c r="H5270" s="10" t="inlineStr">
        <is>
          <t>27/02/2026</t>
        </is>
      </c>
      <c r="I5270" s="10" t="inlineStr">
        <is>
          <t>29/03/2026</t>
        </is>
      </c>
      <c r="J5270" s="10" t="inlineStr">
        <is>
          <t>17/03/2026</t>
        </is>
      </c>
      <c r="K5270" s="10" t="inlineStr">
        <is>
          <t>N/A</t>
        </is>
      </c>
      <c r="L5270" s="10" t="inlineStr">
        <is>
          <t>Legal &amp; Compliance, Legal Affairs, Legal Consultancy, Legal Solutions, Legal Support</t>
        </is>
      </c>
      <c r="M5270" s="10" t="inlineStr">
        <is>
          <t>Bonus, Healthcare Plan, Laptop</t>
        </is>
      </c>
      <c r="N5270" s="11">
        <f>HYPERLINK("https://www.vietnamworks.com/regulatory-affairs-executive-2016010-jv","Xem chi tiết")</f>
        <v/>
      </c>
      <c r="O5270" s="10" t="n"/>
    </row>
    <row r="5271">
      <c r="B5271" s="7" t="n">
        <v>5269</v>
      </c>
      <c r="C5271" t="inlineStr">
        <is>
          <t>Chuyên Viên Kế Hoạch</t>
        </is>
      </c>
      <c r="D5271" t="inlineStr">
        <is>
          <t>ERASLAND</t>
        </is>
      </c>
      <c r="E5271" t="inlineStr">
        <is>
          <t>20tr-25tr ₫/tháng</t>
        </is>
      </c>
      <c r="F5271" t="inlineStr">
        <is>
          <t>Hồ Chí Minh</t>
        </is>
      </c>
      <c r="G5271" t="inlineStr">
        <is>
          <t>Nhân viên</t>
        </is>
      </c>
      <c r="H5271" t="inlineStr">
        <is>
          <t>27/02/2026</t>
        </is>
      </c>
      <c r="I5271" t="inlineStr">
        <is>
          <t>29/03/2026</t>
        </is>
      </c>
      <c r="J5271" t="inlineStr">
        <is>
          <t>17/03/2026</t>
        </is>
      </c>
      <c r="K5271" t="inlineStr">
        <is>
          <t>N/A</t>
        </is>
      </c>
      <c r="L5271" t="inlineStr">
        <is>
          <t>Bất Động Sản, Chuyên viên kế hoạch, Xây Dựng, Dự án, Quản Lý Dự Án</t>
        </is>
      </c>
      <c r="M5271" t="inlineStr">
        <is>
          <t>Healthcare Plan, Awards, Mobile, Travel Opportunities</t>
        </is>
      </c>
      <c r="N5271" s="8">
        <f>HYPERLINK("https://www.vietnamworks.com/chuyen-vien-ke-hoach-2016016-jv","Xem chi tiết")</f>
        <v/>
      </c>
    </row>
    <row r="5272">
      <c r="B5272" s="9" t="n">
        <v>5270</v>
      </c>
      <c r="C5272" s="10" t="inlineStr">
        <is>
          <t>Chuyên Viên Chính Cung Ứng Đầu Tư Xây Dựng</t>
        </is>
      </c>
      <c r="D5272" s="10" t="inlineStr">
        <is>
          <t>Tập Đoàn Sun Group - Vùng Miền Bắc</t>
        </is>
      </c>
      <c r="E5272" s="10" t="inlineStr">
        <is>
          <t>Thương lượng</t>
        </is>
      </c>
      <c r="F5272" s="10" t="inlineStr">
        <is>
          <t>Hà Nội</t>
        </is>
      </c>
      <c r="G5272" s="10" t="inlineStr">
        <is>
          <t>Nhân viên</t>
        </is>
      </c>
      <c r="H5272" s="10" t="inlineStr">
        <is>
          <t>27/02/2026</t>
        </is>
      </c>
      <c r="I5272" s="10" t="inlineStr">
        <is>
          <t>29/03/2026</t>
        </is>
      </c>
      <c r="J5272" s="10" t="inlineStr">
        <is>
          <t>17/03/2026</t>
        </is>
      </c>
      <c r="K5272" s="10" t="inlineStr">
        <is>
          <t>N/A</t>
        </is>
      </c>
      <c r="L5272" s="10" t="inlineStr">
        <is>
          <t>Xây Dựng Dân Dụng, Đấu Thầu, Đánh Giá Nhà Cung Cấp, Mua Hàng, Tin Học Văn Phòng</t>
        </is>
      </c>
      <c r="M5272" s="10" t="inlineStr">
        <is>
          <t>Training, Others</t>
        </is>
      </c>
      <c r="N5272" s="11">
        <f>HYPERLINK("https://www.vietnamworks.com/chuyen-vien-chinh-cung-ung-djau-tu-xay-dung-2016053-jv","Xem chi tiết")</f>
        <v/>
      </c>
      <c r="O5272" s="10" t="n"/>
    </row>
    <row r="5273">
      <c r="B5273" s="7" t="n">
        <v>5271</v>
      </c>
      <c r="C5273" t="inlineStr">
        <is>
          <t>Kỹ Sư Quản Lý Thiết Kế Hạ Tầng Khu Công Nghiệp</t>
        </is>
      </c>
      <c r="D5273" t="inlineStr">
        <is>
          <t>Công ty cổ phần Bất động sản Capella - Tập đoàn Việt Phương holdings</t>
        </is>
      </c>
      <c r="E5273" t="inlineStr">
        <is>
          <t>25tr-35tr ₫/tháng</t>
        </is>
      </c>
      <c r="F5273" t="inlineStr">
        <is>
          <t>Hà Nội</t>
        </is>
      </c>
      <c r="G5273" t="inlineStr">
        <is>
          <t>Nhân viên</t>
        </is>
      </c>
      <c r="H5273" t="inlineStr">
        <is>
          <t>27/02/2026</t>
        </is>
      </c>
      <c r="I5273" t="inlineStr">
        <is>
          <t>29/03/2026</t>
        </is>
      </c>
      <c r="J5273" t="inlineStr">
        <is>
          <t>17/03/2026</t>
        </is>
      </c>
      <c r="K5273" t="inlineStr">
        <is>
          <t>N/A</t>
        </is>
      </c>
      <c r="L5273" t="inlineStr">
        <is>
          <t>Quản Lý Thiết Kế Kết Cấu, AutoCAD, Mô Phỏng Kỹ Thuật, Quản Trị Tiến Độ, Làm Việc Nhóm</t>
        </is>
      </c>
      <c r="M5273" t="inlineStr">
        <is>
          <t>Bonus, Healthcare Plan, Travel Opportunities, Others</t>
        </is>
      </c>
      <c r="N5273" s="8">
        <f>HYPERLINK("https://www.vietnamworks.com/ky-su-quan-ly-thiet-ke-ha-tang-khu-cong-nghiep-2016070-jv","Xem chi tiết")</f>
        <v/>
      </c>
    </row>
    <row r="5274">
      <c r="B5274" s="9" t="n">
        <v>5272</v>
      </c>
      <c r="C5274" s="10" t="inlineStr">
        <is>
          <t>Architectural Design</t>
        </is>
      </c>
      <c r="D5274" s="10" t="inlineStr">
        <is>
          <t>Công Ty Obayashi Việt Nam</t>
        </is>
      </c>
      <c r="E5274" s="10" t="inlineStr">
        <is>
          <t>18tr-25tr ₫/tháng</t>
        </is>
      </c>
      <c r="F5274" s="10" t="inlineStr">
        <is>
          <t>Hồ Chí Minh</t>
        </is>
      </c>
      <c r="G5274" s="10" t="inlineStr">
        <is>
          <t>Nhân viên</t>
        </is>
      </c>
      <c r="H5274" s="10" t="inlineStr">
        <is>
          <t>27/02/2026</t>
        </is>
      </c>
      <c r="I5274" s="10" t="inlineStr">
        <is>
          <t>29/03/2026</t>
        </is>
      </c>
      <c r="J5274" s="10" t="inlineStr">
        <is>
          <t>17/03/2026</t>
        </is>
      </c>
      <c r="K5274" s="10" t="inlineStr">
        <is>
          <t>N/A</t>
        </is>
      </c>
      <c r="L5274" s="10" t="inlineStr">
        <is>
          <t>Architecture Design, Autocad, Communication, Construction Regulation, Revit</t>
        </is>
      </c>
      <c r="M5274" s="10" t="inlineStr">
        <is>
          <t>Bonus, Healthcare Plan, Paid Leave, Training, Team Activities, Others</t>
        </is>
      </c>
      <c r="N5274" s="11">
        <f>HYPERLINK("https://www.vietnamworks.com/architectural-design-2016051-jv","Xem chi tiết")</f>
        <v/>
      </c>
      <c r="O5274" s="10" t="n"/>
    </row>
    <row r="5275">
      <c r="B5275" s="7" t="n">
        <v>5273</v>
      </c>
      <c r="C5275" t="inlineStr">
        <is>
          <t>Nhân Viên Diều Dưỡng</t>
        </is>
      </c>
      <c r="D5275" t="inlineStr">
        <is>
          <t>Công ty Cổ phần Bệnh viện SpineTech</t>
        </is>
      </c>
      <c r="E5275" t="inlineStr">
        <is>
          <t>Thương lượng</t>
        </is>
      </c>
      <c r="F5275" t="inlineStr">
        <is>
          <t>Hà Nội</t>
        </is>
      </c>
      <c r="G5275" t="inlineStr">
        <is>
          <t>Nhân viên</t>
        </is>
      </c>
      <c r="H5275" t="inlineStr">
        <is>
          <t>27/02/2026</t>
        </is>
      </c>
      <c r="I5275" t="inlineStr">
        <is>
          <t>29/03/2026</t>
        </is>
      </c>
      <c r="J5275" t="inlineStr">
        <is>
          <t>17/03/2026</t>
        </is>
      </c>
      <c r="K5275" t="inlineStr">
        <is>
          <t>N/A</t>
        </is>
      </c>
      <c r="L5275" t="inlineStr">
        <is>
          <t>Nursing, Điều Dưỡng, Pharmacist, Medical Technology, Clinical Nursing Care</t>
        </is>
      </c>
      <c r="M5275" t="inlineStr">
        <is>
          <t>Others</t>
        </is>
      </c>
      <c r="N5275" s="8">
        <f>HYPERLINK("https://www.vietnamworks.com/nhan-vien-dieu-duong--2016018-jv","Xem chi tiết")</f>
        <v/>
      </c>
    </row>
    <row r="5276">
      <c r="B5276" s="9" t="n">
        <v>5274</v>
      </c>
      <c r="C5276" s="10" t="inlineStr">
        <is>
          <t>Chuyên Viên Kinh Doanh Kênh Horeca</t>
        </is>
      </c>
      <c r="D5276" s="10" t="inlineStr">
        <is>
          <t>Công Ty TNHH Chăn Nuôi Việt Nhật - Công Ty Thành Viên Của Vinamilk</t>
        </is>
      </c>
      <c r="E5276" s="10" t="inlineStr">
        <is>
          <t>$$ 600-1,000 /tháng</t>
        </is>
      </c>
      <c r="F5276" s="10" t="inlineStr">
        <is>
          <t>Hồ Chí Minh, Hà Nội</t>
        </is>
      </c>
      <c r="G5276" s="10" t="inlineStr">
        <is>
          <t>Nhân viên</t>
        </is>
      </c>
      <c r="H5276" s="10" t="inlineStr">
        <is>
          <t>27/02/2026</t>
        </is>
      </c>
      <c r="I5276" s="10" t="inlineStr">
        <is>
          <t>29/03/2026</t>
        </is>
      </c>
      <c r="J5276" s="10" t="inlineStr">
        <is>
          <t>17/03/2026</t>
        </is>
      </c>
      <c r="K5276" s="10" t="inlineStr">
        <is>
          <t>N/A</t>
        </is>
      </c>
      <c r="L5276" s="10" t="inlineStr">
        <is>
          <t>Bán Hàng Kênh Mt, Bán hàng, Kinh Doanh, Sales, Horeca Sales</t>
        </is>
      </c>
      <c r="M5276" s="10" t="inlineStr">
        <is>
          <t>Bonus, Healthcare Plan, Training, Laptop, Team Activities, Others</t>
        </is>
      </c>
      <c r="N5276" s="11">
        <f>HYPERLINK("https://www.vietnamworks.com/chuyen-vien-kinh-doanh-kenh-horeca-2016001-jv","Xem chi tiết")</f>
        <v/>
      </c>
      <c r="O5276" s="10" t="n"/>
    </row>
    <row r="5277">
      <c r="B5277" s="7" t="n">
        <v>5275</v>
      </c>
      <c r="C5277" t="inlineStr">
        <is>
          <t>Nhân Viên Hỗ Trợ Kinh Doanh (Sales Support)</t>
        </is>
      </c>
      <c r="D5277" t="inlineStr">
        <is>
          <t>Fubon Life Insurance (Vietnam) Co., Ltd</t>
        </is>
      </c>
      <c r="E5277" t="inlineStr">
        <is>
          <t>Thương lượng</t>
        </is>
      </c>
      <c r="F5277" t="inlineStr">
        <is>
          <t>Hồ Chí Minh, Cần Thơ</t>
        </is>
      </c>
      <c r="G5277" t="inlineStr">
        <is>
          <t>Nhân viên</t>
        </is>
      </c>
      <c r="H5277" t="inlineStr">
        <is>
          <t>27/02/2026</t>
        </is>
      </c>
      <c r="I5277" t="inlineStr">
        <is>
          <t>29/03/2026</t>
        </is>
      </c>
      <c r="J5277" t="inlineStr">
        <is>
          <t>17/03/2026</t>
        </is>
      </c>
      <c r="K5277" t="inlineStr">
        <is>
          <t>N/A</t>
        </is>
      </c>
      <c r="L5277" t="inlineStr">
        <is>
          <t>Excel, PowerPoint, Quản Lý Nhân Viên, Phát triển đội nhóm, Sales Support</t>
        </is>
      </c>
      <c r="M5277" t="inlineStr">
        <is>
          <t>Bonus, Healthcare Plan, Training, Team Activities, Others</t>
        </is>
      </c>
      <c r="N5277" s="8">
        <f>HYPERLINK("https://www.vietnamworks.com/nhan-vien-ho-tro-kinh-doanh-sales-support-2016063-jv","Xem chi tiết")</f>
        <v/>
      </c>
    </row>
    <row r="5278">
      <c r="B5278" s="9" t="n">
        <v>5276</v>
      </c>
      <c r="C5278" s="10" t="inlineStr">
        <is>
          <t>Nhân Viên Graphic Designer Sự Kiện-Du Lịch</t>
        </is>
      </c>
      <c r="D5278" s="10" t="inlineStr">
        <is>
          <t>Mystery Of Mekong Travel CO., LTD</t>
        </is>
      </c>
      <c r="E5278" s="10" t="inlineStr">
        <is>
          <t>Thương lượng</t>
        </is>
      </c>
      <c r="F5278" s="10" t="inlineStr">
        <is>
          <t>Hồ Chí Minh</t>
        </is>
      </c>
      <c r="G5278" s="10" t="inlineStr">
        <is>
          <t>Nhân viên</t>
        </is>
      </c>
      <c r="H5278" s="10" t="inlineStr">
        <is>
          <t>27/02/2026</t>
        </is>
      </c>
      <c r="I5278" s="10" t="inlineStr">
        <is>
          <t>29/03/2026</t>
        </is>
      </c>
      <c r="J5278" s="10" t="inlineStr">
        <is>
          <t>17/03/2026</t>
        </is>
      </c>
      <c r="K5278" s="10" t="inlineStr">
        <is>
          <t>N/A</t>
        </is>
      </c>
      <c r="L5278" s="10" t="inlineStr">
        <is>
          <t>Communication, Graphic Design, Illustrator, Indesign, Photoshop</t>
        </is>
      </c>
      <c r="M5278" s="10" t="inlineStr">
        <is>
          <t>Bonus, Healthcare Plan, Travel Opportunities, Others</t>
        </is>
      </c>
      <c r="N5278" s="11">
        <f>HYPERLINK("https://www.vietnamworks.com/nhan-vien-graphic-designer-su-kien-du-lich-2016011-jv","Xem chi tiết")</f>
        <v/>
      </c>
      <c r="O5278" s="10" t="n"/>
    </row>
    <row r="5279">
      <c r="B5279" s="7" t="n">
        <v>5277</v>
      </c>
      <c r="C5279" t="inlineStr">
        <is>
          <t>Nhân Viên Sản Xuất Và Điều Hành Sự Kiện-Du Lịch</t>
        </is>
      </c>
      <c r="D5279" t="inlineStr">
        <is>
          <t>Mystery Of Mekong Travel CO., LTD</t>
        </is>
      </c>
      <c r="E5279" t="inlineStr">
        <is>
          <t>Thương lượng</t>
        </is>
      </c>
      <c r="F5279" t="inlineStr">
        <is>
          <t>Hồ Chí Minh</t>
        </is>
      </c>
      <c r="G5279" t="inlineStr">
        <is>
          <t>Nhân viên</t>
        </is>
      </c>
      <c r="H5279" t="inlineStr">
        <is>
          <t>27/02/2026</t>
        </is>
      </c>
      <c r="I5279" t="inlineStr">
        <is>
          <t>29/03/2026</t>
        </is>
      </c>
      <c r="J5279" t="inlineStr">
        <is>
          <t>17/03/2026</t>
        </is>
      </c>
      <c r="K5279" t="inlineStr">
        <is>
          <t>N/A</t>
        </is>
      </c>
      <c r="L5279" t="inlineStr">
        <is>
          <t>Event Planning, Thiết Kế Tour, Điều Hành Tour, Event Organizing, Vendor Management</t>
        </is>
      </c>
      <c r="M5279" t="inlineStr">
        <is>
          <t>Bonus, Healthcare Plan, Paid Leave, Others</t>
        </is>
      </c>
      <c r="N5279" s="8">
        <f>HYPERLINK("https://www.vietnamworks.com/nhan-vien-san-xuat-va-dieu-hanh-su-kien-du-lich-2016005-jv","Xem chi tiết")</f>
        <v/>
      </c>
    </row>
    <row r="5280">
      <c r="B5280" s="9" t="n">
        <v>5278</v>
      </c>
      <c r="C5280" s="10" t="inlineStr">
        <is>
          <t>Kế Toán Tổng Hợp</t>
        </is>
      </c>
      <c r="D5280" s="10" t="inlineStr">
        <is>
          <t>CÔNG TY TNHH ĐẦU TƯ ĐỊA ỐC THÀNH PHỐ  (CITYLAND CO., LTD)</t>
        </is>
      </c>
      <c r="E5280" s="10" t="inlineStr">
        <is>
          <t>Thương lượng</t>
        </is>
      </c>
      <c r="F5280" s="10" t="inlineStr">
        <is>
          <t>Hà Nội</t>
        </is>
      </c>
      <c r="G5280" s="10" t="inlineStr">
        <is>
          <t>Nhân viên</t>
        </is>
      </c>
      <c r="H5280" s="10" t="inlineStr">
        <is>
          <t>27/02/2026</t>
        </is>
      </c>
      <c r="I5280" s="10" t="inlineStr">
        <is>
          <t>29/03/2026</t>
        </is>
      </c>
      <c r="J5280" s="10" t="inlineStr">
        <is>
          <t>17/03/2026</t>
        </is>
      </c>
      <c r="K5280" s="10" t="inlineStr">
        <is>
          <t>N/A</t>
        </is>
      </c>
      <c r="L5280" s="10" t="inlineStr">
        <is>
          <t>Tài Chính, Kế Toán Tổng Hợp, General Accountant</t>
        </is>
      </c>
      <c r="M5280" s="10" t="inlineStr">
        <is>
          <t>Bonus, Healthcare Plan, Paid Leave, Travel Opportunities, Team Activities, Others</t>
        </is>
      </c>
      <c r="N5280" s="11">
        <f>HYPERLINK("https://www.vietnamworks.com/ke-toan-tong-hop-2016065-jv","Xem chi tiết")</f>
        <v/>
      </c>
      <c r="O5280" s="10" t="n"/>
    </row>
    <row r="5281">
      <c r="B5281" s="7" t="n">
        <v>5279</v>
      </c>
      <c r="C5281" t="inlineStr">
        <is>
          <t>Kế Toán Tổng Hợp</t>
        </is>
      </c>
      <c r="D5281" t="inlineStr">
        <is>
          <t>Công ty Cổ phần Bệnh viện SpineTech</t>
        </is>
      </c>
      <c r="E5281" t="inlineStr">
        <is>
          <t>10tr-15tr ₫/tháng</t>
        </is>
      </c>
      <c r="F5281" t="inlineStr">
        <is>
          <t>Hà Nội</t>
        </is>
      </c>
      <c r="G5281" t="inlineStr">
        <is>
          <t>Nhân viên</t>
        </is>
      </c>
      <c r="H5281" t="inlineStr">
        <is>
          <t>27/02/2026</t>
        </is>
      </c>
      <c r="I5281" t="inlineStr">
        <is>
          <t>29/03/2026</t>
        </is>
      </c>
      <c r="J5281" t="inlineStr">
        <is>
          <t>17/03/2026</t>
        </is>
      </c>
      <c r="K5281" t="inlineStr">
        <is>
          <t>N/A</t>
        </is>
      </c>
      <c r="L5281" t="inlineStr">
        <is>
          <t>Chính Sách Thuế, Kế Toán Thuế, Phần mềm kế toán, Quản Lý Chi Phí, Tài Chính Kế Toán</t>
        </is>
      </c>
      <c r="M5281" t="inlineStr">
        <is>
          <t>Bonus, Healthcare Plan, Paid Leave, Others</t>
        </is>
      </c>
      <c r="N5281" s="8">
        <f>HYPERLINK("https://www.vietnamworks.com/ke-toan-tong-hop-2016024-jv","Xem chi tiết")</f>
        <v/>
      </c>
    </row>
    <row r="5282">
      <c r="B5282" s="9" t="n">
        <v>5280</v>
      </c>
      <c r="C5282" s="10" t="inlineStr">
        <is>
          <t>Kỹ Sư IQC - Tiếng Trung Giao Tiếp + Đọc Hiểu Tốt</t>
        </is>
      </c>
      <c r="D5282" s="10" t="inlineStr">
        <is>
          <t>Công Ty TNHH Điện Tử Longcheer Meiko Việt Nam</t>
        </is>
      </c>
      <c r="E5282" s="10" t="inlineStr">
        <is>
          <t>15tr-25tr ₫/tháng</t>
        </is>
      </c>
      <c r="F5282" s="10" t="inlineStr">
        <is>
          <t>Hà Nội</t>
        </is>
      </c>
      <c r="G5282" s="10" t="inlineStr">
        <is>
          <t>Nhân viên</t>
        </is>
      </c>
      <c r="H5282" s="10" t="inlineStr">
        <is>
          <t>27/02/2026</t>
        </is>
      </c>
      <c r="I5282" s="10" t="inlineStr">
        <is>
          <t>29/03/2026</t>
        </is>
      </c>
      <c r="J5282" s="10" t="inlineStr">
        <is>
          <t>17/03/2026</t>
        </is>
      </c>
      <c r="K5282" s="10" t="inlineStr">
        <is>
          <t>N/A</t>
        </is>
      </c>
      <c r="L5282" s="10" t="inlineStr">
        <is>
          <t>7QC Tools, Kiểm Tra Chất Lượng Linh Kiện, Tiếng Trung, Điện tử, Đọc Hiểu Bản Vẽ</t>
        </is>
      </c>
      <c r="M5282" s="10" t="inlineStr">
        <is>
          <t>Bonus, Laptop, Transportation, Canteen, Others</t>
        </is>
      </c>
      <c r="N5282" s="11">
        <f>HYPERLINK("https://www.vietnamworks.com/ky-su-iqc-tieng-trung-giao-tiep-djoc-hieu-tot-2016071-jv","Xem chi tiết")</f>
        <v/>
      </c>
      <c r="O5282" s="10" t="n"/>
    </row>
    <row r="5283">
      <c r="B5283" s="7" t="n">
        <v>5281</v>
      </c>
      <c r="C5283" t="inlineStr">
        <is>
          <t>Factory Production Executive (Nhân Viên Giám Sát Sản Xuất (Xưởng Sản Xuất Đồ Gỗ Nội Thất))</t>
        </is>
      </c>
      <c r="D5283" t="inlineStr">
        <is>
          <t>Cty TNHH Kingsmen Việt Nam</t>
        </is>
      </c>
      <c r="E5283" t="inlineStr">
        <is>
          <t>Thương lượng</t>
        </is>
      </c>
      <c r="F5283" t="inlineStr">
        <is>
          <t>Hồ Chí Minh</t>
        </is>
      </c>
      <c r="G5283" t="inlineStr">
        <is>
          <t>Nhân viên</t>
        </is>
      </c>
      <c r="H5283" t="inlineStr">
        <is>
          <t>27/02/2026</t>
        </is>
      </c>
      <c r="I5283" t="inlineStr">
        <is>
          <t>29/03/2026</t>
        </is>
      </c>
      <c r="J5283" t="inlineStr">
        <is>
          <t>17/03/2026</t>
        </is>
      </c>
      <c r="K5283" t="inlineStr">
        <is>
          <t>N/A</t>
        </is>
      </c>
      <c r="L5283" t="inlineStr">
        <is>
          <t>Wood Furniture, Production, Technical Drawing, Giám Sát Sản Xuất, Nội Thất</t>
        </is>
      </c>
      <c r="M5283" t="inlineStr">
        <is>
          <t>Bonus, Healthcare Plan, Paid Leave</t>
        </is>
      </c>
      <c r="N5283" s="8">
        <f>HYPERLINK("https://www.vietnamworks.com/factory-production-executive-nhan-vien-giam-sat-san-xuat-xuong-san-xuat-do-go-noi-that--2016062-jv","Xem chi tiết")</f>
        <v/>
      </c>
    </row>
    <row r="5284">
      <c r="B5284" s="9" t="n">
        <v>5282</v>
      </c>
      <c r="C5284" s="10" t="inlineStr">
        <is>
          <t>Chuyên Viên Trắc Đạc</t>
        </is>
      </c>
      <c r="D5284" s="10" t="inlineStr">
        <is>
          <t>Tập Đoàn Nam Cường</t>
        </is>
      </c>
      <c r="E5284" s="10" t="inlineStr">
        <is>
          <t>Thương lượng</t>
        </is>
      </c>
      <c r="F5284" s="10" t="inlineStr">
        <is>
          <t>Hà Nội, Hải Phòng, Hải Dương</t>
        </is>
      </c>
      <c r="G5284" s="10" t="inlineStr">
        <is>
          <t>Nhân viên</t>
        </is>
      </c>
      <c r="H5284" s="10" t="inlineStr">
        <is>
          <t>27/02/2026</t>
        </is>
      </c>
      <c r="I5284" s="10" t="inlineStr">
        <is>
          <t>29/03/2026</t>
        </is>
      </c>
      <c r="J5284" s="10" t="inlineStr">
        <is>
          <t>17/03/2026</t>
        </is>
      </c>
      <c r="K5284" s="10" t="inlineStr">
        <is>
          <t>N/A</t>
        </is>
      </c>
      <c r="L5284" s="10" t="inlineStr">
        <is>
          <t>Giám Sát Số Liệu, Sử Dụng Máy Trắc Đạc, Trắc Đạc, Trắc Đạc Thi Công, Xây Dựng</t>
        </is>
      </c>
      <c r="M5284" s="10" t="inlineStr">
        <is>
          <t>Bonus</t>
        </is>
      </c>
      <c r="N5284" s="11">
        <f>HYPERLINK("https://www.vietnamworks.com/chuyen-vien-trac-djac-2016006-jv","Xem chi tiết")</f>
        <v/>
      </c>
      <c r="O5284" s="10" t="n"/>
    </row>
    <row r="5285">
      <c r="B5285" s="7" t="n">
        <v>5283</v>
      </c>
      <c r="C5285" t="inlineStr">
        <is>
          <t>Trưởng/ Phụ Trách Ban Quản Lý Đấu Thầu</t>
        </is>
      </c>
      <c r="D5285" t="inlineStr">
        <is>
          <t>Tập Đoàn Nam Cường</t>
        </is>
      </c>
      <c r="E5285" t="inlineStr">
        <is>
          <t>Thương lượng</t>
        </is>
      </c>
      <c r="F5285" t="inlineStr">
        <is>
          <t>Hà Nội</t>
        </is>
      </c>
      <c r="G5285" t="inlineStr">
        <is>
          <t>Trưởng phòng</t>
        </is>
      </c>
      <c r="H5285" t="inlineStr">
        <is>
          <t>27/02/2026</t>
        </is>
      </c>
      <c r="I5285" t="inlineStr">
        <is>
          <t>29/03/2026</t>
        </is>
      </c>
      <c r="J5285" t="inlineStr">
        <is>
          <t>17/03/2026</t>
        </is>
      </c>
      <c r="K5285" t="inlineStr">
        <is>
          <t>N/A</t>
        </is>
      </c>
      <c r="L5285" t="inlineStr">
        <is>
          <t>Giao Tiếp, Lập Kế Hoạch Dự Án, Phân Tích Thị Trường, Quản Lý Đấu Thầu, Đàm Phán</t>
        </is>
      </c>
      <c r="M5285" t="inlineStr">
        <is>
          <t>Bonus</t>
        </is>
      </c>
      <c r="N5285" s="8">
        <f>HYPERLINK("https://www.vietnamworks.com/truong-phu-trach-ban-quan-ly-djau-thau-2016069-jv","Xem chi tiết")</f>
        <v/>
      </c>
    </row>
    <row r="5286">
      <c r="B5286" s="9" t="n">
        <v>5284</v>
      </c>
      <c r="C5286" s="10" t="inlineStr">
        <is>
          <t>Chuyên Viên Phát Triển Dự Án</t>
        </is>
      </c>
      <c r="D5286" s="10" t="inlineStr">
        <is>
          <t>Tập Đoàn Nam Cường</t>
        </is>
      </c>
      <c r="E5286" s="10" t="inlineStr">
        <is>
          <t>Thương lượng</t>
        </is>
      </c>
      <c r="F5286" s="10" t="inlineStr">
        <is>
          <t>Hà Nội</t>
        </is>
      </c>
      <c r="G5286" s="10" t="inlineStr">
        <is>
          <t>Nhân viên</t>
        </is>
      </c>
      <c r="H5286" s="10" t="inlineStr">
        <is>
          <t>27/02/2026</t>
        </is>
      </c>
      <c r="I5286" s="10" t="inlineStr">
        <is>
          <t>29/03/2026</t>
        </is>
      </c>
      <c r="J5286" s="10" t="inlineStr">
        <is>
          <t>17/03/2026</t>
        </is>
      </c>
      <c r="K5286" s="10" t="inlineStr">
        <is>
          <t>N/A</t>
        </is>
      </c>
      <c r="L5286" s="10" t="inlineStr">
        <is>
          <t>Lập Kế Hoạch, Luật Đầu Tư, Project Investment, Project Performance, Quản Lý Dự Án</t>
        </is>
      </c>
      <c r="M5286" s="10" t="inlineStr">
        <is>
          <t>Bonus</t>
        </is>
      </c>
      <c r="N5286" s="11">
        <f>HYPERLINK("https://www.vietnamworks.com/chuyen-vien-phat-trien-du-an-2016052-jv","Xem chi tiết")</f>
        <v/>
      </c>
      <c r="O5286" s="10" t="n"/>
    </row>
    <row r="5287">
      <c r="B5287" s="7" t="n">
        <v>5285</v>
      </c>
      <c r="C5287" t="inlineStr">
        <is>
          <t>Chuyên Viên Quản Lý Đất Đai &amp; Giải Phóng Mặt Bằng</t>
        </is>
      </c>
      <c r="D5287" t="inlineStr">
        <is>
          <t>Tập Đoàn Nam Cường</t>
        </is>
      </c>
      <c r="E5287" t="inlineStr">
        <is>
          <t>Thương lượng</t>
        </is>
      </c>
      <c r="F5287" t="inlineStr">
        <is>
          <t>Hà Nội</t>
        </is>
      </c>
      <c r="G5287" t="inlineStr">
        <is>
          <t>Nhân viên</t>
        </is>
      </c>
      <c r="H5287" t="inlineStr">
        <is>
          <t>27/02/2026</t>
        </is>
      </c>
      <c r="I5287" t="inlineStr">
        <is>
          <t>29/03/2026</t>
        </is>
      </c>
      <c r="J5287" t="inlineStr">
        <is>
          <t>17/03/2026</t>
        </is>
      </c>
      <c r="K5287" t="inlineStr">
        <is>
          <t>N/A</t>
        </is>
      </c>
      <c r="L5287" t="inlineStr">
        <is>
          <t>Bồi thường giải phóng mặt bằng, Giải Phóng Mặt Bằng, Luật Đất Đai, Xây Dựng, Đàm Phán Mặt Bằng</t>
        </is>
      </c>
      <c r="M5287" t="inlineStr">
        <is>
          <t>Bonus</t>
        </is>
      </c>
      <c r="N5287" s="8">
        <f>HYPERLINK("https://www.vietnamworks.com/chuyen-vien-quan-ly-djat-djai-and-giai-phong-mat-bang-2016061-jv","Xem chi tiết")</f>
        <v/>
      </c>
    </row>
    <row r="5288">
      <c r="B5288" s="9" t="n">
        <v>5286</v>
      </c>
      <c r="C5288" s="10" t="inlineStr">
        <is>
          <t>Housing Assistant</t>
        </is>
      </c>
      <c r="D5288" s="10" t="inlineStr">
        <is>
          <t>CÔNG TY B.L. HARBERT INTERNATIONAL, L.L.C HOA KỲ</t>
        </is>
      </c>
      <c r="E5288" s="10" t="inlineStr">
        <is>
          <t>Thương lượng</t>
        </is>
      </c>
      <c r="F5288" s="10" t="inlineStr">
        <is>
          <t>Hà Nội</t>
        </is>
      </c>
      <c r="G5288" s="10" t="inlineStr">
        <is>
          <t>Nhân viên</t>
        </is>
      </c>
      <c r="H5288" s="10" t="inlineStr">
        <is>
          <t>27/02/2026</t>
        </is>
      </c>
      <c r="I5288" s="10" t="inlineStr">
        <is>
          <t>29/03/2026</t>
        </is>
      </c>
      <c r="J5288" s="10" t="inlineStr">
        <is>
          <t>17/03/2026</t>
        </is>
      </c>
      <c r="K5288" s="10" t="inlineStr">
        <is>
          <t>N/A</t>
        </is>
      </c>
      <c r="L5288" s="10" t="inlineStr">
        <is>
          <t>Apartment Leasing, Building Management, Housing Counseling, Office Support, Rental Management</t>
        </is>
      </c>
      <c r="M5288" s="10" t="inlineStr">
        <is>
          <t>Bonus, Healthcare Plan, Paid Leave, Canteen, Others</t>
        </is>
      </c>
      <c r="N5288" s="11">
        <f>HYPERLINK("https://www.vietnamworks.com/housing-assistant-2016086-jv","Xem chi tiết")</f>
        <v/>
      </c>
      <c r="O5288" s="10" t="n"/>
    </row>
    <row r="5289">
      <c r="B5289" s="7" t="n">
        <v>5287</v>
      </c>
      <c r="C5289" t="inlineStr">
        <is>
          <t>Kiến Trúc Sư - Thiết Kế Nội Thất / Architect</t>
        </is>
      </c>
      <c r="D5289" t="inlineStr">
        <is>
          <t>Công Ty Cổ Phần Tư Vấn Thiết Kế Pas</t>
        </is>
      </c>
      <c r="E5289" t="inlineStr">
        <is>
          <t>$$ 500-1,000 /tháng</t>
        </is>
      </c>
      <c r="F5289" t="inlineStr">
        <is>
          <t>Hà Nội</t>
        </is>
      </c>
      <c r="G5289" t="inlineStr">
        <is>
          <t>Nhân viên</t>
        </is>
      </c>
      <c r="H5289" t="inlineStr">
        <is>
          <t>27/02/2026</t>
        </is>
      </c>
      <c r="I5289" t="inlineStr">
        <is>
          <t>29/03/2026</t>
        </is>
      </c>
      <c r="J5289" t="inlineStr">
        <is>
          <t>17/03/2026</t>
        </is>
      </c>
      <c r="K5289" t="inlineStr">
        <is>
          <t>N/A</t>
        </is>
      </c>
      <c r="L5289" t="inlineStr">
        <is>
          <t>Thiết Kế Kiến Trúc, Revit, AutoCAD, 3Dsmax, Thiết Kế Nội Thất</t>
        </is>
      </c>
      <c r="M5289" t="inlineStr">
        <is>
          <t>Bonus, Healthcare Plan, Training</t>
        </is>
      </c>
      <c r="N5289" s="8">
        <f>HYPERLINK("https://www.vietnamworks.com/kien-truc-su-thiet-ke-noi-that-architect--2016092-jv","Xem chi tiết")</f>
        <v/>
      </c>
    </row>
    <row r="5290">
      <c r="B5290" s="9" t="n">
        <v>5288</v>
      </c>
      <c r="C5290" s="10" t="inlineStr">
        <is>
          <t>Đại Diện Bán Hàng (Tại Hà Nội, Hải Phòng, Miền Trung, Đông Nam Bộ và Đồng Bằng Sông Cửu Long)</t>
        </is>
      </c>
      <c r="D5290" s="10" t="inlineStr">
        <is>
          <t>Công Ty TNHH I.P. One (Việt Nam)</t>
        </is>
      </c>
      <c r="E5290" s="10" t="inlineStr">
        <is>
          <t>Thương lượng</t>
        </is>
      </c>
      <c r="F5290" s="10" t="inlineStr">
        <is>
          <t>Hồ Chí Minh, Hà Nội, ĐBSCL</t>
        </is>
      </c>
      <c r="G5290" s="10" t="inlineStr">
        <is>
          <t>Mới Tốt Nghiệp</t>
        </is>
      </c>
      <c r="H5290" s="10" t="inlineStr">
        <is>
          <t>27/02/2026</t>
        </is>
      </c>
      <c r="I5290" s="10" t="inlineStr">
        <is>
          <t>29/03/2026</t>
        </is>
      </c>
      <c r="J5290" s="10" t="inlineStr">
        <is>
          <t>17/03/2026</t>
        </is>
      </c>
      <c r="K5290" s="10" t="inlineStr">
        <is>
          <t>N/A</t>
        </is>
      </c>
      <c r="L5290" s="10" t="inlineStr">
        <is>
          <t>Bán hàng, Chăm Sóc Khách Hàng, FMCG, Lập Kế Hoạch, Quan Hệ Khách Hàng</t>
        </is>
      </c>
      <c r="M5290" s="10" t="inlineStr">
        <is>
          <t>Bonus, Healthcare Plan, Travel Opportunities</t>
        </is>
      </c>
      <c r="N5290" s="11">
        <f>HYPERLINK("https://www.vietnamworks.com/djai-dien-ban-hang-tai-ha-noi-hai-phong-mien-trung-djong-nam-bo-va-djong-bang-song-cuu-long-2016090-jv","Xem chi tiết")</f>
        <v/>
      </c>
      <c r="O5290" s="10" t="n"/>
    </row>
    <row r="5291">
      <c r="B5291" s="7" t="n">
        <v>5289</v>
      </c>
      <c r="C5291" t="inlineStr">
        <is>
          <t>Giám Sát Kinh Doanh (Tại Hà Nội, Hải Phòng, Miền Trung, Đông Nam Bộ và Đồng Bằng Sông Cửu Long)</t>
        </is>
      </c>
      <c r="D5291" t="inlineStr">
        <is>
          <t>Công Ty TNHH I.P. One (Việt Nam)</t>
        </is>
      </c>
      <c r="E5291" t="inlineStr">
        <is>
          <t>Thương lượng</t>
        </is>
      </c>
      <c r="F5291" t="inlineStr">
        <is>
          <t>Hà Nội, Hồ Chí Minh, Cần Thơ</t>
        </is>
      </c>
      <c r="G5291" t="inlineStr">
        <is>
          <t>Nhân viên</t>
        </is>
      </c>
      <c r="H5291" t="inlineStr">
        <is>
          <t>27/02/2026</t>
        </is>
      </c>
      <c r="I5291" t="inlineStr">
        <is>
          <t>29/03/2026</t>
        </is>
      </c>
      <c r="J5291" t="inlineStr">
        <is>
          <t>17/03/2026</t>
        </is>
      </c>
      <c r="K5291" t="inlineStr">
        <is>
          <t>N/A</t>
        </is>
      </c>
      <c r="L5291" t="inlineStr">
        <is>
          <t>Kỹ năng lập kế hoạch, Kỹ năng bán hàng, FMCG, Giám Sát Bán Hàng</t>
        </is>
      </c>
      <c r="M5291" t="inlineStr">
        <is>
          <t>Bonus, Healthcare Plan, Travel Opportunities</t>
        </is>
      </c>
      <c r="N5291" s="8">
        <f>HYPERLINK("https://www.vietnamworks.com/giam-sat-kinh-doanh-tai-ha-noi-hai-phong-mien-trung-djong-nam-bo-va-djong-bang-song-cuu-long-2016091-jv","Xem chi tiết")</f>
        <v/>
      </c>
    </row>
    <row r="5292">
      <c r="B5292" s="9" t="n">
        <v>5290</v>
      </c>
      <c r="C5292" s="10" t="inlineStr">
        <is>
          <t>Kỹ Sư Giám Sát Công Trình – Thu Nhập 22Tr – Hưng Yên</t>
        </is>
      </c>
      <c r="D5292" s="10" t="inlineStr">
        <is>
          <t>Công ty TNHH đầu tư xây dựng Thái Hưng E&amp;C</t>
        </is>
      </c>
      <c r="E5292" s="10" t="inlineStr">
        <is>
          <t>17tr-22tr ₫/tháng</t>
        </is>
      </c>
      <c r="F5292" s="10" t="inlineStr">
        <is>
          <t>Hưng Yên</t>
        </is>
      </c>
      <c r="G5292" s="10" t="inlineStr">
        <is>
          <t>Nhân viên</t>
        </is>
      </c>
      <c r="H5292" s="10" t="inlineStr">
        <is>
          <t>27/02/2026</t>
        </is>
      </c>
      <c r="I5292" s="10" t="inlineStr">
        <is>
          <t>29/03/2026</t>
        </is>
      </c>
      <c r="J5292" s="10" t="inlineStr">
        <is>
          <t>17/03/2026</t>
        </is>
      </c>
      <c r="K5292" s="10" t="inlineStr">
        <is>
          <t>N/A</t>
        </is>
      </c>
      <c r="L5292" s="10" t="inlineStr">
        <is>
          <t>Giám Sát Thi Công, QS, Đo bóc khối lượng</t>
        </is>
      </c>
      <c r="M5292" s="10" t="inlineStr">
        <is>
          <t>Bonus, Healthcare Plan, Training, Travel Opportunities, Team Activities</t>
        </is>
      </c>
      <c r="N5292" s="11">
        <f>HYPERLINK("https://www.vietnamworks.com/ky-su-giam-sat-cong-trinh-thu-nhap-22tr-hung-yen-2016095-jv","Xem chi tiết")</f>
        <v/>
      </c>
      <c r="O5292" s="10" t="n"/>
    </row>
    <row r="5293">
      <c r="B5293" s="7" t="n">
        <v>5291</v>
      </c>
      <c r="C5293" t="inlineStr">
        <is>
          <t>R&amp;D/ QC Staff</t>
        </is>
      </c>
      <c r="D5293" t="inlineStr">
        <is>
          <t>CÔNG TY TNHH AK SPECIALTY VINA</t>
        </is>
      </c>
      <c r="E5293" t="inlineStr">
        <is>
          <t>Thương lượng</t>
        </is>
      </c>
      <c r="F5293" t="inlineStr">
        <is>
          <t>Đồng Nai</t>
        </is>
      </c>
      <c r="G5293" t="inlineStr">
        <is>
          <t>Nhân viên</t>
        </is>
      </c>
      <c r="H5293" t="inlineStr">
        <is>
          <t>27/02/2026</t>
        </is>
      </c>
      <c r="I5293" t="inlineStr">
        <is>
          <t>29/03/2026</t>
        </is>
      </c>
      <c r="J5293" t="inlineStr">
        <is>
          <t>17/03/2026</t>
        </is>
      </c>
      <c r="K5293" t="inlineStr">
        <is>
          <t>N/A</t>
        </is>
      </c>
      <c r="L5293" t="inlineStr">
        <is>
          <t>Hóa Học, Sinh Học, Công Nghệ Thực Phẩm, Giao Tiếp Tiếng Anh, Tinh Thần Tập Thể</t>
        </is>
      </c>
      <c r="M5293" t="inlineStr">
        <is>
          <t>Bonus, Healthcare Plan, Training, Others</t>
        </is>
      </c>
      <c r="N5293" s="8">
        <f>HYPERLINK("https://www.vietnamworks.com/randd-qc-staff-2016089-jv","Xem chi tiết")</f>
        <v/>
      </c>
    </row>
    <row r="5294">
      <c r="B5294" s="9" t="n">
        <v>5292</v>
      </c>
      <c r="C5294" s="10" t="inlineStr">
        <is>
          <t>Chuyên Viên Quản Lý Đấu Thầu</t>
        </is>
      </c>
      <c r="D5294" s="10" t="inlineStr">
        <is>
          <t>Tập Đoàn Nam Cường</t>
        </is>
      </c>
      <c r="E5294" s="10" t="inlineStr">
        <is>
          <t>Thương lượng</t>
        </is>
      </c>
      <c r="F5294" s="10" t="inlineStr">
        <is>
          <t>Hà Nội</t>
        </is>
      </c>
      <c r="G5294" s="10" t="inlineStr">
        <is>
          <t>Nhân viên</t>
        </is>
      </c>
      <c r="H5294" s="10" t="inlineStr">
        <is>
          <t>27/02/2026</t>
        </is>
      </c>
      <c r="I5294" s="10" t="inlineStr">
        <is>
          <t>29/03/2026</t>
        </is>
      </c>
      <c r="J5294" s="10" t="inlineStr">
        <is>
          <t>17/03/2026</t>
        </is>
      </c>
      <c r="K5294" s="10" t="inlineStr">
        <is>
          <t>N/A</t>
        </is>
      </c>
      <c r="L5294" s="10" t="inlineStr">
        <is>
          <t>Kỹ năng giao tiếp, Luật Doanh Nghiệp, Quy Trình Đấu Thầu, Thẩm Định Hồ Sơ</t>
        </is>
      </c>
      <c r="M5294" s="10" t="inlineStr">
        <is>
          <t>Bonus</t>
        </is>
      </c>
      <c r="N5294" s="11">
        <f>HYPERLINK("https://www.vietnamworks.com/chuyen-vien-quan-ly-djau-thau-2016088-jv","Xem chi tiết")</f>
        <v/>
      </c>
      <c r="O5294" s="10" t="n"/>
    </row>
    <row r="5295">
      <c r="B5295" s="7" t="n">
        <v>5293</v>
      </c>
      <c r="C5295" t="inlineStr">
        <is>
          <t>Trưởng Phòng Quy Hoạch Kiến Trúc</t>
        </is>
      </c>
      <c r="D5295" t="inlineStr">
        <is>
          <t>Tập Đoàn Nam Cường</t>
        </is>
      </c>
      <c r="E5295" t="inlineStr">
        <is>
          <t>Thương lượng</t>
        </is>
      </c>
      <c r="F5295" t="inlineStr">
        <is>
          <t>Hà Nội</t>
        </is>
      </c>
      <c r="G5295" t="inlineStr">
        <is>
          <t>Trưởng phòng</t>
        </is>
      </c>
      <c r="H5295" t="inlineStr">
        <is>
          <t>27/02/2026</t>
        </is>
      </c>
      <c r="I5295" t="inlineStr">
        <is>
          <t>29/03/2026</t>
        </is>
      </c>
      <c r="J5295" t="inlineStr">
        <is>
          <t>17/03/2026</t>
        </is>
      </c>
      <c r="K5295" t="inlineStr">
        <is>
          <t>N/A</t>
        </is>
      </c>
      <c r="L5295" t="inlineStr">
        <is>
          <t>Thiết kế, kiến trúc, Dự án, Auto Cad</t>
        </is>
      </c>
      <c r="M5295" t="inlineStr">
        <is>
          <t>Bonus</t>
        </is>
      </c>
      <c r="N5295" s="8">
        <f>HYPERLINK("https://www.vietnamworks.com/truong-phong-quy-hoach-kien-truc-2016094-jv","Xem chi tiết")</f>
        <v/>
      </c>
    </row>
    <row r="5296">
      <c r="B5296" s="9" t="n">
        <v>5294</v>
      </c>
      <c r="C5296" s="10" t="inlineStr">
        <is>
          <t>Trưởng Bộ Phận Sản Xuất SMT / SMD</t>
        </is>
      </c>
      <c r="D5296" s="10" t="inlineStr">
        <is>
          <t>Anam Electronics Vietnam Co., ltd</t>
        </is>
      </c>
      <c r="E5296" s="10" t="inlineStr">
        <is>
          <t>Thương lượng</t>
        </is>
      </c>
      <c r="F5296" s="10" t="inlineStr">
        <is>
          <t>Hà Nam, Hà Nội</t>
        </is>
      </c>
      <c r="G5296" s="10" t="inlineStr">
        <is>
          <t>Trưởng phòng</t>
        </is>
      </c>
      <c r="H5296" s="10" t="inlineStr">
        <is>
          <t>27/02/2026</t>
        </is>
      </c>
      <c r="I5296" s="10" t="inlineStr">
        <is>
          <t>29/03/2026</t>
        </is>
      </c>
      <c r="J5296" s="10" t="inlineStr">
        <is>
          <t>17/03/2026</t>
        </is>
      </c>
      <c r="K5296" s="10" t="inlineStr">
        <is>
          <t>N/A</t>
        </is>
      </c>
      <c r="L5296" s="10" t="inlineStr">
        <is>
          <t>SMT experience, SMD, Quản Lý Sản Xuất, Thiết Bị Điện Tử, Phân Tích Lỗi</t>
        </is>
      </c>
      <c r="M5296" s="10" t="inlineStr">
        <is>
          <t>Bonus, Healthcare Plan, Transportation</t>
        </is>
      </c>
      <c r="N5296" s="11">
        <f>HYPERLINK("https://www.vietnamworks.com/truong-bo-phan-san-xuat-smt-smd--2016112-jv","Xem chi tiết")</f>
        <v/>
      </c>
      <c r="O5296" s="10" t="n"/>
    </row>
    <row r="5297">
      <c r="B5297" s="7" t="n">
        <v>5295</v>
      </c>
      <c r="C5297" t="inlineStr">
        <is>
          <t>Office Administrator – Ho Chi Minh City</t>
        </is>
      </c>
      <c r="D5297" t="inlineStr">
        <is>
          <t>Vietnamworks' Client</t>
        </is>
      </c>
      <c r="E5297" t="inlineStr">
        <is>
          <t>15tr-18tr ₫/tháng</t>
        </is>
      </c>
      <c r="F5297" t="inlineStr">
        <is>
          <t>Hồ Chí Minh</t>
        </is>
      </c>
      <c r="G5297" t="inlineStr">
        <is>
          <t>Mới Tốt Nghiệp</t>
        </is>
      </c>
      <c r="H5297" t="inlineStr">
        <is>
          <t>27/02/2026</t>
        </is>
      </c>
      <c r="I5297" t="inlineStr">
        <is>
          <t>29/03/2026</t>
        </is>
      </c>
      <c r="J5297" t="inlineStr">
        <is>
          <t>17/03/2026</t>
        </is>
      </c>
      <c r="K5297" t="inlineStr">
        <is>
          <t>N/A</t>
        </is>
      </c>
      <c r="L5297" t="inlineStr">
        <is>
          <t>Office Administration, Customer Service, Organizational skills, English Fluency, Administration</t>
        </is>
      </c>
      <c r="M5297" t="inlineStr">
        <is>
          <t>Bonus, Healthcare Plan, Training, Team Activities</t>
        </is>
      </c>
      <c r="N5297" s="8">
        <f>HYPERLINK("https://www.vietnamworks.com/office-administrator-ho-chi-minh-city-2016101-jv","Xem chi tiết")</f>
        <v/>
      </c>
    </row>
    <row r="5298">
      <c r="B5298" s="9" t="n">
        <v>5296</v>
      </c>
      <c r="C5298" s="10" t="inlineStr">
        <is>
          <t>Kế Toán Tổng Hợp (Ngành Xây Dựng)</t>
        </is>
      </c>
      <c r="D5298" s="10" t="inlineStr">
        <is>
          <t>Công ty TNHH đầu tư xây dựng Thái Hưng E&amp;C</t>
        </is>
      </c>
      <c r="E5298" s="10" t="inlineStr">
        <is>
          <t>15tr-20tr ₫/tháng</t>
        </is>
      </c>
      <c r="F5298" s="10" t="inlineStr">
        <is>
          <t>Hưng Yên</t>
        </is>
      </c>
      <c r="G5298" s="10" t="inlineStr">
        <is>
          <t>Nhân viên</t>
        </is>
      </c>
      <c r="H5298" s="10" t="inlineStr">
        <is>
          <t>27/02/2026</t>
        </is>
      </c>
      <c r="I5298" s="10" t="inlineStr">
        <is>
          <t>29/03/2026</t>
        </is>
      </c>
      <c r="J5298" s="10" t="inlineStr">
        <is>
          <t>17/03/2026</t>
        </is>
      </c>
      <c r="K5298" s="10" t="inlineStr">
        <is>
          <t>N/A</t>
        </is>
      </c>
      <c r="L5298" s="10" t="inlineStr">
        <is>
          <t>Kế Toán Tổng Hợp, Kế Toán Xây Dựng, Kế Toán, Kế toán &amp; Tài chính, Accouting</t>
        </is>
      </c>
      <c r="M5298" s="10" t="inlineStr">
        <is>
          <t>Bonus, Healthcare Plan, Travel Opportunities, Others</t>
        </is>
      </c>
      <c r="N5298" s="11">
        <f>HYPERLINK("https://www.vietnamworks.com/ke-toan-tong-hop-nganh-xay-dung-2016097-jv","Xem chi tiết")</f>
        <v/>
      </c>
      <c r="O5298" s="10" t="n"/>
    </row>
    <row r="5299">
      <c r="B5299" s="7" t="n">
        <v>5297</v>
      </c>
      <c r="C5299" t="inlineStr">
        <is>
          <t>[Urgent] HR Executive - Chuyên Viên Nhân Sự</t>
        </is>
      </c>
      <c r="D5299" t="inlineStr">
        <is>
          <t>Barbaard Company</t>
        </is>
      </c>
      <c r="E5299" t="inlineStr">
        <is>
          <t>12tr-15tr ₫/tháng</t>
        </is>
      </c>
      <c r="F5299" t="inlineStr">
        <is>
          <t>Hà Nội</t>
        </is>
      </c>
      <c r="G5299" t="inlineStr">
        <is>
          <t>Nhân viên</t>
        </is>
      </c>
      <c r="H5299" t="inlineStr">
        <is>
          <t>27/02/2026</t>
        </is>
      </c>
      <c r="I5299" t="inlineStr">
        <is>
          <t>29/03/2026</t>
        </is>
      </c>
      <c r="J5299" t="inlineStr">
        <is>
          <t>17/03/2026</t>
        </is>
      </c>
      <c r="K5299" t="inlineStr">
        <is>
          <t>N/A</t>
        </is>
      </c>
      <c r="L5299" t="inlineStr">
        <is>
          <t>HRM Software System, HR General, HR Admin, C&amp;B, HR</t>
        </is>
      </c>
      <c r="M5299" t="inlineStr">
        <is>
          <t>Bonus, Healthcare Plan, Paid Leave</t>
        </is>
      </c>
      <c r="N5299" s="8">
        <f>HYPERLINK("https://www.vietnamworks.com/urgent-hr-executive-chuyen-vien-nhan-su--2016113-jv","Xem chi tiết")</f>
        <v/>
      </c>
    </row>
    <row r="5300">
      <c r="B5300" s="9" t="n">
        <v>5298</v>
      </c>
      <c r="C5300" s="10" t="inlineStr">
        <is>
          <t>Nhân Viên Lái Xe Suất Ăn</t>
        </is>
      </c>
      <c r="D5300" s="10" t="inlineStr">
        <is>
          <t>Công Ty Cổ Phần Dịch Vụ Suất Ăn Hàng Không Việt Nam</t>
        </is>
      </c>
      <c r="E5300" s="10" t="inlineStr">
        <is>
          <t>Thương lượng</t>
        </is>
      </c>
      <c r="F5300" s="10" t="inlineStr">
        <is>
          <t>Đồng Nai</t>
        </is>
      </c>
      <c r="G5300" s="10" t="inlineStr">
        <is>
          <t>Nhân viên</t>
        </is>
      </c>
      <c r="H5300" s="10" t="inlineStr">
        <is>
          <t>27/02/2026</t>
        </is>
      </c>
      <c r="I5300" s="10" t="inlineStr">
        <is>
          <t>29/03/2026</t>
        </is>
      </c>
      <c r="J5300" s="10" t="inlineStr">
        <is>
          <t>17/03/2026</t>
        </is>
      </c>
      <c r="K5300" s="10" t="inlineStr">
        <is>
          <t>N/A</t>
        </is>
      </c>
      <c r="L5300" s="10" t="inlineStr">
        <is>
          <t>Kỹ Năng Lái Xe, Hàng Không, Lái Xe, Giao Nhận Vận Chuyển, Dịch Vụ Khách Hàng</t>
        </is>
      </c>
      <c r="M5300" s="10" t="inlineStr">
        <is>
          <t>Training, Awards, Team Activities</t>
        </is>
      </c>
      <c r="N5300" s="11">
        <f>HYPERLINK("https://www.vietnamworks.com/nhan-vien-lai-xe-suat-an--2016107-jv","Xem chi tiết")</f>
        <v/>
      </c>
      <c r="O5300" s="10" t="n"/>
    </row>
    <row r="5301">
      <c r="B5301" s="7" t="n">
        <v>5299</v>
      </c>
      <c r="C5301" t="inlineStr">
        <is>
          <t>Nhân Viên Kinh Doanh Tiếng Trung (Chinese Sales Executive)</t>
        </is>
      </c>
      <c r="D5301" t="inlineStr">
        <is>
          <t>Công ty TNHH Công nghiệp Bảo Tiên</t>
        </is>
      </c>
      <c r="E5301" t="inlineStr">
        <is>
          <t>15tr-20tr ₫/tháng</t>
        </is>
      </c>
      <c r="F5301" t="inlineStr">
        <is>
          <t>Hải Phòng</t>
        </is>
      </c>
      <c r="G5301" t="inlineStr">
        <is>
          <t>Nhân viên</t>
        </is>
      </c>
      <c r="H5301" t="inlineStr">
        <is>
          <t>27/02/2026</t>
        </is>
      </c>
      <c r="I5301" t="inlineStr">
        <is>
          <t>29/03/2026</t>
        </is>
      </c>
      <c r="J5301" t="inlineStr">
        <is>
          <t>17/03/2026</t>
        </is>
      </c>
      <c r="K5301" t="inlineStr">
        <is>
          <t>N/A</t>
        </is>
      </c>
      <c r="L5301" t="inlineStr">
        <is>
          <t>Kỹ năng đàm phán, Làm Việc Nhóm, Phân Tích Thị Trường, Thương lượng, Tiếng Trung Giao Tiếp</t>
        </is>
      </c>
      <c r="M5301" t="inlineStr">
        <is>
          <t>Bonus, Training, Others</t>
        </is>
      </c>
      <c r="N5301" s="8">
        <f>HYPERLINK("https://www.vietnamworks.com/nhan-vien-kinh-doanh-tieng-trung-chinese-sales-executive-2016115-jv","Xem chi tiết")</f>
        <v/>
      </c>
    </row>
    <row r="5302">
      <c r="B5302" s="9" t="n">
        <v>5300</v>
      </c>
      <c r="C5302" s="10" t="inlineStr">
        <is>
          <t>Master Data Administrator</t>
        </is>
      </c>
      <c r="D5302" s="10" t="inlineStr">
        <is>
          <t>CÔNG TY TNHH VISY GLOBAL LOGISTICS (VIỆT NAM)</t>
        </is>
      </c>
      <c r="E5302" s="10" t="inlineStr">
        <is>
          <t>Thương lượng</t>
        </is>
      </c>
      <c r="F5302" s="10" t="inlineStr">
        <is>
          <t>Hồ Chí Minh</t>
        </is>
      </c>
      <c r="G5302" s="10" t="inlineStr">
        <is>
          <t>Nhân viên</t>
        </is>
      </c>
      <c r="H5302" s="10" t="inlineStr">
        <is>
          <t>27/02/2026</t>
        </is>
      </c>
      <c r="I5302" s="10" t="inlineStr">
        <is>
          <t>29/03/2026</t>
        </is>
      </c>
      <c r="J5302" s="10" t="inlineStr">
        <is>
          <t>17/03/2026</t>
        </is>
      </c>
      <c r="K5302" s="10" t="inlineStr">
        <is>
          <t>N/A</t>
        </is>
      </c>
      <c r="L5302" s="10" t="inlineStr">
        <is>
          <t>Stakeholder Management, Data Management, Cargo Wise, Forwarding Operation, Data Administration</t>
        </is>
      </c>
      <c r="M5302" s="10" t="inlineStr">
        <is>
          <t>Bonus, Healthcare Plan, Paid Leave, Awards, Mobile, Travel Opportunities, Team Activities, Transportation, Vouchers, Others</t>
        </is>
      </c>
      <c r="N5302" s="11">
        <f>HYPERLINK("https://www.vietnamworks.com/master-data-administrator-2016111-jv","Xem chi tiết")</f>
        <v/>
      </c>
      <c r="O5302" s="10" t="n"/>
    </row>
    <row r="5303">
      <c r="B5303" s="7" t="n">
        <v>5301</v>
      </c>
      <c r="C5303" t="inlineStr">
        <is>
          <t>Chuyên Viên Marketing Bất Động Sản (Chủ Đầu Tư)</t>
        </is>
      </c>
      <c r="D5303" t="inlineStr">
        <is>
          <t>Công Ty Cổ Phần BIC Việt Nam</t>
        </is>
      </c>
      <c r="E5303" t="inlineStr">
        <is>
          <t>Tới 30tr ₫/tháng</t>
        </is>
      </c>
      <c r="F5303" t="inlineStr">
        <is>
          <t>Hà Nội</t>
        </is>
      </c>
      <c r="G5303" t="inlineStr">
        <is>
          <t>Nhân viên</t>
        </is>
      </c>
      <c r="H5303" t="inlineStr">
        <is>
          <t>27/02/2026</t>
        </is>
      </c>
      <c r="I5303" t="inlineStr">
        <is>
          <t>29/03/2026</t>
        </is>
      </c>
      <c r="J5303" t="inlineStr">
        <is>
          <t>17/03/2026</t>
        </is>
      </c>
      <c r="K5303" t="inlineStr">
        <is>
          <t>N/A</t>
        </is>
      </c>
      <c r="L5303" t="inlineStr">
        <is>
          <t>Digital Marketing, Truyền Thông Nội Bộ, Quảng Bá Thương Hiệu, Nghiên Cứu Thị Trường, Marketing</t>
        </is>
      </c>
      <c r="M5303" t="inlineStr">
        <is>
          <t>Bonus, Healthcare Plan, Travel Opportunities</t>
        </is>
      </c>
      <c r="N5303" s="8">
        <f>HYPERLINK("https://www.vietnamworks.com/chuyen-vien-marketing-bat-dong-san-chu-dau-tu-2016098-jv","Xem chi tiết")</f>
        <v/>
      </c>
    </row>
    <row r="5304">
      <c r="B5304" s="9" t="n">
        <v>5302</v>
      </c>
      <c r="C5304" s="10" t="inlineStr">
        <is>
          <t>Nhân viên Marketing</t>
        </is>
      </c>
      <c r="D5304" s="10" t="inlineStr">
        <is>
          <t>CÔNG TY TNHH ACCRETECH VIỆT NAM</t>
        </is>
      </c>
      <c r="E5304" s="10" t="inlineStr">
        <is>
          <t>Từ 15tr ₫/tháng</t>
        </is>
      </c>
      <c r="F5304" s="10" t="inlineStr">
        <is>
          <t>Hồ Chí Minh</t>
        </is>
      </c>
      <c r="G5304" s="10" t="inlineStr">
        <is>
          <t>Nhân viên</t>
        </is>
      </c>
      <c r="H5304" s="10" t="inlineStr">
        <is>
          <t>27/02/2026</t>
        </is>
      </c>
      <c r="I5304" s="10" t="inlineStr">
        <is>
          <t>29/03/2026</t>
        </is>
      </c>
      <c r="J5304" s="10" t="inlineStr">
        <is>
          <t>17/03/2026</t>
        </is>
      </c>
      <c r="K5304" s="10" t="inlineStr">
        <is>
          <t>N/A</t>
        </is>
      </c>
      <c r="L5304" s="10" t="inlineStr">
        <is>
          <t>Communication, Data Analysis, Marketing Development, Office Software, Video Editing</t>
        </is>
      </c>
      <c r="M5304" s="10" t="inlineStr">
        <is>
          <t>Bonus, Transportation, Others</t>
        </is>
      </c>
      <c r="N5304" s="11">
        <f>HYPERLINK("https://www.vietnamworks.com/nhan-vien-marketing-2016121-jv","Xem chi tiết")</f>
        <v/>
      </c>
      <c r="O5304" s="10" t="n"/>
    </row>
    <row r="5305">
      <c r="B5305" s="7" t="n">
        <v>5303</v>
      </c>
      <c r="C5305" t="inlineStr">
        <is>
          <t>Nhân Viên Kinh Doanh (Chuỗi Điện Máy)</t>
        </is>
      </c>
      <c r="D5305" t="inlineStr">
        <is>
          <t>CÔNG TY TNHH THIẾT BỊ THÔNG MINH O-TECH VIỆT NAM</t>
        </is>
      </c>
      <c r="E5305" t="inlineStr">
        <is>
          <t>Thương lượng</t>
        </is>
      </c>
      <c r="F5305" t="inlineStr">
        <is>
          <t>Hồ Chí Minh</t>
        </is>
      </c>
      <c r="G5305" t="inlineStr">
        <is>
          <t>Nhân viên</t>
        </is>
      </c>
      <c r="H5305" t="inlineStr">
        <is>
          <t>27/02/2026</t>
        </is>
      </c>
      <c r="I5305" t="inlineStr">
        <is>
          <t>29/03/2026</t>
        </is>
      </c>
      <c r="J5305" t="inlineStr">
        <is>
          <t>17/03/2026</t>
        </is>
      </c>
      <c r="K5305" t="inlineStr">
        <is>
          <t>N/A</t>
        </is>
      </c>
      <c r="L5305" t="inlineStr">
        <is>
          <t>Sales, Kinh Doanh, Bán hàng &amp; Chăm sóc khách hàng, Business Development, Điện Tử</t>
        </is>
      </c>
      <c r="M5305" t="inlineStr">
        <is>
          <t>Bonus, Healthcare Plan, Training, Team Activities, Others</t>
        </is>
      </c>
      <c r="N5305" s="8">
        <f>HYPERLINK("https://www.vietnamworks.com/nhan-vien-kinh-doanh-chuoi-djien-may-2016120-jv","Xem chi tiết")</f>
        <v/>
      </c>
    </row>
    <row r="5306">
      <c r="B5306" s="9" t="n">
        <v>5304</v>
      </c>
      <c r="C5306" s="10" t="inlineStr">
        <is>
          <t>Business Development Director BDD (Giám Đốc Phát Triển Kinh Doanh)</t>
        </is>
      </c>
      <c r="D5306" s="10" t="inlineStr">
        <is>
          <t>CT Group Việt Nam</t>
        </is>
      </c>
      <c r="E5306" s="10" t="inlineStr">
        <is>
          <t>Thương lượng</t>
        </is>
      </c>
      <c r="F5306" s="10" t="inlineStr">
        <is>
          <t>Hồ Chí Minh</t>
        </is>
      </c>
      <c r="G5306" s="10" t="inlineStr">
        <is>
          <t>Giám Đốc và Cấp Cao Hơn</t>
        </is>
      </c>
      <c r="H5306" s="10" t="inlineStr">
        <is>
          <t>27/02/2026</t>
        </is>
      </c>
      <c r="I5306" s="10" t="inlineStr">
        <is>
          <t>29/03/2026</t>
        </is>
      </c>
      <c r="J5306" s="10" t="inlineStr">
        <is>
          <t>17/03/2026</t>
        </is>
      </c>
      <c r="K5306" s="10" t="inlineStr">
        <is>
          <t>N/A</t>
        </is>
      </c>
      <c r="L5306" s="10" t="inlineStr">
        <is>
          <t>Business Development, B2G, Tư Vấn Giải Pháp, Đàm Phán, Lãnh Đạo</t>
        </is>
      </c>
      <c r="M5306" s="10" t="inlineStr">
        <is>
          <t>Bonus, Healthcare Plan, Travel Opportunities</t>
        </is>
      </c>
      <c r="N5306" s="11">
        <f>HYPERLINK("https://www.vietnamworks.com/business-development-director-bdd-giam-doc-phat-trien-kinh-doanh-2016096-jv","Xem chi tiết")</f>
        <v/>
      </c>
      <c r="O5306" s="10" t="n"/>
    </row>
    <row r="5307">
      <c r="B5307" s="7" t="n">
        <v>5305</v>
      </c>
      <c r="C5307" t="inlineStr">
        <is>
          <t>Legal Associate (3+ Years Experience)</t>
        </is>
      </c>
      <c r="D5307" t="inlineStr">
        <is>
          <t>GHConsults</t>
        </is>
      </c>
      <c r="E5307" t="inlineStr">
        <is>
          <t>Thương lượng</t>
        </is>
      </c>
      <c r="F5307" t="inlineStr">
        <is>
          <t>Hà Nội</t>
        </is>
      </c>
      <c r="G5307" t="inlineStr">
        <is>
          <t>Nhân viên</t>
        </is>
      </c>
      <c r="H5307" t="inlineStr">
        <is>
          <t>27/02/2026</t>
        </is>
      </c>
      <c r="I5307" t="inlineStr">
        <is>
          <t>29/03/2026</t>
        </is>
      </c>
      <c r="J5307" t="inlineStr">
        <is>
          <t>17/03/2026</t>
        </is>
      </c>
      <c r="K5307" t="inlineStr">
        <is>
          <t>N/A</t>
        </is>
      </c>
      <c r="L5307" t="inlineStr">
        <is>
          <t>Legal, Legal Consulting, Law Firms, M&amp;A Consulting, Luật</t>
        </is>
      </c>
      <c r="M5307" t="inlineStr">
        <is>
          <t>Bonus, Healthcare Plan, Laptop</t>
        </is>
      </c>
      <c r="N5307" s="8">
        <f>HYPERLINK("https://www.vietnamworks.com/legal-associate-3-years-experience--2016110-jv","Xem chi tiết")</f>
        <v/>
      </c>
    </row>
    <row r="5308">
      <c r="B5308" s="9" t="n">
        <v>5306</v>
      </c>
      <c r="C5308" s="10" t="inlineStr">
        <is>
          <t>Nhân Viên An Ninh</t>
        </is>
      </c>
      <c r="D5308" s="10" t="inlineStr">
        <is>
          <t>Công Ty Cổ Phần Dịch Vụ Suất Ăn Hàng Không Việt Nam</t>
        </is>
      </c>
      <c r="E5308" s="10" t="inlineStr">
        <is>
          <t>Thương lượng</t>
        </is>
      </c>
      <c r="F5308" s="10" t="inlineStr">
        <is>
          <t>Đồng Nai</t>
        </is>
      </c>
      <c r="G5308" s="10" t="inlineStr">
        <is>
          <t>Nhân viên</t>
        </is>
      </c>
      <c r="H5308" s="10" t="inlineStr">
        <is>
          <t>27/02/2026</t>
        </is>
      </c>
      <c r="I5308" s="10" t="inlineStr">
        <is>
          <t>29/03/2026</t>
        </is>
      </c>
      <c r="J5308" s="10" t="inlineStr">
        <is>
          <t>17/03/2026</t>
        </is>
      </c>
      <c r="K5308" s="10" t="inlineStr">
        <is>
          <t>N/A</t>
        </is>
      </c>
      <c r="L5308" s="10" t="inlineStr">
        <is>
          <t>Security Guard, Bảo Đảm An Ninh, Bảo Vệ An Ninh, An Ninh Trật Tự, Nghiệp Vụ Bảo Vệ</t>
        </is>
      </c>
      <c r="M5308" s="10" t="inlineStr">
        <is>
          <t>Training, Awards, Team Activities</t>
        </is>
      </c>
      <c r="N5308" s="11">
        <f>HYPERLINK("https://www.vietnamworks.com/nhan-vien-an-ninh--2016105-jv","Xem chi tiết")</f>
        <v/>
      </c>
      <c r="O5308" s="10" t="n"/>
    </row>
    <row r="5309">
      <c r="B5309" s="7" t="n">
        <v>5307</v>
      </c>
      <c r="C5309" t="inlineStr">
        <is>
          <t>Sales Assistant</t>
        </is>
      </c>
      <c r="D5309" t="inlineStr">
        <is>
          <t>CÔNG TY TNHH ACCRETECH VIỆT NAM</t>
        </is>
      </c>
      <c r="E5309" t="inlineStr">
        <is>
          <t>Từ 15tr ₫/tháng</t>
        </is>
      </c>
      <c r="F5309" t="inlineStr">
        <is>
          <t>Hồ Chí Minh</t>
        </is>
      </c>
      <c r="G5309" t="inlineStr">
        <is>
          <t>Nhân viên</t>
        </is>
      </c>
      <c r="H5309" t="inlineStr">
        <is>
          <t>27/02/2026</t>
        </is>
      </c>
      <c r="I5309" t="inlineStr">
        <is>
          <t>29/03/2026</t>
        </is>
      </c>
      <c r="J5309" t="inlineStr">
        <is>
          <t>17/03/2026</t>
        </is>
      </c>
      <c r="K5309" t="inlineStr">
        <is>
          <t>N/A</t>
        </is>
      </c>
      <c r="L5309" t="inlineStr">
        <is>
          <t>sales admin, Sales Coordinator, Sales Assistance, Administration, Hỗ trợ sales</t>
        </is>
      </c>
      <c r="M5309" t="inlineStr">
        <is>
          <t>Bonus, Paid Leave, Transportation, Others</t>
        </is>
      </c>
      <c r="N5309" s="8">
        <f>HYPERLINK("https://www.vietnamworks.com/sales-assistant-2016123-jv","Xem chi tiết")</f>
        <v/>
      </c>
    </row>
    <row r="5310">
      <c r="B5310" s="9" t="n">
        <v>5308</v>
      </c>
      <c r="C5310" s="10" t="inlineStr">
        <is>
          <t>Chuyên Viên Kinh Doanh Bất Động Sản (Chủ Đầu Tư)</t>
        </is>
      </c>
      <c r="D5310" s="10" t="inlineStr">
        <is>
          <t>Công Ty Cổ Phần BIC Việt Nam</t>
        </is>
      </c>
      <c r="E5310" s="10" t="inlineStr">
        <is>
          <t>Tới 20tr ₫/tháng</t>
        </is>
      </c>
      <c r="F5310" s="10" t="inlineStr">
        <is>
          <t>Hà Nội</t>
        </is>
      </c>
      <c r="G5310" s="10" t="inlineStr">
        <is>
          <t>Nhân viên</t>
        </is>
      </c>
      <c r="H5310" s="10" t="inlineStr">
        <is>
          <t>27/02/2026</t>
        </is>
      </c>
      <c r="I5310" s="10" t="inlineStr">
        <is>
          <t>29/03/2026</t>
        </is>
      </c>
      <c r="J5310" s="10" t="inlineStr">
        <is>
          <t>17/03/2026</t>
        </is>
      </c>
      <c r="K5310" s="10" t="inlineStr">
        <is>
          <t>N/A</t>
        </is>
      </c>
      <c r="L5310" s="10" t="inlineStr">
        <is>
          <t>Bất Động Sản, Kinh Doanh, Pháp Lý Bất Động Sản, Luật Đất Đai, Sales bất động sản</t>
        </is>
      </c>
      <c r="M5310" s="10" t="inlineStr">
        <is>
          <t>Bonus, Healthcare Plan, Training, Travel Opportunities, Others</t>
        </is>
      </c>
      <c r="N5310" s="11">
        <f>HYPERLINK("https://www.vietnamworks.com/chuyen-vien-kinh-doanh-bat-dong-san-chu-dau-tu--2016099-jv","Xem chi tiết")</f>
        <v/>
      </c>
      <c r="O5310" s="10" t="n"/>
    </row>
    <row r="5311">
      <c r="B5311" s="7" t="n">
        <v>5309</v>
      </c>
      <c r="C5311" t="inlineStr">
        <is>
          <t>Nhân Viên Dịch Vụ Hàng Không</t>
        </is>
      </c>
      <c r="D5311" t="inlineStr">
        <is>
          <t>Công Ty Cổ Phần Dịch Vụ Suất Ăn Hàng Không Việt Nam</t>
        </is>
      </c>
      <c r="E5311" t="inlineStr">
        <is>
          <t>Thương lượng</t>
        </is>
      </c>
      <c r="F5311" t="inlineStr">
        <is>
          <t>Đồng Nai</t>
        </is>
      </c>
      <c r="G5311" t="inlineStr">
        <is>
          <t>Nhân viên</t>
        </is>
      </c>
      <c r="H5311" t="inlineStr">
        <is>
          <t>27/02/2026</t>
        </is>
      </c>
      <c r="I5311" t="inlineStr">
        <is>
          <t>29/03/2026</t>
        </is>
      </c>
      <c r="J5311" t="inlineStr">
        <is>
          <t>17/03/2026</t>
        </is>
      </c>
      <c r="K5311" t="inlineStr">
        <is>
          <t>N/A</t>
        </is>
      </c>
      <c r="L5311" t="inlineStr">
        <is>
          <t>Hàng Không, Giao Nhận Vận Chuyển, Dịch Vụ Khách Hàng, Tiếng Anh</t>
        </is>
      </c>
      <c r="M5311" t="inlineStr">
        <is>
          <t>Training, Awards, Team Activities</t>
        </is>
      </c>
      <c r="N5311" s="8">
        <f>HYPERLINK("https://www.vietnamworks.com/nhan-vien-dich-vu-hang-khong--2016103-jv","Xem chi tiết")</f>
        <v/>
      </c>
    </row>
    <row r="5312">
      <c r="B5312" s="9" t="n">
        <v>5310</v>
      </c>
      <c r="C5312" s="10" t="inlineStr">
        <is>
          <t>Tổng Giám Đốc Công Ty Xây Dựng Xanh – Dự Án Miền Trung</t>
        </is>
      </c>
      <c r="D5312" s="10" t="inlineStr">
        <is>
          <t>Capital House Group</t>
        </is>
      </c>
      <c r="E5312" s="10" t="inlineStr">
        <is>
          <t>Thương lượng</t>
        </is>
      </c>
      <c r="F5312" s="10" t="inlineStr">
        <is>
          <t>Hà Nội</t>
        </is>
      </c>
      <c r="G5312" s="10" t="inlineStr">
        <is>
          <t>Giám Đốc và Cấp Cao Hơn</t>
        </is>
      </c>
      <c r="H5312" s="10" t="inlineStr">
        <is>
          <t>27/02/2026</t>
        </is>
      </c>
      <c r="I5312" s="10" t="inlineStr">
        <is>
          <t>29/03/2026</t>
        </is>
      </c>
      <c r="J5312" s="10" t="inlineStr">
        <is>
          <t>17/03/2026</t>
        </is>
      </c>
      <c r="K5312" s="10" t="inlineStr">
        <is>
          <t>N/A</t>
        </is>
      </c>
      <c r="L5312" s="10" t="inlineStr">
        <is>
          <t>Du lịch, Quản Trị, Quản Trị Rủi Ro</t>
        </is>
      </c>
      <c r="M5312" s="10" t="inlineStr">
        <is>
          <t>Bonus, Healthcare Plan, Paid Leave, Training, Team Activities, Others</t>
        </is>
      </c>
      <c r="N5312" s="11">
        <f>HYPERLINK("https://www.vietnamworks.com/tong-giam-djoc-cong-ty-xay-dung-xanh-du-an-mien-trung-2016104-jv","Xem chi tiết")</f>
        <v/>
      </c>
      <c r="O5312" s="10" t="n"/>
    </row>
    <row r="5313">
      <c r="B5313" s="7" t="n">
        <v>5311</v>
      </c>
      <c r="C5313" t="inlineStr">
        <is>
          <t>Giám Đốc Kinh Doanh (Ngành Thực Phẩm Đông Lạnh / FMCG)</t>
        </is>
      </c>
      <c r="D5313" t="inlineStr">
        <is>
          <t>CÔNG TY CỔ PHẦN NAFTA</t>
        </is>
      </c>
      <c r="E5313" t="inlineStr">
        <is>
          <t>Thương lượng</t>
        </is>
      </c>
      <c r="F5313" t="inlineStr">
        <is>
          <t>Hà Nội</t>
        </is>
      </c>
      <c r="G5313" t="inlineStr">
        <is>
          <t>Giám Đốc và Cấp Cao Hơn</t>
        </is>
      </c>
      <c r="H5313" t="inlineStr">
        <is>
          <t>27/02/2026</t>
        </is>
      </c>
      <c r="I5313" t="inlineStr">
        <is>
          <t>29/03/2026</t>
        </is>
      </c>
      <c r="J5313" t="inlineStr">
        <is>
          <t>17/03/2026</t>
        </is>
      </c>
      <c r="K5313" t="inlineStr">
        <is>
          <t>N/A</t>
        </is>
      </c>
      <c r="L5313" t="inlineStr">
        <is>
          <t>Sales Management, FMCG, Kinh Doanh Thực Phẩm, GT Channel, Distributor management</t>
        </is>
      </c>
      <c r="M5313" t="inlineStr">
        <is>
          <t>Bonus</t>
        </is>
      </c>
      <c r="N5313" s="8">
        <f>HYPERLINK("https://www.vietnamworks.com/giam-doc-kinh-doanh-nganh-thuc-pham-dong-lanh-fmcg-2016124-jv","Xem chi tiết")</f>
        <v/>
      </c>
    </row>
    <row r="5314">
      <c r="B5314" s="9" t="n">
        <v>5312</v>
      </c>
      <c r="C5314" s="10" t="inlineStr">
        <is>
          <t>Project Manager Điện Mặt Trời Áp Mái (Rooftop Solar)</t>
        </is>
      </c>
      <c r="D5314" s="10" t="inlineStr">
        <is>
          <t>HWANTAI SOLAR VIỆT NAM</t>
        </is>
      </c>
      <c r="E5314" s="10" t="inlineStr">
        <is>
          <t>Thương lượng</t>
        </is>
      </c>
      <c r="F5314" s="10" t="inlineStr">
        <is>
          <t>Hồ Chí Minh</t>
        </is>
      </c>
      <c r="G5314" s="10" t="inlineStr">
        <is>
          <t>Trưởng phòng</t>
        </is>
      </c>
      <c r="H5314" s="10" t="inlineStr">
        <is>
          <t>27/02/2026</t>
        </is>
      </c>
      <c r="I5314" s="10" t="inlineStr">
        <is>
          <t>29/03/2026</t>
        </is>
      </c>
      <c r="J5314" s="10" t="inlineStr">
        <is>
          <t>17/03/2026</t>
        </is>
      </c>
      <c r="K5314" s="10" t="inlineStr">
        <is>
          <t>N/A</t>
        </is>
      </c>
      <c r="L5314" s="10" t="inlineStr">
        <is>
          <t>Quản Lý Dự Án, Kiểm Soát Chi Phí, Quản Lý Năng Lượng, Triển Khai Dự Án, Điện Mặt Trời</t>
        </is>
      </c>
      <c r="M5314" s="10" t="inlineStr">
        <is>
          <t>Paid Leave, Laptop</t>
        </is>
      </c>
      <c r="N5314" s="11">
        <f>HYPERLINK("https://www.vietnamworks.com/project-manager-djien-mat-troi-ap-mai-rooftop-solar-2016125-jv","Xem chi tiết")</f>
        <v/>
      </c>
      <c r="O5314" s="10" t="n"/>
    </row>
    <row r="5315">
      <c r="B5315" s="7" t="n">
        <v>5313</v>
      </c>
      <c r="C5315" t="inlineStr">
        <is>
          <t>Kế Toán Tổng Hợp - General Accountant</t>
        </is>
      </c>
      <c r="D5315" t="inlineStr">
        <is>
          <t>HWANTAI SOLAR VIỆT NAM</t>
        </is>
      </c>
      <c r="E5315" t="inlineStr">
        <is>
          <t>Thương lượng</t>
        </is>
      </c>
      <c r="F5315" t="inlineStr">
        <is>
          <t>Hồ Chí Minh</t>
        </is>
      </c>
      <c r="G5315" t="inlineStr">
        <is>
          <t>Nhân viên</t>
        </is>
      </c>
      <c r="H5315" t="inlineStr">
        <is>
          <t>27/02/2026</t>
        </is>
      </c>
      <c r="I5315" t="inlineStr">
        <is>
          <t>29/03/2026</t>
        </is>
      </c>
      <c r="J5315" t="inlineStr">
        <is>
          <t>17/03/2026</t>
        </is>
      </c>
      <c r="K5315" t="inlineStr">
        <is>
          <t>N/A</t>
        </is>
      </c>
      <c r="L5315" t="inlineStr">
        <is>
          <t>Kế Toán Tổng Hợp, Khai Thuế, Quyết Toán Thuế, Phần mềm kế toán, Tiếng Trung Giao Tiếp</t>
        </is>
      </c>
      <c r="M5315" t="inlineStr">
        <is>
          <t>Paid Leave, Laptop</t>
        </is>
      </c>
      <c r="N5315" s="8">
        <f>HYPERLINK("https://www.vietnamworks.com/ke-toan-tong-hop-general-accountant--2016128-jv","Xem chi tiết")</f>
        <v/>
      </c>
    </row>
    <row r="5316">
      <c r="B5316" s="9" t="n">
        <v>5314</v>
      </c>
      <c r="C5316" s="10" t="inlineStr">
        <is>
          <t>Kỹ Sư Cơ Điện (Ưu Tiên Biết Thiết Kế) - Chấp Nhận Sinh Viên Mới Ra Trường</t>
        </is>
      </c>
      <c r="D5316" s="10" t="inlineStr">
        <is>
          <t>Công ty TNHH Đầu Tư Xây Dựng Canh Sinh</t>
        </is>
      </c>
      <c r="E5316" s="10" t="inlineStr">
        <is>
          <t>13tr-20tr ₫/tháng</t>
        </is>
      </c>
      <c r="F5316" s="10" t="inlineStr">
        <is>
          <t>Hải Phòng</t>
        </is>
      </c>
      <c r="G5316" s="10" t="inlineStr">
        <is>
          <t>Mới Tốt Nghiệp</t>
        </is>
      </c>
      <c r="H5316" s="10" t="inlineStr">
        <is>
          <t>27/02/2026</t>
        </is>
      </c>
      <c r="I5316" s="10" t="inlineStr">
        <is>
          <t>29/03/2026</t>
        </is>
      </c>
      <c r="J5316" s="10" t="inlineStr">
        <is>
          <t>17/03/2026</t>
        </is>
      </c>
      <c r="K5316" s="10" t="inlineStr">
        <is>
          <t>N/A</t>
        </is>
      </c>
      <c r="L5316" s="10" t="inlineStr">
        <is>
          <t>Thiết Kế Hệ Thống Cơ Điện, Triển Khai Bản Vẽ Gia Công, Bóc Tách Khối Lượng, AutoCAD, Nhiệt Lạnh</t>
        </is>
      </c>
      <c r="M5316" s="10" t="inlineStr">
        <is>
          <t>Healthcare Plan, Paid Leave, Training, Others</t>
        </is>
      </c>
      <c r="N5316" s="11">
        <f>HYPERLINK("https://www.vietnamworks.com/ky-su-co-djien-uu-tien-biet-thiet-ke-chap-nhan-sinh-vien-moi-ra-truong-2016129-jv","Xem chi tiết")</f>
        <v/>
      </c>
      <c r="O5316" s="10" t="n"/>
    </row>
    <row r="5317">
      <c r="B5317" s="7" t="n">
        <v>5315</v>
      </c>
      <c r="C5317" t="inlineStr">
        <is>
          <t>Kỹ Thuật Viên Lắp Đặt Và Sửa Chữa Điện</t>
        </is>
      </c>
      <c r="D5317" t="inlineStr">
        <is>
          <t>CÔNG TY CỔ PHẦN CÔNG NGHIỆP Ô TÔ GMA</t>
        </is>
      </c>
      <c r="E5317" t="inlineStr">
        <is>
          <t>Thương lượng</t>
        </is>
      </c>
      <c r="F5317" t="inlineStr">
        <is>
          <t>Hà Nội</t>
        </is>
      </c>
      <c r="G5317" t="inlineStr">
        <is>
          <t>Nhân viên</t>
        </is>
      </c>
      <c r="H5317" t="inlineStr">
        <is>
          <t>27/02/2026</t>
        </is>
      </c>
      <c r="I5317" t="inlineStr">
        <is>
          <t>29/03/2026</t>
        </is>
      </c>
      <c r="J5317" t="inlineStr">
        <is>
          <t>17/03/2026</t>
        </is>
      </c>
      <c r="K5317" t="inlineStr">
        <is>
          <t>N/A</t>
        </is>
      </c>
      <c r="L5317" t="inlineStr">
        <is>
          <t>Biến tần, Hệ thống biến tần, Sửa Chữa Thiết Bị, Sửa Chữa Điện, Đọc Sơ Đồ Điện</t>
        </is>
      </c>
      <c r="M5317" t="inlineStr">
        <is>
          <t>Bonus, Healthcare Plan, Paid Leave, Travel Opportunities, Others</t>
        </is>
      </c>
      <c r="N5317" s="8">
        <f>HYPERLINK("https://www.vietnamworks.com/ky-thuat-vien-lap-djat-va-sua-chua-djien-2016134-jv","Xem chi tiết")</f>
        <v/>
      </c>
    </row>
    <row r="5318">
      <c r="B5318" s="9" t="n">
        <v>5316</v>
      </c>
      <c r="C5318" s="10" t="inlineStr">
        <is>
          <t>Kỹ Sư Bán Hàng (Lương cứng 10-15 triệu + Thưởng hoa hồng hấp dẫn)</t>
        </is>
      </c>
      <c r="D5318" s="10" t="inlineStr">
        <is>
          <t>CÔNG TY CỔ PHẦN CÔNG NGHIỆP Ô TÔ GMA</t>
        </is>
      </c>
      <c r="E5318" s="10" t="inlineStr">
        <is>
          <t>Thương lượng</t>
        </is>
      </c>
      <c r="F5318" s="10" t="inlineStr">
        <is>
          <t>Hà Nội</t>
        </is>
      </c>
      <c r="G5318" s="10" t="inlineStr">
        <is>
          <t>Nhân viên</t>
        </is>
      </c>
      <c r="H5318" s="10" t="inlineStr">
        <is>
          <t>27/02/2026</t>
        </is>
      </c>
      <c r="I5318" s="10" t="inlineStr">
        <is>
          <t>29/03/2026</t>
        </is>
      </c>
      <c r="J5318" s="10" t="inlineStr">
        <is>
          <t>17/03/2026</t>
        </is>
      </c>
      <c r="K5318" s="10" t="inlineStr">
        <is>
          <t>N/A</t>
        </is>
      </c>
      <c r="L5318" s="10" t="inlineStr">
        <is>
          <t>Giao Tiếp, Kinh Doanh Thiết Bị Công Nghiệp, Kỹ Thuật ÔTô, Quản Lý Khách Hàng, Soạn Thảo Hợp Đồng</t>
        </is>
      </c>
      <c r="M5318" s="10" t="inlineStr">
        <is>
          <t>Paid Leave, Travel Opportunities, Others</t>
        </is>
      </c>
      <c r="N5318" s="11">
        <f>HYPERLINK("https://www.vietnamworks.com/ky-su-ban-hang-luong-cung-10-15-trieu-thuong-hoa-hong-hap-dan-2016137-jv","Xem chi tiết")</f>
        <v/>
      </c>
      <c r="O5318" s="10" t="n"/>
    </row>
    <row r="5319">
      <c r="B5319" s="7" t="n">
        <v>5317</v>
      </c>
      <c r="C5319" t="inlineStr">
        <is>
          <t>JP Business Development Manager ( Japanese Speaking)</t>
        </is>
      </c>
      <c r="D5319" t="inlineStr">
        <is>
          <t>Ceva Logistics Vietnam</t>
        </is>
      </c>
      <c r="E5319" t="inlineStr">
        <is>
          <t>Thương lượng</t>
        </is>
      </c>
      <c r="F5319" t="inlineStr">
        <is>
          <t>Hồ Chí Minh</t>
        </is>
      </c>
      <c r="G5319" t="inlineStr">
        <is>
          <t>Trưởng phòng</t>
        </is>
      </c>
      <c r="H5319" t="inlineStr">
        <is>
          <t>27/02/2026</t>
        </is>
      </c>
      <c r="I5319" t="inlineStr">
        <is>
          <t>29/03/2026</t>
        </is>
      </c>
      <c r="J5319" t="inlineStr">
        <is>
          <t>17/03/2026</t>
        </is>
      </c>
      <c r="K5319" t="inlineStr">
        <is>
          <t>N/A</t>
        </is>
      </c>
      <c r="L5319" t="inlineStr">
        <is>
          <t>Sales Development, Market Share Analysis, CRM Program Management, Japanese Speaking, Organizational skills</t>
        </is>
      </c>
      <c r="M5319" t="inlineStr">
        <is>
          <t>Bonus, Healthcare Plan, Training</t>
        </is>
      </c>
      <c r="N5319" s="8">
        <f>HYPERLINK("https://www.vietnamworks.com/jp-business-development-manager-japanese-speaking-2016132-jv","Xem chi tiết")</f>
        <v/>
      </c>
    </row>
    <row r="5320">
      <c r="B5320" s="9" t="n">
        <v>5318</v>
      </c>
      <c r="C5320" s="10" t="inlineStr">
        <is>
          <t>Policy Service Specialist - Temp</t>
        </is>
      </c>
      <c r="D5320" s="10" t="inlineStr">
        <is>
          <t>CÔNG TY TNHH BẢO HIỂM SHINHAN LIFE VIỆT NAM</t>
        </is>
      </c>
      <c r="E5320" s="10" t="inlineStr">
        <is>
          <t>Thương lượng</t>
        </is>
      </c>
      <c r="F5320" s="10" t="inlineStr">
        <is>
          <t>Hồ Chí Minh</t>
        </is>
      </c>
      <c r="G5320" s="10" t="inlineStr">
        <is>
          <t>Nhân viên</t>
        </is>
      </c>
      <c r="H5320" s="10" t="inlineStr">
        <is>
          <t>27/02/2026</t>
        </is>
      </c>
      <c r="I5320" s="10" t="inlineStr">
        <is>
          <t>29/03/2026</t>
        </is>
      </c>
      <c r="J5320" s="10" t="inlineStr">
        <is>
          <t>17/03/2026</t>
        </is>
      </c>
      <c r="K5320" s="10" t="inlineStr">
        <is>
          <t>N/A</t>
        </is>
      </c>
      <c r="L5320" s="10" t="inlineStr">
        <is>
          <t>Good Communication Skill, Time Management, Carefulness, English</t>
        </is>
      </c>
      <c r="M5320" s="10" t="inlineStr">
        <is>
          <t>Healthcare Plan</t>
        </is>
      </c>
      <c r="N5320" s="11">
        <f>HYPERLINK("https://www.vietnamworks.com/policy-service-specialist-temp--2016138-jv","Xem chi tiết")</f>
        <v/>
      </c>
      <c r="O5320" s="10" t="n"/>
    </row>
    <row r="5321">
      <c r="B5321" s="7" t="n">
        <v>5319</v>
      </c>
      <c r="C5321" t="inlineStr">
        <is>
          <t>Trưởng Phòng Hành Chính Nhân Sự</t>
        </is>
      </c>
      <c r="D5321" t="inlineStr">
        <is>
          <t>CÔNG TY CỔ PHẦN BAO BÌ TÂN THÀNH ĐẠT</t>
        </is>
      </c>
      <c r="E5321" t="inlineStr">
        <is>
          <t>Tới 30tr ₫/tháng</t>
        </is>
      </c>
      <c r="F5321" t="inlineStr">
        <is>
          <t>Hưng Yên</t>
        </is>
      </c>
      <c r="G5321" t="inlineStr">
        <is>
          <t>Trưởng phòng</t>
        </is>
      </c>
      <c r="H5321" t="inlineStr">
        <is>
          <t>27/02/2026</t>
        </is>
      </c>
      <c r="I5321" t="inlineStr">
        <is>
          <t>29/03/2026</t>
        </is>
      </c>
      <c r="J5321" t="inlineStr">
        <is>
          <t>17/03/2026</t>
        </is>
      </c>
      <c r="K5321" t="inlineStr">
        <is>
          <t>N/A</t>
        </is>
      </c>
      <c r="L5321" t="inlineStr">
        <is>
          <t>Quản Trị Nguồn Nhân Lực, Luật Lao Động, Tin Học Văn Phòng, Đàm Phán, Quản Lý Hành Chính Nhân Sự</t>
        </is>
      </c>
      <c r="M5321" t="inlineStr">
        <is>
          <t>Bonus</t>
        </is>
      </c>
      <c r="N5321" s="8">
        <f>HYPERLINK("https://www.vietnamworks.com/truong-phong-hanh-chinh-nhan-su-2016135-jv","Xem chi tiết")</f>
        <v/>
      </c>
    </row>
    <row r="5322">
      <c r="B5322" s="9" t="n">
        <v>5320</v>
      </c>
      <c r="C5322" s="10" t="inlineStr">
        <is>
          <t>Kỹ Sư Bảo Trì Dịch Vụ (Hà Nội &amp; TP.HCM)</t>
        </is>
      </c>
      <c r="D5322" s="10" t="inlineStr">
        <is>
          <t>Atlas Copco Vietnam (Ha Noi &amp; Binh Duong)</t>
        </is>
      </c>
      <c r="E5322" s="10" t="inlineStr">
        <is>
          <t>Thương lượng</t>
        </is>
      </c>
      <c r="F5322" s="10" t="inlineStr">
        <is>
          <t>Hà Nội, Hồ Chí Minh</t>
        </is>
      </c>
      <c r="G5322" s="10" t="inlineStr">
        <is>
          <t>Nhân viên</t>
        </is>
      </c>
      <c r="H5322" s="10" t="inlineStr">
        <is>
          <t>27/02/2026</t>
        </is>
      </c>
      <c r="I5322" s="10" t="inlineStr">
        <is>
          <t>29/03/2026</t>
        </is>
      </c>
      <c r="J5322" s="10" t="inlineStr">
        <is>
          <t>17/03/2026</t>
        </is>
      </c>
      <c r="K5322" s="10" t="inlineStr">
        <is>
          <t>N/A</t>
        </is>
      </c>
      <c r="L5322" s="10" t="inlineStr">
        <is>
          <t>Sửa Chữa Bảo Trì Máy, Service Engineer, Bảo trì &amp; bảo dưỡng máy móc, Điện + Điện tử, Electric &amp; Electronic Technical Support</t>
        </is>
      </c>
      <c r="M5322" s="10" t="inlineStr">
        <is>
          <t>Bonus, Healthcare Plan, Paid Leave, Training, Others</t>
        </is>
      </c>
      <c r="N5322" s="11">
        <f>HYPERLINK("https://www.vietnamworks.com/ky-su-bao-tri-dich-vu-ha-noi-and-tp-hcm-2016151-jv","Xem chi tiết")</f>
        <v/>
      </c>
      <c r="O5322" s="10" t="n"/>
    </row>
    <row r="5323">
      <c r="B5323" s="7" t="n">
        <v>5321</v>
      </c>
      <c r="C5323" t="inlineStr">
        <is>
          <t>Hanoi - HR Assistant Manager/ Trưởng Phòng Nhân Sự (Có Xe Đưa Đón Nội Thành)</t>
        </is>
      </c>
      <c r="D5323" t="inlineStr">
        <is>
          <t>Star Fashion Company LTD.</t>
        </is>
      </c>
      <c r="E5323" t="inlineStr">
        <is>
          <t>Thương lượng</t>
        </is>
      </c>
      <c r="F5323" t="inlineStr">
        <is>
          <t>Hà Nội</t>
        </is>
      </c>
      <c r="G5323" t="inlineStr">
        <is>
          <t>Trưởng phòng</t>
        </is>
      </c>
      <c r="H5323" t="inlineStr">
        <is>
          <t>27/02/2026</t>
        </is>
      </c>
      <c r="I5323" t="inlineStr">
        <is>
          <t>29/03/2026</t>
        </is>
      </c>
      <c r="J5323" t="inlineStr">
        <is>
          <t>17/03/2026</t>
        </is>
      </c>
      <c r="K5323" t="inlineStr">
        <is>
          <t>N/A</t>
        </is>
      </c>
      <c r="L5323" t="inlineStr">
        <is>
          <t>Communication, Compensation &amp; Benefits, Data Management, Human Resources Management, Labor Law</t>
        </is>
      </c>
      <c r="M5323" t="inlineStr">
        <is>
          <t>Bonus, Training, Travel Opportunities, Transportation, Canteen, Others</t>
        </is>
      </c>
      <c r="N5323" s="8">
        <f>HYPERLINK("https://www.vietnamworks.com/hanoi-hr-assistant-manager-truong-phong-nhan-su-co-xe-djua-djon-noi-thanh-2016146-jv","Xem chi tiết")</f>
        <v/>
      </c>
    </row>
    <row r="5324">
      <c r="B5324" s="9" t="n">
        <v>5322</v>
      </c>
      <c r="C5324" s="10" t="inlineStr">
        <is>
          <t>Service Engineer</t>
        </is>
      </c>
      <c r="D5324" s="10" t="inlineStr">
        <is>
          <t>CÔNG TY TNHH ACCRETECH VIỆT NAM</t>
        </is>
      </c>
      <c r="E5324" s="10" t="inlineStr">
        <is>
          <t>Từ 18tr ₫/tháng</t>
        </is>
      </c>
      <c r="F5324" s="10" t="inlineStr">
        <is>
          <t>Hồ Chí Minh</t>
        </is>
      </c>
      <c r="G5324" s="10" t="inlineStr">
        <is>
          <t>Nhân viên</t>
        </is>
      </c>
      <c r="H5324" s="10" t="inlineStr">
        <is>
          <t>27/02/2026</t>
        </is>
      </c>
      <c r="I5324" s="10" t="inlineStr">
        <is>
          <t>29/03/2026</t>
        </is>
      </c>
      <c r="J5324" s="10" t="inlineStr">
        <is>
          <t>17/03/2026</t>
        </is>
      </c>
      <c r="K5324" s="10" t="inlineStr">
        <is>
          <t>N/A</t>
        </is>
      </c>
      <c r="L5324" s="10" t="inlineStr">
        <is>
          <t>3D Software Knowledge, Electrical Engineer, Japanese Speaking, Mechanical Engineering, Technical Support</t>
        </is>
      </c>
      <c r="M5324" s="10" t="inlineStr">
        <is>
          <t>Bonus, Training, Transportation, Others</t>
        </is>
      </c>
      <c r="N5324" s="11">
        <f>HYPERLINK("https://www.vietnamworks.com/service-engineer-2016127-jv","Xem chi tiết")</f>
        <v/>
      </c>
      <c r="O5324" s="10" t="n"/>
    </row>
    <row r="5325">
      <c r="B5325" s="7" t="n">
        <v>5323</v>
      </c>
      <c r="C5325" t="inlineStr">
        <is>
          <t>(Ha Noi) Phó Phòng IE/ IE Assistant Manager</t>
        </is>
      </c>
      <c r="D5325" t="inlineStr">
        <is>
          <t>Star Fashion Company LTD.</t>
        </is>
      </c>
      <c r="E5325" t="inlineStr">
        <is>
          <t>Thương lượng</t>
        </is>
      </c>
      <c r="F5325" t="inlineStr">
        <is>
          <t>Hà Nội</t>
        </is>
      </c>
      <c r="G5325" t="inlineStr">
        <is>
          <t>Trưởng phòng</t>
        </is>
      </c>
      <c r="H5325" t="inlineStr">
        <is>
          <t>27/02/2026</t>
        </is>
      </c>
      <c r="I5325" t="inlineStr">
        <is>
          <t>29/03/2026</t>
        </is>
      </c>
      <c r="J5325" t="inlineStr">
        <is>
          <t>17/03/2026</t>
        </is>
      </c>
      <c r="K5325" t="inlineStr">
        <is>
          <t>N/A</t>
        </is>
      </c>
      <c r="L5325" t="inlineStr">
        <is>
          <t>Innovative &amp; Creative, Proactive And Collaborative Working Style, Persuasive Writing</t>
        </is>
      </c>
      <c r="M5325" t="inlineStr">
        <is>
          <t>Bonus, Paid Leave, Transportation</t>
        </is>
      </c>
      <c r="N5325" s="8">
        <f>HYPERLINK("https://www.vietnamworks.com/ha-noi-pho-phong-ie-ie-assistant-manager--2016143-jv","Xem chi tiết")</f>
        <v/>
      </c>
    </row>
    <row r="5326">
      <c r="B5326" s="9" t="n">
        <v>5324</v>
      </c>
      <c r="C5326" s="10" t="inlineStr">
        <is>
          <t>(Tuyển Gấp) - Procurement Officer/ Thu Mua Quốc Tế</t>
        </is>
      </c>
      <c r="D5326" s="10" t="inlineStr">
        <is>
          <t>Star Fashion Company LTD.</t>
        </is>
      </c>
      <c r="E5326" s="10" t="inlineStr">
        <is>
          <t>Thương lượng</t>
        </is>
      </c>
      <c r="F5326" s="10" t="inlineStr">
        <is>
          <t>Hà Nội</t>
        </is>
      </c>
      <c r="G5326" s="10" t="inlineStr">
        <is>
          <t>Nhân viên</t>
        </is>
      </c>
      <c r="H5326" s="10" t="inlineStr">
        <is>
          <t>27/02/2026</t>
        </is>
      </c>
      <c r="I5326" s="10" t="inlineStr">
        <is>
          <t>29/03/2026</t>
        </is>
      </c>
      <c r="J5326" s="10" t="inlineStr">
        <is>
          <t>17/03/2026</t>
        </is>
      </c>
      <c r="K5326" s="10" t="inlineStr">
        <is>
          <t>N/A</t>
        </is>
      </c>
      <c r="L5326" s="10" t="inlineStr">
        <is>
          <t>Project Procurement Management, SAP ERP, Textile Industry Knowledge, Supply Chain, Personal Integrity</t>
        </is>
      </c>
      <c r="M5326" s="10" t="inlineStr">
        <is>
          <t>Bonus, Paid Leave, Transportation</t>
        </is>
      </c>
      <c r="N5326" s="11">
        <f>HYPERLINK("https://www.vietnamworks.com/-tuyen-gap-procurement-officer-thu-mua-quoc-te-2016144-jv","Xem chi tiết")</f>
        <v/>
      </c>
      <c r="O5326" s="10" t="n"/>
    </row>
    <row r="5327">
      <c r="B5327" s="7" t="n">
        <v>5325</v>
      </c>
      <c r="C5327" t="inlineStr">
        <is>
          <t>Head of Northern Region / Giám Đốc Khu Vực Phía Bắc</t>
        </is>
      </c>
      <c r="D5327" t="inlineStr">
        <is>
          <t>KLN Integrated Logistics (Viet Nam) Company Limited</t>
        </is>
      </c>
      <c r="E5327" t="inlineStr">
        <is>
          <t>Thương lượng</t>
        </is>
      </c>
      <c r="F5327" t="inlineStr">
        <is>
          <t>Hà Nội</t>
        </is>
      </c>
      <c r="G5327" t="inlineStr">
        <is>
          <t>Giám Đốc và Cấp Cao Hơn</t>
        </is>
      </c>
      <c r="H5327" t="inlineStr">
        <is>
          <t>27/02/2026</t>
        </is>
      </c>
      <c r="I5327" t="inlineStr">
        <is>
          <t>29/03/2026</t>
        </is>
      </c>
      <c r="J5327" t="inlineStr">
        <is>
          <t>17/03/2026</t>
        </is>
      </c>
      <c r="K5327" t="inlineStr">
        <is>
          <t>N/A</t>
        </is>
      </c>
      <c r="L5327" t="inlineStr">
        <is>
          <t>Business Development, Contract Logistics, Sales Logistics, 3PL, English</t>
        </is>
      </c>
      <c r="M5327" t="inlineStr">
        <is>
          <t>Bonus, Healthcare Plan, Laptop</t>
        </is>
      </c>
      <c r="N5327" s="8">
        <f>HYPERLINK("https://www.vietnamworks.com/head-of-northern-region-giam-djoc-khu-vuc-phia-bac-2016152-jv","Xem chi tiết")</f>
        <v/>
      </c>
    </row>
    <row r="5328">
      <c r="B5328" s="9" t="n">
        <v>5326</v>
      </c>
      <c r="C5328" s="10" t="inlineStr">
        <is>
          <t>Global Customer Support</t>
        </is>
      </c>
      <c r="D5328" s="10" t="inlineStr">
        <is>
          <t>CyberLogitec Vietnam Co., Ltd.</t>
        </is>
      </c>
      <c r="E5328" s="10" t="inlineStr">
        <is>
          <t>$$ 500-1,000 /tháng</t>
        </is>
      </c>
      <c r="F5328" s="10" t="inlineStr">
        <is>
          <t>Hồ Chí Minh</t>
        </is>
      </c>
      <c r="G5328" s="10" t="inlineStr">
        <is>
          <t>Nhân viên</t>
        </is>
      </c>
      <c r="H5328" s="10" t="inlineStr">
        <is>
          <t>27/02/2026</t>
        </is>
      </c>
      <c r="I5328" s="10" t="inlineStr">
        <is>
          <t>29/03/2026</t>
        </is>
      </c>
      <c r="J5328" s="10" t="inlineStr">
        <is>
          <t>17/03/2026</t>
        </is>
      </c>
      <c r="K5328" s="10" t="inlineStr">
        <is>
          <t>N/A</t>
        </is>
      </c>
      <c r="L5328" s="10" t="inlineStr">
        <is>
          <t>Technical Support, Shipping, Logistics, English, Customer Service</t>
        </is>
      </c>
      <c r="M5328" s="10" t="inlineStr">
        <is>
          <t>Bonus, Healthcare Plan, Travel Opportunities</t>
        </is>
      </c>
      <c r="N5328" s="11">
        <f>HYPERLINK("https://www.vietnamworks.com/global-customer-support--2016153-jv","Xem chi tiết")</f>
        <v/>
      </c>
      <c r="O5328" s="10" t="n"/>
    </row>
    <row r="5329">
      <c r="B5329" s="7" t="n">
        <v>5327</v>
      </c>
      <c r="C5329" t="inlineStr">
        <is>
          <t>Senior Officer, Internal Audit</t>
        </is>
      </c>
      <c r="D5329" t="inlineStr">
        <is>
          <t>CÔNG TY TNHH BẢO HIỂM SHINHAN LIFE VIỆT NAM</t>
        </is>
      </c>
      <c r="E5329" t="inlineStr">
        <is>
          <t>Thương lượng</t>
        </is>
      </c>
      <c r="F5329" t="inlineStr">
        <is>
          <t>Hồ Chí Minh</t>
        </is>
      </c>
      <c r="G5329" t="inlineStr">
        <is>
          <t>Nhân viên</t>
        </is>
      </c>
      <c r="H5329" t="inlineStr">
        <is>
          <t>27/02/2026</t>
        </is>
      </c>
      <c r="I5329" t="inlineStr">
        <is>
          <t>29/03/2026</t>
        </is>
      </c>
      <c r="J5329" t="inlineStr">
        <is>
          <t>17/03/2026</t>
        </is>
      </c>
      <c r="K5329" t="inlineStr">
        <is>
          <t>N/A</t>
        </is>
      </c>
      <c r="L5329" t="inlineStr">
        <is>
          <t>Communication and negotiation skills, Independent, Team Spirit, Writing Skills</t>
        </is>
      </c>
      <c r="M5329" t="inlineStr">
        <is>
          <t>Healthcare Plan</t>
        </is>
      </c>
      <c r="N5329" s="8">
        <f>HYPERLINK("https://www.vietnamworks.com/senior-officer-internal-audit--2016139-jv","Xem chi tiết")</f>
        <v/>
      </c>
    </row>
    <row r="5330">
      <c r="B5330" s="9" t="n">
        <v>5328</v>
      </c>
      <c r="C5330" s="10" t="inlineStr">
        <is>
          <t>Production Development Industrialization Quality Specialist For Soft Equipment Team</t>
        </is>
      </c>
      <c r="D5330" s="10" t="inlineStr">
        <is>
          <t>Decathlon Vietnam</t>
        </is>
      </c>
      <c r="E5330" s="10" t="inlineStr">
        <is>
          <t>Thương lượng</t>
        </is>
      </c>
      <c r="F5330" s="10" t="inlineStr">
        <is>
          <t>Hồ Chí Minh</t>
        </is>
      </c>
      <c r="G5330" s="10" t="inlineStr">
        <is>
          <t>Nhân viên</t>
        </is>
      </c>
      <c r="H5330" s="10" t="inlineStr">
        <is>
          <t>27/02/2026</t>
        </is>
      </c>
      <c r="I5330" s="10" t="inlineStr">
        <is>
          <t>29/03/2026</t>
        </is>
      </c>
      <c r="J5330" s="10" t="inlineStr">
        <is>
          <t>17/03/2026</t>
        </is>
      </c>
      <c r="K5330" s="10" t="inlineStr">
        <is>
          <t>N/A</t>
        </is>
      </c>
      <c r="L5330" s="10" t="inlineStr">
        <is>
          <t>Commercialization Process, Industrialization, Quality Management, Audit, Quality System Management</t>
        </is>
      </c>
      <c r="M5330" s="10" t="inlineStr">
        <is>
          <t>Bonus, Healthcare Plan, Paid Leave</t>
        </is>
      </c>
      <c r="N5330" s="11">
        <f>HYPERLINK("https://www.vietnamworks.com/production-development-industrialization-quality-specialist-for-soft-equipment-team--2016156-jv","Xem chi tiết")</f>
        <v/>
      </c>
      <c r="O5330" s="10" t="n"/>
    </row>
    <row r="5331">
      <c r="B5331" s="7" t="n">
        <v>5329</v>
      </c>
      <c r="C5331" t="inlineStr">
        <is>
          <t>Procurement Specialist</t>
        </is>
      </c>
      <c r="D5331" t="inlineStr">
        <is>
          <t>Beta Group</t>
        </is>
      </c>
      <c r="E5331" t="inlineStr">
        <is>
          <t>12tr-20tr ₫/tháng</t>
        </is>
      </c>
      <c r="F5331" t="inlineStr">
        <is>
          <t>Hồ Chí Minh</t>
        </is>
      </c>
      <c r="G5331" t="inlineStr">
        <is>
          <t>Nhân viên</t>
        </is>
      </c>
      <c r="H5331" t="inlineStr">
        <is>
          <t>27/02/2026</t>
        </is>
      </c>
      <c r="I5331" t="inlineStr">
        <is>
          <t>29/03/2026</t>
        </is>
      </c>
      <c r="J5331" t="inlineStr">
        <is>
          <t>17/03/2026</t>
        </is>
      </c>
      <c r="K5331" t="inlineStr">
        <is>
          <t>N/A</t>
        </is>
      </c>
      <c r="L5331" t="inlineStr">
        <is>
          <t>Sourcing Management, Supply Chain, Data Analysis, English Communication, Relationship Management</t>
        </is>
      </c>
      <c r="M5331" t="inlineStr">
        <is>
          <t>Bonus, Healthcare Plan, Paid Leave, Team Activities, Others</t>
        </is>
      </c>
      <c r="N5331" s="8">
        <f>HYPERLINK("https://www.vietnamworks.com/procurement-specialist-2016140-jv","Xem chi tiết")</f>
        <v/>
      </c>
    </row>
    <row r="5332">
      <c r="B5332" s="9" t="n">
        <v>5330</v>
      </c>
      <c r="C5332" s="10" t="inlineStr">
        <is>
          <t>[Urgent] Service Engineer</t>
        </is>
      </c>
      <c r="D5332" s="10" t="inlineStr">
        <is>
          <t>Melchers Vietnam</t>
        </is>
      </c>
      <c r="E5332" s="10" t="inlineStr">
        <is>
          <t>Thương lượng</t>
        </is>
      </c>
      <c r="F5332" s="10" t="inlineStr">
        <is>
          <t>Nam Định</t>
        </is>
      </c>
      <c r="G5332" s="10" t="inlineStr">
        <is>
          <t>Nhân viên</t>
        </is>
      </c>
      <c r="H5332" s="10" t="inlineStr">
        <is>
          <t>12/02/2026</t>
        </is>
      </c>
      <c r="I5332" s="10" t="inlineStr">
        <is>
          <t>30/03/2026</t>
        </is>
      </c>
      <c r="J5332" s="10" t="inlineStr">
        <is>
          <t>17/03/2026</t>
        </is>
      </c>
      <c r="K5332" s="10" t="inlineStr">
        <is>
          <t>N/A</t>
        </is>
      </c>
      <c r="L5332" s="10" t="inlineStr">
        <is>
          <t>X-Ray, Machine Maintenance, Interpersonal Communication, Mechanical</t>
        </is>
      </c>
      <c r="M5332" s="10" t="inlineStr">
        <is>
          <t>Bonus, Healthcare Plan, Transportation</t>
        </is>
      </c>
      <c r="N5332" s="11">
        <f>HYPERLINK("https://www.vietnamworks.com/urgent-service-engineer--2011671-jv","Xem chi tiết")</f>
        <v/>
      </c>
      <c r="O5332" s="10" t="n"/>
    </row>
    <row r="5333">
      <c r="B5333" s="7" t="n">
        <v>5331</v>
      </c>
      <c r="C5333" t="inlineStr">
        <is>
          <t>Automation Machine Design Engineer (Mechanical)</t>
        </is>
      </c>
      <c r="D5333" t="inlineStr">
        <is>
          <t>Molex Vietnam Co., Ltd.</t>
        </is>
      </c>
      <c r="E5333" t="inlineStr">
        <is>
          <t>Thương lượng</t>
        </is>
      </c>
      <c r="F5333" t="inlineStr">
        <is>
          <t>Hưng Yên, Hà Nội</t>
        </is>
      </c>
      <c r="G5333" t="inlineStr">
        <is>
          <t>Nhân viên</t>
        </is>
      </c>
      <c r="H5333" t="inlineStr">
        <is>
          <t>13/02/2026</t>
        </is>
      </c>
      <c r="I5333" t="inlineStr">
        <is>
          <t>30/03/2026</t>
        </is>
      </c>
      <c r="J5333" t="inlineStr">
        <is>
          <t>17/03/2026</t>
        </is>
      </c>
      <c r="K5333" t="inlineStr">
        <is>
          <t>N/A</t>
        </is>
      </c>
      <c r="L5333" t="inlineStr">
        <is>
          <t>Thiết Kế Máy Móc, Mechanical Inspection, Mechanical Design, Machine Design, Cơ Khí</t>
        </is>
      </c>
      <c r="M5333" t="inlineStr">
        <is>
          <t>Bonus, Healthcare Plan, Others</t>
        </is>
      </c>
      <c r="N5333" s="8">
        <f>HYPERLINK("https://www.vietnamworks.com/automation-machine-design-engineer-mechanical-2011943-jv","Xem chi tiết")</f>
        <v/>
      </c>
    </row>
    <row r="5334">
      <c r="B5334" s="9" t="n">
        <v>5332</v>
      </c>
      <c r="C5334" s="10" t="inlineStr">
        <is>
          <t>Nhân Viên Kinh Doanh</t>
        </is>
      </c>
      <c r="D5334" s="10" t="inlineStr">
        <is>
          <t>Chi Nhánh Tại Thành Phố Hồ Chí Minh - Công Ty TNHH Vật Liệu Xây Dựng Xi Măng Scg Việt Nam</t>
        </is>
      </c>
      <c r="E5334" s="10" t="inlineStr">
        <is>
          <t>Thương lượng</t>
        </is>
      </c>
      <c r="F5334" s="10" t="inlineStr">
        <is>
          <t>Bình Thuận, Bà Rịa - Vũng Tàu, Lâm Đồng</t>
        </is>
      </c>
      <c r="G5334" s="10" t="inlineStr">
        <is>
          <t>Nhân viên</t>
        </is>
      </c>
      <c r="H5334" s="10" t="inlineStr">
        <is>
          <t>13/02/2026</t>
        </is>
      </c>
      <c r="I5334" s="10" t="inlineStr">
        <is>
          <t>30/03/2026</t>
        </is>
      </c>
      <c r="J5334" s="10" t="inlineStr">
        <is>
          <t>17/03/2026</t>
        </is>
      </c>
      <c r="K5334" s="10" t="inlineStr">
        <is>
          <t>N/A</t>
        </is>
      </c>
      <c r="L5334" s="10" t="inlineStr">
        <is>
          <t>Tìm Kiếm Khách Hàng, Bán Hàng, Kinh Doanh, Vật liệu xây dựng</t>
        </is>
      </c>
      <c r="M5334" s="10" t="inlineStr">
        <is>
          <t>Bonus, Healthcare Plan, Others</t>
        </is>
      </c>
      <c r="N5334" s="11">
        <f>HYPERLINK("https://www.vietnamworks.com/nhan-vien-kinh-doanh--2011949-jv","Xem chi tiết")</f>
        <v/>
      </c>
      <c r="O5334" s="10" t="n"/>
    </row>
    <row r="5335">
      <c r="B5335" s="7" t="n">
        <v>5333</v>
      </c>
      <c r="C5335" t="inlineStr">
        <is>
          <t>Plant Accountant | Working Location: Nhon Trach Grinding Plant (Dong Nai)</t>
        </is>
      </c>
      <c r="D5335" t="inlineStr">
        <is>
          <t>INSEE Vietnam</t>
        </is>
      </c>
      <c r="E5335" t="inlineStr">
        <is>
          <t>Thương lượng</t>
        </is>
      </c>
      <c r="F5335" t="inlineStr">
        <is>
          <t>Đồng Nai</t>
        </is>
      </c>
      <c r="G5335" t="inlineStr">
        <is>
          <t>Nhân viên</t>
        </is>
      </c>
      <c r="H5335" t="inlineStr">
        <is>
          <t>27/02/2026</t>
        </is>
      </c>
      <c r="I5335" t="inlineStr">
        <is>
          <t>29/03/2026</t>
        </is>
      </c>
      <c r="J5335" t="inlineStr">
        <is>
          <t>17/03/2026</t>
        </is>
      </c>
      <c r="K5335" t="inlineStr">
        <is>
          <t>N/A</t>
        </is>
      </c>
      <c r="L5335" t="inlineStr">
        <is>
          <t>Accounts receivable, Analysis, Communication Skills, Teamwork, Adaptation skill</t>
        </is>
      </c>
      <c r="M5335" t="inlineStr">
        <is>
          <t>Bonus, Healthcare Plan, Paid Leave</t>
        </is>
      </c>
      <c r="N5335" s="8">
        <f>HYPERLINK("https://www.vietnamworks.com/plant-accountant-working-location-nhon-trach-grinding-plant-dong-nai-2016142-jv","Xem chi tiết")</f>
        <v/>
      </c>
    </row>
    <row r="5336">
      <c r="B5336" s="9" t="n">
        <v>5334</v>
      </c>
      <c r="C5336" s="10" t="inlineStr">
        <is>
          <t>Nữ Phiên Dịch Tiếng Trung - Thu nhập thỏa thuận</t>
        </is>
      </c>
      <c r="D5336" s="10" t="inlineStr">
        <is>
          <t>CÔNG TY CỔ PHẦN CÔNG NGHIỆP Ô TÔ GMA</t>
        </is>
      </c>
      <c r="E5336" s="10" t="inlineStr">
        <is>
          <t>Thương lượng</t>
        </is>
      </c>
      <c r="F5336" s="10" t="inlineStr">
        <is>
          <t>Hà Nội</t>
        </is>
      </c>
      <c r="G5336" s="10" t="inlineStr">
        <is>
          <t>Mới Tốt Nghiệp</t>
        </is>
      </c>
      <c r="H5336" s="10" t="inlineStr">
        <is>
          <t>27/02/2026</t>
        </is>
      </c>
      <c r="I5336" s="10" t="inlineStr">
        <is>
          <t>29/03/2026</t>
        </is>
      </c>
      <c r="J5336" s="10" t="inlineStr">
        <is>
          <t>17/03/2026</t>
        </is>
      </c>
      <c r="K5336" s="10" t="inlineStr">
        <is>
          <t>N/A</t>
        </is>
      </c>
      <c r="L5336" s="10" t="inlineStr">
        <is>
          <t>Biên Dịch Tiếng Trung, Giao tiếp , Phiên dịch tiếng Trung, Soạn Thảo Tài Liệu, Tiếng Trung Giao Tiếp</t>
        </is>
      </c>
      <c r="M5336" s="10" t="inlineStr">
        <is>
          <t>Bonus, Healthcare Plan, Training, Team Activities, Others</t>
        </is>
      </c>
      <c r="N5336" s="11">
        <f>HYPERLINK("https://www.vietnamworks.com/nu-phien-dich-tieng-trung-thu-nhap-thoa-thuan-2016130-jv","Xem chi tiết")</f>
        <v/>
      </c>
      <c r="O5336" s="10" t="n"/>
    </row>
    <row r="5337">
      <c r="B5337" s="7" t="n">
        <v>5335</v>
      </c>
      <c r="C5337" t="inlineStr">
        <is>
          <t>Talent Acquisition Specialist – Mass Recruitment</t>
        </is>
      </c>
      <c r="D5337" t="inlineStr">
        <is>
          <t>Avery Dennison Vietnam</t>
        </is>
      </c>
      <c r="E5337" t="inlineStr">
        <is>
          <t>Thương lượng</t>
        </is>
      </c>
      <c r="F5337" t="inlineStr">
        <is>
          <t>Long An</t>
        </is>
      </c>
      <c r="G5337" t="inlineStr">
        <is>
          <t>Nhân viên</t>
        </is>
      </c>
      <c r="H5337" t="inlineStr">
        <is>
          <t>13/02/2026</t>
        </is>
      </c>
      <c r="I5337" t="inlineStr">
        <is>
          <t>30/03/2026</t>
        </is>
      </c>
      <c r="J5337" t="inlineStr">
        <is>
          <t>17/03/2026</t>
        </is>
      </c>
      <c r="K5337" t="inlineStr">
        <is>
          <t>N/A</t>
        </is>
      </c>
      <c r="L5337" t="inlineStr">
        <is>
          <t>Communication, Mass Recruitment, Problem Solving, Time Management, Blue-Collar Hiring</t>
        </is>
      </c>
      <c r="M5337" t="inlineStr">
        <is>
          <t>Bonus, Healthcare Plan, Transportation, Canteen</t>
        </is>
      </c>
      <c r="N5337" s="8">
        <f>HYPERLINK("https://www.vietnamworks.com/talent-acquisition-specialist-mass-recruitment-2011940-jv","Xem chi tiết")</f>
        <v/>
      </c>
    </row>
    <row r="5338">
      <c r="B5338" s="9" t="n">
        <v>5336</v>
      </c>
      <c r="C5338" s="10" t="inlineStr">
        <is>
          <t>Marketing Manager - Westlink International school Hanoi</t>
        </is>
      </c>
      <c r="D5338" s="10" t="inlineStr">
        <is>
          <t>Westlink International School</t>
        </is>
      </c>
      <c r="E5338" s="10" t="inlineStr">
        <is>
          <t>Thương lượng</t>
        </is>
      </c>
      <c r="F5338" s="10" t="inlineStr">
        <is>
          <t>Hà Nội</t>
        </is>
      </c>
      <c r="G5338" s="10" t="inlineStr">
        <is>
          <t>Trưởng phòng</t>
        </is>
      </c>
      <c r="H5338" s="10" t="inlineStr">
        <is>
          <t>13/02/2026</t>
        </is>
      </c>
      <c r="I5338" s="10" t="inlineStr">
        <is>
          <t>30/03/2026</t>
        </is>
      </c>
      <c r="J5338" s="10" t="inlineStr">
        <is>
          <t>17/03/2026</t>
        </is>
      </c>
      <c r="K5338" s="10" t="inlineStr">
        <is>
          <t>N/A</t>
        </is>
      </c>
      <c r="L5338" s="10" t="inlineStr">
        <is>
          <t>Brand Identity, Digital Marketing, English Language Proficiency, Lead Generation, Strategic Marketing</t>
        </is>
      </c>
      <c r="M5338" s="10" t="inlineStr">
        <is>
          <t>Healthcare Plan, Paid Leave, Training, Laptop, Travel Opportunities, Canteen, Others</t>
        </is>
      </c>
      <c r="N5338" s="11">
        <f>HYPERLINK("https://www.vietnamworks.com/marketing-manager-westlink-international-school-hanoi-2011947-jv","Xem chi tiết")</f>
        <v/>
      </c>
      <c r="O5338" s="10" t="n"/>
    </row>
    <row r="5339">
      <c r="B5339" s="7" t="n">
        <v>5337</v>
      </c>
      <c r="C5339" t="inlineStr">
        <is>
          <t>Purchasing Staff</t>
        </is>
      </c>
      <c r="D5339" t="inlineStr">
        <is>
          <t>Công Ty TNHH Dệt Và Nhuộm Hưng Yên</t>
        </is>
      </c>
      <c r="E5339" t="inlineStr">
        <is>
          <t>Thương lượng</t>
        </is>
      </c>
      <c r="F5339" t="inlineStr">
        <is>
          <t>Hưng Yên</t>
        </is>
      </c>
      <c r="G5339" t="inlineStr">
        <is>
          <t>Nhân viên</t>
        </is>
      </c>
      <c r="H5339" t="inlineStr">
        <is>
          <t>27/02/2026</t>
        </is>
      </c>
      <c r="I5339" t="inlineStr">
        <is>
          <t>29/03/2026</t>
        </is>
      </c>
      <c r="J5339" t="inlineStr">
        <is>
          <t>17/03/2026</t>
        </is>
      </c>
      <c r="K5339" t="inlineStr">
        <is>
          <t>N/A</t>
        </is>
      </c>
      <c r="L5339" t="inlineStr">
        <is>
          <t>Analytical Skills, Communication, Data Management, Negotiation, Organizational skills</t>
        </is>
      </c>
      <c r="M5339" t="inlineStr">
        <is>
          <t>Bonus, Healthcare Plan, Training, Team Activities, Transportation, Others</t>
        </is>
      </c>
      <c r="N5339" s="8">
        <f>HYPERLINK("https://www.vietnamworks.com/purchasing-staff-2016158-jv","Xem chi tiết")</f>
        <v/>
      </c>
    </row>
    <row r="5340">
      <c r="B5340" s="9" t="n">
        <v>5338</v>
      </c>
      <c r="C5340" s="10" t="inlineStr">
        <is>
          <t xml:space="preserve">Greater Asia Business Unit Product Sourcing Strategy Head </t>
        </is>
      </c>
      <c r="D5340" s="10" t="inlineStr">
        <is>
          <t>Unilever Vietnam</t>
        </is>
      </c>
      <c r="E5340" s="10" t="inlineStr">
        <is>
          <t>Thương lượng</t>
        </is>
      </c>
      <c r="F5340" s="10" t="inlineStr">
        <is>
          <t>Hồ Chí Minh</t>
        </is>
      </c>
      <c r="G5340" s="10" t="inlineStr">
        <is>
          <t>Giám Đốc và Cấp Cao Hơn</t>
        </is>
      </c>
      <c r="H5340" s="10" t="inlineStr">
        <is>
          <t>13/02/2026</t>
        </is>
      </c>
      <c r="I5340" s="10" t="inlineStr">
        <is>
          <t>30/03/2026</t>
        </is>
      </c>
      <c r="J5340" s="10" t="inlineStr">
        <is>
          <t>17/03/2026</t>
        </is>
      </c>
      <c r="K5340" s="10" t="inlineStr">
        <is>
          <t>N/A</t>
        </is>
      </c>
      <c r="L5340" s="10" t="inlineStr">
        <is>
          <t>Advanced Planning Systems, Analytical Skills, Capacity Management, Product Planning, Supply Chain Management</t>
        </is>
      </c>
      <c r="M5340" s="10" t="inlineStr">
        <is>
          <t>Bonus</t>
        </is>
      </c>
      <c r="N5340" s="11">
        <f>HYPERLINK("https://www.vietnamworks.com/greater-asia-business-unit-product-sourcing-strategy-head-2011950-jv","Xem chi tiết")</f>
        <v/>
      </c>
      <c r="O5340" s="10" t="n"/>
    </row>
    <row r="5341">
      <c r="B5341" s="7" t="n">
        <v>5339</v>
      </c>
      <c r="C5341" t="inlineStr">
        <is>
          <t>Senior Software Analyst</t>
        </is>
      </c>
      <c r="D5341" t="inlineStr">
        <is>
          <t>Home Credit Vietnam - Explore Your Dream Team</t>
        </is>
      </c>
      <c r="E5341" t="inlineStr">
        <is>
          <t>Thương lượng</t>
        </is>
      </c>
      <c r="F5341" t="inlineStr">
        <is>
          <t>Hồ Chí Minh</t>
        </is>
      </c>
      <c r="G5341" t="inlineStr">
        <is>
          <t>Nhân viên</t>
        </is>
      </c>
      <c r="H5341" t="inlineStr">
        <is>
          <t>27/02/2026</t>
        </is>
      </c>
      <c r="I5341" t="inlineStr">
        <is>
          <t>29/03/2026</t>
        </is>
      </c>
      <c r="J5341" t="inlineStr">
        <is>
          <t>17/03/2026</t>
        </is>
      </c>
      <c r="K5341" t="inlineStr">
        <is>
          <t>N/A</t>
        </is>
      </c>
      <c r="L5341" t="inlineStr">
        <is>
          <t>Business Analysis, System Analysis, IT Software, Agile</t>
        </is>
      </c>
      <c r="M5341" t="inlineStr">
        <is>
          <t>Bonus, Healthcare Plan, Paid Leave</t>
        </is>
      </c>
      <c r="N5341" s="8">
        <f>HYPERLINK("https://www.vietnamworks.com/senior-software-analyst--2016141-jv","Xem chi tiết")</f>
        <v/>
      </c>
    </row>
    <row r="5342">
      <c r="B5342" s="9" t="n">
        <v>5340</v>
      </c>
      <c r="C5342" s="10" t="inlineStr">
        <is>
          <t>Customer Service</t>
        </is>
      </c>
      <c r="D5342" s="10" t="inlineStr">
        <is>
          <t>K PLUS SUPPLY CHAIN MANAGEMENT COMPANY LIMITED</t>
        </is>
      </c>
      <c r="E5342" s="10" t="inlineStr">
        <is>
          <t>$$ 500-700 /tháng</t>
        </is>
      </c>
      <c r="F5342" s="10" t="inlineStr">
        <is>
          <t>Hồ Chí Minh</t>
        </is>
      </c>
      <c r="G5342" s="10" t="inlineStr">
        <is>
          <t>Nhân viên</t>
        </is>
      </c>
      <c r="H5342" s="10" t="inlineStr">
        <is>
          <t>27/02/2026</t>
        </is>
      </c>
      <c r="I5342" s="10" t="inlineStr">
        <is>
          <t>29/03/2026</t>
        </is>
      </c>
      <c r="J5342" s="10" t="inlineStr">
        <is>
          <t>17/03/2026</t>
        </is>
      </c>
      <c r="K5342" s="10" t="inlineStr">
        <is>
          <t>N/A</t>
        </is>
      </c>
      <c r="L5342" s="10" t="inlineStr">
        <is>
          <t>Freight Forwarding, Customer Service, Export &amp; Import Documentation</t>
        </is>
      </c>
      <c r="M5342" s="10" t="inlineStr">
        <is>
          <t>Bonus, Training</t>
        </is>
      </c>
      <c r="N5342" s="11">
        <f>HYPERLINK("https://www.vietnamworks.com/customer-service--2016159-jv","Xem chi tiết")</f>
        <v/>
      </c>
      <c r="O5342" s="10" t="n"/>
    </row>
    <row r="5343">
      <c r="B5343" s="7" t="n">
        <v>5341</v>
      </c>
      <c r="C5343" t="inlineStr">
        <is>
          <t>Facilities Manager</t>
        </is>
      </c>
      <c r="D5343" t="inlineStr">
        <is>
          <t>TH School</t>
        </is>
      </c>
      <c r="E5343" t="inlineStr">
        <is>
          <t>Thương lượng</t>
        </is>
      </c>
      <c r="F5343" t="inlineStr">
        <is>
          <t>Hà Nội</t>
        </is>
      </c>
      <c r="G5343" t="inlineStr">
        <is>
          <t>Trưởng phòng</t>
        </is>
      </c>
      <c r="H5343" t="inlineStr">
        <is>
          <t>13/02/2026</t>
        </is>
      </c>
      <c r="I5343" t="inlineStr">
        <is>
          <t>30/03/2026</t>
        </is>
      </c>
      <c r="J5343" t="inlineStr">
        <is>
          <t>17/03/2026</t>
        </is>
      </c>
      <c r="K5343" t="inlineStr">
        <is>
          <t>N/A</t>
        </is>
      </c>
      <c r="L5343" t="inlineStr">
        <is>
          <t>Maintenance, Facility Maintenance, Facilities Management, Bảo Dưỡng, Bảo Trì</t>
        </is>
      </c>
      <c r="M5343" t="inlineStr">
        <is>
          <t>Bonus, Canteen, Others</t>
        </is>
      </c>
      <c r="N5343" s="8">
        <f>HYPERLINK("https://www.vietnamworks.com/facilities-manager--2011951-jv","Xem chi tiết")</f>
        <v/>
      </c>
    </row>
    <row r="5344">
      <c r="B5344" s="9" t="n">
        <v>5342</v>
      </c>
      <c r="C5344" s="10" t="inlineStr">
        <is>
          <t>Marketing Manager</t>
        </is>
      </c>
      <c r="D5344" s="10" t="inlineStr">
        <is>
          <t>Chi Nhánh Tại Thành Phố Hồ Chí Minh - Công Ty TNHH Vật Liệu Xây Dựng Xi Măng Scg Việt Nam</t>
        </is>
      </c>
      <c r="E5344" s="10" t="inlineStr">
        <is>
          <t>Thương lượng</t>
        </is>
      </c>
      <c r="F5344" s="10" t="inlineStr">
        <is>
          <t>Hồ Chí Minh</t>
        </is>
      </c>
      <c r="G5344" s="10" t="inlineStr">
        <is>
          <t>Trưởng phòng</t>
        </is>
      </c>
      <c r="H5344" s="10" t="inlineStr">
        <is>
          <t>13/02/2026</t>
        </is>
      </c>
      <c r="I5344" s="10" t="inlineStr">
        <is>
          <t>30/03/2026</t>
        </is>
      </c>
      <c r="J5344" s="10" t="inlineStr">
        <is>
          <t>17/03/2026</t>
        </is>
      </c>
      <c r="K5344" s="10" t="inlineStr">
        <is>
          <t>N/A</t>
        </is>
      </c>
      <c r="L5344" s="10" t="inlineStr">
        <is>
          <t>Marketing, Marketing Management, Truyền Thông, Trade Promotion, Marketing Planning</t>
        </is>
      </c>
      <c r="M5344" s="10" t="inlineStr">
        <is>
          <t>Healthcare Plan, Paid Leave, Others</t>
        </is>
      </c>
      <c r="N5344" s="11">
        <f>HYPERLINK("https://www.vietnamworks.com/marketing-manager--2011957-jv","Xem chi tiết")</f>
        <v/>
      </c>
      <c r="O5344" s="10" t="n"/>
    </row>
    <row r="5345">
      <c r="B5345" s="7" t="n">
        <v>5343</v>
      </c>
      <c r="C5345" t="inlineStr">
        <is>
          <t>Student Affairs Manager</t>
        </is>
      </c>
      <c r="D5345" t="inlineStr">
        <is>
          <t>Công Ty TNHH Giáo Dục Và Đào Tạo Vinacademy</t>
        </is>
      </c>
      <c r="E5345" t="inlineStr">
        <is>
          <t>Thương lượng</t>
        </is>
      </c>
      <c r="F5345" t="inlineStr">
        <is>
          <t>Hà Nội</t>
        </is>
      </c>
      <c r="G5345" t="inlineStr">
        <is>
          <t>Trưởng phòng</t>
        </is>
      </c>
      <c r="H5345" t="inlineStr">
        <is>
          <t>13/02/2026</t>
        </is>
      </c>
      <c r="I5345" t="inlineStr">
        <is>
          <t>30/03/2026</t>
        </is>
      </c>
      <c r="J5345" t="inlineStr">
        <is>
          <t>17/03/2026</t>
        </is>
      </c>
      <c r="K5345" t="inlineStr">
        <is>
          <t>N/A</t>
        </is>
      </c>
      <c r="L5345" t="inlineStr">
        <is>
          <t>Education, Project magement, Student Management</t>
        </is>
      </c>
      <c r="M5345" t="inlineStr">
        <is>
          <t>Others</t>
        </is>
      </c>
      <c r="N5345" s="8">
        <f>HYPERLINK("https://www.vietnamworks.com/student-affairs-manager-2011954-jv","Xem chi tiết")</f>
        <v/>
      </c>
    </row>
    <row r="5346">
      <c r="B5346" s="9" t="n">
        <v>5344</v>
      </c>
      <c r="C5346" s="10" t="inlineStr">
        <is>
          <t>Trợ Lý Phó Tổng Giám Đốc</t>
        </is>
      </c>
      <c r="D5346" s="10" t="inlineStr">
        <is>
          <t>Tập Đoàn Karofi Holding</t>
        </is>
      </c>
      <c r="E5346" s="10" t="inlineStr">
        <is>
          <t>$$ 1,000-2,000 /tháng</t>
        </is>
      </c>
      <c r="F5346" s="10" t="inlineStr">
        <is>
          <t>Hà Nội</t>
        </is>
      </c>
      <c r="G5346" s="10" t="inlineStr">
        <is>
          <t>Trưởng phòng</t>
        </is>
      </c>
      <c r="H5346" s="10" t="inlineStr">
        <is>
          <t>13/02/2026</t>
        </is>
      </c>
      <c r="I5346" s="10" t="inlineStr">
        <is>
          <t>30/03/2026</t>
        </is>
      </c>
      <c r="J5346" s="10" t="inlineStr">
        <is>
          <t>17/03/2026</t>
        </is>
      </c>
      <c r="K5346" s="10" t="inlineStr">
        <is>
          <t>N/A</t>
        </is>
      </c>
      <c r="L5346" s="10" t="inlineStr">
        <is>
          <t>Financial Analysis, Financial Investment, Financial Forecast, Sourcing Vendor, Indirect Purchasing</t>
        </is>
      </c>
      <c r="M5346" s="10" t="inlineStr">
        <is>
          <t>Bonus, Healthcare Plan, Laptop</t>
        </is>
      </c>
      <c r="N5346" s="11">
        <f>HYPERLINK("https://www.vietnamworks.com/tro-ly-pho-tong-giam-doc--2011961-jv","Xem chi tiết")</f>
        <v/>
      </c>
      <c r="O5346" s="10" t="n"/>
    </row>
    <row r="5347">
      <c r="B5347" s="7" t="n">
        <v>5345</v>
      </c>
      <c r="C5347" t="inlineStr">
        <is>
          <t>Technical Sales Engineer B2B (Air Compressors) | Hà Nội &amp; Tp. HCM</t>
        </is>
      </c>
      <c r="D5347" t="inlineStr">
        <is>
          <t>Atlas Copco Vietnam (Ha Noi &amp; Binh Duong)</t>
        </is>
      </c>
      <c r="E5347" t="inlineStr">
        <is>
          <t>Thương lượng</t>
        </is>
      </c>
      <c r="F5347" t="inlineStr">
        <is>
          <t>Hà Nội, Hồ Chí Minh</t>
        </is>
      </c>
      <c r="G5347" t="inlineStr">
        <is>
          <t>Nhân viên</t>
        </is>
      </c>
      <c r="H5347" t="inlineStr">
        <is>
          <t>27/02/2026</t>
        </is>
      </c>
      <c r="I5347" t="inlineStr">
        <is>
          <t>29/03/2026</t>
        </is>
      </c>
      <c r="J5347" t="inlineStr">
        <is>
          <t>17/03/2026</t>
        </is>
      </c>
      <c r="K5347" t="inlineStr">
        <is>
          <t>N/A</t>
        </is>
      </c>
      <c r="L5347" t="inlineStr">
        <is>
          <t>Technical Sales, B2B Sales, Industrial Equipment, EPC, Air Compressor</t>
        </is>
      </c>
      <c r="M5347" t="inlineStr">
        <is>
          <t>Bonus, Healthcare Plan, Paid Leave, Training, Others</t>
        </is>
      </c>
      <c r="N5347" s="8">
        <f>HYPERLINK("https://www.vietnamworks.com/technical-sales-engineer-b2b-air-compressors-ha-noi-tp-hcm-2016147-jv","Xem chi tiết")</f>
        <v/>
      </c>
    </row>
    <row r="5348">
      <c r="B5348" s="9" t="n">
        <v>5346</v>
      </c>
      <c r="C5348" s="10" t="inlineStr">
        <is>
          <t>Civil Engineer</t>
        </is>
      </c>
      <c r="D5348" s="10" t="inlineStr">
        <is>
          <t>Asia Chemical Corporation</t>
        </is>
      </c>
      <c r="E5348" s="10" t="inlineStr">
        <is>
          <t>Thương lượng</t>
        </is>
      </c>
      <c r="F5348" s="10" t="inlineStr">
        <is>
          <t>Hồ Chí Minh</t>
        </is>
      </c>
      <c r="G5348" s="10" t="inlineStr">
        <is>
          <t>Nhân viên</t>
        </is>
      </c>
      <c r="H5348" s="10" t="inlineStr">
        <is>
          <t>13/02/2026</t>
        </is>
      </c>
      <c r="I5348" s="10" t="inlineStr">
        <is>
          <t>30/03/2026</t>
        </is>
      </c>
      <c r="J5348" s="10" t="inlineStr">
        <is>
          <t>17/03/2026</t>
        </is>
      </c>
      <c r="K5348" s="10" t="inlineStr">
        <is>
          <t>N/A</t>
        </is>
      </c>
      <c r="L5348" s="10" t="inlineStr">
        <is>
          <t>Xây Dựng Dân Dụng, Xây Dựng, Giám Sát Thi Công, Bóc Tách Khối Lượng, AutoCAD</t>
        </is>
      </c>
      <c r="M5348" s="10" t="inlineStr">
        <is>
          <t>Bonus, Healthcare Plan, Training</t>
        </is>
      </c>
      <c r="N5348" s="11">
        <f>HYPERLINK("https://www.vietnamworks.com/civil-engineer--2011960-jv","Xem chi tiết")</f>
        <v/>
      </c>
      <c r="O5348" s="10" t="n"/>
    </row>
    <row r="5349">
      <c r="B5349" s="7" t="n">
        <v>5347</v>
      </c>
      <c r="C5349" t="inlineStr">
        <is>
          <t>Chuyên Viên Quản Lý BIM</t>
        </is>
      </c>
      <c r="D5349" t="inlineStr">
        <is>
          <t>Vietnamworks' Client</t>
        </is>
      </c>
      <c r="E5349" t="inlineStr">
        <is>
          <t>Thương lượng</t>
        </is>
      </c>
      <c r="F5349" t="inlineStr">
        <is>
          <t>Hồ Chí Minh</t>
        </is>
      </c>
      <c r="G5349" t="inlineStr">
        <is>
          <t>Nhân viên</t>
        </is>
      </c>
      <c r="H5349" t="inlineStr">
        <is>
          <t>13/02/2026</t>
        </is>
      </c>
      <c r="I5349" t="inlineStr">
        <is>
          <t>30/03/2026</t>
        </is>
      </c>
      <c r="J5349" t="inlineStr">
        <is>
          <t>17/03/2026</t>
        </is>
      </c>
      <c r="K5349" t="inlineStr">
        <is>
          <t>N/A</t>
        </is>
      </c>
      <c r="L5349" t="inlineStr">
        <is>
          <t>BIM, BIM Design, Xây Dựng Cầu Đường Hạ Tầng, Công Trình Giao Thông, BIM Design and Modeling</t>
        </is>
      </c>
      <c r="M5349" t="inlineStr">
        <is>
          <t>Bonus, Awards, Others</t>
        </is>
      </c>
      <c r="N5349" s="8">
        <f>HYPERLINK("https://www.vietnamworks.com/chuyen-vien-quan-ly-bim--2011965-jv","Xem chi tiết")</f>
        <v/>
      </c>
    </row>
    <row r="5350">
      <c r="B5350" s="9" t="n">
        <v>5348</v>
      </c>
      <c r="C5350" s="10" t="inlineStr">
        <is>
          <t>Chuyên Viên Hành Chính</t>
        </is>
      </c>
      <c r="D5350" s="10" t="inlineStr">
        <is>
          <t>Công Ty Cổ Phần Địa Ốc Phú Long</t>
        </is>
      </c>
      <c r="E5350" s="10" t="inlineStr">
        <is>
          <t>Thương lượng</t>
        </is>
      </c>
      <c r="F5350" s="10" t="inlineStr">
        <is>
          <t>Hồ Chí Minh</t>
        </is>
      </c>
      <c r="G5350" s="10" t="inlineStr">
        <is>
          <t>Nhân viên</t>
        </is>
      </c>
      <c r="H5350" s="10" t="inlineStr">
        <is>
          <t>13/02/2026</t>
        </is>
      </c>
      <c r="I5350" s="10" t="inlineStr">
        <is>
          <t>30/03/2026</t>
        </is>
      </c>
      <c r="J5350" s="10" t="inlineStr">
        <is>
          <t>17/03/2026</t>
        </is>
      </c>
      <c r="K5350" s="10" t="inlineStr">
        <is>
          <t>N/A</t>
        </is>
      </c>
      <c r="L5350" s="10" t="inlineStr">
        <is>
          <t>Office Administration, Office Admin, Hành Chính Nhân Sự, Hành Chính, Administration</t>
        </is>
      </c>
      <c r="M5350" s="10" t="inlineStr">
        <is>
          <t>Bonus, Awards, Others</t>
        </is>
      </c>
      <c r="N5350" s="11">
        <f>HYPERLINK("https://www.vietnamworks.com/chuyen-vien-hanh-chinh--2011977-jv","Xem chi tiết")</f>
        <v/>
      </c>
      <c r="O5350" s="10" t="n"/>
    </row>
    <row r="5351">
      <c r="B5351" s="7" t="n">
        <v>5349</v>
      </c>
      <c r="C5351" t="inlineStr">
        <is>
          <t>Trưởng Phòng Sản Xuất KCN Nhật Bản- Hải Phòng (Production Manager - Japan Industrial Park - Hai Phong)</t>
        </is>
      </c>
      <c r="D5351" t="inlineStr">
        <is>
          <t>Tohoku Pioneer Vietnam Co., Ltd</t>
        </is>
      </c>
      <c r="E5351" t="inlineStr">
        <is>
          <t>Thương lượng</t>
        </is>
      </c>
      <c r="F5351" t="inlineStr">
        <is>
          <t>Hải Phòng</t>
        </is>
      </c>
      <c r="G5351" t="inlineStr">
        <is>
          <t>Trưởng phòng</t>
        </is>
      </c>
      <c r="H5351" t="inlineStr">
        <is>
          <t>13/02/2026</t>
        </is>
      </c>
      <c r="I5351" t="inlineStr">
        <is>
          <t>30/03/2026</t>
        </is>
      </c>
      <c r="J5351" t="inlineStr">
        <is>
          <t>17/03/2026</t>
        </is>
      </c>
      <c r="K5351" t="inlineStr">
        <is>
          <t>N/A</t>
        </is>
      </c>
      <c r="L5351" t="inlineStr">
        <is>
          <t>Lãnh Đạo, Quản Lý Sản Xuất, Tiếng Anh, Tiêu Chuẩn ISO, Tin Học Văn Phòng</t>
        </is>
      </c>
      <c r="M5351" t="inlineStr">
        <is>
          <t>Bonus, Healthcare Plan, Canteen, Others</t>
        </is>
      </c>
      <c r="N5351" s="8">
        <f>HYPERLINK("https://www.vietnamworks.com/truong-phong-san-xuat-kcn-nhat-ban-hai-phong-production-manager-japan-industrial-park-hai-phong-2011973-jv","Xem chi tiết")</f>
        <v/>
      </c>
    </row>
    <row r="5352">
      <c r="B5352" s="9" t="n">
        <v>5350</v>
      </c>
      <c r="C5352" s="10" t="inlineStr">
        <is>
          <t>Project Sales Engineer</t>
        </is>
      </c>
      <c r="D5352" s="10" t="inlineStr">
        <is>
          <t>Công ty TNHH Panasonic Electric Works Việt Nam</t>
        </is>
      </c>
      <c r="E5352" s="10" t="inlineStr">
        <is>
          <t>Thương lượng</t>
        </is>
      </c>
      <c r="F5352" s="10" t="inlineStr">
        <is>
          <t>Hà Nội</t>
        </is>
      </c>
      <c r="G5352" s="10" t="inlineStr">
        <is>
          <t>Nhân viên</t>
        </is>
      </c>
      <c r="H5352" s="10" t="inlineStr">
        <is>
          <t>13/02/2026</t>
        </is>
      </c>
      <c r="I5352" s="10" t="inlineStr">
        <is>
          <t>30/03/2026</t>
        </is>
      </c>
      <c r="J5352" s="10" t="inlineStr">
        <is>
          <t>17/03/2026</t>
        </is>
      </c>
      <c r="K5352" s="10" t="inlineStr">
        <is>
          <t>N/A</t>
        </is>
      </c>
      <c r="L5352" s="10" t="inlineStr">
        <is>
          <t>Autocad, Electrical Knowledge, Mechanical, PLC Programming, SolidWorks</t>
        </is>
      </c>
      <c r="M5352" s="10" t="inlineStr">
        <is>
          <t>Bonus, Healthcare Plan, Paid Leave, Training, Team Activities</t>
        </is>
      </c>
      <c r="N5352" s="11">
        <f>HYPERLINK("https://www.vietnamworks.com/project-sales-engineer-2011985-jv","Xem chi tiết")</f>
        <v/>
      </c>
      <c r="O5352" s="10" t="n"/>
    </row>
    <row r="5353">
      <c r="B5353" s="7" t="n">
        <v>5351</v>
      </c>
      <c r="C5353" t="inlineStr">
        <is>
          <t>Project Sales Executive</t>
        </is>
      </c>
      <c r="D5353" t="inlineStr">
        <is>
          <t>Chi Nhánh Tại Thành Phố Hồ Chí Minh - Công Ty TNHH Vật Liệu Xây Dựng Xi Măng Scg Việt Nam</t>
        </is>
      </c>
      <c r="E5353" t="inlineStr">
        <is>
          <t>Thương lượng</t>
        </is>
      </c>
      <c r="F5353" t="inlineStr">
        <is>
          <t>Hồ Chí Minh</t>
        </is>
      </c>
      <c r="G5353" t="inlineStr">
        <is>
          <t>Nhân viên</t>
        </is>
      </c>
      <c r="H5353" t="inlineStr">
        <is>
          <t>13/02/2026</t>
        </is>
      </c>
      <c r="I5353" t="inlineStr">
        <is>
          <t>30/03/2026</t>
        </is>
      </c>
      <c r="J5353" t="inlineStr">
        <is>
          <t>17/03/2026</t>
        </is>
      </c>
      <c r="K5353" t="inlineStr">
        <is>
          <t>N/A</t>
        </is>
      </c>
      <c r="L5353" t="inlineStr">
        <is>
          <t>Xây Dựng, Business Development, Kinh Doanh Dự Án, Bán Hàng, Kinh Doanh</t>
        </is>
      </c>
      <c r="M5353" t="inlineStr">
        <is>
          <t>Healthcare Plan, Paid Leave, Others</t>
        </is>
      </c>
      <c r="N5353" s="8">
        <f>HYPERLINK("https://www.vietnamworks.com/project-sales-executive--2011964-jv","Xem chi tiết")</f>
        <v/>
      </c>
    </row>
    <row r="5354">
      <c r="B5354" s="9" t="n">
        <v>5352</v>
      </c>
      <c r="C5354" s="10" t="inlineStr">
        <is>
          <t>Mechanical and Electrical Engineer</t>
        </is>
      </c>
      <c r="D5354" s="10" t="inlineStr">
        <is>
          <t>Asia Chemical Corporation</t>
        </is>
      </c>
      <c r="E5354" s="10" t="inlineStr">
        <is>
          <t>Thương lượng</t>
        </is>
      </c>
      <c r="F5354" s="10" t="inlineStr">
        <is>
          <t>Hồ Chí Minh</t>
        </is>
      </c>
      <c r="G5354" s="10" t="inlineStr">
        <is>
          <t>Nhân viên</t>
        </is>
      </c>
      <c r="H5354" s="10" t="inlineStr">
        <is>
          <t>13/02/2026</t>
        </is>
      </c>
      <c r="I5354" s="10" t="inlineStr">
        <is>
          <t>30/03/2026</t>
        </is>
      </c>
      <c r="J5354" s="10" t="inlineStr">
        <is>
          <t>17/03/2026</t>
        </is>
      </c>
      <c r="K5354" s="10" t="inlineStr">
        <is>
          <t>N/A</t>
        </is>
      </c>
      <c r="L5354" s="10" t="inlineStr">
        <is>
          <t>Xây Dựng Dân Dụng, Xây Dựng, Giám Sát Thi Công, Bóc Tách Khối Lượng, AutoCAD</t>
        </is>
      </c>
      <c r="M5354" s="10" t="inlineStr">
        <is>
          <t>Bonus, Healthcare Plan, Training</t>
        </is>
      </c>
      <c r="N5354" s="11">
        <f>HYPERLINK("https://www.vietnamworks.com/mechanical-and-electrical-engineer--2011962-jv","Xem chi tiết")</f>
        <v/>
      </c>
      <c r="O5354" s="10" t="n"/>
    </row>
    <row r="5355">
      <c r="B5355" s="7" t="n">
        <v>5353</v>
      </c>
      <c r="C5355" t="inlineStr">
        <is>
          <t>Nhân Viên Kỹ Thuật Khuôn Nhựa (KTCT)</t>
        </is>
      </c>
      <c r="D5355" t="inlineStr">
        <is>
          <t>Tohoku Pioneer Vietnam Co., Ltd</t>
        </is>
      </c>
      <c r="E5355" t="inlineStr">
        <is>
          <t>Thương lượng</t>
        </is>
      </c>
      <c r="F5355" t="inlineStr">
        <is>
          <t>Hải Phòng</t>
        </is>
      </c>
      <c r="G5355" t="inlineStr">
        <is>
          <t>Nhân viên</t>
        </is>
      </c>
      <c r="H5355" t="inlineStr">
        <is>
          <t>13/02/2026</t>
        </is>
      </c>
      <c r="I5355" t="inlineStr">
        <is>
          <t>30/03/2026</t>
        </is>
      </c>
      <c r="J5355" t="inlineStr">
        <is>
          <t>17/03/2026</t>
        </is>
      </c>
      <c r="K5355" t="inlineStr">
        <is>
          <t>N/A</t>
        </is>
      </c>
      <c r="L5355" t="inlineStr">
        <is>
          <t>Bảo Trì Khuôn, Làm Việc Chịu Áp Lực Cao, Làm Việc Nhóm, Máy Đúc Nhựa, Xử Lý Lỗi Khuôn</t>
        </is>
      </c>
      <c r="M5355" t="inlineStr">
        <is>
          <t>Bonus, Healthcare Plan, Training, Canteen, Others</t>
        </is>
      </c>
      <c r="N5355" s="8">
        <f>HYPERLINK("https://www.vietnamworks.com/nhan-vien-ky-thuat-khuon-nhua-ktct-2011976-jv","Xem chi tiết")</f>
        <v/>
      </c>
    </row>
    <row r="5356">
      <c r="B5356" s="9" t="n">
        <v>5354</v>
      </c>
      <c r="C5356" s="10" t="inlineStr">
        <is>
          <t>Legal Staff</t>
        </is>
      </c>
      <c r="D5356" s="10" t="inlineStr">
        <is>
          <t>Công Ty TNHH Lotte Property &amp; Development Việt Nam</t>
        </is>
      </c>
      <c r="E5356" s="10" t="inlineStr">
        <is>
          <t>Thương lượng</t>
        </is>
      </c>
      <c r="F5356" s="10" t="inlineStr">
        <is>
          <t>Hà Nội</t>
        </is>
      </c>
      <c r="G5356" s="10" t="inlineStr">
        <is>
          <t>Nhân viên</t>
        </is>
      </c>
      <c r="H5356" s="10" t="inlineStr">
        <is>
          <t>13/02/2026</t>
        </is>
      </c>
      <c r="I5356" s="10" t="inlineStr">
        <is>
          <t>30/03/2026</t>
        </is>
      </c>
      <c r="J5356" s="10" t="inlineStr">
        <is>
          <t>17/03/2026</t>
        </is>
      </c>
      <c r="K5356" s="10" t="inlineStr">
        <is>
          <t>N/A</t>
        </is>
      </c>
      <c r="L5356" s="10" t="inlineStr">
        <is>
          <t>Legal, Law, Compliance Law</t>
        </is>
      </c>
      <c r="M5356" s="10" t="inlineStr">
        <is>
          <t>Bonus, Awards, Others</t>
        </is>
      </c>
      <c r="N5356" s="11">
        <f>HYPERLINK("https://www.vietnamworks.com/legal-staff--2011986-jv","Xem chi tiết")</f>
        <v/>
      </c>
      <c r="O5356" s="10" t="n"/>
    </row>
    <row r="5357">
      <c r="B5357" s="7" t="n">
        <v>5355</v>
      </c>
      <c r="C5357" t="inlineStr">
        <is>
          <t>Nhân Viên Y Tế</t>
        </is>
      </c>
      <c r="D5357" t="inlineStr">
        <is>
          <t>Công Ty TNHH Điện Tử UMC Việt Nam</t>
        </is>
      </c>
      <c r="E5357" t="inlineStr">
        <is>
          <t>$$ 300-400 /tháng</t>
        </is>
      </c>
      <c r="F5357" t="inlineStr">
        <is>
          <t>Bắc Ninh, Hải Phòng, Hưng Yên</t>
        </is>
      </c>
      <c r="G5357" t="inlineStr">
        <is>
          <t>Nhân viên</t>
        </is>
      </c>
      <c r="H5357" t="inlineStr">
        <is>
          <t>13/02/2026</t>
        </is>
      </c>
      <c r="I5357" t="inlineStr">
        <is>
          <t>30/03/2026</t>
        </is>
      </c>
      <c r="J5357" t="inlineStr">
        <is>
          <t>17/03/2026</t>
        </is>
      </c>
      <c r="K5357" t="inlineStr">
        <is>
          <t>N/A</t>
        </is>
      </c>
      <c r="L5357" t="inlineStr">
        <is>
          <t>Y Tế, Chăm Sóc Sức Khỏe, Điều dưỡng, Tư Vấn Sức Khoẻ, Sơ Cấp Cứu</t>
        </is>
      </c>
      <c r="M5357" t="inlineStr">
        <is>
          <t>Healthcare Plan, Paid Leave</t>
        </is>
      </c>
      <c r="N5357" s="8">
        <f>HYPERLINK("https://www.vietnamworks.com/nhan-vien-y-te--2011970-jv","Xem chi tiết")</f>
        <v/>
      </c>
    </row>
    <row r="5358">
      <c r="B5358" s="9" t="n">
        <v>5356</v>
      </c>
      <c r="C5358" s="10" t="inlineStr">
        <is>
          <t>R&amp;D Manager (Trưởng Phòng Nghiên Cứu Và Phát Triển Sản Phẩm)</t>
        </is>
      </c>
      <c r="D5358" s="10" t="inlineStr">
        <is>
          <t>Vietnamworks' Client</t>
        </is>
      </c>
      <c r="E5358" s="10" t="inlineStr">
        <is>
          <t>Thương lượng</t>
        </is>
      </c>
      <c r="F5358" s="10" t="inlineStr">
        <is>
          <t>Bắc Giang, Hà Nội, Bắc Ninh</t>
        </is>
      </c>
      <c r="G5358" s="10" t="inlineStr">
        <is>
          <t>Trưởng phòng</t>
        </is>
      </c>
      <c r="H5358" s="10" t="inlineStr">
        <is>
          <t>13/02/2026</t>
        </is>
      </c>
      <c r="I5358" s="10" t="inlineStr">
        <is>
          <t>30/03/2026</t>
        </is>
      </c>
      <c r="J5358" s="10" t="inlineStr">
        <is>
          <t>17/03/2026</t>
        </is>
      </c>
      <c r="K5358" s="10" t="inlineStr">
        <is>
          <t>N/A</t>
        </is>
      </c>
      <c r="L5358" s="10" t="inlineStr">
        <is>
          <t>Product Development, Mechanical, Handicraft, Design, AutoCAD 2D</t>
        </is>
      </c>
      <c r="M5358" s="10" t="inlineStr">
        <is>
          <t>Healthcare Plan, Team Activities, Canteen</t>
        </is>
      </c>
      <c r="N5358" s="11">
        <f>HYPERLINK("https://www.vietnamworks.com/r-d-manager-truong-phong-nghien-cuu-va-phat-trien-san-pham--2011969-jv","Xem chi tiết")</f>
        <v/>
      </c>
      <c r="O5358" s="10" t="n"/>
    </row>
    <row r="5359">
      <c r="B5359" s="7" t="n">
        <v>5357</v>
      </c>
      <c r="C5359" t="inlineStr">
        <is>
          <t>Area Security Manager (VN &amp; TH)</t>
        </is>
      </c>
      <c r="D5359" t="inlineStr">
        <is>
          <t>UPS Vietnam</t>
        </is>
      </c>
      <c r="E5359" t="inlineStr">
        <is>
          <t>Thương lượng</t>
        </is>
      </c>
      <c r="F5359" t="inlineStr">
        <is>
          <t>Hồ Chí Minh</t>
        </is>
      </c>
      <c r="G5359" t="inlineStr">
        <is>
          <t>Trưởng phòng</t>
        </is>
      </c>
      <c r="H5359" t="inlineStr">
        <is>
          <t>13/02/2026</t>
        </is>
      </c>
      <c r="I5359" t="inlineStr">
        <is>
          <t>30/03/2026</t>
        </is>
      </c>
      <c r="J5359" t="inlineStr">
        <is>
          <t>17/03/2026</t>
        </is>
      </c>
      <c r="K5359" t="inlineStr">
        <is>
          <t>N/A</t>
        </is>
      </c>
      <c r="L5359" t="inlineStr">
        <is>
          <t>Complaint Investigation, Security Management, Security Risk Assessment, English Language Proficiency, Leadership</t>
        </is>
      </c>
      <c r="M5359" t="inlineStr">
        <is>
          <t>Healthcare Plan, Team Activities, Others</t>
        </is>
      </c>
      <c r="N5359" s="8">
        <f>HYPERLINK("https://www.vietnamworks.com/area-security-manager-vn-th-2011981-jv","Xem chi tiết")</f>
        <v/>
      </c>
    </row>
    <row r="5360">
      <c r="B5360" s="9" t="n">
        <v>5358</v>
      </c>
      <c r="C5360" s="10" t="inlineStr">
        <is>
          <t>Nhân Viên Quản Lý Chất Lượng Sản Phẩm (VQC)</t>
        </is>
      </c>
      <c r="D5360" s="10" t="inlineStr">
        <is>
          <t>Tohoku Pioneer Vietnam Co., Ltd</t>
        </is>
      </c>
      <c r="E5360" s="10" t="inlineStr">
        <is>
          <t>Thương lượng</t>
        </is>
      </c>
      <c r="F5360" s="10" t="inlineStr">
        <is>
          <t>Hải Phòng</t>
        </is>
      </c>
      <c r="G5360" s="10" t="inlineStr">
        <is>
          <t>Nhân viên</t>
        </is>
      </c>
      <c r="H5360" s="10" t="inlineStr">
        <is>
          <t>13/02/2026</t>
        </is>
      </c>
      <c r="I5360" s="10" t="inlineStr">
        <is>
          <t>30/03/2026</t>
        </is>
      </c>
      <c r="J5360" s="10" t="inlineStr">
        <is>
          <t>17/03/2026</t>
        </is>
      </c>
      <c r="K5360" s="10" t="inlineStr">
        <is>
          <t>N/A</t>
        </is>
      </c>
      <c r="L5360" s="10" t="inlineStr">
        <is>
          <t>IATF 16949:2016, ISO 9001, Phân Tích Lỗi, Quản Lý Chất Lượng, Tiếng Nhật</t>
        </is>
      </c>
      <c r="M5360" s="10" t="inlineStr">
        <is>
          <t>Bonus, Healthcare Plan, Training, Travel Opportunities, Team Activities, Canteen, Others</t>
        </is>
      </c>
      <c r="N5360" s="11">
        <f>HYPERLINK("https://www.vietnamworks.com/nhan-vien-quan-ly-chat-luong-san-pham-vqc-2011972-jv","Xem chi tiết")</f>
        <v/>
      </c>
      <c r="O5360" s="10" t="n"/>
    </row>
    <row r="5361">
      <c r="B5361" s="7" t="n">
        <v>5359</v>
      </c>
      <c r="C5361" t="inlineStr">
        <is>
          <t>Document Expert</t>
        </is>
      </c>
      <c r="D5361" t="inlineStr">
        <is>
          <t>MAERSK GSC</t>
        </is>
      </c>
      <c r="E5361" t="inlineStr">
        <is>
          <t>Thương lượng</t>
        </is>
      </c>
      <c r="F5361" t="inlineStr">
        <is>
          <t>Hồ Chí Minh</t>
        </is>
      </c>
      <c r="G5361" t="inlineStr">
        <is>
          <t>Mới Tốt Nghiệp</t>
        </is>
      </c>
      <c r="H5361" t="inlineStr">
        <is>
          <t>13/02/2026</t>
        </is>
      </c>
      <c r="I5361" t="inlineStr">
        <is>
          <t>30/03/2026</t>
        </is>
      </c>
      <c r="J5361" t="inlineStr">
        <is>
          <t>17/03/2026</t>
        </is>
      </c>
      <c r="K5361" t="inlineStr">
        <is>
          <t>N/A</t>
        </is>
      </c>
      <c r="L5361" t="inlineStr">
        <is>
          <t>Attention To Detail, Export Documents, Import Management, Logistics, Supply Chain</t>
        </is>
      </c>
      <c r="M5361" t="inlineStr">
        <is>
          <t>Bonus</t>
        </is>
      </c>
      <c r="N5361" s="8">
        <f>HYPERLINK("https://www.vietnamworks.com/document-expert-2011975-jv","Xem chi tiết")</f>
        <v/>
      </c>
    </row>
    <row r="5362">
      <c r="B5362" s="9" t="n">
        <v>5360</v>
      </c>
      <c r="C5362" s="10" t="inlineStr">
        <is>
          <t>Head of Branding &amp; Marketing</t>
        </is>
      </c>
      <c r="D5362" s="10" t="inlineStr">
        <is>
          <t>CÔNG TY TNHH ALITIUM PROFESSIONAL SERVICES</t>
        </is>
      </c>
      <c r="E5362" s="10" t="inlineStr">
        <is>
          <t>Thương lượng</t>
        </is>
      </c>
      <c r="F5362" s="10" t="inlineStr">
        <is>
          <t>Hồ Chí Minh</t>
        </is>
      </c>
      <c r="G5362" s="10" t="inlineStr">
        <is>
          <t>Trưởng phòng</t>
        </is>
      </c>
      <c r="H5362" s="10" t="inlineStr">
        <is>
          <t>13/02/2026</t>
        </is>
      </c>
      <c r="I5362" s="10" t="inlineStr">
        <is>
          <t>30/03/2026</t>
        </is>
      </c>
      <c r="J5362" s="10" t="inlineStr">
        <is>
          <t>17/03/2026</t>
        </is>
      </c>
      <c r="K5362" s="10" t="inlineStr">
        <is>
          <t>N/A</t>
        </is>
      </c>
      <c r="L5362" s="10" t="inlineStr">
        <is>
          <t>Branding, Business Development, Leadership, Marketing Development, Technical Capability</t>
        </is>
      </c>
      <c r="M5362" s="10" t="inlineStr">
        <is>
          <t>Bonus</t>
        </is>
      </c>
      <c r="N5362" s="11">
        <f>HYPERLINK("https://www.vietnamworks.com/head-of-branding-and-marketing-2011983-jv","Xem chi tiết")</f>
        <v/>
      </c>
      <c r="O5362" s="10" t="n"/>
    </row>
    <row r="5363">
      <c r="B5363" s="7" t="n">
        <v>5361</v>
      </c>
      <c r="C5363" t="inlineStr">
        <is>
          <t>Chuyên Viên Pháp Lý Dự Án</t>
        </is>
      </c>
      <c r="D5363" t="inlineStr">
        <is>
          <t>Công Ty Cổ Phần Địa Ốc Phú Long</t>
        </is>
      </c>
      <c r="E5363" t="inlineStr">
        <is>
          <t>Thương lượng</t>
        </is>
      </c>
      <c r="F5363" t="inlineStr">
        <is>
          <t>Hồ Chí Minh</t>
        </is>
      </c>
      <c r="G5363" t="inlineStr">
        <is>
          <t>Nhân viên</t>
        </is>
      </c>
      <c r="H5363" t="inlineStr">
        <is>
          <t>13/02/2026</t>
        </is>
      </c>
      <c r="I5363" t="inlineStr">
        <is>
          <t>30/03/2026</t>
        </is>
      </c>
      <c r="J5363" t="inlineStr">
        <is>
          <t>17/03/2026</t>
        </is>
      </c>
      <c r="K5363" t="inlineStr">
        <is>
          <t>N/A</t>
        </is>
      </c>
      <c r="L5363" t="inlineStr">
        <is>
          <t>Xây Dựng, Quản Lý Dự Án, Pháp Lý Dự Án, Pháp Lý, Xây Dựng Đường Sắt</t>
        </is>
      </c>
      <c r="M5363" t="inlineStr">
        <is>
          <t>Bonus, Awards, Others</t>
        </is>
      </c>
      <c r="N5363" s="8">
        <f>HYPERLINK("https://www.vietnamworks.com/chuyen-vien-phap-ly-du-an--2011971-jv","Xem chi tiết")</f>
        <v/>
      </c>
    </row>
    <row r="5364">
      <c r="B5364" s="9" t="n">
        <v>5362</v>
      </c>
      <c r="C5364" s="10" t="inlineStr">
        <is>
          <t>Nhân Viên Kỹ Thuật Sản Xuất - Khuôn (PE)</t>
        </is>
      </c>
      <c r="D5364" s="10" t="inlineStr">
        <is>
          <t>Tohoku Pioneer Vietnam Co., Ltd</t>
        </is>
      </c>
      <c r="E5364" s="10" t="inlineStr">
        <is>
          <t>Thương lượng</t>
        </is>
      </c>
      <c r="F5364" s="10" t="inlineStr">
        <is>
          <t>Hải Phòng</t>
        </is>
      </c>
      <c r="G5364" s="10" t="inlineStr">
        <is>
          <t>Nhân viên</t>
        </is>
      </c>
      <c r="H5364" s="10" t="inlineStr">
        <is>
          <t>13/02/2026</t>
        </is>
      </c>
      <c r="I5364" s="10" t="inlineStr">
        <is>
          <t>30/03/2026</t>
        </is>
      </c>
      <c r="J5364" s="10" t="inlineStr">
        <is>
          <t>17/03/2026</t>
        </is>
      </c>
      <c r="K5364" s="10" t="inlineStr">
        <is>
          <t>N/A</t>
        </is>
      </c>
      <c r="L5364" s="10" t="inlineStr">
        <is>
          <t>Khả Năng Thích Ứng, Làm Khuôn, Máy Đúc Nhựa, Thiết kế sản xuất, Tin Học Văn Phòng</t>
        </is>
      </c>
      <c r="M5364" s="10" t="inlineStr">
        <is>
          <t>Bonus, Healthcare Plan, Training, Travel Opportunities, Canteen, Others</t>
        </is>
      </c>
      <c r="N5364" s="11">
        <f>HYPERLINK("https://www.vietnamworks.com/nhan-vien-ky-thuat-san-xuat-khuon-pe-2011968-jv","Xem chi tiết")</f>
        <v/>
      </c>
      <c r="O5364" s="10" t="n"/>
    </row>
    <row r="5365">
      <c r="B5365" s="7" t="n">
        <v>5363</v>
      </c>
      <c r="C5365" t="inlineStr">
        <is>
          <t>Chuyên Gia Vận Hành Cơ Sở Dữ Liệu - K.CNTT</t>
        </is>
      </c>
      <c r="D5365" t="inlineStr">
        <is>
          <t>Ngân Hàng TMCP Đại Chúng Việt Nam</t>
        </is>
      </c>
      <c r="E5365" t="inlineStr">
        <is>
          <t>$$ 1,000-2,000 /tháng</t>
        </is>
      </c>
      <c r="F5365" t="inlineStr">
        <is>
          <t>Hà Nội</t>
        </is>
      </c>
      <c r="G5365" t="inlineStr">
        <is>
          <t>Nhân viên</t>
        </is>
      </c>
      <c r="H5365" t="inlineStr">
        <is>
          <t>13/02/2026</t>
        </is>
      </c>
      <c r="I5365" t="inlineStr">
        <is>
          <t>30/03/2026</t>
        </is>
      </c>
      <c r="J5365" t="inlineStr">
        <is>
          <t>17/03/2026</t>
        </is>
      </c>
      <c r="K5365" t="inlineStr">
        <is>
          <t>N/A</t>
        </is>
      </c>
      <c r="L5365" t="inlineStr">
        <is>
          <t>DRP planning, SRE, Database Administration, Database Operations</t>
        </is>
      </c>
      <c r="M5365" t="inlineStr">
        <is>
          <t>Bonus, Healthcare Plan, Canteen</t>
        </is>
      </c>
      <c r="N5365" s="8">
        <f>HYPERLINK("https://www.vietnamworks.com/chuyen-gia-van-hanh-co-so-du-lieu-k-cntt-2011979-jv","Xem chi tiết")</f>
        <v/>
      </c>
    </row>
    <row r="5366">
      <c r="B5366" s="9" t="n">
        <v>5364</v>
      </c>
      <c r="C5366" s="10" t="inlineStr">
        <is>
          <t>Quản Lý Chuyền Sản Xuất (Chuyền Trưởng)</t>
        </is>
      </c>
      <c r="D5366" s="10" t="inlineStr">
        <is>
          <t>Tohoku Pioneer Vietnam Co., Ltd</t>
        </is>
      </c>
      <c r="E5366" s="10" t="inlineStr">
        <is>
          <t>Thương lượng</t>
        </is>
      </c>
      <c r="F5366" s="10" t="inlineStr">
        <is>
          <t>Hải Phòng</t>
        </is>
      </c>
      <c r="G5366" s="10" t="inlineStr">
        <is>
          <t>Nhân viên</t>
        </is>
      </c>
      <c r="H5366" s="10" t="inlineStr">
        <is>
          <t>13/02/2026</t>
        </is>
      </c>
      <c r="I5366" s="10" t="inlineStr">
        <is>
          <t>30/03/2026</t>
        </is>
      </c>
      <c r="J5366" s="10" t="inlineStr">
        <is>
          <t>17/03/2026</t>
        </is>
      </c>
      <c r="K5366" s="10" t="inlineStr">
        <is>
          <t>N/A</t>
        </is>
      </c>
      <c r="L5366" s="10" t="inlineStr">
        <is>
          <t>Có Óc Tổ Chức, Gia Công Áp Lực, Làm Việc Nhóm, Lãnh Đạo, Quản Lý Sản Xuất</t>
        </is>
      </c>
      <c r="M5366" s="10" t="inlineStr">
        <is>
          <t>Bonus, Healthcare Plan, Canteen, Others</t>
        </is>
      </c>
      <c r="N5366" s="11">
        <f>HYPERLINK("https://www.vietnamworks.com/quan-ly-chuyen-san-xuat-chuyen-truong--2011987-jv","Xem chi tiết")</f>
        <v/>
      </c>
      <c r="O5366" s="10" t="n"/>
    </row>
    <row r="5367">
      <c r="B5367" s="7" t="n">
        <v>5365</v>
      </c>
      <c r="C5367" t="inlineStr">
        <is>
          <t>Trưởng Nhóm Kỹ Thuật Viên Vận Hành Hệ Thống Facility/ Utility</t>
        </is>
      </c>
      <c r="D5367" t="inlineStr">
        <is>
          <t>GENTHERM VIETNAM CO., LTD</t>
        </is>
      </c>
      <c r="E5367" t="inlineStr">
        <is>
          <t>Thương lượng</t>
        </is>
      </c>
      <c r="F5367" t="inlineStr">
        <is>
          <t>Hà Nam, Hà Nội, Hưng Yên</t>
        </is>
      </c>
      <c r="G5367" t="inlineStr">
        <is>
          <t>Nhân viên</t>
        </is>
      </c>
      <c r="H5367" t="inlineStr">
        <is>
          <t>13/02/2026</t>
        </is>
      </c>
      <c r="I5367" t="inlineStr">
        <is>
          <t>30/03/2026</t>
        </is>
      </c>
      <c r="J5367" t="inlineStr">
        <is>
          <t>17/03/2026</t>
        </is>
      </c>
      <c r="K5367" t="inlineStr">
        <is>
          <t>N/A</t>
        </is>
      </c>
      <c r="L5367" t="inlineStr">
        <is>
          <t>Facility Maintenance, Utility Management, Facility Operations, Utility Control, Electronic Technician</t>
        </is>
      </c>
      <c r="M5367" t="inlineStr">
        <is>
          <t>Bonus, Healthcare Plan, Transportation</t>
        </is>
      </c>
      <c r="N5367" s="8">
        <f>HYPERLINK("https://www.vietnamworks.com/truong-nhom-ky-thuat-vien-van-hanh-he-thong-facility-utility-2011982-jv","Xem chi tiết")</f>
        <v/>
      </c>
    </row>
    <row r="5368">
      <c r="B5368" s="9" t="n">
        <v>5366</v>
      </c>
      <c r="C5368" s="10" t="inlineStr">
        <is>
          <t>Specialist, Production (ISO Certification)</t>
        </is>
      </c>
      <c r="D5368" s="10" t="inlineStr">
        <is>
          <t>Công Ty TNHH Pandora Production Việt Nam</t>
        </is>
      </c>
      <c r="E5368" s="10" t="inlineStr">
        <is>
          <t>Thương lượng</t>
        </is>
      </c>
      <c r="F5368" s="10" t="inlineStr">
        <is>
          <t>Hồ Chí Minh</t>
        </is>
      </c>
      <c r="G5368" s="10" t="inlineStr">
        <is>
          <t>Nhân viên</t>
        </is>
      </c>
      <c r="H5368" s="10" t="inlineStr">
        <is>
          <t>13/02/2026</t>
        </is>
      </c>
      <c r="I5368" s="10" t="inlineStr">
        <is>
          <t>30/03/2026</t>
        </is>
      </c>
      <c r="J5368" s="10" t="inlineStr">
        <is>
          <t>17/03/2026</t>
        </is>
      </c>
      <c r="K5368" s="10" t="inlineStr">
        <is>
          <t>N/A</t>
        </is>
      </c>
      <c r="L5368" s="10" t="inlineStr">
        <is>
          <t>Analytical Skills, Internal Audit, ISO Checker Training, MES System Management, Process Control</t>
        </is>
      </c>
      <c r="M5368" s="10" t="inlineStr">
        <is>
          <t>Bonus, Healthcare Plan, Laptop, Transportation</t>
        </is>
      </c>
      <c r="N5368" s="11">
        <f>HYPERLINK("https://www.vietnamworks.com/specialist-production-iso-certification-2011988-jv","Xem chi tiết")</f>
        <v/>
      </c>
      <c r="O5368" s="10" t="n"/>
    </row>
    <row r="5369">
      <c r="B5369" s="7" t="n">
        <v>5367</v>
      </c>
      <c r="C5369" t="inlineStr">
        <is>
          <t>Customer Service and Operation Specialist</t>
        </is>
      </c>
      <c r="D5369" t="inlineStr">
        <is>
          <t>Easyspeed Global Forwarding (Vietnam) CO., LTD.</t>
        </is>
      </c>
      <c r="E5369" t="inlineStr">
        <is>
          <t>$$ 650-750 /tháng</t>
        </is>
      </c>
      <c r="F5369" t="inlineStr">
        <is>
          <t>Hà Nội</t>
        </is>
      </c>
      <c r="G5369" t="inlineStr">
        <is>
          <t>Nhân viên</t>
        </is>
      </c>
      <c r="H5369" t="inlineStr">
        <is>
          <t>13/02/2026</t>
        </is>
      </c>
      <c r="I5369" t="inlineStr">
        <is>
          <t>30/03/2026</t>
        </is>
      </c>
      <c r="J5369" t="inlineStr">
        <is>
          <t>17/03/2026</t>
        </is>
      </c>
      <c r="K5369" t="inlineStr">
        <is>
          <t>N/A</t>
        </is>
      </c>
      <c r="L5369" t="inlineStr">
        <is>
          <t>Customer Service, Cargo Wise, Air Freight Operations, Operations</t>
        </is>
      </c>
      <c r="M5369" t="inlineStr">
        <is>
          <t>Paid Leave, Laptop, Others</t>
        </is>
      </c>
      <c r="N5369" s="8">
        <f>HYPERLINK("https://www.vietnamworks.com/customer-service-and-operation-specialist--2011989-jv","Xem chi tiết")</f>
        <v/>
      </c>
    </row>
    <row r="5370">
      <c r="B5370" s="9" t="n">
        <v>5368</v>
      </c>
      <c r="C5370" s="10" t="inlineStr">
        <is>
          <t>Technical Support (Fluent English, Nightshift, Offer Up to 22mil)</t>
        </is>
      </c>
      <c r="D5370" s="10" t="inlineStr">
        <is>
          <t>ITECHWX COMPANY LIMITED</t>
        </is>
      </c>
      <c r="E5370" s="10" t="inlineStr">
        <is>
          <t>Tới 22tr ₫/tháng</t>
        </is>
      </c>
      <c r="F5370" s="10" t="inlineStr">
        <is>
          <t>Hồ Chí Minh</t>
        </is>
      </c>
      <c r="G5370" s="10" t="inlineStr">
        <is>
          <t>Mới Tốt Nghiệp</t>
        </is>
      </c>
      <c r="H5370" s="10" t="inlineStr">
        <is>
          <t>13/02/2026</t>
        </is>
      </c>
      <c r="I5370" s="10" t="inlineStr">
        <is>
          <t>30/03/2026</t>
        </is>
      </c>
      <c r="J5370" s="10" t="inlineStr">
        <is>
          <t>17/03/2026</t>
        </is>
      </c>
      <c r="K5370" s="10" t="inlineStr">
        <is>
          <t>N/A</t>
        </is>
      </c>
      <c r="L5370" s="10" t="inlineStr">
        <is>
          <t>Analytical Skills, Customer Service, Empathy, Microsoft Office 365, Problem-solving</t>
        </is>
      </c>
      <c r="M5370" s="10" t="inlineStr">
        <is>
          <t>Healthcare Plan, Paid Leave, Team Activities, Others</t>
        </is>
      </c>
      <c r="N5370" s="11">
        <f>HYPERLINK("https://www.vietnamworks.com/technical-support-fluent-english-nightshift-offer-up-to-22mil-2011999-jv","Xem chi tiết")</f>
        <v/>
      </c>
      <c r="O5370" s="10" t="n"/>
    </row>
    <row r="5371">
      <c r="B5371" s="7" t="n">
        <v>5369</v>
      </c>
      <c r="C5371" t="inlineStr">
        <is>
          <t>Kỹ Sư Thiết Kế Khuôn</t>
        </is>
      </c>
      <c r="D5371" t="inlineStr">
        <is>
          <t>Công Ty TNHH Takahata Precision Việt Nam</t>
        </is>
      </c>
      <c r="E5371" t="inlineStr">
        <is>
          <t>Thương lượng</t>
        </is>
      </c>
      <c r="F5371" t="inlineStr">
        <is>
          <t>Hải Phòng</t>
        </is>
      </c>
      <c r="G5371" t="inlineStr">
        <is>
          <t>Nhân viên</t>
        </is>
      </c>
      <c r="H5371" t="inlineStr">
        <is>
          <t>13/02/2026</t>
        </is>
      </c>
      <c r="I5371" t="inlineStr">
        <is>
          <t>30/03/2026</t>
        </is>
      </c>
      <c r="J5371" t="inlineStr">
        <is>
          <t>17/03/2026</t>
        </is>
      </c>
      <c r="K5371" t="inlineStr">
        <is>
          <t>N/A</t>
        </is>
      </c>
      <c r="L5371" t="inlineStr">
        <is>
          <t>Engineering, English, Design, Mechanical Drawing</t>
        </is>
      </c>
      <c r="M5371" t="inlineStr">
        <is>
          <t>Bonus, Training, Others</t>
        </is>
      </c>
      <c r="N5371" s="8">
        <f>HYPERLINK("https://www.vietnamworks.com/ky-su-thiet-ke-khuon--2011995-jv","Xem chi tiết")</f>
        <v/>
      </c>
    </row>
    <row r="5372">
      <c r="B5372" s="9" t="n">
        <v>5370</v>
      </c>
      <c r="C5372" s="10" t="inlineStr">
        <is>
          <t>Business Planning Staff (Korean Speaking)</t>
        </is>
      </c>
      <c r="D5372" s="10" t="inlineStr">
        <is>
          <t>Công Ty TNHH Lotte Property &amp; Development Việt Nam</t>
        </is>
      </c>
      <c r="E5372" s="10" t="inlineStr">
        <is>
          <t>Thương lượng</t>
        </is>
      </c>
      <c r="F5372" s="10" t="inlineStr">
        <is>
          <t>Hà Nội</t>
        </is>
      </c>
      <c r="G5372" s="10" t="inlineStr">
        <is>
          <t>Mới Tốt Nghiệp</t>
        </is>
      </c>
      <c r="H5372" s="10" t="inlineStr">
        <is>
          <t>13/02/2026</t>
        </is>
      </c>
      <c r="I5372" s="10" t="inlineStr">
        <is>
          <t>30/03/2026</t>
        </is>
      </c>
      <c r="J5372" s="10" t="inlineStr">
        <is>
          <t>17/03/2026</t>
        </is>
      </c>
      <c r="K5372" s="10" t="inlineStr">
        <is>
          <t>N/A</t>
        </is>
      </c>
      <c r="L5372" s="10" t="inlineStr">
        <is>
          <t>English, Korean Language, Budget Planning, Financial Analysis</t>
        </is>
      </c>
      <c r="M5372" s="10" t="inlineStr">
        <is>
          <t>Bonus, Awards, Others</t>
        </is>
      </c>
      <c r="N5372" s="11">
        <f>HYPERLINK("https://www.vietnamworks.com/business-planning-staff-korean-speaking--2011992-jv","Xem chi tiết")</f>
        <v/>
      </c>
      <c r="O5372" s="10" t="n"/>
    </row>
    <row r="5373">
      <c r="B5373" s="7" t="n">
        <v>5371</v>
      </c>
      <c r="C5373" t="inlineStr">
        <is>
          <t>Chuyên Viên Tài Chính</t>
        </is>
      </c>
      <c r="D5373" t="inlineStr">
        <is>
          <t>Tập Đoàn Karofi Holding</t>
        </is>
      </c>
      <c r="E5373" t="inlineStr">
        <is>
          <t>Thương lượng</t>
        </is>
      </c>
      <c r="F5373" t="inlineStr">
        <is>
          <t>Hà Nội</t>
        </is>
      </c>
      <c r="G5373" t="inlineStr">
        <is>
          <t>Nhân viên</t>
        </is>
      </c>
      <c r="H5373" t="inlineStr">
        <is>
          <t>13/02/2026</t>
        </is>
      </c>
      <c r="I5373" t="inlineStr">
        <is>
          <t>30/03/2026</t>
        </is>
      </c>
      <c r="J5373" t="inlineStr">
        <is>
          <t>17/03/2026</t>
        </is>
      </c>
      <c r="K5373" t="inlineStr">
        <is>
          <t>N/A</t>
        </is>
      </c>
      <c r="L5373" t="inlineStr">
        <is>
          <t>Kiểm Toán, Mô Hình Tài Chính, Phân Tích Tài Chính, Phân Tích Tư Duy, Power BI</t>
        </is>
      </c>
      <c r="M5373" t="inlineStr">
        <is>
          <t>Paid Leave, Laptop</t>
        </is>
      </c>
      <c r="N5373" s="8">
        <f>HYPERLINK("https://www.vietnamworks.com/chuyen-vien-tai-chinh-2012006-jv","Xem chi tiết")</f>
        <v/>
      </c>
    </row>
    <row r="5374">
      <c r="B5374" s="9" t="n">
        <v>5372</v>
      </c>
      <c r="C5374" s="10" t="inlineStr">
        <is>
          <t>Procurement Manager</t>
        </is>
      </c>
      <c r="D5374" s="10" t="inlineStr">
        <is>
          <t>Asia Chemical Corporation</t>
        </is>
      </c>
      <c r="E5374" s="10" t="inlineStr">
        <is>
          <t>Thương lượng</t>
        </is>
      </c>
      <c r="F5374" s="10" t="inlineStr">
        <is>
          <t>Hồ Chí Minh</t>
        </is>
      </c>
      <c r="G5374" s="10" t="inlineStr">
        <is>
          <t>Trưởng phòng</t>
        </is>
      </c>
      <c r="H5374" s="10" t="inlineStr">
        <is>
          <t>13/02/2026</t>
        </is>
      </c>
      <c r="I5374" s="10" t="inlineStr">
        <is>
          <t>30/03/2026</t>
        </is>
      </c>
      <c r="J5374" s="10" t="inlineStr">
        <is>
          <t>17/03/2026</t>
        </is>
      </c>
      <c r="K5374" s="10" t="inlineStr">
        <is>
          <t>N/A</t>
        </is>
      </c>
      <c r="L5374" s="10" t="inlineStr">
        <is>
          <t>Negotiation Skills, Procurement Management, Procurement Outsourcing, Sourcing Vendor, Supplier connection</t>
        </is>
      </c>
      <c r="M5374" s="10" t="inlineStr">
        <is>
          <t>Bonus, Healthcare Plan, Training, Laptop, Mobile, Travel Opportunities</t>
        </is>
      </c>
      <c r="N5374" s="11">
        <f>HYPERLINK("https://www.vietnamworks.com/procurement-manager-2011990-jv","Xem chi tiết")</f>
        <v/>
      </c>
      <c r="O5374" s="10" t="n"/>
    </row>
    <row r="5375">
      <c r="B5375" s="7" t="n">
        <v>5373</v>
      </c>
      <c r="C5375" t="inlineStr">
        <is>
          <t>Customer Service Manager (Korean Speaking)</t>
        </is>
      </c>
      <c r="D5375" t="inlineStr">
        <is>
          <t>Công Ty TNHH Lotte Property &amp; Development Việt Nam</t>
        </is>
      </c>
      <c r="E5375" t="inlineStr">
        <is>
          <t>Thương lượng</t>
        </is>
      </c>
      <c r="F5375" t="inlineStr">
        <is>
          <t>Hà Nội</t>
        </is>
      </c>
      <c r="G5375" t="inlineStr">
        <is>
          <t>Trưởng phòng</t>
        </is>
      </c>
      <c r="H5375" t="inlineStr">
        <is>
          <t>13/02/2026</t>
        </is>
      </c>
      <c r="I5375" t="inlineStr">
        <is>
          <t>30/03/2026</t>
        </is>
      </c>
      <c r="J5375" t="inlineStr">
        <is>
          <t>17/03/2026</t>
        </is>
      </c>
      <c r="K5375" t="inlineStr">
        <is>
          <t>N/A</t>
        </is>
      </c>
      <c r="L5375" t="inlineStr">
        <is>
          <t>Korean Language, Customer Service, Management</t>
        </is>
      </c>
      <c r="M5375" t="inlineStr">
        <is>
          <t>Bonus, Awards, Others</t>
        </is>
      </c>
      <c r="N5375" s="8">
        <f>HYPERLINK("https://www.vietnamworks.com/customer-service-manager-korean-speaking-2011993-jv","Xem chi tiết")</f>
        <v/>
      </c>
    </row>
    <row r="5376">
      <c r="B5376" s="9" t="n">
        <v>5374</v>
      </c>
      <c r="C5376" s="10" t="inlineStr">
        <is>
          <t>Admin Staff</t>
        </is>
      </c>
      <c r="D5376" s="10" t="inlineStr">
        <is>
          <t>Công ty TNHH NEXON Creative Studio VINA</t>
        </is>
      </c>
      <c r="E5376" s="10" t="inlineStr">
        <is>
          <t>Thương lượng</t>
        </is>
      </c>
      <c r="F5376" s="10" t="inlineStr">
        <is>
          <t>Hồ Chí Minh</t>
        </is>
      </c>
      <c r="G5376" s="10" t="inlineStr">
        <is>
          <t>Nhân viên</t>
        </is>
      </c>
      <c r="H5376" s="10" t="inlineStr">
        <is>
          <t>13/02/2026</t>
        </is>
      </c>
      <c r="I5376" s="10" t="inlineStr">
        <is>
          <t>30/03/2026</t>
        </is>
      </c>
      <c r="J5376" s="10" t="inlineStr">
        <is>
          <t>17/03/2026</t>
        </is>
      </c>
      <c r="K5376" s="10" t="inlineStr">
        <is>
          <t>N/A</t>
        </is>
      </c>
      <c r="L5376" s="10" t="inlineStr">
        <is>
          <t>Hành Chính, Tin Học Văn Phòng, communication, Design, Purchasing</t>
        </is>
      </c>
      <c r="M5376" s="10" t="inlineStr">
        <is>
          <t>Bonus, Healthcare Plan, Travel Opportunities</t>
        </is>
      </c>
      <c r="N5376" s="11">
        <f>HYPERLINK("https://www.vietnamworks.com/admin-staff--2011998-jv","Xem chi tiết")</f>
        <v/>
      </c>
      <c r="O5376" s="10" t="n"/>
    </row>
    <row r="5377">
      <c r="B5377" s="7" t="n">
        <v>5375</v>
      </c>
      <c r="C5377" t="inlineStr">
        <is>
          <t>(JP 223) Kỹ Sư Lập Trình Vận Hành Máy Gia Công NC (CAD/CAM Programmer) Đi Nhật Miễn Phí</t>
        </is>
      </c>
      <c r="D5377" t="inlineStr">
        <is>
          <t>Công Ty TNHH R Techno Việt Nam</t>
        </is>
      </c>
      <c r="E5377" t="inlineStr">
        <is>
          <t>¥ 400,000-500,000 /tháng</t>
        </is>
      </c>
      <c r="F5377" t="inlineStr">
        <is>
          <t>Quốc tế</t>
        </is>
      </c>
      <c r="G5377" t="inlineStr">
        <is>
          <t>Nhân viên</t>
        </is>
      </c>
      <c r="H5377" t="inlineStr">
        <is>
          <t>13/02/2026</t>
        </is>
      </c>
      <c r="I5377" t="inlineStr">
        <is>
          <t>30/03/2026</t>
        </is>
      </c>
      <c r="J5377" t="inlineStr">
        <is>
          <t>17/03/2026</t>
        </is>
      </c>
      <c r="K5377" t="inlineStr">
        <is>
          <t>N/A</t>
        </is>
      </c>
      <c r="L5377" t="inlineStr">
        <is>
          <t>Autocad, CAD/CAM, CNC Programming, Japanese N3, Long Shaft Turning</t>
        </is>
      </c>
      <c r="M5377" t="inlineStr">
        <is>
          <t>Bonus, Healthcare Plan, Paid Leave, Others</t>
        </is>
      </c>
      <c r="N5377" s="8">
        <f>HYPERLINK("https://www.vietnamworks.com/-jp-223-ky-su-lap-trinh-van-hanh-may-gia-cong-nc-cadcam-programmer-dji-nhat-mien-phi-2012002-jv","Xem chi tiết")</f>
        <v/>
      </c>
    </row>
    <row r="5378">
      <c r="B5378" s="9" t="n">
        <v>5376</v>
      </c>
      <c r="C5378" s="10" t="inlineStr">
        <is>
          <t>Personal Assistant (Exellent in English)</t>
        </is>
      </c>
      <c r="D5378" s="10" t="inlineStr">
        <is>
          <t>Công Ty TNHH Carter &amp; Font Outsourcing</t>
        </is>
      </c>
      <c r="E5378" s="10" t="inlineStr">
        <is>
          <t>$$ 600-650 /tháng</t>
        </is>
      </c>
      <c r="F5378" s="10" t="inlineStr">
        <is>
          <t>Hồ Chí Minh</t>
        </is>
      </c>
      <c r="G5378" s="10" t="inlineStr">
        <is>
          <t>Nhân viên</t>
        </is>
      </c>
      <c r="H5378" s="10" t="inlineStr">
        <is>
          <t>13/02/2026</t>
        </is>
      </c>
      <c r="I5378" s="10" t="inlineStr">
        <is>
          <t>30/03/2026</t>
        </is>
      </c>
      <c r="J5378" s="10" t="inlineStr">
        <is>
          <t>17/03/2026</t>
        </is>
      </c>
      <c r="K5378" s="10" t="inlineStr">
        <is>
          <t>N/A</t>
        </is>
      </c>
      <c r="L5378" s="10" t="inlineStr">
        <is>
          <t>Sales Support, Customer Handling, Office Administration, Sales Administration</t>
        </is>
      </c>
      <c r="M5378" s="10" t="inlineStr">
        <is>
          <t>Bonus</t>
        </is>
      </c>
      <c r="N5378" s="11">
        <f>HYPERLINK("https://www.vietnamworks.com/personal-assistant-exellent-in-english--2011996-jv","Xem chi tiết")</f>
        <v/>
      </c>
      <c r="O5378" s="10" t="n"/>
    </row>
    <row r="5379">
      <c r="B5379" s="7" t="n">
        <v>5377</v>
      </c>
      <c r="C5379" t="inlineStr">
        <is>
          <t>Footwear Product Creation Senior Manager</t>
        </is>
      </c>
      <c r="D5379" t="inlineStr">
        <is>
          <t>adidas Sourcing LTD.</t>
        </is>
      </c>
      <c r="E5379" t="inlineStr">
        <is>
          <t>Thương lượng</t>
        </is>
      </c>
      <c r="F5379" t="inlineStr">
        <is>
          <t>Hồ Chí Minh</t>
        </is>
      </c>
      <c r="G5379" t="inlineStr">
        <is>
          <t>Nhân viên</t>
        </is>
      </c>
      <c r="H5379" t="inlineStr">
        <is>
          <t>13/02/2026</t>
        </is>
      </c>
      <c r="I5379" t="inlineStr">
        <is>
          <t>30/03/2026</t>
        </is>
      </c>
      <c r="J5379" t="inlineStr">
        <is>
          <t>17/03/2026</t>
        </is>
      </c>
      <c r="K5379" t="inlineStr">
        <is>
          <t>N/A</t>
        </is>
      </c>
      <c r="L5379" t="inlineStr">
        <is>
          <t>Footwear Technology, Footwear Development, Footwear Sourcing, Footwear Merchandise, Footwear Physical Testing</t>
        </is>
      </c>
      <c r="M5379" t="inlineStr">
        <is>
          <t>Healthcare Plan, Paid Leave, Training</t>
        </is>
      </c>
      <c r="N5379" s="8">
        <f>HYPERLINK("https://www.vietnamworks.com/footwear-product-creation-senior-manager--2012012-jv","Xem chi tiết")</f>
        <v/>
      </c>
    </row>
    <row r="5380">
      <c r="B5380" s="9" t="n">
        <v>5378</v>
      </c>
      <c r="C5380" s="10" t="inlineStr">
        <is>
          <t>Nhân Viên IT - Phát Triển Hệ Thống (IT Staff - System Development)</t>
        </is>
      </c>
      <c r="D5380" s="10" t="inlineStr">
        <is>
          <t>Tohoku Pioneer Vietnam Co., Ltd</t>
        </is>
      </c>
      <c r="E5380" s="10" t="inlineStr">
        <is>
          <t>Thương lượng</t>
        </is>
      </c>
      <c r="F5380" s="10" t="inlineStr">
        <is>
          <t>Hải Phòng</t>
        </is>
      </c>
      <c r="G5380" s="10" t="inlineStr">
        <is>
          <t>Nhân viên</t>
        </is>
      </c>
      <c r="H5380" s="10" t="inlineStr">
        <is>
          <t>13/02/2026</t>
        </is>
      </c>
      <c r="I5380" s="10" t="inlineStr">
        <is>
          <t>30/03/2026</t>
        </is>
      </c>
      <c r="J5380" s="10" t="inlineStr">
        <is>
          <t>17/03/2026</t>
        </is>
      </c>
      <c r="K5380" s="10" t="inlineStr">
        <is>
          <t>N/A</t>
        </is>
      </c>
      <c r="L5380" s="10" t="inlineStr">
        <is>
          <t>Java System, Network Programming, NoSQL, SQL Server, Teamwork</t>
        </is>
      </c>
      <c r="M5380" s="10" t="inlineStr">
        <is>
          <t>Bonus, Healthcare Plan, Training, Canteen, Others</t>
        </is>
      </c>
      <c r="N5380" s="11">
        <f>HYPERLINK("https://www.vietnamworks.com/nhan-vien-it-phat-trien-he-thong-it-staff-system-development-2012009-jv","Xem chi tiết")</f>
        <v/>
      </c>
      <c r="O5380" s="10" t="n"/>
    </row>
    <row r="5381">
      <c r="B5381" s="7" t="n">
        <v>5379</v>
      </c>
      <c r="C5381" t="inlineStr">
        <is>
          <t>Technical Support (Fluent English, Dayshift, Up to 22M)</t>
        </is>
      </c>
      <c r="D5381" t="inlineStr">
        <is>
          <t>ITECHWX COMPANY LIMITED</t>
        </is>
      </c>
      <c r="E5381" t="inlineStr">
        <is>
          <t>Tới 22tr ₫/tháng</t>
        </is>
      </c>
      <c r="F5381" t="inlineStr">
        <is>
          <t>Hồ Chí Minh</t>
        </is>
      </c>
      <c r="G5381" t="inlineStr">
        <is>
          <t>Nhân viên</t>
        </is>
      </c>
      <c r="H5381" t="inlineStr">
        <is>
          <t>13/02/2026</t>
        </is>
      </c>
      <c r="I5381" t="inlineStr">
        <is>
          <t>30/03/2026</t>
        </is>
      </c>
      <c r="J5381" t="inlineStr">
        <is>
          <t>17/03/2026</t>
        </is>
      </c>
      <c r="K5381" t="inlineStr">
        <is>
          <t>N/A</t>
        </is>
      </c>
      <c r="L5381" t="inlineStr">
        <is>
          <t>Analytical Skills, Communication, Customer Service, Microsoft Office 365, Problem-solving</t>
        </is>
      </c>
      <c r="M5381" t="inlineStr">
        <is>
          <t>Healthcare Plan, Paid Leave, Team Activities, Others</t>
        </is>
      </c>
      <c r="N5381" s="8">
        <f>HYPERLINK("https://www.vietnamworks.com/technical-support-fluent-english-dayshift-up-to-22m-2012003-jv","Xem chi tiết")</f>
        <v/>
      </c>
    </row>
    <row r="5382">
      <c r="B5382" s="9" t="n">
        <v>5380</v>
      </c>
      <c r="C5382" s="10" t="inlineStr">
        <is>
          <t>Trưởng Phòng Vận Hành Mạng Lưới Trạm Đổi Pin</t>
        </is>
      </c>
      <c r="D5382" s="10" t="inlineStr">
        <is>
          <t>Công Ty Cổ Phần Phương Tiện Điện Thông Minh Selex</t>
        </is>
      </c>
      <c r="E5382" s="10" t="inlineStr">
        <is>
          <t>$$ 1,500-2,000 /tháng</t>
        </is>
      </c>
      <c r="F5382" s="10" t="inlineStr">
        <is>
          <t>Hà Nội, Hồ Chí Minh</t>
        </is>
      </c>
      <c r="G5382" s="10" t="inlineStr">
        <is>
          <t>Trưởng phòng</t>
        </is>
      </c>
      <c r="H5382" s="10" t="inlineStr">
        <is>
          <t>13/02/2026</t>
        </is>
      </c>
      <c r="I5382" s="10" t="inlineStr">
        <is>
          <t>30/03/2026</t>
        </is>
      </c>
      <c r="J5382" s="10" t="inlineStr">
        <is>
          <t>17/03/2026</t>
        </is>
      </c>
      <c r="K5382" s="10" t="inlineStr">
        <is>
          <t>N/A</t>
        </is>
      </c>
      <c r="L5382" s="10" t="inlineStr">
        <is>
          <t>ASM (Automated Sorting Machine) 24/7 Support, Bảo Trì Bảo Dưỡng Cơ Khí, Kinh Doanh, Quản Lý Vận Hành Kỹ Thuật, Quản Lý Vận Hành</t>
        </is>
      </c>
      <c r="M5382" s="10" t="inlineStr">
        <is>
          <t>Bonus, Awards, Others</t>
        </is>
      </c>
      <c r="N5382" s="11">
        <f>HYPERLINK("https://www.vietnamworks.com/truong-phong-van-hanh-mang-luoi-tram-doi-pin-2012000-jv","Xem chi tiết")</f>
        <v/>
      </c>
      <c r="O5382" s="10" t="n"/>
    </row>
    <row r="5383">
      <c r="B5383" s="7" t="n">
        <v>5381</v>
      </c>
      <c r="C5383" t="inlineStr">
        <is>
          <t>Amazon Account Executive</t>
        </is>
      </c>
      <c r="D5383" t="inlineStr">
        <is>
          <t>Tập Đoàn Karofi Holding</t>
        </is>
      </c>
      <c r="E5383" t="inlineStr">
        <is>
          <t>Thương lượng</t>
        </is>
      </c>
      <c r="F5383" t="inlineStr">
        <is>
          <t>Hà Nội</t>
        </is>
      </c>
      <c r="G5383" t="inlineStr">
        <is>
          <t>Nhân viên</t>
        </is>
      </c>
      <c r="H5383" t="inlineStr">
        <is>
          <t>13/02/2026</t>
        </is>
      </c>
      <c r="I5383" t="inlineStr">
        <is>
          <t>30/03/2026</t>
        </is>
      </c>
      <c r="J5383" t="inlineStr">
        <is>
          <t>17/03/2026</t>
        </is>
      </c>
      <c r="K5383" t="inlineStr">
        <is>
          <t>N/A</t>
        </is>
      </c>
      <c r="L5383" t="inlineStr">
        <is>
          <t>Amazon Web Service, Communication, Data Analytics, PPC Advertising, Seo</t>
        </is>
      </c>
      <c r="M5383" t="inlineStr">
        <is>
          <t>Bonus, Team Activities, Others</t>
        </is>
      </c>
      <c r="N5383" s="8">
        <f>HYPERLINK("https://www.vietnamworks.com/amazon-account-executive-2012007-jv","Xem chi tiết")</f>
        <v/>
      </c>
    </row>
    <row r="5384">
      <c r="B5384" s="9" t="n">
        <v>5382</v>
      </c>
      <c r="C5384" s="10" t="inlineStr">
        <is>
          <t>Phó phòng Kế toán Thuế</t>
        </is>
      </c>
      <c r="D5384" s="10" t="inlineStr">
        <is>
          <t>Công ty TNHH Elentec Việt Nam</t>
        </is>
      </c>
      <c r="E5384" s="10" t="inlineStr">
        <is>
          <t>$$ 1,000-1,500 /tháng</t>
        </is>
      </c>
      <c r="F5384" s="10" t="inlineStr">
        <is>
          <t>Hà Nội</t>
        </is>
      </c>
      <c r="G5384" s="10" t="inlineStr">
        <is>
          <t>Nhân viên</t>
        </is>
      </c>
      <c r="H5384" s="10" t="inlineStr">
        <is>
          <t>13/02/2026</t>
        </is>
      </c>
      <c r="I5384" s="10" t="inlineStr">
        <is>
          <t>30/03/2026</t>
        </is>
      </c>
      <c r="J5384" s="10" t="inlineStr">
        <is>
          <t>17/03/2026</t>
        </is>
      </c>
      <c r="K5384" s="10" t="inlineStr">
        <is>
          <t>N/A</t>
        </is>
      </c>
      <c r="L5384" s="10" t="inlineStr">
        <is>
          <t>Kế Toán Doanh Nghiệp</t>
        </is>
      </c>
      <c r="M5384" s="10" t="inlineStr">
        <is>
          <t>Bonus</t>
        </is>
      </c>
      <c r="N5384" s="11">
        <f>HYPERLINK("https://www.vietnamworks.com/pho-phong-ke-toan-thue-2012001-jv","Xem chi tiết")</f>
        <v/>
      </c>
      <c r="O5384" s="10" t="n"/>
    </row>
    <row r="5385">
      <c r="B5385" s="7" t="n">
        <v>5383</v>
      </c>
      <c r="C5385" t="inlineStr">
        <is>
          <t>Project Executive – Ecommerce (Social Commerce &amp; Livestream)</t>
        </is>
      </c>
      <c r="D5385" t="inlineStr">
        <is>
          <t>DKSH Vietnam Co., Ltd.</t>
        </is>
      </c>
      <c r="E5385" t="inlineStr">
        <is>
          <t>22tr-25tr ₫/tháng</t>
        </is>
      </c>
      <c r="F5385" t="inlineStr">
        <is>
          <t>Hồ Chí Minh</t>
        </is>
      </c>
      <c r="G5385" t="inlineStr">
        <is>
          <t>Nhân viên</t>
        </is>
      </c>
      <c r="H5385" t="inlineStr">
        <is>
          <t>13/02/2026</t>
        </is>
      </c>
      <c r="I5385" t="inlineStr">
        <is>
          <t>30/03/2026</t>
        </is>
      </c>
      <c r="J5385" t="inlineStr">
        <is>
          <t>17/03/2026</t>
        </is>
      </c>
      <c r="K5385" t="inlineStr">
        <is>
          <t>N/A</t>
        </is>
      </c>
      <c r="L5385" t="inlineStr">
        <is>
          <t>Data Analysis, Ecommerce Platforms, Livestream, Project Management, Social Commerce</t>
        </is>
      </c>
      <c r="M5385" t="inlineStr">
        <is>
          <t>Healthcare Plan, Training</t>
        </is>
      </c>
      <c r="N5385" s="8">
        <f>HYPERLINK("https://www.vietnamworks.com/project-executive-ecommerce-social-commerce-and-livestream-2012004-jv","Xem chi tiết")</f>
        <v/>
      </c>
    </row>
    <row r="5386">
      <c r="B5386" s="9" t="n">
        <v>5384</v>
      </c>
      <c r="C5386" s="10" t="inlineStr">
        <is>
          <t>Senior Accountant – Australian Tax &amp; Compliance (14-Month Contract)</t>
        </is>
      </c>
      <c r="D5386" s="10" t="inlineStr">
        <is>
          <t>Moose Toys Vietnam</t>
        </is>
      </c>
      <c r="E5386" s="10" t="inlineStr">
        <is>
          <t>Thương lượng</t>
        </is>
      </c>
      <c r="F5386" s="10" t="inlineStr">
        <is>
          <t>Hồ Chí Minh</t>
        </is>
      </c>
      <c r="G5386" s="10" t="inlineStr">
        <is>
          <t>Nhân viên</t>
        </is>
      </c>
      <c r="H5386" s="10" t="inlineStr">
        <is>
          <t>13/02/2026</t>
        </is>
      </c>
      <c r="I5386" s="10" t="inlineStr">
        <is>
          <t>30/03/2026</t>
        </is>
      </c>
      <c r="J5386" s="10" t="inlineStr">
        <is>
          <t>17/03/2026</t>
        </is>
      </c>
      <c r="K5386" s="10" t="inlineStr">
        <is>
          <t>N/A</t>
        </is>
      </c>
      <c r="L5386" s="10" t="inlineStr">
        <is>
          <t>Accounting, Audit Management, Financial Reporting, Tax Compliance, CPA</t>
        </is>
      </c>
      <c r="M5386" s="10" t="inlineStr">
        <is>
          <t>Others</t>
        </is>
      </c>
      <c r="N5386" s="11">
        <f>HYPERLINK("https://www.vietnamworks.com/senior-accountant-australian-tax-compliance-14-month-contract-2012010-jv","Xem chi tiết")</f>
        <v/>
      </c>
      <c r="O5386" s="10" t="n"/>
    </row>
    <row r="5387">
      <c r="B5387" s="7" t="n">
        <v>5385</v>
      </c>
      <c r="C5387" t="inlineStr">
        <is>
          <t>Chuyên Viên HRBP</t>
        </is>
      </c>
      <c r="D5387" t="inlineStr">
        <is>
          <t>Tập Đoàn Karofi Holding</t>
        </is>
      </c>
      <c r="E5387" t="inlineStr">
        <is>
          <t>Thương lượng</t>
        </is>
      </c>
      <c r="F5387" t="inlineStr">
        <is>
          <t>Hà Nội</t>
        </is>
      </c>
      <c r="G5387" t="inlineStr">
        <is>
          <t>Nhân viên</t>
        </is>
      </c>
      <c r="H5387" t="inlineStr">
        <is>
          <t>13/02/2026</t>
        </is>
      </c>
      <c r="I5387" t="inlineStr">
        <is>
          <t>30/03/2026</t>
        </is>
      </c>
      <c r="J5387" t="inlineStr">
        <is>
          <t>17/03/2026</t>
        </is>
      </c>
      <c r="K5387" t="inlineStr">
        <is>
          <t>N/A</t>
        </is>
      </c>
      <c r="L5387" t="inlineStr">
        <is>
          <t>C&amp;B, Luật Lao Động, Quản Trị Nhân Sự, Chính Sách Nguồn Nhân Lực, Đánh Giá Hiệu Suất Công Việc</t>
        </is>
      </c>
      <c r="M5387" t="inlineStr">
        <is>
          <t>Paid Leave, Laptop, Others</t>
        </is>
      </c>
      <c r="N5387" s="8">
        <f>HYPERLINK("https://www.vietnamworks.com/chuyen-vien-hrbp--2012005-jv","Xem chi tiết")</f>
        <v/>
      </c>
    </row>
    <row r="5388">
      <c r="B5388" s="9" t="n">
        <v>5386</v>
      </c>
      <c r="C5388" s="10" t="inlineStr">
        <is>
          <t xml:space="preserve">Nhân Viên Kinh Doanh mảng Thực phẩm - Kênh Horeca </t>
        </is>
      </c>
      <c r="D5388" s="10" t="inlineStr">
        <is>
          <t>CÔNG TY TNHH DE HEUS</t>
        </is>
      </c>
      <c r="E5388" s="10" t="inlineStr">
        <is>
          <t>Thương lượng</t>
        </is>
      </c>
      <c r="F5388" s="10" t="inlineStr">
        <is>
          <t>Hà Nội</t>
        </is>
      </c>
      <c r="G5388" s="10" t="inlineStr">
        <is>
          <t>Nhân viên</t>
        </is>
      </c>
      <c r="H5388" s="10" t="inlineStr">
        <is>
          <t>13/02/2026</t>
        </is>
      </c>
      <c r="I5388" s="10" t="inlineStr">
        <is>
          <t>30/03/2026</t>
        </is>
      </c>
      <c r="J5388" s="10" t="inlineStr">
        <is>
          <t>17/03/2026</t>
        </is>
      </c>
      <c r="K5388" s="10" t="inlineStr">
        <is>
          <t>N/A</t>
        </is>
      </c>
      <c r="L5388" s="10" t="inlineStr">
        <is>
          <t>Communication Skills, Customer Experience Management, Market Research, Microsoft Office, Sales Strategy</t>
        </is>
      </c>
      <c r="M5388" s="10" t="inlineStr">
        <is>
          <t>Bonus, Healthcare Plan, Training, Others</t>
        </is>
      </c>
      <c r="N5388" s="11">
        <f>HYPERLINK("https://www.vietnamworks.com/nhan-vien-kinh-doanh-mang-thuc-pham-kenh-horeca-2012011-jv","Xem chi tiết")</f>
        <v/>
      </c>
      <c r="O5388" s="10" t="n"/>
    </row>
    <row r="5389">
      <c r="B5389" s="7" t="n">
        <v>5387</v>
      </c>
      <c r="C5389" t="inlineStr">
        <is>
          <t>Personal Assistant to CEO (Secretary)</t>
        </is>
      </c>
      <c r="D5389" t="inlineStr">
        <is>
          <t>Vietnamworks' Client</t>
        </is>
      </c>
      <c r="E5389" t="inlineStr">
        <is>
          <t>$$ 800-1,200 /tháng</t>
        </is>
      </c>
      <c r="F5389" t="inlineStr">
        <is>
          <t>Hồ Chí Minh</t>
        </is>
      </c>
      <c r="G5389" t="inlineStr">
        <is>
          <t>Nhân viên</t>
        </is>
      </c>
      <c r="H5389" t="inlineStr">
        <is>
          <t>13/02/2026</t>
        </is>
      </c>
      <c r="I5389" t="inlineStr">
        <is>
          <t>30/03/2026</t>
        </is>
      </c>
      <c r="J5389" t="inlineStr">
        <is>
          <t>17/03/2026</t>
        </is>
      </c>
      <c r="K5389" t="inlineStr">
        <is>
          <t>N/A</t>
        </is>
      </c>
      <c r="L5389" t="inlineStr">
        <is>
          <t>Nghiệp Vụ Thư Ký, Giao Tiếp, Tiếng Anh, Hàng Không, Bất Động Sản</t>
        </is>
      </c>
      <c r="M5389" t="inlineStr">
        <is>
          <t>Paid Leave, Laptop, Travel Opportunities</t>
        </is>
      </c>
      <c r="N5389" s="8">
        <f>HYPERLINK("https://www.vietnamworks.com/personal-assistant-to-ceo-secretary-2012028-jv","Xem chi tiết")</f>
        <v/>
      </c>
    </row>
    <row r="5390">
      <c r="B5390" s="9" t="n">
        <v>5388</v>
      </c>
      <c r="C5390" s="10" t="inlineStr">
        <is>
          <t>HR &amp; Administration Specialist</t>
        </is>
      </c>
      <c r="D5390" s="10" t="inlineStr">
        <is>
          <t>Công Ty TNHH Chỉ May American &amp; Efird Việt Nam</t>
        </is>
      </c>
      <c r="E5390" s="10" t="inlineStr">
        <is>
          <t>Thương lượng</t>
        </is>
      </c>
      <c r="F5390" s="10" t="inlineStr">
        <is>
          <t>Đồng Nai</t>
        </is>
      </c>
      <c r="G5390" s="10" t="inlineStr">
        <is>
          <t>Nhân viên</t>
        </is>
      </c>
      <c r="H5390" s="10" t="inlineStr">
        <is>
          <t>13/02/2026</t>
        </is>
      </c>
      <c r="I5390" s="10" t="inlineStr">
        <is>
          <t>30/03/2026</t>
        </is>
      </c>
      <c r="J5390" s="10" t="inlineStr">
        <is>
          <t>17/03/2026</t>
        </is>
      </c>
      <c r="K5390" s="10" t="inlineStr">
        <is>
          <t>N/A</t>
        </is>
      </c>
      <c r="L5390" s="10" t="inlineStr">
        <is>
          <t>Computer Skills, Effective Communication, Teamwork, Work under pressure, Confidential Working</t>
        </is>
      </c>
      <c r="M5390" s="10" t="inlineStr">
        <is>
          <t>Bonus, Healthcare Plan, Transportation, Canteen</t>
        </is>
      </c>
      <c r="N5390" s="11">
        <f>HYPERLINK("https://www.vietnamworks.com/hr-and-administration-specialist-2012025-jv","Xem chi tiết")</f>
        <v/>
      </c>
      <c r="O5390" s="10" t="n"/>
    </row>
    <row r="5391">
      <c r="B5391" s="7" t="n">
        <v>5389</v>
      </c>
      <c r="C5391" t="inlineStr">
        <is>
          <t>Nhân Viên Kinh Doanh Nghỉ T7-CN</t>
        </is>
      </c>
      <c r="D5391" t="inlineStr">
        <is>
          <t>Công ty TNHH Công nghệ Tuần hoàn Makeland (Việt Nam)</t>
        </is>
      </c>
      <c r="E5391" t="inlineStr">
        <is>
          <t>15tr-25tr ₫/tháng</t>
        </is>
      </c>
      <c r="F5391" t="inlineStr">
        <is>
          <t>Bắc Ninh</t>
        </is>
      </c>
      <c r="G5391" t="inlineStr">
        <is>
          <t>Nhân viên</t>
        </is>
      </c>
      <c r="H5391" t="inlineStr">
        <is>
          <t>13/02/2026</t>
        </is>
      </c>
      <c r="I5391" t="inlineStr">
        <is>
          <t>30/03/2026</t>
        </is>
      </c>
      <c r="J5391" t="inlineStr">
        <is>
          <t>17/03/2026</t>
        </is>
      </c>
      <c r="K5391" t="inlineStr">
        <is>
          <t>N/A</t>
        </is>
      </c>
      <c r="L5391" t="inlineStr">
        <is>
          <t>Chăm Sóc Khách Hàng, Kinh Doanh, Quản Lý Đơn Hàng, Tiếng Trung, Tin Học Văn Phòng</t>
        </is>
      </c>
      <c r="M5391" t="inlineStr">
        <is>
          <t>Bonus, Healthcare Plan, Paid Leave, Others</t>
        </is>
      </c>
      <c r="N5391" s="8">
        <f>HYPERLINK("https://www.vietnamworks.com/nhan-vien-kinh-doanh-nghi-t7-cn-2012013-jv","Xem chi tiết")</f>
        <v/>
      </c>
    </row>
    <row r="5392">
      <c r="B5392" s="9" t="n">
        <v>5390</v>
      </c>
      <c r="C5392" s="10" t="inlineStr">
        <is>
          <t>Digital Marketing Specialist - Tuyển Gấp</t>
        </is>
      </c>
      <c r="D5392" s="10" t="inlineStr">
        <is>
          <t>Công Ty Cổ Phần Giáo Dục VIETINT</t>
        </is>
      </c>
      <c r="E5392" s="10" t="inlineStr">
        <is>
          <t>500-1,000 ₫/tháng</t>
        </is>
      </c>
      <c r="F5392" s="10" t="inlineStr">
        <is>
          <t>Hà Nội</t>
        </is>
      </c>
      <c r="G5392" s="10" t="inlineStr">
        <is>
          <t>Nhân viên</t>
        </is>
      </c>
      <c r="H5392" s="10" t="inlineStr">
        <is>
          <t>13/02/2026</t>
        </is>
      </c>
      <c r="I5392" s="10" t="inlineStr">
        <is>
          <t>30/03/2026</t>
        </is>
      </c>
      <c r="J5392" s="10" t="inlineStr">
        <is>
          <t>17/03/2026</t>
        </is>
      </c>
      <c r="K5392" s="10" t="inlineStr">
        <is>
          <t>N/A</t>
        </is>
      </c>
      <c r="L5392" s="10" t="inlineStr">
        <is>
          <t>Xây Dựng Chiến Lược, Google Ads, Phân Tích Số Liệu, Quản lý Website, Quản Lý Social Media</t>
        </is>
      </c>
      <c r="M5392" s="10" t="inlineStr">
        <is>
          <t>Bonus, Healthcare Plan, Training</t>
        </is>
      </c>
      <c r="N5392" s="11">
        <f>HYPERLINK("https://www.vietnamworks.com/digital-marketing-specialist-tuyen-gap--2012015-jv","Xem chi tiết")</f>
        <v/>
      </c>
      <c r="O5392" s="10" t="n"/>
    </row>
    <row r="5393">
      <c r="B5393" s="7" t="n">
        <v>5391</v>
      </c>
      <c r="C5393" t="inlineStr">
        <is>
          <t>Tax Manager (Location: Thu Duc, HCMC)</t>
        </is>
      </c>
      <c r="D5393" t="inlineStr">
        <is>
          <t>Eurofins Vietnam</t>
        </is>
      </c>
      <c r="E5393" t="inlineStr">
        <is>
          <t>Thương lượng</t>
        </is>
      </c>
      <c r="F5393" t="inlineStr">
        <is>
          <t>Hồ Chí Minh</t>
        </is>
      </c>
      <c r="G5393" t="inlineStr">
        <is>
          <t>Trưởng phòng</t>
        </is>
      </c>
      <c r="H5393" t="inlineStr">
        <is>
          <t>13/02/2026</t>
        </is>
      </c>
      <c r="I5393" t="inlineStr">
        <is>
          <t>30/03/2026</t>
        </is>
      </c>
      <c r="J5393" t="inlineStr">
        <is>
          <t>17/03/2026</t>
        </is>
      </c>
      <c r="K5393" t="inlineStr">
        <is>
          <t>N/A</t>
        </is>
      </c>
      <c r="L5393" t="inlineStr">
        <is>
          <t>Tax Advisory, TAX, Tax And Audit, Tax Services, Accounting</t>
        </is>
      </c>
      <c r="M5393" t="inlineStr">
        <is>
          <t>Bonus, Healthcare Plan, Others</t>
        </is>
      </c>
      <c r="N5393" s="8">
        <f>HYPERLINK("https://www.vietnamworks.com/tax-manager-location-thu-duc-hcmc-2012019-jv","Xem chi tiết")</f>
        <v/>
      </c>
    </row>
    <row r="5394">
      <c r="B5394" s="9" t="n">
        <v>5392</v>
      </c>
      <c r="C5394" s="10" t="inlineStr">
        <is>
          <t>(JP 224) Kỹ Sư Lập Trình PLC Lập Trình Điều Khiển Điện Đi Nhật Miễn Phí</t>
        </is>
      </c>
      <c r="D5394" s="10" t="inlineStr">
        <is>
          <t>Công Ty TNHH R Techno Việt Nam</t>
        </is>
      </c>
      <c r="E5394" s="10" t="inlineStr">
        <is>
          <t>Tới ¥ 350,000 /tháng</t>
        </is>
      </c>
      <c r="F5394" s="10" t="inlineStr">
        <is>
          <t>Quốc tế</t>
        </is>
      </c>
      <c r="G5394" s="10" t="inlineStr">
        <is>
          <t>Nhân viên</t>
        </is>
      </c>
      <c r="H5394" s="10" t="inlineStr">
        <is>
          <t>13/02/2026</t>
        </is>
      </c>
      <c r="I5394" s="10" t="inlineStr">
        <is>
          <t>30/03/2026</t>
        </is>
      </c>
      <c r="J5394" s="10" t="inlineStr">
        <is>
          <t>17/03/2026</t>
        </is>
      </c>
      <c r="K5394" s="10" t="inlineStr">
        <is>
          <t>N/A</t>
        </is>
      </c>
      <c r="L5394" s="10" t="inlineStr">
        <is>
          <t>Lập Trình PLC, Ngôn Ngữ Lập Trình C, Thiết Kế Điện, Tiếng Nhật N3, Kỹ Năng Lập Trình Fanuc</t>
        </is>
      </c>
      <c r="M5394" s="10" t="inlineStr">
        <is>
          <t>Bonus, Healthcare Plan, Paid Leave, Others</t>
        </is>
      </c>
      <c r="N5394" s="11">
        <f>HYPERLINK("https://www.vietnamworks.com/-jp-224-ky-su-lap-trinh-plc-lap-trinh-djieu-khien-djien-dji-nhat-mien-phi-2012017-jv","Xem chi tiết")</f>
        <v/>
      </c>
      <c r="O5394" s="10" t="n"/>
    </row>
    <row r="5395">
      <c r="B5395" s="7" t="n">
        <v>5393</v>
      </c>
      <c r="C5395" t="inlineStr">
        <is>
          <t>QC / SQE Assistant Manager</t>
        </is>
      </c>
      <c r="D5395" t="inlineStr">
        <is>
          <t>Moose Toys Vietnam</t>
        </is>
      </c>
      <c r="E5395" t="inlineStr">
        <is>
          <t>Thương lượng</t>
        </is>
      </c>
      <c r="F5395" t="inlineStr">
        <is>
          <t>Hải Phòng</t>
        </is>
      </c>
      <c r="G5395" t="inlineStr">
        <is>
          <t>Nhân viên</t>
        </is>
      </c>
      <c r="H5395" t="inlineStr">
        <is>
          <t>13/02/2026</t>
        </is>
      </c>
      <c r="I5395" t="inlineStr">
        <is>
          <t>30/03/2026</t>
        </is>
      </c>
      <c r="J5395" t="inlineStr">
        <is>
          <t>17/03/2026</t>
        </is>
      </c>
      <c r="K5395" t="inlineStr">
        <is>
          <t>N/A</t>
        </is>
      </c>
      <c r="L5395" t="inlineStr">
        <is>
          <t>Industrial Engineering, Problem Solving, Six Sigma, Supplier Quality Management, Technology Oriented</t>
        </is>
      </c>
      <c r="M5395" t="inlineStr">
        <is>
          <t>Others</t>
        </is>
      </c>
      <c r="N5395" s="8">
        <f>HYPERLINK("https://www.vietnamworks.com/qc-sqe-assistant-manager-2012016-jv","Xem chi tiết")</f>
        <v/>
      </c>
    </row>
    <row r="5396">
      <c r="B5396" s="9" t="n">
        <v>5394</v>
      </c>
      <c r="C5396" s="10" t="inlineStr">
        <is>
          <t>Chief Accountant</t>
        </is>
      </c>
      <c r="D5396" s="10" t="inlineStr">
        <is>
          <t>Brady Corporation</t>
        </is>
      </c>
      <c r="E5396" s="10" t="inlineStr">
        <is>
          <t>Thương lượng</t>
        </is>
      </c>
      <c r="F5396" s="10" t="inlineStr">
        <is>
          <t>Bắc Ninh, Hà Nội</t>
        </is>
      </c>
      <c r="G5396" s="10" t="inlineStr">
        <is>
          <t>Trưởng phòng</t>
        </is>
      </c>
      <c r="H5396" s="10" t="inlineStr">
        <is>
          <t>13/02/2026</t>
        </is>
      </c>
      <c r="I5396" s="10" t="inlineStr">
        <is>
          <t>30/03/2026</t>
        </is>
      </c>
      <c r="J5396" s="10" t="inlineStr">
        <is>
          <t>17/03/2026</t>
        </is>
      </c>
      <c r="K5396" s="10" t="inlineStr">
        <is>
          <t>N/A</t>
        </is>
      </c>
      <c r="L5396" s="10" t="inlineStr">
        <is>
          <t>Chief Accountant Certificate, Financial Reporting, SAP, Tax Compliance, Vietnamese Accounting Standards</t>
        </is>
      </c>
      <c r="M5396" s="10" t="inlineStr">
        <is>
          <t>Others</t>
        </is>
      </c>
      <c r="N5396" s="11">
        <f>HYPERLINK("https://www.vietnamworks.com/chief-accountant-2012031-jv","Xem chi tiết")</f>
        <v/>
      </c>
      <c r="O5396" s="10" t="n"/>
    </row>
    <row r="5397">
      <c r="B5397" s="7" t="n">
        <v>5395</v>
      </c>
      <c r="C5397" t="inlineStr">
        <is>
          <t>Technical Evangelist - Workflow Platform (1-Year Contractor)</t>
        </is>
      </c>
      <c r="D5397" t="inlineStr">
        <is>
          <t>Bosch Global Software Technologies Company Limited</t>
        </is>
      </c>
      <c r="E5397" t="inlineStr">
        <is>
          <t>Thương lượng</t>
        </is>
      </c>
      <c r="F5397" t="inlineStr">
        <is>
          <t>Hồ Chí Minh</t>
        </is>
      </c>
      <c r="G5397" t="inlineStr">
        <is>
          <t>Nhân viên</t>
        </is>
      </c>
      <c r="H5397" t="inlineStr">
        <is>
          <t>13/02/2026</t>
        </is>
      </c>
      <c r="I5397" t="inlineStr">
        <is>
          <t>30/03/2026</t>
        </is>
      </c>
      <c r="J5397" t="inlineStr">
        <is>
          <t>17/03/2026</t>
        </is>
      </c>
      <c r="K5397" t="inlineStr">
        <is>
          <t>N/A</t>
        </is>
      </c>
      <c r="L5397" t="inlineStr">
        <is>
          <t>Product Marketing, Jira, Ga4, Power BI, English</t>
        </is>
      </c>
      <c r="M5397" t="inlineStr">
        <is>
          <t>Bonus, Healthcare Plan, Paid Leave</t>
        </is>
      </c>
      <c r="N5397" s="8">
        <f>HYPERLINK("https://www.vietnamworks.com/technical-evangelist-workflow-platform-1-year-contractor-2012033-jv","Xem chi tiết")</f>
        <v/>
      </c>
    </row>
    <row r="5398">
      <c r="B5398" s="9" t="n">
        <v>5396</v>
      </c>
      <c r="C5398" s="10" t="inlineStr">
        <is>
          <t>Trưởng Bộ Phận Vận Hành Bán Hàng Siêu Thị (Senior Manager of MT Operations)</t>
        </is>
      </c>
      <c r="D5398" s="10" t="inlineStr">
        <is>
          <t>Công Ty Cổ Phần Sữa Việt Nam (Vinamilk)</t>
        </is>
      </c>
      <c r="E5398" s="10" t="inlineStr">
        <is>
          <t>Thương lượng</t>
        </is>
      </c>
      <c r="F5398" s="10" t="inlineStr">
        <is>
          <t>Hồ Chí Minh, Hà Nội</t>
        </is>
      </c>
      <c r="G5398" s="10" t="inlineStr">
        <is>
          <t>Giám Đốc và Cấp Cao Hơn</t>
        </is>
      </c>
      <c r="H5398" s="10" t="inlineStr">
        <is>
          <t>13/02/2026</t>
        </is>
      </c>
      <c r="I5398" s="10" t="inlineStr">
        <is>
          <t>30/03/2026</t>
        </is>
      </c>
      <c r="J5398" s="10" t="inlineStr">
        <is>
          <t>17/03/2026</t>
        </is>
      </c>
      <c r="K5398" s="10" t="inlineStr">
        <is>
          <t>N/A</t>
        </is>
      </c>
      <c r="L5398" s="10" t="inlineStr">
        <is>
          <t>Relationship Building, Key Account Management, Sales Operation, Modern Trade, Sale manager</t>
        </is>
      </c>
      <c r="M5398" s="10" t="inlineStr">
        <is>
          <t>Bonus, Healthcare Plan, Training</t>
        </is>
      </c>
      <c r="N5398" s="11">
        <f>HYPERLINK("https://www.vietnamworks.com/truong-bo-phan-van-hanh-ban-hang-sieu-thi-senior-manager-of-mt-operations--2012029-jv","Xem chi tiết")</f>
        <v/>
      </c>
      <c r="O5398" s="10" t="n"/>
    </row>
    <row r="5399">
      <c r="B5399" s="7" t="n">
        <v>5397</v>
      </c>
      <c r="C5399" t="inlineStr">
        <is>
          <t>Chuyên Viên Đào Tạo Đại Lý</t>
        </is>
      </c>
      <c r="D5399" t="inlineStr">
        <is>
          <t>Công Ty CP Hyundai Thành Công Thương Mại</t>
        </is>
      </c>
      <c r="E5399" t="inlineStr">
        <is>
          <t>Thương lượng</t>
        </is>
      </c>
      <c r="F5399" t="inlineStr">
        <is>
          <t>Hà Nội</t>
        </is>
      </c>
      <c r="G5399" t="inlineStr">
        <is>
          <t>Nhân viên</t>
        </is>
      </c>
      <c r="H5399" t="inlineStr">
        <is>
          <t>13/02/2026</t>
        </is>
      </c>
      <c r="I5399" t="inlineStr">
        <is>
          <t>30/03/2026</t>
        </is>
      </c>
      <c r="J5399" t="inlineStr">
        <is>
          <t>17/03/2026</t>
        </is>
      </c>
      <c r="K5399" t="inlineStr">
        <is>
          <t>N/A</t>
        </is>
      </c>
      <c r="L5399" t="inlineStr">
        <is>
          <t>Training, Sales Training, Business Development</t>
        </is>
      </c>
      <c r="M5399" t="inlineStr">
        <is>
          <t>Bonus, Healthcare Plan, Travel Opportunities</t>
        </is>
      </c>
      <c r="N5399" s="8">
        <f>HYPERLINK("https://www.vietnamworks.com/chuyen-vien-dao-tao-dai-ly-2012020-jv","Xem chi tiết")</f>
        <v/>
      </c>
    </row>
    <row r="5400">
      <c r="B5400" s="9" t="n">
        <v>5398</v>
      </c>
      <c r="C5400" s="10" t="inlineStr">
        <is>
          <t>Trưởng Ban Vận Hành Bán Hàng Siêu Thị (MT Operations Manager)</t>
        </is>
      </c>
      <c r="D5400" s="10" t="inlineStr">
        <is>
          <t>Công Ty Cổ Phần Sữa Việt Nam (Vinamilk)</t>
        </is>
      </c>
      <c r="E5400" s="10" t="inlineStr">
        <is>
          <t>Thương lượng</t>
        </is>
      </c>
      <c r="F5400" s="10" t="inlineStr">
        <is>
          <t>Hà Nội, Hồ Chí Minh, Đà Nẵng</t>
        </is>
      </c>
      <c r="G5400" s="10" t="inlineStr">
        <is>
          <t>Trưởng phòng</t>
        </is>
      </c>
      <c r="H5400" s="10" t="inlineStr">
        <is>
          <t>13/02/2026</t>
        </is>
      </c>
      <c r="I5400" s="10" t="inlineStr">
        <is>
          <t>30/03/2026</t>
        </is>
      </c>
      <c r="J5400" s="10" t="inlineStr">
        <is>
          <t>17/03/2026</t>
        </is>
      </c>
      <c r="K5400" s="10" t="inlineStr">
        <is>
          <t>N/A</t>
        </is>
      </c>
      <c r="L5400" s="10" t="inlineStr">
        <is>
          <t>Relationship Building, Key Account Management, Sales Operation, Modern Trade, Sale manager</t>
        </is>
      </c>
      <c r="M5400" s="10" t="inlineStr">
        <is>
          <t>Bonus, Healthcare Plan, Training</t>
        </is>
      </c>
      <c r="N5400" s="11">
        <f>HYPERLINK("https://www.vietnamworks.com/truong-ban-van-hanh-ban-hang-sieu-thi-mt-operations-manager--2012032-jv","Xem chi tiết")</f>
        <v/>
      </c>
      <c r="O5400" s="10" t="n"/>
    </row>
    <row r="5401">
      <c r="B5401" s="7" t="n">
        <v>5399</v>
      </c>
      <c r="C5401" t="inlineStr">
        <is>
          <t>Specialist, Super User Procurement (Procure-to-pay)</t>
        </is>
      </c>
      <c r="D5401" t="inlineStr">
        <is>
          <t>Công Ty TNHH Pandora Production Việt Nam</t>
        </is>
      </c>
      <c r="E5401" t="inlineStr">
        <is>
          <t>Thương lượng</t>
        </is>
      </c>
      <c r="F5401" t="inlineStr">
        <is>
          <t>Hồ Chí Minh</t>
        </is>
      </c>
      <c r="G5401" t="inlineStr">
        <is>
          <t>Nhân viên</t>
        </is>
      </c>
      <c r="H5401" t="inlineStr">
        <is>
          <t>13/02/2026</t>
        </is>
      </c>
      <c r="I5401" t="inlineStr">
        <is>
          <t>30/03/2026</t>
        </is>
      </c>
      <c r="J5401" t="inlineStr">
        <is>
          <t>17/03/2026</t>
        </is>
      </c>
      <c r="K5401" t="inlineStr">
        <is>
          <t>N/A</t>
        </is>
      </c>
      <c r="L5401" t="inlineStr">
        <is>
          <t>Analytical Skills, Communication Skills, Manage ERP Software, Procurement, SAP S/4HANA</t>
        </is>
      </c>
      <c r="M5401" t="inlineStr">
        <is>
          <t>Bonus, Healthcare Plan, Laptop, Transportation</t>
        </is>
      </c>
      <c r="N5401" s="8">
        <f>HYPERLINK("https://www.vietnamworks.com/specialist-super-user-procurement-procure-to-pay-2012014-jv","Xem chi tiết")</f>
        <v/>
      </c>
    </row>
    <row r="5402">
      <c r="B5402" s="9" t="n">
        <v>5400</v>
      </c>
      <c r="C5402" s="10" t="inlineStr">
        <is>
          <t>Lead Software Tester - Automation &amp; AI Testing (1-Year Contractor)</t>
        </is>
      </c>
      <c r="D5402" s="10" t="inlineStr">
        <is>
          <t>Bosch Global Software Technologies Company Limited</t>
        </is>
      </c>
      <c r="E5402" s="10" t="inlineStr">
        <is>
          <t>Thương lượng</t>
        </is>
      </c>
      <c r="F5402" s="10" t="inlineStr">
        <is>
          <t>Hồ Chí Minh</t>
        </is>
      </c>
      <c r="G5402" s="10" t="inlineStr">
        <is>
          <t>Nhân viên</t>
        </is>
      </c>
      <c r="H5402" s="10" t="inlineStr">
        <is>
          <t>13/02/2026</t>
        </is>
      </c>
      <c r="I5402" s="10" t="inlineStr">
        <is>
          <t>30/03/2026</t>
        </is>
      </c>
      <c r="J5402" s="10" t="inlineStr">
        <is>
          <t>17/03/2026</t>
        </is>
      </c>
      <c r="K5402" s="10" t="inlineStr">
        <is>
          <t>N/A</t>
        </is>
      </c>
      <c r="L5402" s="10" t="inlineStr">
        <is>
          <t>QA, Qc, Testing, English, Postman</t>
        </is>
      </c>
      <c r="M5402" s="10" t="inlineStr">
        <is>
          <t>Bonus, Healthcare Plan, Paid Leave</t>
        </is>
      </c>
      <c r="N5402" s="11">
        <f>HYPERLINK("https://www.vietnamworks.com/lead-software-tester-automation-ai-testing-1-year-contractor-2012026-jv","Xem chi tiết")</f>
        <v/>
      </c>
      <c r="O5402" s="10" t="n"/>
    </row>
    <row r="5403">
      <c r="B5403" s="7" t="n">
        <v>5401</v>
      </c>
      <c r="C5403" t="inlineStr">
        <is>
          <t>IT Operations &amp; Support Lead (1-Year Contractor)</t>
        </is>
      </c>
      <c r="D5403" t="inlineStr">
        <is>
          <t>Bosch Global Software Technologies Company Limited</t>
        </is>
      </c>
      <c r="E5403" t="inlineStr">
        <is>
          <t>Thương lượng</t>
        </is>
      </c>
      <c r="F5403" t="inlineStr">
        <is>
          <t>Hồ Chí Minh</t>
        </is>
      </c>
      <c r="G5403" t="inlineStr">
        <is>
          <t>Nhân viên</t>
        </is>
      </c>
      <c r="H5403" t="inlineStr">
        <is>
          <t>13/02/2026</t>
        </is>
      </c>
      <c r="I5403" t="inlineStr">
        <is>
          <t>30/03/2026</t>
        </is>
      </c>
      <c r="J5403" t="inlineStr">
        <is>
          <t>17/03/2026</t>
        </is>
      </c>
      <c r="K5403" t="inlineStr">
        <is>
          <t>N/A</t>
        </is>
      </c>
      <c r="L5403" t="inlineStr">
        <is>
          <t>ITIL4, Cloud, DevOps, English, ITSM</t>
        </is>
      </c>
      <c r="M5403" t="inlineStr">
        <is>
          <t>Bonus, Healthcare Plan, Paid Leave</t>
        </is>
      </c>
      <c r="N5403" s="8">
        <f>HYPERLINK("https://www.vietnamworks.com/it-operations-support-lead-1-year-contractor-2012023-jv","Xem chi tiết")</f>
        <v/>
      </c>
    </row>
    <row r="5404">
      <c r="B5404" s="9" t="n">
        <v>5402</v>
      </c>
      <c r="C5404" s="10" t="inlineStr">
        <is>
          <t>Front End Developer - UX Driven (1-Year Contractor)</t>
        </is>
      </c>
      <c r="D5404" s="10" t="inlineStr">
        <is>
          <t>Bosch Global Software Technologies Company Limited</t>
        </is>
      </c>
      <c r="E5404" s="10" t="inlineStr">
        <is>
          <t>Thương lượng</t>
        </is>
      </c>
      <c r="F5404" s="10" t="inlineStr">
        <is>
          <t>Hồ Chí Minh</t>
        </is>
      </c>
      <c r="G5404" s="10" t="inlineStr">
        <is>
          <t>Nhân viên</t>
        </is>
      </c>
      <c r="H5404" s="10" t="inlineStr">
        <is>
          <t>13/02/2026</t>
        </is>
      </c>
      <c r="I5404" s="10" t="inlineStr">
        <is>
          <t>30/03/2026</t>
        </is>
      </c>
      <c r="J5404" s="10" t="inlineStr">
        <is>
          <t>17/03/2026</t>
        </is>
      </c>
      <c r="K5404" s="10" t="inlineStr">
        <is>
          <t>N/A</t>
        </is>
      </c>
      <c r="L5404" s="10" t="inlineStr">
        <is>
          <t>HTML, CSS, Figma, Adobe XD, English</t>
        </is>
      </c>
      <c r="M5404" s="10" t="inlineStr">
        <is>
          <t>Bonus, Healthcare Plan, Paid Leave</t>
        </is>
      </c>
      <c r="N5404" s="11">
        <f>HYPERLINK("https://www.vietnamworks.com/front-end-developer-ux-driven-1-year-contractor-2012018-jv","Xem chi tiết")</f>
        <v/>
      </c>
      <c r="O5404" s="10" t="n"/>
    </row>
    <row r="5405">
      <c r="B5405" s="7" t="n">
        <v>5403</v>
      </c>
      <c r="C5405" t="inlineStr">
        <is>
          <t>Manager, Risk Management</t>
        </is>
      </c>
      <c r="D5405" t="inlineStr">
        <is>
          <t>FWD Vietnam Life Insurance Company Limited</t>
        </is>
      </c>
      <c r="E5405" t="inlineStr">
        <is>
          <t>Thương lượng</t>
        </is>
      </c>
      <c r="F5405" t="inlineStr">
        <is>
          <t>Hồ Chí Minh</t>
        </is>
      </c>
      <c r="G5405" t="inlineStr">
        <is>
          <t>Trưởng phòng</t>
        </is>
      </c>
      <c r="H5405" t="inlineStr">
        <is>
          <t>13/02/2026</t>
        </is>
      </c>
      <c r="I5405" t="inlineStr">
        <is>
          <t>30/03/2026</t>
        </is>
      </c>
      <c r="J5405" t="inlineStr">
        <is>
          <t>17/03/2026</t>
        </is>
      </c>
      <c r="K5405" t="inlineStr">
        <is>
          <t>N/A</t>
        </is>
      </c>
      <c r="L5405" t="inlineStr">
        <is>
          <t>Communication Skills, Fraud Prevention, Investigation, Operational Risk, Risk Management</t>
        </is>
      </c>
      <c r="M5405" t="inlineStr">
        <is>
          <t>Healthcare Plan, Training, Awards</t>
        </is>
      </c>
      <c r="N5405" s="8">
        <f>HYPERLINK("https://www.vietnamworks.com/manager-risk-management-2012024-jv","Xem chi tiết")</f>
        <v/>
      </c>
    </row>
    <row r="5406">
      <c r="B5406" s="9" t="n">
        <v>5404</v>
      </c>
      <c r="C5406" s="10" t="inlineStr">
        <is>
          <t>Kỹ Sư Xây Dựng</t>
        </is>
      </c>
      <c r="D5406" s="10" t="inlineStr">
        <is>
          <t>Công Ty TNHH Khí Công Nghiệp Messer Việt Nam</t>
        </is>
      </c>
      <c r="E5406" s="10" t="inlineStr">
        <is>
          <t>18tr-20.5tr ₫/tháng</t>
        </is>
      </c>
      <c r="F5406" s="10" t="inlineStr">
        <is>
          <t>Hải Phòng</t>
        </is>
      </c>
      <c r="G5406" s="10" t="inlineStr">
        <is>
          <t>Nhân viên</t>
        </is>
      </c>
      <c r="H5406" s="10" t="inlineStr">
        <is>
          <t>13/02/2026</t>
        </is>
      </c>
      <c r="I5406" s="10" t="inlineStr">
        <is>
          <t>30/03/2026</t>
        </is>
      </c>
      <c r="J5406" s="10" t="inlineStr">
        <is>
          <t>17/03/2026</t>
        </is>
      </c>
      <c r="K5406" s="10" t="inlineStr">
        <is>
          <t>N/A</t>
        </is>
      </c>
      <c r="L5406" s="10" t="inlineStr">
        <is>
          <t>Autocad, Construction Management, Microsoft Project, Problem-solving</t>
        </is>
      </c>
      <c r="M5406" s="10" t="inlineStr">
        <is>
          <t>Bonus, Healthcare Plan, Travel Opportunities</t>
        </is>
      </c>
      <c r="N5406" s="11">
        <f>HYPERLINK("https://www.vietnamworks.com/ky-su-xay-dung--2012048-jv","Xem chi tiết")</f>
        <v/>
      </c>
      <c r="O5406" s="10" t="n"/>
    </row>
    <row r="5407">
      <c r="B5407" s="7" t="n">
        <v>5405</v>
      </c>
      <c r="C5407" t="inlineStr">
        <is>
          <t>Fashion Designer (Denim)</t>
        </is>
      </c>
      <c r="D5407" t="inlineStr">
        <is>
          <t>Saitex International Dong Nai (VN)</t>
        </is>
      </c>
      <c r="E5407" t="inlineStr">
        <is>
          <t>Thương lượng</t>
        </is>
      </c>
      <c r="F5407" t="inlineStr">
        <is>
          <t>Đồng Nai</t>
        </is>
      </c>
      <c r="G5407" t="inlineStr">
        <is>
          <t>Nhân viên</t>
        </is>
      </c>
      <c r="H5407" t="inlineStr">
        <is>
          <t>13/02/2026</t>
        </is>
      </c>
      <c r="I5407" t="inlineStr">
        <is>
          <t>30/03/2026</t>
        </is>
      </c>
      <c r="J5407" t="inlineStr">
        <is>
          <t>17/03/2026</t>
        </is>
      </c>
      <c r="K5407" t="inlineStr">
        <is>
          <t>N/A</t>
        </is>
      </c>
      <c r="L5407" t="inlineStr">
        <is>
          <t>Adobe Creative Suite, Communication Skills, Fabric Technology, Fashion Design</t>
        </is>
      </c>
      <c r="M5407" t="inlineStr">
        <is>
          <t>Healthcare Plan, Laptop, Transportation</t>
        </is>
      </c>
      <c r="N5407" s="8">
        <f>HYPERLINK("https://www.vietnamworks.com/fashion-designer-denim-2012038-jv","Xem chi tiết")</f>
        <v/>
      </c>
    </row>
    <row r="5408">
      <c r="B5408" s="9" t="n">
        <v>5406</v>
      </c>
      <c r="C5408" s="10" t="inlineStr">
        <is>
          <t>Procurement Specialist (Technical Sourcing)</t>
        </is>
      </c>
      <c r="D5408" s="10" t="inlineStr">
        <is>
          <t>CÔNG TY TNHH AJAX SYSTEMS VIỆT NAM</t>
        </is>
      </c>
      <c r="E5408" s="10" t="inlineStr">
        <is>
          <t>Thương lượng</t>
        </is>
      </c>
      <c r="F5408" s="10" t="inlineStr">
        <is>
          <t>Hưng Yên, Hải Dương, Hà Nội</t>
        </is>
      </c>
      <c r="G5408" s="10" t="inlineStr">
        <is>
          <t>Nhân viên</t>
        </is>
      </c>
      <c r="H5408" s="10" t="inlineStr">
        <is>
          <t>13/02/2026</t>
        </is>
      </c>
      <c r="I5408" s="10" t="inlineStr">
        <is>
          <t>30/03/2026</t>
        </is>
      </c>
      <c r="J5408" s="10" t="inlineStr">
        <is>
          <t>17/03/2026</t>
        </is>
      </c>
      <c r="K5408" s="10" t="inlineStr">
        <is>
          <t>N/A</t>
        </is>
      </c>
      <c r="L5408" s="10" t="inlineStr">
        <is>
          <t>Supply Chain, Purchase Management, Thu Mua, Sourcing, Procurement</t>
        </is>
      </c>
      <c r="M5408" s="10" t="inlineStr">
        <is>
          <t>Bonus, Laptop, Transportation</t>
        </is>
      </c>
      <c r="N5408" s="11">
        <f>HYPERLINK("https://www.vietnamworks.com/procurement-specialist-technical-sourcing-2012049-jv","Xem chi tiết")</f>
        <v/>
      </c>
      <c r="O5408" s="10" t="n"/>
    </row>
    <row r="5409">
      <c r="B5409" s="7" t="n">
        <v>5407</v>
      </c>
      <c r="C5409" t="inlineStr">
        <is>
          <t>Giám đốc tài chính tập đoàn (Kinh nghiệm tại các Chủ đầu tư Bất động sản lớn, lương rất hấp dẫn)</t>
        </is>
      </c>
      <c r="D5409" t="inlineStr">
        <is>
          <t>CÔNG TY CỔ PHẦN TẬP ĐOÀN ĐẦU TƯ TÀI CHÍNH QUỐC TẾ VFI</t>
        </is>
      </c>
      <c r="E5409" t="inlineStr">
        <is>
          <t>$$ 5,000-10,000 /tháng</t>
        </is>
      </c>
      <c r="F5409" t="inlineStr">
        <is>
          <t>Hà Nội, Hồ Chí Minh</t>
        </is>
      </c>
      <c r="G5409" t="inlineStr">
        <is>
          <t>Giám Đốc và Cấp Cao Hơn</t>
        </is>
      </c>
      <c r="H5409" t="inlineStr">
        <is>
          <t>13/02/2026</t>
        </is>
      </c>
      <c r="I5409" t="inlineStr">
        <is>
          <t>30/03/2026</t>
        </is>
      </c>
      <c r="J5409" t="inlineStr">
        <is>
          <t>17/03/2026</t>
        </is>
      </c>
      <c r="K5409" t="inlineStr">
        <is>
          <t>N/A</t>
        </is>
      </c>
      <c r="L5409" t="inlineStr">
        <is>
          <t>Kế Toán, Lãnh Đạo, Phân Tích Tài Chính, Quản Trị Ngân Hàng, Tài Chính</t>
        </is>
      </c>
      <c r="M5409" t="inlineStr">
        <is>
          <t>Bonus, Healthcare Plan</t>
        </is>
      </c>
      <c r="N5409" s="8">
        <f>HYPERLINK("https://www.vietnamworks.com/giam-djoc-tai-chinh-tap-djoan-kinh-nghiem-tai-cac-chu-djau-tu-bat-djong-san-lon-luong-rat-hap-dan-2012047-jv","Xem chi tiết")</f>
        <v/>
      </c>
    </row>
    <row r="5410">
      <c r="B5410" s="9" t="n">
        <v>5408</v>
      </c>
      <c r="C5410" s="10" t="inlineStr">
        <is>
          <t>Production Planner</t>
        </is>
      </c>
      <c r="D5410" s="10" t="inlineStr">
        <is>
          <t>CÔNG TY TNHH AJAX SYSTEMS VIỆT NAM</t>
        </is>
      </c>
      <c r="E5410" s="10" t="inlineStr">
        <is>
          <t>Thương lượng</t>
        </is>
      </c>
      <c r="F5410" s="10" t="inlineStr">
        <is>
          <t>Hưng Yên, Hà Nội</t>
        </is>
      </c>
      <c r="G5410" s="10" t="inlineStr">
        <is>
          <t>Nhân viên</t>
        </is>
      </c>
      <c r="H5410" s="10" t="inlineStr">
        <is>
          <t>13/02/2026</t>
        </is>
      </c>
      <c r="I5410" s="10" t="inlineStr">
        <is>
          <t>30/03/2026</t>
        </is>
      </c>
      <c r="J5410" s="10" t="inlineStr">
        <is>
          <t>17/03/2026</t>
        </is>
      </c>
      <c r="K5410" s="10" t="inlineStr">
        <is>
          <t>N/A</t>
        </is>
      </c>
      <c r="L5410" s="10" t="inlineStr">
        <is>
          <t>Analytical Skills, Econometrics Analysis, Excel, Financial Analysis, ICS Software</t>
        </is>
      </c>
      <c r="M5410" s="10" t="inlineStr">
        <is>
          <t>Healthcare Plan, Paid Leave, Training, Others</t>
        </is>
      </c>
      <c r="N5410" s="11">
        <f>HYPERLINK("https://www.vietnamworks.com/production-planner-2012034-jv","Xem chi tiết")</f>
        <v/>
      </c>
      <c r="O5410" s="10" t="n"/>
    </row>
    <row r="5411">
      <c r="B5411" s="7" t="n">
        <v>5409</v>
      </c>
      <c r="C5411" t="inlineStr">
        <is>
          <t>Key Account &amp; Business Development Specialist (Pharmacy Retail Chain)</t>
        </is>
      </c>
      <c r="D5411" t="inlineStr">
        <is>
          <t>Công Ty Cổ Phần Sữa Việt Nam (Vinamilk)</t>
        </is>
      </c>
      <c r="E5411" t="inlineStr">
        <is>
          <t>Thương lượng</t>
        </is>
      </c>
      <c r="F5411" t="inlineStr">
        <is>
          <t>Hồ Chí Minh</t>
        </is>
      </c>
      <c r="G5411" t="inlineStr">
        <is>
          <t>Nhân viên</t>
        </is>
      </c>
      <c r="H5411" t="inlineStr">
        <is>
          <t>13/02/2026</t>
        </is>
      </c>
      <c r="I5411" t="inlineStr">
        <is>
          <t>30/03/2026</t>
        </is>
      </c>
      <c r="J5411" t="inlineStr">
        <is>
          <t>17/03/2026</t>
        </is>
      </c>
      <c r="K5411" t="inlineStr">
        <is>
          <t>N/A</t>
        </is>
      </c>
      <c r="L5411" t="inlineStr">
        <is>
          <t>Key Account Management</t>
        </is>
      </c>
      <c r="M5411" t="inlineStr">
        <is>
          <t>Bonus, Healthcare Plan, Training</t>
        </is>
      </c>
      <c r="N5411" s="8">
        <f>HYPERLINK("https://www.vietnamworks.com/key-account-business-development-specialist-pharmacy-retail-chain--2012037-jv","Xem chi tiết")</f>
        <v/>
      </c>
    </row>
    <row r="5412">
      <c r="B5412" s="9" t="n">
        <v>5410</v>
      </c>
      <c r="C5412" s="10" t="inlineStr">
        <is>
          <t>Engineer, Manufacturing Process (New Plant)</t>
        </is>
      </c>
      <c r="D5412" s="10" t="inlineStr">
        <is>
          <t>Molex Vietnam Co., Ltd.</t>
        </is>
      </c>
      <c r="E5412" s="10" t="inlineStr">
        <is>
          <t>Thương lượng</t>
        </is>
      </c>
      <c r="F5412" s="10" t="inlineStr">
        <is>
          <t>Hưng Yên, Bắc Ninh, Hà Nội</t>
        </is>
      </c>
      <c r="G5412" s="10" t="inlineStr">
        <is>
          <t>Nhân viên</t>
        </is>
      </c>
      <c r="H5412" s="10" t="inlineStr">
        <is>
          <t>13/02/2026</t>
        </is>
      </c>
      <c r="I5412" s="10" t="inlineStr">
        <is>
          <t>30/03/2026</t>
        </is>
      </c>
      <c r="J5412" s="10" t="inlineStr">
        <is>
          <t>17/03/2026</t>
        </is>
      </c>
      <c r="K5412" s="10" t="inlineStr">
        <is>
          <t>N/A</t>
        </is>
      </c>
      <c r="L5412" s="10" t="inlineStr">
        <is>
          <t>Communication Skills, Electrical Engineering, Mechanical Engineering, Six Sigma</t>
        </is>
      </c>
      <c r="M5412" s="10" t="inlineStr">
        <is>
          <t>Healthcare Plan, Paid Leave, Transportation, Others</t>
        </is>
      </c>
      <c r="N5412" s="11">
        <f>HYPERLINK("https://www.vietnamworks.com/engineer-manufacturing-process-new-plant-2012035-jv","Xem chi tiết")</f>
        <v/>
      </c>
      <c r="O5412" s="10" t="n"/>
    </row>
    <row r="5413">
      <c r="B5413" s="7" t="n">
        <v>5411</v>
      </c>
      <c r="C5413" t="inlineStr">
        <is>
          <t>Chuyên Viên Phát Triển Thị Trường và Kênh Phân Phối - Director of Market &amp; Channel Development (Motor)</t>
        </is>
      </c>
      <c r="D5413" t="inlineStr">
        <is>
          <t>Hyosung Vietnam Corp</t>
        </is>
      </c>
      <c r="E5413" t="inlineStr">
        <is>
          <t>Thương lượng</t>
        </is>
      </c>
      <c r="F5413" t="inlineStr">
        <is>
          <t>Hồ Chí Minh</t>
        </is>
      </c>
      <c r="G5413" t="inlineStr">
        <is>
          <t>Trưởng phòng</t>
        </is>
      </c>
      <c r="H5413" t="inlineStr">
        <is>
          <t>13/02/2026</t>
        </is>
      </c>
      <c r="I5413" t="inlineStr">
        <is>
          <t>30/03/2026</t>
        </is>
      </c>
      <c r="J5413" t="inlineStr">
        <is>
          <t>17/03/2026</t>
        </is>
      </c>
      <c r="K5413" t="inlineStr">
        <is>
          <t>N/A</t>
        </is>
      </c>
      <c r="L5413" t="inlineStr">
        <is>
          <t>Quản Lý Đại Lý, Xây Dựng Hệ Thống Kênh Phân Phối, Phát Triển Kênh Phân Phối</t>
        </is>
      </c>
      <c r="M5413" t="inlineStr">
        <is>
          <t>Bonus</t>
        </is>
      </c>
      <c r="N5413" s="8">
        <f>HYPERLINK("https://www.vietnamworks.com/chuyen-vien-phat-trien-thi-truong-va-kenh-phan-phoi-director-of-market-channel-development-motor-2012042-jv","Xem chi tiết")</f>
        <v/>
      </c>
    </row>
    <row r="5414">
      <c r="B5414" s="9" t="n">
        <v>5412</v>
      </c>
      <c r="C5414" s="10" t="inlineStr">
        <is>
          <t>Nhân Viên Phiên Dịch Tiếng Nhật</t>
        </is>
      </c>
      <c r="D5414" s="10" t="inlineStr">
        <is>
          <t>Công ty TNHH Y- Tec Việt Nam</t>
        </is>
      </c>
      <c r="E5414" s="10" t="inlineStr">
        <is>
          <t>$$ 500-700 /tháng</t>
        </is>
      </c>
      <c r="F5414" s="10" t="inlineStr">
        <is>
          <t>Hải Phòng</t>
        </is>
      </c>
      <c r="G5414" s="10" t="inlineStr">
        <is>
          <t>Nhân viên</t>
        </is>
      </c>
      <c r="H5414" s="10" t="inlineStr">
        <is>
          <t>13/02/2026</t>
        </is>
      </c>
      <c r="I5414" s="10" t="inlineStr">
        <is>
          <t>30/03/2026</t>
        </is>
      </c>
      <c r="J5414" s="10" t="inlineStr">
        <is>
          <t>17/03/2026</t>
        </is>
      </c>
      <c r="K5414" s="10" t="inlineStr">
        <is>
          <t>N/A</t>
        </is>
      </c>
      <c r="L5414" s="10" t="inlineStr">
        <is>
          <t>Japanese Speaking, Japanese</t>
        </is>
      </c>
      <c r="M5414" s="10" t="inlineStr">
        <is>
          <t>Bonus, Training, Transportation</t>
        </is>
      </c>
      <c r="N5414" s="11">
        <f>HYPERLINK("https://www.vietnamworks.com/nhan-vien-phien-dich-tieng-nhat--2012055-jv","Xem chi tiết")</f>
        <v/>
      </c>
      <c r="O5414" s="10" t="n"/>
    </row>
    <row r="5415">
      <c r="B5415" s="7" t="n">
        <v>5413</v>
      </c>
      <c r="C5415" t="inlineStr">
        <is>
          <t>Senior IT Product &amp; Service Manager - Business Workflow Platform (1-Year Contractor)</t>
        </is>
      </c>
      <c r="D5415" t="inlineStr">
        <is>
          <t>Bosch Global Software Technologies Company Limited</t>
        </is>
      </c>
      <c r="E5415" t="inlineStr">
        <is>
          <t>Thương lượng</t>
        </is>
      </c>
      <c r="F5415" t="inlineStr">
        <is>
          <t>Hồ Chí Minh</t>
        </is>
      </c>
      <c r="G5415" t="inlineStr">
        <is>
          <t>Trưởng phòng</t>
        </is>
      </c>
      <c r="H5415" t="inlineStr">
        <is>
          <t>13/02/2026</t>
        </is>
      </c>
      <c r="I5415" t="inlineStr">
        <is>
          <t>30/03/2026</t>
        </is>
      </c>
      <c r="J5415" t="inlineStr">
        <is>
          <t>17/03/2026</t>
        </is>
      </c>
      <c r="K5415" t="inlineStr">
        <is>
          <t>N/A</t>
        </is>
      </c>
      <c r="L5415" t="inlineStr">
        <is>
          <t>Agile, English, IT Solutions, Software Architect, Cloud Architecture</t>
        </is>
      </c>
      <c r="M5415" t="inlineStr">
        <is>
          <t>Bonus, Healthcare Plan, Paid Leave</t>
        </is>
      </c>
      <c r="N5415" s="8">
        <f>HYPERLINK("https://www.vietnamworks.com/senior-it-product-service-manager-business-workflow-platform-1-year-contractor-2012043-jv","Xem chi tiết")</f>
        <v/>
      </c>
    </row>
    <row r="5416">
      <c r="B5416" s="9" t="n">
        <v>5414</v>
      </c>
      <c r="C5416" s="10" t="inlineStr">
        <is>
          <t>Assistant Manager, Customer Relations</t>
        </is>
      </c>
      <c r="D5416" s="10" t="inlineStr">
        <is>
          <t>CapitaLand Development (Vietnam)</t>
        </is>
      </c>
      <c r="E5416" s="10" t="inlineStr">
        <is>
          <t>Thương lượng</t>
        </is>
      </c>
      <c r="F5416" s="10" t="inlineStr">
        <is>
          <t>Hà Nội</t>
        </is>
      </c>
      <c r="G5416" s="10" t="inlineStr">
        <is>
          <t>Nhân viên</t>
        </is>
      </c>
      <c r="H5416" s="10" t="inlineStr">
        <is>
          <t>13/02/2026</t>
        </is>
      </c>
      <c r="I5416" s="10" t="inlineStr">
        <is>
          <t>30/03/2026</t>
        </is>
      </c>
      <c r="J5416" s="10" t="inlineStr">
        <is>
          <t>17/03/2026</t>
        </is>
      </c>
      <c r="K5416" s="10" t="inlineStr">
        <is>
          <t>N/A</t>
        </is>
      </c>
      <c r="L5416" s="10" t="inlineStr">
        <is>
          <t>Dịch Vụ Khách Hàng, Quan Hệ Khách Hàng, Chăm Sóc Khách Hàng</t>
        </is>
      </c>
      <c r="M5416" s="10" t="inlineStr">
        <is>
          <t>Bonus, Healthcare Plan, Training</t>
        </is>
      </c>
      <c r="N5416" s="11">
        <f>HYPERLINK("https://www.vietnamworks.com/assistant-manager-customer-relations--2012056-jv","Xem chi tiết")</f>
        <v/>
      </c>
      <c r="O5416" s="10" t="n"/>
    </row>
    <row r="5417">
      <c r="B5417" s="7" t="n">
        <v>5415</v>
      </c>
      <c r="C5417" t="inlineStr">
        <is>
          <t>Phó Tổng Giám Đốc M&amp;A (Trọng Tâm: TỪNG BÁN THÀNH CÔNG CÁC DỰ ÁN BĐS, kinh nghiệm làm tại các Tập đoàn BĐS lớn)</t>
        </is>
      </c>
      <c r="D5417" t="inlineStr">
        <is>
          <t>CÔNG TY CỔ PHẦN TẬP ĐOÀN ĐẦU TƯ TÀI CHÍNH QUỐC TẾ VFI</t>
        </is>
      </c>
      <c r="E5417" t="inlineStr">
        <is>
          <t>$$ 5,000-10,000 /tháng</t>
        </is>
      </c>
      <c r="F5417" t="inlineStr">
        <is>
          <t>Hà Nội</t>
        </is>
      </c>
      <c r="G5417" t="inlineStr">
        <is>
          <t>Giám Đốc và Cấp Cao Hơn</t>
        </is>
      </c>
      <c r="H5417" t="inlineStr">
        <is>
          <t>13/02/2026</t>
        </is>
      </c>
      <c r="I5417" t="inlineStr">
        <is>
          <t>30/03/2026</t>
        </is>
      </c>
      <c r="J5417" t="inlineStr">
        <is>
          <t>17/03/2026</t>
        </is>
      </c>
      <c r="K5417" t="inlineStr">
        <is>
          <t>N/A</t>
        </is>
      </c>
      <c r="L5417" t="inlineStr">
        <is>
          <t>Bđs, M&amp;A, Quản Lý Stakeholder, Quản Trị Rủi Ro, Đàm Phán</t>
        </is>
      </c>
      <c r="M5417" t="inlineStr">
        <is>
          <t>Bonus, Others</t>
        </is>
      </c>
      <c r="N5417" s="8">
        <f>HYPERLINK("https://www.vietnamworks.com/pho-tong-giam-djoc-manda-trong-tam-tung-ban-thanh-cong-cac-du-an-bdjs-kinh-nghiem-lam-tai-cac-tap-djoan-bdjs-lon-2012050-jv","Xem chi tiết")</f>
        <v/>
      </c>
    </row>
    <row r="5418">
      <c r="B5418" s="9" t="n">
        <v>5416</v>
      </c>
      <c r="C5418" s="10" t="inlineStr">
        <is>
          <t>Key Account &amp; Business Development Manager (Pharmacy Retail Chain)</t>
        </is>
      </c>
      <c r="D5418" s="10" t="inlineStr">
        <is>
          <t>Công Ty Cổ Phần Sữa Việt Nam (Vinamilk)</t>
        </is>
      </c>
      <c r="E5418" s="10" t="inlineStr">
        <is>
          <t>Thương lượng</t>
        </is>
      </c>
      <c r="F5418" s="10" t="inlineStr">
        <is>
          <t>Hồ Chí Minh, Khác</t>
        </is>
      </c>
      <c r="G5418" s="10" t="inlineStr">
        <is>
          <t>Trưởng phòng</t>
        </is>
      </c>
      <c r="H5418" s="10" t="inlineStr">
        <is>
          <t>13/02/2026</t>
        </is>
      </c>
      <c r="I5418" s="10" t="inlineStr">
        <is>
          <t>30/03/2026</t>
        </is>
      </c>
      <c r="J5418" s="10" t="inlineStr">
        <is>
          <t>17/03/2026</t>
        </is>
      </c>
      <c r="K5418" s="10" t="inlineStr">
        <is>
          <t>N/A</t>
        </is>
      </c>
      <c r="L5418" s="10" t="inlineStr">
        <is>
          <t>Business Strategy, Negotiation Skills, Retail Knowledge, Sales Experience, Trade Marketing</t>
        </is>
      </c>
      <c r="M5418" s="10" t="inlineStr">
        <is>
          <t>Bonus, Awards, Vouchers</t>
        </is>
      </c>
      <c r="N5418" s="11">
        <f>HYPERLINK("https://www.vietnamworks.com/key-account-and-business-development-manager-pharmacy-retail-chain-2012036-jv","Xem chi tiết")</f>
        <v/>
      </c>
      <c r="O5418" s="10" t="n"/>
    </row>
    <row r="5419">
      <c r="B5419" s="7" t="n">
        <v>5417</v>
      </c>
      <c r="C5419" t="inlineStr">
        <is>
          <t>Chuyên Viên Kinh Doanh - Senior Sales Executive (Motor)</t>
        </is>
      </c>
      <c r="D5419" t="inlineStr">
        <is>
          <t>Hyosung Vietnam Corp</t>
        </is>
      </c>
      <c r="E5419" t="inlineStr">
        <is>
          <t>Thương lượng</t>
        </is>
      </c>
      <c r="F5419" t="inlineStr">
        <is>
          <t>Hồ Chí Minh</t>
        </is>
      </c>
      <c r="G5419" t="inlineStr">
        <is>
          <t>Nhân viên</t>
        </is>
      </c>
      <c r="H5419" t="inlineStr">
        <is>
          <t>13/02/2026</t>
        </is>
      </c>
      <c r="I5419" t="inlineStr">
        <is>
          <t>30/03/2026</t>
        </is>
      </c>
      <c r="J5419" t="inlineStr">
        <is>
          <t>17/03/2026</t>
        </is>
      </c>
      <c r="K5419" t="inlineStr">
        <is>
          <t>N/A</t>
        </is>
      </c>
      <c r="L5419" t="inlineStr">
        <is>
          <t>Sale</t>
        </is>
      </c>
      <c r="M5419" t="inlineStr">
        <is>
          <t>Bonus</t>
        </is>
      </c>
      <c r="N5419" s="8">
        <f>HYPERLINK("https://www.vietnamworks.com/chuyen-vien-kinh-doanh-senior-sales-executive-motor-2012060-jv","Xem chi tiết")</f>
        <v/>
      </c>
    </row>
    <row r="5420">
      <c r="B5420" s="9" t="n">
        <v>5418</v>
      </c>
      <c r="C5420" s="10" t="inlineStr">
        <is>
          <t>Actuarial Executive</t>
        </is>
      </c>
      <c r="D5420" s="10" t="inlineStr">
        <is>
          <t>Dai-Ichi Life Vietnam</t>
        </is>
      </c>
      <c r="E5420" s="10" t="inlineStr">
        <is>
          <t>Thương lượng</t>
        </is>
      </c>
      <c r="F5420" s="10" t="inlineStr">
        <is>
          <t>Hồ Chí Minh</t>
        </is>
      </c>
      <c r="G5420" s="10" t="inlineStr">
        <is>
          <t>Nhân viên</t>
        </is>
      </c>
      <c r="H5420" s="10" t="inlineStr">
        <is>
          <t>13/02/2026</t>
        </is>
      </c>
      <c r="I5420" s="10" t="inlineStr">
        <is>
          <t>30/03/2026</t>
        </is>
      </c>
      <c r="J5420" s="10" t="inlineStr">
        <is>
          <t>17/03/2026</t>
        </is>
      </c>
      <c r="K5420" s="10" t="inlineStr">
        <is>
          <t>N/A</t>
        </is>
      </c>
      <c r="L5420" s="10" t="inlineStr">
        <is>
          <t>Mathematical Analysis, Life Insurance, Financial Analysis, Actuarial Valuation, Actuarial Modelling</t>
        </is>
      </c>
      <c r="M5420" s="10" t="inlineStr">
        <is>
          <t>Bonus, Healthcare Plan, Paid Leave</t>
        </is>
      </c>
      <c r="N5420" s="11">
        <f>HYPERLINK("https://www.vietnamworks.com/actuarial-executive--2012065-jv","Xem chi tiết")</f>
        <v/>
      </c>
      <c r="O5420" s="10" t="n"/>
    </row>
    <row r="5421">
      <c r="B5421" s="7" t="n">
        <v>5419</v>
      </c>
      <c r="C5421" t="inlineStr">
        <is>
          <t>Senior IT Business Analyst (1-Year Contractor)</t>
        </is>
      </c>
      <c r="D5421" t="inlineStr">
        <is>
          <t>Bosch Global Software Technologies Company Limited</t>
        </is>
      </c>
      <c r="E5421" t="inlineStr">
        <is>
          <t>Thương lượng</t>
        </is>
      </c>
      <c r="F5421" t="inlineStr">
        <is>
          <t>Hồ Chí Minh</t>
        </is>
      </c>
      <c r="G5421" t="inlineStr">
        <is>
          <t>Nhân viên</t>
        </is>
      </c>
      <c r="H5421" t="inlineStr">
        <is>
          <t>13/02/2026</t>
        </is>
      </c>
      <c r="I5421" t="inlineStr">
        <is>
          <t>30/03/2026</t>
        </is>
      </c>
      <c r="J5421" t="inlineStr">
        <is>
          <t>17/03/2026</t>
        </is>
      </c>
      <c r="K5421" t="inlineStr">
        <is>
          <t>N/A</t>
        </is>
      </c>
      <c r="L5421" t="inlineStr">
        <is>
          <t>business analyst, data driven, Stakeholder Mangement, Product Management, English</t>
        </is>
      </c>
      <c r="M5421" t="inlineStr">
        <is>
          <t>Bonus, Healthcare Plan, Paid Leave</t>
        </is>
      </c>
      <c r="N5421" s="8">
        <f>HYPERLINK("https://www.vietnamworks.com/senior-it-business-analyst-1-year-contractor-2012064-jv","Xem chi tiết")</f>
        <v/>
      </c>
    </row>
    <row r="5422">
      <c r="B5422" s="9" t="n">
        <v>5420</v>
      </c>
      <c r="C5422" s="10" t="inlineStr">
        <is>
          <t>Kỹ Sư Thiết Kế Kết Cấu (Hà Nội, HCM)</t>
        </is>
      </c>
      <c r="D5422" s="10" t="inlineStr">
        <is>
          <t>Công Ty CP Tư Vấn Xây Dựng Quốc Tế (International Construction CONSULTANCY JSC)</t>
        </is>
      </c>
      <c r="E5422" s="10" t="inlineStr">
        <is>
          <t>Thương lượng</t>
        </is>
      </c>
      <c r="F5422" s="10" t="inlineStr">
        <is>
          <t>Hà Nội, Hồ Chí Minh</t>
        </is>
      </c>
      <c r="G5422" s="10" t="inlineStr">
        <is>
          <t>Nhân viên</t>
        </is>
      </c>
      <c r="H5422" s="10" t="inlineStr">
        <is>
          <t>13/02/2026</t>
        </is>
      </c>
      <c r="I5422" s="10" t="inlineStr">
        <is>
          <t>30/03/2026</t>
        </is>
      </c>
      <c r="J5422" s="10" t="inlineStr">
        <is>
          <t>17/03/2026</t>
        </is>
      </c>
      <c r="K5422" s="10" t="inlineStr">
        <is>
          <t>N/A</t>
        </is>
      </c>
      <c r="L5422" s="10" t="inlineStr">
        <is>
          <t>Làm Việc Nhóm, Phân Tích Hóa Chất, Quản Lý Dự Án, Revit, Thiết Kế Kết Cấu</t>
        </is>
      </c>
      <c r="M5422" s="10" t="inlineStr">
        <is>
          <t>Healthcare Plan</t>
        </is>
      </c>
      <c r="N5422" s="11">
        <f>HYPERLINK("https://www.vietnamworks.com/ky-su-thiet-ke-ket-cau-ha-noi-hcm-2012074-jv","Xem chi tiết")</f>
        <v/>
      </c>
      <c r="O5422" s="10" t="n"/>
    </row>
    <row r="5423">
      <c r="B5423" s="7" t="n">
        <v>5421</v>
      </c>
      <c r="C5423" t="inlineStr">
        <is>
          <t>Kiến Trúc Sư</t>
        </is>
      </c>
      <c r="D5423" t="inlineStr">
        <is>
          <t>Công Ty CP Tư Vấn Xây Dựng Quốc Tế (International Construction CONSULTANCY JSC)</t>
        </is>
      </c>
      <c r="E5423" t="inlineStr">
        <is>
          <t>Thương lượng</t>
        </is>
      </c>
      <c r="F5423" t="inlineStr">
        <is>
          <t>Hà Nội, Hồ Chí Minh</t>
        </is>
      </c>
      <c r="G5423" t="inlineStr">
        <is>
          <t>Nhân viên</t>
        </is>
      </c>
      <c r="H5423" t="inlineStr">
        <is>
          <t>13/02/2026</t>
        </is>
      </c>
      <c r="I5423" t="inlineStr">
        <is>
          <t>30/03/2026</t>
        </is>
      </c>
      <c r="J5423" t="inlineStr">
        <is>
          <t>17/03/2026</t>
        </is>
      </c>
      <c r="K5423" t="inlineStr">
        <is>
          <t>N/A</t>
        </is>
      </c>
      <c r="L5423" t="inlineStr">
        <is>
          <t>Làm Việc Nhóm, Quản Lý Dự Án, Revit, Sáng Tạo, Triển Khai Dự Án</t>
        </is>
      </c>
      <c r="M5423" t="inlineStr">
        <is>
          <t>Healthcare Plan</t>
        </is>
      </c>
      <c r="N5423" s="8">
        <f>HYPERLINK("https://www.vietnamworks.com/kien-truc-su-2012071-jv","Xem chi tiết")</f>
        <v/>
      </c>
    </row>
    <row r="5424">
      <c r="B5424" s="9" t="n">
        <v>5422</v>
      </c>
      <c r="C5424" s="10" t="inlineStr">
        <is>
          <t>Kế toán Thanh toán - Chi Phí thu nhập từ trên 13 triệu</t>
        </is>
      </c>
      <c r="D5424" s="10" t="inlineStr">
        <is>
          <t>CELLPHONES - HỆ THỐNG BÁN LẺ ĐIỆN THOẠI DI ĐỘNG, LAPTOP VÀ CÁC SẢN PHẨM CÔNG NGHỆ TOÀN QUỐC</t>
        </is>
      </c>
      <c r="E5424" s="10" t="inlineStr">
        <is>
          <t>13tr-17tr ₫/tháng</t>
        </is>
      </c>
      <c r="F5424" s="10" t="inlineStr">
        <is>
          <t>Hồ Chí Minh</t>
        </is>
      </c>
      <c r="G5424" s="10" t="inlineStr">
        <is>
          <t>Nhân viên</t>
        </is>
      </c>
      <c r="H5424" s="10" t="inlineStr">
        <is>
          <t>13/02/2026</t>
        </is>
      </c>
      <c r="I5424" s="10" t="inlineStr">
        <is>
          <t>30/03/2026</t>
        </is>
      </c>
      <c r="J5424" s="10" t="inlineStr">
        <is>
          <t>17/03/2026</t>
        </is>
      </c>
      <c r="K5424" s="10" t="inlineStr">
        <is>
          <t>N/A</t>
        </is>
      </c>
      <c r="L5424" s="10" t="inlineStr">
        <is>
          <t>Cẩn Thận, Công Nợ, Kế Toán, Phân Tích Chi Phí, Phân Tích Tài Chính</t>
        </is>
      </c>
      <c r="M5424" s="10" t="inlineStr">
        <is>
          <t>Bonus, Healthcare Plan, Training, Team Activities, Others</t>
        </is>
      </c>
      <c r="N5424" s="11">
        <f>HYPERLINK("https://www.vietnamworks.com/ke-toan-thanh-toan-chi-phi-thu-nhap-tu-tren-13-trieu-2012063-jv","Xem chi tiết")</f>
        <v/>
      </c>
      <c r="O5424" s="10" t="n"/>
    </row>
    <row r="5425">
      <c r="B5425" s="7" t="n">
        <v>5423</v>
      </c>
      <c r="C5425" t="inlineStr">
        <is>
          <t>Receptionist</t>
        </is>
      </c>
      <c r="D5425" t="inlineStr">
        <is>
          <t>Mapletree Vietnam Management Consultancy Co., Ltd</t>
        </is>
      </c>
      <c r="E5425" t="inlineStr">
        <is>
          <t>Thương lượng</t>
        </is>
      </c>
      <c r="F5425" t="inlineStr">
        <is>
          <t>Hồ Chí Minh</t>
        </is>
      </c>
      <c r="G5425" t="inlineStr">
        <is>
          <t>Nhân viên</t>
        </is>
      </c>
      <c r="H5425" t="inlineStr">
        <is>
          <t>13/02/2026</t>
        </is>
      </c>
      <c r="I5425" t="inlineStr">
        <is>
          <t>30/03/2026</t>
        </is>
      </c>
      <c r="J5425" t="inlineStr">
        <is>
          <t>17/03/2026</t>
        </is>
      </c>
      <c r="K5425" t="inlineStr">
        <is>
          <t>N/A</t>
        </is>
      </c>
      <c r="L5425" t="inlineStr">
        <is>
          <t>Administration, Receptionist, Lễ Tân, Front Office Management</t>
        </is>
      </c>
      <c r="M5425" t="inlineStr">
        <is>
          <t>Healthcare Plan, Paid Leave, Awards</t>
        </is>
      </c>
      <c r="N5425" s="8">
        <f>HYPERLINK("https://www.vietnamworks.com/receptionist--2012059-jv","Xem chi tiết")</f>
        <v/>
      </c>
    </row>
    <row r="5426">
      <c r="B5426" s="9" t="n">
        <v>5424</v>
      </c>
      <c r="C5426" s="10" t="inlineStr">
        <is>
          <t>Chuyên Viên Digital Marketing (Google Ads)</t>
        </is>
      </c>
      <c r="D5426" s="10" t="inlineStr">
        <is>
          <t>CELLPHONES - HỆ THỐNG BÁN LẺ ĐIỆN THOẠI DI ĐỘNG, LAPTOP VÀ CÁC SẢN PHẨM CÔNG NGHỆ TOÀN QUỐC</t>
        </is>
      </c>
      <c r="E5426" s="10" t="inlineStr">
        <is>
          <t>13tr-18tr ₫/tháng</t>
        </is>
      </c>
      <c r="F5426" s="10" t="inlineStr">
        <is>
          <t>Hồ Chí Minh</t>
        </is>
      </c>
      <c r="G5426" s="10" t="inlineStr">
        <is>
          <t>Nhân viên</t>
        </is>
      </c>
      <c r="H5426" s="10" t="inlineStr">
        <is>
          <t>13/02/2026</t>
        </is>
      </c>
      <c r="I5426" s="10" t="inlineStr">
        <is>
          <t>30/03/2026</t>
        </is>
      </c>
      <c r="J5426" s="10" t="inlineStr">
        <is>
          <t>17/03/2026</t>
        </is>
      </c>
      <c r="K5426" s="10" t="inlineStr">
        <is>
          <t>N/A</t>
        </is>
      </c>
      <c r="L5426" s="10" t="inlineStr">
        <is>
          <t>A/B Testing, Data Analysis, Google Ads, Google Analytics, Google Tag Management</t>
        </is>
      </c>
      <c r="M5426" s="10" t="inlineStr">
        <is>
          <t>Bonus, Healthcare Plan, Training, Team Activities, Others</t>
        </is>
      </c>
      <c r="N5426" s="11">
        <f>HYPERLINK("https://www.vietnamworks.com/chuyen-vien-digital-marketing-google-ads-2012069-jv","Xem chi tiết")</f>
        <v/>
      </c>
      <c r="O5426" s="10" t="n"/>
    </row>
    <row r="5427">
      <c r="B5427" s="7" t="n">
        <v>5425</v>
      </c>
      <c r="C5427" t="inlineStr">
        <is>
          <t>Assistant Manager, Sales Strategy Development &amp; Market Research</t>
        </is>
      </c>
      <c r="D5427" t="inlineStr">
        <is>
          <t>CapitaLand Development (Vietnam)</t>
        </is>
      </c>
      <c r="E5427" t="inlineStr">
        <is>
          <t>Thương lượng</t>
        </is>
      </c>
      <c r="F5427" t="inlineStr">
        <is>
          <t>Hà Nội</t>
        </is>
      </c>
      <c r="G5427" t="inlineStr">
        <is>
          <t>Nhân viên</t>
        </is>
      </c>
      <c r="H5427" t="inlineStr">
        <is>
          <t>13/02/2026</t>
        </is>
      </c>
      <c r="I5427" t="inlineStr">
        <is>
          <t>30/03/2026</t>
        </is>
      </c>
      <c r="J5427" t="inlineStr">
        <is>
          <t>17/03/2026</t>
        </is>
      </c>
      <c r="K5427" t="inlineStr">
        <is>
          <t>N/A</t>
        </is>
      </c>
      <c r="L5427" t="inlineStr">
        <is>
          <t>Real Estate, Strategic Planning, Market Research, Sales Strategy, Market Intelligent</t>
        </is>
      </c>
      <c r="M5427" t="inlineStr">
        <is>
          <t>Healthcare Plan, Paid Leave, Others</t>
        </is>
      </c>
      <c r="N5427" s="8">
        <f>HYPERLINK("https://www.vietnamworks.com/assistant-manager-sales-strategy-development-market-research--2012057-jv","Xem chi tiết")</f>
        <v/>
      </c>
    </row>
    <row r="5428">
      <c r="B5428" s="9" t="n">
        <v>5426</v>
      </c>
      <c r="C5428" s="10" t="inlineStr">
        <is>
          <t>Sales Manager (Premix - B2B)</t>
        </is>
      </c>
      <c r="D5428" s="10" t="inlineStr">
        <is>
          <t>CÔNG TY TNHH AB AGRI VIỆT NAM</t>
        </is>
      </c>
      <c r="E5428" s="10" t="inlineStr">
        <is>
          <t>$$ 100-100 /tháng</t>
        </is>
      </c>
      <c r="F5428" s="10" t="inlineStr">
        <is>
          <t>Hồ Chí Minh</t>
        </is>
      </c>
      <c r="G5428" s="10" t="inlineStr">
        <is>
          <t>Trưởng phòng</t>
        </is>
      </c>
      <c r="H5428" s="10" t="inlineStr">
        <is>
          <t>13/02/2026</t>
        </is>
      </c>
      <c r="I5428" s="10" t="inlineStr">
        <is>
          <t>30/03/2026</t>
        </is>
      </c>
      <c r="J5428" s="10" t="inlineStr">
        <is>
          <t>17/03/2026</t>
        </is>
      </c>
      <c r="K5428" s="10" t="inlineStr">
        <is>
          <t>N/A</t>
        </is>
      </c>
      <c r="L5428" s="10" t="inlineStr">
        <is>
          <t>Business Consulting, Communication Skills, Food Industry, Project Management, Sales Experience</t>
        </is>
      </c>
      <c r="M5428" s="10" t="inlineStr">
        <is>
          <t>Bonus, Training, Others</t>
        </is>
      </c>
      <c r="N5428" s="11">
        <f>HYPERLINK("https://www.vietnamworks.com/sales-manager-premix-b2b-2012078-jv","Xem chi tiết")</f>
        <v/>
      </c>
      <c r="O5428" s="10" t="n"/>
    </row>
    <row r="5429">
      <c r="B5429" s="7" t="n">
        <v>5427</v>
      </c>
      <c r="C5429" t="inlineStr">
        <is>
          <t>Senior Outsystems Developer (1-Year Contractor)</t>
        </is>
      </c>
      <c r="D5429" t="inlineStr">
        <is>
          <t>Bosch Global Software Technologies Company Limited</t>
        </is>
      </c>
      <c r="E5429" t="inlineStr">
        <is>
          <t>Thương lượng</t>
        </is>
      </c>
      <c r="F5429" t="inlineStr">
        <is>
          <t>Hồ Chí Minh</t>
        </is>
      </c>
      <c r="G5429" t="inlineStr">
        <is>
          <t>Nhân viên</t>
        </is>
      </c>
      <c r="H5429" t="inlineStr">
        <is>
          <t>13/02/2026</t>
        </is>
      </c>
      <c r="I5429" t="inlineStr">
        <is>
          <t>30/03/2026</t>
        </is>
      </c>
      <c r="J5429" t="inlineStr">
        <is>
          <t>17/03/2026</t>
        </is>
      </c>
      <c r="K5429" t="inlineStr">
        <is>
          <t>N/A</t>
        </is>
      </c>
      <c r="L5429" t="inlineStr">
        <is>
          <t>English, Platform Instruction, JavaScript, Web Service, Oracle</t>
        </is>
      </c>
      <c r="M5429" t="inlineStr">
        <is>
          <t>Bonus, Healthcare Plan, Paid Leave</t>
        </is>
      </c>
      <c r="N5429" s="8">
        <f>HYPERLINK("https://www.vietnamworks.com/senior-outsystems-developer-1-year-contractor--2012076-jv","Xem chi tiết")</f>
        <v/>
      </c>
    </row>
    <row r="5430">
      <c r="B5430" s="9" t="n">
        <v>5428</v>
      </c>
      <c r="C5430" s="10" t="inlineStr">
        <is>
          <t>Content Designer (Vietnamese &amp; English) – 3-Month Contract | Remote</t>
        </is>
      </c>
      <c r="D5430" s="10" t="inlineStr">
        <is>
          <t>Vietnamworks' Client</t>
        </is>
      </c>
      <c r="E5430" s="10" t="inlineStr">
        <is>
          <t>$$ 750-1,500 /tháng</t>
        </is>
      </c>
      <c r="F5430" s="10" t="inlineStr">
        <is>
          <t>Quốc tế</t>
        </is>
      </c>
      <c r="G5430" s="10" t="inlineStr">
        <is>
          <t>Nhân viên</t>
        </is>
      </c>
      <c r="H5430" s="10" t="inlineStr">
        <is>
          <t>25/02/2026</t>
        </is>
      </c>
      <c r="I5430" s="10" t="inlineStr">
        <is>
          <t>30/03/2026</t>
        </is>
      </c>
      <c r="J5430" s="10" t="inlineStr">
        <is>
          <t>17/03/2026</t>
        </is>
      </c>
      <c r="K5430" s="10" t="inlineStr">
        <is>
          <t>N/A</t>
        </is>
      </c>
      <c r="L5430" s="10" t="inlineStr">
        <is>
          <t>Bilingual Proficiency, Content Strategy, Figma, Photoshop, Video Editing</t>
        </is>
      </c>
      <c r="M5430" s="10" t="inlineStr">
        <is>
          <t>Others</t>
        </is>
      </c>
      <c r="N5430" s="11">
        <f>HYPERLINK("https://www.vietnamworks.com/content-designer-vietnamese-and-english-3-month-contract-or-remote-2014003-jv","Xem chi tiết")</f>
        <v/>
      </c>
      <c r="O5430" s="10" t="n"/>
    </row>
    <row r="5431">
      <c r="B5431" s="7" t="n">
        <v>5429</v>
      </c>
      <c r="C5431" t="inlineStr">
        <is>
          <t>Senior Sales Executive (Corporate Sales)</t>
        </is>
      </c>
      <c r="D5431" t="inlineStr">
        <is>
          <t>Netnam Corp.</t>
        </is>
      </c>
      <c r="E5431" t="inlineStr">
        <is>
          <t>$$ 800-2,000 /tháng</t>
        </is>
      </c>
      <c r="F5431" t="inlineStr">
        <is>
          <t>Hồ Chí Minh</t>
        </is>
      </c>
      <c r="G5431" t="inlineStr">
        <is>
          <t>Nhân viên</t>
        </is>
      </c>
      <c r="H5431" t="inlineStr">
        <is>
          <t>13/02/2026</t>
        </is>
      </c>
      <c r="I5431" t="inlineStr">
        <is>
          <t>30/03/2026</t>
        </is>
      </c>
      <c r="J5431" t="inlineStr">
        <is>
          <t>17/03/2026</t>
        </is>
      </c>
      <c r="K5431" t="inlineStr">
        <is>
          <t>N/A</t>
        </is>
      </c>
      <c r="L5431" t="inlineStr">
        <is>
          <t>English proficiency, Sales &amp; Partnership Management, MNC Environment, Relationship Building, B2B Sales</t>
        </is>
      </c>
      <c r="M5431" t="inlineStr">
        <is>
          <t>Bonus, Training, Travel Opportunities</t>
        </is>
      </c>
      <c r="N5431" s="8">
        <f>HYPERLINK("https://www.vietnamworks.com/senior-sales-executive-corporate-sales-2012081-jv","Xem chi tiết")</f>
        <v/>
      </c>
    </row>
    <row r="5432">
      <c r="B5432" s="9" t="n">
        <v>5430</v>
      </c>
      <c r="C5432" s="10" t="inlineStr">
        <is>
          <t>Frontend Team Lead (1-Year Contractor)</t>
        </is>
      </c>
      <c r="D5432" s="10" t="inlineStr">
        <is>
          <t>Bosch Global Software Technologies Company Limited</t>
        </is>
      </c>
      <c r="E5432" s="10" t="inlineStr">
        <is>
          <t>Thương lượng</t>
        </is>
      </c>
      <c r="F5432" s="10" t="inlineStr">
        <is>
          <t>Hồ Chí Minh</t>
        </is>
      </c>
      <c r="G5432" s="10" t="inlineStr">
        <is>
          <t>Nhân viên</t>
        </is>
      </c>
      <c r="H5432" s="10" t="inlineStr">
        <is>
          <t>13/02/2026</t>
        </is>
      </c>
      <c r="I5432" s="10" t="inlineStr">
        <is>
          <t>30/03/2026</t>
        </is>
      </c>
      <c r="J5432" s="10" t="inlineStr">
        <is>
          <t>17/03/2026</t>
        </is>
      </c>
      <c r="K5432" s="10" t="inlineStr">
        <is>
          <t>N/A</t>
        </is>
      </c>
      <c r="L5432" s="10" t="inlineStr">
        <is>
          <t>JavaScript, TypeScript, React, Angular, English</t>
        </is>
      </c>
      <c r="M5432" s="10" t="inlineStr">
        <is>
          <t>Bonus, Healthcare Plan, Paid Leave</t>
        </is>
      </c>
      <c r="N5432" s="11">
        <f>HYPERLINK("https://www.vietnamworks.com/frontend-team-lead-1-year-contractor-2012072-jv","Xem chi tiết")</f>
        <v/>
      </c>
      <c r="O5432" s="10" t="n"/>
    </row>
    <row r="5433">
      <c r="B5433" s="7" t="n">
        <v>5431</v>
      </c>
      <c r="C5433" t="inlineStr">
        <is>
          <t>Senior Production Manager - Packing</t>
        </is>
      </c>
      <c r="D5433" t="inlineStr">
        <is>
          <t>Công Ty TNHH LEGO Manufacturing Việt Nam</t>
        </is>
      </c>
      <c r="E5433" t="inlineStr">
        <is>
          <t>Thương lượng</t>
        </is>
      </c>
      <c r="F5433" t="inlineStr">
        <is>
          <t>Hồ Chí Minh</t>
        </is>
      </c>
      <c r="G5433" t="inlineStr">
        <is>
          <t>Trưởng phòng</t>
        </is>
      </c>
      <c r="H5433" t="inlineStr">
        <is>
          <t>13/02/2026</t>
        </is>
      </c>
      <c r="I5433" t="inlineStr">
        <is>
          <t>30/03/2026</t>
        </is>
      </c>
      <c r="J5433" t="inlineStr">
        <is>
          <t>17/03/2026</t>
        </is>
      </c>
      <c r="K5433" t="inlineStr">
        <is>
          <t>N/A</t>
        </is>
      </c>
      <c r="L5433" t="inlineStr">
        <is>
          <t>Production Line Management, Production Manager, Toy Manufacturing Processes, Packaging Machines, Production Leadership</t>
        </is>
      </c>
      <c r="M5433" t="inlineStr">
        <is>
          <t>Bonus, Healthcare Plan, Paid Leave</t>
        </is>
      </c>
      <c r="N5433" s="8">
        <f>HYPERLINK("https://www.vietnamworks.com/senior-production-manager-packing-2012077-jv","Xem chi tiết")</f>
        <v/>
      </c>
    </row>
    <row r="5434">
      <c r="B5434" s="9" t="n">
        <v>5432</v>
      </c>
      <c r="C5434" s="10" t="inlineStr">
        <is>
          <t>[HN] Social Media Marketer</t>
        </is>
      </c>
      <c r="D5434" s="10" t="inlineStr">
        <is>
          <t>CÔNG TY TNHH YIC ONE</t>
        </is>
      </c>
      <c r="E5434" s="10" t="inlineStr">
        <is>
          <t>Thương lượng</t>
        </is>
      </c>
      <c r="F5434" s="10" t="inlineStr">
        <is>
          <t>Hà Nội</t>
        </is>
      </c>
      <c r="G5434" s="10" t="inlineStr">
        <is>
          <t>Nhân viên</t>
        </is>
      </c>
      <c r="H5434" s="10" t="inlineStr">
        <is>
          <t>13/02/2026</t>
        </is>
      </c>
      <c r="I5434" s="10" t="inlineStr">
        <is>
          <t>30/03/2026</t>
        </is>
      </c>
      <c r="J5434" s="10" t="inlineStr">
        <is>
          <t>17/03/2026</t>
        </is>
      </c>
      <c r="K5434" s="10" t="inlineStr">
        <is>
          <t>N/A</t>
        </is>
      </c>
      <c r="L5434" s="10" t="inlineStr">
        <is>
          <t>Content Strategy, Data Analysis, English Fluency, Social Media Management, Trend Analysis</t>
        </is>
      </c>
      <c r="M5434" s="10" t="inlineStr">
        <is>
          <t>Bonus, Healthcare Plan, Paid Leave, Training, Laptop, Team Activities, Others</t>
        </is>
      </c>
      <c r="N5434" s="11">
        <f>HYPERLINK("https://www.vietnamworks.com/hn-social-media-marketer-2012073-jv","Xem chi tiết")</f>
        <v/>
      </c>
      <c r="O5434" s="10" t="n"/>
    </row>
    <row r="5435">
      <c r="B5435" s="7" t="n">
        <v>5433</v>
      </c>
      <c r="C5435" t="inlineStr">
        <is>
          <t>B2B Sales Executive (Event Tech Services)</t>
        </is>
      </c>
      <c r="D5435" t="inlineStr">
        <is>
          <t>Netnam Corp.</t>
        </is>
      </c>
      <c r="E5435" t="inlineStr">
        <is>
          <t>$$ 500-2,000 /tháng</t>
        </is>
      </c>
      <c r="F5435" t="inlineStr">
        <is>
          <t>Hồ Chí Minh</t>
        </is>
      </c>
      <c r="G5435" t="inlineStr">
        <is>
          <t>Nhân viên</t>
        </is>
      </c>
      <c r="H5435" t="inlineStr">
        <is>
          <t>13/02/2026</t>
        </is>
      </c>
      <c r="I5435" t="inlineStr">
        <is>
          <t>30/03/2026</t>
        </is>
      </c>
      <c r="J5435" t="inlineStr">
        <is>
          <t>17/03/2026</t>
        </is>
      </c>
      <c r="K5435" t="inlineStr">
        <is>
          <t>N/A</t>
        </is>
      </c>
      <c r="L5435" t="inlineStr">
        <is>
          <t>Sales Executive, Sales B2B, Presentation Skills, Business Developing, Customer Focus</t>
        </is>
      </c>
      <c r="M5435" t="inlineStr">
        <is>
          <t>Bonus, Training, Travel Opportunities</t>
        </is>
      </c>
      <c r="N5435" s="8">
        <f>HYPERLINK("https://www.vietnamworks.com/b2b-sales-executive-event-tech-services--2012080-jv","Xem chi tiết")</f>
        <v/>
      </c>
    </row>
    <row r="5436">
      <c r="B5436" s="9" t="n">
        <v>5434</v>
      </c>
      <c r="C5436" s="10" t="inlineStr">
        <is>
          <t>Graphic Designer</t>
        </is>
      </c>
      <c r="D5436" s="10" t="inlineStr">
        <is>
          <t>American Abacus</t>
        </is>
      </c>
      <c r="E5436" s="10" t="inlineStr">
        <is>
          <t>$$ 500-1,000 /tháng</t>
        </is>
      </c>
      <c r="F5436" s="10" t="inlineStr">
        <is>
          <t>Quốc tế</t>
        </is>
      </c>
      <c r="G5436" s="10" t="inlineStr">
        <is>
          <t>Nhân viên</t>
        </is>
      </c>
      <c r="H5436" s="10" t="inlineStr">
        <is>
          <t>27/02/2026</t>
        </is>
      </c>
      <c r="I5436" s="10" t="inlineStr">
        <is>
          <t>30/03/2026</t>
        </is>
      </c>
      <c r="J5436" s="10" t="inlineStr">
        <is>
          <t>17/03/2026</t>
        </is>
      </c>
      <c r="K5436" s="10" t="inlineStr">
        <is>
          <t>N/A</t>
        </is>
      </c>
      <c r="L5436" s="10" t="inlineStr">
        <is>
          <t>Adobe Creative Suite, Digital Design, Graphic Design, Project Management, Website Design</t>
        </is>
      </c>
      <c r="M5436" s="10" t="inlineStr">
        <is>
          <t>Training, Travel Opportunities</t>
        </is>
      </c>
      <c r="N5436" s="11">
        <f>HYPERLINK("https://www.vietnamworks.com/graphic-designer-2015262-jv","Xem chi tiết")</f>
        <v/>
      </c>
      <c r="O5436" s="10" t="n"/>
    </row>
    <row r="5437">
      <c r="B5437" s="7" t="n">
        <v>5435</v>
      </c>
      <c r="C5437" t="inlineStr">
        <is>
          <t>Kế Toán Tài Sản</t>
        </is>
      </c>
      <c r="D5437" t="inlineStr">
        <is>
          <t>CELLPHONES - HỆ THỐNG BÁN LẺ ĐIỆN THOẠI DI ĐỘNG, LAPTOP VÀ CÁC SẢN PHẨM CÔNG NGHỆ TOÀN QUỐC</t>
        </is>
      </c>
      <c r="E5437" t="inlineStr">
        <is>
          <t>14tr-18tr ₫/tháng</t>
        </is>
      </c>
      <c r="F5437" t="inlineStr">
        <is>
          <t>Hồ Chí Minh</t>
        </is>
      </c>
      <c r="G5437" t="inlineStr">
        <is>
          <t>Nhân viên</t>
        </is>
      </c>
      <c r="H5437" t="inlineStr">
        <is>
          <t>13/02/2026</t>
        </is>
      </c>
      <c r="I5437" t="inlineStr">
        <is>
          <t>30/03/2026</t>
        </is>
      </c>
      <c r="J5437" t="inlineStr">
        <is>
          <t>17/03/2026</t>
        </is>
      </c>
      <c r="K5437" t="inlineStr">
        <is>
          <t>N/A</t>
        </is>
      </c>
      <c r="L5437" t="inlineStr">
        <is>
          <t>Kế Toán Tổng Hợp, Kiểm Kê Tài Sản, Sử Dụng Phần Mềm, Thành Thạo Excel, Quy Trình Bàn Giao</t>
        </is>
      </c>
      <c r="M5437" t="inlineStr">
        <is>
          <t>Bonus, Healthcare Plan, Training, Others</t>
        </is>
      </c>
      <c r="N5437" s="8">
        <f>HYPERLINK("https://www.vietnamworks.com/ke-toan-tai-san-2012067-jv","Xem chi tiết")</f>
        <v/>
      </c>
    </row>
    <row r="5438">
      <c r="B5438" s="9" t="n">
        <v>5436</v>
      </c>
      <c r="C5438" s="10" t="inlineStr">
        <is>
          <t>Legal Supervisor</t>
        </is>
      </c>
      <c r="D5438" s="10" t="inlineStr">
        <is>
          <t>Masan Consumer Holdings</t>
        </is>
      </c>
      <c r="E5438" s="10" t="inlineStr">
        <is>
          <t>Thương lượng</t>
        </is>
      </c>
      <c r="F5438" s="10" t="inlineStr">
        <is>
          <t>Hồ Chí Minh</t>
        </is>
      </c>
      <c r="G5438" s="10" t="inlineStr">
        <is>
          <t>Nhân viên</t>
        </is>
      </c>
      <c r="H5438" s="10" t="inlineStr">
        <is>
          <t>13/02/2026</t>
        </is>
      </c>
      <c r="I5438" s="10" t="inlineStr">
        <is>
          <t>30/03/2026</t>
        </is>
      </c>
      <c r="J5438" s="10" t="inlineStr">
        <is>
          <t>17/03/2026</t>
        </is>
      </c>
      <c r="K5438" s="10" t="inlineStr">
        <is>
          <t>N/A</t>
        </is>
      </c>
      <c r="L5438" s="10" t="inlineStr">
        <is>
          <t>Advertising Management, Analytical Skills, Intellectual Property Management, Legal &amp; Compliance</t>
        </is>
      </c>
      <c r="M5438" s="10" t="inlineStr">
        <is>
          <t>Others</t>
        </is>
      </c>
      <c r="N5438" s="11">
        <f>HYPERLINK("https://www.vietnamworks.com/legal-supervisor-2012082-jv","Xem chi tiết")</f>
        <v/>
      </c>
      <c r="O5438" s="10" t="n"/>
    </row>
    <row r="5439">
      <c r="B5439" s="7" t="n">
        <v>5437</v>
      </c>
      <c r="C5439" t="inlineStr">
        <is>
          <t>Kế Toán Trưởng</t>
        </is>
      </c>
      <c r="D5439" t="inlineStr">
        <is>
          <t>Công Ty CP Tư Vấn Xây Dựng Quốc Tế (International Construction CONSULTANCY JSC)</t>
        </is>
      </c>
      <c r="E5439" t="inlineStr">
        <is>
          <t>Thương lượng</t>
        </is>
      </c>
      <c r="F5439" t="inlineStr">
        <is>
          <t>Hồ Chí Minh, Hà Nội</t>
        </is>
      </c>
      <c r="G5439" t="inlineStr">
        <is>
          <t>Trưởng phòng</t>
        </is>
      </c>
      <c r="H5439" t="inlineStr">
        <is>
          <t>13/02/2026</t>
        </is>
      </c>
      <c r="I5439" t="inlineStr">
        <is>
          <t>30/03/2026</t>
        </is>
      </c>
      <c r="J5439" t="inlineStr">
        <is>
          <t>17/03/2026</t>
        </is>
      </c>
      <c r="K5439" t="inlineStr">
        <is>
          <t>N/A</t>
        </is>
      </c>
      <c r="L5439" t="inlineStr">
        <is>
          <t>Giao Tiếp Tiếng Anh, Lập Kế Hoạch Tài Chính, Quản Lý Kế Toán, Quản Lý Tài Chính, Trách Nhiệm</t>
        </is>
      </c>
      <c r="M5439" t="inlineStr">
        <is>
          <t>Healthcare Plan</t>
        </is>
      </c>
      <c r="N5439" s="8">
        <f>HYPERLINK("https://www.vietnamworks.com/ke-toan-truong-2012070-jv","Xem chi tiết")</f>
        <v/>
      </c>
    </row>
    <row r="5440">
      <c r="B5440" s="9" t="n">
        <v>5438</v>
      </c>
      <c r="C5440" s="10" t="inlineStr">
        <is>
          <t>Senior AI Engineer (1-Year Contractor)</t>
        </is>
      </c>
      <c r="D5440" s="10" t="inlineStr">
        <is>
          <t>Bosch Global Software Technologies Company Limited</t>
        </is>
      </c>
      <c r="E5440" s="10" t="inlineStr">
        <is>
          <t>Thương lượng</t>
        </is>
      </c>
      <c r="F5440" s="10" t="inlineStr">
        <is>
          <t>Hồ Chí Minh</t>
        </is>
      </c>
      <c r="G5440" s="10" t="inlineStr">
        <is>
          <t>Nhân viên</t>
        </is>
      </c>
      <c r="H5440" s="10" t="inlineStr">
        <is>
          <t>13/02/2026</t>
        </is>
      </c>
      <c r="I5440" s="10" t="inlineStr">
        <is>
          <t>30/03/2026</t>
        </is>
      </c>
      <c r="J5440" s="10" t="inlineStr">
        <is>
          <t>17/03/2026</t>
        </is>
      </c>
      <c r="K5440" s="10" t="inlineStr">
        <is>
          <t>N/A</t>
        </is>
      </c>
      <c r="L5440" s="10" t="inlineStr">
        <is>
          <t>Python, LLM, English, PyTorch, GenAI</t>
        </is>
      </c>
      <c r="M5440" s="10" t="inlineStr">
        <is>
          <t>Bonus, Healthcare Plan, Paid Leave</t>
        </is>
      </c>
      <c r="N5440" s="11">
        <f>HYPERLINK("https://www.vietnamworks.com/senior-ai-engineer-1-year-contractor-2012051-jv","Xem chi tiết")</f>
        <v/>
      </c>
      <c r="O5440" s="10" t="n"/>
    </row>
    <row r="5441">
      <c r="B5441" s="7" t="n">
        <v>5439</v>
      </c>
      <c r="C5441" t="inlineStr">
        <is>
          <t>[Hà Nội] Chuyên Gia Cao Câp/ Chuyên Gia Giải Pháp Thanh Toán - Khối Khách Hàng Cá Nhân</t>
        </is>
      </c>
      <c r="D5441" t="inlineStr">
        <is>
          <t>ABBank - Ngân Hàng TMCP An Bình</t>
        </is>
      </c>
      <c r="E5441" t="inlineStr">
        <is>
          <t>$$ 1,300-1,600 /tháng</t>
        </is>
      </c>
      <c r="F5441" t="inlineStr">
        <is>
          <t>Hà Nội</t>
        </is>
      </c>
      <c r="G5441" t="inlineStr">
        <is>
          <t>Nhân viên</t>
        </is>
      </c>
      <c r="H5441" t="inlineStr">
        <is>
          <t>13/02/2026</t>
        </is>
      </c>
      <c r="I5441" t="inlineStr">
        <is>
          <t>30/03/2026</t>
        </is>
      </c>
      <c r="J5441" t="inlineStr">
        <is>
          <t>17/03/2026</t>
        </is>
      </c>
      <c r="K5441" t="inlineStr">
        <is>
          <t>N/A</t>
        </is>
      </c>
      <c r="L5441" t="inlineStr">
        <is>
          <t>Giải Pháp Cải Tiến, Thanh Toán, Payment, Giải pháp thanh toán</t>
        </is>
      </c>
      <c r="M5441" t="inlineStr">
        <is>
          <t>Paid Leave, Awards, Others</t>
        </is>
      </c>
      <c r="N5441" s="8">
        <f>HYPERLINK("https://www.vietnamworks.com/ha-noi-chuyen-gia-cao-cap-chuyen-gia-giai-phap-thanh-toan-khoi-khach-hang-ca-nhan--2012068-jv","Xem chi tiết")</f>
        <v/>
      </c>
    </row>
    <row r="5442">
      <c r="B5442" s="9" t="n">
        <v>5440</v>
      </c>
      <c r="C5442" s="10" t="inlineStr">
        <is>
          <t>Chuyên Viên Kế Toán Thuế</t>
        </is>
      </c>
      <c r="D5442" s="10" t="inlineStr">
        <is>
          <t>CELLPHONES - HỆ THỐNG BÁN LẺ ĐIỆN THOẠI DI ĐỘNG, LAPTOP VÀ CÁC SẢN PHẨM CÔNG NGHỆ TOÀN QUỐC</t>
        </is>
      </c>
      <c r="E5442" s="10" t="inlineStr">
        <is>
          <t>14tr-18tr ₫/tháng</t>
        </is>
      </c>
      <c r="F5442" s="10" t="inlineStr">
        <is>
          <t>Hồ Chí Minh</t>
        </is>
      </c>
      <c r="G5442" s="10" t="inlineStr">
        <is>
          <t>Nhân viên</t>
        </is>
      </c>
      <c r="H5442" s="10" t="inlineStr">
        <is>
          <t>13/02/2026</t>
        </is>
      </c>
      <c r="I5442" s="10" t="inlineStr">
        <is>
          <t>30/03/2026</t>
        </is>
      </c>
      <c r="J5442" s="10" t="inlineStr">
        <is>
          <t>17/03/2026</t>
        </is>
      </c>
      <c r="K5442" s="10" t="inlineStr">
        <is>
          <t>N/A</t>
        </is>
      </c>
      <c r="L5442" s="10" t="inlineStr">
        <is>
          <t>Kế Toán, Kiểm Toán, Soạn Báo Cáo, Tài Chính, Tin Học Văn Phòng</t>
        </is>
      </c>
      <c r="M5442" s="10" t="inlineStr">
        <is>
          <t>Bonus, Healthcare Plan, Training, Team Activities, Others</t>
        </is>
      </c>
      <c r="N5442" s="11">
        <f>HYPERLINK("https://www.vietnamworks.com/chuyen-vien-ke-toan-thue-2012066-jv","Xem chi tiết")</f>
        <v/>
      </c>
      <c r="O5442" s="10" t="n"/>
    </row>
    <row r="5443">
      <c r="B5443" s="7" t="n">
        <v>5441</v>
      </c>
      <c r="C5443" t="inlineStr">
        <is>
          <t>[Ecopark Hưng Yên] Nhân Viên Kinh Doanh B2B (~15 triệu)</t>
        </is>
      </c>
      <c r="D5443" t="inlineStr">
        <is>
          <t>Công ty CP Qùa tặng Sáng tạo Việt Nam</t>
        </is>
      </c>
      <c r="E5443" t="inlineStr">
        <is>
          <t>6tr-15tr ₫/tháng</t>
        </is>
      </c>
      <c r="F5443" t="inlineStr">
        <is>
          <t>Quảng Bình, Hà Nội</t>
        </is>
      </c>
      <c r="G5443" t="inlineStr">
        <is>
          <t>Nhân viên</t>
        </is>
      </c>
      <c r="H5443" t="inlineStr">
        <is>
          <t>28/02/2026</t>
        </is>
      </c>
      <c r="I5443" t="inlineStr">
        <is>
          <t>30/03/2026</t>
        </is>
      </c>
      <c r="J5443" t="inlineStr">
        <is>
          <t>17/03/2026</t>
        </is>
      </c>
      <c r="K5443" t="inlineStr">
        <is>
          <t>N/A</t>
        </is>
      </c>
      <c r="L5443" t="inlineStr">
        <is>
          <t>Giao Tiếp, Nhân viên kinh doanh, Đàm Phán, Sale B2B, Chăm Sóc Khách Hàng</t>
        </is>
      </c>
      <c r="M5443" t="inlineStr">
        <is>
          <t>Bonus, Healthcare Plan, Training, Others</t>
        </is>
      </c>
      <c r="N5443" s="8">
        <f>HYPERLINK("https://www.vietnamworks.com/ecopark-hung-yen-nhan-vien-kinh-doanh-b2b-15-trieu-2016168-jv","Xem chi tiết")</f>
        <v/>
      </c>
    </row>
    <row r="5444">
      <c r="B5444" s="9" t="n">
        <v>5442</v>
      </c>
      <c r="C5444" s="10" t="inlineStr">
        <is>
          <t>Chuyên Viên C&amp;B</t>
        </is>
      </c>
      <c r="D5444" s="10" t="inlineStr">
        <is>
          <t>CÔNG TY CỔ PHẦN TẬP ĐOÀN ĐẦU TƯ HOÀNG GIA VIỆT NAM</t>
        </is>
      </c>
      <c r="E5444" s="10" t="inlineStr">
        <is>
          <t>Thương lượng</t>
        </is>
      </c>
      <c r="F5444" s="10" t="inlineStr">
        <is>
          <t>Hồ Chí Minh, Long An, Lâm Đồng</t>
        </is>
      </c>
      <c r="G5444" s="10" t="inlineStr">
        <is>
          <t>Nhân viên</t>
        </is>
      </c>
      <c r="H5444" s="10" t="inlineStr">
        <is>
          <t>28/02/2026</t>
        </is>
      </c>
      <c r="I5444" s="10" t="inlineStr">
        <is>
          <t>30/03/2026</t>
        </is>
      </c>
      <c r="J5444" s="10" t="inlineStr">
        <is>
          <t>17/03/2026</t>
        </is>
      </c>
      <c r="K5444" s="10" t="inlineStr">
        <is>
          <t>N/A</t>
        </is>
      </c>
      <c r="L5444" s="10" t="inlineStr">
        <is>
          <t>Nhân Sự, HR, C&amp;B, Recruitment</t>
        </is>
      </c>
      <c r="M5444" s="10" t="inlineStr">
        <is>
          <t>Healthcare Plan, Training, Travel Opportunities</t>
        </is>
      </c>
      <c r="N5444" s="11">
        <f>HYPERLINK("https://www.vietnamworks.com/chuyen-vien-c-b--2016174-jv","Xem chi tiết")</f>
        <v/>
      </c>
      <c r="O5444" s="10" t="n"/>
    </row>
    <row r="5445">
      <c r="B5445" s="7" t="n">
        <v>5443</v>
      </c>
      <c r="C5445" t="inlineStr">
        <is>
          <t>Kế Toán Tổng Hợp (Phụ Trách Thuế)</t>
        </is>
      </c>
      <c r="D5445" t="inlineStr">
        <is>
          <t>Công ty TNHH Renoma</t>
        </is>
      </c>
      <c r="E5445" t="inlineStr">
        <is>
          <t>Thương lượng</t>
        </is>
      </c>
      <c r="F5445" t="inlineStr">
        <is>
          <t>Hồ Chí Minh</t>
        </is>
      </c>
      <c r="G5445" t="inlineStr">
        <is>
          <t>Nhân viên</t>
        </is>
      </c>
      <c r="H5445" t="inlineStr">
        <is>
          <t>27/02/2026</t>
        </is>
      </c>
      <c r="I5445" t="inlineStr">
        <is>
          <t>30/03/2026</t>
        </is>
      </c>
      <c r="J5445" t="inlineStr">
        <is>
          <t>17/03/2026</t>
        </is>
      </c>
      <c r="K5445" t="inlineStr">
        <is>
          <t>N/A</t>
        </is>
      </c>
      <c r="L5445" t="inlineStr">
        <is>
          <t>Kiểm Soát Nội Bộ, Thuế TNCN, Thuế TNDN, Báo cáo tài chính &amp; Thuế, MISA</t>
        </is>
      </c>
      <c r="M5445" t="inlineStr">
        <is>
          <t>Bonus, Healthcare Plan, Laptop, Travel Opportunities</t>
        </is>
      </c>
      <c r="N5445" s="8">
        <f>HYPERLINK("https://www.vietnamworks.com/ke-toan-tong-hop-phu-trach-thue--2016155-jv","Xem chi tiết")</f>
        <v/>
      </c>
    </row>
    <row r="5446">
      <c r="B5446" s="9" t="n">
        <v>5444</v>
      </c>
      <c r="C5446" s="10" t="inlineStr">
        <is>
          <t>Chuyên Viên Hành Chính Nhân Sự</t>
        </is>
      </c>
      <c r="D5446" s="10" t="inlineStr">
        <is>
          <t>CÔNG TY TNHH DCC COOK</t>
        </is>
      </c>
      <c r="E5446" s="10" t="inlineStr">
        <is>
          <t>12tr-15tr ₫/tháng</t>
        </is>
      </c>
      <c r="F5446" s="10" t="inlineStr">
        <is>
          <t>Hồ Chí Minh</t>
        </is>
      </c>
      <c r="G5446" s="10" t="inlineStr">
        <is>
          <t>Nhân viên</t>
        </is>
      </c>
      <c r="H5446" s="10" t="inlineStr">
        <is>
          <t>28/02/2026</t>
        </is>
      </c>
      <c r="I5446" s="10" t="inlineStr">
        <is>
          <t>30/03/2026</t>
        </is>
      </c>
      <c r="J5446" s="10" t="inlineStr">
        <is>
          <t>17/03/2026</t>
        </is>
      </c>
      <c r="K5446" s="10" t="inlineStr">
        <is>
          <t>N/A</t>
        </is>
      </c>
      <c r="L5446" s="10" t="inlineStr">
        <is>
          <t>Giao Tiếp, Kinh Tế, Luật, Quản Trị Nhân Sự, Tin Học Văn Phòng</t>
        </is>
      </c>
      <c r="M5446" s="10" t="inlineStr">
        <is>
          <t>Bonus, Healthcare Plan, Team Activities, Others</t>
        </is>
      </c>
      <c r="N5446" s="11">
        <f>HYPERLINK("https://www.vietnamworks.com/chuyen-vien-hanh-chinh-nhan-su-2016162-jv","Xem chi tiết")</f>
        <v/>
      </c>
      <c r="O5446" s="10" t="n"/>
    </row>
    <row r="5447">
      <c r="B5447" s="7" t="n">
        <v>5445</v>
      </c>
      <c r="C5447" t="inlineStr">
        <is>
          <t>Interior Concept Designer (Thiết Kế Nội Thất Concept)</t>
        </is>
      </c>
      <c r="D5447" t="inlineStr">
        <is>
          <t>Công ty TNHH Renoma</t>
        </is>
      </c>
      <c r="E5447" t="inlineStr">
        <is>
          <t>16tr-22tr ₫/tháng</t>
        </is>
      </c>
      <c r="F5447" t="inlineStr">
        <is>
          <t>Hồ Chí Minh</t>
        </is>
      </c>
      <c r="G5447" t="inlineStr">
        <is>
          <t>Nhân viên</t>
        </is>
      </c>
      <c r="H5447" t="inlineStr">
        <is>
          <t>27/02/2026</t>
        </is>
      </c>
      <c r="I5447" t="inlineStr">
        <is>
          <t>30/03/2026</t>
        </is>
      </c>
      <c r="J5447" t="inlineStr">
        <is>
          <t>17/03/2026</t>
        </is>
      </c>
      <c r="K5447" t="inlineStr">
        <is>
          <t>N/A</t>
        </is>
      </c>
      <c r="L5447" t="inlineStr">
        <is>
          <t>Thiết Kế Nội Thất, AutoCAD, Sketchup, Sáng Tạo, Concept</t>
        </is>
      </c>
      <c r="M5447" t="inlineStr">
        <is>
          <t>Bonus, Healthcare Plan, Laptop, Travel Opportunities, Team Activities</t>
        </is>
      </c>
      <c r="N5447" s="8">
        <f>HYPERLINK("https://www.vietnamworks.com/interior-concept-designer-thiet-ke-noi-that-concept-2015861-jv","Xem chi tiết")</f>
        <v/>
      </c>
    </row>
    <row r="5448">
      <c r="B5448" s="9" t="n">
        <v>5446</v>
      </c>
      <c r="C5448" s="10" t="inlineStr">
        <is>
          <t>Teaching Assistant, Psychology</t>
        </is>
      </c>
      <c r="D5448" s="10" t="inlineStr">
        <is>
          <t>RMIT University Vietnam</t>
        </is>
      </c>
      <c r="E5448" s="10" t="inlineStr">
        <is>
          <t>Thương lượng</t>
        </is>
      </c>
      <c r="F5448" s="10" t="inlineStr">
        <is>
          <t>Hồ Chí Minh</t>
        </is>
      </c>
      <c r="G5448" s="10" t="inlineStr">
        <is>
          <t>Nhân viên</t>
        </is>
      </c>
      <c r="H5448" s="10" t="inlineStr">
        <is>
          <t>27/02/2026</t>
        </is>
      </c>
      <c r="I5448" s="10" t="inlineStr">
        <is>
          <t>30/03/2026</t>
        </is>
      </c>
      <c r="J5448" s="10" t="inlineStr">
        <is>
          <t>17/03/2026</t>
        </is>
      </c>
      <c r="K5448" s="10" t="inlineStr">
        <is>
          <t>N/A</t>
        </is>
      </c>
      <c r="L5448" s="10" t="inlineStr">
        <is>
          <t>Communication Skills, Teaching Support, Interpersonal Skills, problem-solving, Social Research</t>
        </is>
      </c>
      <c r="M5448" s="10" t="inlineStr">
        <is>
          <t>Bonus, Library, Others</t>
        </is>
      </c>
      <c r="N5448" s="11">
        <f>HYPERLINK("https://www.vietnamworks.com/teaching-assistant-psychology-2016161-jv","Xem chi tiết")</f>
        <v/>
      </c>
      <c r="O5448" s="10" t="n"/>
    </row>
    <row r="5449">
      <c r="B5449" s="7" t="n">
        <v>5447</v>
      </c>
      <c r="C5449" t="inlineStr">
        <is>
          <t>3D Interior Visualization Artist (3D Artist Nội Thất)</t>
        </is>
      </c>
      <c r="D5449" t="inlineStr">
        <is>
          <t>Công ty TNHH Renoma</t>
        </is>
      </c>
      <c r="E5449" t="inlineStr">
        <is>
          <t>15tr-20tr ₫/tháng</t>
        </is>
      </c>
      <c r="F5449" t="inlineStr">
        <is>
          <t>Hồ Chí Minh</t>
        </is>
      </c>
      <c r="G5449" t="inlineStr">
        <is>
          <t>Nhân viên</t>
        </is>
      </c>
      <c r="H5449" t="inlineStr">
        <is>
          <t>27/02/2026</t>
        </is>
      </c>
      <c r="I5449" t="inlineStr">
        <is>
          <t>30/03/2026</t>
        </is>
      </c>
      <c r="J5449" t="inlineStr">
        <is>
          <t>17/03/2026</t>
        </is>
      </c>
      <c r="K5449" t="inlineStr">
        <is>
          <t>N/A</t>
        </is>
      </c>
      <c r="L5449" t="inlineStr">
        <is>
          <t>3D Modeling, Interior Design, Phối Cảnh 3D Nội Thất, Hospitality design, 3D Visualization</t>
        </is>
      </c>
      <c r="M5449" t="inlineStr">
        <is>
          <t>Bonus, Healthcare Plan, Laptop, Travel Opportunities, Team Activities</t>
        </is>
      </c>
      <c r="N5449" s="8">
        <f>HYPERLINK("https://www.vietnamworks.com/3d-interior-visualization-artist-3d-artist-noi-that-2016116-jv","Xem chi tiết")</f>
        <v/>
      </c>
    </row>
    <row r="5450">
      <c r="B5450" s="9" t="n">
        <v>5448</v>
      </c>
      <c r="C5450" s="10" t="inlineStr">
        <is>
          <t>Kỹ sư Xây dựng/An toàn-Môi trường-HSE/Trắc đạc/Kỹ sư MEP/QA-QC/QS/Kỹ sư Dự thầu/Shop Drawing/Kế toán</t>
        </is>
      </c>
      <c r="D5450" s="10" t="inlineStr">
        <is>
          <t>CÔNG TY CỔ PHẦN ĐẦU TƯ VÀ XÂY DỰNG VINA E&amp;C</t>
        </is>
      </c>
      <c r="E5450" s="10" t="inlineStr">
        <is>
          <t>15tr-50tr ₫/tháng</t>
        </is>
      </c>
      <c r="F5450" s="10" t="inlineStr">
        <is>
          <t>Hồ Chí Minh, Bà Rịa - Vũng Tàu, Đồng Nai</t>
        </is>
      </c>
      <c r="G5450" s="10" t="inlineStr">
        <is>
          <t>Nhân viên</t>
        </is>
      </c>
      <c r="H5450" s="10" t="inlineStr">
        <is>
          <t>28/02/2026</t>
        </is>
      </c>
      <c r="I5450" s="10" t="inlineStr">
        <is>
          <t>30/03/2026</t>
        </is>
      </c>
      <c r="J5450" s="10" t="inlineStr">
        <is>
          <t>17/03/2026</t>
        </is>
      </c>
      <c r="K5450" s="10" t="inlineStr">
        <is>
          <t>N/A</t>
        </is>
      </c>
      <c r="L5450" s="10" t="inlineStr">
        <is>
          <t>Giám Sát Tiến Độ, Lập Dự Toán Khối Lượng, Quản Lý Chất Lượng, Kế Toán Tổng Hợp, Môi Trường An Toàn</t>
        </is>
      </c>
      <c r="M5450" s="10" t="inlineStr">
        <is>
          <t>Bonus, Paid Leave, Training, Awards, Travel Opportunities</t>
        </is>
      </c>
      <c r="N5450" s="11">
        <f>HYPERLINK("https://www.vietnamworks.com/ky-su-xay-dungan-toan-moi-truong-hsetrac-djacky-su-mepqa-qcqsky-su-du-thaushop-drawingke-toan-2016167-jv","Xem chi tiết")</f>
        <v/>
      </c>
      <c r="O5450" s="10" t="n"/>
    </row>
    <row r="5451">
      <c r="B5451" s="7" t="n">
        <v>5449</v>
      </c>
      <c r="C5451" t="inlineStr">
        <is>
          <t>Nhân Viên Kỹ Thuật Sự Kiện (Event Technical Staff)</t>
        </is>
      </c>
      <c r="D5451" t="inlineStr">
        <is>
          <t>Công Ty Cổ Phần Tổ Chức Hội Nghị Việt Nam</t>
        </is>
      </c>
      <c r="E5451" t="inlineStr">
        <is>
          <t>8tr-11tr ₫/tháng</t>
        </is>
      </c>
      <c r="F5451" t="inlineStr">
        <is>
          <t>Hà Nội, Hồ Chí Minh</t>
        </is>
      </c>
      <c r="G5451" t="inlineStr">
        <is>
          <t>Nhân viên</t>
        </is>
      </c>
      <c r="H5451" t="inlineStr">
        <is>
          <t>28/02/2026</t>
        </is>
      </c>
      <c r="I5451" t="inlineStr">
        <is>
          <t>30/03/2026</t>
        </is>
      </c>
      <c r="J5451" t="inlineStr">
        <is>
          <t>17/03/2026</t>
        </is>
      </c>
      <c r="K5451" t="inlineStr">
        <is>
          <t>N/A</t>
        </is>
      </c>
      <c r="L5451" t="inlineStr">
        <is>
          <t>Kỹ Thuật Âm Thanh, Làm Việc Nhóm, Làm việc độc lập, Quản Lý Thời Gian</t>
        </is>
      </c>
      <c r="M5451" t="inlineStr">
        <is>
          <t>Bonus, Healthcare Plan, Paid Leave, Training, Team Activities, Others</t>
        </is>
      </c>
      <c r="N5451" s="8">
        <f>HYPERLINK("https://www.vietnamworks.com/nhan-vien-ky-thuat-su-kien-event-technical-staff-2016172-jv","Xem chi tiết")</f>
        <v/>
      </c>
    </row>
    <row r="5452">
      <c r="B5452" s="9" t="n">
        <v>5450</v>
      </c>
      <c r="C5452" s="10" t="inlineStr">
        <is>
          <t>Architectural Designer (Hospitality Projects)</t>
        </is>
      </c>
      <c r="D5452" s="10" t="inlineStr">
        <is>
          <t>Công ty TNHH Renoma</t>
        </is>
      </c>
      <c r="E5452" s="10" t="inlineStr">
        <is>
          <t>15tr-20tr ₫/tháng</t>
        </is>
      </c>
      <c r="F5452" s="10" t="inlineStr">
        <is>
          <t>Hồ Chí Minh</t>
        </is>
      </c>
      <c r="G5452" s="10" t="inlineStr">
        <is>
          <t>Nhân viên</t>
        </is>
      </c>
      <c r="H5452" s="10" t="inlineStr">
        <is>
          <t>27/02/2026</t>
        </is>
      </c>
      <c r="I5452" s="10" t="inlineStr">
        <is>
          <t>30/03/2026</t>
        </is>
      </c>
      <c r="J5452" s="10" t="inlineStr">
        <is>
          <t>17/03/2026</t>
        </is>
      </c>
      <c r="K5452" s="10" t="inlineStr">
        <is>
          <t>N/A</t>
        </is>
      </c>
      <c r="L5452" s="10" t="inlineStr">
        <is>
          <t>AutoCAD, Sketchup, Architect, Architectural Design, Facade Design</t>
        </is>
      </c>
      <c r="M5452" s="10" t="inlineStr">
        <is>
          <t>Bonus, Healthcare Plan, Laptop, Travel Opportunities, Team Activities</t>
        </is>
      </c>
      <c r="N5452" s="11">
        <f>HYPERLINK("https://www.vietnamworks.com/architectural-designer-hospitality-projects-2015849-jv","Xem chi tiết")</f>
        <v/>
      </c>
      <c r="O5452" s="10" t="n"/>
    </row>
    <row r="5453">
      <c r="B5453" s="7" t="n">
        <v>5451</v>
      </c>
      <c r="C5453" t="inlineStr">
        <is>
          <t>Phó Phòng Kế Hoạch Và Quản Lý Dự Án</t>
        </is>
      </c>
      <c r="D5453" t="inlineStr">
        <is>
          <t>CÔNG TY CỔ PHẦN MAT GROUP</t>
        </is>
      </c>
      <c r="E5453" t="inlineStr">
        <is>
          <t>Tới $ 1,500 /tháng</t>
        </is>
      </c>
      <c r="F5453" t="inlineStr">
        <is>
          <t>Hà Nội</t>
        </is>
      </c>
      <c r="G5453" t="inlineStr">
        <is>
          <t>Trưởng phòng</t>
        </is>
      </c>
      <c r="H5453" t="inlineStr">
        <is>
          <t>28/02/2026</t>
        </is>
      </c>
      <c r="I5453" t="inlineStr">
        <is>
          <t>30/03/2026</t>
        </is>
      </c>
      <c r="J5453" t="inlineStr">
        <is>
          <t>17/03/2026</t>
        </is>
      </c>
      <c r="K5453" t="inlineStr">
        <is>
          <t>N/A</t>
        </is>
      </c>
      <c r="L5453" t="inlineStr">
        <is>
          <t>Planning, Project Management, Strategy Implementation, Marketing Agency, Marketing &amp; Advertising Strategy</t>
        </is>
      </c>
      <c r="M5453" t="inlineStr">
        <is>
          <t>Bonus, Healthcare Plan, Training, Others</t>
        </is>
      </c>
      <c r="N5453" s="8">
        <f>HYPERLINK("https://www.vietnamworks.com/pho-phong-ke-hoach-va-quan-ly-du-an-2016170-jv","Xem chi tiết")</f>
        <v/>
      </c>
    </row>
    <row r="5454">
      <c r="B5454" s="9" t="n">
        <v>5452</v>
      </c>
      <c r="C5454" s="10" t="inlineStr">
        <is>
          <t>Trưởng Ban Kiểm Soát Nội Bộ Tập Đoàn</t>
        </is>
      </c>
      <c r="D5454" s="10" t="inlineStr">
        <is>
          <t>CÔNG TY CỔ PHẦN TẬP ĐOÀN ĐẦU TƯ HOÀNG GIA VIỆT NAM</t>
        </is>
      </c>
      <c r="E5454" s="10" t="inlineStr">
        <is>
          <t>Thương lượng</t>
        </is>
      </c>
      <c r="F5454" s="10" t="inlineStr">
        <is>
          <t>Hồ Chí Minh</t>
        </is>
      </c>
      <c r="G5454" s="10" t="inlineStr">
        <is>
          <t>Giám Đốc và Cấp Cao Hơn</t>
        </is>
      </c>
      <c r="H5454" s="10" t="inlineStr">
        <is>
          <t>28/02/2026</t>
        </is>
      </c>
      <c r="I5454" s="10" t="inlineStr">
        <is>
          <t>30/03/2026</t>
        </is>
      </c>
      <c r="J5454" s="10" t="inlineStr">
        <is>
          <t>17/03/2026</t>
        </is>
      </c>
      <c r="K5454" s="10" t="inlineStr">
        <is>
          <t>N/A</t>
        </is>
      </c>
      <c r="L5454" s="10" t="inlineStr">
        <is>
          <t>Kiểm Soát Nội Bộ, Kiểm Toán Nội Bộ, Quản Trị Rủi Ro, ERP, Xây Dựng Quy Trình</t>
        </is>
      </c>
      <c r="M5454" s="10" t="inlineStr">
        <is>
          <t>Healthcare Plan, Training, Travel Opportunities</t>
        </is>
      </c>
      <c r="N5454" s="11">
        <f>HYPERLINK("https://www.vietnamworks.com/truong-ban-kiem-soat-noi-bo-tap-doan--2016178-jv","Xem chi tiết")</f>
        <v/>
      </c>
      <c r="O5454" s="10" t="n"/>
    </row>
    <row r="5455">
      <c r="B5455" s="7" t="n">
        <v>5453</v>
      </c>
      <c r="C5455" t="inlineStr">
        <is>
          <t>Giám Đốc Pháp Chế</t>
        </is>
      </c>
      <c r="D5455" t="inlineStr">
        <is>
          <t>CÔNG TY CỔ PHẦN TẬP ĐOÀN ĐẦU TƯ HOÀNG GIA VIỆT NAM</t>
        </is>
      </c>
      <c r="E5455" t="inlineStr">
        <is>
          <t>Thương lượng</t>
        </is>
      </c>
      <c r="F5455" t="inlineStr">
        <is>
          <t>Hồ Chí Minh</t>
        </is>
      </c>
      <c r="G5455" t="inlineStr">
        <is>
          <t>Giám Đốc và Cấp Cao Hơn</t>
        </is>
      </c>
      <c r="H5455" t="inlineStr">
        <is>
          <t>28/02/2026</t>
        </is>
      </c>
      <c r="I5455" t="inlineStr">
        <is>
          <t>30/03/2026</t>
        </is>
      </c>
      <c r="J5455" t="inlineStr">
        <is>
          <t>17/03/2026</t>
        </is>
      </c>
      <c r="K5455" t="inlineStr">
        <is>
          <t>N/A</t>
        </is>
      </c>
      <c r="L5455" t="inlineStr">
        <is>
          <t>Tuyển Dụng, Pháp Chế Doanh Nghiệp, Pháp Lý</t>
        </is>
      </c>
      <c r="M5455" t="inlineStr">
        <is>
          <t>Bonus, Healthcare Plan, Training, Travel Opportunities, Canteen</t>
        </is>
      </c>
      <c r="N5455" s="8">
        <f>HYPERLINK("https://www.vietnamworks.com/giam-djoc-phap-che-2016177-jv","Xem chi tiết")</f>
        <v/>
      </c>
    </row>
    <row r="5456">
      <c r="B5456" s="9" t="n">
        <v>5454</v>
      </c>
      <c r="C5456" s="10" t="inlineStr">
        <is>
          <t>Giám Đốc Nhân Sự - Hành Chính</t>
        </is>
      </c>
      <c r="D5456" s="10" t="inlineStr">
        <is>
          <t>CÔNG TY CỔ PHẦN TẬP ĐOÀN ĐẦU TƯ HOÀNG GIA VIỆT NAM</t>
        </is>
      </c>
      <c r="E5456" s="10" t="inlineStr">
        <is>
          <t>Thương lượng</t>
        </is>
      </c>
      <c r="F5456" s="10" t="inlineStr">
        <is>
          <t>Hồ Chí Minh</t>
        </is>
      </c>
      <c r="G5456" s="10" t="inlineStr">
        <is>
          <t>Giám Đốc và Cấp Cao Hơn</t>
        </is>
      </c>
      <c r="H5456" s="10" t="inlineStr">
        <is>
          <t>28/02/2026</t>
        </is>
      </c>
      <c r="I5456" s="10" t="inlineStr">
        <is>
          <t>30/03/2026</t>
        </is>
      </c>
      <c r="J5456" s="10" t="inlineStr">
        <is>
          <t>17/03/2026</t>
        </is>
      </c>
      <c r="K5456" s="10" t="inlineStr">
        <is>
          <t>N/A</t>
        </is>
      </c>
      <c r="L5456" s="10" t="inlineStr">
        <is>
          <t>Kỹ năng giao tiếp, Kỹ Năng Ra Quyết Định, Luật, Quản Trị Nhân Lực, Tâm Lý Học</t>
        </is>
      </c>
      <c r="M5456" s="10" t="inlineStr">
        <is>
          <t>Healthcare Plan, Training, Travel Opportunities, Canteen</t>
        </is>
      </c>
      <c r="N5456" s="11">
        <f>HYPERLINK("https://www.vietnamworks.com/giam-djoc-nhan-su-hanh-chinh-2016175-jv","Xem chi tiết")</f>
        <v/>
      </c>
      <c r="O5456" s="10" t="n"/>
    </row>
    <row r="5457">
      <c r="B5457" s="7" t="n">
        <v>5455</v>
      </c>
      <c r="C5457" t="inlineStr">
        <is>
          <t>Project Manager – Business Expansion &amp; Setup</t>
        </is>
      </c>
      <c r="D5457" t="inlineStr">
        <is>
          <t>GSM - Xanh SM</t>
        </is>
      </c>
      <c r="E5457" t="inlineStr">
        <is>
          <t>$$ 1,500-2,500 /tháng</t>
        </is>
      </c>
      <c r="F5457" t="inlineStr">
        <is>
          <t>Hà Nội</t>
        </is>
      </c>
      <c r="G5457" t="inlineStr">
        <is>
          <t>Nhân viên</t>
        </is>
      </c>
      <c r="H5457" t="inlineStr">
        <is>
          <t>28/02/2026</t>
        </is>
      </c>
      <c r="I5457" t="inlineStr">
        <is>
          <t>30/03/2026</t>
        </is>
      </c>
      <c r="J5457" t="inlineStr">
        <is>
          <t>17/03/2026</t>
        </is>
      </c>
      <c r="K5457" t="inlineStr">
        <is>
          <t>N/A</t>
        </is>
      </c>
      <c r="L5457" t="inlineStr">
        <is>
          <t>Business Expansion, Problem-solving, Project Management, Stakeholder Coordination, Business Administration</t>
        </is>
      </c>
      <c r="M5457" t="inlineStr">
        <is>
          <t>Bonus</t>
        </is>
      </c>
      <c r="N5457" s="8">
        <f>HYPERLINK("https://www.vietnamworks.com/project-manager-business-expansion-setup-2016179-jv","Xem chi tiết")</f>
        <v/>
      </c>
    </row>
    <row r="5458">
      <c r="B5458" s="9" t="n">
        <v>5456</v>
      </c>
      <c r="C5458" s="10" t="inlineStr">
        <is>
          <t>Senior Legal Counsel</t>
        </is>
      </c>
      <c r="D5458" s="10" t="inlineStr">
        <is>
          <t>Vingroup</t>
        </is>
      </c>
      <c r="E5458" s="10" t="inlineStr">
        <is>
          <t>Thương lượng</t>
        </is>
      </c>
      <c r="F5458" s="10" t="inlineStr">
        <is>
          <t>Hà Nội</t>
        </is>
      </c>
      <c r="G5458" s="10" t="inlineStr">
        <is>
          <t>Nhân viên</t>
        </is>
      </c>
      <c r="H5458" s="10" t="inlineStr">
        <is>
          <t>28/02/2026</t>
        </is>
      </c>
      <c r="I5458" s="10" t="inlineStr">
        <is>
          <t>30/03/2026</t>
        </is>
      </c>
      <c r="J5458" s="10" t="inlineStr">
        <is>
          <t>17/03/2026</t>
        </is>
      </c>
      <c r="K5458" s="10" t="inlineStr">
        <is>
          <t>N/A</t>
        </is>
      </c>
      <c r="L5458" s="10" t="inlineStr">
        <is>
          <t>Legal, Real Estate, International Transaction, M&amp;A, Commercial Law</t>
        </is>
      </c>
      <c r="M5458" s="10" t="inlineStr">
        <is>
          <t>Bonus, Healthcare Plan, Others</t>
        </is>
      </c>
      <c r="N5458" s="11">
        <f>HYPERLINK("https://www.vietnamworks.com/senior-legal-counsel--2016188-jv","Xem chi tiết")</f>
        <v/>
      </c>
      <c r="O5458" s="10" t="n"/>
    </row>
    <row r="5459">
      <c r="B5459" s="7" t="n">
        <v>5457</v>
      </c>
      <c r="C5459" t="inlineStr">
        <is>
          <t>[Quảng Ninh] Trưởng Bộ Phận Thực Phẩm Chế Biến Sẵn và Bánh Mì</t>
        </is>
      </c>
      <c r="D5459" t="inlineStr">
        <is>
          <t>Công Ty TNHH Aeon Việt Nam</t>
        </is>
      </c>
      <c r="E5459" t="inlineStr">
        <is>
          <t>Thương lượng</t>
        </is>
      </c>
      <c r="F5459" t="inlineStr">
        <is>
          <t>Quảng Ninh</t>
        </is>
      </c>
      <c r="G5459" t="inlineStr">
        <is>
          <t>Trưởng phòng</t>
        </is>
      </c>
      <c r="H5459" t="inlineStr">
        <is>
          <t>28/02/2026</t>
        </is>
      </c>
      <c r="I5459" t="inlineStr">
        <is>
          <t>30/03/2026</t>
        </is>
      </c>
      <c r="J5459" t="inlineStr">
        <is>
          <t>17/03/2026</t>
        </is>
      </c>
      <c r="K5459" t="inlineStr">
        <is>
          <t>N/A</t>
        </is>
      </c>
      <c r="L5459" t="inlineStr">
        <is>
          <t>Bán Lẻ, Thực Phẩm - Ăn uống, Kinh Doanh Siêu Thị, Vệ Sinh An Toàn Thực Phẩm, Quản Lý Nhân Sự</t>
        </is>
      </c>
      <c r="M5459" t="inlineStr">
        <is>
          <t>Bonus, Healthcare Plan, Training</t>
        </is>
      </c>
      <c r="N5459" s="8">
        <f>HYPERLINK("https://www.vietnamworks.com/quang-ninh-truong-bo-phan-thuc-pham-che-bien-san-va-banh-mi-2016189-jv","Xem chi tiết")</f>
        <v/>
      </c>
    </row>
    <row r="5460">
      <c r="B5460" s="9" t="n">
        <v>5458</v>
      </c>
      <c r="C5460" s="10" t="inlineStr">
        <is>
          <t>Trưởng Nhóm Kế Toán (Accounting Team Leader)</t>
        </is>
      </c>
      <c r="D5460" s="10" t="inlineStr">
        <is>
          <t>Công Ty TNHH Dịch Vụ Tư Vấn Thuế Hinh Lam</t>
        </is>
      </c>
      <c r="E5460" s="10" t="inlineStr">
        <is>
          <t>30tr-50tr ₫/tháng</t>
        </is>
      </c>
      <c r="F5460" s="10" t="inlineStr">
        <is>
          <t>Hà Nội</t>
        </is>
      </c>
      <c r="G5460" s="10" t="inlineStr">
        <is>
          <t>Trưởng phòng</t>
        </is>
      </c>
      <c r="H5460" s="10" t="inlineStr">
        <is>
          <t>28/02/2026</t>
        </is>
      </c>
      <c r="I5460" s="10" t="inlineStr">
        <is>
          <t>30/03/2026</t>
        </is>
      </c>
      <c r="J5460" s="10" t="inlineStr">
        <is>
          <t>17/03/2026</t>
        </is>
      </c>
      <c r="K5460" s="10" t="inlineStr">
        <is>
          <t>N/A</t>
        </is>
      </c>
      <c r="L5460" s="10" t="inlineStr">
        <is>
          <t>Giao Tiếp Khách Hàng, Lãnh Đạo, Quản Lý Công Việc, Thẩm Định Vấn Đề, Thích Ứng</t>
        </is>
      </c>
      <c r="M5460" s="10" t="inlineStr">
        <is>
          <t>Bonus, Healthcare Plan, Training, Awards, Travel Opportunities, Team Activities, Others</t>
        </is>
      </c>
      <c r="N5460" s="11">
        <f>HYPERLINK("https://www.vietnamworks.com/truong-nhom-ke-toan-accounting-team-leader-2016186-jv","Xem chi tiết")</f>
        <v/>
      </c>
      <c r="O5460" s="10" t="n"/>
    </row>
    <row r="5461">
      <c r="B5461" s="7" t="n">
        <v>5459</v>
      </c>
      <c r="C5461" t="inlineStr">
        <is>
          <t>Sales Staff - No Experience (Bình Dương Cũ)</t>
        </is>
      </c>
      <c r="D5461" t="inlineStr">
        <is>
          <t>CÔNG TY TNHH DUKSUNG VINA</t>
        </is>
      </c>
      <c r="E5461" t="inlineStr">
        <is>
          <t>10tr-15tr ₫/tháng</t>
        </is>
      </c>
      <c r="F5461" t="inlineStr">
        <is>
          <t>Bình Dương, Hồ Chí Minh</t>
        </is>
      </c>
      <c r="G5461" t="inlineStr">
        <is>
          <t>Mới Tốt Nghiệp</t>
        </is>
      </c>
      <c r="H5461" t="inlineStr">
        <is>
          <t>28/02/2026</t>
        </is>
      </c>
      <c r="I5461" t="inlineStr">
        <is>
          <t>30/03/2026</t>
        </is>
      </c>
      <c r="J5461" t="inlineStr">
        <is>
          <t>17/03/2026</t>
        </is>
      </c>
      <c r="K5461" t="inlineStr">
        <is>
          <t>N/A</t>
        </is>
      </c>
      <c r="L5461" t="inlineStr">
        <is>
          <t>Customer Service, Sales Support, Kinh Doanh, Phát Triển Kinh Doanh, Sales</t>
        </is>
      </c>
      <c r="M5461" t="inlineStr">
        <is>
          <t>Bonus, Training, Laptop, Transportation, Others</t>
        </is>
      </c>
      <c r="N5461" s="8">
        <f>HYPERLINK("https://www.vietnamworks.com/sales-staff-no-experience-binh-duong-cu-2016182-jv","Xem chi tiết")</f>
        <v/>
      </c>
    </row>
    <row r="5462">
      <c r="B5462" s="9" t="n">
        <v>5460</v>
      </c>
      <c r="C5462" s="10" t="inlineStr">
        <is>
          <t>Chuyên Viên Thiết Kế Đồ Hoạ</t>
        </is>
      </c>
      <c r="D5462" s="10" t="inlineStr">
        <is>
          <t>T&amp;T Group</t>
        </is>
      </c>
      <c r="E5462" s="10" t="inlineStr">
        <is>
          <t>Thương lượng</t>
        </is>
      </c>
      <c r="F5462" s="10" t="inlineStr">
        <is>
          <t>Hà Nội</t>
        </is>
      </c>
      <c r="G5462" s="10" t="inlineStr">
        <is>
          <t>Nhân viên</t>
        </is>
      </c>
      <c r="H5462" s="10" t="inlineStr">
        <is>
          <t>28/02/2026</t>
        </is>
      </c>
      <c r="I5462" s="10" t="inlineStr">
        <is>
          <t>30/03/2026</t>
        </is>
      </c>
      <c r="J5462" s="10" t="inlineStr">
        <is>
          <t>17/03/2026</t>
        </is>
      </c>
      <c r="K5462" s="10" t="inlineStr">
        <is>
          <t>N/A</t>
        </is>
      </c>
      <c r="L5462" s="10" t="inlineStr">
        <is>
          <t>Thiết Kế Đồ Họa, Graphic Designer, Graphic Design</t>
        </is>
      </c>
      <c r="M5462" s="10" t="inlineStr">
        <is>
          <t>Bonus, Healthcare Plan, Others</t>
        </is>
      </c>
      <c r="N5462" s="11">
        <f>HYPERLINK("https://www.vietnamworks.com/chuyen-vien-thiet-ke-do-hoa--2016180-jv","Xem chi tiết")</f>
        <v/>
      </c>
      <c r="O5462" s="10" t="n"/>
    </row>
    <row r="5463">
      <c r="B5463" s="7" t="n">
        <v>5461</v>
      </c>
      <c r="C5463" t="inlineStr">
        <is>
          <t>Nhân viên Nhân sự</t>
        </is>
      </c>
      <c r="D5463" t="inlineStr">
        <is>
          <t>Vacons (Interior Design &amp; Build)</t>
        </is>
      </c>
      <c r="E5463" t="inlineStr">
        <is>
          <t>12tr-20tr ₫/tháng</t>
        </is>
      </c>
      <c r="F5463" t="inlineStr">
        <is>
          <t>Hồ Chí Minh</t>
        </is>
      </c>
      <c r="G5463" t="inlineStr">
        <is>
          <t>Nhân viên</t>
        </is>
      </c>
      <c r="H5463" t="inlineStr">
        <is>
          <t>28/02/2026</t>
        </is>
      </c>
      <c r="I5463" t="inlineStr">
        <is>
          <t>30/03/2026</t>
        </is>
      </c>
      <c r="J5463" t="inlineStr">
        <is>
          <t>17/03/2026</t>
        </is>
      </c>
      <c r="K5463" t="inlineStr">
        <is>
          <t>N/A</t>
        </is>
      </c>
      <c r="L5463" t="inlineStr">
        <is>
          <t>Giao Tiếp, Tiếng Anh, Tuyển Dụng, Xây Dựng Kpi</t>
        </is>
      </c>
      <c r="M5463" t="inlineStr">
        <is>
          <t>Bonus, Healthcare Plan, Team Activities, Others</t>
        </is>
      </c>
      <c r="N5463" s="8">
        <f>HYPERLINK("https://www.vietnamworks.com/nhan-vien-nhan-su-2016190-jv","Xem chi tiết")</f>
        <v/>
      </c>
    </row>
    <row r="5464">
      <c r="B5464" s="9" t="n">
        <v>5462</v>
      </c>
      <c r="C5464" s="10" t="inlineStr">
        <is>
          <t>Chủ Trì Thiết Kế Kiến Trúc 2D</t>
        </is>
      </c>
      <c r="D5464" s="10" t="inlineStr">
        <is>
          <t>Công Ty Cổ Phần Tập Đoàn Sunshine</t>
        </is>
      </c>
      <c r="E5464" s="10" t="inlineStr">
        <is>
          <t>40tr-50tr ₫/tháng</t>
        </is>
      </c>
      <c r="F5464" s="10" t="inlineStr">
        <is>
          <t>Hà Nội</t>
        </is>
      </c>
      <c r="G5464" s="10" t="inlineStr">
        <is>
          <t>Nhân viên</t>
        </is>
      </c>
      <c r="H5464" s="10" t="inlineStr">
        <is>
          <t>28/02/2026</t>
        </is>
      </c>
      <c r="I5464" s="10" t="inlineStr">
        <is>
          <t>30/03/2026</t>
        </is>
      </c>
      <c r="J5464" s="10" t="inlineStr">
        <is>
          <t>17/03/2026</t>
        </is>
      </c>
      <c r="K5464" s="10" t="inlineStr">
        <is>
          <t>N/A</t>
        </is>
      </c>
      <c r="L5464" s="10" t="inlineStr">
        <is>
          <t>Architecture Design, Autocad, Communication, Photoshop, Sketchup</t>
        </is>
      </c>
      <c r="M5464" s="10" t="inlineStr">
        <is>
          <t>Bonus, Healthcare Plan, Team Activities, Canteen, Others</t>
        </is>
      </c>
      <c r="N5464" s="11">
        <f>HYPERLINK("https://www.vietnamworks.com/chu-tri-thiet-ke-kien-truc-2d-2016194-jv","Xem chi tiết")</f>
        <v/>
      </c>
      <c r="O5464" s="10" t="n"/>
    </row>
    <row r="5465">
      <c r="B5465" s="7" t="n">
        <v>5463</v>
      </c>
      <c r="C5465" t="inlineStr">
        <is>
          <t>Receptionist cum Admin - HCMC Office</t>
        </is>
      </c>
      <c r="D5465" t="inlineStr">
        <is>
          <t>Ernst &amp; Young Vietnam Limited (EY Vietnam)</t>
        </is>
      </c>
      <c r="E5465" t="inlineStr">
        <is>
          <t>Thương lượng</t>
        </is>
      </c>
      <c r="F5465" t="inlineStr">
        <is>
          <t>Hồ Chí Minh</t>
        </is>
      </c>
      <c r="G5465" t="inlineStr">
        <is>
          <t>Mới Tốt Nghiệp</t>
        </is>
      </c>
      <c r="H5465" t="inlineStr">
        <is>
          <t>28/02/2026</t>
        </is>
      </c>
      <c r="I5465" t="inlineStr">
        <is>
          <t>30/03/2026</t>
        </is>
      </c>
      <c r="J5465" t="inlineStr">
        <is>
          <t>17/03/2026</t>
        </is>
      </c>
      <c r="K5465" t="inlineStr">
        <is>
          <t>N/A</t>
        </is>
      </c>
      <c r="L5465" t="inlineStr">
        <is>
          <t>Admin Support, Communication Skills, Receptionist, Well Organized</t>
        </is>
      </c>
      <c r="M5465" t="inlineStr">
        <is>
          <t>Bonus, Awards, Others</t>
        </is>
      </c>
      <c r="N5465" s="8">
        <f>HYPERLINK("https://www.vietnamworks.com/receptionist-cum-admin-hcmc-office-2016192-jv","Xem chi tiết")</f>
        <v/>
      </c>
    </row>
    <row r="5466">
      <c r="B5466" s="9" t="n">
        <v>5464</v>
      </c>
      <c r="C5466" s="10" t="inlineStr">
        <is>
          <t>Finance Controller</t>
        </is>
      </c>
      <c r="D5466" s="10" t="inlineStr">
        <is>
          <t>Công Ty TNHH Giáo Dục Và Đào Tạo Vinacademy</t>
        </is>
      </c>
      <c r="E5466" s="10" t="inlineStr">
        <is>
          <t>Thương lượng</t>
        </is>
      </c>
      <c r="F5466" s="10" t="inlineStr">
        <is>
          <t>Hà Nội</t>
        </is>
      </c>
      <c r="G5466" s="10" t="inlineStr">
        <is>
          <t>Trưởng phòng</t>
        </is>
      </c>
      <c r="H5466" s="10" t="inlineStr">
        <is>
          <t>28/02/2026</t>
        </is>
      </c>
      <c r="I5466" s="10" t="inlineStr">
        <is>
          <t>30/03/2026</t>
        </is>
      </c>
      <c r="J5466" s="10" t="inlineStr">
        <is>
          <t>17/03/2026</t>
        </is>
      </c>
      <c r="K5466" s="10" t="inlineStr">
        <is>
          <t>N/A</t>
        </is>
      </c>
      <c r="L5466" s="10" t="inlineStr">
        <is>
          <t>Problem Solving, Finance Planning, Financial Control, Financial Report, Team leader experience</t>
        </is>
      </c>
      <c r="M5466" s="10" t="inlineStr">
        <is>
          <t>Healthcare Plan, Training, Laptop</t>
        </is>
      </c>
      <c r="N5466" s="11">
        <f>HYPERLINK("https://www.vietnamworks.com/finance-controller--2016208-jv","Xem chi tiết")</f>
        <v/>
      </c>
      <c r="O5466" s="10" t="n"/>
    </row>
    <row r="5467">
      <c r="B5467" s="7" t="n">
        <v>5465</v>
      </c>
      <c r="C5467" t="inlineStr">
        <is>
          <t>Tổng Quản Lý (Nguồn)</t>
        </is>
      </c>
      <c r="D5467" t="inlineStr">
        <is>
          <t>VinWonders</t>
        </is>
      </c>
      <c r="E5467" t="inlineStr">
        <is>
          <t>Từ $ 3,000 /tháng</t>
        </is>
      </c>
      <c r="F5467" t="inlineStr">
        <is>
          <t>Khánh Hòa, Kiên Giang, Hồ Chí Minh</t>
        </is>
      </c>
      <c r="G5467" t="inlineStr">
        <is>
          <t>Giám Đốc và Cấp Cao Hơn</t>
        </is>
      </c>
      <c r="H5467" t="inlineStr">
        <is>
          <t>28/02/2026</t>
        </is>
      </c>
      <c r="I5467" t="inlineStr">
        <is>
          <t>30/03/2026</t>
        </is>
      </c>
      <c r="J5467" t="inlineStr">
        <is>
          <t>17/03/2026</t>
        </is>
      </c>
      <c r="K5467" t="inlineStr">
        <is>
          <t>N/A</t>
        </is>
      </c>
      <c r="L5467" t="inlineStr">
        <is>
          <t>Quản Lý Khu Vui Chơi</t>
        </is>
      </c>
      <c r="M5467" t="inlineStr">
        <is>
          <t>Bonus, Healthcare Plan, Vouchers</t>
        </is>
      </c>
      <c r="N5467" s="8">
        <f>HYPERLINK("https://www.vietnamworks.com/tong-quan-ly-nguon-1-1-1-1-1--2016225-jv","Xem chi tiết")</f>
        <v/>
      </c>
    </row>
    <row r="5468">
      <c r="B5468" s="9" t="n">
        <v>5466</v>
      </c>
      <c r="C5468" s="10" t="inlineStr">
        <is>
          <t>Cvcc/cg Phân Tích Tín Dụng - Khối KHDN Lớn và Đầu Tư - Id503</t>
        </is>
      </c>
      <c r="D5468" s="10" t="inlineStr">
        <is>
          <t>VPBank - Https://tuyendung.vpbank.com.vn/</t>
        </is>
      </c>
      <c r="E5468" s="10" t="inlineStr">
        <is>
          <t>Thương lượng</t>
        </is>
      </c>
      <c r="F5468" s="10" t="inlineStr">
        <is>
          <t>Hồ Chí Minh</t>
        </is>
      </c>
      <c r="G5468" s="10" t="inlineStr">
        <is>
          <t>Nhân viên</t>
        </is>
      </c>
      <c r="H5468" s="10" t="inlineStr">
        <is>
          <t>28/02/2026</t>
        </is>
      </c>
      <c r="I5468" s="10" t="inlineStr">
        <is>
          <t>30/03/2026</t>
        </is>
      </c>
      <c r="J5468" s="10" t="inlineStr">
        <is>
          <t>17/03/2026</t>
        </is>
      </c>
      <c r="K5468" s="10" t="inlineStr">
        <is>
          <t>N/A</t>
        </is>
      </c>
      <c r="L5468" s="10" t="inlineStr">
        <is>
          <t>Analytical Thinking, Consulting, Banking Finance</t>
        </is>
      </c>
      <c r="M5468" s="10" t="inlineStr">
        <is>
          <t>Bonus, Healthcare Plan, Paid Leave</t>
        </is>
      </c>
      <c r="N5468" s="11">
        <f>HYPERLINK("https://www.vietnamworks.com/cvcc-cg-phan-tich-tin-dung-khoi-khdn-lon-va-dau-tu-id503-2016191-jv","Xem chi tiết")</f>
        <v/>
      </c>
      <c r="O5468" s="10" t="n"/>
    </row>
    <row r="5469">
      <c r="B5469" s="7" t="n">
        <v>5467</v>
      </c>
      <c r="C5469" t="inlineStr">
        <is>
          <t>Chuyên Viên Diễn Họa</t>
        </is>
      </c>
      <c r="D5469" t="inlineStr">
        <is>
          <t>Công Ty Cổ Phần Tập Đoàn Sunshine</t>
        </is>
      </c>
      <c r="E5469" t="inlineStr">
        <is>
          <t>20tr-35tr ₫/tháng</t>
        </is>
      </c>
      <c r="F5469" t="inlineStr">
        <is>
          <t>Hà Nội</t>
        </is>
      </c>
      <c r="G5469" t="inlineStr">
        <is>
          <t>Nhân viên</t>
        </is>
      </c>
      <c r="H5469" t="inlineStr">
        <is>
          <t>28/02/2026</t>
        </is>
      </c>
      <c r="I5469" t="inlineStr">
        <is>
          <t>30/03/2026</t>
        </is>
      </c>
      <c r="J5469" t="inlineStr">
        <is>
          <t>17/03/2026</t>
        </is>
      </c>
      <c r="K5469" t="inlineStr">
        <is>
          <t>N/A</t>
        </is>
      </c>
      <c r="L5469" t="inlineStr">
        <is>
          <t>Diễn Họa Kiến Trúc, Làm Phim 3D Max, Làm Việc Nhóm, Photoshop Hậu Kì, Sketchup</t>
        </is>
      </c>
      <c r="M5469" t="inlineStr">
        <is>
          <t>Bonus, Paid Leave, Team Activities, Others</t>
        </is>
      </c>
      <c r="N5469" s="8">
        <f>HYPERLINK("https://www.vietnamworks.com/chuyen-vien-dien-hoa-2016195-jv","Xem chi tiết")</f>
        <v/>
      </c>
    </row>
    <row r="5470">
      <c r="B5470" s="9" t="n">
        <v>5468</v>
      </c>
      <c r="C5470" s="10" t="inlineStr">
        <is>
          <t>Chuyên Viên Quản Lý Dự Án Cao Cấp-Senior Project Management Specialist</t>
        </is>
      </c>
      <c r="D5470" s="10" t="inlineStr">
        <is>
          <t>Công ty TNHH RR Donnelley (Bắc Ninh)</t>
        </is>
      </c>
      <c r="E5470" s="10" t="inlineStr">
        <is>
          <t>25tr-35tr ₫/tháng</t>
        </is>
      </c>
      <c r="F5470" s="10" t="inlineStr">
        <is>
          <t>Bắc Ninh</t>
        </is>
      </c>
      <c r="G5470" s="10" t="inlineStr">
        <is>
          <t>Nhân viên</t>
        </is>
      </c>
      <c r="H5470" s="10" t="inlineStr">
        <is>
          <t>28/02/2026</t>
        </is>
      </c>
      <c r="I5470" s="10" t="inlineStr">
        <is>
          <t>30/03/2026</t>
        </is>
      </c>
      <c r="J5470" s="10" t="inlineStr">
        <is>
          <t>17/03/2026</t>
        </is>
      </c>
      <c r="K5470" s="10" t="inlineStr">
        <is>
          <t>N/A</t>
        </is>
      </c>
      <c r="L5470" s="10" t="inlineStr">
        <is>
          <t>Project magement</t>
        </is>
      </c>
      <c r="M5470" s="10" t="inlineStr">
        <is>
          <t>Bonus</t>
        </is>
      </c>
      <c r="N5470" s="11">
        <f>HYPERLINK("https://www.vietnamworks.com/chuyen-vien-quan-ly-du-an-cao-cap-senior-project-management-specialist-2016212-jv","Xem chi tiết")</f>
        <v/>
      </c>
      <c r="O5470" s="10" t="n"/>
    </row>
    <row r="5471">
      <c r="B5471" s="7" t="n">
        <v>5469</v>
      </c>
      <c r="C5471" t="inlineStr">
        <is>
          <t>Chuyên Viên Thiết Kế Đồ Họa - Ban Thiết Kế</t>
        </is>
      </c>
      <c r="D5471" t="inlineStr">
        <is>
          <t>Công Ty Cổ Phần Tập Đoàn Sunshine</t>
        </is>
      </c>
      <c r="E5471" t="inlineStr">
        <is>
          <t>20tr-35tr ₫/tháng</t>
        </is>
      </c>
      <c r="F5471" t="inlineStr">
        <is>
          <t>Hà Nội</t>
        </is>
      </c>
      <c r="G5471" t="inlineStr">
        <is>
          <t>Nhân viên</t>
        </is>
      </c>
      <c r="H5471" t="inlineStr">
        <is>
          <t>28/02/2026</t>
        </is>
      </c>
      <c r="I5471" t="inlineStr">
        <is>
          <t>30/03/2026</t>
        </is>
      </c>
      <c r="J5471" t="inlineStr">
        <is>
          <t>17/03/2026</t>
        </is>
      </c>
      <c r="K5471" t="inlineStr">
        <is>
          <t>N/A</t>
        </is>
      </c>
      <c r="L5471" t="inlineStr">
        <is>
          <t>Adobe Premiere, After Effects, Sản Xuất Phim, Sáng Tạo, Thiết Kế Đồ Họa</t>
        </is>
      </c>
      <c r="M5471" t="inlineStr">
        <is>
          <t>Bonus, Team Activities, Others</t>
        </is>
      </c>
      <c r="N5471" s="8">
        <f>HYPERLINK("https://www.vietnamworks.com/chuyen-vien-thiet-ke-djo-hoa-ban-thiet-ke-2016197-jv","Xem chi tiết")</f>
        <v/>
      </c>
    </row>
    <row r="5472">
      <c r="B5472" s="9" t="n">
        <v>5470</v>
      </c>
      <c r="C5472" s="10" t="inlineStr">
        <is>
          <t>Chuyên Viên Thiết Kế Quy Hoạch</t>
        </is>
      </c>
      <c r="D5472" s="10" t="inlineStr">
        <is>
          <t>Công Ty Cổ Phần Tập Đoàn Sunshine</t>
        </is>
      </c>
      <c r="E5472" s="10" t="inlineStr">
        <is>
          <t>20tr-35tr ₫/tháng</t>
        </is>
      </c>
      <c r="F5472" s="10" t="inlineStr">
        <is>
          <t>Hà Nội</t>
        </is>
      </c>
      <c r="G5472" s="10" t="inlineStr">
        <is>
          <t>Nhân viên</t>
        </is>
      </c>
      <c r="H5472" s="10" t="inlineStr">
        <is>
          <t>28/02/2026</t>
        </is>
      </c>
      <c r="I5472" s="10" t="inlineStr">
        <is>
          <t>30/03/2026</t>
        </is>
      </c>
      <c r="J5472" s="10" t="inlineStr">
        <is>
          <t>17/03/2026</t>
        </is>
      </c>
      <c r="K5472" s="10" t="inlineStr">
        <is>
          <t>N/A</t>
        </is>
      </c>
      <c r="L5472" s="10" t="inlineStr">
        <is>
          <t>Autocad, Giao Tiếp, Photoshop, Sketchup, Thiết Kế Quy Hoạch</t>
        </is>
      </c>
      <c r="M5472" s="10" t="inlineStr">
        <is>
          <t>Bonus, Healthcare Plan, Team Activities, Canteen, Others</t>
        </is>
      </c>
      <c r="N5472" s="11">
        <f>HYPERLINK("https://www.vietnamworks.com/chuyen-vien-thiet-ke-quy-hoach-2016200-jv","Xem chi tiết")</f>
        <v/>
      </c>
      <c r="O5472" s="10" t="n"/>
    </row>
    <row r="5473">
      <c r="B5473" s="7" t="n">
        <v>5471</v>
      </c>
      <c r="C5473" t="inlineStr">
        <is>
          <t>Smart Manufacturing Manager (Working in Hai Phong)</t>
        </is>
      </c>
      <c r="D5473" t="inlineStr">
        <is>
          <t>VINFAST TRADING AND PRODUCTION JSC</t>
        </is>
      </c>
      <c r="E5473" t="inlineStr">
        <is>
          <t>Thương lượng</t>
        </is>
      </c>
      <c r="F5473" t="inlineStr">
        <is>
          <t>Hải Phòng</t>
        </is>
      </c>
      <c r="G5473" t="inlineStr">
        <is>
          <t>Trưởng phòng</t>
        </is>
      </c>
      <c r="H5473" t="inlineStr">
        <is>
          <t>28/02/2026</t>
        </is>
      </c>
      <c r="I5473" t="inlineStr">
        <is>
          <t>30/03/2026</t>
        </is>
      </c>
      <c r="J5473" t="inlineStr">
        <is>
          <t>17/03/2026</t>
        </is>
      </c>
      <c r="K5473" t="inlineStr">
        <is>
          <t>N/A</t>
        </is>
      </c>
      <c r="L5473" t="inlineStr">
        <is>
          <t>Smart Manufacturing, Smart Plant, Optimization, Automation Engineering, Lean Production</t>
        </is>
      </c>
      <c r="M5473" t="inlineStr">
        <is>
          <t>Bonus, Healthcare Plan, Others</t>
        </is>
      </c>
      <c r="N5473" s="8">
        <f>HYPERLINK("https://www.vietnamworks.com/smart-manufacturing-manager-working-in-hai-phong-2016201-jv","Xem chi tiết")</f>
        <v/>
      </c>
    </row>
    <row r="5474">
      <c r="B5474" s="9" t="n">
        <v>5472</v>
      </c>
      <c r="C5474" s="10" t="inlineStr">
        <is>
          <t>Chuyên Viên C&amp;B Hợp Đồng 6 Tháng (14-16M)</t>
        </is>
      </c>
      <c r="D5474" s="10" t="inlineStr">
        <is>
          <t>Công Ty Cổ Phần Vua Nệm</t>
        </is>
      </c>
      <c r="E5474" s="10" t="inlineStr">
        <is>
          <t>$$ 600-700 /tháng</t>
        </is>
      </c>
      <c r="F5474" s="10" t="inlineStr">
        <is>
          <t>Hà Nội</t>
        </is>
      </c>
      <c r="G5474" s="10" t="inlineStr">
        <is>
          <t>Nhân viên</t>
        </is>
      </c>
      <c r="H5474" s="10" t="inlineStr">
        <is>
          <t>28/02/2026</t>
        </is>
      </c>
      <c r="I5474" s="10" t="inlineStr">
        <is>
          <t>30/03/2026</t>
        </is>
      </c>
      <c r="J5474" s="10" t="inlineStr">
        <is>
          <t>17/03/2026</t>
        </is>
      </c>
      <c r="K5474" s="10" t="inlineStr">
        <is>
          <t>N/A</t>
        </is>
      </c>
      <c r="L5474" s="10" t="inlineStr">
        <is>
          <t>C&amp;B, Lương Và Phúc Lợi, HR, C&amp;B &amp; Payroll, Payroll Operations</t>
        </is>
      </c>
      <c r="M5474" s="10" t="inlineStr">
        <is>
          <t>Bonus, Training, Awards</t>
        </is>
      </c>
      <c r="N5474" s="11">
        <f>HYPERLINK("https://www.vietnamworks.com/chuyen-vien-c-b-hop-dong-6-thang-14-16m-2016206-jv","Xem chi tiết")</f>
        <v/>
      </c>
      <c r="O5474" s="10" t="n"/>
    </row>
    <row r="5475">
      <c r="B5475" s="7" t="n">
        <v>5473</v>
      </c>
      <c r="C5475" t="inlineStr">
        <is>
          <t>Trưởng Phòng An Toàn Lao Động &amp; VSMT</t>
        </is>
      </c>
      <c r="D5475" t="inlineStr">
        <is>
          <t>CÔNG TY CỔ PHẦN ĐẦU TƯ VÀ XÂY DỰNG SGC</t>
        </is>
      </c>
      <c r="E5475" t="inlineStr">
        <is>
          <t>$$ 2,000-3,000 /tháng</t>
        </is>
      </c>
      <c r="F5475" t="inlineStr">
        <is>
          <t>Hưng Yên</t>
        </is>
      </c>
      <c r="G5475" t="inlineStr">
        <is>
          <t>Trưởng phòng</t>
        </is>
      </c>
      <c r="H5475" t="inlineStr">
        <is>
          <t>28/02/2026</t>
        </is>
      </c>
      <c r="I5475" t="inlineStr">
        <is>
          <t>30/03/2026</t>
        </is>
      </c>
      <c r="J5475" t="inlineStr">
        <is>
          <t>17/03/2026</t>
        </is>
      </c>
      <c r="K5475" t="inlineStr">
        <is>
          <t>N/A</t>
        </is>
      </c>
      <c r="L5475" t="inlineStr">
        <is>
          <t>HSE, HSE Management Systems, An Toàn Lao Động, Môi Trường An Toàn, Vệ Sinh Môi Trường</t>
        </is>
      </c>
      <c r="M5475" t="inlineStr">
        <is>
          <t>Bonus, Training, Awards</t>
        </is>
      </c>
      <c r="N5475" s="8">
        <f>HYPERLINK("https://www.vietnamworks.com/truong-phong-an-toan-lao-dong-vsmt-2016219-jv","Xem chi tiết")</f>
        <v/>
      </c>
    </row>
    <row r="5476">
      <c r="B5476" s="9" t="n">
        <v>5474</v>
      </c>
      <c r="C5476" s="10" t="inlineStr">
        <is>
          <t>Finance Coordinator (Part-Time)</t>
        </is>
      </c>
      <c r="D5476" s="10" t="inlineStr">
        <is>
          <t>Công Ty TNHH Giáo Dục Và Đào Tạo Vinacademy</t>
        </is>
      </c>
      <c r="E5476" s="10" t="inlineStr">
        <is>
          <t>Thương lượng</t>
        </is>
      </c>
      <c r="F5476" s="10" t="inlineStr">
        <is>
          <t>Hà Nội</t>
        </is>
      </c>
      <c r="G5476" s="10" t="inlineStr">
        <is>
          <t>Nhân viên</t>
        </is>
      </c>
      <c r="H5476" s="10" t="inlineStr">
        <is>
          <t>28/02/2026</t>
        </is>
      </c>
      <c r="I5476" s="10" t="inlineStr">
        <is>
          <t>30/03/2026</t>
        </is>
      </c>
      <c r="J5476" s="10" t="inlineStr">
        <is>
          <t>17/03/2026</t>
        </is>
      </c>
      <c r="K5476" s="10" t="inlineStr">
        <is>
          <t>N/A</t>
        </is>
      </c>
      <c r="L5476" s="10" t="inlineStr">
        <is>
          <t>Strategic Thinking, Problem Solving, Financial Skills, Coordinator, Teamwork</t>
        </is>
      </c>
      <c r="M5476" s="10" t="inlineStr">
        <is>
          <t>Healthcare Plan, Training, Laptop</t>
        </is>
      </c>
      <c r="N5476" s="11">
        <f>HYPERLINK("https://www.vietnamworks.com/finance-coordinator-part-time-2016209-jv","Xem chi tiết")</f>
        <v/>
      </c>
      <c r="O5476" s="10" t="n"/>
    </row>
    <row r="5477">
      <c r="B5477" s="7" t="n">
        <v>5475</v>
      </c>
      <c r="C5477" t="inlineStr">
        <is>
          <t xml:space="preserve">Kế toán tổng hợp </t>
        </is>
      </c>
      <c r="D5477" t="inlineStr">
        <is>
          <t>Công Ty Cổ Phần RV Nutrition Việt Nam</t>
        </is>
      </c>
      <c r="E5477" t="inlineStr">
        <is>
          <t>15tr-20tr ₫/tháng</t>
        </is>
      </c>
      <c r="F5477" t="inlineStr">
        <is>
          <t>Hà Nội</t>
        </is>
      </c>
      <c r="G5477" t="inlineStr">
        <is>
          <t>Nhân viên</t>
        </is>
      </c>
      <c r="H5477" t="inlineStr">
        <is>
          <t>28/02/2026</t>
        </is>
      </c>
      <c r="I5477" t="inlineStr">
        <is>
          <t>30/03/2026</t>
        </is>
      </c>
      <c r="J5477" t="inlineStr">
        <is>
          <t>17/03/2026</t>
        </is>
      </c>
      <c r="K5477" t="inlineStr">
        <is>
          <t>N/A</t>
        </is>
      </c>
      <c r="L5477" t="inlineStr">
        <is>
          <t>Thành thạo Microsoft office, Thành Thạo Misa, Thuế GTGT, TNDN, TNCN</t>
        </is>
      </c>
      <c r="M5477" t="inlineStr">
        <is>
          <t>Bonus</t>
        </is>
      </c>
      <c r="N5477" s="8">
        <f>HYPERLINK("https://www.vietnamworks.com/ke-toan-tong-hop-2016220-jv","Xem chi tiết")</f>
        <v/>
      </c>
    </row>
    <row r="5478">
      <c r="B5478" s="9" t="n">
        <v>5476</v>
      </c>
      <c r="C5478" s="10" t="inlineStr">
        <is>
          <t>[Tuyển Gấp] Project Sales / Nhân Viên Kinh Doanh Dự Án</t>
        </is>
      </c>
      <c r="D5478" s="10" t="inlineStr">
        <is>
          <t>Công Ty Cổ Phần Prime Group</t>
        </is>
      </c>
      <c r="E5478" s="10" t="inlineStr">
        <is>
          <t>18tr-20tr ₫/tháng</t>
        </is>
      </c>
      <c r="F5478" s="10" t="inlineStr">
        <is>
          <t>Vĩnh Phúc, Hà Nội, Hồ Chí Minh</t>
        </is>
      </c>
      <c r="G5478" s="10" t="inlineStr">
        <is>
          <t>Nhân viên</t>
        </is>
      </c>
      <c r="H5478" s="10" t="inlineStr">
        <is>
          <t>28/02/2026</t>
        </is>
      </c>
      <c r="I5478" s="10" t="inlineStr">
        <is>
          <t>30/03/2026</t>
        </is>
      </c>
      <c r="J5478" s="10" t="inlineStr">
        <is>
          <t>17/03/2026</t>
        </is>
      </c>
      <c r="K5478" s="10" t="inlineStr">
        <is>
          <t>N/A</t>
        </is>
      </c>
      <c r="L5478" s="10" t="inlineStr">
        <is>
          <t>Presales Technical, kiến trúc, Project Sales, Kinh Nghiệm Presale, Bán Hàng Dự Án</t>
        </is>
      </c>
      <c r="M5478" s="10" t="inlineStr">
        <is>
          <t>Bonus, Training, Vouchers</t>
        </is>
      </c>
      <c r="N5478" s="11">
        <f>HYPERLINK("https://www.vietnamworks.com/tuyen-gap-project-sales-nhan-vien-kinh-doanh-du-an-2016223-jv","Xem chi tiết")</f>
        <v/>
      </c>
      <c r="O5478" s="10" t="n"/>
    </row>
    <row r="5479">
      <c r="B5479" s="7" t="n">
        <v>5477</v>
      </c>
      <c r="C5479" t="inlineStr">
        <is>
          <t>Trưởng Phòng Kỹ Thuật Thi Công (Hạ Tầng/ Cầu/ Hầm Ngầm)</t>
        </is>
      </c>
      <c r="D5479" t="inlineStr">
        <is>
          <t>CÔNG TY CỔ PHẦN ĐẦU TƯ VÀ XÂY DỰNG SGC</t>
        </is>
      </c>
      <c r="E5479" t="inlineStr">
        <is>
          <t>$$ 3,000-6,000 /tháng</t>
        </is>
      </c>
      <c r="F5479" t="inlineStr">
        <is>
          <t>Hưng Yên</t>
        </is>
      </c>
      <c r="G5479" t="inlineStr">
        <is>
          <t>Trưởng phòng</t>
        </is>
      </c>
      <c r="H5479" t="inlineStr">
        <is>
          <t>28/02/2026</t>
        </is>
      </c>
      <c r="I5479" t="inlineStr">
        <is>
          <t>30/03/2026</t>
        </is>
      </c>
      <c r="J5479" t="inlineStr">
        <is>
          <t>17/03/2026</t>
        </is>
      </c>
      <c r="K5479" t="inlineStr">
        <is>
          <t>N/A</t>
        </is>
      </c>
      <c r="L5479" t="inlineStr">
        <is>
          <t>Xây Dựng, Kinh Nghiệm Cầu Đường, Kỹ Thuật Thi Công, Giao Thông Vận Tải, Kiến trúc</t>
        </is>
      </c>
      <c r="M5479" t="inlineStr">
        <is>
          <t>Bonus, Training, Awards</t>
        </is>
      </c>
      <c r="N5479" s="8">
        <f>HYPERLINK("https://www.vietnamworks.com/truong-phong-ky-thuat-thi-cong-ha-tang-cau-ham-ngam-2016214-jv","Xem chi tiết")</f>
        <v/>
      </c>
    </row>
    <row r="5480">
      <c r="B5480" s="9" t="n">
        <v>5478</v>
      </c>
      <c r="C5480" s="10" t="inlineStr">
        <is>
          <t>Chuyên Viên Thanh Tra</t>
        </is>
      </c>
      <c r="D5480" s="10" t="inlineStr">
        <is>
          <t>CÔNG TY CỔ PHẦN ĐẦU TƯ VÀ XÂY DỰNG SGC</t>
        </is>
      </c>
      <c r="E5480" s="10" t="inlineStr">
        <is>
          <t>$$ 1,000-2,000 /tháng</t>
        </is>
      </c>
      <c r="F5480" s="10" t="inlineStr">
        <is>
          <t>Hưng Yên</t>
        </is>
      </c>
      <c r="G5480" s="10" t="inlineStr">
        <is>
          <t>Trưởng phòng</t>
        </is>
      </c>
      <c r="H5480" s="10" t="inlineStr">
        <is>
          <t>28/02/2026</t>
        </is>
      </c>
      <c r="I5480" s="10" t="inlineStr">
        <is>
          <t>30/03/2026</t>
        </is>
      </c>
      <c r="J5480" s="10" t="inlineStr">
        <is>
          <t>17/03/2026</t>
        </is>
      </c>
      <c r="K5480" s="10" t="inlineStr">
        <is>
          <t>N/A</t>
        </is>
      </c>
      <c r="L5480" s="10" t="inlineStr">
        <is>
          <t>Xây Dựng, Thanh Tra Hoạt Động, Kiểm Soát Nội Bộ, Thanh tra, xây dựng hạ tầng</t>
        </is>
      </c>
      <c r="M5480" s="10" t="inlineStr">
        <is>
          <t>Bonus, Training, Awards</t>
        </is>
      </c>
      <c r="N5480" s="11">
        <f>HYPERLINK("https://www.vietnamworks.com/chuyen-vien-thanh-tra--2016215-jv","Xem chi tiết")</f>
        <v/>
      </c>
      <c r="O5480" s="10" t="n"/>
    </row>
    <row r="5481">
      <c r="B5481" s="7" t="n">
        <v>5479</v>
      </c>
      <c r="C5481" t="inlineStr">
        <is>
          <t>Chuyên Viên Thiết Kế Nội Thất &amp; TKBH</t>
        </is>
      </c>
      <c r="D5481" t="inlineStr">
        <is>
          <t>Công Ty Cổ Phần Tập Đoàn Sunshine</t>
        </is>
      </c>
      <c r="E5481" t="inlineStr">
        <is>
          <t>20tr-35tr ₫/tháng</t>
        </is>
      </c>
      <c r="F5481" t="inlineStr">
        <is>
          <t>Hà Nội</t>
        </is>
      </c>
      <c r="G5481" t="inlineStr">
        <is>
          <t>Nhân viên</t>
        </is>
      </c>
      <c r="H5481" t="inlineStr">
        <is>
          <t>28/02/2026</t>
        </is>
      </c>
      <c r="I5481" t="inlineStr">
        <is>
          <t>30/03/2026</t>
        </is>
      </c>
      <c r="J5481" t="inlineStr">
        <is>
          <t>17/03/2026</t>
        </is>
      </c>
      <c r="K5481" t="inlineStr">
        <is>
          <t>N/A</t>
        </is>
      </c>
      <c r="L5481" t="inlineStr">
        <is>
          <t>3Dsmax, Autocad, Creativity, Sketchup, V-Ray</t>
        </is>
      </c>
      <c r="M5481" t="inlineStr">
        <is>
          <t>Bonus, Team Activities, Others</t>
        </is>
      </c>
      <c r="N5481" s="8">
        <f>HYPERLINK("https://www.vietnamworks.com/chuyen-vien-thiet-ke-noi-that-and-tkbh-2016198-jv","Xem chi tiết")</f>
        <v/>
      </c>
    </row>
    <row r="5482">
      <c r="B5482" s="9" t="n">
        <v>5480</v>
      </c>
      <c r="C5482" s="10" t="inlineStr">
        <is>
          <t>Nhân Viên Kinh Doanh - Kênh Thị Trường (Sản Phẩm Gạch Men, Khu Vực Vĩnh Phúc - Yên Bái - Dak Lak)</t>
        </is>
      </c>
      <c r="D5482" s="10" t="inlineStr">
        <is>
          <t>Công Ty Cổ Phần Prime Group</t>
        </is>
      </c>
      <c r="E5482" s="10" t="inlineStr">
        <is>
          <t>Thương lượng</t>
        </is>
      </c>
      <c r="F5482" s="10" t="inlineStr">
        <is>
          <t>Vĩnh Phúc, Yên Bái, Đắk Lắk</t>
        </is>
      </c>
      <c r="G5482" s="10" t="inlineStr">
        <is>
          <t>Nhân viên</t>
        </is>
      </c>
      <c r="H5482" s="10" t="inlineStr">
        <is>
          <t>28/02/2026</t>
        </is>
      </c>
      <c r="I5482" s="10" t="inlineStr">
        <is>
          <t>30/03/2026</t>
        </is>
      </c>
      <c r="J5482" s="10" t="inlineStr">
        <is>
          <t>17/03/2026</t>
        </is>
      </c>
      <c r="K5482" s="10" t="inlineStr">
        <is>
          <t>N/A</t>
        </is>
      </c>
      <c r="L5482" s="10" t="inlineStr">
        <is>
          <t>Bán Hàng Kỹ Thuật, Bán Hàng, Sales Channel Development, Kinh Doanh, Sales</t>
        </is>
      </c>
      <c r="M5482" s="10" t="inlineStr">
        <is>
          <t>Bonus, Healthcare Plan, Paid Leave</t>
        </is>
      </c>
      <c r="N5482" s="11">
        <f>HYPERLINK("https://www.vietnamworks.com/nhan-vien-kinh-doanh-kenh-thi-truong-san-pham-gach-men-khu-vuc-vinh-phuc-yen-bai-dak-lak-2016224-jv","Xem chi tiết")</f>
        <v/>
      </c>
      <c r="O5482" s="10" t="n"/>
    </row>
    <row r="5483">
      <c r="B5483" s="7" t="n">
        <v>5481</v>
      </c>
      <c r="C5483" t="inlineStr">
        <is>
          <t>Telecommunication Engineer (Intern/fresher)</t>
        </is>
      </c>
      <c r="D5483" t="inlineStr">
        <is>
          <t>Công Ty TNHH Công Nghệ Huawei Việt Nam</t>
        </is>
      </c>
      <c r="E5483" t="inlineStr">
        <is>
          <t>Thương lượng</t>
        </is>
      </c>
      <c r="F5483" t="inlineStr">
        <is>
          <t>Hà Nội</t>
        </is>
      </c>
      <c r="G5483" t="inlineStr">
        <is>
          <t>Thực tập sinh/Sinh viên</t>
        </is>
      </c>
      <c r="H5483" t="inlineStr">
        <is>
          <t>28/02/2026</t>
        </is>
      </c>
      <c r="I5483" t="inlineStr">
        <is>
          <t>30/03/2026</t>
        </is>
      </c>
      <c r="J5483" t="inlineStr">
        <is>
          <t>17/03/2026</t>
        </is>
      </c>
      <c r="K5483" t="inlineStr">
        <is>
          <t>N/A</t>
        </is>
      </c>
      <c r="L5483" t="inlineStr">
        <is>
          <t>Telecommunications, Mạng 2G/3G/4G/5G</t>
        </is>
      </c>
      <c r="M5483" t="inlineStr">
        <is>
          <t>Bonus, Paid Leave, Others</t>
        </is>
      </c>
      <c r="N5483" s="8">
        <f>HYPERLINK("https://www.vietnamworks.com/telecommunication-engineer-intern-fresher-2016232-jv","Xem chi tiết")</f>
        <v/>
      </c>
    </row>
    <row r="5484">
      <c r="B5484" s="9" t="n">
        <v>5482</v>
      </c>
      <c r="C5484" s="10" t="inlineStr">
        <is>
          <t>Nhân Viên Mua Hàng kiêm Quản Lý Kho</t>
        </is>
      </c>
      <c r="D5484" s="10" t="inlineStr">
        <is>
          <t>Công Ty TNHH Megaelec</t>
        </is>
      </c>
      <c r="E5484" s="10" t="inlineStr">
        <is>
          <t>$$ 500-800 /tháng</t>
        </is>
      </c>
      <c r="F5484" s="10" t="inlineStr">
        <is>
          <t>Bắc Ninh</t>
        </is>
      </c>
      <c r="G5484" s="10" t="inlineStr">
        <is>
          <t>Nhân viên</t>
        </is>
      </c>
      <c r="H5484" s="10" t="inlineStr">
        <is>
          <t>28/02/2026</t>
        </is>
      </c>
      <c r="I5484" s="10" t="inlineStr">
        <is>
          <t>30/03/2026</t>
        </is>
      </c>
      <c r="J5484" s="10" t="inlineStr">
        <is>
          <t>17/03/2026</t>
        </is>
      </c>
      <c r="K5484" s="10" t="inlineStr">
        <is>
          <t>N/A</t>
        </is>
      </c>
      <c r="L5484" s="10" t="inlineStr">
        <is>
          <t>Mua Hàng, Quản Lý Nguyên Liệu, Quản Lý Kho, Doanh Nghiệp Chế Xuất EPE, Tiếng Hàn Giao Tiếp</t>
        </is>
      </c>
      <c r="M5484" s="10" t="inlineStr">
        <is>
          <t>Healthcare Plan, Paid Leave, Laptop</t>
        </is>
      </c>
      <c r="N5484" s="11">
        <f>HYPERLINK("https://www.vietnamworks.com/nhan-vien-mua-hang-kiem-quan-ly-kho-2016235-jv","Xem chi tiết")</f>
        <v/>
      </c>
      <c r="O5484" s="10" t="n"/>
    </row>
    <row r="5485">
      <c r="B5485" s="7" t="n">
        <v>5483</v>
      </c>
      <c r="C5485" t="inlineStr">
        <is>
          <t>Senior Logistics Specialist</t>
        </is>
      </c>
      <c r="D5485" t="inlineStr">
        <is>
          <t>BOA Technology</t>
        </is>
      </c>
      <c r="E5485" t="inlineStr">
        <is>
          <t>40-50 ₫/tháng</t>
        </is>
      </c>
      <c r="F5485" t="inlineStr">
        <is>
          <t>Đồng Nai</t>
        </is>
      </c>
      <c r="G5485" t="inlineStr">
        <is>
          <t>Nhân viên</t>
        </is>
      </c>
      <c r="H5485" t="inlineStr">
        <is>
          <t>28/02/2026</t>
        </is>
      </c>
      <c r="I5485" t="inlineStr">
        <is>
          <t>30/03/2026</t>
        </is>
      </c>
      <c r="J5485" t="inlineStr">
        <is>
          <t>17/03/2026</t>
        </is>
      </c>
      <c r="K5485" t="inlineStr">
        <is>
          <t>N/A</t>
        </is>
      </c>
      <c r="L5485" t="inlineStr">
        <is>
          <t>Communication Skills, Contract Management, Data Analysis, Logistics Management, Process Improvement</t>
        </is>
      </c>
      <c r="M5485" t="inlineStr">
        <is>
          <t>Bonus, Others</t>
        </is>
      </c>
      <c r="N5485" s="8">
        <f>HYPERLINK("https://www.vietnamworks.com/senior-logistics-specialist-2016243-jv","Xem chi tiết")</f>
        <v/>
      </c>
    </row>
    <row r="5486">
      <c r="B5486" s="9" t="n">
        <v>5484</v>
      </c>
      <c r="C5486" s="10" t="inlineStr">
        <is>
          <t>Executive Purchaser</t>
        </is>
      </c>
      <c r="D5486" s="10" t="inlineStr">
        <is>
          <t>Công Ty TNHH WGR Industries</t>
        </is>
      </c>
      <c r="E5486" s="10" t="inlineStr">
        <is>
          <t>Thương lượng</t>
        </is>
      </c>
      <c r="F5486" s="10" t="inlineStr">
        <is>
          <t>Gia Lai</t>
        </is>
      </c>
      <c r="G5486" s="10" t="inlineStr">
        <is>
          <t>Nhân viên</t>
        </is>
      </c>
      <c r="H5486" s="10" t="inlineStr">
        <is>
          <t>28/02/2026</t>
        </is>
      </c>
      <c r="I5486" s="10" t="inlineStr">
        <is>
          <t>30/03/2026</t>
        </is>
      </c>
      <c r="J5486" s="10" t="inlineStr">
        <is>
          <t>17/03/2026</t>
        </is>
      </c>
      <c r="K5486" s="10" t="inlineStr">
        <is>
          <t>N/A</t>
        </is>
      </c>
      <c r="L5486" s="10" t="inlineStr">
        <is>
          <t>Communication Skills, Supply Chain Management, Hardware, Negotiation, Procurement</t>
        </is>
      </c>
      <c r="M5486" s="10" t="inlineStr">
        <is>
          <t>Laptop, Others</t>
        </is>
      </c>
      <c r="N5486" s="11">
        <f>HYPERLINK("https://www.vietnamworks.com/executive-purchaser-2016241-jv","Xem chi tiết")</f>
        <v/>
      </c>
      <c r="O5486" s="10" t="n"/>
    </row>
    <row r="5487">
      <c r="B5487" s="7" t="n">
        <v>5485</v>
      </c>
      <c r="C5487" t="inlineStr">
        <is>
          <t>Product Marketing Manager</t>
        </is>
      </c>
      <c r="D5487" t="inlineStr">
        <is>
          <t>Vietnamworks' Client</t>
        </is>
      </c>
      <c r="E5487" t="inlineStr">
        <is>
          <t>Thương lượng</t>
        </is>
      </c>
      <c r="F5487" t="inlineStr">
        <is>
          <t>Hồ Chí Minh</t>
        </is>
      </c>
      <c r="G5487" t="inlineStr">
        <is>
          <t>Trưởng phòng</t>
        </is>
      </c>
      <c r="H5487" t="inlineStr">
        <is>
          <t>28/02/2026</t>
        </is>
      </c>
      <c r="I5487" t="inlineStr">
        <is>
          <t>30/03/2026</t>
        </is>
      </c>
      <c r="J5487" t="inlineStr">
        <is>
          <t>17/03/2026</t>
        </is>
      </c>
      <c r="K5487" t="inlineStr">
        <is>
          <t>N/A</t>
        </is>
      </c>
      <c r="L5487" t="inlineStr">
        <is>
          <t>Client Insight, Data Analysis, Go-To-Market Strategy, Matrix Leadership, Product Marketing</t>
        </is>
      </c>
      <c r="M5487" t="inlineStr">
        <is>
          <t>Bonus, Paid Leave, Travel Opportunities</t>
        </is>
      </c>
      <c r="N5487" s="8">
        <f>HYPERLINK("https://www.vietnamworks.com/product-marketing-manager-2016239-jv","Xem chi tiết")</f>
        <v/>
      </c>
    </row>
    <row r="5488">
      <c r="B5488" s="9" t="n">
        <v>5486</v>
      </c>
      <c r="C5488" s="10" t="inlineStr">
        <is>
          <t>Electrical Engineer</t>
        </is>
      </c>
      <c r="D5488" s="10" t="inlineStr">
        <is>
          <t>Công Ty TNHH WGR Industries</t>
        </is>
      </c>
      <c r="E5488" s="10" t="inlineStr">
        <is>
          <t>Thương lượng</t>
        </is>
      </c>
      <c r="F5488" s="10" t="inlineStr">
        <is>
          <t>Bình Định</t>
        </is>
      </c>
      <c r="G5488" s="10" t="inlineStr">
        <is>
          <t>Nhân viên</t>
        </is>
      </c>
      <c r="H5488" s="10" t="inlineStr">
        <is>
          <t>28/02/2026</t>
        </is>
      </c>
      <c r="I5488" s="10" t="inlineStr">
        <is>
          <t>30/03/2026</t>
        </is>
      </c>
      <c r="J5488" s="10" t="inlineStr">
        <is>
          <t>17/03/2026</t>
        </is>
      </c>
      <c r="K5488" s="10" t="inlineStr">
        <is>
          <t>N/A</t>
        </is>
      </c>
      <c r="L5488" s="10" t="inlineStr">
        <is>
          <t>Electrical Systems Design, Access Controls, ELV system, LV system, QA/ QC</t>
        </is>
      </c>
      <c r="M5488" s="10" t="inlineStr">
        <is>
          <t>Bonus, Healthcare Plan, Training, Mobile, Team Activities, Others</t>
        </is>
      </c>
      <c r="N5488" s="11">
        <f>HYPERLINK("https://www.vietnamworks.com/electrical-engineer-2016244-jv","Xem chi tiết")</f>
        <v/>
      </c>
      <c r="O5488" s="10" t="n"/>
    </row>
    <row r="5489">
      <c r="B5489" s="7" t="n">
        <v>5487</v>
      </c>
      <c r="C5489" t="inlineStr">
        <is>
          <t>Accountant: AR/AP and Treasury</t>
        </is>
      </c>
      <c r="D5489" t="inlineStr">
        <is>
          <t>Samsung Electronics HCMC CE Complex</t>
        </is>
      </c>
      <c r="E5489" t="inlineStr">
        <is>
          <t>Thương lượng</t>
        </is>
      </c>
      <c r="F5489" t="inlineStr">
        <is>
          <t>Hồ Chí Minh</t>
        </is>
      </c>
      <c r="G5489" t="inlineStr">
        <is>
          <t>Nhân viên</t>
        </is>
      </c>
      <c r="H5489" t="inlineStr">
        <is>
          <t>28/02/2026</t>
        </is>
      </c>
      <c r="I5489" t="inlineStr">
        <is>
          <t>30/03/2026</t>
        </is>
      </c>
      <c r="J5489" t="inlineStr">
        <is>
          <t>17/03/2026</t>
        </is>
      </c>
      <c r="K5489" t="inlineStr">
        <is>
          <t>N/A</t>
        </is>
      </c>
      <c r="L5489" t="inlineStr">
        <is>
          <t>Treasury, Account Receivable, Account Payable, Cash Flow Forecasting, Accounting &amp; Finance</t>
        </is>
      </c>
      <c r="M5489" t="inlineStr">
        <is>
          <t>Bonus, Healthcare Plan, Training</t>
        </is>
      </c>
      <c r="N5489" s="8">
        <f>HYPERLINK("https://www.vietnamworks.com/accountant-ar-ap-and-treasury-2016252-jv","Xem chi tiết")</f>
        <v/>
      </c>
    </row>
    <row r="5490">
      <c r="B5490" s="9" t="n">
        <v>5488</v>
      </c>
      <c r="C5490" s="10" t="inlineStr">
        <is>
          <t>Trưởng/phó Phòng Quản Trị Hệ Thống</t>
        </is>
      </c>
      <c r="D5490" s="10" t="inlineStr">
        <is>
          <t>Công Ty Cổ Phần Đầu Tư Thiên Ân</t>
        </is>
      </c>
      <c r="E5490" s="10" t="inlineStr">
        <is>
          <t>$$ 1,500-2,000 /tháng</t>
        </is>
      </c>
      <c r="F5490" s="10" t="inlineStr">
        <is>
          <t>Hà Nội</t>
        </is>
      </c>
      <c r="G5490" s="10" t="inlineStr">
        <is>
          <t>Trưởng phòng</t>
        </is>
      </c>
      <c r="H5490" s="10" t="inlineStr">
        <is>
          <t>28/02/2026</t>
        </is>
      </c>
      <c r="I5490" s="10" t="inlineStr">
        <is>
          <t>30/03/2026</t>
        </is>
      </c>
      <c r="J5490" s="10" t="inlineStr">
        <is>
          <t>17/03/2026</t>
        </is>
      </c>
      <c r="K5490" s="10" t="inlineStr">
        <is>
          <t>N/A</t>
        </is>
      </c>
      <c r="L5490" s="10" t="inlineStr">
        <is>
          <t>Quản Trị Hệ Thống, Giám Đốc Nhân Sự, Hrm, Xây Dựng Hệ Thống Quản Lý, Xây Dựng</t>
        </is>
      </c>
      <c r="M5490" s="10" t="inlineStr">
        <is>
          <t>Bonus, Healthcare Plan, Travel Opportunities</t>
        </is>
      </c>
      <c r="N5490" s="11">
        <f>HYPERLINK("https://www.vietnamworks.com/truong-pho-phong-quan-tri-he-thong-2016256-jv","Xem chi tiết")</f>
        <v/>
      </c>
      <c r="O5490" s="10" t="n"/>
    </row>
    <row r="5491">
      <c r="B5491" s="7" t="n">
        <v>5489</v>
      </c>
      <c r="C5491" t="inlineStr">
        <is>
          <t>Quality Control (Bình Dương)</t>
        </is>
      </c>
      <c r="D5491" t="inlineStr">
        <is>
          <t>Orion Food Vina Co,. Ltd - Head Office</t>
        </is>
      </c>
      <c r="E5491" t="inlineStr">
        <is>
          <t>Thương lượng</t>
        </is>
      </c>
      <c r="F5491" t="inlineStr">
        <is>
          <t>Bình Dương</t>
        </is>
      </c>
      <c r="G5491" t="inlineStr">
        <is>
          <t>Nhân viên</t>
        </is>
      </c>
      <c r="H5491" t="inlineStr">
        <is>
          <t>28/02/2026</t>
        </is>
      </c>
      <c r="I5491" t="inlineStr">
        <is>
          <t>30/03/2026</t>
        </is>
      </c>
      <c r="J5491" t="inlineStr">
        <is>
          <t>17/03/2026</t>
        </is>
      </c>
      <c r="K5491" t="inlineStr">
        <is>
          <t>N/A</t>
        </is>
      </c>
      <c r="L5491" t="inlineStr">
        <is>
          <t>Biology, Chemistry, Food Safety Regulatory, Quality Assurance, Quality Control</t>
        </is>
      </c>
      <c r="M5491" t="inlineStr">
        <is>
          <t>Bonus, Healthcare Plan, Paid Leave, Training, Canteen, Others</t>
        </is>
      </c>
      <c r="N5491" s="8">
        <f>HYPERLINK("https://www.vietnamworks.com/quality-control-binh-duong-2016270-jv","Xem chi tiết")</f>
        <v/>
      </c>
    </row>
    <row r="5492">
      <c r="B5492" s="9" t="n">
        <v>5490</v>
      </c>
      <c r="C5492" s="10" t="inlineStr">
        <is>
          <t>Liquidation Specialist</t>
        </is>
      </c>
      <c r="D5492" s="10" t="inlineStr">
        <is>
          <t>Samsung Electronics HCMC CE Complex</t>
        </is>
      </c>
      <c r="E5492" s="10" t="inlineStr">
        <is>
          <t>Thương lượng</t>
        </is>
      </c>
      <c r="F5492" s="10" t="inlineStr">
        <is>
          <t>Hồ Chí Minh</t>
        </is>
      </c>
      <c r="G5492" s="10" t="inlineStr">
        <is>
          <t>Nhân viên</t>
        </is>
      </c>
      <c r="H5492" s="10" t="inlineStr">
        <is>
          <t>28/02/2026</t>
        </is>
      </c>
      <c r="I5492" s="10" t="inlineStr">
        <is>
          <t>30/03/2026</t>
        </is>
      </c>
      <c r="J5492" s="10" t="inlineStr">
        <is>
          <t>17/03/2026</t>
        </is>
      </c>
      <c r="K5492" s="10" t="inlineStr">
        <is>
          <t>N/A</t>
        </is>
      </c>
      <c r="L5492" s="10" t="inlineStr">
        <is>
          <t>Liquidation, Import &amp; Export</t>
        </is>
      </c>
      <c r="M5492" s="10" t="inlineStr">
        <is>
          <t>Bonus, Healthcare Plan, Training</t>
        </is>
      </c>
      <c r="N5492" s="11">
        <f>HYPERLINK("https://www.vietnamworks.com/liquidation-specialist--2016250-jv","Xem chi tiết")</f>
        <v/>
      </c>
      <c r="O5492" s="10" t="n"/>
    </row>
    <row r="5493">
      <c r="B5493" s="7" t="n">
        <v>5491</v>
      </c>
      <c r="C5493" t="inlineStr">
        <is>
          <t>IT Specialist</t>
        </is>
      </c>
      <c r="D5493" t="inlineStr">
        <is>
          <t>CÔNG TY TNHH AJAX SYSTEMS VIỆT NAM</t>
        </is>
      </c>
      <c r="E5493" t="inlineStr">
        <is>
          <t>Thương lượng</t>
        </is>
      </c>
      <c r="F5493" t="inlineStr">
        <is>
          <t>Hưng Yên, Hải Dương, Hà Nội</t>
        </is>
      </c>
      <c r="G5493" t="inlineStr">
        <is>
          <t>Nhân viên</t>
        </is>
      </c>
      <c r="H5493" t="inlineStr">
        <is>
          <t>28/02/2026</t>
        </is>
      </c>
      <c r="I5493" t="inlineStr">
        <is>
          <t>30/03/2026</t>
        </is>
      </c>
      <c r="J5493" t="inlineStr">
        <is>
          <t>17/03/2026</t>
        </is>
      </c>
      <c r="K5493" t="inlineStr">
        <is>
          <t>N/A</t>
        </is>
      </c>
      <c r="L5493" t="inlineStr">
        <is>
          <t>IT Security, Infrastructure, Network systems applications, IT Production, IT Infrastructure Design</t>
        </is>
      </c>
      <c r="M5493" t="inlineStr">
        <is>
          <t>Bonus, Laptop, Transportation</t>
        </is>
      </c>
      <c r="N5493" s="8">
        <f>HYPERLINK("https://www.vietnamworks.com/it-specialist--2016248-jv","Xem chi tiết")</f>
        <v/>
      </c>
    </row>
    <row r="5494">
      <c r="B5494" s="9" t="n">
        <v>5492</v>
      </c>
      <c r="C5494" s="10" t="inlineStr">
        <is>
          <t>Kỹ Sư Xây Dựng - Chấp Nhận Sinh Viên Mới Tốt Nghiệp</t>
        </is>
      </c>
      <c r="D5494" s="10" t="inlineStr">
        <is>
          <t>CÔNG TY CỔ PHẦN XÂY DỰNG, BẢO TRÌ XƯỞNG CÔNG NGHIỆP VÀ TÒA NHÀ CITYLIFE</t>
        </is>
      </c>
      <c r="E5494" s="10" t="inlineStr">
        <is>
          <t>10tr-15tr ₫/tháng</t>
        </is>
      </c>
      <c r="F5494" s="10" t="inlineStr">
        <is>
          <t>Hà Nội</t>
        </is>
      </c>
      <c r="G5494" s="10" t="inlineStr">
        <is>
          <t>Nhân viên</t>
        </is>
      </c>
      <c r="H5494" s="10" t="inlineStr">
        <is>
          <t>28/02/2026</t>
        </is>
      </c>
      <c r="I5494" s="10" t="inlineStr">
        <is>
          <t>30/03/2026</t>
        </is>
      </c>
      <c r="J5494" s="10" t="inlineStr">
        <is>
          <t>17/03/2026</t>
        </is>
      </c>
      <c r="K5494" s="10" t="inlineStr">
        <is>
          <t>N/A</t>
        </is>
      </c>
      <c r="L5494" s="10" t="inlineStr">
        <is>
          <t>Quản Lý Thi Công, Giám Sát Thi Công, QS &amp; QA/QC, Kỹ Sư Xây Dựng, Civil Engineering</t>
        </is>
      </c>
      <c r="M5494" s="10" t="inlineStr">
        <is>
          <t>Bonus, Training, Others</t>
        </is>
      </c>
      <c r="N5494" s="11">
        <f>HYPERLINK("https://www.vietnamworks.com/ky-su-xay-dung-chap-nhan-sinh-vien-moi-tot-nghiep-2016229-jv","Xem chi tiết")</f>
        <v/>
      </c>
      <c r="O5494" s="10" t="n"/>
    </row>
    <row r="5495">
      <c r="B5495" s="7" t="n">
        <v>5493</v>
      </c>
      <c r="C5495" t="inlineStr">
        <is>
          <t>Solution Architect (AI platform)</t>
        </is>
      </c>
      <c r="D5495" t="inlineStr">
        <is>
          <t>CÔNG TY CỔ PHẦN VINSMART FUTURE</t>
        </is>
      </c>
      <c r="E5495" t="inlineStr">
        <is>
          <t>Thương lượng</t>
        </is>
      </c>
      <c r="F5495" t="inlineStr">
        <is>
          <t>Hà Nội</t>
        </is>
      </c>
      <c r="G5495" t="inlineStr">
        <is>
          <t>Nhân viên</t>
        </is>
      </c>
      <c r="H5495" t="inlineStr">
        <is>
          <t>28/02/2026</t>
        </is>
      </c>
      <c r="I5495" t="inlineStr">
        <is>
          <t>30/03/2026</t>
        </is>
      </c>
      <c r="J5495" t="inlineStr">
        <is>
          <t>17/03/2026</t>
        </is>
      </c>
      <c r="K5495" t="inlineStr">
        <is>
          <t>N/A</t>
        </is>
      </c>
      <c r="L5495" t="inlineStr">
        <is>
          <t>Django, FastAPI, Python Programming, Asyncio Coding, Ai Framework Knowledge</t>
        </is>
      </c>
      <c r="M5495" t="inlineStr">
        <is>
          <t>Bonus, Healthcare Plan, Others</t>
        </is>
      </c>
      <c r="N5495" s="8">
        <f>HYPERLINK("https://www.vietnamworks.com/solution-architect-ai-platform-2016254-jv","Xem chi tiết")</f>
        <v/>
      </c>
    </row>
    <row r="5496">
      <c r="B5496" s="9" t="n">
        <v>5494</v>
      </c>
      <c r="C5496" s="10" t="inlineStr">
        <is>
          <t>Trưởng Phòng Công Nghệ Thông Tin (Công Ty Xây Dựng)</t>
        </is>
      </c>
      <c r="D5496" s="10" t="inlineStr">
        <is>
          <t>Công Ty Cổ Phần Đầu Tư Thiên Ân</t>
        </is>
      </c>
      <c r="E5496" s="10" t="inlineStr">
        <is>
          <t>Thương lượng</t>
        </is>
      </c>
      <c r="F5496" s="10" t="inlineStr">
        <is>
          <t>Hà Nội</t>
        </is>
      </c>
      <c r="G5496" s="10" t="inlineStr">
        <is>
          <t>Trưởng phòng</t>
        </is>
      </c>
      <c r="H5496" s="10" t="inlineStr">
        <is>
          <t>28/02/2026</t>
        </is>
      </c>
      <c r="I5496" s="10" t="inlineStr">
        <is>
          <t>30/03/2026</t>
        </is>
      </c>
      <c r="J5496" s="10" t="inlineStr">
        <is>
          <t>17/03/2026</t>
        </is>
      </c>
      <c r="K5496" s="10" t="inlineStr">
        <is>
          <t>N/A</t>
        </is>
      </c>
      <c r="L5496" s="10" t="inlineStr">
        <is>
          <t>CTO, BIM, Chuyển Đổi Số, ERP, Xây Dựng</t>
        </is>
      </c>
      <c r="M5496" s="10" t="inlineStr">
        <is>
          <t>Bonus, Healthcare Plan, Travel Opportunities</t>
        </is>
      </c>
      <c r="N5496" s="11">
        <f>HYPERLINK("https://www.vietnamworks.com/truong-phong-cong-nghe-thong-tin-cong-ty-xay-dung-2016259-jv","Xem chi tiết")</f>
        <v/>
      </c>
      <c r="O5496" s="10" t="n"/>
    </row>
    <row r="5497">
      <c r="B5497" s="7" t="n">
        <v>5495</v>
      </c>
      <c r="C5497" t="inlineStr">
        <is>
          <t>Chuyên Viên Pháp Chế Cao Cấp - Thị Trường Nước Ngoài</t>
        </is>
      </c>
      <c r="D5497" t="inlineStr">
        <is>
          <t>GSM</t>
        </is>
      </c>
      <c r="E5497" t="inlineStr">
        <is>
          <t>$$ 1,000-2,000 /tháng</t>
        </is>
      </c>
      <c r="F5497" t="inlineStr">
        <is>
          <t>Hà Nội</t>
        </is>
      </c>
      <c r="G5497" t="inlineStr">
        <is>
          <t>Nhân viên</t>
        </is>
      </c>
      <c r="H5497" t="inlineStr">
        <is>
          <t>28/02/2026</t>
        </is>
      </c>
      <c r="I5497" t="inlineStr">
        <is>
          <t>30/03/2026</t>
        </is>
      </c>
      <c r="J5497" t="inlineStr">
        <is>
          <t>17/03/2026</t>
        </is>
      </c>
      <c r="K5497" t="inlineStr">
        <is>
          <t>N/A</t>
        </is>
      </c>
      <c r="L5497" t="inlineStr">
        <is>
          <t>Legal, Pháp Chế, Pháp Lý, Pháp Chế Doanh Nghiệp</t>
        </is>
      </c>
      <c r="M5497" t="inlineStr">
        <is>
          <t>Bonus, Healthcare Plan, Training</t>
        </is>
      </c>
      <c r="N5497" s="8">
        <f>HYPERLINK("https://www.vietnamworks.com/chuyen-vien-phap-che-cao-cap-thi-truong-nuoc-ngoai-2016231-jv","Xem chi tiết")</f>
        <v/>
      </c>
    </row>
    <row r="5498">
      <c r="B5498" s="9" t="n">
        <v>5496</v>
      </c>
      <c r="C5498" s="10" t="inlineStr">
        <is>
          <t xml:space="preserve">Nhân Viên Kinh Doanh Logistics - Làm tại Hà Nội và Hải Phòng </t>
        </is>
      </c>
      <c r="D5498" s="10" t="inlineStr">
        <is>
          <t>Công Ty Cổ Phần Dịch Vụ Chuỗi Cung Ứng Quốc Tế HML</t>
        </is>
      </c>
      <c r="E5498" s="10" t="inlineStr">
        <is>
          <t>Thương lượng</t>
        </is>
      </c>
      <c r="F5498" s="10" t="inlineStr">
        <is>
          <t>Hà Nội, Hải Phòng</t>
        </is>
      </c>
      <c r="G5498" s="10" t="inlineStr">
        <is>
          <t>Nhân viên</t>
        </is>
      </c>
      <c r="H5498" s="10" t="inlineStr">
        <is>
          <t>28/02/2026</t>
        </is>
      </c>
      <c r="I5498" s="10" t="inlineStr">
        <is>
          <t>30/03/2026</t>
        </is>
      </c>
      <c r="J5498" s="10" t="inlineStr">
        <is>
          <t>17/03/2026</t>
        </is>
      </c>
      <c r="K5498" s="10" t="inlineStr">
        <is>
          <t>N/A</t>
        </is>
      </c>
      <c r="L5498" s="10" t="inlineStr">
        <is>
          <t>Giao Tiếp, Học Hỏi, Kinh Doanh, Tiếng Anh</t>
        </is>
      </c>
      <c r="M5498" s="10" t="inlineStr">
        <is>
          <t>Bonus, Training, Team Activities, Others</t>
        </is>
      </c>
      <c r="N5498" s="11">
        <f>HYPERLINK("https://www.vietnamworks.com/nhan-vien-kinh-doanh-logistics-lam-tai-ha-noi-va-hai-phong-2016273-jv","Xem chi tiết")</f>
        <v/>
      </c>
      <c r="O5498" s="10" t="n"/>
    </row>
    <row r="5499">
      <c r="B5499" s="7" t="n">
        <v>5497</v>
      </c>
      <c r="C5499" t="inlineStr">
        <is>
          <t>Export Sales Specialist (Global Market)</t>
        </is>
      </c>
      <c r="D5499" t="inlineStr">
        <is>
          <t>Joy Reap Metal Vietnam</t>
        </is>
      </c>
      <c r="E5499" t="inlineStr">
        <is>
          <t>$$ 600-2,000 /tháng</t>
        </is>
      </c>
      <c r="F5499" t="inlineStr">
        <is>
          <t>Hồ Chí Minh</t>
        </is>
      </c>
      <c r="G5499" t="inlineStr">
        <is>
          <t>Nhân viên</t>
        </is>
      </c>
      <c r="H5499" t="inlineStr">
        <is>
          <t>28/02/2026</t>
        </is>
      </c>
      <c r="I5499" t="inlineStr">
        <is>
          <t>30/03/2026</t>
        </is>
      </c>
      <c r="J5499" t="inlineStr">
        <is>
          <t>17/03/2026</t>
        </is>
      </c>
      <c r="K5499" t="inlineStr">
        <is>
          <t>N/A</t>
        </is>
      </c>
      <c r="L5499" t="inlineStr">
        <is>
          <t>Logistics Skills, Export sales, International &amp; Cross-Functional Work, English, Steel &amp; aluminum making process</t>
        </is>
      </c>
      <c r="M5499" t="inlineStr">
        <is>
          <t>Bonus, Laptop, Travel Opportunities</t>
        </is>
      </c>
      <c r="N5499" s="8">
        <f>HYPERLINK("https://www.vietnamworks.com/export-sales-specialist-global-market-2016288-jv","Xem chi tiết")</f>
        <v/>
      </c>
    </row>
    <row r="5500">
      <c r="B5500" s="9" t="n">
        <v>5498</v>
      </c>
      <c r="C5500" s="10" t="inlineStr">
        <is>
          <t>Senior Creative Art (Art-Based)</t>
        </is>
      </c>
      <c r="D5500" s="10" t="inlineStr">
        <is>
          <t>Box Việt Nam</t>
        </is>
      </c>
      <c r="E5500" s="10" t="inlineStr">
        <is>
          <t>Thương lượng</t>
        </is>
      </c>
      <c r="F5500" s="10" t="inlineStr">
        <is>
          <t>Hồ Chí Minh</t>
        </is>
      </c>
      <c r="G5500" s="10" t="inlineStr">
        <is>
          <t>Nhân viên</t>
        </is>
      </c>
      <c r="H5500" s="10" t="inlineStr">
        <is>
          <t>28/02/2026</t>
        </is>
      </c>
      <c r="I5500" s="10" t="inlineStr">
        <is>
          <t>30/03/2026</t>
        </is>
      </c>
      <c r="J5500" s="10" t="inlineStr">
        <is>
          <t>17/03/2026</t>
        </is>
      </c>
      <c r="K5500" s="10" t="inlineStr">
        <is>
          <t>N/A</t>
        </is>
      </c>
      <c r="L5500" s="10" t="inlineStr">
        <is>
          <t>Communication, Creative Design, Digital Storytelling, Team Management, Time Management</t>
        </is>
      </c>
      <c r="M5500" s="10" t="inlineStr">
        <is>
          <t>Bonus, Healthcare Plan, Training, Team Activities, Others</t>
        </is>
      </c>
      <c r="N5500" s="11">
        <f>HYPERLINK("https://www.vietnamworks.com/senior-creative-art-art-based-2016280-jv","Xem chi tiết")</f>
        <v/>
      </c>
      <c r="O5500" s="10" t="n"/>
    </row>
    <row r="5501">
      <c r="B5501" s="7" t="n">
        <v>5499</v>
      </c>
      <c r="C5501" t="inlineStr">
        <is>
          <t>Telesales Vay Tín Chấp</t>
        </is>
      </c>
      <c r="D5501" t="inlineStr">
        <is>
          <t>HSBC Vietnam</t>
        </is>
      </c>
      <c r="E5501" t="inlineStr">
        <is>
          <t>Thương lượng</t>
        </is>
      </c>
      <c r="F5501" t="inlineStr">
        <is>
          <t>Hồ Chí Minh</t>
        </is>
      </c>
      <c r="G5501" t="inlineStr">
        <is>
          <t>Nhân viên</t>
        </is>
      </c>
      <c r="H5501" t="inlineStr">
        <is>
          <t>28/02/2026</t>
        </is>
      </c>
      <c r="I5501" t="inlineStr">
        <is>
          <t>30/03/2026</t>
        </is>
      </c>
      <c r="J5501" t="inlineStr">
        <is>
          <t>17/03/2026</t>
        </is>
      </c>
      <c r="K5501" t="inlineStr">
        <is>
          <t>N/A</t>
        </is>
      </c>
      <c r="L5501" t="inlineStr">
        <is>
          <t>Telesales, Tìm Kiếm Hợp Đồng, Tư Vấn, Cho vay tín chấp, Chăm Sóc Khách Hàng</t>
        </is>
      </c>
      <c r="M5501" t="inlineStr">
        <is>
          <t>Healthcare Plan, Awards, Others</t>
        </is>
      </c>
      <c r="N5501" s="8">
        <f>HYPERLINK("https://www.vietnamworks.com/telesales-vay-tin-chap--2016290-jv","Xem chi tiết")</f>
        <v/>
      </c>
    </row>
    <row r="5502">
      <c r="B5502" s="9" t="n">
        <v>5500</v>
      </c>
      <c r="C5502" s="10" t="inlineStr">
        <is>
          <t>Quality Engineering Engineer (30 Positions - Working In Haiphong)</t>
        </is>
      </c>
      <c r="D5502" s="10" t="inlineStr">
        <is>
          <t>VINFAST TRADING AND PRODUCTION JSC</t>
        </is>
      </c>
      <c r="E5502" s="10" t="inlineStr">
        <is>
          <t>$$ 1,000-1,500 /tháng</t>
        </is>
      </c>
      <c r="F5502" s="10" t="inlineStr">
        <is>
          <t>Hải Phòng</t>
        </is>
      </c>
      <c r="G5502" s="10" t="inlineStr">
        <is>
          <t>Nhân viên</t>
        </is>
      </c>
      <c r="H5502" s="10" t="inlineStr">
        <is>
          <t>28/02/2026</t>
        </is>
      </c>
      <c r="I5502" s="10" t="inlineStr">
        <is>
          <t>30/03/2026</t>
        </is>
      </c>
      <c r="J5502" s="10" t="inlineStr">
        <is>
          <t>17/03/2026</t>
        </is>
      </c>
      <c r="K5502" s="10" t="inlineStr">
        <is>
          <t>N/A</t>
        </is>
      </c>
      <c r="L5502" s="10" t="inlineStr">
        <is>
          <t>Automotive, Product Quality, Process Quality Improvement, Solve Technical Issues, Fishbone Diagrams</t>
        </is>
      </c>
      <c r="M5502" s="10" t="inlineStr">
        <is>
          <t>Bonus, Healthcare Plan, Others</t>
        </is>
      </c>
      <c r="N5502" s="11">
        <f>HYPERLINK("https://www.vietnamworks.com/quality-engineering-engineer-30-positions-working-in-haiphong--2016237-jv","Xem chi tiết")</f>
        <v/>
      </c>
      <c r="O5502" s="10" t="n"/>
    </row>
    <row r="5503">
      <c r="B5503" s="7" t="n">
        <v>5501</v>
      </c>
      <c r="C5503" t="inlineStr">
        <is>
          <t>Trưởng Phòng Khai Báo Hải Quan</t>
        </is>
      </c>
      <c r="D5503" t="inlineStr">
        <is>
          <t>Công ty TNHH Columbus Freight</t>
        </is>
      </c>
      <c r="E5503" t="inlineStr">
        <is>
          <t>22tr-28tr ₫/tháng</t>
        </is>
      </c>
      <c r="F5503" t="inlineStr">
        <is>
          <t>Hồ Chí Minh</t>
        </is>
      </c>
      <c r="G5503" t="inlineStr">
        <is>
          <t>Trưởng phòng</t>
        </is>
      </c>
      <c r="H5503" t="inlineStr">
        <is>
          <t>14/02/2026</t>
        </is>
      </c>
      <c r="I5503" t="inlineStr">
        <is>
          <t>31/03/2026</t>
        </is>
      </c>
      <c r="J5503" t="inlineStr">
        <is>
          <t>17/03/2026</t>
        </is>
      </c>
      <c r="K5503" t="inlineStr">
        <is>
          <t>N/A</t>
        </is>
      </c>
      <c r="L5503" t="inlineStr">
        <is>
          <t>Logistics, Phân Tích Rủi Ro, Quản Lý Nhân Sự, Trung Thực, Xuất Nhập Khẩu</t>
        </is>
      </c>
      <c r="M5503" t="inlineStr">
        <is>
          <t>Healthcare Plan, Training, Others</t>
        </is>
      </c>
      <c r="N5503" s="8">
        <f>HYPERLINK("https://www.vietnamworks.com/truong-phong-khai-bao-hai-quan-2012089-jv","Xem chi tiết")</f>
        <v/>
      </c>
    </row>
    <row r="5504">
      <c r="B5504" s="9" t="n">
        <v>5502</v>
      </c>
      <c r="C5504" s="10" t="inlineStr">
        <is>
          <t>Kế Toán Trưởng</t>
        </is>
      </c>
      <c r="D5504" s="10" t="inlineStr">
        <is>
          <t>CÔNG TY TNHH GIAO NHẬN THƯƠNG MẠI RỒNG Á CHÂU - ADC</t>
        </is>
      </c>
      <c r="E5504" s="10" t="inlineStr">
        <is>
          <t>Thương lượng</t>
        </is>
      </c>
      <c r="F5504" s="10" t="inlineStr">
        <is>
          <t>Hồ Chí Minh</t>
        </is>
      </c>
      <c r="G5504" s="10" t="inlineStr">
        <is>
          <t>Trưởng phòng</t>
        </is>
      </c>
      <c r="H5504" s="10" t="inlineStr">
        <is>
          <t>28/02/2026</t>
        </is>
      </c>
      <c r="I5504" s="10" t="inlineStr">
        <is>
          <t>30/03/2026</t>
        </is>
      </c>
      <c r="J5504" s="10" t="inlineStr">
        <is>
          <t>17/03/2026</t>
        </is>
      </c>
      <c r="K5504" s="10" t="inlineStr">
        <is>
          <t>N/A</t>
        </is>
      </c>
      <c r="L5504" s="10" t="inlineStr">
        <is>
          <t>Kế Toán, Kế Toán Thuế Công Nợ, Lập Báo Cáo Tài Chính, Chief Accountant Certificate, Logistics</t>
        </is>
      </c>
      <c r="M5504" s="10" t="inlineStr">
        <is>
          <t>Bonus, Healthcare Plan, Training</t>
        </is>
      </c>
      <c r="N5504" s="11">
        <f>HYPERLINK("https://www.vietnamworks.com/ke-toan-truong--2016267-jv","Xem chi tiết")</f>
        <v/>
      </c>
      <c r="O5504" s="10" t="n"/>
    </row>
    <row r="5505">
      <c r="B5505" s="7" t="n">
        <v>5503</v>
      </c>
      <c r="C5505" t="inlineStr">
        <is>
          <t>Trưởng Phòng Chứng Từ Xuất Nhập Khẩu - Tiếng Trung</t>
        </is>
      </c>
      <c r="D5505" t="inlineStr">
        <is>
          <t>Công ty TNHH Columbus Freight</t>
        </is>
      </c>
      <c r="E5505" t="inlineStr">
        <is>
          <t>22tr-28tr ₫/tháng</t>
        </is>
      </c>
      <c r="F5505" t="inlineStr">
        <is>
          <t>Hồ Chí Minh</t>
        </is>
      </c>
      <c r="G5505" t="inlineStr">
        <is>
          <t>Trưởng phòng</t>
        </is>
      </c>
      <c r="H5505" t="inlineStr">
        <is>
          <t>14/02/2026</t>
        </is>
      </c>
      <c r="I5505" t="inlineStr">
        <is>
          <t>31/03/2026</t>
        </is>
      </c>
      <c r="J5505" t="inlineStr">
        <is>
          <t>17/03/2026</t>
        </is>
      </c>
      <c r="K5505" t="inlineStr">
        <is>
          <t>N/A</t>
        </is>
      </c>
      <c r="L5505" t="inlineStr">
        <is>
          <t>Tiếng Trung, Thành thạo Tiếng Trung, Thủ Tục Hải Quan, Điều Phối Vận Hành, Khai Báo Hải Quan</t>
        </is>
      </c>
      <c r="M5505" t="inlineStr">
        <is>
          <t>Healthcare Plan, Training, Others</t>
        </is>
      </c>
      <c r="N5505" s="8">
        <f>HYPERLINK("https://www.vietnamworks.com/truong-phong-chung-tu-xuat-nhap-khau-tieng-trung-2012088-jv","Xem chi tiết")</f>
        <v/>
      </c>
    </row>
    <row r="5506">
      <c r="B5506" s="9" t="n">
        <v>5504</v>
      </c>
      <c r="C5506" s="10" t="inlineStr">
        <is>
          <t>Global Network Expansion &amp; After-Sales Operations Manager</t>
        </is>
      </c>
      <c r="D5506" s="10" t="inlineStr">
        <is>
          <t>VINFAST TRADING AND PRODUCTION JSC</t>
        </is>
      </c>
      <c r="E5506" s="10" t="inlineStr">
        <is>
          <t>Từ $ 1,200 /tháng</t>
        </is>
      </c>
      <c r="F5506" s="10" t="inlineStr">
        <is>
          <t>Quốc tế</t>
        </is>
      </c>
      <c r="G5506" s="10" t="inlineStr">
        <is>
          <t>Trưởng phòng</t>
        </is>
      </c>
      <c r="H5506" s="10" t="inlineStr">
        <is>
          <t>14/02/2026</t>
        </is>
      </c>
      <c r="I5506" s="10" t="inlineStr">
        <is>
          <t>31/03/2026</t>
        </is>
      </c>
      <c r="J5506" s="10" t="inlineStr">
        <is>
          <t>17/03/2026</t>
        </is>
      </c>
      <c r="K5506" s="10" t="inlineStr">
        <is>
          <t>N/A</t>
        </is>
      </c>
      <c r="L5506" s="10" t="inlineStr">
        <is>
          <t>Phát Triển Kinh Doanh, Business Development, Automotive, Operation, CAR</t>
        </is>
      </c>
      <c r="M5506" s="10" t="inlineStr">
        <is>
          <t>Bonus, Healthcare Plan, Others</t>
        </is>
      </c>
      <c r="N5506" s="11">
        <f>HYPERLINK("https://www.vietnamworks.com/global-network-expansion-after-sales-operations-manager-2012092-jv","Xem chi tiết")</f>
        <v/>
      </c>
      <c r="O5506" s="10" t="n"/>
    </row>
    <row r="5507">
      <c r="B5507" s="7" t="n">
        <v>5505</v>
      </c>
      <c r="C5507" t="inlineStr">
        <is>
          <t>Merchandiser (Apparel)</t>
        </is>
      </c>
      <c r="D5507" t="inlineStr">
        <is>
          <t>Apx Global Management Limited</t>
        </is>
      </c>
      <c r="E5507" t="inlineStr">
        <is>
          <t>Thương lượng</t>
        </is>
      </c>
      <c r="F5507" t="inlineStr">
        <is>
          <t>Quảng Ngãi</t>
        </is>
      </c>
      <c r="G5507" t="inlineStr">
        <is>
          <t>Nhân viên</t>
        </is>
      </c>
      <c r="H5507" t="inlineStr">
        <is>
          <t>14/02/2026</t>
        </is>
      </c>
      <c r="I5507" t="inlineStr">
        <is>
          <t>31/03/2026</t>
        </is>
      </c>
      <c r="J5507" t="inlineStr">
        <is>
          <t>17/03/2026</t>
        </is>
      </c>
      <c r="K5507" t="inlineStr">
        <is>
          <t>N/A</t>
        </is>
      </c>
      <c r="L5507" t="inlineStr">
        <is>
          <t>Outerwear, Garment, Merchandising, English, Production</t>
        </is>
      </c>
      <c r="M5507" t="inlineStr">
        <is>
          <t>Bonus, Paid Leave, Awards</t>
        </is>
      </c>
      <c r="N5507" s="8">
        <f>HYPERLINK("https://www.vietnamworks.com/merchandiser-apparel--2012096-jv","Xem chi tiết")</f>
        <v/>
      </c>
    </row>
    <row r="5508">
      <c r="B5508" s="9" t="n">
        <v>5506</v>
      </c>
      <c r="C5508" s="10" t="inlineStr">
        <is>
          <t>Nhân Viên Chứng Từ Và Chăm Sóc Khách Hàng Hàng Xuất</t>
        </is>
      </c>
      <c r="D5508" s="10" t="inlineStr">
        <is>
          <t>Công Ty Cổ Phần Dịch Vụ Chuỗi Cung Ứng Quốc Tế HML</t>
        </is>
      </c>
      <c r="E5508" s="10" t="inlineStr">
        <is>
          <t>Thương lượng</t>
        </is>
      </c>
      <c r="F5508" s="10" t="inlineStr">
        <is>
          <t>Hà Nội</t>
        </is>
      </c>
      <c r="G5508" s="10" t="inlineStr">
        <is>
          <t>Nhân viên</t>
        </is>
      </c>
      <c r="H5508" s="10" t="inlineStr">
        <is>
          <t>28/02/2026</t>
        </is>
      </c>
      <c r="I5508" s="10" t="inlineStr">
        <is>
          <t>30/03/2026</t>
        </is>
      </c>
      <c r="J5508" s="10" t="inlineStr">
        <is>
          <t>17/03/2026</t>
        </is>
      </c>
      <c r="K5508" s="10" t="inlineStr">
        <is>
          <t>N/A</t>
        </is>
      </c>
      <c r="L5508" s="10" t="inlineStr">
        <is>
          <t>Excel, Logistics, Tiếng Anh, Word, Xuất Nhập Khẩu</t>
        </is>
      </c>
      <c r="M5508" s="10" t="inlineStr">
        <is>
          <t>Bonus, Healthcare Plan, Team Activities, Others</t>
        </is>
      </c>
      <c r="N5508" s="11">
        <f>HYPERLINK("https://www.vietnamworks.com/nhan-vien-chung-tu-va-cham-soc-khach-hang-hang-xuat-2016278-jv","Xem chi tiết")</f>
        <v/>
      </c>
      <c r="O5508" s="10" t="n"/>
    </row>
    <row r="5509">
      <c r="B5509" s="7" t="n">
        <v>5507</v>
      </c>
      <c r="C5509" t="inlineStr">
        <is>
          <t>Senior Laravel Developer</t>
        </is>
      </c>
      <c r="D5509" t="inlineStr">
        <is>
          <t>Kosatec Empowering Global Innovation</t>
        </is>
      </c>
      <c r="E5509" t="inlineStr">
        <is>
          <t>Thương lượng</t>
        </is>
      </c>
      <c r="F5509" t="inlineStr">
        <is>
          <t>Hồ Chí Minh</t>
        </is>
      </c>
      <c r="G5509" t="inlineStr">
        <is>
          <t>Nhân viên</t>
        </is>
      </c>
      <c r="H5509" t="inlineStr">
        <is>
          <t>28/02/2026</t>
        </is>
      </c>
      <c r="I5509" t="inlineStr">
        <is>
          <t>30/03/2026</t>
        </is>
      </c>
      <c r="J5509" t="inlineStr">
        <is>
          <t>17/03/2026</t>
        </is>
      </c>
      <c r="K5509" t="inlineStr">
        <is>
          <t>N/A</t>
        </is>
      </c>
      <c r="L5509" t="inlineStr">
        <is>
          <t>Laravel, PostgreSQL, Problem-solving, RESTful API, MySQL Database</t>
        </is>
      </c>
      <c r="M5509" t="inlineStr">
        <is>
          <t>Bonus, Laptop, Others</t>
        </is>
      </c>
      <c r="N5509" s="8">
        <f>HYPERLINK("https://www.vietnamworks.com/senior-laravel-developer-2016291-jv","Xem chi tiết")</f>
        <v/>
      </c>
    </row>
    <row r="5510">
      <c r="B5510" s="9" t="n">
        <v>5508</v>
      </c>
      <c r="C5510" s="10" t="inlineStr">
        <is>
          <t>Travel Consultant - Spanish Speaking Markets</t>
        </is>
      </c>
      <c r="D5510" s="10" t="inlineStr">
        <is>
          <t>Trails Of Indochina Limited (Toi)</t>
        </is>
      </c>
      <c r="E5510" s="10" t="inlineStr">
        <is>
          <t>Thương lượng</t>
        </is>
      </c>
      <c r="F5510" s="10" t="inlineStr">
        <is>
          <t>Hồ Chí Minh</t>
        </is>
      </c>
      <c r="G5510" s="10" t="inlineStr">
        <is>
          <t>Nhân viên</t>
        </is>
      </c>
      <c r="H5510" s="10" t="inlineStr">
        <is>
          <t>14/02/2026</t>
        </is>
      </c>
      <c r="I5510" s="10" t="inlineStr">
        <is>
          <t>31/03/2026</t>
        </is>
      </c>
      <c r="J5510" s="10" t="inlineStr">
        <is>
          <t>17/03/2026</t>
        </is>
      </c>
      <c r="K5510" s="10" t="inlineStr">
        <is>
          <t>N/A</t>
        </is>
      </c>
      <c r="L5510" s="10" t="inlineStr">
        <is>
          <t>Communication, Customer Service, MS Office, Spanish Teaching, Tour Sales</t>
        </is>
      </c>
      <c r="M5510" s="10" t="inlineStr">
        <is>
          <t>Healthcare Plan, Paid Leave</t>
        </is>
      </c>
      <c r="N5510" s="11">
        <f>HYPERLINK("https://www.vietnamworks.com/travel-consultant-spanish-speaking-markets-2012091-jv","Xem chi tiết")</f>
        <v/>
      </c>
      <c r="O5510" s="10" t="n"/>
    </row>
    <row r="5511">
      <c r="B5511" s="7" t="n">
        <v>5509</v>
      </c>
      <c r="C5511" t="inlineStr">
        <is>
          <t>Senior PHP Developer (Laravel)</t>
        </is>
      </c>
      <c r="D5511" t="inlineStr">
        <is>
          <t>Asia Plus Vietnam Co., Ltd (Q&amp;me)</t>
        </is>
      </c>
      <c r="E5511" t="inlineStr">
        <is>
          <t>$$ 1,500-2,000 /tháng</t>
        </is>
      </c>
      <c r="F5511" t="inlineStr">
        <is>
          <t>Hồ Chí Minh</t>
        </is>
      </c>
      <c r="G5511" t="inlineStr">
        <is>
          <t>Nhân viên</t>
        </is>
      </c>
      <c r="H5511" t="inlineStr">
        <is>
          <t>28/02/2026</t>
        </is>
      </c>
      <c r="I5511" t="inlineStr">
        <is>
          <t>30/03/2026</t>
        </is>
      </c>
      <c r="J5511" t="inlineStr">
        <is>
          <t>17/03/2026</t>
        </is>
      </c>
      <c r="K5511" t="inlineStr">
        <is>
          <t>N/A</t>
        </is>
      </c>
      <c r="L5511" t="inlineStr">
        <is>
          <t>HTML, JavaScript, AI, PHP/MySQL, Laravel</t>
        </is>
      </c>
      <c r="M5511" t="inlineStr">
        <is>
          <t>Bonus, Healthcare Plan, Mobile</t>
        </is>
      </c>
      <c r="N5511" s="8">
        <f>HYPERLINK("https://www.vietnamworks.com/senior-php-developer-laravel--2016294-jv","Xem chi tiết")</f>
        <v/>
      </c>
    </row>
    <row r="5512">
      <c r="B5512" s="9" t="n">
        <v>5510</v>
      </c>
      <c r="C5512" s="10" t="inlineStr">
        <is>
          <t>CCSS Representative Inbound (Customer Service Representative)</t>
        </is>
      </c>
      <c r="D5512" s="10" t="inlineStr">
        <is>
          <t>HSBC Vietnam</t>
        </is>
      </c>
      <c r="E5512" s="10" t="inlineStr">
        <is>
          <t>Thương lượng</t>
        </is>
      </c>
      <c r="F5512" s="10" t="inlineStr">
        <is>
          <t>Hồ Chí Minh</t>
        </is>
      </c>
      <c r="G5512" s="10" t="inlineStr">
        <is>
          <t>Nhân viên</t>
        </is>
      </c>
      <c r="H5512" s="10" t="inlineStr">
        <is>
          <t>28/02/2026</t>
        </is>
      </c>
      <c r="I5512" s="10" t="inlineStr">
        <is>
          <t>30/03/2026</t>
        </is>
      </c>
      <c r="J5512" s="10" t="inlineStr">
        <is>
          <t>17/03/2026</t>
        </is>
      </c>
      <c r="K5512" s="10" t="inlineStr">
        <is>
          <t>N/A</t>
        </is>
      </c>
      <c r="L5512" s="10" t="inlineStr">
        <is>
          <t>Communications, Sales, Microsoft Office, Phát Triển Thị Trường</t>
        </is>
      </c>
      <c r="M5512" s="10" t="inlineStr">
        <is>
          <t>Bonus, Healthcare Plan, Awards</t>
        </is>
      </c>
      <c r="N5512" s="11">
        <f>HYPERLINK("https://www.vietnamworks.com/ccss-representative-inbound-customer-service-representative--2016283-jv","Xem chi tiết")</f>
        <v/>
      </c>
      <c r="O5512" s="10" t="n"/>
    </row>
    <row r="5513">
      <c r="B5513" s="7" t="n">
        <v>5511</v>
      </c>
      <c r="C5513" t="inlineStr">
        <is>
          <t>Nhân Viên Chứng Từ Xuất Nhập Khẩu – Tiếng Trung</t>
        </is>
      </c>
      <c r="D5513" t="inlineStr">
        <is>
          <t>Công ty TNHH Columbus Freight</t>
        </is>
      </c>
      <c r="E5513" t="inlineStr">
        <is>
          <t>10tr-16tr ₫/tháng</t>
        </is>
      </c>
      <c r="F5513" t="inlineStr">
        <is>
          <t>Hồ Chí Minh</t>
        </is>
      </c>
      <c r="G5513" t="inlineStr">
        <is>
          <t>Nhân viên</t>
        </is>
      </c>
      <c r="H5513" t="inlineStr">
        <is>
          <t>14/02/2026</t>
        </is>
      </c>
      <c r="I5513" t="inlineStr">
        <is>
          <t>31/03/2026</t>
        </is>
      </c>
      <c r="J5513" t="inlineStr">
        <is>
          <t>17/03/2026</t>
        </is>
      </c>
      <c r="K5513" t="inlineStr">
        <is>
          <t>N/A</t>
        </is>
      </c>
      <c r="L5513" t="inlineStr">
        <is>
          <t>Thành thạo Tiếng Trung, Thủ Tục Hải Quan, Khai Báo Hải Quan, Freight Forwarder, Thủ Tục Thông Quan</t>
        </is>
      </c>
      <c r="M5513" t="inlineStr">
        <is>
          <t>Healthcare Plan, Training, Others</t>
        </is>
      </c>
      <c r="N5513" s="8">
        <f>HYPERLINK("https://www.vietnamworks.com/nhan-vien-chung-tu-xuat-nhap-khau-tieng-trung--2012087-jv","Xem chi tiết")</f>
        <v/>
      </c>
    </row>
    <row r="5514">
      <c r="B5514" s="9" t="n">
        <v>5512</v>
      </c>
      <c r="C5514" s="10" t="inlineStr">
        <is>
          <t>[Urgent] Accounting - Tax Consultant (HCM Office) - 1 Position - At Least 1-Year Graduated/ Experienced</t>
        </is>
      </c>
      <c r="D5514" s="10" t="inlineStr">
        <is>
          <t>SCS Global Consulting Vietnam Co., Ltd.</t>
        </is>
      </c>
      <c r="E5514" s="10" t="inlineStr">
        <is>
          <t>Thương lượng</t>
        </is>
      </c>
      <c r="F5514" s="10" t="inlineStr">
        <is>
          <t>Hồ Chí Minh</t>
        </is>
      </c>
      <c r="G5514" s="10" t="inlineStr">
        <is>
          <t>Nhân viên</t>
        </is>
      </c>
      <c r="H5514" s="10" t="inlineStr">
        <is>
          <t>18/12/2025</t>
        </is>
      </c>
      <c r="I5514" s="10" t="inlineStr">
        <is>
          <t>31/03/2026</t>
        </is>
      </c>
      <c r="J5514" s="10" t="inlineStr">
        <is>
          <t>17/03/2026</t>
        </is>
      </c>
      <c r="K5514" s="10" t="inlineStr">
        <is>
          <t>N/A</t>
        </is>
      </c>
      <c r="L5514" s="10" t="inlineStr">
        <is>
          <t>Tax Consulting, Accounting Standards, Tax Accounting, English, Accounting System</t>
        </is>
      </c>
      <c r="M5514" s="10" t="inlineStr">
        <is>
          <t>Bonus, Healthcare Plan, Travel Opportunities</t>
        </is>
      </c>
      <c r="N5514" s="11">
        <f>HYPERLINK("https://www.vietnamworks.com/urgent-accounting-tax-consultant-hcm-office-1-position-at-least-1-year-graduated-experienced-1994575-jv","Xem chi tiết")</f>
        <v/>
      </c>
      <c r="O5514" s="10" t="n"/>
    </row>
    <row r="5515">
      <c r="B5515" s="7" t="n">
        <v>5513</v>
      </c>
      <c r="C5515" t="inlineStr">
        <is>
          <t>Business Development Associate (Nhân Viên Kinh Doanh – Khối Khách Hàng Cá Nhân &amp; Quản Lý Tài Sản)</t>
        </is>
      </c>
      <c r="D5515" t="inlineStr">
        <is>
          <t>HSBC Vietnam</t>
        </is>
      </c>
      <c r="E5515" t="inlineStr">
        <is>
          <t>Thương lượng</t>
        </is>
      </c>
      <c r="F5515" t="inlineStr">
        <is>
          <t>Hồ Chí Minh</t>
        </is>
      </c>
      <c r="G5515" t="inlineStr">
        <is>
          <t>Nhân viên</t>
        </is>
      </c>
      <c r="H5515" t="inlineStr">
        <is>
          <t>28/02/2026</t>
        </is>
      </c>
      <c r="I5515" t="inlineStr">
        <is>
          <t>30/03/2026</t>
        </is>
      </c>
      <c r="J5515" t="inlineStr">
        <is>
          <t>17/03/2026</t>
        </is>
      </c>
      <c r="K5515" t="inlineStr">
        <is>
          <t>N/A</t>
        </is>
      </c>
      <c r="L5515" t="inlineStr">
        <is>
          <t>Direct Sales, Business Development, Banking, Sales Development</t>
        </is>
      </c>
      <c r="M5515" t="inlineStr">
        <is>
          <t>Bonus, Healthcare Plan, Awards</t>
        </is>
      </c>
      <c r="N5515" s="8">
        <f>HYPERLINK("https://www.vietnamworks.com/business-development-associate-nhan-vien-kinh-doanh-khoi-khach-hang-ca-nhan-quan-ly-tai-san--2016286-jv","Xem chi tiết")</f>
        <v/>
      </c>
    </row>
    <row r="5516">
      <c r="B5516" s="9" t="n">
        <v>5514</v>
      </c>
      <c r="C5516" s="10" t="inlineStr">
        <is>
          <t>Process Quality Engineer</t>
        </is>
      </c>
      <c r="D5516" s="10" t="inlineStr">
        <is>
          <t>Fushan Technology Vietnam</t>
        </is>
      </c>
      <c r="E5516" s="10" t="inlineStr">
        <is>
          <t>Thương lượng</t>
        </is>
      </c>
      <c r="F5516" s="10" t="inlineStr">
        <is>
          <t>Bắc Ninh, Bắc Giang, Hà Nội</t>
        </is>
      </c>
      <c r="G5516" s="10" t="inlineStr">
        <is>
          <t>Nhân viên</t>
        </is>
      </c>
      <c r="H5516" s="10" t="inlineStr">
        <is>
          <t>14/02/2026</t>
        </is>
      </c>
      <c r="I5516" s="10" t="inlineStr">
        <is>
          <t>31/03/2026</t>
        </is>
      </c>
      <c r="J5516" s="10" t="inlineStr">
        <is>
          <t>17/03/2026</t>
        </is>
      </c>
      <c r="K5516" s="10" t="inlineStr">
        <is>
          <t>N/A</t>
        </is>
      </c>
      <c r="L5516" s="10" t="inlineStr">
        <is>
          <t>FMEA, ISO Standards, Problem Solving, QC Report, Quality Process Improvement</t>
        </is>
      </c>
      <c r="M5516" s="10" t="inlineStr">
        <is>
          <t>Bonus, Transportation, Others</t>
        </is>
      </c>
      <c r="N5516" s="11">
        <f>HYPERLINK("https://www.vietnamworks.com/process-quality-engineer-2012086-jv","Xem chi tiết")</f>
        <v/>
      </c>
      <c r="O5516" s="10" t="n"/>
    </row>
    <row r="5517">
      <c r="B5517" s="7" t="n">
        <v>5515</v>
      </c>
      <c r="C5517" t="inlineStr">
        <is>
          <t>Nhân Viên Bảo Trì (Bình Dương)</t>
        </is>
      </c>
      <c r="D5517" t="inlineStr">
        <is>
          <t>Orion Food Vina Co,. Ltd - Head Office</t>
        </is>
      </c>
      <c r="E5517" t="inlineStr">
        <is>
          <t>Thương lượng</t>
        </is>
      </c>
      <c r="F5517" t="inlineStr">
        <is>
          <t>Bình Dương</t>
        </is>
      </c>
      <c r="G5517" t="inlineStr">
        <is>
          <t>Nhân viên</t>
        </is>
      </c>
      <c r="H5517" t="inlineStr">
        <is>
          <t>28/02/2026</t>
        </is>
      </c>
      <c r="I5517" t="inlineStr">
        <is>
          <t>30/03/2026</t>
        </is>
      </c>
      <c r="J5517" t="inlineStr">
        <is>
          <t>17/03/2026</t>
        </is>
      </c>
      <c r="K5517" t="inlineStr">
        <is>
          <t>N/A</t>
        </is>
      </c>
      <c r="L5517" t="inlineStr">
        <is>
          <t>Bảo Trì, Bảo Trì Bảo Dưỡng Cơ Khí, Cơ Khí, PLC, Điện tử</t>
        </is>
      </c>
      <c r="M5517" t="inlineStr">
        <is>
          <t>Bonus, Healthcare Plan, Paid Leave, Training, Laptop, Team Activities, Others</t>
        </is>
      </c>
      <c r="N5517" s="8">
        <f>HYPERLINK("https://www.vietnamworks.com/nhan-vien-bao-tri-binh-duong-2016271-jv","Xem chi tiết")</f>
        <v/>
      </c>
    </row>
    <row r="5518">
      <c r="B5518" s="9" t="n">
        <v>5516</v>
      </c>
      <c r="C5518" s="10" t="inlineStr">
        <is>
          <t>[Qua Tết Đi Làm Ngay] [Đà Nẵng] Relationship Team Leader (Real Estate Developer)</t>
        </is>
      </c>
      <c r="D5518" s="10" t="inlineStr">
        <is>
          <t>Công Ty Cổ Phần Bất Động Sản Bản Việt</t>
        </is>
      </c>
      <c r="E5518" s="10" t="inlineStr">
        <is>
          <t>$$ 600-900 /tháng</t>
        </is>
      </c>
      <c r="F5518" s="10" t="inlineStr">
        <is>
          <t>Đà Nẵng</t>
        </is>
      </c>
      <c r="G5518" s="10" t="inlineStr">
        <is>
          <t>Nhân viên</t>
        </is>
      </c>
      <c r="H5518" s="10" t="inlineStr">
        <is>
          <t>14/02/2026</t>
        </is>
      </c>
      <c r="I5518" s="10" t="inlineStr">
        <is>
          <t>31/03/2026</t>
        </is>
      </c>
      <c r="J5518" s="10" t="inlineStr">
        <is>
          <t>17/03/2026</t>
        </is>
      </c>
      <c r="K5518" s="10" t="inlineStr">
        <is>
          <t>N/A</t>
        </is>
      </c>
      <c r="L5518" s="10" t="inlineStr">
        <is>
          <t>Real Estate Projects, English, Sales, Relationships Development, Sale Support</t>
        </is>
      </c>
      <c r="M5518" s="10" t="inlineStr">
        <is>
          <t>Bonus, Healthcare Plan, Team Activities</t>
        </is>
      </c>
      <c r="N5518" s="11">
        <f>HYPERLINK("https://www.vietnamworks.com/qua-tet-di-lam-ngay-da-nang-relationship-team-leader-real-estate-developer-2012085-jv","Xem chi tiết")</f>
        <v/>
      </c>
      <c r="O5518" s="10" t="n"/>
    </row>
    <row r="5519">
      <c r="B5519" s="7" t="n">
        <v>5517</v>
      </c>
      <c r="C5519" t="inlineStr">
        <is>
          <t>Chuyên Viên Cung Ứng (Ưu Tiên Có Kinh Nghiệm Trong Ngành Thiết Bị Y Tế)</t>
        </is>
      </c>
      <c r="D5519" t="inlineStr">
        <is>
          <t>PINNACLE HEALTH EQUIPMENT JOINT STOCK COMPANY</t>
        </is>
      </c>
      <c r="E5519" t="inlineStr">
        <is>
          <t>Thương lượng</t>
        </is>
      </c>
      <c r="F5519" t="inlineStr">
        <is>
          <t>Hồ Chí Minh</t>
        </is>
      </c>
      <c r="G5519" t="inlineStr">
        <is>
          <t>Nhân viên</t>
        </is>
      </c>
      <c r="H5519" t="inlineStr">
        <is>
          <t>28/02/2026</t>
        </is>
      </c>
      <c r="I5519" t="inlineStr">
        <is>
          <t>30/03/2026</t>
        </is>
      </c>
      <c r="J5519" t="inlineStr">
        <is>
          <t>17/03/2026</t>
        </is>
      </c>
      <c r="K5519" t="inlineStr">
        <is>
          <t>N/A</t>
        </is>
      </c>
      <c r="L5519" t="inlineStr">
        <is>
          <t>Vật Tư Y tế, Mua Hàng, logistic, ERP, Thiết Bị Y Tế</t>
        </is>
      </c>
      <c r="M5519" t="inlineStr">
        <is>
          <t>Bonus, Healthcare Plan, Training, Others</t>
        </is>
      </c>
      <c r="N5519" s="8">
        <f>HYPERLINK("https://www.vietnamworks.com/chuyen-vien-cung-ung-uu-tien-co-kinh-nghiem-trong-nganh-thiet-bi-y-te-2016265-jv","Xem chi tiết")</f>
        <v/>
      </c>
    </row>
    <row r="5520">
      <c r="B5520" s="9" t="n">
        <v>5518</v>
      </c>
      <c r="C5520" s="10" t="inlineStr">
        <is>
          <t>Production Supervisor</t>
        </is>
      </c>
      <c r="D5520" s="10" t="inlineStr">
        <is>
          <t>Apx Global Management Limited</t>
        </is>
      </c>
      <c r="E5520" s="10" t="inlineStr">
        <is>
          <t>Thương lượng</t>
        </is>
      </c>
      <c r="F5520" s="10" t="inlineStr">
        <is>
          <t>Quảng Ngãi</t>
        </is>
      </c>
      <c r="G5520" s="10" t="inlineStr">
        <is>
          <t>Trưởng phòng</t>
        </is>
      </c>
      <c r="H5520" s="10" t="inlineStr">
        <is>
          <t>14/02/2026</t>
        </is>
      </c>
      <c r="I5520" s="10" t="inlineStr">
        <is>
          <t>31/03/2026</t>
        </is>
      </c>
      <c r="J5520" s="10" t="inlineStr">
        <is>
          <t>17/03/2026</t>
        </is>
      </c>
      <c r="K5520" s="10" t="inlineStr">
        <is>
          <t>N/A</t>
        </is>
      </c>
      <c r="L5520" s="10" t="inlineStr">
        <is>
          <t>Garment Manufacturing, Sewing</t>
        </is>
      </c>
      <c r="M5520" s="10" t="inlineStr">
        <is>
          <t>Bonus, Paid Leave, Training</t>
        </is>
      </c>
      <c r="N5520" s="11">
        <f>HYPERLINK("https://www.vietnamworks.com/production-supervisor--2012098-jv","Xem chi tiết")</f>
        <v/>
      </c>
      <c r="O5520" s="10" t="n"/>
    </row>
    <row r="5521">
      <c r="B5521" s="7" t="n">
        <v>5519</v>
      </c>
      <c r="C5521" t="inlineStr">
        <is>
          <t>Engineer Specialist Of Automation And Robotics</t>
        </is>
      </c>
      <c r="D5521" t="inlineStr">
        <is>
          <t>Hoya Glass Disk Vietnam</t>
        </is>
      </c>
      <c r="E5521" t="inlineStr">
        <is>
          <t>Thương lượng</t>
        </is>
      </c>
      <c r="F5521" t="inlineStr">
        <is>
          <t>Hà Nội</t>
        </is>
      </c>
      <c r="G5521" t="inlineStr">
        <is>
          <t>Trưởng phòng</t>
        </is>
      </c>
      <c r="H5521" t="inlineStr">
        <is>
          <t>14/02/2026</t>
        </is>
      </c>
      <c r="I5521" t="inlineStr">
        <is>
          <t>31/03/2026</t>
        </is>
      </c>
      <c r="J5521" t="inlineStr">
        <is>
          <t>17/03/2026</t>
        </is>
      </c>
      <c r="K5521" t="inlineStr">
        <is>
          <t>N/A</t>
        </is>
      </c>
      <c r="L5521" t="inlineStr">
        <is>
          <t>Industrial Automation, PLC, Project Management, Robotics, SCADA</t>
        </is>
      </c>
      <c r="M5521" t="inlineStr">
        <is>
          <t>Bonus, Healthcare Plan, Training, Others</t>
        </is>
      </c>
      <c r="N5521" s="8">
        <f>HYPERLINK("https://www.vietnamworks.com/engineer-specialist-of-automation-and-robotics-2012101-jv","Xem chi tiết")</f>
        <v/>
      </c>
    </row>
    <row r="5522">
      <c r="B5522" s="9" t="n">
        <v>5520</v>
      </c>
      <c r="C5522" s="10" t="inlineStr">
        <is>
          <t xml:space="preserve">Trưởng Phòng Mua Hàng </t>
        </is>
      </c>
      <c r="D5522" s="10" t="inlineStr">
        <is>
          <t>Tập Đoàn Vàng Bạc Đá Quý DOJI</t>
        </is>
      </c>
      <c r="E5522" s="10" t="inlineStr">
        <is>
          <t>Thương lượng</t>
        </is>
      </c>
      <c r="F5522" s="10" t="inlineStr">
        <is>
          <t>Hà Nội</t>
        </is>
      </c>
      <c r="G5522" s="10" t="inlineStr">
        <is>
          <t>Trưởng phòng</t>
        </is>
      </c>
      <c r="H5522" s="10" t="inlineStr">
        <is>
          <t>28/02/2026</t>
        </is>
      </c>
      <c r="I5522" s="10" t="inlineStr">
        <is>
          <t>30/03/2026</t>
        </is>
      </c>
      <c r="J5522" s="10" t="inlineStr">
        <is>
          <t>17/03/2026</t>
        </is>
      </c>
      <c r="K5522" s="10" t="inlineStr">
        <is>
          <t>N/A</t>
        </is>
      </c>
      <c r="L5522" s="10" t="inlineStr">
        <is>
          <t>Kỹ năng giải quyết các vấn đề, Kỹ năng giao tiêp, Kỹ năng lập kế hoạch, Kỹ năng đàm phán, Tìm Kiếm Nhà Cung Cấp</t>
        </is>
      </c>
      <c r="M5522" s="10" t="inlineStr">
        <is>
          <t>Bonus, Healthcare Plan, Transportation, Canteen, Others</t>
        </is>
      </c>
      <c r="N5522" s="11">
        <f>HYPERLINK("https://www.vietnamworks.com/truong-phong-mua-hang-2016264-jv","Xem chi tiết")</f>
        <v/>
      </c>
      <c r="O5522" s="10" t="n"/>
    </row>
    <row r="5523">
      <c r="B5523" s="7" t="n">
        <v>5521</v>
      </c>
      <c r="C5523" t="inlineStr">
        <is>
          <t>Garment Technologist / Technician</t>
        </is>
      </c>
      <c r="D5523" t="inlineStr">
        <is>
          <t>Apx Global Management Limited</t>
        </is>
      </c>
      <c r="E5523" t="inlineStr">
        <is>
          <t>Thương lượng</t>
        </is>
      </c>
      <c r="F5523" t="inlineStr">
        <is>
          <t>Quảng Ngãi</t>
        </is>
      </c>
      <c r="G5523" t="inlineStr">
        <is>
          <t>Nhân viên</t>
        </is>
      </c>
      <c r="H5523" t="inlineStr">
        <is>
          <t>14/02/2026</t>
        </is>
      </c>
      <c r="I5523" t="inlineStr">
        <is>
          <t>31/03/2026</t>
        </is>
      </c>
      <c r="J5523" t="inlineStr">
        <is>
          <t>17/03/2026</t>
        </is>
      </c>
      <c r="K5523" t="inlineStr">
        <is>
          <t>N/A</t>
        </is>
      </c>
      <c r="L5523" t="inlineStr">
        <is>
          <t>Garment Technical Design, Sewing, Pattern Making</t>
        </is>
      </c>
      <c r="M5523" t="inlineStr">
        <is>
          <t>Bonus, Paid Leave, Awards</t>
        </is>
      </c>
      <c r="N5523" s="8">
        <f>HYPERLINK("https://www.vietnamworks.com/garment-technologist-technician-1--2012097-jv","Xem chi tiết")</f>
        <v/>
      </c>
    </row>
    <row r="5524">
      <c r="B5524" s="9" t="n">
        <v>5522</v>
      </c>
      <c r="C5524" s="10" t="inlineStr">
        <is>
          <t>BD Specialist</t>
        </is>
      </c>
      <c r="D5524" s="10" t="inlineStr">
        <is>
          <t>CJ Logistics Viet Nam Co.,Ltd</t>
        </is>
      </c>
      <c r="E5524" s="10" t="inlineStr">
        <is>
          <t>Thương lượng</t>
        </is>
      </c>
      <c r="F5524" s="10" t="inlineStr">
        <is>
          <t>Hồ Chí Minh</t>
        </is>
      </c>
      <c r="G5524" s="10" t="inlineStr">
        <is>
          <t>Nhân viên</t>
        </is>
      </c>
      <c r="H5524" s="10" t="inlineStr">
        <is>
          <t>01/03/2026</t>
        </is>
      </c>
      <c r="I5524" s="10" t="inlineStr">
        <is>
          <t>31/03/2026</t>
        </is>
      </c>
      <c r="J5524" s="10" t="inlineStr">
        <is>
          <t>17/03/2026</t>
        </is>
      </c>
      <c r="K5524" s="10" t="inlineStr">
        <is>
          <t>N/A</t>
        </is>
      </c>
      <c r="L5524" s="10" t="inlineStr">
        <is>
          <t>Tiếng Anh, Global Freight, Kinh Doanh, Freight Forwarding, Xuất Nhập Khẩu</t>
        </is>
      </c>
      <c r="M5524" s="10" t="inlineStr">
        <is>
          <t>Bonus, Healthcare Plan, Paid Leave</t>
        </is>
      </c>
      <c r="N5524" s="11">
        <f>HYPERLINK("https://www.vietnamworks.com/bd-specialist--2016306-jv","Xem chi tiết")</f>
        <v/>
      </c>
      <c r="O5524" s="10" t="n"/>
    </row>
    <row r="5525">
      <c r="B5525" s="7" t="n">
        <v>5523</v>
      </c>
      <c r="C5525" t="inlineStr">
        <is>
          <t>Chuyên Viên Cao Cấp Marketing Dự Án Bất Động Sản</t>
        </is>
      </c>
      <c r="D5525" t="inlineStr">
        <is>
          <t>BIM Group</t>
        </is>
      </c>
      <c r="E5525" t="inlineStr">
        <is>
          <t>Thương lượng</t>
        </is>
      </c>
      <c r="F5525" t="inlineStr">
        <is>
          <t>Hà Nội</t>
        </is>
      </c>
      <c r="G5525" t="inlineStr">
        <is>
          <t>Nhân viên</t>
        </is>
      </c>
      <c r="H5525" t="inlineStr">
        <is>
          <t>28/02/2026</t>
        </is>
      </c>
      <c r="I5525" t="inlineStr">
        <is>
          <t>31/03/2026</t>
        </is>
      </c>
      <c r="J5525" t="inlineStr">
        <is>
          <t>17/03/2026</t>
        </is>
      </c>
      <c r="K5525" t="inlineStr">
        <is>
          <t>N/A</t>
        </is>
      </c>
      <c r="L5525" t="inlineStr">
        <is>
          <t>Real Estale Marketing, Marketing &amp; Brand Building, Phát Triển Thương Hiệu, Tiếng Anh</t>
        </is>
      </c>
      <c r="M5525" t="inlineStr">
        <is>
          <t>Bonus, Healthcare Plan, Paid Leave</t>
        </is>
      </c>
      <c r="N5525" s="8">
        <f>HYPERLINK("https://www.vietnamworks.com/chuyen-vien-cao-cap-marketing-du-an-bat-dong-san--2016171-jv","Xem chi tiết")</f>
        <v/>
      </c>
    </row>
    <row r="5526">
      <c r="B5526" s="9" t="n">
        <v>5524</v>
      </c>
      <c r="C5526" s="10" t="inlineStr">
        <is>
          <t>IT Manager</t>
        </is>
      </c>
      <c r="D5526" s="10" t="inlineStr">
        <is>
          <t>Spartronics Vietnam</t>
        </is>
      </c>
      <c r="E5526" s="10" t="inlineStr">
        <is>
          <t>Thương lượng</t>
        </is>
      </c>
      <c r="F5526" s="10" t="inlineStr">
        <is>
          <t>Bình Dương</t>
        </is>
      </c>
      <c r="G5526" s="10" t="inlineStr">
        <is>
          <t>Trưởng phòng</t>
        </is>
      </c>
      <c r="H5526" s="10" t="inlineStr">
        <is>
          <t>01/03/2026</t>
        </is>
      </c>
      <c r="I5526" s="10" t="inlineStr">
        <is>
          <t>31/03/2026</t>
        </is>
      </c>
      <c r="J5526" s="10" t="inlineStr">
        <is>
          <t>17/03/2026</t>
        </is>
      </c>
      <c r="K5526" s="10" t="inlineStr">
        <is>
          <t>N/A</t>
        </is>
      </c>
      <c r="L5526" s="10" t="inlineStr">
        <is>
          <t>IT Infrastructure, Proficiency In Office It Systems, ERP MES, MRP Systems, ERP Dynamic 365</t>
        </is>
      </c>
      <c r="M5526" s="10" t="inlineStr">
        <is>
          <t>Bonus, Healthcare Plan, Team Activities</t>
        </is>
      </c>
      <c r="N5526" s="11">
        <f>HYPERLINK("https://www.vietnamworks.com/it-manager--2016297-jv","Xem chi tiết")</f>
        <v/>
      </c>
      <c r="O5526" s="10" t="n"/>
    </row>
    <row r="5527">
      <c r="B5527" s="7" t="n">
        <v>5525</v>
      </c>
      <c r="C5527" t="inlineStr">
        <is>
          <t>Senior Associate, Internal Audit (Business)</t>
        </is>
      </c>
      <c r="D5527" t="inlineStr">
        <is>
          <t>NAB Innovation Centre Vietnam</t>
        </is>
      </c>
      <c r="E5527" t="inlineStr">
        <is>
          <t>Thương lượng</t>
        </is>
      </c>
      <c r="F5527" t="inlineStr">
        <is>
          <t>Hồ Chí Minh</t>
        </is>
      </c>
      <c r="G5527" t="inlineStr">
        <is>
          <t>Nhân viên</t>
        </is>
      </c>
      <c r="H5527" t="inlineStr">
        <is>
          <t>01/03/2026</t>
        </is>
      </c>
      <c r="I5527" t="inlineStr">
        <is>
          <t>31/03/2026</t>
        </is>
      </c>
      <c r="J5527" t="inlineStr">
        <is>
          <t>17/03/2026</t>
        </is>
      </c>
      <c r="K5527" t="inlineStr">
        <is>
          <t>N/A</t>
        </is>
      </c>
      <c r="L5527" t="inlineStr">
        <is>
          <t>Audit, Stakeholder Mangement, Internal Audit, Risk Management, English</t>
        </is>
      </c>
      <c r="M5527" t="inlineStr">
        <is>
          <t>Bonus, Healthcare Plan, Team Activities</t>
        </is>
      </c>
      <c r="N5527" s="8">
        <f>HYPERLINK("https://www.vietnamworks.com/senior-associate-internal-audit-business--2016328-jv","Xem chi tiết")</f>
        <v/>
      </c>
    </row>
    <row r="5528">
      <c r="B5528" s="9" t="n">
        <v>5526</v>
      </c>
      <c r="C5528" s="10" t="inlineStr">
        <is>
          <t>Senior Operational Excellence Specialist</t>
        </is>
      </c>
      <c r="D5528" s="10" t="inlineStr">
        <is>
          <t>Công ty cổ phần Dịch vụ Giao Hàng Nhanh</t>
        </is>
      </c>
      <c r="E5528" s="10" t="inlineStr">
        <is>
          <t>$$ 1,200-1,400 /tháng</t>
        </is>
      </c>
      <c r="F5528" s="10" t="inlineStr">
        <is>
          <t>Hồ Chí Minh</t>
        </is>
      </c>
      <c r="G5528" s="10" t="inlineStr">
        <is>
          <t>Nhân viên</t>
        </is>
      </c>
      <c r="H5528" s="10" t="inlineStr">
        <is>
          <t>01/03/2026</t>
        </is>
      </c>
      <c r="I5528" s="10" t="inlineStr">
        <is>
          <t>31/03/2026</t>
        </is>
      </c>
      <c r="J5528" s="10" t="inlineStr">
        <is>
          <t>17/03/2026</t>
        </is>
      </c>
      <c r="K5528" s="10" t="inlineStr">
        <is>
          <t>N/A</t>
        </is>
      </c>
      <c r="L5528" s="10" t="inlineStr">
        <is>
          <t>data driven, Operational Excellence, AI, Logistics Operations, Logic Database</t>
        </is>
      </c>
      <c r="M5528" s="10" t="inlineStr">
        <is>
          <t>Bonus, Healthcare Plan, Travel Opportunities</t>
        </is>
      </c>
      <c r="N5528" s="11">
        <f>HYPERLINK("https://www.vietnamworks.com/senior-operational-excellence-specialist-2016334-jv","Xem chi tiết")</f>
        <v/>
      </c>
      <c r="O5528" s="10" t="n"/>
    </row>
    <row r="5529">
      <c r="B5529" s="7" t="n">
        <v>5527</v>
      </c>
      <c r="C5529" t="inlineStr">
        <is>
          <t>Tuyển Dụng Đầu Bếp - (Làm Việc Tại Nước Ngoài - Mozambique) - Mức Lương Từ 1.500 Usd/tháng</t>
        </is>
      </c>
      <c r="D5529" t="inlineStr">
        <is>
          <t>Movitel S.A</t>
        </is>
      </c>
      <c r="E5529" t="inlineStr">
        <is>
          <t>Từ $ 1,400 /tháng</t>
        </is>
      </c>
      <c r="F5529" t="inlineStr">
        <is>
          <t>Quốc tế</t>
        </is>
      </c>
      <c r="G5529" t="inlineStr">
        <is>
          <t>Nhân viên</t>
        </is>
      </c>
      <c r="H5529" t="inlineStr">
        <is>
          <t>01/03/2026</t>
        </is>
      </c>
      <c r="I5529" t="inlineStr">
        <is>
          <t>31/03/2026</t>
        </is>
      </c>
      <c r="J5529" t="inlineStr">
        <is>
          <t>17/03/2026</t>
        </is>
      </c>
      <c r="K5529" t="inlineStr">
        <is>
          <t>N/A</t>
        </is>
      </c>
      <c r="L5529" t="inlineStr">
        <is>
          <t>Trung thực, Trách nhiệm, Cẩn Thận</t>
        </is>
      </c>
      <c r="M5529" t="inlineStr">
        <is>
          <t>Bonus, Paid Leave, Transportation</t>
        </is>
      </c>
      <c r="N5529" s="8">
        <f>HYPERLINK("https://www.vietnamworks.com/tuyen-dung-dau-bep-lam-viec-tai-nuoc-ngoai-mozambique-muc-luong-tu-1-500-usd-thang--2016322-jv","Xem chi tiết")</f>
        <v/>
      </c>
    </row>
    <row r="5530">
      <c r="B5530" s="9" t="n">
        <v>5528</v>
      </c>
      <c r="C5530" s="10" t="inlineStr">
        <is>
          <t>Trưởng Phòng Kinh Doanh Bảo Hiểm Sức Khỏe</t>
        </is>
      </c>
      <c r="D5530" s="10" t="inlineStr">
        <is>
          <t>Công ty bảo hiểm PJICO Tân Bình Dương</t>
        </is>
      </c>
      <c r="E5530" s="10" t="inlineStr">
        <is>
          <t>10tr-15tr ₫/tháng</t>
        </is>
      </c>
      <c r="F5530" s="10" t="inlineStr">
        <is>
          <t>Hồ Chí Minh</t>
        </is>
      </c>
      <c r="G5530" s="10" t="inlineStr">
        <is>
          <t>Trưởng phòng</t>
        </is>
      </c>
      <c r="H5530" s="10" t="inlineStr">
        <is>
          <t>14/02/2026</t>
        </is>
      </c>
      <c r="I5530" s="10" t="inlineStr">
        <is>
          <t>31/03/2026</t>
        </is>
      </c>
      <c r="J5530" s="10" t="inlineStr">
        <is>
          <t>17/03/2026</t>
        </is>
      </c>
      <c r="K5530" s="10" t="inlineStr">
        <is>
          <t>N/A</t>
        </is>
      </c>
      <c r="L5530" s="10" t="inlineStr">
        <is>
          <t>Bán Hàng, Giao Tiếp, Lãnh Đạo, Phân Tích Dữ Liệu, Đàm Phán</t>
        </is>
      </c>
      <c r="M5530" s="10" t="inlineStr">
        <is>
          <t>Bonus, Healthcare Plan, Others</t>
        </is>
      </c>
      <c r="N5530" s="11">
        <f>HYPERLINK("https://www.vietnamworks.com/truong-phong-kinh-doanh-bao-hiem-suc-khoe-2012100-jv","Xem chi tiết")</f>
        <v/>
      </c>
      <c r="O5530" s="10" t="n"/>
    </row>
    <row r="5531">
      <c r="B5531" s="7" t="n">
        <v>5529</v>
      </c>
      <c r="C5531" t="inlineStr">
        <is>
          <t>Manufacturing Excellences Manager</t>
        </is>
      </c>
      <c r="D5531" t="inlineStr">
        <is>
          <t>Coherent Vietnam</t>
        </is>
      </c>
      <c r="E5531" t="inlineStr">
        <is>
          <t>$$ 2,500-3,000 /tháng</t>
        </is>
      </c>
      <c r="F5531" t="inlineStr">
        <is>
          <t>Hồ Chí Minh</t>
        </is>
      </c>
      <c r="G5531" t="inlineStr">
        <is>
          <t>Trưởng phòng</t>
        </is>
      </c>
      <c r="H5531" t="inlineStr">
        <is>
          <t>01/03/2026</t>
        </is>
      </c>
      <c r="I5531" t="inlineStr">
        <is>
          <t>31/03/2026</t>
        </is>
      </c>
      <c r="J5531" t="inlineStr">
        <is>
          <t>17/03/2026</t>
        </is>
      </c>
      <c r="K5531" t="inlineStr">
        <is>
          <t>N/A</t>
        </is>
      </c>
      <c r="L5531" t="inlineStr">
        <is>
          <t>Continuous Improvement, Automation, Operational Excellence, Project Management, Electrical Engineer</t>
        </is>
      </c>
      <c r="M5531" t="inlineStr">
        <is>
          <t>Bonus, Healthcare Plan, Transportation</t>
        </is>
      </c>
      <c r="N5531" s="8">
        <f>HYPERLINK("https://www.vietnamworks.com/manufacturing-excellences-manager-2016300-jv","Xem chi tiết")</f>
        <v/>
      </c>
    </row>
    <row r="5532">
      <c r="B5532" s="9" t="n">
        <v>5530</v>
      </c>
      <c r="C5532" s="10" t="inlineStr">
        <is>
          <t>Chuyên Viên Kinh Doanh Thị Trường Khung Trần Vĩnh Tường</t>
        </is>
      </c>
      <c r="D5532" s="10" t="inlineStr">
        <is>
          <t>Công ty TNHH công nghiệp Vĩnh Tường miền bắc Việt Nam</t>
        </is>
      </c>
      <c r="E5532" s="10" t="inlineStr">
        <is>
          <t>Thương lượng</t>
        </is>
      </c>
      <c r="F5532" s="10" t="inlineStr">
        <is>
          <t>Kiên Giang</t>
        </is>
      </c>
      <c r="G5532" s="10" t="inlineStr">
        <is>
          <t>Nhân viên</t>
        </is>
      </c>
      <c r="H5532" s="10" t="inlineStr">
        <is>
          <t>01/03/2026</t>
        </is>
      </c>
      <c r="I5532" s="10" t="inlineStr">
        <is>
          <t>31/03/2026</t>
        </is>
      </c>
      <c r="J5532" s="10" t="inlineStr">
        <is>
          <t>17/03/2026</t>
        </is>
      </c>
      <c r="K5532" s="10" t="inlineStr">
        <is>
          <t>N/A</t>
        </is>
      </c>
      <c r="L5532" s="10" t="inlineStr">
        <is>
          <t>Bán Hàng, Kinh Doanh Khu Vực, Bán Hàng Phân Phối, Chăm Sóc Khách Hàng, Phát Triển Thị Trường</t>
        </is>
      </c>
      <c r="M5532" s="10" t="inlineStr">
        <is>
          <t>Healthcare Plan, Training, Laptop</t>
        </is>
      </c>
      <c r="N5532" s="11">
        <f>HYPERLINK("https://www.vietnamworks.com/chuyen-vien-kinh-doanh-thi-truong-khung-tran-vinh-tuong--2016309-jv","Xem chi tiết")</f>
        <v/>
      </c>
      <c r="O5532" s="10" t="n"/>
    </row>
    <row r="5533">
      <c r="B5533" s="7" t="n">
        <v>5531</v>
      </c>
      <c r="C5533" t="inlineStr">
        <is>
          <t>Air Cargo Operations Assistant Manager - SGN</t>
        </is>
      </c>
      <c r="D5533" t="inlineStr">
        <is>
          <t>ECS Group</t>
        </is>
      </c>
      <c r="E5533" t="inlineStr">
        <is>
          <t>Từ $ 900 /tháng</t>
        </is>
      </c>
      <c r="F5533" t="inlineStr">
        <is>
          <t>Hồ Chí Minh</t>
        </is>
      </c>
      <c r="G5533" t="inlineStr">
        <is>
          <t>Nhân viên</t>
        </is>
      </c>
      <c r="H5533" t="inlineStr">
        <is>
          <t>01/03/2026</t>
        </is>
      </c>
      <c r="I5533" t="inlineStr">
        <is>
          <t>31/03/2026</t>
        </is>
      </c>
      <c r="J5533" t="inlineStr">
        <is>
          <t>17/03/2026</t>
        </is>
      </c>
      <c r="K5533" t="inlineStr">
        <is>
          <t>N/A</t>
        </is>
      </c>
      <c r="L5533" t="inlineStr">
        <is>
          <t>Cargo Handling, Communication Skills, Iata Regulations, Logistics, Transportation</t>
        </is>
      </c>
      <c r="M5533" t="inlineStr">
        <is>
          <t>Bonus, Healthcare Plan, Paid Leave, Training, Others</t>
        </is>
      </c>
      <c r="N5533" s="8">
        <f>HYPERLINK("https://www.vietnamworks.com/air-cargo-operations-assistant-manager-sgn-2016311-jv","Xem chi tiết")</f>
        <v/>
      </c>
    </row>
    <row r="5534">
      <c r="B5534" s="9" t="n">
        <v>5532</v>
      </c>
      <c r="C5534" s="10" t="inlineStr">
        <is>
          <t>Giám Đốc Huy Động Vốn Đầu Tư</t>
        </is>
      </c>
      <c r="D5534" s="10" t="inlineStr">
        <is>
          <t>Capital House Group</t>
        </is>
      </c>
      <c r="E5534" s="10" t="inlineStr">
        <is>
          <t>Thương lượng</t>
        </is>
      </c>
      <c r="F5534" s="10" t="inlineStr">
        <is>
          <t>Hà Nội</t>
        </is>
      </c>
      <c r="G5534" s="10" t="inlineStr">
        <is>
          <t>Giám Đốc và Cấp Cao Hơn</t>
        </is>
      </c>
      <c r="H5534" s="10" t="inlineStr">
        <is>
          <t>01/03/2026</t>
        </is>
      </c>
      <c r="I5534" s="10" t="inlineStr">
        <is>
          <t>31/03/2026</t>
        </is>
      </c>
      <c r="J5534" s="10" t="inlineStr">
        <is>
          <t>17/03/2026</t>
        </is>
      </c>
      <c r="K5534" s="10" t="inlineStr">
        <is>
          <t>N/A</t>
        </is>
      </c>
      <c r="L5534" s="10" t="inlineStr">
        <is>
          <t>Huy Động Vốn, Tài Chính Bất Động Sản, Đầu Tư</t>
        </is>
      </c>
      <c r="M5534" s="10" t="inlineStr">
        <is>
          <t>Bonus, Healthcare Plan, Paid Leave, Training, Team Activities, Vouchers</t>
        </is>
      </c>
      <c r="N5534" s="11">
        <f>HYPERLINK("https://www.vietnamworks.com/giam-djoc-huy-djong-von-djau-tu-2016324-jv","Xem chi tiết")</f>
        <v/>
      </c>
      <c r="O5534" s="10" t="n"/>
    </row>
    <row r="5535">
      <c r="B5535" s="7" t="n">
        <v>5533</v>
      </c>
      <c r="C5535" t="inlineStr">
        <is>
          <t>Trưởng Ban Quyết Toán - Hệ sinh thái Genesis</t>
        </is>
      </c>
      <c r="D5535" t="inlineStr">
        <is>
          <t>Capital House Group</t>
        </is>
      </c>
      <c r="E5535" t="inlineStr">
        <is>
          <t>Thương lượng</t>
        </is>
      </c>
      <c r="F5535" t="inlineStr">
        <is>
          <t>Hà Nội</t>
        </is>
      </c>
      <c r="G5535" t="inlineStr">
        <is>
          <t>Giám Đốc và Cấp Cao Hơn</t>
        </is>
      </c>
      <c r="H5535" t="inlineStr">
        <is>
          <t>01/03/2026</t>
        </is>
      </c>
      <c r="I5535" t="inlineStr">
        <is>
          <t>31/03/2026</t>
        </is>
      </c>
      <c r="J5535" t="inlineStr">
        <is>
          <t>17/03/2026</t>
        </is>
      </c>
      <c r="K5535" t="inlineStr">
        <is>
          <t>N/A</t>
        </is>
      </c>
      <c r="L5535" t="inlineStr">
        <is>
          <t>Kiểm Toán, Quyết Toán Dự Án, Quyết Toán Hồ Sơ, Thuế Tài Chính</t>
        </is>
      </c>
      <c r="M5535" t="inlineStr">
        <is>
          <t>Bonus, Healthcare Plan, Paid Leave, Training, Team Activities, Vouchers</t>
        </is>
      </c>
      <c r="N5535" s="8">
        <f>HYPERLINK("https://www.vietnamworks.com/truong-ban-quyet-toan-he-sinh-thai-genesis-2016325-jv","Xem chi tiết")</f>
        <v/>
      </c>
    </row>
    <row r="5536">
      <c r="B5536" s="9" t="n">
        <v>5534</v>
      </c>
      <c r="C5536" s="10" t="inlineStr">
        <is>
          <t>Technical Service Executive (Cement)</t>
        </is>
      </c>
      <c r="D5536" s="10" t="inlineStr">
        <is>
          <t>Công ty TNHH công nghiệp Vĩnh Tường miền bắc Việt Nam</t>
        </is>
      </c>
      <c r="E5536" s="10" t="inlineStr">
        <is>
          <t>Thương lượng</t>
        </is>
      </c>
      <c r="F5536" s="10" t="inlineStr">
        <is>
          <t>Hà Nội</t>
        </is>
      </c>
      <c r="G5536" s="10" t="inlineStr">
        <is>
          <t>Nhân viên</t>
        </is>
      </c>
      <c r="H5536" s="10" t="inlineStr">
        <is>
          <t>01/03/2026</t>
        </is>
      </c>
      <c r="I5536" s="10" t="inlineStr">
        <is>
          <t>31/03/2026</t>
        </is>
      </c>
      <c r="J5536" s="10" t="inlineStr">
        <is>
          <t>17/03/2026</t>
        </is>
      </c>
      <c r="K5536" s="10" t="inlineStr">
        <is>
          <t>N/A</t>
        </is>
      </c>
      <c r="L5536" s="10" t="inlineStr">
        <is>
          <t>Waterproofing, Construction Chemicals, Construction Material, Technical Advising</t>
        </is>
      </c>
      <c r="M5536" s="10" t="inlineStr">
        <is>
          <t>Healthcare Plan, Training, Laptop</t>
        </is>
      </c>
      <c r="N5536" s="11">
        <f>HYPERLINK("https://www.vietnamworks.com/technical-service-executive-cement-2016314-jv","Xem chi tiết")</f>
        <v/>
      </c>
      <c r="O5536" s="10" t="n"/>
    </row>
    <row r="5537">
      <c r="B5537" s="7" t="n">
        <v>5535</v>
      </c>
      <c r="C5537" t="inlineStr">
        <is>
          <t>EHS Supervisor</t>
        </is>
      </c>
      <c r="D5537" t="inlineStr">
        <is>
          <t>CÔNG TY TNHH C-HAWK TECHNOLOGY VIỆT NAM</t>
        </is>
      </c>
      <c r="E5537" t="inlineStr">
        <is>
          <t>Thương lượng</t>
        </is>
      </c>
      <c r="F5537" t="inlineStr">
        <is>
          <t>Bình Dương</t>
        </is>
      </c>
      <c r="G5537" t="inlineStr">
        <is>
          <t>Nhân viên</t>
        </is>
      </c>
      <c r="H5537" t="inlineStr">
        <is>
          <t>01/03/2026</t>
        </is>
      </c>
      <c r="I5537" t="inlineStr">
        <is>
          <t>31/03/2026</t>
        </is>
      </c>
      <c r="J5537" t="inlineStr">
        <is>
          <t>17/03/2026</t>
        </is>
      </c>
      <c r="K5537" t="inlineStr">
        <is>
          <t>N/A</t>
        </is>
      </c>
      <c r="L5537" t="inlineStr">
        <is>
          <t>HSE Management, Giám Sát HSE, An Toàn Sức Khỏe Môi Trường, HSE, An Toàn Lao Động</t>
        </is>
      </c>
      <c r="M5537" t="inlineStr">
        <is>
          <t>Bonus, Training, Laptop</t>
        </is>
      </c>
      <c r="N5537" s="8">
        <f>HYPERLINK("https://www.vietnamworks.com/ehs-supervisor--2016323-jv","Xem chi tiết")</f>
        <v/>
      </c>
    </row>
    <row r="5538">
      <c r="B5538" s="9" t="n">
        <v>5536</v>
      </c>
      <c r="C5538" s="10" t="inlineStr">
        <is>
          <t>Trưởng Phòng Đào Tạo Thực Chiến</t>
        </is>
      </c>
      <c r="D5538" s="10" t="inlineStr">
        <is>
          <t>Capital House Group</t>
        </is>
      </c>
      <c r="E5538" s="10" t="inlineStr">
        <is>
          <t>Thương lượng</t>
        </is>
      </c>
      <c r="F5538" s="10" t="inlineStr">
        <is>
          <t>Hà Nội</t>
        </is>
      </c>
      <c r="G5538" s="10" t="inlineStr">
        <is>
          <t>Trưởng phòng</t>
        </is>
      </c>
      <c r="H5538" s="10" t="inlineStr">
        <is>
          <t>01/03/2026</t>
        </is>
      </c>
      <c r="I5538" s="10" t="inlineStr">
        <is>
          <t>31/03/2026</t>
        </is>
      </c>
      <c r="J5538" s="10" t="inlineStr">
        <is>
          <t>17/03/2026</t>
        </is>
      </c>
      <c r="K5538" s="10" t="inlineStr">
        <is>
          <t>N/A</t>
        </is>
      </c>
      <c r="L5538" s="10" t="inlineStr">
        <is>
          <t>Cải Tiến Chất Lượng, Dự Trù Năng Suất, Huấn Luyện, Ngoại Thần Kinh, Quản Trị Vận Hành</t>
        </is>
      </c>
      <c r="M5538" s="10" t="inlineStr">
        <is>
          <t>Bonus, Healthcare Plan, Paid Leave, Training, Team Activities, Vouchers</t>
        </is>
      </c>
      <c r="N5538" s="11">
        <f>HYPERLINK("https://www.vietnamworks.com/truong-phong-djao-tao-thuc-chien-2016332-jv","Xem chi tiết")</f>
        <v/>
      </c>
      <c r="O5538" s="10" t="n"/>
    </row>
    <row r="5539">
      <c r="B5539" s="7" t="n">
        <v>5537</v>
      </c>
      <c r="C5539" t="inlineStr">
        <is>
          <t>Trưởng Phòng Hiệu Suất và Kiểm Soát Rủi Ro Vận Hành</t>
        </is>
      </c>
      <c r="D5539" t="inlineStr">
        <is>
          <t>Ngân Hàng TNHH MTV Kỷ Nguyên Thịnh Vượng - GPBank</t>
        </is>
      </c>
      <c r="E5539" t="inlineStr">
        <is>
          <t>Thương lượng</t>
        </is>
      </c>
      <c r="F5539" t="inlineStr">
        <is>
          <t>Hà Nội</t>
        </is>
      </c>
      <c r="G5539" t="inlineStr">
        <is>
          <t>Trưởng phòng</t>
        </is>
      </c>
      <c r="H5539" t="inlineStr">
        <is>
          <t>01/03/2026</t>
        </is>
      </c>
      <c r="I5539" t="inlineStr">
        <is>
          <t>31/03/2026</t>
        </is>
      </c>
      <c r="J5539" t="inlineStr">
        <is>
          <t>17/03/2026</t>
        </is>
      </c>
      <c r="K5539" t="inlineStr">
        <is>
          <t>N/A</t>
        </is>
      </c>
      <c r="L5539" t="inlineStr">
        <is>
          <t>Lean, Six Sigma, 5S, KAIZEN, Kiểm Soát Rủi Ro</t>
        </is>
      </c>
      <c r="M5539" t="inlineStr">
        <is>
          <t>Bonus</t>
        </is>
      </c>
      <c r="N5539" s="8">
        <f>HYPERLINK("https://www.vietnamworks.com/truong-phong-hieu-suat-va-kiem-soat-rui-ro-van-hanh-2016307-jv","Xem chi tiết")</f>
        <v/>
      </c>
    </row>
    <row r="5540">
      <c r="B5540" s="9" t="n">
        <v>5538</v>
      </c>
      <c r="C5540" s="10" t="inlineStr">
        <is>
          <t>Maintenance Supervisor (Apparel)</t>
        </is>
      </c>
      <c r="D5540" s="10" t="inlineStr">
        <is>
          <t>Apx Global Management Limited</t>
        </is>
      </c>
      <c r="E5540" s="10" t="inlineStr">
        <is>
          <t>Thương lượng</t>
        </is>
      </c>
      <c r="F5540" s="10" t="inlineStr">
        <is>
          <t>Quảng Ngãi</t>
        </is>
      </c>
      <c r="G5540" s="10" t="inlineStr">
        <is>
          <t>Nhân viên</t>
        </is>
      </c>
      <c r="H5540" s="10" t="inlineStr">
        <is>
          <t>14/02/2026</t>
        </is>
      </c>
      <c r="I5540" s="10" t="inlineStr">
        <is>
          <t>31/03/2026</t>
        </is>
      </c>
      <c r="J5540" s="10" t="inlineStr">
        <is>
          <t>17/03/2026</t>
        </is>
      </c>
      <c r="K5540" s="10" t="inlineStr">
        <is>
          <t>N/A</t>
        </is>
      </c>
      <c r="L5540" s="10" t="inlineStr">
        <is>
          <t>Quality Assurance, Garment</t>
        </is>
      </c>
      <c r="M5540" s="10" t="inlineStr">
        <is>
          <t>Bonus, Paid Leave, Training</t>
        </is>
      </c>
      <c r="N5540" s="11">
        <f>HYPERLINK("https://www.vietnamworks.com/maintenance-supervisor-apparel--2012099-jv","Xem chi tiết")</f>
        <v/>
      </c>
      <c r="O5540" s="10" t="n"/>
    </row>
    <row r="5541">
      <c r="B5541" s="7" t="n">
        <v>5539</v>
      </c>
      <c r="C5541" t="inlineStr">
        <is>
          <t>Senior Associate, Internal IT Audit (Integrated)</t>
        </is>
      </c>
      <c r="D5541" t="inlineStr">
        <is>
          <t>NAB Innovation Centre Vietnam</t>
        </is>
      </c>
      <c r="E5541" t="inlineStr">
        <is>
          <t>Thương lượng</t>
        </is>
      </c>
      <c r="F5541" t="inlineStr">
        <is>
          <t>Hồ Chí Minh</t>
        </is>
      </c>
      <c r="G5541" t="inlineStr">
        <is>
          <t>Nhân viên</t>
        </is>
      </c>
      <c r="H5541" t="inlineStr">
        <is>
          <t>01/03/2026</t>
        </is>
      </c>
      <c r="I5541" t="inlineStr">
        <is>
          <t>31/03/2026</t>
        </is>
      </c>
      <c r="J5541" t="inlineStr">
        <is>
          <t>17/03/2026</t>
        </is>
      </c>
      <c r="K5541" t="inlineStr">
        <is>
          <t>N/A</t>
        </is>
      </c>
      <c r="L5541" t="inlineStr">
        <is>
          <t>Risk Management, Cyber Security, Stakeholder Mangement, IT Audit, English</t>
        </is>
      </c>
      <c r="M5541" t="inlineStr">
        <is>
          <t>Bonus, Healthcare Plan, Team Activities</t>
        </is>
      </c>
      <c r="N5541" s="8">
        <f>HYPERLINK("https://www.vietnamworks.com/senior-associate-internal-it-audit-integrated--2016329-jv","Xem chi tiết")</f>
        <v/>
      </c>
    </row>
    <row r="5542">
      <c r="B5542" s="9" t="n">
        <v>5540</v>
      </c>
      <c r="C5542" s="10" t="inlineStr">
        <is>
          <t>Kế Toán Tổng Hợp</t>
        </is>
      </c>
      <c r="D5542" s="10" t="inlineStr">
        <is>
          <t>TẬP ĐOÀN HẢI SẢN HOÀNG GIA</t>
        </is>
      </c>
      <c r="E5542" s="10" t="inlineStr">
        <is>
          <t>Thương lượng</t>
        </is>
      </c>
      <c r="F5542" s="10" t="inlineStr">
        <is>
          <t>Hồ Chí Minh</t>
        </is>
      </c>
      <c r="G5542" s="10" t="inlineStr">
        <is>
          <t>Nhân viên</t>
        </is>
      </c>
      <c r="H5542" s="10" t="inlineStr">
        <is>
          <t>01/03/2026</t>
        </is>
      </c>
      <c r="I5542" s="10" t="inlineStr">
        <is>
          <t>31/03/2026</t>
        </is>
      </c>
      <c r="J5542" s="10" t="inlineStr">
        <is>
          <t>17/03/2026</t>
        </is>
      </c>
      <c r="K5542" s="10" t="inlineStr">
        <is>
          <t>N/A</t>
        </is>
      </c>
      <c r="L5542" s="10" t="inlineStr">
        <is>
          <t>Giao Tiếp, Kế Toán Tổng Hợp, Kiểm Soát Chi Phí, Phân Tích Tài Chính, Quản Lý Công Nợ</t>
        </is>
      </c>
      <c r="M5542" s="10" t="inlineStr">
        <is>
          <t>Bonus, Healthcare Plan, Team Activities</t>
        </is>
      </c>
      <c r="N5542" s="11">
        <f>HYPERLINK("https://www.vietnamworks.com/ke-toan-tong-hop-2016326-jv","Xem chi tiết")</f>
        <v/>
      </c>
      <c r="O5542" s="10" t="n"/>
    </row>
    <row r="5543">
      <c r="B5543" s="7" t="n">
        <v>5541</v>
      </c>
      <c r="C5543" t="inlineStr">
        <is>
          <t>Trưởng phòng Quan Hệ Lao Động và C&amp;B</t>
        </is>
      </c>
      <c r="D5543" t="inlineStr">
        <is>
          <t>Capital House Group</t>
        </is>
      </c>
      <c r="E5543" t="inlineStr">
        <is>
          <t>Thương lượng</t>
        </is>
      </c>
      <c r="F5543" t="inlineStr">
        <is>
          <t>Hà Nội</t>
        </is>
      </c>
      <c r="G5543" t="inlineStr">
        <is>
          <t>Trưởng phòng</t>
        </is>
      </c>
      <c r="H5543" t="inlineStr">
        <is>
          <t>01/03/2026</t>
        </is>
      </c>
      <c r="I5543" t="inlineStr">
        <is>
          <t>31/03/2026</t>
        </is>
      </c>
      <c r="J5543" t="inlineStr">
        <is>
          <t>17/03/2026</t>
        </is>
      </c>
      <c r="K5543" t="inlineStr">
        <is>
          <t>N/A</t>
        </is>
      </c>
      <c r="L5543" t="inlineStr">
        <is>
          <t>Bảo Hiểm Xã Hội, Nhân sự (Luật lao động, luật Bảo hiểm), Pháp Luật Lao Động</t>
        </is>
      </c>
      <c r="M5543" t="inlineStr">
        <is>
          <t>Bonus, Healthcare Plan, Paid Leave, Training, Team Activities, Vouchers</t>
        </is>
      </c>
      <c r="N5543" s="8">
        <f>HYPERLINK("https://www.vietnamworks.com/truong-phong-quan-he-lao-djong-va-candb-2016331-jv","Xem chi tiết")</f>
        <v/>
      </c>
    </row>
    <row r="5544">
      <c r="B5544" s="9" t="n">
        <v>5542</v>
      </c>
      <c r="C5544" s="10" t="inlineStr">
        <is>
          <t>Nhân Viên Phát Triển Đối Tác Tài Xế</t>
        </is>
      </c>
      <c r="D5544" s="10" t="inlineStr">
        <is>
          <t>Lalamove Viet Nam</t>
        </is>
      </c>
      <c r="E5544" s="10" t="inlineStr">
        <is>
          <t>8tr-10tr ₫/tháng</t>
        </is>
      </c>
      <c r="F5544" s="10" t="inlineStr">
        <is>
          <t>Hồ Chí Minh, Hà Nội</t>
        </is>
      </c>
      <c r="G5544" s="10" t="inlineStr">
        <is>
          <t>Nhân viên</t>
        </is>
      </c>
      <c r="H5544" s="10" t="inlineStr">
        <is>
          <t>01/03/2026</t>
        </is>
      </c>
      <c r="I5544" s="10" t="inlineStr">
        <is>
          <t>31/03/2026</t>
        </is>
      </c>
      <c r="J5544" s="10" t="inlineStr">
        <is>
          <t>17/03/2026</t>
        </is>
      </c>
      <c r="K5544" s="10" t="inlineStr">
        <is>
          <t>N/A</t>
        </is>
      </c>
      <c r="L5544" s="10" t="inlineStr">
        <is>
          <t>Kỹ năng giao tiếp, Microsoft Office, Quản Lý Chỉ Số KPI, Tư Duy Hệ Thống</t>
        </is>
      </c>
      <c r="M5544" s="10" t="inlineStr">
        <is>
          <t>Bonus, Healthcare Plan, Paid Leave, Laptop</t>
        </is>
      </c>
      <c r="N5544" s="11">
        <f>HYPERLINK("https://www.vietnamworks.com/nhan-vien-phat-trien-djoi-tac-tai-xe-2016299-jv","Xem chi tiết")</f>
        <v/>
      </c>
      <c r="O5544" s="10" t="n"/>
    </row>
    <row r="5545">
      <c r="B5545" s="7" t="n">
        <v>5543</v>
      </c>
      <c r="C5545" t="inlineStr">
        <is>
          <t>Air Operation Staff</t>
        </is>
      </c>
      <c r="D5545" t="inlineStr">
        <is>
          <t>Công Ty TNHH HYUNDAI Glovis Việt Nam</t>
        </is>
      </c>
      <c r="E5545" t="inlineStr">
        <is>
          <t>Thương lượng</t>
        </is>
      </c>
      <c r="F5545" t="inlineStr">
        <is>
          <t>Hà Nội</t>
        </is>
      </c>
      <c r="G5545" t="inlineStr">
        <is>
          <t>Nhân viên</t>
        </is>
      </c>
      <c r="H5545" t="inlineStr">
        <is>
          <t>01/03/2026</t>
        </is>
      </c>
      <c r="I5545" t="inlineStr">
        <is>
          <t>31/03/2026</t>
        </is>
      </c>
      <c r="J5545" t="inlineStr">
        <is>
          <t>17/03/2026</t>
        </is>
      </c>
      <c r="K5545" t="inlineStr">
        <is>
          <t>N/A</t>
        </is>
      </c>
      <c r="L5545" t="inlineStr">
        <is>
          <t>Air Freight Logistics, Import &amp; Export, Microsoft Excel, Proactive Attitude, Well Organized</t>
        </is>
      </c>
      <c r="M5545" t="inlineStr">
        <is>
          <t>Bonus, Healthcare Plan, Paid Leave, Training, Laptop, Team Activities, Canteen, Others</t>
        </is>
      </c>
      <c r="N5545" s="8">
        <f>HYPERLINK("https://www.vietnamworks.com/air-operation-staff-2016339-jv","Xem chi tiết")</f>
        <v/>
      </c>
    </row>
    <row r="5546">
      <c r="B5546" s="9" t="n">
        <v>5544</v>
      </c>
      <c r="C5546" s="10" t="inlineStr">
        <is>
          <t>Marketing Assistant</t>
        </is>
      </c>
      <c r="D5546" s="10" t="inlineStr">
        <is>
          <t>Succulents Box</t>
        </is>
      </c>
      <c r="E5546" s="10" t="inlineStr">
        <is>
          <t>$$ 400-600 /tháng</t>
        </is>
      </c>
      <c r="F5546" s="10" t="inlineStr">
        <is>
          <t>Hồ Chí Minh</t>
        </is>
      </c>
      <c r="G5546" s="10" t="inlineStr">
        <is>
          <t>Nhân viên</t>
        </is>
      </c>
      <c r="H5546" s="10" t="inlineStr">
        <is>
          <t>24/03/2025</t>
        </is>
      </c>
      <c r="I5546" s="10" t="inlineStr">
        <is>
          <t>01/04/2026</t>
        </is>
      </c>
      <c r="J5546" s="10" t="inlineStr">
        <is>
          <t>17/03/2026</t>
        </is>
      </c>
      <c r="K5546" s="10" t="inlineStr">
        <is>
          <t>N/A</t>
        </is>
      </c>
      <c r="L5546" s="10" t="inlineStr">
        <is>
          <t>Tiếp Thị Bán Hàng</t>
        </is>
      </c>
      <c r="M5546" s="10" t="inlineStr">
        <is>
          <t>Bonus, Healthcare Plan, Paid Leave</t>
        </is>
      </c>
      <c r="N5546" s="11">
        <f>HYPERLINK("https://www.vietnamworks.com/marketing-assistant-133-1-1-1-1-2-1-1-1-1--1886471-jv","Xem chi tiết")</f>
        <v/>
      </c>
      <c r="O5546" s="10" t="n"/>
    </row>
    <row r="5547">
      <c r="B5547" s="7" t="n">
        <v>5545</v>
      </c>
      <c r="C5547" t="inlineStr">
        <is>
          <t>Electrical Engineer (Chinese Speaking)</t>
        </is>
      </c>
      <c r="D5547" t="inlineStr">
        <is>
          <t>Công ty TNHH TUV Rheinland Vietnam.</t>
        </is>
      </c>
      <c r="E5547" t="inlineStr">
        <is>
          <t>Thương lượng</t>
        </is>
      </c>
      <c r="F5547" t="inlineStr">
        <is>
          <t>Hưng Yên</t>
        </is>
      </c>
      <c r="G5547" t="inlineStr">
        <is>
          <t>Nhân viên</t>
        </is>
      </c>
      <c r="H5547" t="inlineStr">
        <is>
          <t>01/03/2026</t>
        </is>
      </c>
      <c r="I5547" t="inlineStr">
        <is>
          <t>31/03/2026</t>
        </is>
      </c>
      <c r="J5547" t="inlineStr">
        <is>
          <t>17/03/2026</t>
        </is>
      </c>
      <c r="K5547" t="inlineStr">
        <is>
          <t>N/A</t>
        </is>
      </c>
      <c r="L5547" t="inlineStr">
        <is>
          <t>Electrical Engineer, Electric Engineering, Chinese Communication, Automation Engineering, English Communication</t>
        </is>
      </c>
      <c r="M5547" t="inlineStr">
        <is>
          <t>Bonus, Healthcare Plan, Paid Leave</t>
        </is>
      </c>
      <c r="N5547" s="8">
        <f>HYPERLINK("https://www.vietnamworks.com/electrical-engineer-chinese-speaking-2016336-jv","Xem chi tiết")</f>
        <v/>
      </c>
    </row>
    <row r="5548">
      <c r="B5548" s="9" t="n">
        <v>5546</v>
      </c>
      <c r="C5548" s="10" t="inlineStr">
        <is>
          <t>Kỹ Thuật Điện (Electrical Engineer)</t>
        </is>
      </c>
      <c r="D5548" s="10" t="inlineStr">
        <is>
          <t>Vietnamworks' Client</t>
        </is>
      </c>
      <c r="E5548" s="10" t="inlineStr">
        <is>
          <t>10tr-25tr ₫/tháng</t>
        </is>
      </c>
      <c r="F5548" s="10" t="inlineStr">
        <is>
          <t>Hồ Chí Minh</t>
        </is>
      </c>
      <c r="G5548" s="10" t="inlineStr">
        <is>
          <t>Nhân viên</t>
        </is>
      </c>
      <c r="H5548" s="10" t="inlineStr">
        <is>
          <t>04/01/2026</t>
        </is>
      </c>
      <c r="I5548" s="10" t="inlineStr">
        <is>
          <t>01/04/2026</t>
        </is>
      </c>
      <c r="J5548" s="10" t="inlineStr">
        <is>
          <t>17/03/2026</t>
        </is>
      </c>
      <c r="K5548" s="10" t="inlineStr">
        <is>
          <t>N/A</t>
        </is>
      </c>
      <c r="L5548" s="10" t="inlineStr">
        <is>
          <t>Autocad, Giải Quyết Vấn Đề, Giao Tiếp, Kỹ Thuật Điện, Tin Học Văn Phòng</t>
        </is>
      </c>
      <c r="M5548" s="10" t="inlineStr">
        <is>
          <t>Bonus, Healthcare Plan, Training, Others</t>
        </is>
      </c>
      <c r="N5548" s="11">
        <f>HYPERLINK("https://www.vietnamworks.com/ky-thuat-djien-electrical-engineer-1999243-jv","Xem chi tiết")</f>
        <v/>
      </c>
      <c r="O5548" s="10" t="n"/>
    </row>
    <row r="5549">
      <c r="B5549" s="7" t="n">
        <v>5547</v>
      </c>
      <c r="C5549" t="inlineStr">
        <is>
          <t>Sales Tour Outbound - Chuyên Viên Kinh Doanh Mảng Du Lịch - Thu Nhập Up to 50Tr/tháng</t>
        </is>
      </c>
      <c r="D5549" t="inlineStr">
        <is>
          <t>Pan American Travel</t>
        </is>
      </c>
      <c r="E5549" t="inlineStr">
        <is>
          <t>9.5tr-50tr ₫/tháng</t>
        </is>
      </c>
      <c r="F5549" t="inlineStr">
        <is>
          <t>Hà Nội, Hồ Chí Minh</t>
        </is>
      </c>
      <c r="G5549" t="inlineStr">
        <is>
          <t>Nhân viên</t>
        </is>
      </c>
      <c r="H5549" t="inlineStr">
        <is>
          <t>24/10/2023</t>
        </is>
      </c>
      <c r="I5549" t="inlineStr">
        <is>
          <t>01/04/2026</t>
        </is>
      </c>
      <c r="J5549" t="inlineStr">
        <is>
          <t>17/03/2026</t>
        </is>
      </c>
      <c r="K5549" t="inlineStr">
        <is>
          <t>N/A</t>
        </is>
      </c>
      <c r="L5549" t="inlineStr">
        <is>
          <t>Tư Vấn Khách Hàng, Phát Triển Thị Trường, Outbound Travel, Outbound Tour, Tư Vấn Báo Giá</t>
        </is>
      </c>
      <c r="M5549" t="inlineStr">
        <is>
          <t>Bonus, Healthcare Plan, Training</t>
        </is>
      </c>
      <c r="N5549" s="8">
        <f>HYPERLINK("https://www.vietnamworks.com/sales-tour-outbound-chuyen-vien-kinh-doanh-mang-du-lich-thu-nhap-up-to-50tr-thang-1706918-jv","Xem chi tiết")</f>
        <v/>
      </c>
    </row>
    <row r="5550">
      <c r="B5550" s="9" t="n">
        <v>5548</v>
      </c>
      <c r="C5550" s="10" t="inlineStr">
        <is>
          <t>Admission Supervisor - ILO Preschool ( Phỏng Vấn Trước Tết - Nhận Việc Sau Tết)</t>
        </is>
      </c>
      <c r="D5550" s="10" t="inlineStr">
        <is>
          <t>ILA Vietnam</t>
        </is>
      </c>
      <c r="E5550" s="10" t="inlineStr">
        <is>
          <t>$$ 700-800 /tháng</t>
        </is>
      </c>
      <c r="F5550" s="10" t="inlineStr">
        <is>
          <t>Bình Dương</t>
        </is>
      </c>
      <c r="G5550" s="10" t="inlineStr">
        <is>
          <t>Trưởng phòng</t>
        </is>
      </c>
      <c r="H5550" s="10" t="inlineStr">
        <is>
          <t>12/01/2026</t>
        </is>
      </c>
      <c r="I5550" s="10" t="inlineStr">
        <is>
          <t>01/04/2026</t>
        </is>
      </c>
      <c r="J5550" s="10" t="inlineStr">
        <is>
          <t>17/03/2026</t>
        </is>
      </c>
      <c r="K5550" s="10" t="inlineStr">
        <is>
          <t>N/A</t>
        </is>
      </c>
      <c r="L5550" s="10" t="inlineStr">
        <is>
          <t>Channel Relationship Management, Customer Service, Mentoring, Sales Experience</t>
        </is>
      </c>
      <c r="M5550" s="10" t="inlineStr">
        <is>
          <t>Bonus, Healthcare Plan, Laptop, Mobile, Vouchers</t>
        </is>
      </c>
      <c r="N5550" s="11">
        <f>HYPERLINK("https://www.vietnamworks.com/admission-supervisor-ilo-preschool-phong-van-truoc-tet-nhan-viec-sau-tet-2001470-jv","Xem chi tiết")</f>
        <v/>
      </c>
      <c r="O5550" s="10" t="n"/>
    </row>
    <row r="5551">
      <c r="B5551" s="7" t="n">
        <v>5549</v>
      </c>
      <c r="C5551" t="inlineStr">
        <is>
          <t>Customer Services Engineer - EV Charger</t>
        </is>
      </c>
      <c r="D5551" t="inlineStr">
        <is>
          <t>CHARGECORE PTE. LTD.</t>
        </is>
      </c>
      <c r="E5551" t="inlineStr">
        <is>
          <t>$$ 1,000-1,500 /tháng</t>
        </is>
      </c>
      <c r="F5551" t="inlineStr">
        <is>
          <t>Hà Nội, Đà Nẵng, Hồ Chí Minh</t>
        </is>
      </c>
      <c r="G5551" t="inlineStr">
        <is>
          <t>Nhân viên</t>
        </is>
      </c>
      <c r="H5551" t="inlineStr">
        <is>
          <t>09/01/2026</t>
        </is>
      </c>
      <c r="I5551" t="inlineStr">
        <is>
          <t>01/04/2026</t>
        </is>
      </c>
      <c r="J5551" t="inlineStr">
        <is>
          <t>17/03/2026</t>
        </is>
      </c>
      <c r="K5551" t="inlineStr">
        <is>
          <t>N/A</t>
        </is>
      </c>
      <c r="L5551" t="inlineStr">
        <is>
          <t>After-Sales Support, Communication Skills, Electrical Engineering, Microsoft Word, Resolve Problem</t>
        </is>
      </c>
      <c r="M5551" t="inlineStr">
        <is>
          <t>Bonus, Others</t>
        </is>
      </c>
      <c r="N5551" s="8">
        <f>HYPERLINK("https://www.vietnamworks.com/customer-services-engineer-ev-charger-2001094-jv","Xem chi tiết")</f>
        <v/>
      </c>
    </row>
    <row r="5552">
      <c r="B5552" s="9" t="n">
        <v>5550</v>
      </c>
      <c r="C5552" s="10" t="inlineStr">
        <is>
          <t>Quality Assurance Coordinator (prefer live in Haiphong or Hai Duong)</t>
        </is>
      </c>
      <c r="D5552" s="10" t="inlineStr">
        <is>
          <t>Horizon Group USA</t>
        </is>
      </c>
      <c r="E5552" s="10" t="inlineStr">
        <is>
          <t>$$ 100-1,200 /tháng</t>
        </is>
      </c>
      <c r="F5552" s="10" t="inlineStr">
        <is>
          <t>Hà Nội</t>
        </is>
      </c>
      <c r="G5552" s="10" t="inlineStr">
        <is>
          <t>Nhân viên</t>
        </is>
      </c>
      <c r="H5552" s="10" t="inlineStr">
        <is>
          <t>21/04/2025</t>
        </is>
      </c>
      <c r="I5552" s="10" t="inlineStr">
        <is>
          <t>01/04/2026</t>
        </is>
      </c>
      <c r="J5552" s="10" t="inlineStr">
        <is>
          <t>17/03/2026</t>
        </is>
      </c>
      <c r="K5552" s="10" t="inlineStr">
        <is>
          <t>N/A</t>
        </is>
      </c>
      <c r="L5552" s="10" t="inlineStr">
        <is>
          <t>Auditing, Communication Skills, Data Entry, Product Quality, Regulatory Compliance</t>
        </is>
      </c>
      <c r="M5552" s="10" t="inlineStr">
        <is>
          <t>Travel Opportunities</t>
        </is>
      </c>
      <c r="N5552" s="11">
        <f>HYPERLINK("https://www.vietnamworks.com/quality-assurance-coordinator-prefer-live-in-haiphong-or-hai-duong-1898962-jv","Xem chi tiết")</f>
        <v/>
      </c>
      <c r="O5552" s="10" t="n"/>
    </row>
    <row r="5553">
      <c r="B5553" s="7" t="n">
        <v>5551</v>
      </c>
      <c r="C5553" t="inlineStr">
        <is>
          <t>Phiên Dịch Tiếng Nhật Ngành IT (IT Communicator)</t>
        </is>
      </c>
      <c r="D5553" t="inlineStr">
        <is>
          <t>ISV Vietnam Co., Ltd</t>
        </is>
      </c>
      <c r="E5553" t="inlineStr">
        <is>
          <t>Thương lượng</t>
        </is>
      </c>
      <c r="F5553" t="inlineStr">
        <is>
          <t>Hồ Chí Minh</t>
        </is>
      </c>
      <c r="G5553" t="inlineStr">
        <is>
          <t>Nhân viên</t>
        </is>
      </c>
      <c r="H5553" t="inlineStr">
        <is>
          <t>09/10/2025</t>
        </is>
      </c>
      <c r="I5553" t="inlineStr">
        <is>
          <t>01/04/2026</t>
        </is>
      </c>
      <c r="J5553" t="inlineStr">
        <is>
          <t>17/03/2026</t>
        </is>
      </c>
      <c r="K5553" t="inlineStr">
        <is>
          <t>N/A</t>
        </is>
      </c>
      <c r="L5553" t="inlineStr">
        <is>
          <t>Phiên Dịch Tiếng Nhật, Biên Dịch Tiếng Nhật, Tiếng Nhật N2, Microsoft Offices, It Comtor</t>
        </is>
      </c>
      <c r="M5553" t="inlineStr">
        <is>
          <t>Travel Opportunities, Others</t>
        </is>
      </c>
      <c r="N5553" s="8">
        <f>HYPERLINK("https://www.vietnamworks.com/phien-dich-tieng-nhat-nganh-it-it-communicator-1967946-jv","Xem chi tiết")</f>
        <v/>
      </c>
    </row>
    <row r="5554">
      <c r="B5554" s="9" t="n">
        <v>5552</v>
      </c>
      <c r="C5554" s="10" t="inlineStr">
        <is>
          <t>[Gấp] Chuyên Viên Tuyển Dụng - Cần Đi Làm Ngay Tại Thái Nguyên</t>
        </is>
      </c>
      <c r="D5554" s="10" t="inlineStr">
        <is>
          <t>CÔNG TY TNHH TRUYỀN THÔNG VÀ DỊCH VỤ GOKAMEDIA</t>
        </is>
      </c>
      <c r="E5554" s="10" t="inlineStr">
        <is>
          <t>12tr-20tr ₫/tháng</t>
        </is>
      </c>
      <c r="F5554" s="10" t="inlineStr">
        <is>
          <t>Thái Nguyên, Hà Nội</t>
        </is>
      </c>
      <c r="G5554" s="10" t="inlineStr">
        <is>
          <t>Nhân viên</t>
        </is>
      </c>
      <c r="H5554" s="10" t="inlineStr">
        <is>
          <t>08/01/2026</t>
        </is>
      </c>
      <c r="I5554" s="10" t="inlineStr">
        <is>
          <t>01/04/2026</t>
        </is>
      </c>
      <c r="J5554" s="10" t="inlineStr">
        <is>
          <t>17/03/2026</t>
        </is>
      </c>
      <c r="K5554" s="10" t="inlineStr">
        <is>
          <t>N/A</t>
        </is>
      </c>
      <c r="L5554" s="10" t="inlineStr">
        <is>
          <t>Tuyển Dụng, Talent Recruitment, Quản Trị Nhân Sự, Nhân Sự, HR</t>
        </is>
      </c>
      <c r="M5554" s="10" t="inlineStr">
        <is>
          <t>Bonus, Healthcare Plan, Others</t>
        </is>
      </c>
      <c r="N5554" s="11">
        <f>HYPERLINK("https://www.vietnamworks.com/gap-chuyen-vien-tuyen-dung-can-dji-lam-ngay-tai-thai-nguyen-2000858-jv","Xem chi tiết")</f>
        <v/>
      </c>
      <c r="O5554" s="10" t="n"/>
    </row>
    <row r="5555">
      <c r="B5555" s="7" t="n">
        <v>5553</v>
      </c>
      <c r="C5555" t="inlineStr">
        <is>
          <t>Trưởng Nhóm Đào Tạo Bán Hàng</t>
        </is>
      </c>
      <c r="D5555" t="inlineStr">
        <is>
          <t>Hyundai Thành Công Việt Nam (Hyundai.thanhcong.vn)</t>
        </is>
      </c>
      <c r="E5555" t="inlineStr">
        <is>
          <t>Thương lượng</t>
        </is>
      </c>
      <c r="F5555" t="inlineStr">
        <is>
          <t>Hà Nội</t>
        </is>
      </c>
      <c r="G5555" t="inlineStr">
        <is>
          <t>Nhân viên</t>
        </is>
      </c>
      <c r="H5555" t="inlineStr">
        <is>
          <t>24/10/2025</t>
        </is>
      </c>
      <c r="I5555" t="inlineStr">
        <is>
          <t>01/04/2026</t>
        </is>
      </c>
      <c r="J5555" t="inlineStr">
        <is>
          <t>17/03/2026</t>
        </is>
      </c>
      <c r="K5555" t="inlineStr">
        <is>
          <t>N/A</t>
        </is>
      </c>
      <c r="L5555" t="inlineStr">
        <is>
          <t>Đào Tạo Bán Hàng, Quản Lý Đào Tạo, Đàm Phán, Thuyết Trình, MS Office</t>
        </is>
      </c>
      <c r="M5555" t="inlineStr">
        <is>
          <t>Bonus, Healthcare Plan, Travel Opportunities</t>
        </is>
      </c>
      <c r="N5555" s="8">
        <f>HYPERLINK("https://www.vietnamworks.com/truong-nhom-dao-tao-ban-hang-1974118-jv","Xem chi tiết")</f>
        <v/>
      </c>
    </row>
    <row r="5556">
      <c r="B5556" s="9" t="n">
        <v>5554</v>
      </c>
      <c r="C5556" s="10" t="inlineStr">
        <is>
          <t>Kế Toán Tổng Hợp Xây Dựng</t>
        </is>
      </c>
      <c r="D5556" s="10" t="inlineStr">
        <is>
          <t>Công ty TNHH Phát triển Đô thị Eudora</t>
        </is>
      </c>
      <c r="E5556" s="10" t="inlineStr">
        <is>
          <t>25tr-30tr ₫/tháng</t>
        </is>
      </c>
      <c r="F5556" s="10" t="inlineStr">
        <is>
          <t>Hà Nội</t>
        </is>
      </c>
      <c r="G5556" s="10" t="inlineStr">
        <is>
          <t>Nhân viên</t>
        </is>
      </c>
      <c r="H5556" s="10" t="inlineStr">
        <is>
          <t>12/01/2026</t>
        </is>
      </c>
      <c r="I5556" s="10" t="inlineStr">
        <is>
          <t>01/04/2026</t>
        </is>
      </c>
      <c r="J5556" s="10" t="inlineStr">
        <is>
          <t>17/03/2026</t>
        </is>
      </c>
      <c r="K5556" s="10" t="inlineStr">
        <is>
          <t>N/A</t>
        </is>
      </c>
      <c r="L5556" s="10" t="inlineStr">
        <is>
          <t>Kế Toán, Tài Chính, Quản Lý Hợp Đồng, Hạch Toán Chi Phí, Đầu Tư Bất Động Sản</t>
        </is>
      </c>
      <c r="M5556" s="10" t="inlineStr">
        <is>
          <t>Bonus, Mobile, Team Activities</t>
        </is>
      </c>
      <c r="N5556" s="11">
        <f>HYPERLINK("https://www.vietnamworks.com/ke-toan-tong-hop-xay-dung-2001440-jv","Xem chi tiết")</f>
        <v/>
      </c>
      <c r="O5556" s="10" t="n"/>
    </row>
    <row r="5557">
      <c r="B5557" s="7" t="n">
        <v>5555</v>
      </c>
      <c r="C5557" t="inlineStr">
        <is>
          <t xml:space="preserve">Global Transaction Services Staff (Corporate Banking Product) </t>
        </is>
      </c>
      <c r="D5557" t="inlineStr">
        <is>
          <t>Cathay United Bank</t>
        </is>
      </c>
      <c r="E5557" t="inlineStr">
        <is>
          <t>Thương lượng</t>
        </is>
      </c>
      <c r="F5557" t="inlineStr">
        <is>
          <t>Hồ Chí Minh</t>
        </is>
      </c>
      <c r="G5557" t="inlineStr">
        <is>
          <t>Nhân viên</t>
        </is>
      </c>
      <c r="H5557" t="inlineStr">
        <is>
          <t>12/01/2026</t>
        </is>
      </c>
      <c r="I5557" t="inlineStr">
        <is>
          <t>01/04/2026</t>
        </is>
      </c>
      <c r="J5557" t="inlineStr">
        <is>
          <t>17/03/2026</t>
        </is>
      </c>
      <c r="K5557" t="inlineStr">
        <is>
          <t>N/A</t>
        </is>
      </c>
      <c r="L5557" t="inlineStr">
        <is>
          <t>Market Analysis, New Product Rollout, Product Management, Product Planning, Stakeholder Management</t>
        </is>
      </c>
      <c r="M5557" t="inlineStr">
        <is>
          <t>Bonus, Healthcare Plan, Training</t>
        </is>
      </c>
      <c r="N5557" s="8">
        <f>HYPERLINK("https://www.vietnamworks.com/global-transaction-services-staff-corporate-banking-product-2001441-jv","Xem chi tiết")</f>
        <v/>
      </c>
    </row>
    <row r="5558">
      <c r="B5558" s="9" t="n">
        <v>5556</v>
      </c>
      <c r="C5558" s="10" t="inlineStr">
        <is>
          <t>Senior Customer Relationship Manager</t>
        </is>
      </c>
      <c r="D5558" s="10" t="inlineStr">
        <is>
          <t>Bühler Asia Vietnam Limited</t>
        </is>
      </c>
      <c r="E5558" s="10" t="inlineStr">
        <is>
          <t>Thương lượng</t>
        </is>
      </c>
      <c r="F5558" s="10" t="inlineStr">
        <is>
          <t>Hồ Chí Minh</t>
        </is>
      </c>
      <c r="G5558" s="10" t="inlineStr">
        <is>
          <t>Trưởng phòng</t>
        </is>
      </c>
      <c r="H5558" s="10" t="inlineStr">
        <is>
          <t>02/06/2025</t>
        </is>
      </c>
      <c r="I5558" s="10" t="inlineStr">
        <is>
          <t>01/04/2026</t>
        </is>
      </c>
      <c r="J5558" s="10" t="inlineStr">
        <is>
          <t>17/03/2026</t>
        </is>
      </c>
      <c r="K5558" s="10" t="inlineStr">
        <is>
          <t>N/A</t>
        </is>
      </c>
      <c r="L5558" s="10" t="inlineStr">
        <is>
          <t>Customer Focus, Problem Solving, Leadership and time management capabilities, Interpersonal Communication, Planning</t>
        </is>
      </c>
      <c r="M5558" s="10" t="inlineStr">
        <is>
          <t>Bonus, Healthcare Plan, Paid Leave</t>
        </is>
      </c>
      <c r="N5558" s="11">
        <f>HYPERLINK("https://www.vietnamworks.com/senior-customer-relationship-manager-1916510-jv","Xem chi tiết")</f>
        <v/>
      </c>
      <c r="O5558" s="10" t="n"/>
    </row>
    <row r="5559">
      <c r="B5559" s="7" t="n">
        <v>5557</v>
      </c>
      <c r="C5559" t="inlineStr">
        <is>
          <t>Senior Business Development Manager</t>
        </is>
      </c>
      <c r="D5559" t="inlineStr">
        <is>
          <t>DHL Supply Chain</t>
        </is>
      </c>
      <c r="E5559" t="inlineStr">
        <is>
          <t>Thương lượng</t>
        </is>
      </c>
      <c r="F5559" t="inlineStr">
        <is>
          <t>Hồ Chí Minh</t>
        </is>
      </c>
      <c r="G5559" t="inlineStr">
        <is>
          <t>Trưởng phòng</t>
        </is>
      </c>
      <c r="H5559" t="inlineStr">
        <is>
          <t>12/01/2026</t>
        </is>
      </c>
      <c r="I5559" t="inlineStr">
        <is>
          <t>01/04/2026</t>
        </is>
      </c>
      <c r="J5559" t="inlineStr">
        <is>
          <t>17/03/2026</t>
        </is>
      </c>
      <c r="K5559" t="inlineStr">
        <is>
          <t>N/A</t>
        </is>
      </c>
      <c r="L5559" t="inlineStr">
        <is>
          <t>Logistics, Customer Care, Business Development, Sales Management, Sales</t>
        </is>
      </c>
      <c r="M5559" t="inlineStr">
        <is>
          <t>Bonus, Training, Others</t>
        </is>
      </c>
      <c r="N5559" s="8">
        <f>HYPERLINK("https://www.vietnamworks.com/senior-business-development-manager--2001462-jv","Xem chi tiết")</f>
        <v/>
      </c>
    </row>
    <row r="5560">
      <c r="B5560" s="9" t="n">
        <v>5558</v>
      </c>
      <c r="C5560" s="10" t="inlineStr">
        <is>
          <t>Product Solution Engineer - EV Charger</t>
        </is>
      </c>
      <c r="D5560" s="10" t="inlineStr">
        <is>
          <t>CHARGECORE PTE. LTD.</t>
        </is>
      </c>
      <c r="E5560" s="10" t="inlineStr">
        <is>
          <t>$$ 1,000-1,500 /tháng</t>
        </is>
      </c>
      <c r="F5560" s="10" t="inlineStr">
        <is>
          <t>Hà Nội</t>
        </is>
      </c>
      <c r="G5560" s="10" t="inlineStr">
        <is>
          <t>Nhân viên</t>
        </is>
      </c>
      <c r="H5560" s="10" t="inlineStr">
        <is>
          <t>09/01/2026</t>
        </is>
      </c>
      <c r="I5560" s="10" t="inlineStr">
        <is>
          <t>01/04/2026</t>
        </is>
      </c>
      <c r="J5560" s="10" t="inlineStr">
        <is>
          <t>17/03/2026</t>
        </is>
      </c>
      <c r="K5560" s="10" t="inlineStr">
        <is>
          <t>N/A</t>
        </is>
      </c>
      <c r="L5560" s="10" t="inlineStr">
        <is>
          <t>Analytical Skills, Electrical, Product Development, Ocpp Knowledge</t>
        </is>
      </c>
      <c r="M5560" s="10" t="inlineStr">
        <is>
          <t>Bonus, Others</t>
        </is>
      </c>
      <c r="N5560" s="11">
        <f>HYPERLINK("https://www.vietnamworks.com/product-solution-engineer-ev-charger-2001092-jv","Xem chi tiết")</f>
        <v/>
      </c>
      <c r="O5560" s="10" t="n"/>
    </row>
    <row r="5561">
      <c r="B5561" s="7" t="n">
        <v>5559</v>
      </c>
      <c r="C5561" t="inlineStr">
        <is>
          <t>Trình Dược Viên Kênh Bệnh Viện (ETC) - Ngành Hàng Dinh Dưỡng - Khu Vực Bình Dương/ Đồng Nai/ Tây Ninh</t>
        </is>
      </c>
      <c r="D5561" t="inlineStr">
        <is>
          <t>Abbott</t>
        </is>
      </c>
      <c r="E5561" t="inlineStr">
        <is>
          <t>Thương lượng</t>
        </is>
      </c>
      <c r="F5561" t="inlineStr">
        <is>
          <t>Bình Dương</t>
        </is>
      </c>
      <c r="G5561" t="inlineStr">
        <is>
          <t>Nhân viên</t>
        </is>
      </c>
      <c r="H5561" t="inlineStr">
        <is>
          <t>12/01/2026</t>
        </is>
      </c>
      <c r="I5561" t="inlineStr">
        <is>
          <t>01/04/2026</t>
        </is>
      </c>
      <c r="J5561" t="inlineStr">
        <is>
          <t>17/03/2026</t>
        </is>
      </c>
      <c r="K5561" t="inlineStr">
        <is>
          <t>N/A</t>
        </is>
      </c>
      <c r="L5561" t="inlineStr">
        <is>
          <t>Quản Lý ETC, Healthcare, Dược, Bán Hàng, Tư vấn dinh dưỡng</t>
        </is>
      </c>
      <c r="M5561" t="inlineStr">
        <is>
          <t>Bonus, Healthcare Plan, Training</t>
        </is>
      </c>
      <c r="N5561" s="8">
        <f>HYPERLINK("https://www.vietnamworks.com/trinh-duoc-vien-kenh-benh-vien-etc-nganh-hang-dinh-duong-khu-vuc-binh-duong-dong-nai-tay-ninh--2001555-jv","Xem chi tiết")</f>
        <v/>
      </c>
    </row>
    <row r="5562">
      <c r="B5562" s="9" t="n">
        <v>5560</v>
      </c>
      <c r="C5562" s="10" t="inlineStr">
        <is>
          <t>Accounting Manager</t>
        </is>
      </c>
      <c r="D5562" s="10" t="inlineStr">
        <is>
          <t>Công Ty TNHH Olam Việt Nam</t>
        </is>
      </c>
      <c r="E5562" s="10" t="inlineStr">
        <is>
          <t>Thương lượng</t>
        </is>
      </c>
      <c r="F5562" s="10" t="inlineStr">
        <is>
          <t>Đồng Nai</t>
        </is>
      </c>
      <c r="G5562" s="10" t="inlineStr">
        <is>
          <t>Trưởng phòng</t>
        </is>
      </c>
      <c r="H5562" s="10" t="inlineStr">
        <is>
          <t>12/01/2026</t>
        </is>
      </c>
      <c r="I5562" s="10" t="inlineStr">
        <is>
          <t>01/04/2026</t>
        </is>
      </c>
      <c r="J5562" s="10" t="inlineStr">
        <is>
          <t>17/03/2026</t>
        </is>
      </c>
      <c r="K5562" s="10" t="inlineStr">
        <is>
          <t>N/A</t>
        </is>
      </c>
      <c r="L5562" s="10" t="inlineStr">
        <is>
          <t>Sap/Erp Familiarity, Cost Control, Credit Control, Account Payable, Account Receivable</t>
        </is>
      </c>
      <c r="M5562" s="10" t="inlineStr">
        <is>
          <t>Bonus, Laptop, Transportation</t>
        </is>
      </c>
      <c r="N5562" s="11">
        <f>HYPERLINK("https://www.vietnamworks.com/accounting-manager--2001487-jv","Xem chi tiết")</f>
        <v/>
      </c>
      <c r="O5562" s="10" t="n"/>
    </row>
    <row r="5563">
      <c r="B5563" s="7" t="n">
        <v>5561</v>
      </c>
      <c r="C5563" t="inlineStr">
        <is>
          <t>Chuyên Viên Kinh Doanh Tiền Tệ Ngoại Hối (FX Sales) - Khối Nguồn Vốn và Thị Trường Tài Chính</t>
        </is>
      </c>
      <c r="D5563" t="inlineStr">
        <is>
          <t>Ngân hàng TMCP Đông Nam Á (SeABank)</t>
        </is>
      </c>
      <c r="E5563" t="inlineStr">
        <is>
          <t>Thương lượng</t>
        </is>
      </c>
      <c r="F5563" t="inlineStr">
        <is>
          <t>Hà Nội</t>
        </is>
      </c>
      <c r="G5563" t="inlineStr">
        <is>
          <t>Nhân viên</t>
        </is>
      </c>
      <c r="H5563" t="inlineStr">
        <is>
          <t>12/01/2026</t>
        </is>
      </c>
      <c r="I5563" t="inlineStr">
        <is>
          <t>01/04/2026</t>
        </is>
      </c>
      <c r="J5563" t="inlineStr">
        <is>
          <t>17/03/2026</t>
        </is>
      </c>
      <c r="K5563" t="inlineStr">
        <is>
          <t>N/A</t>
        </is>
      </c>
      <c r="L5563" t="inlineStr">
        <is>
          <t>Kinh Doanh Tiền Tệ, CFA, FX Sales, Kinh Doanh, Tiếng Anh</t>
        </is>
      </c>
      <c r="M5563" t="inlineStr">
        <is>
          <t>Bonus, Healthcare Plan, Paid Leave, Training, Travel Opportunities, Others</t>
        </is>
      </c>
      <c r="N5563" s="8">
        <f>HYPERLINK("https://www.vietnamworks.com/chuyen-vien-kinh-doanh-tien-te-ngoai-hoi-fx-sales-khoi-nguon-von-va-thi-truong-tai-chinh--2001362-jv","Xem chi tiết")</f>
        <v/>
      </c>
    </row>
    <row r="5564">
      <c r="B5564" s="9" t="n">
        <v>5562</v>
      </c>
      <c r="C5564" s="10" t="inlineStr">
        <is>
          <t>Technical Support (Không Yêu Cầu Kinh Nghiệm - Tiếng Trung Cơ Bản)</t>
        </is>
      </c>
      <c r="D5564" s="10" t="inlineStr">
        <is>
          <t>Zhejiang Uniview Technologies Co.,Ltd</t>
        </is>
      </c>
      <c r="E5564" s="10" t="inlineStr">
        <is>
          <t>$$ 700-1,200 /tháng</t>
        </is>
      </c>
      <c r="F5564" s="10" t="inlineStr">
        <is>
          <t>Hồ Chí Minh</t>
        </is>
      </c>
      <c r="G5564" s="10" t="inlineStr">
        <is>
          <t>Nhân viên</t>
        </is>
      </c>
      <c r="H5564" s="10" t="inlineStr">
        <is>
          <t>12/01/2026</t>
        </is>
      </c>
      <c r="I5564" s="10" t="inlineStr">
        <is>
          <t>01/04/2026</t>
        </is>
      </c>
      <c r="J5564" s="10" t="inlineStr">
        <is>
          <t>17/03/2026</t>
        </is>
      </c>
      <c r="K5564" s="10" t="inlineStr">
        <is>
          <t>N/A</t>
        </is>
      </c>
      <c r="L5564" s="10" t="inlineStr">
        <is>
          <t>Presales Technical, Hỗ Trợ Kỹ Thuật, Tự Động Hóa, Điện tử, Điện Tử Viễn Thông</t>
        </is>
      </c>
      <c r="M5564" s="10" t="inlineStr">
        <is>
          <t>Healthcare Plan, Travel Opportunities, Transportation</t>
        </is>
      </c>
      <c r="N5564" s="11">
        <f>HYPERLINK("https://www.vietnamworks.com/technical-support-khong-yeu-cau-kinh-nghiem-tieng-trung-co-ban-2001550-jv","Xem chi tiết")</f>
        <v/>
      </c>
      <c r="O5564" s="10" t="n"/>
    </row>
    <row r="5565">
      <c r="B5565" s="7" t="n">
        <v>5563</v>
      </c>
      <c r="C5565" t="inlineStr">
        <is>
          <t>Giám Sát Kho (Hưng Yên)</t>
        </is>
      </c>
      <c r="D5565" t="inlineStr">
        <is>
          <t>DHL Supply Chain</t>
        </is>
      </c>
      <c r="E5565" t="inlineStr">
        <is>
          <t>Thương lượng</t>
        </is>
      </c>
      <c r="F5565" t="inlineStr">
        <is>
          <t>Hưng Yên</t>
        </is>
      </c>
      <c r="G5565" t="inlineStr">
        <is>
          <t>Nhân viên</t>
        </is>
      </c>
      <c r="H5565" t="inlineStr">
        <is>
          <t>12/01/2026</t>
        </is>
      </c>
      <c r="I5565" t="inlineStr">
        <is>
          <t>01/04/2026</t>
        </is>
      </c>
      <c r="J5565" t="inlineStr">
        <is>
          <t>17/03/2026</t>
        </is>
      </c>
      <c r="K5565" t="inlineStr">
        <is>
          <t>N/A</t>
        </is>
      </c>
      <c r="L5565" t="inlineStr">
        <is>
          <t>Kho Vận, SAP, Warehouse Management, WMOS, WMS</t>
        </is>
      </c>
      <c r="M5565" t="inlineStr">
        <is>
          <t>Bonus, Healthcare Plan, Paid Leave, Training, Others</t>
        </is>
      </c>
      <c r="N5565" s="8">
        <f>HYPERLINK("https://www.vietnamworks.com/giam-sat-kho-hung-yen-2001867-jv","Xem chi tiết")</f>
        <v/>
      </c>
    </row>
    <row r="5566">
      <c r="B5566" s="9" t="n">
        <v>5564</v>
      </c>
      <c r="C5566" s="10" t="inlineStr">
        <is>
          <t>Project Sales Manager</t>
        </is>
      </c>
      <c r="D5566" s="10" t="inlineStr">
        <is>
          <t>Công ty TNHH công nghiệp Vĩnh Tường miền bắc Việt Nam</t>
        </is>
      </c>
      <c r="E5566" s="10" t="inlineStr">
        <is>
          <t>Thương lượng</t>
        </is>
      </c>
      <c r="F5566" s="10" t="inlineStr">
        <is>
          <t>Hà Nội</t>
        </is>
      </c>
      <c r="G5566" s="10" t="inlineStr">
        <is>
          <t>Trưởng phòng</t>
        </is>
      </c>
      <c r="H5566" s="10" t="inlineStr">
        <is>
          <t>12/01/2026</t>
        </is>
      </c>
      <c r="I5566" s="10" t="inlineStr">
        <is>
          <t>01/04/2026</t>
        </is>
      </c>
      <c r="J5566" s="10" t="inlineStr">
        <is>
          <t>17/03/2026</t>
        </is>
      </c>
      <c r="K5566" s="10" t="inlineStr">
        <is>
          <t>N/A</t>
        </is>
      </c>
      <c r="L5566" s="10" t="inlineStr">
        <is>
          <t>Kinh Doanh, Business Development, Bán Hàng Dự Án, Bán Hàng, B2B Sales</t>
        </is>
      </c>
      <c r="M5566" s="10" t="inlineStr">
        <is>
          <t>Healthcare Plan, Training, Laptop</t>
        </is>
      </c>
      <c r="N5566" s="11">
        <f>HYPERLINK("https://www.vietnamworks.com/project-sales-manager--2001598-jv","Xem chi tiết")</f>
        <v/>
      </c>
      <c r="O5566" s="10" t="n"/>
    </row>
    <row r="5567">
      <c r="B5567" s="7" t="n">
        <v>5565</v>
      </c>
      <c r="C5567" t="inlineStr">
        <is>
          <t>Trợ Lý Cấp Cao Cho CEO</t>
        </is>
      </c>
      <c r="D5567" t="inlineStr">
        <is>
          <t>Công Ty Cổ Phần Prowtech International Vina</t>
        </is>
      </c>
      <c r="E5567" t="inlineStr">
        <is>
          <t>Thương lượng</t>
        </is>
      </c>
      <c r="F5567" t="inlineStr">
        <is>
          <t>Hồ Chí Minh</t>
        </is>
      </c>
      <c r="G5567" t="inlineStr">
        <is>
          <t>Trưởng phòng</t>
        </is>
      </c>
      <c r="H5567" t="inlineStr">
        <is>
          <t>12/01/2026</t>
        </is>
      </c>
      <c r="I5567" t="inlineStr">
        <is>
          <t>01/04/2026</t>
        </is>
      </c>
      <c r="J5567" t="inlineStr">
        <is>
          <t>17/03/2026</t>
        </is>
      </c>
      <c r="K5567" t="inlineStr">
        <is>
          <t>N/A</t>
        </is>
      </c>
      <c r="L5567" t="inlineStr">
        <is>
          <t>Trợ Lý, Quản Lý Dự Án, Tham Mưu Đề Xuất, Hoạch Định Chiến Lược, Quan Hệ Đối Ngoại</t>
        </is>
      </c>
      <c r="M5567" t="inlineStr">
        <is>
          <t>Others</t>
        </is>
      </c>
      <c r="N5567" s="8">
        <f>HYPERLINK("https://www.vietnamworks.com/tro-ly-cap-cao-cho-ceo-2001581-jv","Xem chi tiết")</f>
        <v/>
      </c>
    </row>
    <row r="5568">
      <c r="B5568" s="9" t="n">
        <v>5566</v>
      </c>
      <c r="C5568" s="10" t="inlineStr">
        <is>
          <t>Key Account Manager (B2B)</t>
        </is>
      </c>
      <c r="D5568" s="10" t="inlineStr">
        <is>
          <t>Công Ty TNHH Olam Việt Nam</t>
        </is>
      </c>
      <c r="E5568" s="10" t="inlineStr">
        <is>
          <t>Thương lượng</t>
        </is>
      </c>
      <c r="F5568" s="10" t="inlineStr">
        <is>
          <t>Bến Tre</t>
        </is>
      </c>
      <c r="G5568" s="10" t="inlineStr">
        <is>
          <t>Trưởng phòng</t>
        </is>
      </c>
      <c r="H5568" s="10" t="inlineStr">
        <is>
          <t>12/01/2026</t>
        </is>
      </c>
      <c r="I5568" s="10" t="inlineStr">
        <is>
          <t>01/04/2026</t>
        </is>
      </c>
      <c r="J5568" s="10" t="inlineStr">
        <is>
          <t>17/03/2026</t>
        </is>
      </c>
      <c r="K5568" s="10" t="inlineStr">
        <is>
          <t>N/A</t>
        </is>
      </c>
      <c r="L5568" s="10" t="inlineStr">
        <is>
          <t>B2B Sale, Market research knowledge, Customer Management, Product Customization, Supplier Management</t>
        </is>
      </c>
      <c r="M5568" s="10" t="inlineStr">
        <is>
          <t>Bonus, Laptop, Transportation</t>
        </is>
      </c>
      <c r="N5568" s="11">
        <f>HYPERLINK("https://www.vietnamworks.com/key-account-manager-b2b--2001568-jv","Xem chi tiết")</f>
        <v/>
      </c>
      <c r="O5568" s="10" t="n"/>
    </row>
    <row r="5569">
      <c r="B5569" s="7" t="n">
        <v>5567</v>
      </c>
      <c r="C5569" t="inlineStr">
        <is>
          <t>Kiến Trúc Sư</t>
        </is>
      </c>
      <c r="D5569" t="inlineStr">
        <is>
          <t>Công ty Singapore SEDIA PTE. LTD</t>
        </is>
      </c>
      <c r="E5569" t="inlineStr">
        <is>
          <t>Thương lượng</t>
        </is>
      </c>
      <c r="F5569" t="inlineStr">
        <is>
          <t>Hồ Chí Minh</t>
        </is>
      </c>
      <c r="G5569" t="inlineStr">
        <is>
          <t>Nhân viên</t>
        </is>
      </c>
      <c r="H5569" t="inlineStr">
        <is>
          <t>12/01/2026</t>
        </is>
      </c>
      <c r="I5569" t="inlineStr">
        <is>
          <t>01/04/2026</t>
        </is>
      </c>
      <c r="J5569" t="inlineStr">
        <is>
          <t>17/03/2026</t>
        </is>
      </c>
      <c r="K5569" t="inlineStr">
        <is>
          <t>N/A</t>
        </is>
      </c>
      <c r="L5569" t="inlineStr">
        <is>
          <t>Kiến Trúc, Nội Thất, AutoCAD, Sketchup, Tư Duy Sáng Tạo</t>
        </is>
      </c>
      <c r="M5569" t="inlineStr">
        <is>
          <t>Bonus, Healthcare Plan, Paid Leave</t>
        </is>
      </c>
      <c r="N5569" s="8">
        <f>HYPERLINK("https://www.vietnamworks.com/kien-truc-su--2001874-jv","Xem chi tiết")</f>
        <v/>
      </c>
    </row>
    <row r="5570">
      <c r="B5570" s="9" t="n">
        <v>5568</v>
      </c>
      <c r="C5570" s="10" t="inlineStr">
        <is>
          <t>Nhân Viên Kế Toán</t>
        </is>
      </c>
      <c r="D5570" s="10" t="inlineStr">
        <is>
          <t>Công Ty Cổ Phần Thaiholdings</t>
        </is>
      </c>
      <c r="E5570" s="10" t="inlineStr">
        <is>
          <t>Thương lượng</t>
        </is>
      </c>
      <c r="F5570" s="10" t="inlineStr">
        <is>
          <t>Hà Nội</t>
        </is>
      </c>
      <c r="G5570" s="10" t="inlineStr">
        <is>
          <t>Nhân viên</t>
        </is>
      </c>
      <c r="H5570" s="10" t="inlineStr">
        <is>
          <t>13/01/2026</t>
        </is>
      </c>
      <c r="I5570" s="10" t="inlineStr">
        <is>
          <t>01/04/2026</t>
        </is>
      </c>
      <c r="J5570" s="10" t="inlineStr">
        <is>
          <t>17/03/2026</t>
        </is>
      </c>
      <c r="K5570" s="10" t="inlineStr">
        <is>
          <t>N/A</t>
        </is>
      </c>
      <c r="L5570" s="10" t="inlineStr">
        <is>
          <t>Kế Toán, Thẩm Định Giá, Kế Toán Thanh Toán, Kế Toán Công Nợ, Kế Toán Tổng Hợp</t>
        </is>
      </c>
      <c r="M5570" s="10" t="inlineStr">
        <is>
          <t>Bonus, Healthcare Plan, Team Activities</t>
        </is>
      </c>
      <c r="N5570" s="11">
        <f>HYPERLINK("https://www.vietnamworks.com/nhan-vien-ke-toan--2002113-jv","Xem chi tiết")</f>
        <v/>
      </c>
      <c r="O5570" s="10" t="n"/>
    </row>
    <row r="5571">
      <c r="B5571" s="7" t="n">
        <v>5569</v>
      </c>
      <c r="C5571" t="inlineStr">
        <is>
          <t>Kỹ Sư Tự Động Hóa (Upto 25 Triệu)</t>
        </is>
      </c>
      <c r="D5571" t="inlineStr">
        <is>
          <t>Công Ty TNHH Sản Xuất Và Thương Mại Quốc Tế Việt Sing</t>
        </is>
      </c>
      <c r="E5571" t="inlineStr">
        <is>
          <t>Tới $ 25tr /tháng</t>
        </is>
      </c>
      <c r="F5571" t="inlineStr">
        <is>
          <t>Bắc Ninh</t>
        </is>
      </c>
      <c r="G5571" t="inlineStr">
        <is>
          <t>Nhân viên</t>
        </is>
      </c>
      <c r="H5571" t="inlineStr">
        <is>
          <t>13/01/2026</t>
        </is>
      </c>
      <c r="I5571" t="inlineStr">
        <is>
          <t>01/04/2026</t>
        </is>
      </c>
      <c r="J5571" t="inlineStr">
        <is>
          <t>17/03/2026</t>
        </is>
      </c>
      <c r="K5571" t="inlineStr">
        <is>
          <t>N/A</t>
        </is>
      </c>
      <c r="L5571" t="inlineStr">
        <is>
          <t>PLC, Siemens Soarian, Bảo Trì Hệ Thống Điện, Sửa Chữa Bảo Trì Máy, Tự Động Hóa</t>
        </is>
      </c>
      <c r="M5571" t="inlineStr">
        <is>
          <t>Healthcare Plan, Others</t>
        </is>
      </c>
      <c r="N5571" s="8">
        <f>HYPERLINK("https://www.vietnamworks.com/ky-su-tu-dong-hoa-upto-25-trieu-2002040-jv","Xem chi tiết")</f>
        <v/>
      </c>
    </row>
    <row r="5572">
      <c r="B5572" s="9" t="n">
        <v>5570</v>
      </c>
      <c r="C5572" s="10" t="inlineStr">
        <is>
          <t>Chuyên Viên IT</t>
        </is>
      </c>
      <c r="D5572" s="10" t="inlineStr">
        <is>
          <t>Công Ty Cổ Phần Thaiholdings</t>
        </is>
      </c>
      <c r="E5572" s="10" t="inlineStr">
        <is>
          <t>Thương lượng</t>
        </is>
      </c>
      <c r="F5572" s="10" t="inlineStr">
        <is>
          <t>Hà Nội</t>
        </is>
      </c>
      <c r="G5572" s="10" t="inlineStr">
        <is>
          <t>Nhân viên</t>
        </is>
      </c>
      <c r="H5572" s="10" t="inlineStr">
        <is>
          <t>13/01/2026</t>
        </is>
      </c>
      <c r="I5572" s="10" t="inlineStr">
        <is>
          <t>01/04/2026</t>
        </is>
      </c>
      <c r="J5572" s="10" t="inlineStr">
        <is>
          <t>17/03/2026</t>
        </is>
      </c>
      <c r="K5572" s="10" t="inlineStr">
        <is>
          <t>N/A</t>
        </is>
      </c>
      <c r="L5572" s="10" t="inlineStr">
        <is>
          <t>IT Helpdesk, Helpdesk, Công Nghệ Thông Tin, IT Administration, IT System Administration</t>
        </is>
      </c>
      <c r="M5572" s="10" t="inlineStr">
        <is>
          <t>Bonus, Healthcare Plan, Team Activities</t>
        </is>
      </c>
      <c r="N5572" s="11">
        <f>HYPERLINK("https://www.vietnamworks.com/chuyen-vien-it--2002100-jv","Xem chi tiết")</f>
        <v/>
      </c>
      <c r="O5572" s="10" t="n"/>
    </row>
    <row r="5573">
      <c r="B5573" s="7" t="n">
        <v>5571</v>
      </c>
      <c r="C5573" t="inlineStr">
        <is>
          <t>Quality Assurance Executive ( Food Safety - International School )</t>
        </is>
      </c>
      <c r="D5573" t="inlineStr">
        <is>
          <t>Công ty TNHH Aden Services (Việt Nam)</t>
        </is>
      </c>
      <c r="E5573" t="inlineStr">
        <is>
          <t>Thương lượng</t>
        </is>
      </c>
      <c r="F5573" t="inlineStr">
        <is>
          <t>Hồ Chí Minh</t>
        </is>
      </c>
      <c r="G5573" t="inlineStr">
        <is>
          <t>Nhân viên</t>
        </is>
      </c>
      <c r="H5573" t="inlineStr">
        <is>
          <t>13/01/2026</t>
        </is>
      </c>
      <c r="I5573" t="inlineStr">
        <is>
          <t>01/04/2026</t>
        </is>
      </c>
      <c r="J5573" t="inlineStr">
        <is>
          <t>17/03/2026</t>
        </is>
      </c>
      <c r="K5573" t="inlineStr">
        <is>
          <t>N/A</t>
        </is>
      </c>
      <c r="L5573" t="inlineStr">
        <is>
          <t>Food Technology, HACCP ISO, ISO 9001, Problem-solving, Quality Control Management</t>
        </is>
      </c>
      <c r="M5573" t="inlineStr">
        <is>
          <t>Training, Team Activities, Others</t>
        </is>
      </c>
      <c r="N5573" s="8">
        <f>HYPERLINK("https://www.vietnamworks.com/quality-assurance-executive-food-safety-international-school-2002053-jv","Xem chi tiết")</f>
        <v/>
      </c>
    </row>
    <row r="5574">
      <c r="B5574" s="9" t="n">
        <v>5572</v>
      </c>
      <c r="C5574" s="10" t="inlineStr">
        <is>
          <t xml:space="preserve"> Chuyên gia Giám sát Xây dựng (Dự án Năng lượng mặt trời Kyrgyzstan) - Energy - 4Q015</t>
        </is>
      </c>
      <c r="D5574" s="10" t="inlineStr">
        <is>
          <t>Tập đoàn ROX (ROX Group)</t>
        </is>
      </c>
      <c r="E5574" s="10" t="inlineStr">
        <is>
          <t>Thương lượng</t>
        </is>
      </c>
      <c r="F5574" s="10" t="inlineStr">
        <is>
          <t>Quốc tế, Hà Nội</t>
        </is>
      </c>
      <c r="G5574" s="10" t="inlineStr">
        <is>
          <t>Nhân viên</t>
        </is>
      </c>
      <c r="H5574" s="10" t="inlineStr">
        <is>
          <t>12/01/2026</t>
        </is>
      </c>
      <c r="I5574" s="10" t="inlineStr">
        <is>
          <t>01/04/2026</t>
        </is>
      </c>
      <c r="J5574" s="10" t="inlineStr">
        <is>
          <t>17/03/2026</t>
        </is>
      </c>
      <c r="K5574" s="10" t="inlineStr">
        <is>
          <t>N/A</t>
        </is>
      </c>
      <c r="L5574" s="10" t="inlineStr">
        <is>
          <t>Giám Sát Xây Dựng, Kỹ năng quan sát và phân tích vấn đề, Luật Xây Dựng, Quản Lý Rủi Ro, Tiếng Anh</t>
        </is>
      </c>
      <c r="M5574" s="10" t="inlineStr">
        <is>
          <t>Bonus, Healthcare Plan, Paid Leave, Training, Laptop, Travel Opportunities, Others</t>
        </is>
      </c>
      <c r="N5574" s="11">
        <f>HYPERLINK("https://www.vietnamworks.com/chuyen-gia-giam-sat-xay-dung-du-an-nang-luong-mat-troi-kyrgyzstan-energy-4q015-2001626-jv","Xem chi tiết")</f>
        <v/>
      </c>
      <c r="O5574" s="10" t="n"/>
    </row>
    <row r="5575">
      <c r="B5575" s="7" t="n">
        <v>5573</v>
      </c>
      <c r="C5575" t="inlineStr">
        <is>
          <t>Giám Đốc Phát Triển Nhân Tài</t>
        </is>
      </c>
      <c r="D5575" t="inlineStr">
        <is>
          <t>Công Ty Cổ Phần Bất Động Sản G.Empire</t>
        </is>
      </c>
      <c r="E5575" t="inlineStr">
        <is>
          <t>Thương lượng</t>
        </is>
      </c>
      <c r="F5575" t="inlineStr">
        <is>
          <t>Hà Nội</t>
        </is>
      </c>
      <c r="G5575" t="inlineStr">
        <is>
          <t>Giám Đốc và Cấp Cao Hơn</t>
        </is>
      </c>
      <c r="H5575" t="inlineStr">
        <is>
          <t>13/01/2026</t>
        </is>
      </c>
      <c r="I5575" t="inlineStr">
        <is>
          <t>01/04/2026</t>
        </is>
      </c>
      <c r="J5575" t="inlineStr">
        <is>
          <t>17/03/2026</t>
        </is>
      </c>
      <c r="K5575" t="inlineStr">
        <is>
          <t>N/A</t>
        </is>
      </c>
      <c r="L5575" t="inlineStr">
        <is>
          <t>HR Strategy, HR Training, Quản Lý Nhân Lực, Tuyển Dụng, Đào Tạo Nhân Sự</t>
        </is>
      </c>
      <c r="M5575" t="inlineStr">
        <is>
          <t>Bonus, Healthcare Plan, Others</t>
        </is>
      </c>
      <c r="N5575" s="8">
        <f>HYPERLINK("https://www.vietnamworks.com/giam-djoc-phat-trien-nhan-tai-2002019-jv","Xem chi tiết")</f>
        <v/>
      </c>
    </row>
    <row r="5576">
      <c r="B5576" s="9" t="n">
        <v>5574</v>
      </c>
      <c r="C5576" s="10" t="inlineStr">
        <is>
          <t>Sales - Mer Executive Tại Nam Định/hà Nội - Thu Nhập Up to $3000</t>
        </is>
      </c>
      <c r="D5576" s="10" t="inlineStr">
        <is>
          <t>Công Ty Cổ Phần Dệt Bảo Minh</t>
        </is>
      </c>
      <c r="E5576" s="10" t="inlineStr">
        <is>
          <t>Tới $ 3,000 /tháng</t>
        </is>
      </c>
      <c r="F5576" s="10" t="inlineStr">
        <is>
          <t>Nam Định, Hà Nội, Ninh Bình</t>
        </is>
      </c>
      <c r="G5576" s="10" t="inlineStr">
        <is>
          <t>Nhân viên</t>
        </is>
      </c>
      <c r="H5576" s="10" t="inlineStr">
        <is>
          <t>13/01/2026</t>
        </is>
      </c>
      <c r="I5576" s="10" t="inlineStr">
        <is>
          <t>01/04/2026</t>
        </is>
      </c>
      <c r="J5576" s="10" t="inlineStr">
        <is>
          <t>17/03/2026</t>
        </is>
      </c>
      <c r="K5576" s="10" t="inlineStr">
        <is>
          <t>N/A</t>
        </is>
      </c>
      <c r="L5576" s="10" t="inlineStr">
        <is>
          <t>Quản Lý Đơn Hàng May Mặc, Chăm Sóc Khách Hàng, Bán Hàng, Kinh Doanh, May Mặc</t>
        </is>
      </c>
      <c r="M5576" s="10" t="inlineStr">
        <is>
          <t>Healthcare Plan, Others</t>
        </is>
      </c>
      <c r="N5576" s="11">
        <f>HYPERLINK("https://www.vietnamworks.com/sales-mer-executive-tai-nam-dinh-ha-noi-thu-nhap-up-to-3000--2001971-jv","Xem chi tiết")</f>
        <v/>
      </c>
      <c r="O5576" s="10" t="n"/>
    </row>
    <row r="5577">
      <c r="B5577" s="7" t="n">
        <v>5575</v>
      </c>
      <c r="C5577" t="inlineStr">
        <is>
          <t>Australian Accountant - Graduate and Intermediate</t>
        </is>
      </c>
      <c r="D5577" t="inlineStr">
        <is>
          <t>Carbon Group Co., Ltd</t>
        </is>
      </c>
      <c r="E5577" t="inlineStr">
        <is>
          <t>$$ 500-1,000 /tháng</t>
        </is>
      </c>
      <c r="F5577" t="inlineStr">
        <is>
          <t>Hà Nội</t>
        </is>
      </c>
      <c r="G5577" t="inlineStr">
        <is>
          <t>Nhân viên</t>
        </is>
      </c>
      <c r="H5577" t="inlineStr">
        <is>
          <t>13/01/2026</t>
        </is>
      </c>
      <c r="I5577" t="inlineStr">
        <is>
          <t>01/04/2026</t>
        </is>
      </c>
      <c r="J5577" t="inlineStr">
        <is>
          <t>17/03/2026</t>
        </is>
      </c>
      <c r="K5577" t="inlineStr">
        <is>
          <t>N/A</t>
        </is>
      </c>
      <c r="L5577" t="inlineStr">
        <is>
          <t>Báo Cáo Kế Toán Thuế, Kế Toán Tổng Hợp, Xero Accounting Software, English</t>
        </is>
      </c>
      <c r="M5577" t="inlineStr">
        <is>
          <t>Bonus, Healthcare Plan, Training</t>
        </is>
      </c>
      <c r="N5577" s="8">
        <f>HYPERLINK("https://www.vietnamworks.com/australian-accountant-graduate-and-intermediate-2001915-jv","Xem chi tiết")</f>
        <v/>
      </c>
    </row>
    <row r="5578">
      <c r="B5578" s="9" t="n">
        <v>5576</v>
      </c>
      <c r="C5578" s="10" t="inlineStr">
        <is>
          <t>Chuyên gia Giám sát điện (Dự án Điện Mặt Trời Kyrgyzstan) - Energy - 4Q014</t>
        </is>
      </c>
      <c r="D5578" s="10" t="inlineStr">
        <is>
          <t>Tập đoàn ROX (ROX Group)</t>
        </is>
      </c>
      <c r="E5578" s="10" t="inlineStr">
        <is>
          <t>Thương lượng</t>
        </is>
      </c>
      <c r="F5578" s="10" t="inlineStr">
        <is>
          <t>Quốc tế, Hà Nội</t>
        </is>
      </c>
      <c r="G5578" s="10" t="inlineStr">
        <is>
          <t>Nhân viên</t>
        </is>
      </c>
      <c r="H5578" s="10" t="inlineStr">
        <is>
          <t>12/01/2026</t>
        </is>
      </c>
      <c r="I5578" s="10" t="inlineStr">
        <is>
          <t>01/04/2026</t>
        </is>
      </c>
      <c r="J5578" s="10" t="inlineStr">
        <is>
          <t>17/03/2026</t>
        </is>
      </c>
      <c r="K5578" s="10" t="inlineStr">
        <is>
          <t>N/A</t>
        </is>
      </c>
      <c r="L5578" s="10" t="inlineStr">
        <is>
          <t>Giám Sát Thi Công, Kỹ Thuật, Kỹ Thuật Điện, Quản Lý Dự Án, Tiếng Anh Chuyên Ngành May</t>
        </is>
      </c>
      <c r="M5578" s="10" t="inlineStr">
        <is>
          <t>Bonus, Healthcare Plan, Training, Travel Opportunities, Team Activities</t>
        </is>
      </c>
      <c r="N5578" s="11">
        <f>HYPERLINK("https://www.vietnamworks.com/chuyen-gia-giam-sat-djien-du-an-djien-mat-troi-kyrgyzstan-energy-4q014-2001725-jv","Xem chi tiết")</f>
        <v/>
      </c>
      <c r="O5578" s="10" t="n"/>
    </row>
    <row r="5579">
      <c r="B5579" s="7" t="n">
        <v>5577</v>
      </c>
      <c r="C5579" t="inlineStr">
        <is>
          <t>Nhân Viên Chứng Từ Xuất Nhập Khẩu (Logistics Staff/ Export &amp; Import Documentation Officer)</t>
        </is>
      </c>
      <c r="D5579" t="inlineStr">
        <is>
          <t>Công Ty TNHH Quốc Tế Phương Nam</t>
        </is>
      </c>
      <c r="E5579" t="inlineStr">
        <is>
          <t>$$ 400-800 /tháng</t>
        </is>
      </c>
      <c r="F5579" t="inlineStr">
        <is>
          <t>Hồ Chí Minh</t>
        </is>
      </c>
      <c r="G5579" t="inlineStr">
        <is>
          <t>Nhân viên</t>
        </is>
      </c>
      <c r="H5579" t="inlineStr">
        <is>
          <t>13/01/2026</t>
        </is>
      </c>
      <c r="I5579" t="inlineStr">
        <is>
          <t>01/04/2026</t>
        </is>
      </c>
      <c r="J5579" t="inlineStr">
        <is>
          <t>17/03/2026</t>
        </is>
      </c>
      <c r="K5579" t="inlineStr">
        <is>
          <t>N/A</t>
        </is>
      </c>
      <c r="L5579" t="inlineStr">
        <is>
          <t>Khai Báo Hải Quan, Chứng Từ Xuất Nhập Khẩu, HS Code Checking, Thủ Tục Thông Quan, Vận Tải Quốc Tế</t>
        </is>
      </c>
      <c r="M5579" t="inlineStr">
        <is>
          <t>Bonus, Healthcare Plan, Paid Leave</t>
        </is>
      </c>
      <c r="N5579" s="8">
        <f>HYPERLINK("https://www.vietnamworks.com/nhan-vien-chung-tu-xuat-nhap-khau-logistics-staff-export-and-import-documentation-officer-2001926-jv","Xem chi tiết")</f>
        <v/>
      </c>
    </row>
    <row r="5580">
      <c r="B5580" s="9" t="n">
        <v>5578</v>
      </c>
      <c r="C5580" s="10" t="inlineStr">
        <is>
          <t>Chuyên Viên Xuất Nhập Khẩu (Upto 22 Triệu)</t>
        </is>
      </c>
      <c r="D5580" s="10" t="inlineStr">
        <is>
          <t>Công Ty TNHH Sản Xuất Và Thương Mại Quốc Tế Việt Sing</t>
        </is>
      </c>
      <c r="E5580" s="10" t="inlineStr">
        <is>
          <t>Tới 22tr ₫/tháng</t>
        </is>
      </c>
      <c r="F5580" s="10" t="inlineStr">
        <is>
          <t>Bắc Ninh</t>
        </is>
      </c>
      <c r="G5580" s="10" t="inlineStr">
        <is>
          <t>Nhân viên</t>
        </is>
      </c>
      <c r="H5580" s="10" t="inlineStr">
        <is>
          <t>13/01/2026</t>
        </is>
      </c>
      <c r="I5580" s="10" t="inlineStr">
        <is>
          <t>01/04/2026</t>
        </is>
      </c>
      <c r="J5580" s="10" t="inlineStr">
        <is>
          <t>17/03/2026</t>
        </is>
      </c>
      <c r="K5580" s="10" t="inlineStr">
        <is>
          <t>N/A</t>
        </is>
      </c>
      <c r="L5580" s="10" t="inlineStr">
        <is>
          <t>Logistics, Tiếng Anh, Chứng Từ Xuất Nhập Khẩu, Hs Code Expertise, Theo Dõi Công Nợ</t>
        </is>
      </c>
      <c r="M5580" s="10" t="inlineStr">
        <is>
          <t>Healthcare Plan, Paid Leave, Training, Canteen, Others</t>
        </is>
      </c>
      <c r="N5580" s="11">
        <f>HYPERLINK("https://www.vietnamworks.com/chuyen-vien-xuat-nhap-khau-upto-22-trieu-2002038-jv","Xem chi tiết")</f>
        <v/>
      </c>
      <c r="O5580" s="10" t="n"/>
    </row>
    <row r="5581">
      <c r="B5581" s="7" t="n">
        <v>5579</v>
      </c>
      <c r="C5581" t="inlineStr">
        <is>
          <t>[Tuyển Gấp] Nhân Viên Mua Hàng - Xuất Nhập Khẩu - Yêu Cầu 3 Năm Kinh Nghiệm</t>
        </is>
      </c>
      <c r="D5581" t="inlineStr">
        <is>
          <t>Công Ty Cổ Phần Công Nghệ Thiết Bị Nâng ATT</t>
        </is>
      </c>
      <c r="E5581" t="inlineStr">
        <is>
          <t>Tới 20tr ₫/tháng</t>
        </is>
      </c>
      <c r="F5581" t="inlineStr">
        <is>
          <t>Hà Nội</t>
        </is>
      </c>
      <c r="G5581" t="inlineStr">
        <is>
          <t>Nhân viên</t>
        </is>
      </c>
      <c r="H5581" t="inlineStr">
        <is>
          <t>13/01/2026</t>
        </is>
      </c>
      <c r="I5581" t="inlineStr">
        <is>
          <t>01/04/2026</t>
        </is>
      </c>
      <c r="J5581" t="inlineStr">
        <is>
          <t>17/03/2026</t>
        </is>
      </c>
      <c r="K5581" t="inlineStr">
        <is>
          <t>N/A</t>
        </is>
      </c>
      <c r="L5581" t="inlineStr">
        <is>
          <t>Tiếng Anh, Mua Hàng, Mua Sắm Thiết Bị, Xuất Nhập Khẩu, Thủ Tục Hải Quan</t>
        </is>
      </c>
      <c r="M5581" t="inlineStr">
        <is>
          <t>Bonus, Training, Travel Opportunities</t>
        </is>
      </c>
      <c r="N5581" s="8">
        <f>HYPERLINK("https://www.vietnamworks.com/tuyen-gap-nhan-vien-mua-hang-xuat-nhap-khau-yeu-cau-3-nam-kinh-nghiem--2002010-jv","Xem chi tiết")</f>
        <v/>
      </c>
    </row>
    <row r="5582">
      <c r="B5582" s="9" t="n">
        <v>5580</v>
      </c>
      <c r="C5582" s="10" t="inlineStr">
        <is>
          <t>Nhân Viên Chứng Từ Hàng Xuất Và Hàng Nhập</t>
        </is>
      </c>
      <c r="D5582" s="10" t="inlineStr">
        <is>
          <t>Thami Corporation</t>
        </is>
      </c>
      <c r="E5582" s="10" t="inlineStr">
        <is>
          <t>$$ 400-600 /tháng</t>
        </is>
      </c>
      <c r="F5582" s="10" t="inlineStr">
        <is>
          <t>Hồ Chí Minh, Hải Phòng</t>
        </is>
      </c>
      <c r="G5582" s="10" t="inlineStr">
        <is>
          <t>Nhân viên</t>
        </is>
      </c>
      <c r="H5582" s="10" t="inlineStr">
        <is>
          <t>13/01/2026</t>
        </is>
      </c>
      <c r="I5582" s="10" t="inlineStr">
        <is>
          <t>01/04/2026</t>
        </is>
      </c>
      <c r="J5582" s="10" t="inlineStr">
        <is>
          <t>17/03/2026</t>
        </is>
      </c>
      <c r="K5582" s="10" t="inlineStr">
        <is>
          <t>N/A</t>
        </is>
      </c>
      <c r="L5582" s="10" t="inlineStr">
        <is>
          <t>Chứng Từ Xuất Nhập Khẩu, Nhập Xuất Hàng Hóa</t>
        </is>
      </c>
      <c r="M5582" s="10" t="inlineStr">
        <is>
          <t>Bonus, Healthcare Plan, Paid Leave</t>
        </is>
      </c>
      <c r="N5582" s="11">
        <f>HYPERLINK("https://www.vietnamworks.com/nhan-vien-chung-tu-hang-xuat-va-hang-nhap-2001927-jv","Xem chi tiết")</f>
        <v/>
      </c>
      <c r="O5582" s="10" t="n"/>
    </row>
    <row r="5583">
      <c r="B5583" s="7" t="n">
        <v>5581</v>
      </c>
      <c r="C5583" t="inlineStr">
        <is>
          <t>Giám Đốc Công Ty Thẩm Định Giá (Chi Nhánh Miền Nam)</t>
        </is>
      </c>
      <c r="D5583" t="inlineStr">
        <is>
          <t>Công Ty Cổ Phần Thaiholdings</t>
        </is>
      </c>
      <c r="E5583" t="inlineStr">
        <is>
          <t>Thương lượng</t>
        </is>
      </c>
      <c r="F5583" t="inlineStr">
        <is>
          <t>Hồ Chí Minh</t>
        </is>
      </c>
      <c r="G5583" t="inlineStr">
        <is>
          <t>Giám Đốc và Cấp Cao Hơn</t>
        </is>
      </c>
      <c r="H5583" t="inlineStr">
        <is>
          <t>13/01/2026</t>
        </is>
      </c>
      <c r="I5583" t="inlineStr">
        <is>
          <t>01/04/2026</t>
        </is>
      </c>
      <c r="J5583" t="inlineStr">
        <is>
          <t>17/03/2026</t>
        </is>
      </c>
      <c r="K5583" t="inlineStr">
        <is>
          <t>N/A</t>
        </is>
      </c>
      <c r="L5583" t="inlineStr">
        <is>
          <t>Thẩm Định Giá, Thẩm Định Giá Tài Sản, Định Giá Đất, Tài Chính Ngân Hàng, Quản trị Kinh doanh</t>
        </is>
      </c>
      <c r="M5583" t="inlineStr">
        <is>
          <t>Bonus, Healthcare Plan, Team Activities</t>
        </is>
      </c>
      <c r="N5583" s="8">
        <f>HYPERLINK("https://www.vietnamworks.com/giam-doc-cong-ty-tham-dinh-gia-chi-nhanh-mien-nam-2002122-jv","Xem chi tiết")</f>
        <v/>
      </c>
    </row>
    <row r="5584">
      <c r="B5584" s="9" t="n">
        <v>5582</v>
      </c>
      <c r="C5584" s="10" t="inlineStr">
        <is>
          <t>Sales Policy Operation Expert / Chuyên Gia Vận Hành Chính Sách Kinh Doanh</t>
        </is>
      </c>
      <c r="D5584" s="10" t="inlineStr">
        <is>
          <t>FE CREDIT</t>
        </is>
      </c>
      <c r="E5584" s="10" t="inlineStr">
        <is>
          <t>Thương lượng</t>
        </is>
      </c>
      <c r="F5584" s="10" t="inlineStr">
        <is>
          <t>Hồ Chí Minh</t>
        </is>
      </c>
      <c r="G5584" s="10" t="inlineStr">
        <is>
          <t>Nhân viên</t>
        </is>
      </c>
      <c r="H5584" s="10" t="inlineStr">
        <is>
          <t>13/01/2026</t>
        </is>
      </c>
      <c r="I5584" s="10" t="inlineStr">
        <is>
          <t>01/04/2026</t>
        </is>
      </c>
      <c r="J5584" s="10" t="inlineStr">
        <is>
          <t>17/03/2026</t>
        </is>
      </c>
      <c r="K5584" s="10" t="inlineStr">
        <is>
          <t>N/A</t>
        </is>
      </c>
      <c r="L5584" s="10" t="inlineStr">
        <is>
          <t>Bán hàng, Banking, Quản Lý Kinh Doanh, Tài Chính, Đào Tạo</t>
        </is>
      </c>
      <c r="M5584" s="10" t="inlineStr">
        <is>
          <t>Bonus</t>
        </is>
      </c>
      <c r="N5584" s="11">
        <f>HYPERLINK("https://www.vietnamworks.com/sales-policy-operation-expert-chuyen-gia-van-hanh-chinh-sach-kinh-doanh-2001956-jv","Xem chi tiết")</f>
        <v/>
      </c>
      <c r="O5584" s="10" t="n"/>
    </row>
    <row r="5585">
      <c r="B5585" s="7" t="n">
        <v>5583</v>
      </c>
      <c r="C5585" t="inlineStr">
        <is>
          <t>Phó Phòng Thẩm Định Giá</t>
        </is>
      </c>
      <c r="D5585" t="inlineStr">
        <is>
          <t>Công Ty Cổ Phần Thaiholdings</t>
        </is>
      </c>
      <c r="E5585" t="inlineStr">
        <is>
          <t>Thương lượng</t>
        </is>
      </c>
      <c r="F5585" t="inlineStr">
        <is>
          <t>Hà Nội</t>
        </is>
      </c>
      <c r="G5585" t="inlineStr">
        <is>
          <t>Trưởng phòng</t>
        </is>
      </c>
      <c r="H5585" t="inlineStr">
        <is>
          <t>13/01/2026</t>
        </is>
      </c>
      <c r="I5585" t="inlineStr">
        <is>
          <t>01/04/2026</t>
        </is>
      </c>
      <c r="J5585" t="inlineStr">
        <is>
          <t>17/03/2026</t>
        </is>
      </c>
      <c r="K5585" t="inlineStr">
        <is>
          <t>N/A</t>
        </is>
      </c>
      <c r="L5585" t="inlineStr">
        <is>
          <t>Thẩm Định Giá, Định Giá, Thẩm Định Giá Tài Sản, Tài Chính Ngân Hàng, Quản trị Kinh doanh</t>
        </is>
      </c>
      <c r="M5585" t="inlineStr">
        <is>
          <t>Bonus, Healthcare Plan, Team Activities</t>
        </is>
      </c>
      <c r="N5585" s="8">
        <f>HYPERLINK("https://www.vietnamworks.com/pho-phong-tham-dinh-gia-2002128-jv","Xem chi tiết")</f>
        <v/>
      </c>
    </row>
    <row r="5586">
      <c r="B5586" s="9" t="n">
        <v>5584</v>
      </c>
      <c r="C5586" s="10" t="inlineStr">
        <is>
          <t>Sales Logistics (Biết Tiếng Trung)</t>
        </is>
      </c>
      <c r="D5586" s="10" t="inlineStr">
        <is>
          <t>CÔNG TY TNHH LOGISTICS QUỐC TẾ ZHENDONG (VIỆT NAM)</t>
        </is>
      </c>
      <c r="E5586" s="10" t="inlineStr">
        <is>
          <t>Thương lượng</t>
        </is>
      </c>
      <c r="F5586" s="10" t="inlineStr">
        <is>
          <t>Hồ Chí Minh</t>
        </is>
      </c>
      <c r="G5586" s="10" t="inlineStr">
        <is>
          <t>Nhân viên</t>
        </is>
      </c>
      <c r="H5586" s="10" t="inlineStr">
        <is>
          <t>13/01/2026</t>
        </is>
      </c>
      <c r="I5586" s="10" t="inlineStr">
        <is>
          <t>01/04/2026</t>
        </is>
      </c>
      <c r="J5586" s="10" t="inlineStr">
        <is>
          <t>17/03/2026</t>
        </is>
      </c>
      <c r="K5586" s="10" t="inlineStr">
        <is>
          <t>N/A</t>
        </is>
      </c>
      <c r="L5586" s="10" t="inlineStr">
        <is>
          <t>Xuất Nhập Khẩu, Ngoại Thương, Quản Trị Kinh Doanh, Chăm Sóc Khách Hàng, Tìm Kiếm Khách Hàng</t>
        </is>
      </c>
      <c r="M5586" s="10" t="inlineStr">
        <is>
          <t>Bonus, Healthcare Plan, Awards, Laptop</t>
        </is>
      </c>
      <c r="N5586" s="11">
        <f>HYPERLINK("https://www.vietnamworks.com/sales-logistics-biet-tieng-trung-2002125-jv","Xem chi tiết")</f>
        <v/>
      </c>
      <c r="O5586" s="10" t="n"/>
    </row>
    <row r="5587">
      <c r="B5587" s="7" t="n">
        <v>5585</v>
      </c>
      <c r="C5587" t="inlineStr">
        <is>
          <t>Phó Phòng Quản Lý Thi Công Dự Án MEP</t>
        </is>
      </c>
      <c r="D5587" t="inlineStr">
        <is>
          <t>Công Ty Cổ Phần T.T.S.C</t>
        </is>
      </c>
      <c r="E5587" t="inlineStr">
        <is>
          <t>$$ 1,000-1,500 /tháng</t>
        </is>
      </c>
      <c r="F5587" t="inlineStr">
        <is>
          <t>Hà Nội</t>
        </is>
      </c>
      <c r="G5587" t="inlineStr">
        <is>
          <t>Trưởng phòng</t>
        </is>
      </c>
      <c r="H5587" t="inlineStr">
        <is>
          <t>13/01/2026</t>
        </is>
      </c>
      <c r="I5587" t="inlineStr">
        <is>
          <t>01/04/2026</t>
        </is>
      </c>
      <c r="J5587" t="inlineStr">
        <is>
          <t>17/03/2026</t>
        </is>
      </c>
      <c r="K5587" t="inlineStr">
        <is>
          <t>N/A</t>
        </is>
      </c>
      <c r="L5587" t="inlineStr">
        <is>
          <t>Tiếng Anh, Quản Lý Dự Án, Phát Triển Dự Án, Kinh Tế Xây Dựng, Cơ Điện</t>
        </is>
      </c>
      <c r="M5587" t="inlineStr">
        <is>
          <t>Bonus, Healthcare Plan, Others</t>
        </is>
      </c>
      <c r="N5587" s="8">
        <f>HYPERLINK("https://www.vietnamworks.com/pho-phong-quan-ly-thi-cong-du-an-mep-2002157-jv","Xem chi tiết")</f>
        <v/>
      </c>
    </row>
    <row r="5588">
      <c r="B5588" s="9" t="n">
        <v>5586</v>
      </c>
      <c r="C5588" s="10" t="inlineStr">
        <is>
          <t>Fashion Designer</t>
        </is>
      </c>
      <c r="D5588" s="10" t="inlineStr">
        <is>
          <t>Yakjin Ho Chi Minh Company Limited</t>
        </is>
      </c>
      <c r="E5588" s="10" t="inlineStr">
        <is>
          <t>Thương lượng</t>
        </is>
      </c>
      <c r="F5588" s="10" t="inlineStr">
        <is>
          <t>Hồ Chí Minh</t>
        </is>
      </c>
      <c r="G5588" s="10" t="inlineStr">
        <is>
          <t>Nhân viên</t>
        </is>
      </c>
      <c r="H5588" s="10" t="inlineStr">
        <is>
          <t>13/01/2026</t>
        </is>
      </c>
      <c r="I5588" s="10" t="inlineStr">
        <is>
          <t>01/04/2026</t>
        </is>
      </c>
      <c r="J5588" s="10" t="inlineStr">
        <is>
          <t>17/03/2026</t>
        </is>
      </c>
      <c r="K5588" s="10" t="inlineStr">
        <is>
          <t>N/A</t>
        </is>
      </c>
      <c r="L5588" s="10" t="inlineStr">
        <is>
          <t>Thiết Kế Thời Trang, May Mặc Thời Trang, May Mặc, Fashion Design, Adobe Photoshop</t>
        </is>
      </c>
      <c r="M5588" s="10" t="inlineStr">
        <is>
          <t>Bonus, Canteen</t>
        </is>
      </c>
      <c r="N5588" s="11">
        <f>HYPERLINK("https://www.vietnamworks.com/fashion-designer--2002189-jv","Xem chi tiết")</f>
        <v/>
      </c>
      <c r="O5588" s="10" t="n"/>
    </row>
    <row r="5589">
      <c r="B5589" s="7" t="n">
        <v>5587</v>
      </c>
      <c r="C5589" t="inlineStr">
        <is>
          <t>Giám Đốc Nhân Sự</t>
        </is>
      </c>
      <c r="D5589" t="inlineStr">
        <is>
          <t>VNB Global</t>
        </is>
      </c>
      <c r="E5589" t="inlineStr">
        <is>
          <t>Thương lượng</t>
        </is>
      </c>
      <c r="F5589" t="inlineStr">
        <is>
          <t>Hà Nội</t>
        </is>
      </c>
      <c r="G5589" t="inlineStr">
        <is>
          <t>Giám Đốc và Cấp Cao Hơn</t>
        </is>
      </c>
      <c r="H5589" t="inlineStr">
        <is>
          <t>13/01/2026</t>
        </is>
      </c>
      <c r="I5589" t="inlineStr">
        <is>
          <t>01/04/2026</t>
        </is>
      </c>
      <c r="J5589" t="inlineStr">
        <is>
          <t>17/03/2026</t>
        </is>
      </c>
      <c r="K5589" t="inlineStr">
        <is>
          <t>N/A</t>
        </is>
      </c>
      <c r="L5589" t="inlineStr">
        <is>
          <t>Nhân Sự, Xây dựng văn hoá, Quản trị tổ chức, Quản lý Chiến lược Nhân sự</t>
        </is>
      </c>
      <c r="M5589" t="inlineStr">
        <is>
          <t>Bonus, Paid Leave, Training, Travel Opportunities, Others</t>
        </is>
      </c>
      <c r="N5589" s="8">
        <f>HYPERLINK("https://www.vietnamworks.com/giam-djoc-nhan-su-2002206-jv","Xem chi tiết")</f>
        <v/>
      </c>
    </row>
    <row r="5590">
      <c r="B5590" s="9" t="n">
        <v>5588</v>
      </c>
      <c r="C5590" s="10" t="inlineStr">
        <is>
          <t>Nhân Viên Bảo Trì - M&amp;E Staff (Nhà Máy Xử Lý Nước Thải)</t>
        </is>
      </c>
      <c r="D5590" s="10" t="inlineStr">
        <is>
          <t>Amata City Long Thanh Joint Stock Company</t>
        </is>
      </c>
      <c r="E5590" s="10" t="inlineStr">
        <is>
          <t>Thương lượng</t>
        </is>
      </c>
      <c r="F5590" s="10" t="inlineStr">
        <is>
          <t>Hồ Chí Minh, Bình Dương, Đồng Nai</t>
        </is>
      </c>
      <c r="G5590" s="10" t="inlineStr">
        <is>
          <t>Nhân viên</t>
        </is>
      </c>
      <c r="H5590" s="10" t="inlineStr">
        <is>
          <t>13/01/2026</t>
        </is>
      </c>
      <c r="I5590" s="10" t="inlineStr">
        <is>
          <t>01/04/2026</t>
        </is>
      </c>
      <c r="J5590" s="10" t="inlineStr">
        <is>
          <t>17/03/2026</t>
        </is>
      </c>
      <c r="K5590" s="10" t="inlineStr">
        <is>
          <t>N/A</t>
        </is>
      </c>
      <c r="L5590" s="10" t="inlineStr">
        <is>
          <t>Sửa Chữa Thiết Bị Máy Móc, Bảo Trì Điện, Bảo Dưỡng Máy Móc, Sửa Chữa Cơ Khí, An Toàn Điện</t>
        </is>
      </c>
      <c r="M5590" s="10" t="inlineStr">
        <is>
          <t>Bonus, Healthcare Plan, Paid Leave</t>
        </is>
      </c>
      <c r="N5590" s="11">
        <f>HYPERLINK("https://www.vietnamworks.com/nhan-vien-bao-tri-m-e-staff-nha-may-xu-ly-nuoc-thai-2002201-jv","Xem chi tiết")</f>
        <v/>
      </c>
      <c r="O5590" s="10" t="n"/>
    </row>
    <row r="5591">
      <c r="B5591" s="7" t="n">
        <v>5589</v>
      </c>
      <c r="C5591" t="inlineStr">
        <is>
          <t>Kỹ Sư Cơ Khí/mechanic Engineer [ Up to $1200 ]</t>
        </is>
      </c>
      <c r="D5591" t="inlineStr">
        <is>
          <t>CÔNG TY TNHH XÂY DỰNG VÀ THƯƠNG MẠI MD</t>
        </is>
      </c>
      <c r="E5591" t="inlineStr">
        <is>
          <t>$$ 800-1,200 /tháng</t>
        </is>
      </c>
      <c r="F5591" t="inlineStr">
        <is>
          <t>Hà Nội</t>
        </is>
      </c>
      <c r="G5591" t="inlineStr">
        <is>
          <t>Nhân viên</t>
        </is>
      </c>
      <c r="H5591" t="inlineStr">
        <is>
          <t>13/01/2026</t>
        </is>
      </c>
      <c r="I5591" t="inlineStr">
        <is>
          <t>01/04/2026</t>
        </is>
      </c>
      <c r="J5591" t="inlineStr">
        <is>
          <t>17/03/2026</t>
        </is>
      </c>
      <c r="K5591" t="inlineStr">
        <is>
          <t>N/A</t>
        </is>
      </c>
      <c r="L5591" t="inlineStr">
        <is>
          <t>Thiết Kế Cơ Khí, Mechanical Engineering, Mechanical Design, Cơ Khí, AutoCAD</t>
        </is>
      </c>
      <c r="M5591" t="inlineStr">
        <is>
          <t>Bonus, Healthcare Plan, Paid Leave</t>
        </is>
      </c>
      <c r="N5591" s="8">
        <f>HYPERLINK("https://www.vietnamworks.com/ky-su-co-khi-mechanic-engineer-up-to-1200-2002233-jv","Xem chi tiết")</f>
        <v/>
      </c>
    </row>
    <row r="5592">
      <c r="B5592" s="9" t="n">
        <v>5590</v>
      </c>
      <c r="C5592" s="10" t="inlineStr">
        <is>
          <t>Chuyên Viên Giải Pháp Phí &amp; Sản Phẩm Liên Kết - Khối Khách Hàng Cá Nhân</t>
        </is>
      </c>
      <c r="D5592" s="10" t="inlineStr">
        <is>
          <t>Ngân hàng TMCP Đông Nam Á (SeABank)</t>
        </is>
      </c>
      <c r="E5592" s="10" t="inlineStr">
        <is>
          <t>Thương lượng</t>
        </is>
      </c>
      <c r="F5592" s="10" t="inlineStr">
        <is>
          <t>Hà Nội</t>
        </is>
      </c>
      <c r="G5592" s="10" t="inlineStr">
        <is>
          <t>Nhân viên</t>
        </is>
      </c>
      <c r="H5592" s="10" t="inlineStr">
        <is>
          <t>13/01/2026</t>
        </is>
      </c>
      <c r="I5592" s="10" t="inlineStr">
        <is>
          <t>01/04/2026</t>
        </is>
      </c>
      <c r="J5592" s="10" t="inlineStr">
        <is>
          <t>17/03/2026</t>
        </is>
      </c>
      <c r="K5592" s="10" t="inlineStr">
        <is>
          <t>N/A</t>
        </is>
      </c>
      <c r="L5592" s="10" t="inlineStr">
        <is>
          <t>Kế Hoạch Kinh Doanh, Tài Chính Ngân Hàng, Giải pháp tài chính, Kiều Hối, Phát Triển Sản Phẩm</t>
        </is>
      </c>
      <c r="M5592" s="10" t="inlineStr">
        <is>
          <t>Bonus, Healthcare Plan, Paid Leave, Training, Mobile, Travel Opportunities, Others</t>
        </is>
      </c>
      <c r="N5592" s="11">
        <f>HYPERLINK("https://www.vietnamworks.com/chuyen-vien-giai-phap-phi-and-san-pham-lien-ket-khoi-khach-hang-ca-nhan-2002235-jv","Xem chi tiết")</f>
        <v/>
      </c>
      <c r="O5592" s="10" t="n"/>
    </row>
    <row r="5593">
      <c r="B5593" s="7" t="n">
        <v>5591</v>
      </c>
      <c r="C5593" t="inlineStr">
        <is>
          <t>Kế Toán Thuế</t>
        </is>
      </c>
      <c r="D5593" t="inlineStr">
        <is>
          <t>Aurora Travel</t>
        </is>
      </c>
      <c r="E5593" t="inlineStr">
        <is>
          <t>Thương lượng</t>
        </is>
      </c>
      <c r="F5593" t="inlineStr">
        <is>
          <t>Hà Nội</t>
        </is>
      </c>
      <c r="G5593" t="inlineStr">
        <is>
          <t>Nhân viên</t>
        </is>
      </c>
      <c r="H5593" t="inlineStr">
        <is>
          <t>13/01/2026</t>
        </is>
      </c>
      <c r="I5593" t="inlineStr">
        <is>
          <t>01/04/2026</t>
        </is>
      </c>
      <c r="J5593" t="inlineStr">
        <is>
          <t>17/03/2026</t>
        </is>
      </c>
      <c r="K5593" t="inlineStr">
        <is>
          <t>N/A</t>
        </is>
      </c>
      <c r="L5593" t="inlineStr">
        <is>
          <t>Kế Toán, Tài Chính, Phần mềm kế toán, Tiếng Anh Căn Bản, Giao Tiếp</t>
        </is>
      </c>
      <c r="M5593" t="inlineStr">
        <is>
          <t>Bonus, Healthcare Plan, Paid Leave, Training, Travel Opportunities, Team Activities, Others</t>
        </is>
      </c>
      <c r="N5593" s="8">
        <f>HYPERLINK("https://www.vietnamworks.com/ke-toan-thue-2002209-jv","Xem chi tiết")</f>
        <v/>
      </c>
    </row>
    <row r="5594">
      <c r="B5594" s="9" t="n">
        <v>5592</v>
      </c>
      <c r="C5594" s="10" t="inlineStr">
        <is>
          <t>Kế Toán Xuất Nhập Khẩu - Tập Đoàn Inox Gia Anh</t>
        </is>
      </c>
      <c r="D5594" s="10" t="inlineStr">
        <is>
          <t>Tập Đoàn Inox Gia Anh</t>
        </is>
      </c>
      <c r="E5594" s="10" t="inlineStr">
        <is>
          <t>Từ 15tr ₫/tháng</t>
        </is>
      </c>
      <c r="F5594" s="10" t="inlineStr">
        <is>
          <t>Hà Nội</t>
        </is>
      </c>
      <c r="G5594" s="10" t="inlineStr">
        <is>
          <t>Nhân viên</t>
        </is>
      </c>
      <c r="H5594" s="10" t="inlineStr">
        <is>
          <t>13/01/2026</t>
        </is>
      </c>
      <c r="I5594" s="10" t="inlineStr">
        <is>
          <t>01/04/2026</t>
        </is>
      </c>
      <c r="J5594" s="10" t="inlineStr">
        <is>
          <t>17/03/2026</t>
        </is>
      </c>
      <c r="K5594" s="10" t="inlineStr">
        <is>
          <t>N/A</t>
        </is>
      </c>
      <c r="L5594" s="10" t="inlineStr">
        <is>
          <t>Kế Toán Xuất Nhập Khẩu, Chứng Từ Xuất Nhập Khẩu, Logistics, Thanh Toán Quốc Tế, Thủ Tục Xuất Nhập Khẩu</t>
        </is>
      </c>
      <c r="M5594" s="10" t="inlineStr">
        <is>
          <t>Bonus, Healthcare Plan, Team Activities</t>
        </is>
      </c>
      <c r="N5594" s="11">
        <f>HYPERLINK("https://www.vietnamworks.com/ke-toan-xuat-nhap-khau-tap-doan-inox-gia-anh-2002230-jv","Xem chi tiết")</f>
        <v/>
      </c>
      <c r="O5594" s="10" t="n"/>
    </row>
    <row r="5595">
      <c r="B5595" s="7" t="n">
        <v>5593</v>
      </c>
      <c r="C5595" t="inlineStr">
        <is>
          <t>Nhân viên Thiết Kế (Hạ tầng, M&amp;E, Kiến trúc)</t>
        </is>
      </c>
      <c r="D5595" t="inlineStr">
        <is>
          <t>Công Ty Cổ Phần Vinhomes</t>
        </is>
      </c>
      <c r="E5595" t="inlineStr">
        <is>
          <t>Thương lượng</t>
        </is>
      </c>
      <c r="F5595" t="inlineStr">
        <is>
          <t>Hà Nội</t>
        </is>
      </c>
      <c r="G5595" t="inlineStr">
        <is>
          <t>Nhân viên</t>
        </is>
      </c>
      <c r="H5595" t="inlineStr">
        <is>
          <t>13/01/2026</t>
        </is>
      </c>
      <c r="I5595" t="inlineStr">
        <is>
          <t>01/04/2026</t>
        </is>
      </c>
      <c r="J5595" t="inlineStr">
        <is>
          <t>17/03/2026</t>
        </is>
      </c>
      <c r="K5595" t="inlineStr">
        <is>
          <t>N/A</t>
        </is>
      </c>
      <c r="L5595" t="inlineStr">
        <is>
          <t>Autocad, Civil 3D, Hạ Tầng Giao Thông, Thiết Kế Cấp Thoát Nước, Thiết Kế Điện</t>
        </is>
      </c>
      <c r="M5595" t="inlineStr">
        <is>
          <t>Bonus, Healthcare Plan, Others</t>
        </is>
      </c>
      <c r="N5595" s="8">
        <f>HYPERLINK("https://www.vietnamworks.com/nhan-vien-thiet-ke-ha-tang-mande-kien-truc-2002146-jv","Xem chi tiết")</f>
        <v/>
      </c>
    </row>
    <row r="5596">
      <c r="B5596" s="9" t="n">
        <v>5594</v>
      </c>
      <c r="C5596" s="10" t="inlineStr">
        <is>
          <t>Giám Sát Kinh Doanh Kênh GT - Sales Supervisor GT</t>
        </is>
      </c>
      <c r="D5596" s="10" t="inlineStr">
        <is>
          <t>Abbott</t>
        </is>
      </c>
      <c r="E5596" s="10" t="inlineStr">
        <is>
          <t>18tr-32tr ₫/tháng</t>
        </is>
      </c>
      <c r="F5596" s="10" t="inlineStr">
        <is>
          <t>Hà Nội, Thái Nguyên</t>
        </is>
      </c>
      <c r="G5596" s="10" t="inlineStr">
        <is>
          <t>Trưởng phòng</t>
        </is>
      </c>
      <c r="H5596" s="10" t="inlineStr">
        <is>
          <t>13/01/2026</t>
        </is>
      </c>
      <c r="I5596" s="10" t="inlineStr">
        <is>
          <t>01/04/2026</t>
        </is>
      </c>
      <c r="J5596" s="10" t="inlineStr">
        <is>
          <t>17/03/2026</t>
        </is>
      </c>
      <c r="K5596" s="10" t="inlineStr">
        <is>
          <t>N/A</t>
        </is>
      </c>
      <c r="L5596" s="10" t="inlineStr">
        <is>
          <t>Bán Hàng, Giao Tiếp, Quản Trị Đội Ngũ, Soạn Báo Cáo, Trade Marketing</t>
        </is>
      </c>
      <c r="M5596" s="10" t="inlineStr">
        <is>
          <t>Bonus, Healthcare Plan, Paid Leave, Training, Awards, Laptop, Mobile, Others</t>
        </is>
      </c>
      <c r="N5596" s="11">
        <f>HYPERLINK("https://www.vietnamworks.com/giam-sat-kinh-doanh-kenh-gt-sales-supervisor-gt-2002296-jv","Xem chi tiết")</f>
        <v/>
      </c>
      <c r="O5596" s="10" t="n"/>
    </row>
    <row r="5597">
      <c r="B5597" s="7" t="n">
        <v>5595</v>
      </c>
      <c r="C5597" t="inlineStr">
        <is>
          <t>Chuyên Viên Chính Phòng Báo Cáo Tài Chính</t>
        </is>
      </c>
      <c r="D5597" t="inlineStr">
        <is>
          <t>Công Ty TNHH Tập Đoàn Bitexco</t>
        </is>
      </c>
      <c r="E5597" t="inlineStr">
        <is>
          <t>Thương lượng</t>
        </is>
      </c>
      <c r="F5597" t="inlineStr">
        <is>
          <t>Hà Nội</t>
        </is>
      </c>
      <c r="G5597" t="inlineStr">
        <is>
          <t>Nhân viên</t>
        </is>
      </c>
      <c r="H5597" t="inlineStr">
        <is>
          <t>13/01/2026</t>
        </is>
      </c>
      <c r="I5597" t="inlineStr">
        <is>
          <t>01/04/2026</t>
        </is>
      </c>
      <c r="J5597" t="inlineStr">
        <is>
          <t>17/03/2026</t>
        </is>
      </c>
      <c r="K5597" t="inlineStr">
        <is>
          <t>N/A</t>
        </is>
      </c>
      <c r="L5597" t="inlineStr">
        <is>
          <t>Lập Báo Cáo Tài Chính, Thủ Tục Kế Toán, Kiểm Toán, Financial Reporting, Tài Chính Kế Toán</t>
        </is>
      </c>
      <c r="M5597" t="inlineStr">
        <is>
          <t>Bonus, Healthcare Plan, Paid Leave</t>
        </is>
      </c>
      <c r="N5597" s="8">
        <f>HYPERLINK("https://www.vietnamworks.com/chuyen-vien-chinh-phong-bao-cao-tai-chinh-2002298-jv","Xem chi tiết")</f>
        <v/>
      </c>
    </row>
    <row r="5598">
      <c r="B5598" s="9" t="n">
        <v>5596</v>
      </c>
      <c r="C5598" s="10" t="inlineStr">
        <is>
          <t>Lễ Tân</t>
        </is>
      </c>
      <c r="D5598" s="10" t="inlineStr">
        <is>
          <t>Công Ty TNHH Tập Đoàn Bitexco</t>
        </is>
      </c>
      <c r="E5598" s="10" t="inlineStr">
        <is>
          <t>Thương lượng</t>
        </is>
      </c>
      <c r="F5598" s="10" t="inlineStr">
        <is>
          <t>Hà Nội</t>
        </is>
      </c>
      <c r="G5598" s="10" t="inlineStr">
        <is>
          <t>Mới Tốt Nghiệp</t>
        </is>
      </c>
      <c r="H5598" s="10" t="inlineStr">
        <is>
          <t>13/01/2026</t>
        </is>
      </c>
      <c r="I5598" s="10" t="inlineStr">
        <is>
          <t>01/04/2026</t>
        </is>
      </c>
      <c r="J5598" s="10" t="inlineStr">
        <is>
          <t>17/03/2026</t>
        </is>
      </c>
      <c r="K5598" s="10" t="inlineStr">
        <is>
          <t>N/A</t>
        </is>
      </c>
      <c r="L5598" s="10" t="inlineStr">
        <is>
          <t>Admin, Hành Chính, Lễ Tân, Lễ Tân Hành Chính, Tiếng Anh</t>
        </is>
      </c>
      <c r="M5598" s="10" t="inlineStr">
        <is>
          <t>Bonus, Healthcare Plan, Paid Leave</t>
        </is>
      </c>
      <c r="N5598" s="11">
        <f>HYPERLINK("https://www.vietnamworks.com/le-tan-2002303-jv","Xem chi tiết")</f>
        <v/>
      </c>
      <c r="O5598" s="10" t="n"/>
    </row>
    <row r="5599">
      <c r="B5599" s="7" t="n">
        <v>5597</v>
      </c>
      <c r="C5599" t="inlineStr">
        <is>
          <t>Chuyên Gia Quản Lý Kế Hoạch Marketing Dự Án</t>
        </is>
      </c>
      <c r="D5599" t="inlineStr">
        <is>
          <t>Novaland</t>
        </is>
      </c>
      <c r="E5599" t="inlineStr">
        <is>
          <t>Thương lượng</t>
        </is>
      </c>
      <c r="F5599" t="inlineStr">
        <is>
          <t>Hồ Chí Minh</t>
        </is>
      </c>
      <c r="G5599" t="inlineStr">
        <is>
          <t>Nhân viên</t>
        </is>
      </c>
      <c r="H5599" t="inlineStr">
        <is>
          <t>13/01/2026</t>
        </is>
      </c>
      <c r="I5599" t="inlineStr">
        <is>
          <t>01/04/2026</t>
        </is>
      </c>
      <c r="J5599" t="inlineStr">
        <is>
          <t>17/03/2026</t>
        </is>
      </c>
      <c r="K5599" t="inlineStr">
        <is>
          <t>N/A</t>
        </is>
      </c>
      <c r="L5599" t="inlineStr">
        <is>
          <t>Marketing, Marketing 360 Process, Marketing Tổng Hợp, Marketing Plan, Marketing Campaigns</t>
        </is>
      </c>
      <c r="M5599" t="inlineStr">
        <is>
          <t>Bonus, Healthcare Plan, Awards</t>
        </is>
      </c>
      <c r="N5599" s="8">
        <f>HYPERLINK("https://www.vietnamworks.com/chuyen-gia-quan-ly-ke-hoach-marketing-du-an-2002307-jv","Xem chi tiết")</f>
        <v/>
      </c>
    </row>
    <row r="5600">
      <c r="B5600" s="9" t="n">
        <v>5598</v>
      </c>
      <c r="C5600" s="10" t="inlineStr">
        <is>
          <t>Chuyên Viên Giải Pháp Huy Động &amp; Đầu Tư - Khối Khách Hàng Cá Nhân</t>
        </is>
      </c>
      <c r="D5600" s="10" t="inlineStr">
        <is>
          <t>Ngân hàng TMCP Đông Nam Á (SeABank)</t>
        </is>
      </c>
      <c r="E5600" s="10" t="inlineStr">
        <is>
          <t>Thương lượng</t>
        </is>
      </c>
      <c r="F5600" s="10" t="inlineStr">
        <is>
          <t>Hà Nội</t>
        </is>
      </c>
      <c r="G5600" s="10" t="inlineStr">
        <is>
          <t>Nhân viên</t>
        </is>
      </c>
      <c r="H5600" s="10" t="inlineStr">
        <is>
          <t>13/01/2026</t>
        </is>
      </c>
      <c r="I5600" s="10" t="inlineStr">
        <is>
          <t>01/04/2026</t>
        </is>
      </c>
      <c r="J5600" s="10" t="inlineStr">
        <is>
          <t>17/03/2026</t>
        </is>
      </c>
      <c r="K5600" s="10" t="inlineStr">
        <is>
          <t>N/A</t>
        </is>
      </c>
      <c r="L5600" s="10" t="inlineStr">
        <is>
          <t>Lập Kế Hoạch Kinh Doanh, Phát Triển Sản Phẩm, Quản Lý Trải Nghiệm Khách Hàng, Truyền Thông, Xây Dựng Chính Sách Giá</t>
        </is>
      </c>
      <c r="M5600" s="10" t="inlineStr">
        <is>
          <t>Bonus, Healthcare Plan, Training, Travel Opportunities, Others</t>
        </is>
      </c>
      <c r="N5600" s="11">
        <f>HYPERLINK("https://www.vietnamworks.com/chuyen-vien-giai-phap-huy-djong-and-djau-tu-khoi-khach-hang-ca-nhan-2002249-jv","Xem chi tiết")</f>
        <v/>
      </c>
      <c r="O5600" s="10" t="n"/>
    </row>
    <row r="5601">
      <c r="B5601" s="7" t="n">
        <v>5599</v>
      </c>
      <c r="C5601" t="inlineStr">
        <is>
          <t>Giám Đốc Trung Tâm Khách Hàng Cá Nhân - Khu Vực Hồ Chí Minh</t>
        </is>
      </c>
      <c r="D5601" t="inlineStr">
        <is>
          <t>Ngân hàng TMCP Đông Nam Á (SeABank)</t>
        </is>
      </c>
      <c r="E5601" t="inlineStr">
        <is>
          <t>Thương lượng</t>
        </is>
      </c>
      <c r="F5601" t="inlineStr">
        <is>
          <t>Hồ Chí Minh</t>
        </is>
      </c>
      <c r="G5601" t="inlineStr">
        <is>
          <t>Trưởng phòng</t>
        </is>
      </c>
      <c r="H5601" t="inlineStr">
        <is>
          <t>13/01/2026</t>
        </is>
      </c>
      <c r="I5601" t="inlineStr">
        <is>
          <t>01/04/2026</t>
        </is>
      </c>
      <c r="J5601" t="inlineStr">
        <is>
          <t>17/03/2026</t>
        </is>
      </c>
      <c r="K5601" t="inlineStr">
        <is>
          <t>N/A</t>
        </is>
      </c>
      <c r="L5601" t="inlineStr">
        <is>
          <t>Quản Lý Kinh Doanh, Lập Kế Hoạch Kinh Doanh, Nghiên Cứu Thị Trường, Phát Triển Đội Ngũ Kinh Doanh, Quản Trị Rủi Ro</t>
        </is>
      </c>
      <c r="M5601" t="inlineStr">
        <is>
          <t>Bonus, Healthcare Plan, Paid Leave, Mobile, Travel Opportunities, Transportation, Others</t>
        </is>
      </c>
      <c r="N5601" s="8">
        <f>HYPERLINK("https://www.vietnamworks.com/giam-djoc-trung-tam-khach-hang-ca-nhan-khu-vuc-ho-chi-minh-2002264-jv","Xem chi tiết")</f>
        <v/>
      </c>
    </row>
    <row r="5602">
      <c r="B5602" s="9" t="n">
        <v>5600</v>
      </c>
      <c r="C5602" s="10" t="inlineStr">
        <is>
          <t>Chuyên Viên Chính Giải Pháp Tín Dụng Thế Chấp - Khối Khách Hàng Cá Nhân</t>
        </is>
      </c>
      <c r="D5602" s="10" t="inlineStr">
        <is>
          <t>Ngân hàng TMCP Đông Nam Á (SeABank)</t>
        </is>
      </c>
      <c r="E5602" s="10" t="inlineStr">
        <is>
          <t>Thương lượng</t>
        </is>
      </c>
      <c r="F5602" s="10" t="inlineStr">
        <is>
          <t>Hà Nội</t>
        </is>
      </c>
      <c r="G5602" s="10" t="inlineStr">
        <is>
          <t>Nhân viên</t>
        </is>
      </c>
      <c r="H5602" s="10" t="inlineStr">
        <is>
          <t>13/01/2026</t>
        </is>
      </c>
      <c r="I5602" s="10" t="inlineStr">
        <is>
          <t>01/04/2026</t>
        </is>
      </c>
      <c r="J5602" s="10" t="inlineStr">
        <is>
          <t>17/03/2026</t>
        </is>
      </c>
      <c r="K5602" s="10" t="inlineStr">
        <is>
          <t>N/A</t>
        </is>
      </c>
      <c r="L5602" s="10" t="inlineStr">
        <is>
          <t>Giải Pháp Bán Hàng, Giám Sát Tín Dụng, Ngân hàng, Phát triển kinh doanh &amp; Chiến lược bán hàng, Tài Chính</t>
        </is>
      </c>
      <c r="M5602" s="10" t="inlineStr">
        <is>
          <t>Bonus, Healthcare Plan, Paid Leave, Training, Travel Opportunities, Others</t>
        </is>
      </c>
      <c r="N5602" s="11">
        <f>HYPERLINK("https://www.vietnamworks.com/chuyen-vien-chinh-giai-phap-tin-dung-the-chap-khoi-khach-hang-ca-nhan-2002254-jv","Xem chi tiết")</f>
        <v/>
      </c>
      <c r="O5602" s="10" t="n"/>
    </row>
    <row r="5603">
      <c r="B5603" s="7" t="n">
        <v>5601</v>
      </c>
      <c r="C5603" t="inlineStr">
        <is>
          <t>Chuyên Viên Quản Trị Danh Mục, Định Vị &amp; Trải Nghiệm KHCN - Khối Khách Hàng Cá Nhân</t>
        </is>
      </c>
      <c r="D5603" t="inlineStr">
        <is>
          <t>Ngân hàng TMCP Đông Nam Á (SeABank)</t>
        </is>
      </c>
      <c r="E5603" t="inlineStr">
        <is>
          <t>Thương lượng</t>
        </is>
      </c>
      <c r="F5603" t="inlineStr">
        <is>
          <t>Hà Nội</t>
        </is>
      </c>
      <c r="G5603" t="inlineStr">
        <is>
          <t>Nhân viên</t>
        </is>
      </c>
      <c r="H5603" t="inlineStr">
        <is>
          <t>13/01/2026</t>
        </is>
      </c>
      <c r="I5603" t="inlineStr">
        <is>
          <t>01/04/2026</t>
        </is>
      </c>
      <c r="J5603" t="inlineStr">
        <is>
          <t>17/03/2026</t>
        </is>
      </c>
      <c r="K5603" t="inlineStr">
        <is>
          <t>N/A</t>
        </is>
      </c>
      <c r="L5603" t="inlineStr">
        <is>
          <t>Giao Tiếp Và Tạo Ảnh Hưởng, Lập Kế Hoạch, Phân Tích Chiến Lược, Quản Lý Trải Nghiệm Khách Hàng, Xây Dựng Mối Quan Hệ</t>
        </is>
      </c>
      <c r="M5603" t="inlineStr">
        <is>
          <t>Bonus, Healthcare Plan, Training, Travel Opportunities, Others</t>
        </is>
      </c>
      <c r="N5603" s="8">
        <f>HYPERLINK("https://www.vietnamworks.com/chuyen-vien-quan-tri-danh-muc-djinh-vi-and-trai-nghiem-khcn-khoi-khach-hang-ca-nhan-2002261-jv","Xem chi tiết")</f>
        <v/>
      </c>
    </row>
    <row r="5604">
      <c r="B5604" s="9" t="n">
        <v>5602</v>
      </c>
      <c r="C5604" s="10" t="inlineStr">
        <is>
          <t>Chuyên Viên Pháp Lý</t>
        </is>
      </c>
      <c r="D5604" s="10" t="inlineStr">
        <is>
          <t>Công Ty TNHH Tập Đoàn Bitexco</t>
        </is>
      </c>
      <c r="E5604" s="10" t="inlineStr">
        <is>
          <t>Thương lượng</t>
        </is>
      </c>
      <c r="F5604" s="10" t="inlineStr">
        <is>
          <t>Hà Nội</t>
        </is>
      </c>
      <c r="G5604" s="10" t="inlineStr">
        <is>
          <t>Nhân viên</t>
        </is>
      </c>
      <c r="H5604" s="10" t="inlineStr">
        <is>
          <t>13/01/2026</t>
        </is>
      </c>
      <c r="I5604" s="10" t="inlineStr">
        <is>
          <t>01/04/2026</t>
        </is>
      </c>
      <c r="J5604" s="10" t="inlineStr">
        <is>
          <t>17/03/2026</t>
        </is>
      </c>
      <c r="K5604" s="10" t="inlineStr">
        <is>
          <t>N/A</t>
        </is>
      </c>
      <c r="L5604" s="10" t="inlineStr">
        <is>
          <t>Pháp Lý, Soạn Thảo Văn Bản, Phân Tích Đánh Giá, Kinh Nghiệm Tranh Tụng, Tư Vấn Pháp Lý</t>
        </is>
      </c>
      <c r="M5604" s="10" t="inlineStr">
        <is>
          <t>Bonus, Healthcare Plan, Paid Leave</t>
        </is>
      </c>
      <c r="N5604" s="11">
        <f>HYPERLINK("https://www.vietnamworks.com/chuyen-vien-phap-ly--2002290-jv","Xem chi tiết")</f>
        <v/>
      </c>
      <c r="O5604" s="10" t="n"/>
    </row>
    <row r="5605">
      <c r="B5605" s="7" t="n">
        <v>5603</v>
      </c>
      <c r="C5605" t="inlineStr">
        <is>
          <t>Sales Logistics Staff</t>
        </is>
      </c>
      <c r="D5605" t="inlineStr">
        <is>
          <t>Công Ty TNHH Yusen Logistics (Việt Nam)</t>
        </is>
      </c>
      <c r="E5605" t="inlineStr">
        <is>
          <t>Thương lượng</t>
        </is>
      </c>
      <c r="F5605" t="inlineStr">
        <is>
          <t>Hải Phòng, Hồ Chí Minh, Hà Nội</t>
        </is>
      </c>
      <c r="G5605" t="inlineStr">
        <is>
          <t>Nhân viên</t>
        </is>
      </c>
      <c r="H5605" t="inlineStr">
        <is>
          <t>14/01/2026</t>
        </is>
      </c>
      <c r="I5605" t="inlineStr">
        <is>
          <t>01/04/2026</t>
        </is>
      </c>
      <c r="J5605" t="inlineStr">
        <is>
          <t>17/03/2026</t>
        </is>
      </c>
      <c r="K5605" t="inlineStr">
        <is>
          <t>N/A</t>
        </is>
      </c>
      <c r="L5605" t="inlineStr">
        <is>
          <t>Kỹ năng giao tiếp, Kỹ nắng quản  lý thời gian, Logistics Knowledge, Freight Forwarding</t>
        </is>
      </c>
      <c r="M5605" t="inlineStr">
        <is>
          <t>Bonus, Healthcare Plan, Laptop</t>
        </is>
      </c>
      <c r="N5605" s="8">
        <f>HYPERLINK("https://www.vietnamworks.com/sales-logistics-staff--2002361-jv","Xem chi tiết")</f>
        <v/>
      </c>
    </row>
    <row r="5606">
      <c r="B5606" s="9" t="n">
        <v>5604</v>
      </c>
      <c r="C5606" s="10" t="inlineStr">
        <is>
          <t>Chief Accountant</t>
        </is>
      </c>
      <c r="D5606" s="10" t="inlineStr">
        <is>
          <t>Cong Ty TNHH Iljin Diamond Vina</t>
        </is>
      </c>
      <c r="E5606" s="10" t="inlineStr">
        <is>
          <t>Thương lượng</t>
        </is>
      </c>
      <c r="F5606" s="10" t="inlineStr">
        <is>
          <t>Ninh Bình, Hà Nam</t>
        </is>
      </c>
      <c r="G5606" s="10" t="inlineStr">
        <is>
          <t>Trưởng phòng</t>
        </is>
      </c>
      <c r="H5606" s="10" t="inlineStr">
        <is>
          <t>14/01/2026</t>
        </is>
      </c>
      <c r="I5606" s="10" t="inlineStr">
        <is>
          <t>01/04/2026</t>
        </is>
      </c>
      <c r="J5606" s="10" t="inlineStr">
        <is>
          <t>17/03/2026</t>
        </is>
      </c>
      <c r="K5606" s="10" t="inlineStr">
        <is>
          <t>N/A</t>
        </is>
      </c>
      <c r="L5606" s="10" t="inlineStr">
        <is>
          <t>Financial Reporting, Leadership, Chief Accountant Certificate, Finance &amp; Accounting, Accounting &amp; Auditing</t>
        </is>
      </c>
      <c r="M5606" s="10" t="inlineStr">
        <is>
          <t>Bonus, Healthcare Plan, Travel Opportunities</t>
        </is>
      </c>
      <c r="N5606" s="11">
        <f>HYPERLINK("https://www.vietnamworks.com/chief-accountant-2002416-jv","Xem chi tiết")</f>
        <v/>
      </c>
      <c r="O5606" s="10" t="n"/>
    </row>
    <row r="5607">
      <c r="B5607" s="7" t="n">
        <v>5605</v>
      </c>
      <c r="C5607" t="inlineStr">
        <is>
          <t>Tổ trưởng Kỹ thuật Bảo trì (Châu Thành, Bến Tre)</t>
        </is>
      </c>
      <c r="D5607" t="inlineStr">
        <is>
          <t>Asia Chemical Corporation</t>
        </is>
      </c>
      <c r="E5607" t="inlineStr">
        <is>
          <t>Thương lượng</t>
        </is>
      </c>
      <c r="F5607" t="inlineStr">
        <is>
          <t>Bến Tre</t>
        </is>
      </c>
      <c r="G5607" t="inlineStr">
        <is>
          <t>Nhân viên</t>
        </is>
      </c>
      <c r="H5607" t="inlineStr">
        <is>
          <t>14/01/2026</t>
        </is>
      </c>
      <c r="I5607" t="inlineStr">
        <is>
          <t>01/04/2026</t>
        </is>
      </c>
      <c r="J5607" t="inlineStr">
        <is>
          <t>17/03/2026</t>
        </is>
      </c>
      <c r="K5607" t="inlineStr">
        <is>
          <t>N/A</t>
        </is>
      </c>
      <c r="L5607" t="inlineStr">
        <is>
          <t>Cơ Khí, Tự Động Hóa, Điện - Điện tử, Điện Lạnh Công Nghiệp</t>
        </is>
      </c>
      <c r="M5607" t="inlineStr">
        <is>
          <t>Bonus, Healthcare Plan, Paid Leave, Training, Travel Opportunities, Canteen, Kindergarten</t>
        </is>
      </c>
      <c r="N5607" s="8">
        <f>HYPERLINK("https://www.vietnamworks.com/to-truong-ky-thuat-bao-tri-chau-thanh-ben-tre-2002373-jv","Xem chi tiết")</f>
        <v/>
      </c>
    </row>
    <row r="5608">
      <c r="B5608" s="9" t="n">
        <v>5606</v>
      </c>
      <c r="C5608" s="10" t="inlineStr">
        <is>
          <t>Nhân Viên Xuất Nhập Khẩu</t>
        </is>
      </c>
      <c r="D5608" s="10" t="inlineStr">
        <is>
          <t>CÔNG TY TNHH RAPIDO ASIA</t>
        </is>
      </c>
      <c r="E5608" s="10" t="inlineStr">
        <is>
          <t>15tr-20tr ₫/tháng</t>
        </is>
      </c>
      <c r="F5608" s="10" t="inlineStr">
        <is>
          <t>Hà Nội, Ninh Bình</t>
        </is>
      </c>
      <c r="G5608" s="10" t="inlineStr">
        <is>
          <t>Nhân viên</t>
        </is>
      </c>
      <c r="H5608" s="10" t="inlineStr">
        <is>
          <t>14/01/2026</t>
        </is>
      </c>
      <c r="I5608" s="10" t="inlineStr">
        <is>
          <t>01/04/2026</t>
        </is>
      </c>
      <c r="J5608" s="10" t="inlineStr">
        <is>
          <t>17/03/2026</t>
        </is>
      </c>
      <c r="K5608" s="10" t="inlineStr">
        <is>
          <t>N/A</t>
        </is>
      </c>
      <c r="L5608" s="10" t="inlineStr">
        <is>
          <t>Tiếng Anh, Chăm Sóc Khách Hàng, Chứng Từ Xuất Nhập Khẩu, Thủ Tục Hải Quan, Tìm Kiếm Nhà Cung Cấp</t>
        </is>
      </c>
      <c r="M5608" s="10" t="inlineStr">
        <is>
          <t>Bonus, Healthcare Plan, Training, Others</t>
        </is>
      </c>
      <c r="N5608" s="11">
        <f>HYPERLINK("https://www.vietnamworks.com/nhan-vien-xuat-nhap-khau-2002428-jv","Xem chi tiết")</f>
        <v/>
      </c>
      <c r="O5608" s="10" t="n"/>
    </row>
    <row r="5609">
      <c r="B5609" s="7" t="n">
        <v>5607</v>
      </c>
      <c r="C5609" t="inlineStr">
        <is>
          <t>Tư Vấn Tuyển Sinh Trường Northstar American School</t>
        </is>
      </c>
      <c r="D5609" t="inlineStr">
        <is>
          <t>CÔNG TY CỔ PHẦN GIÁO DỤC NORTH STAR</t>
        </is>
      </c>
      <c r="E5609" t="inlineStr">
        <is>
          <t>10tr-30tr ₫/tháng</t>
        </is>
      </c>
      <c r="F5609" t="inlineStr">
        <is>
          <t>Hà Nội</t>
        </is>
      </c>
      <c r="G5609" t="inlineStr">
        <is>
          <t>Nhân viên</t>
        </is>
      </c>
      <c r="H5609" t="inlineStr">
        <is>
          <t>14/01/2026</t>
        </is>
      </c>
      <c r="I5609" t="inlineStr">
        <is>
          <t>01/04/2026</t>
        </is>
      </c>
      <c r="J5609" t="inlineStr">
        <is>
          <t>17/03/2026</t>
        </is>
      </c>
      <c r="K5609" t="inlineStr">
        <is>
          <t>N/A</t>
        </is>
      </c>
      <c r="L5609" t="inlineStr">
        <is>
          <t>Giáo Dục, Giao Tiếp Tiếng Anh, Giáo Dục Quốc Tế, Tư Vấn Giáo Dục, Tư Vấn Tuyển Sinh</t>
        </is>
      </c>
      <c r="M5609" t="inlineStr">
        <is>
          <t>Bonus, Healthcare Plan, Paid Leave, Training, Others</t>
        </is>
      </c>
      <c r="N5609" s="8">
        <f>HYPERLINK("https://www.vietnamworks.com/tu-van-tuyen-sinh-truong-northstar-american-school-2002518-jv","Xem chi tiết")</f>
        <v/>
      </c>
    </row>
    <row r="5610">
      <c r="B5610" s="9" t="n">
        <v>5608</v>
      </c>
      <c r="C5610" s="10" t="inlineStr">
        <is>
          <t>Academic Co - Ordinator</t>
        </is>
      </c>
      <c r="D5610" s="10" t="inlineStr">
        <is>
          <t>CÔNG TY CỔ PHẦN GIÁO DỤC NORTH STAR</t>
        </is>
      </c>
      <c r="E5610" s="10" t="inlineStr">
        <is>
          <t>8tr-15tr ₫/tháng</t>
        </is>
      </c>
      <c r="F5610" s="10" t="inlineStr">
        <is>
          <t>Hà Nội</t>
        </is>
      </c>
      <c r="G5610" s="10" t="inlineStr">
        <is>
          <t>Nhân viên</t>
        </is>
      </c>
      <c r="H5610" s="10" t="inlineStr">
        <is>
          <t>14/01/2026</t>
        </is>
      </c>
      <c r="I5610" s="10" t="inlineStr">
        <is>
          <t>01/04/2026</t>
        </is>
      </c>
      <c r="J5610" s="10" t="inlineStr">
        <is>
          <t>17/03/2026</t>
        </is>
      </c>
      <c r="K5610" s="10" t="inlineStr">
        <is>
          <t>N/A</t>
        </is>
      </c>
      <c r="L5610" s="10" t="inlineStr">
        <is>
          <t>Teaching Experience, Class Administration, Class Organization, English Education, IELTS</t>
        </is>
      </c>
      <c r="M5610" s="10" t="inlineStr">
        <is>
          <t>Bonus, Healthcare Plan, Training, Others</t>
        </is>
      </c>
      <c r="N5610" s="11">
        <f>HYPERLINK("https://www.vietnamworks.com/academic-co-ordinator-2002521-jv","Xem chi tiết")</f>
        <v/>
      </c>
      <c r="O5610" s="10" t="n"/>
    </row>
    <row r="5611">
      <c r="B5611" s="7" t="n">
        <v>5609</v>
      </c>
      <c r="C5611" t="inlineStr">
        <is>
          <t>Chuyên Viên Cao Cấp Xử Lý Nợ</t>
        </is>
      </c>
      <c r="D5611" t="inlineStr">
        <is>
          <t>Ngân Hàng TMCP Quốc Tế Việt Nam (VIB)</t>
        </is>
      </c>
      <c r="E5611" t="inlineStr">
        <is>
          <t>$$ 500-2,000 /tháng</t>
        </is>
      </c>
      <c r="F5611" t="inlineStr">
        <is>
          <t>Hà Nội, Quảng Ninh, Thừa Thiên Huế</t>
        </is>
      </c>
      <c r="G5611" t="inlineStr">
        <is>
          <t>Nhân viên</t>
        </is>
      </c>
      <c r="H5611" t="inlineStr">
        <is>
          <t>14/01/2026</t>
        </is>
      </c>
      <c r="I5611" t="inlineStr">
        <is>
          <t>01/04/2026</t>
        </is>
      </c>
      <c r="J5611" t="inlineStr">
        <is>
          <t>17/03/2026</t>
        </is>
      </c>
      <c r="K5611" t="inlineStr">
        <is>
          <t>N/A</t>
        </is>
      </c>
      <c r="L5611" t="inlineStr">
        <is>
          <t>Xử Lý Nợ Xấu, Thu Hồi Nợ Pháp Lý, Thu Hồi Công Nợ, ngân hàng, Luật</t>
        </is>
      </c>
      <c r="M5611" t="inlineStr">
        <is>
          <t>Bonus, Paid Leave, Travel Opportunities</t>
        </is>
      </c>
      <c r="N5611" s="8">
        <f>HYPERLINK("https://www.vietnamworks.com/chuyen-vien-cao-cap-xu-ly-no--2002354-jv","Xem chi tiết")</f>
        <v/>
      </c>
    </row>
    <row r="5612">
      <c r="B5612" s="9" t="n">
        <v>5610</v>
      </c>
      <c r="C5612" s="10" t="inlineStr">
        <is>
          <t>Chuyên Viên Cao Cấp Phân Tích Nghiệp Vụ (HCM Payroll)</t>
        </is>
      </c>
      <c r="D5612" s="10" t="inlineStr">
        <is>
          <t>Novaland</t>
        </is>
      </c>
      <c r="E5612" s="10" t="inlineStr">
        <is>
          <t>Thương lượng</t>
        </is>
      </c>
      <c r="F5612" s="10" t="inlineStr">
        <is>
          <t>Hồ Chí Minh</t>
        </is>
      </c>
      <c r="G5612" s="10" t="inlineStr">
        <is>
          <t>Nhân viên</t>
        </is>
      </c>
      <c r="H5612" s="10" t="inlineStr">
        <is>
          <t>14/01/2026</t>
        </is>
      </c>
      <c r="I5612" s="10" t="inlineStr">
        <is>
          <t>01/04/2026</t>
        </is>
      </c>
      <c r="J5612" s="10" t="inlineStr">
        <is>
          <t>17/03/2026</t>
        </is>
      </c>
      <c r="K5612" s="10" t="inlineStr">
        <is>
          <t>N/A</t>
        </is>
      </c>
      <c r="L5612" s="10" t="inlineStr">
        <is>
          <t>Công Nghệ Thông Tin, Phân Tích Nghiệp Vụ, business analyst, Payroll</t>
        </is>
      </c>
      <c r="M5612" s="10" t="inlineStr">
        <is>
          <t>Bonus, Healthcare Plan, Awards</t>
        </is>
      </c>
      <c r="N5612" s="11">
        <f>HYPERLINK("https://www.vietnamworks.com/chuyen-vien-cao-cap-phan-tich-nghiep-vu-hcm-payroll-2002368-jv","Xem chi tiết")</f>
        <v/>
      </c>
      <c r="O5612" s="10" t="n"/>
    </row>
    <row r="5613">
      <c r="B5613" s="7" t="n">
        <v>5611</v>
      </c>
      <c r="C5613" t="inlineStr">
        <is>
          <t>Senior Consultant | Cloud &amp; IT Infrastructure in Hanoi Office</t>
        </is>
      </c>
      <c r="D5613" t="inlineStr">
        <is>
          <t>Ernst &amp; Young Vietnam Limited (EY Vietnam)</t>
        </is>
      </c>
      <c r="E5613" t="inlineStr">
        <is>
          <t>Thương lượng</t>
        </is>
      </c>
      <c r="F5613" t="inlineStr">
        <is>
          <t>Hà Nội</t>
        </is>
      </c>
      <c r="G5613" t="inlineStr">
        <is>
          <t>Nhân viên</t>
        </is>
      </c>
      <c r="H5613" t="inlineStr">
        <is>
          <t>14/01/2026</t>
        </is>
      </c>
      <c r="I5613" t="inlineStr">
        <is>
          <t>01/04/2026</t>
        </is>
      </c>
      <c r="J5613" t="inlineStr">
        <is>
          <t>17/03/2026</t>
        </is>
      </c>
      <c r="K5613" t="inlineStr">
        <is>
          <t>N/A</t>
        </is>
      </c>
      <c r="L5613" t="inlineStr">
        <is>
          <t>AWS, MS Azure, Oracle Cloud, Databricks, Snowflake</t>
        </is>
      </c>
      <c r="M5613" t="inlineStr">
        <is>
          <t>Bonus, Awards, Others</t>
        </is>
      </c>
      <c r="N5613" s="8">
        <f>HYPERLINK("https://www.vietnamworks.com/senior-consultant-cloud-it-infrastructure-in-hanoi-office-2002488-jv","Xem chi tiết")</f>
        <v/>
      </c>
    </row>
    <row r="5614">
      <c r="B5614" s="9" t="n">
        <v>5612</v>
      </c>
      <c r="C5614" s="10" t="inlineStr">
        <is>
          <t>QA Supervisor - Dong Nai (8-Month Contract)</t>
        </is>
      </c>
      <c r="D5614" s="10" t="inlineStr">
        <is>
          <t>DHL Supply Chain</t>
        </is>
      </c>
      <c r="E5614" s="10" t="inlineStr">
        <is>
          <t>Thương lượng</t>
        </is>
      </c>
      <c r="F5614" s="10" t="inlineStr">
        <is>
          <t>Đồng Nai</t>
        </is>
      </c>
      <c r="G5614" s="10" t="inlineStr">
        <is>
          <t>Nhân viên</t>
        </is>
      </c>
      <c r="H5614" s="10" t="inlineStr">
        <is>
          <t>14/01/2026</t>
        </is>
      </c>
      <c r="I5614" s="10" t="inlineStr">
        <is>
          <t>01/04/2026</t>
        </is>
      </c>
      <c r="J5614" s="10" t="inlineStr">
        <is>
          <t>17/03/2026</t>
        </is>
      </c>
      <c r="K5614" s="10" t="inlineStr">
        <is>
          <t>N/A</t>
        </is>
      </c>
      <c r="L5614" s="10" t="inlineStr">
        <is>
          <t>Quality assuance, CAPA, Supply Chain, QA, Quality Management</t>
        </is>
      </c>
      <c r="M5614" s="10" t="inlineStr">
        <is>
          <t>Bonus, Training, Others</t>
        </is>
      </c>
      <c r="N5614" s="11">
        <f>HYPERLINK("https://www.vietnamworks.com/qa-supervisor-dong-nai-8-month-contract-2002446-jv","Xem chi tiết")</f>
        <v/>
      </c>
      <c r="O5614" s="10" t="n"/>
    </row>
    <row r="5615">
      <c r="B5615" s="7" t="n">
        <v>5613</v>
      </c>
      <c r="C5615" t="inlineStr">
        <is>
          <t>Cost Accountant</t>
        </is>
      </c>
      <c r="D5615" t="inlineStr">
        <is>
          <t>Công ty TNHH BIGL Việt Nam</t>
        </is>
      </c>
      <c r="E5615" t="inlineStr">
        <is>
          <t>20tr-30tr ₫/tháng</t>
        </is>
      </c>
      <c r="F5615" t="inlineStr">
        <is>
          <t>Thái Nguyên, Bắc Ninh, Hà Nội</t>
        </is>
      </c>
      <c r="G5615" t="inlineStr">
        <is>
          <t>Nhân viên</t>
        </is>
      </c>
      <c r="H5615" t="inlineStr">
        <is>
          <t>14/01/2026</t>
        </is>
      </c>
      <c r="I5615" t="inlineStr">
        <is>
          <t>01/04/2026</t>
        </is>
      </c>
      <c r="J5615" t="inlineStr">
        <is>
          <t>17/03/2026</t>
        </is>
      </c>
      <c r="K5615" t="inlineStr">
        <is>
          <t>N/A</t>
        </is>
      </c>
      <c r="L5615" t="inlineStr">
        <is>
          <t>Cost Accounting, Process Costing, Finance Accounting, Manufacturing, General Accounting</t>
        </is>
      </c>
      <c r="M5615" t="inlineStr">
        <is>
          <t>Bonus, Healthcare Plan, Transportation</t>
        </is>
      </c>
      <c r="N5615" s="8">
        <f>HYPERLINK("https://www.vietnamworks.com/cost-accountant-2002535-jv","Xem chi tiết")</f>
        <v/>
      </c>
    </row>
    <row r="5616">
      <c r="B5616" s="9" t="n">
        <v>5614</v>
      </c>
      <c r="C5616" s="10" t="inlineStr">
        <is>
          <t>Giám Sát Tiếp Thị Kênh Truyền Thống (GT) - Ngành Sữa Abbott</t>
        </is>
      </c>
      <c r="D5616" s="10" t="inlineStr">
        <is>
          <t>Abbott</t>
        </is>
      </c>
      <c r="E5616" s="10" t="inlineStr">
        <is>
          <t>Thương lượng</t>
        </is>
      </c>
      <c r="F5616" s="10" t="inlineStr">
        <is>
          <t>Đồng Tháp, Bến Tre, Tiền Giang</t>
        </is>
      </c>
      <c r="G5616" s="10" t="inlineStr">
        <is>
          <t>Trưởng phòng</t>
        </is>
      </c>
      <c r="H5616" s="10" t="inlineStr">
        <is>
          <t>14/01/2026</t>
        </is>
      </c>
      <c r="I5616" s="10" t="inlineStr">
        <is>
          <t>01/04/2026</t>
        </is>
      </c>
      <c r="J5616" s="10" t="inlineStr">
        <is>
          <t>17/03/2026</t>
        </is>
      </c>
      <c r="K5616" s="10" t="inlineStr">
        <is>
          <t>N/A</t>
        </is>
      </c>
      <c r="L5616" s="10" t="inlineStr">
        <is>
          <t>Giám Sát Bán Hàng, Trade Management, Sales Supervisor, PG Training, Giám Sát Kênh Phân Phối</t>
        </is>
      </c>
      <c r="M5616" s="10" t="inlineStr">
        <is>
          <t>Bonus, Healthcare Plan, Training</t>
        </is>
      </c>
      <c r="N5616" s="11">
        <f>HYPERLINK("https://www.vietnamworks.com/giam-sat-tiep-thi-kenh-truyen-thong-gt-nganh-sua-abbott--2002590-jv","Xem chi tiết")</f>
        <v/>
      </c>
      <c r="O5616" s="10" t="n"/>
    </row>
    <row r="5617">
      <c r="B5617" s="7" t="n">
        <v>5615</v>
      </c>
      <c r="C5617" t="inlineStr">
        <is>
          <t>Production Supervisor</t>
        </is>
      </c>
      <c r="D5617" t="inlineStr">
        <is>
          <t>Công ty TNHH BIGL Việt Nam</t>
        </is>
      </c>
      <c r="E5617" t="inlineStr">
        <is>
          <t>35tr-40tr ₫/tháng</t>
        </is>
      </c>
      <c r="F5617" t="inlineStr">
        <is>
          <t>Thái Nguyên, Bắc Ninh, Hà Nội</t>
        </is>
      </c>
      <c r="G5617" t="inlineStr">
        <is>
          <t>Nhân viên</t>
        </is>
      </c>
      <c r="H5617" t="inlineStr">
        <is>
          <t>14/01/2026</t>
        </is>
      </c>
      <c r="I5617" t="inlineStr">
        <is>
          <t>01/04/2026</t>
        </is>
      </c>
      <c r="J5617" t="inlineStr">
        <is>
          <t>17/03/2026</t>
        </is>
      </c>
      <c r="K5617" t="inlineStr">
        <is>
          <t>N/A</t>
        </is>
      </c>
      <c r="L5617" t="inlineStr">
        <is>
          <t>Die Casting, CNC Manufacturing, Production Planning, Quality Control, Production Supervisor</t>
        </is>
      </c>
      <c r="M5617" t="inlineStr">
        <is>
          <t>Bonus, Healthcare Plan, Transportation, Canteen, Others</t>
        </is>
      </c>
      <c r="N5617" s="8">
        <f>HYPERLINK("https://www.vietnamworks.com/production-supervisor-2002530-jv","Xem chi tiết")</f>
        <v/>
      </c>
    </row>
    <row r="5618">
      <c r="B5618" s="9" t="n">
        <v>5616</v>
      </c>
      <c r="C5618" s="10" t="inlineStr">
        <is>
          <t>Recruitment Executive</t>
        </is>
      </c>
      <c r="D5618" s="10" t="inlineStr">
        <is>
          <t>Công Ty TNHH Yusen Logistics (Việt Nam)</t>
        </is>
      </c>
      <c r="E5618" s="10" t="inlineStr">
        <is>
          <t>Thương lượng</t>
        </is>
      </c>
      <c r="F5618" s="10" t="inlineStr">
        <is>
          <t>Hà Nội</t>
        </is>
      </c>
      <c r="G5618" s="10" t="inlineStr">
        <is>
          <t>Nhân viên</t>
        </is>
      </c>
      <c r="H5618" s="10" t="inlineStr">
        <is>
          <t>14/01/2026</t>
        </is>
      </c>
      <c r="I5618" s="10" t="inlineStr">
        <is>
          <t>01/04/2026</t>
        </is>
      </c>
      <c r="J5618" s="10" t="inlineStr">
        <is>
          <t>17/03/2026</t>
        </is>
      </c>
      <c r="K5618" s="10" t="inlineStr">
        <is>
          <t>N/A</t>
        </is>
      </c>
      <c r="L5618" s="10" t="inlineStr">
        <is>
          <t>Tuyển Dụng, Talent Acquisition, Recruitment, Nhân Sự, HR</t>
        </is>
      </c>
      <c r="M5618" s="10" t="inlineStr">
        <is>
          <t>Bonus, Healthcare Plan, Others</t>
        </is>
      </c>
      <c r="N5618" s="11">
        <f>HYPERLINK("https://www.vietnamworks.com/recruitment-executive--2002581-jv","Xem chi tiết")</f>
        <v/>
      </c>
      <c r="O5618" s="10" t="n"/>
    </row>
    <row r="5619">
      <c r="B5619" s="7" t="n">
        <v>5617</v>
      </c>
      <c r="C5619" t="inlineStr">
        <is>
          <t>Kỹ Sư</t>
        </is>
      </c>
      <c r="D5619" t="inlineStr">
        <is>
          <t>Công Ty Cổ Phần Thương Mại Cổng Vàng</t>
        </is>
      </c>
      <c r="E5619" t="inlineStr">
        <is>
          <t>$$ 800-1,500 /tháng</t>
        </is>
      </c>
      <c r="F5619" t="inlineStr">
        <is>
          <t>Hà Nội</t>
        </is>
      </c>
      <c r="G5619" t="inlineStr">
        <is>
          <t>Nhân viên</t>
        </is>
      </c>
      <c r="H5619" t="inlineStr">
        <is>
          <t>14/01/2026</t>
        </is>
      </c>
      <c r="I5619" t="inlineStr">
        <is>
          <t>01/04/2026</t>
        </is>
      </c>
      <c r="J5619" t="inlineStr">
        <is>
          <t>17/03/2026</t>
        </is>
      </c>
      <c r="K5619" t="inlineStr">
        <is>
          <t>N/A</t>
        </is>
      </c>
      <c r="L5619" t="inlineStr">
        <is>
          <t>AutoCAD 3D, Giao Tiếp, Kỹ Thuật Y Sinh, Kỹ Thuật Điện, Tự Động Hóa</t>
        </is>
      </c>
      <c r="M5619" t="inlineStr">
        <is>
          <t>Bonus, Healthcare Plan, Training, Team Activities</t>
        </is>
      </c>
      <c r="N5619" s="8">
        <f>HYPERLINK("https://www.vietnamworks.com/ky-su--2002612-jv","Xem chi tiết")</f>
        <v/>
      </c>
    </row>
    <row r="5620">
      <c r="B5620" s="9" t="n">
        <v>5618</v>
      </c>
      <c r="C5620" s="10" t="inlineStr">
        <is>
          <t>Forwarding Operation Executive</t>
        </is>
      </c>
      <c r="D5620" s="10" t="inlineStr">
        <is>
          <t>CÔNG TY TNHH SALT INTERNATIONAL VIETNAM</t>
        </is>
      </c>
      <c r="E5620" s="10" t="inlineStr">
        <is>
          <t>Thương lượng</t>
        </is>
      </c>
      <c r="F5620" s="10" t="inlineStr">
        <is>
          <t>Hồ Chí Minh, Hà Nội</t>
        </is>
      </c>
      <c r="G5620" s="10" t="inlineStr">
        <is>
          <t>Mới Tốt Nghiệp</t>
        </is>
      </c>
      <c r="H5620" s="10" t="inlineStr">
        <is>
          <t>14/01/2026</t>
        </is>
      </c>
      <c r="I5620" s="10" t="inlineStr">
        <is>
          <t>01/04/2026</t>
        </is>
      </c>
      <c r="J5620" s="10" t="inlineStr">
        <is>
          <t>17/03/2026</t>
        </is>
      </c>
      <c r="K5620" s="10" t="inlineStr">
        <is>
          <t>N/A</t>
        </is>
      </c>
      <c r="L5620" s="10" t="inlineStr">
        <is>
          <t>Import-Export Procedure, Logistics Control, English Language Proficiency, Freight Forwarding, Shipment Management</t>
        </is>
      </c>
      <c r="M5620" s="10" t="inlineStr">
        <is>
          <t>Bonus, Healthcare Plan, Others</t>
        </is>
      </c>
      <c r="N5620" s="11">
        <f>HYPERLINK("https://www.vietnamworks.com/forwarding-operation-executive-2002582-jv","Xem chi tiết")</f>
        <v/>
      </c>
      <c r="O5620" s="10" t="n"/>
    </row>
    <row r="5621">
      <c r="B5621" s="7" t="n">
        <v>5619</v>
      </c>
      <c r="C5621" t="inlineStr">
        <is>
          <t>Chuyên Gia/Chuyên viên Cao cấp Xây Dựng &amp; Số Hóa Quy Trình</t>
        </is>
      </c>
      <c r="D5621" t="inlineStr">
        <is>
          <t>CÔNG TY CỔ PHẦN TẬP ĐOÀN ĐẦU TƯ EMIR</t>
        </is>
      </c>
      <c r="E5621" t="inlineStr">
        <is>
          <t>20tr-30tr ₫/tháng</t>
        </is>
      </c>
      <c r="F5621" t="inlineStr">
        <is>
          <t>Hà Nội</t>
        </is>
      </c>
      <c r="G5621" t="inlineStr">
        <is>
          <t>Nhân viên</t>
        </is>
      </c>
      <c r="H5621" t="inlineStr">
        <is>
          <t>14/01/2026</t>
        </is>
      </c>
      <c r="I5621" t="inlineStr">
        <is>
          <t>01/04/2026</t>
        </is>
      </c>
      <c r="J5621" t="inlineStr">
        <is>
          <t>17/03/2026</t>
        </is>
      </c>
      <c r="K5621" t="inlineStr">
        <is>
          <t>N/A</t>
        </is>
      </c>
      <c r="L5621" t="inlineStr">
        <is>
          <t>Kiểm Soát Nội Bộ, Phát Triển Sản Phẩm, Quản Lý Tín Dụng, Xây Dựng Quy Trình, Xây Dựng Chính Sách</t>
        </is>
      </c>
      <c r="M5621" t="inlineStr">
        <is>
          <t>Bonus, Healthcare Plan, Training, Team Activities, Others</t>
        </is>
      </c>
      <c r="N5621" s="8">
        <f>HYPERLINK("https://www.vietnamworks.com/chuyen-giachuyen-vien-cao-cap-xay-dung-and-so-hoa-quy-trinh-2002746-jv","Xem chi tiết")</f>
        <v/>
      </c>
    </row>
    <row r="5622">
      <c r="B5622" s="9" t="n">
        <v>5620</v>
      </c>
      <c r="C5622" s="10" t="inlineStr">
        <is>
          <t>Chuyên Viên Nhân Sự</t>
        </is>
      </c>
      <c r="D5622" s="10" t="inlineStr">
        <is>
          <t>Công Ty Cổ Phần Khu Công Nghiệp Tổ Hợp Công Nghệ Thành Công Việt Hưng (Thành Công Việt Hưng)</t>
        </is>
      </c>
      <c r="E5622" s="10" t="inlineStr">
        <is>
          <t>$$ 400-600 /tháng</t>
        </is>
      </c>
      <c r="F5622" s="10" t="inlineStr">
        <is>
          <t>Quảng Ninh</t>
        </is>
      </c>
      <c r="G5622" s="10" t="inlineStr">
        <is>
          <t>Nhân viên</t>
        </is>
      </c>
      <c r="H5622" s="10" t="inlineStr">
        <is>
          <t>14/01/2026</t>
        </is>
      </c>
      <c r="I5622" s="10" t="inlineStr">
        <is>
          <t>01/04/2026</t>
        </is>
      </c>
      <c r="J5622" s="10" t="inlineStr">
        <is>
          <t>17/03/2026</t>
        </is>
      </c>
      <c r="K5622" s="10" t="inlineStr">
        <is>
          <t>N/A</t>
        </is>
      </c>
      <c r="L5622" s="10" t="inlineStr">
        <is>
          <t>Tin Học Văn Phòng (Word- Excel- Powerpoint), Thuyết Trình, Canva &amp; Capcut, Lập Kế Hoạch</t>
        </is>
      </c>
      <c r="M5622" s="10" t="inlineStr">
        <is>
          <t>Bonus, Healthcare Plan, Others</t>
        </is>
      </c>
      <c r="N5622" s="11">
        <f>HYPERLINK("https://www.vietnamworks.com/chuyen-vien-nhan-su--2002769-jv","Xem chi tiết")</f>
        <v/>
      </c>
      <c r="O5622" s="10" t="n"/>
    </row>
    <row r="5623">
      <c r="B5623" s="7" t="n">
        <v>5621</v>
      </c>
      <c r="C5623" t="inlineStr">
        <is>
          <t>Key Account Executive (Vaccine) - Hà Nội/ Hưng Yên/ Nghệ An</t>
        </is>
      </c>
      <c r="D5623" t="inlineStr">
        <is>
          <t>Abbott</t>
        </is>
      </c>
      <c r="E5623" t="inlineStr">
        <is>
          <t>Thương lượng</t>
        </is>
      </c>
      <c r="F5623" t="inlineStr">
        <is>
          <t>Hà Nội, Nghệ An, Hưng Yên</t>
        </is>
      </c>
      <c r="G5623" t="inlineStr">
        <is>
          <t>Nhân viên</t>
        </is>
      </c>
      <c r="H5623" t="inlineStr">
        <is>
          <t>14/01/2026</t>
        </is>
      </c>
      <c r="I5623" t="inlineStr">
        <is>
          <t>01/04/2026</t>
        </is>
      </c>
      <c r="J5623" t="inlineStr">
        <is>
          <t>17/03/2026</t>
        </is>
      </c>
      <c r="K5623" t="inlineStr">
        <is>
          <t>N/A</t>
        </is>
      </c>
      <c r="L5623" t="inlineStr">
        <is>
          <t>Pharmaceutical Sales, Sales &amp; Partnership Management, Tender Management, Territory Management, Vaccine Portfolio Management</t>
        </is>
      </c>
      <c r="M5623" t="inlineStr">
        <is>
          <t>Bonus, Healthcare Plan, Training</t>
        </is>
      </c>
      <c r="N5623" s="8">
        <f>HYPERLINK("https://www.vietnamworks.com/key-account-executive-vaccine-ha-noi-hung-yen-nghe-an-2002620-jv","Xem chi tiết")</f>
        <v/>
      </c>
    </row>
    <row r="5624">
      <c r="B5624" s="9" t="n">
        <v>5622</v>
      </c>
      <c r="C5624" s="10" t="inlineStr">
        <is>
          <t>Nhân viên kinh doanh (Thiết bị Y tế/Dược phẩm)</t>
        </is>
      </c>
      <c r="D5624" s="10" t="inlineStr">
        <is>
          <t>Công Ty Cổ Phần Thương Mại Cổng Vàng</t>
        </is>
      </c>
      <c r="E5624" s="10" t="inlineStr">
        <is>
          <t>$$ 500-1,000 /tháng</t>
        </is>
      </c>
      <c r="F5624" s="10" t="inlineStr">
        <is>
          <t>Hà Nội, Hải Phòng, Hồ Chí Minh</t>
        </is>
      </c>
      <c r="G5624" s="10" t="inlineStr">
        <is>
          <t>Nhân viên</t>
        </is>
      </c>
      <c r="H5624" s="10" t="inlineStr">
        <is>
          <t>14/01/2026</t>
        </is>
      </c>
      <c r="I5624" s="10" t="inlineStr">
        <is>
          <t>01/04/2026</t>
        </is>
      </c>
      <c r="J5624" s="10" t="inlineStr">
        <is>
          <t>17/03/2026</t>
        </is>
      </c>
      <c r="K5624" s="10" t="inlineStr">
        <is>
          <t>N/A</t>
        </is>
      </c>
      <c r="L5624" s="10" t="inlineStr">
        <is>
          <t>Giao Tiếp Tiếng Anh, Ham Học Hỏi, Kinh Doanh, Kỹ năng bán hàng</t>
        </is>
      </c>
      <c r="M5624" s="10" t="inlineStr">
        <is>
          <t>Healthcare Plan, Training, Team Activities, Others</t>
        </is>
      </c>
      <c r="N5624" s="11">
        <f>HYPERLINK("https://www.vietnamworks.com/nhan-vien-kinh-doanh-thiet-bi-y-teduoc-pham-2002619-jv","Xem chi tiết")</f>
        <v/>
      </c>
      <c r="O5624" s="10" t="n"/>
    </row>
    <row r="5625">
      <c r="B5625" s="7" t="n">
        <v>5623</v>
      </c>
      <c r="C5625" t="inlineStr">
        <is>
          <t>Kế Toán Trưởng</t>
        </is>
      </c>
      <c r="D5625" t="inlineStr">
        <is>
          <t>Công ty TNHH Kỹ thuật Kenta Việt Nam</t>
        </is>
      </c>
      <c r="E5625" t="inlineStr">
        <is>
          <t>Thương lượng</t>
        </is>
      </c>
      <c r="F5625" t="inlineStr">
        <is>
          <t>Hưng Yên, Hà Nội</t>
        </is>
      </c>
      <c r="G5625" t="inlineStr">
        <is>
          <t>Nhân viên</t>
        </is>
      </c>
      <c r="H5625" t="inlineStr">
        <is>
          <t>14/01/2026</t>
        </is>
      </c>
      <c r="I5625" t="inlineStr">
        <is>
          <t>01/04/2026</t>
        </is>
      </c>
      <c r="J5625" t="inlineStr">
        <is>
          <t>17/03/2026</t>
        </is>
      </c>
      <c r="K5625" t="inlineStr">
        <is>
          <t>N/A</t>
        </is>
      </c>
      <c r="L5625" t="inlineStr">
        <is>
          <t>Theo Dõi Công Nợ, Lập Báo Cáo Tài Chính, Misa, Nghiệp Vụ Kế Toán, Quyết Toán Thuế</t>
        </is>
      </c>
      <c r="M5625" t="inlineStr">
        <is>
          <t>Bonus, Healthcare Plan, Paid Leave, Training, Laptop, Others</t>
        </is>
      </c>
      <c r="N5625" s="8">
        <f>HYPERLINK("https://www.vietnamworks.com/ke-toan-truong-2002604-jv","Xem chi tiết")</f>
        <v/>
      </c>
    </row>
    <row r="5626">
      <c r="B5626" s="9" t="n">
        <v>5624</v>
      </c>
      <c r="C5626" s="10" t="inlineStr">
        <is>
          <t>Giám Đốc Ẩm Thực</t>
        </is>
      </c>
      <c r="D5626" s="10" t="inlineStr">
        <is>
          <t>Công Ty Cổ Phần Đầu Tư Long Biên</t>
        </is>
      </c>
      <c r="E5626" s="10" t="inlineStr">
        <is>
          <t>50tr-60tr ₫/tháng</t>
        </is>
      </c>
      <c r="F5626" s="10" t="inlineStr">
        <is>
          <t>Hà Nội</t>
        </is>
      </c>
      <c r="G5626" s="10" t="inlineStr">
        <is>
          <t>Giám Đốc và Cấp Cao Hơn</t>
        </is>
      </c>
      <c r="H5626" s="10" t="inlineStr">
        <is>
          <t>15/01/2026</t>
        </is>
      </c>
      <c r="I5626" s="10" t="inlineStr">
        <is>
          <t>01/04/2026</t>
        </is>
      </c>
      <c r="J5626" s="10" t="inlineStr">
        <is>
          <t>17/03/2026</t>
        </is>
      </c>
      <c r="K5626" s="10" t="inlineStr">
        <is>
          <t>N/A</t>
        </is>
      </c>
      <c r="L5626" s="10" t="inlineStr">
        <is>
          <t>Ẩm thực, Lập Kế Hoạch Kinh Doanh, Quản Lý Khách Sạn, Tiếng Anh, F&amp;B</t>
        </is>
      </c>
      <c r="M5626" s="10" t="inlineStr">
        <is>
          <t>Bonus</t>
        </is>
      </c>
      <c r="N5626" s="11">
        <f>HYPERLINK("https://www.vietnamworks.com/giam-djoc-am-thuc-2002783-jv","Xem chi tiết")</f>
        <v/>
      </c>
      <c r="O5626" s="10" t="n"/>
    </row>
    <row r="5627">
      <c r="B5627" s="7" t="n">
        <v>5625</v>
      </c>
      <c r="C5627" t="inlineStr">
        <is>
          <t>SMT Service Engineer (Chinese Speaking)</t>
        </is>
      </c>
      <c r="D5627" t="inlineStr">
        <is>
          <t>Panasonic Vietnam Co.,LTD</t>
        </is>
      </c>
      <c r="E5627" t="inlineStr">
        <is>
          <t>Thương lượng</t>
        </is>
      </c>
      <c r="F5627" t="inlineStr">
        <is>
          <t>Hà Nội</t>
        </is>
      </c>
      <c r="G5627" t="inlineStr">
        <is>
          <t>Nhân viên</t>
        </is>
      </c>
      <c r="H5627" t="inlineStr">
        <is>
          <t>15/01/2026</t>
        </is>
      </c>
      <c r="I5627" t="inlineStr">
        <is>
          <t>01/04/2026</t>
        </is>
      </c>
      <c r="J5627" t="inlineStr">
        <is>
          <t>17/03/2026</t>
        </is>
      </c>
      <c r="K5627" t="inlineStr">
        <is>
          <t>N/A</t>
        </is>
      </c>
      <c r="L5627" t="inlineStr">
        <is>
          <t>Chinese, Technical Engineering, Electronics, Semiconductor, Electric</t>
        </is>
      </c>
      <c r="M5627" t="inlineStr">
        <is>
          <t>Bonus, Training, Transportation</t>
        </is>
      </c>
      <c r="N5627" s="8">
        <f>HYPERLINK("https://www.vietnamworks.com/smt-service-engineer-chinese-speaking--2002911-jv","Xem chi tiết")</f>
        <v/>
      </c>
    </row>
    <row r="5628">
      <c r="B5628" s="9" t="n">
        <v>5626</v>
      </c>
      <c r="C5628" s="10" t="inlineStr">
        <is>
          <t>Chuyên Viên Cao Cấp Tuyển Dụng và Quan Hệ Lao Động</t>
        </is>
      </c>
      <c r="D5628" s="10" t="inlineStr">
        <is>
          <t>Công Ty Cổ Phần Chứng Khoán Dầu Khí (Psi)</t>
        </is>
      </c>
      <c r="E5628" s="10" t="inlineStr">
        <is>
          <t>Thương lượng</t>
        </is>
      </c>
      <c r="F5628" s="10" t="inlineStr">
        <is>
          <t>Hà Nội</t>
        </is>
      </c>
      <c r="G5628" s="10" t="inlineStr">
        <is>
          <t>Nhân viên</t>
        </is>
      </c>
      <c r="H5628" s="10" t="inlineStr">
        <is>
          <t>15/01/2026</t>
        </is>
      </c>
      <c r="I5628" s="10" t="inlineStr">
        <is>
          <t>01/04/2026</t>
        </is>
      </c>
      <c r="J5628" s="10" t="inlineStr">
        <is>
          <t>17/03/2026</t>
        </is>
      </c>
      <c r="K5628" s="10" t="inlineStr">
        <is>
          <t>N/A</t>
        </is>
      </c>
      <c r="L5628" s="10" t="inlineStr">
        <is>
          <t>Tuyển Dụng, C&amp;B, Luật Lao Động, Nhân Sự, Quan Hệ Lao Động</t>
        </is>
      </c>
      <c r="M5628" s="10" t="inlineStr">
        <is>
          <t>Bonus, Healthcare Plan, Training, Canteen</t>
        </is>
      </c>
      <c r="N5628" s="11">
        <f>HYPERLINK("https://www.vietnamworks.com/chuyen-vien-cao-cap-tuyen-dung-va-quan-he-lao-djong-2002879-jv","Xem chi tiết")</f>
        <v/>
      </c>
      <c r="O5628" s="10" t="n"/>
    </row>
    <row r="5629">
      <c r="B5629" s="7" t="n">
        <v>5627</v>
      </c>
      <c r="C5629" t="inlineStr">
        <is>
          <t>LOGISTICS Staff (Upto 850$)</t>
        </is>
      </c>
      <c r="D5629" t="inlineStr">
        <is>
          <t>Misumi Vietnam Co., Ltd</t>
        </is>
      </c>
      <c r="E5629" t="inlineStr">
        <is>
          <t>$$ 600-850 /tháng</t>
        </is>
      </c>
      <c r="F5629" t="inlineStr">
        <is>
          <t>Bắc Ninh</t>
        </is>
      </c>
      <c r="G5629" t="inlineStr">
        <is>
          <t>Nhân viên</t>
        </is>
      </c>
      <c r="H5629" t="inlineStr">
        <is>
          <t>15/01/2026</t>
        </is>
      </c>
      <c r="I5629" t="inlineStr">
        <is>
          <t>01/04/2026</t>
        </is>
      </c>
      <c r="J5629" t="inlineStr">
        <is>
          <t>17/03/2026</t>
        </is>
      </c>
      <c r="K5629" t="inlineStr">
        <is>
          <t>N/A</t>
        </is>
      </c>
      <c r="L5629" t="inlineStr">
        <is>
          <t>Analytical Skills, Computer Skills, Customs Procedures, English Communication, Logical Thinking</t>
        </is>
      </c>
      <c r="M5629" t="inlineStr">
        <is>
          <t>Bonus, Healthcare Plan, Training, Team Activities</t>
        </is>
      </c>
      <c r="N5629" s="8">
        <f>HYPERLINK("https://www.vietnamworks.com/logistics-staff-upto-850dollar-2002882-jv","Xem chi tiết")</f>
        <v/>
      </c>
    </row>
    <row r="5630">
      <c r="B5630" s="9" t="n">
        <v>5628</v>
      </c>
      <c r="C5630" s="10" t="inlineStr">
        <is>
          <t>Nhân Viên Chăm Sóc Khách Hàng</t>
        </is>
      </c>
      <c r="D5630" s="10" t="inlineStr">
        <is>
          <t>CÔNG TY CỔ PHẦN SMART HUB AVIATION</t>
        </is>
      </c>
      <c r="E5630" s="10" t="inlineStr">
        <is>
          <t>Thương lượng</t>
        </is>
      </c>
      <c r="F5630" s="10" t="inlineStr">
        <is>
          <t>Hà Nội</t>
        </is>
      </c>
      <c r="G5630" s="10" t="inlineStr">
        <is>
          <t>Nhân viên</t>
        </is>
      </c>
      <c r="H5630" s="10" t="inlineStr">
        <is>
          <t>15/01/2026</t>
        </is>
      </c>
      <c r="I5630" s="10" t="inlineStr">
        <is>
          <t>01/04/2026</t>
        </is>
      </c>
      <c r="J5630" s="10" t="inlineStr">
        <is>
          <t>17/03/2026</t>
        </is>
      </c>
      <c r="K5630" s="10" t="inlineStr">
        <is>
          <t>N/A</t>
        </is>
      </c>
      <c r="L5630" s="10" t="inlineStr">
        <is>
          <t>Xuất Nhập Khẩu, Logistics, Customer Service, Chăm Sóc Khách Hàng, Freight Forwarding</t>
        </is>
      </c>
      <c r="M5630" s="10" t="inlineStr">
        <is>
          <t>Bonus</t>
        </is>
      </c>
      <c r="N5630" s="11">
        <f>HYPERLINK("https://www.vietnamworks.com/nhan-vien-cham-soc-khach-hang--2002867-jv","Xem chi tiết")</f>
        <v/>
      </c>
      <c r="O5630" s="10" t="n"/>
    </row>
    <row r="5631">
      <c r="B5631" s="7" t="n">
        <v>5629</v>
      </c>
      <c r="C5631" t="inlineStr">
        <is>
          <t>Nhân Viên Kinh Doanh Dược Phẩm (Pharmaceutical Sales Executive)</t>
        </is>
      </c>
      <c r="D5631" t="inlineStr">
        <is>
          <t>Công Ty TNHH Thương Mại Dược Phẩm Quốc Tế Hưng Thịnh</t>
        </is>
      </c>
      <c r="E5631" t="inlineStr">
        <is>
          <t>Thương lượng</t>
        </is>
      </c>
      <c r="F5631" t="inlineStr">
        <is>
          <t>Hồ Chí Minh</t>
        </is>
      </c>
      <c r="G5631" t="inlineStr">
        <is>
          <t>Nhân viên</t>
        </is>
      </c>
      <c r="H5631" t="inlineStr">
        <is>
          <t>15/01/2026</t>
        </is>
      </c>
      <c r="I5631" t="inlineStr">
        <is>
          <t>01/04/2026</t>
        </is>
      </c>
      <c r="J5631" t="inlineStr">
        <is>
          <t>17/03/2026</t>
        </is>
      </c>
      <c r="K5631" t="inlineStr">
        <is>
          <t>N/A</t>
        </is>
      </c>
      <c r="L5631" t="inlineStr">
        <is>
          <t>Dược, ETC, OTC, Quản Lý Kinh Doanh Dược Phẩm, Trình dược viên</t>
        </is>
      </c>
      <c r="M5631" t="inlineStr">
        <is>
          <t>Bonus, Healthcare Plan, Training, Team Activities, Others</t>
        </is>
      </c>
      <c r="N5631" s="8">
        <f>HYPERLINK("https://www.vietnamworks.com/nhan-vien-kinh-doanh-duoc-pham-pharmaceutical-sales-executive-2002795-jv","Xem chi tiết")</f>
        <v/>
      </c>
    </row>
    <row r="5632">
      <c r="B5632" s="9" t="n">
        <v>5630</v>
      </c>
      <c r="C5632" s="10" t="inlineStr">
        <is>
          <t>Giám Đốc Pháp Lý Dự Án (Legal Director)</t>
        </is>
      </c>
      <c r="D5632" s="10" t="inlineStr">
        <is>
          <t>Tổng Công Ty Phát Triển Đô Thị Kinh Bắc (KBC)</t>
        </is>
      </c>
      <c r="E5632" s="10" t="inlineStr">
        <is>
          <t>Thương lượng</t>
        </is>
      </c>
      <c r="F5632" s="10" t="inlineStr">
        <is>
          <t>Hà Nội, Hưng Yên</t>
        </is>
      </c>
      <c r="G5632" s="10" t="inlineStr">
        <is>
          <t>Giám Đốc và Cấp Cao Hơn</t>
        </is>
      </c>
      <c r="H5632" s="10" t="inlineStr">
        <is>
          <t>15/01/2026</t>
        </is>
      </c>
      <c r="I5632" s="10" t="inlineStr">
        <is>
          <t>01/04/2026</t>
        </is>
      </c>
      <c r="J5632" s="10" t="inlineStr">
        <is>
          <t>17/03/2026</t>
        </is>
      </c>
      <c r="K5632" s="10" t="inlineStr">
        <is>
          <t>N/A</t>
        </is>
      </c>
      <c r="L5632" s="10" t="inlineStr">
        <is>
          <t>Pháp Lý Dự Án, Pháp Lý Bất Động Sản, Pháp Lý Doanh Nghiệp, Pháp Lý Xây Dựng, Tư Vấn Pháp Lý</t>
        </is>
      </c>
      <c r="M5632" s="10" t="inlineStr">
        <is>
          <t>Bonus, Healthcare Plan, Travel Opportunities</t>
        </is>
      </c>
      <c r="N5632" s="11">
        <f>HYPERLINK("https://www.vietnamworks.com/giam-djoc-phap-ly-du-an-legal-director-2002835-jv","Xem chi tiết")</f>
        <v/>
      </c>
      <c r="O5632" s="10" t="n"/>
    </row>
    <row r="5633">
      <c r="B5633" s="7" t="n">
        <v>5631</v>
      </c>
      <c r="C5633" t="inlineStr">
        <is>
          <t>Cán Bộ Nhân Sự Phụ Trách C&amp;B</t>
        </is>
      </c>
      <c r="D5633" t="inlineStr">
        <is>
          <t>Tổ Chức Giáo Dục FPT</t>
        </is>
      </c>
      <c r="E5633" t="inlineStr">
        <is>
          <t>Thương lượng</t>
        </is>
      </c>
      <c r="F5633" t="inlineStr">
        <is>
          <t>Hà Nội</t>
        </is>
      </c>
      <c r="G5633" t="inlineStr">
        <is>
          <t>Nhân viên</t>
        </is>
      </c>
      <c r="H5633" t="inlineStr">
        <is>
          <t>14/01/2026</t>
        </is>
      </c>
      <c r="I5633" t="inlineStr">
        <is>
          <t>01/04/2026</t>
        </is>
      </c>
      <c r="J5633" t="inlineStr">
        <is>
          <t>17/03/2026</t>
        </is>
      </c>
      <c r="K5633" t="inlineStr">
        <is>
          <t>N/A</t>
        </is>
      </c>
      <c r="L5633" t="inlineStr">
        <is>
          <t>Giao Tiếp, Hợp Đồng Lao Động, Luật, Quản Trị Nguồn Nhân Lực, Tiếng Anh</t>
        </is>
      </c>
      <c r="M5633" t="inlineStr">
        <is>
          <t>Healthcare Plan, Training, Others</t>
        </is>
      </c>
      <c r="N5633" s="8">
        <f>HYPERLINK("https://www.vietnamworks.com/can-bo-nhan-su-phu-trach-candb-2002643-jv","Xem chi tiết")</f>
        <v/>
      </c>
    </row>
    <row r="5634">
      <c r="B5634" s="9" t="n">
        <v>5632</v>
      </c>
      <c r="C5634" s="10" t="inlineStr">
        <is>
          <t>[Long Thành] Kỹ Sư Quản Lý Tiến Độ và Giao Diện - Lương Upto 35 Triệu</t>
        </is>
      </c>
      <c r="D5634" s="10" t="inlineStr">
        <is>
          <t>Công Ty Cổ Phần Đầu Tư Xây Dựng Bất Động Sản Lanmak</t>
        </is>
      </c>
      <c r="E5634" s="10" t="inlineStr">
        <is>
          <t>20tr-35tr ₫/tháng</t>
        </is>
      </c>
      <c r="F5634" s="10" t="inlineStr">
        <is>
          <t>Đồng Nai</t>
        </is>
      </c>
      <c r="G5634" s="10" t="inlineStr">
        <is>
          <t>Nhân viên</t>
        </is>
      </c>
      <c r="H5634" s="10" t="inlineStr">
        <is>
          <t>15/01/2026</t>
        </is>
      </c>
      <c r="I5634" s="10" t="inlineStr">
        <is>
          <t>01/04/2026</t>
        </is>
      </c>
      <c r="J5634" s="10" t="inlineStr">
        <is>
          <t>17/03/2026</t>
        </is>
      </c>
      <c r="K5634" s="10" t="inlineStr">
        <is>
          <t>N/A</t>
        </is>
      </c>
      <c r="L5634" s="10" t="inlineStr">
        <is>
          <t>AutoCAD, Quản Lý Tiến Độ, Theo Dõi Tiến Độ, Quản Lý Dự Án, ETABS &amp; SAFE</t>
        </is>
      </c>
      <c r="M5634" s="10" t="inlineStr">
        <is>
          <t>Bonus, Healthcare Plan, Others</t>
        </is>
      </c>
      <c r="N5634" s="11">
        <f>HYPERLINK("https://www.vietnamworks.com/long-thanh-ky-su-quan-ly-tien-do-va-giao-dien-luong-upto-35-trieu-2002871-jv","Xem chi tiết")</f>
        <v/>
      </c>
      <c r="O5634" s="10" t="n"/>
    </row>
    <row r="5635">
      <c r="B5635" s="7" t="n">
        <v>5633</v>
      </c>
      <c r="C5635" t="inlineStr">
        <is>
          <t>Kế Toán Tổng Hợp - General Accounting (Upto 18 Triệu/tháng)</t>
        </is>
      </c>
      <c r="D5635" t="inlineStr">
        <is>
          <t>Công ty TNHH Thương mại Liza</t>
        </is>
      </c>
      <c r="E5635" t="inlineStr">
        <is>
          <t>Tới 18tr ₫/tháng</t>
        </is>
      </c>
      <c r="F5635" t="inlineStr">
        <is>
          <t>Hồ Chí Minh</t>
        </is>
      </c>
      <c r="G5635" t="inlineStr">
        <is>
          <t>Nhân viên</t>
        </is>
      </c>
      <c r="H5635" t="inlineStr">
        <is>
          <t>14/01/2026</t>
        </is>
      </c>
      <c r="I5635" t="inlineStr">
        <is>
          <t>01/04/2026</t>
        </is>
      </c>
      <c r="J5635" t="inlineStr">
        <is>
          <t>17/03/2026</t>
        </is>
      </c>
      <c r="K5635" t="inlineStr">
        <is>
          <t>N/A</t>
        </is>
      </c>
      <c r="L5635" t="inlineStr">
        <is>
          <t>Tài Chính Kế Toán, BRAVO, Báo Cáo Thuế, Theo Dõi Công Nợ, MISA Accounting Software</t>
        </is>
      </c>
      <c r="M5635" t="inlineStr">
        <is>
          <t>Bonus, Healthcare Plan</t>
        </is>
      </c>
      <c r="N5635" s="8">
        <f>HYPERLINK("https://www.vietnamworks.com/ke-toan-tong-hop-general-accounting-upto-18-trieu-thang-2002732-jv","Xem chi tiết")</f>
        <v/>
      </c>
    </row>
    <row r="5636">
      <c r="B5636" s="9" t="n">
        <v>5634</v>
      </c>
      <c r="C5636" s="10" t="inlineStr">
        <is>
          <t>Application Service Engineer</t>
        </is>
      </c>
      <c r="D5636" s="10" t="inlineStr">
        <is>
          <t>Panasonic Vietnam Co.,LTD</t>
        </is>
      </c>
      <c r="E5636" s="10" t="inlineStr">
        <is>
          <t>Thương lượng</t>
        </is>
      </c>
      <c r="F5636" s="10" t="inlineStr">
        <is>
          <t>Hà Nội</t>
        </is>
      </c>
      <c r="G5636" s="10" t="inlineStr">
        <is>
          <t>Nhân viên</t>
        </is>
      </c>
      <c r="H5636" s="10" t="inlineStr">
        <is>
          <t>15/01/2026</t>
        </is>
      </c>
      <c r="I5636" s="10" t="inlineStr">
        <is>
          <t>01/04/2026</t>
        </is>
      </c>
      <c r="J5636" s="10" t="inlineStr">
        <is>
          <t>17/03/2026</t>
        </is>
      </c>
      <c r="K5636" s="10" t="inlineStr">
        <is>
          <t>N/A</t>
        </is>
      </c>
      <c r="L5636" s="10" t="inlineStr">
        <is>
          <t>OOP, Manufacture Process, Backend Application, Application Server</t>
        </is>
      </c>
      <c r="M5636" s="10" t="inlineStr">
        <is>
          <t>Bonus, Training, Transportation</t>
        </is>
      </c>
      <c r="N5636" s="11">
        <f>HYPERLINK("https://www.vietnamworks.com/application-service-engineer-2002913-jv","Xem chi tiết")</f>
        <v/>
      </c>
      <c r="O5636" s="10" t="n"/>
    </row>
    <row r="5637">
      <c r="B5637" s="7" t="n">
        <v>5635</v>
      </c>
      <c r="C5637" t="inlineStr">
        <is>
          <t>Kỹ Thuật Viên Phát Triển Công Thức Mỹ Phẩm (Junior)</t>
        </is>
      </c>
      <c r="D5637" t="inlineStr">
        <is>
          <t>Công Ty TNHH Mahachem Việt Nam</t>
        </is>
      </c>
      <c r="E5637" t="inlineStr">
        <is>
          <t>Thương lượng</t>
        </is>
      </c>
      <c r="F5637" t="inlineStr">
        <is>
          <t>Hà Nội</t>
        </is>
      </c>
      <c r="G5637" t="inlineStr">
        <is>
          <t>Mới Tốt Nghiệp</t>
        </is>
      </c>
      <c r="H5637" t="inlineStr">
        <is>
          <t>15/01/2026</t>
        </is>
      </c>
      <c r="I5637" t="inlineStr">
        <is>
          <t>01/04/2026</t>
        </is>
      </c>
      <c r="J5637" t="inlineStr">
        <is>
          <t>17/03/2026</t>
        </is>
      </c>
      <c r="K5637" t="inlineStr">
        <is>
          <t>N/A</t>
        </is>
      </c>
      <c r="L5637" t="inlineStr">
        <is>
          <t>Laboratory, Technology Development, Regulatory Compliance, Biochemical Engineering, Chemistry</t>
        </is>
      </c>
      <c r="M5637" t="inlineStr">
        <is>
          <t>Bonus, Healthcare Plan, Paid Leave, Training, Others</t>
        </is>
      </c>
      <c r="N5637" s="8">
        <f>HYPERLINK("https://www.vietnamworks.com/ky-thuat-vien-phat-trien-cong-thuc-my-pham-junior-2003017-jv","Xem chi tiết")</f>
        <v/>
      </c>
    </row>
    <row r="5638">
      <c r="B5638" s="9" t="n">
        <v>5636</v>
      </c>
      <c r="C5638" s="10" t="inlineStr">
        <is>
          <t>Nhân Viên Chăm Sóc Khách Hàng</t>
        </is>
      </c>
      <c r="D5638" s="10" t="inlineStr">
        <is>
          <t>CÔNG TY CỔ PHẦN KHO VẬN VIỆT THÁI</t>
        </is>
      </c>
      <c r="E5638" s="10" t="inlineStr">
        <is>
          <t>Thương lượng</t>
        </is>
      </c>
      <c r="F5638" s="10" t="inlineStr">
        <is>
          <t>Hải Phòng</t>
        </is>
      </c>
      <c r="G5638" s="10" t="inlineStr">
        <is>
          <t>Nhân viên</t>
        </is>
      </c>
      <c r="H5638" s="10" t="inlineStr">
        <is>
          <t>15/01/2026</t>
        </is>
      </c>
      <c r="I5638" s="10" t="inlineStr">
        <is>
          <t>01/04/2026</t>
        </is>
      </c>
      <c r="J5638" s="10" t="inlineStr">
        <is>
          <t>17/03/2026</t>
        </is>
      </c>
      <c r="K5638" s="10" t="inlineStr">
        <is>
          <t>N/A</t>
        </is>
      </c>
      <c r="L5638" s="10" t="inlineStr">
        <is>
          <t>Logistics, Customer Service, Bid Coordination, WMS System, Communication</t>
        </is>
      </c>
      <c r="M5638" s="10" t="inlineStr">
        <is>
          <t>Bonus, Healthcare Plan, Awards, Team Activities, Transportation, Others</t>
        </is>
      </c>
      <c r="N5638" s="11">
        <f>HYPERLINK("https://www.vietnamworks.com/nhan-vien-cham-soc-khach-hang-2003050-jv","Xem chi tiết")</f>
        <v/>
      </c>
      <c r="O5638" s="10" t="n"/>
    </row>
    <row r="5639">
      <c r="B5639" s="7" t="n">
        <v>5637</v>
      </c>
      <c r="C5639" t="inlineStr">
        <is>
          <t>Nhân Viên Kinh Doanh - Sales Executive - English &amp; Chinese/japanese/korean</t>
        </is>
      </c>
      <c r="D5639" t="inlineStr">
        <is>
          <t>Amata City Long Thanh Joint Stock Company</t>
        </is>
      </c>
      <c r="E5639" t="inlineStr">
        <is>
          <t>Thương lượng</t>
        </is>
      </c>
      <c r="F5639" t="inlineStr">
        <is>
          <t>Đồng Nai, Hồ Chí Minh, Bình Dương</t>
        </is>
      </c>
      <c r="G5639" t="inlineStr">
        <is>
          <t>Nhân viên</t>
        </is>
      </c>
      <c r="H5639" t="inlineStr">
        <is>
          <t>15/01/2026</t>
        </is>
      </c>
      <c r="I5639" t="inlineStr">
        <is>
          <t>01/04/2026</t>
        </is>
      </c>
      <c r="J5639" t="inlineStr">
        <is>
          <t>17/03/2026</t>
        </is>
      </c>
      <c r="K5639" t="inlineStr">
        <is>
          <t>N/A</t>
        </is>
      </c>
      <c r="L5639" t="inlineStr">
        <is>
          <t>Sales, Business Development, Presentation Skills, Negotiation Skills, Communication Skills</t>
        </is>
      </c>
      <c r="M5639" t="inlineStr">
        <is>
          <t>Bonus, Healthcare Plan, Paid Leave</t>
        </is>
      </c>
      <c r="N5639" s="8">
        <f>HYPERLINK("https://www.vietnamworks.com/nhan-vien-kinh-doanh-sales-executive-english-chinese-japanese-korean-2002980-jv","Xem chi tiết")</f>
        <v/>
      </c>
    </row>
    <row r="5640">
      <c r="B5640" s="9" t="n">
        <v>5638</v>
      </c>
      <c r="C5640" s="10" t="inlineStr">
        <is>
          <t>[HCM / Cambodia] Senior Merchandiser</t>
        </is>
      </c>
      <c r="D5640" s="10" t="inlineStr">
        <is>
          <t>Newtimes Development LTD. - Vietnam Representative Office</t>
        </is>
      </c>
      <c r="E5640" s="10" t="inlineStr">
        <is>
          <t>Thương lượng</t>
        </is>
      </c>
      <c r="F5640" s="10" t="inlineStr">
        <is>
          <t>Hồ Chí Minh, Quốc tế</t>
        </is>
      </c>
      <c r="G5640" s="10" t="inlineStr">
        <is>
          <t>Nhân viên</t>
        </is>
      </c>
      <c r="H5640" s="10" t="inlineStr">
        <is>
          <t>15/01/2026</t>
        </is>
      </c>
      <c r="I5640" s="10" t="inlineStr">
        <is>
          <t>01/04/2026</t>
        </is>
      </c>
      <c r="J5640" s="10" t="inlineStr">
        <is>
          <t>17/03/2026</t>
        </is>
      </c>
      <c r="K5640" s="10" t="inlineStr">
        <is>
          <t>N/A</t>
        </is>
      </c>
      <c r="L5640" s="10" t="inlineStr">
        <is>
          <t>Fashion, Merchandising, Garment Textile, Apparel, Fabric Merchandising</t>
        </is>
      </c>
      <c r="M5640" s="10" t="inlineStr">
        <is>
          <t>Bonus, Healthcare Plan, Team Activities</t>
        </is>
      </c>
      <c r="N5640" s="11">
        <f>HYPERLINK("https://www.vietnamworks.com/hcm-cambodia-senior-merchandiser-2002998-jv","Xem chi tiết")</f>
        <v/>
      </c>
      <c r="O5640" s="10" t="n"/>
    </row>
    <row r="5641">
      <c r="B5641" s="7" t="n">
        <v>5639</v>
      </c>
      <c r="C5641" t="inlineStr">
        <is>
          <t>Kế Toán Tổng Hợp (Mạnh Về Thuế)</t>
        </is>
      </c>
      <c r="D5641" t="inlineStr">
        <is>
          <t>CÔNG TY TNHH OTOKI VIET NAM - VĂN PHÒNG ĐẠI DIỆN TẠI HÀ NỘI</t>
        </is>
      </c>
      <c r="E5641" t="inlineStr">
        <is>
          <t>18tr-20tr ₫/tháng</t>
        </is>
      </c>
      <c r="F5641" t="inlineStr">
        <is>
          <t>Hà Nội</t>
        </is>
      </c>
      <c r="G5641" t="inlineStr">
        <is>
          <t>Nhân viên</t>
        </is>
      </c>
      <c r="H5641" t="inlineStr">
        <is>
          <t>15/01/2026</t>
        </is>
      </c>
      <c r="I5641" t="inlineStr">
        <is>
          <t>01/04/2026</t>
        </is>
      </c>
      <c r="J5641" t="inlineStr">
        <is>
          <t>17/03/2026</t>
        </is>
      </c>
      <c r="K5641" t="inlineStr">
        <is>
          <t>N/A</t>
        </is>
      </c>
      <c r="L5641" t="inlineStr">
        <is>
          <t>Kiểm Toán, Xuất Khẩu, Lập Hồ Sơ Hoàn Thuế, Thuế, Kế Toán Tổng Hợp</t>
        </is>
      </c>
      <c r="M5641" t="inlineStr">
        <is>
          <t>Paid Leave, Training, Travel Opportunities</t>
        </is>
      </c>
      <c r="N5641" s="8">
        <f>HYPERLINK("https://www.vietnamworks.com/ke-toan-tong-hop-manh-ve-thue--2003049-jv","Xem chi tiết")</f>
        <v/>
      </c>
    </row>
    <row r="5642">
      <c r="B5642" s="9" t="n">
        <v>5640</v>
      </c>
      <c r="C5642" s="10" t="inlineStr">
        <is>
          <t>Giám Sát Kho</t>
        </is>
      </c>
      <c r="D5642" s="10" t="inlineStr">
        <is>
          <t>CÔNG TY CỔ PHẦN KHO VẬN VIỆT THÁI</t>
        </is>
      </c>
      <c r="E5642" s="10" t="inlineStr">
        <is>
          <t>Thương lượng</t>
        </is>
      </c>
      <c r="F5642" s="10" t="inlineStr">
        <is>
          <t>Hải Phòng</t>
        </is>
      </c>
      <c r="G5642" s="10" t="inlineStr">
        <is>
          <t>Trưởng phòng</t>
        </is>
      </c>
      <c r="H5642" s="10" t="inlineStr">
        <is>
          <t>15/01/2026</t>
        </is>
      </c>
      <c r="I5642" s="10" t="inlineStr">
        <is>
          <t>01/04/2026</t>
        </is>
      </c>
      <c r="J5642" s="10" t="inlineStr">
        <is>
          <t>17/03/2026</t>
        </is>
      </c>
      <c r="K5642" s="10" t="inlineStr">
        <is>
          <t>N/A</t>
        </is>
      </c>
      <c r="L5642" s="10" t="inlineStr">
        <is>
          <t>Quản Lý Kho, Logistics, Quản Lý Cung Ứng, Warehouse Management, Warehouse Monitoring</t>
        </is>
      </c>
      <c r="M5642" s="10" t="inlineStr">
        <is>
          <t>Bonus, Healthcare Plan, Paid Leave, Training, Team Activities, Others</t>
        </is>
      </c>
      <c r="N5642" s="11">
        <f>HYPERLINK("https://www.vietnamworks.com/giam-sat-kho-2003051-jv","Xem chi tiết")</f>
        <v/>
      </c>
      <c r="O5642" s="10" t="n"/>
    </row>
    <row r="5643">
      <c r="B5643" s="7" t="n">
        <v>5641</v>
      </c>
      <c r="C5643" t="inlineStr">
        <is>
          <t>Chuyên Viên Phát Triển Sản Phẩm Và Thúc Đẩy Bán Dịch Vụ Ngân Hàng Qua Kênh Điện Tử</t>
        </is>
      </c>
      <c r="D5643" t="inlineStr">
        <is>
          <t>Bắc Á Bank - Https://tuyendung.baca-Bank.vn/</t>
        </is>
      </c>
      <c r="E5643" t="inlineStr">
        <is>
          <t>Thương lượng</t>
        </is>
      </c>
      <c r="F5643" t="inlineStr">
        <is>
          <t>Hà Nội</t>
        </is>
      </c>
      <c r="G5643" t="inlineStr">
        <is>
          <t>Nhân viên</t>
        </is>
      </c>
      <c r="H5643" t="inlineStr">
        <is>
          <t>15/01/2026</t>
        </is>
      </c>
      <c r="I5643" t="inlineStr">
        <is>
          <t>01/04/2026</t>
        </is>
      </c>
      <c r="J5643" t="inlineStr">
        <is>
          <t>17/03/2026</t>
        </is>
      </c>
      <c r="K5643" t="inlineStr">
        <is>
          <t>N/A</t>
        </is>
      </c>
      <c r="L5643" t="inlineStr">
        <is>
          <t>Phát Triển Sản Phẩm, Tín Dụng Ngân Hàng, Digital Sales, Phân tích dữ liệu, Tiếp Thị Sản Phẩm</t>
        </is>
      </c>
      <c r="M5643" t="inlineStr">
        <is>
          <t>Bonus, Healthcare Plan, Others</t>
        </is>
      </c>
      <c r="N5643" s="8">
        <f>HYPERLINK("https://www.vietnamworks.com/chuyen-vien-phat-trien-san-pham-va-thuc-djay-ban-dich-vu-ngan-hang-qua-kenh-djien-tu-2003068-jv","Xem chi tiết")</f>
        <v/>
      </c>
    </row>
    <row r="5644">
      <c r="B5644" s="9" t="n">
        <v>5642</v>
      </c>
      <c r="C5644" s="10" t="inlineStr">
        <is>
          <t>Key Account Manager (Proficient in both English and Japanese)</t>
        </is>
      </c>
      <c r="D5644" s="10" t="inlineStr">
        <is>
          <t>Công Ty TNHH Varroc Việt Nam</t>
        </is>
      </c>
      <c r="E5644" s="10" t="inlineStr">
        <is>
          <t>Thương lượng</t>
        </is>
      </c>
      <c r="F5644" s="10" t="inlineStr">
        <is>
          <t>Hà Nội</t>
        </is>
      </c>
      <c r="G5644" s="10" t="inlineStr">
        <is>
          <t>Trưởng phòng</t>
        </is>
      </c>
      <c r="H5644" s="10" t="inlineStr">
        <is>
          <t>15/01/2026</t>
        </is>
      </c>
      <c r="I5644" s="10" t="inlineStr">
        <is>
          <t>01/04/2026</t>
        </is>
      </c>
      <c r="J5644" s="10" t="inlineStr">
        <is>
          <t>17/03/2026</t>
        </is>
      </c>
      <c r="K5644" s="10" t="inlineStr">
        <is>
          <t>N/A</t>
        </is>
      </c>
      <c r="L5644" s="10" t="inlineStr">
        <is>
          <t>Sales Strategy, Customer Relation, Market Analysis, Pricing Strategy, Sales Forecast</t>
        </is>
      </c>
      <c r="M5644" s="10" t="inlineStr">
        <is>
          <t>Bonus, Awards, Canteen</t>
        </is>
      </c>
      <c r="N5644" s="11">
        <f>HYPERLINK("https://www.vietnamworks.com/key-account-manager-proficient-in-both-english-and-japanese-2003030-jv","Xem chi tiết")</f>
        <v/>
      </c>
      <c r="O5644" s="10" t="n"/>
    </row>
    <row r="5645">
      <c r="B5645" s="7" t="n">
        <v>5643</v>
      </c>
      <c r="C5645" t="inlineStr">
        <is>
          <t>Chuyên Viên Cao Cấp Khách Hàng Cá Nhân: Hồ Chí Minh, Bình Dương, Đồng Nai</t>
        </is>
      </c>
      <c r="D5645" t="inlineStr">
        <is>
          <t>Ngân Hàng Thương Mại Cổ Phần Bảo Việt</t>
        </is>
      </c>
      <c r="E5645" t="inlineStr">
        <is>
          <t>Thương lượng</t>
        </is>
      </c>
      <c r="F5645" t="inlineStr">
        <is>
          <t>Hồ Chí Minh, Bình Dương, Đồng Nai</t>
        </is>
      </c>
      <c r="G5645" t="inlineStr">
        <is>
          <t>Nhân viên</t>
        </is>
      </c>
      <c r="H5645" t="inlineStr">
        <is>
          <t>15/01/2026</t>
        </is>
      </c>
      <c r="I5645" t="inlineStr">
        <is>
          <t>01/04/2026</t>
        </is>
      </c>
      <c r="J5645" t="inlineStr">
        <is>
          <t>17/03/2026</t>
        </is>
      </c>
      <c r="K5645" t="inlineStr">
        <is>
          <t>N/A</t>
        </is>
      </c>
      <c r="L5645" t="inlineStr">
        <is>
          <t>Quan Hệ Khách Hàng Cá Nhân, Phát Triển Kinh Doanh, Tài Chính Tiền Tệ</t>
        </is>
      </c>
      <c r="M5645" t="inlineStr">
        <is>
          <t>Bonus, Healthcare Plan, Travel Opportunities</t>
        </is>
      </c>
      <c r="N5645" s="8">
        <f>HYPERLINK("https://www.vietnamworks.com/chuyen-vien-cao-cap-khach-hang-ca-nhan-ho-chi-minh-binh-duong-dong-nai-2003165-jv","Xem chi tiết")</f>
        <v/>
      </c>
    </row>
    <row r="5646">
      <c r="B5646" s="9" t="n">
        <v>5644</v>
      </c>
      <c r="C5646" s="10" t="inlineStr">
        <is>
          <t>Kế Toán Tổng Hợp/ Kế Toán Làm Dịch Vụ Kế Toán</t>
        </is>
      </c>
      <c r="D5646" s="10" t="inlineStr">
        <is>
          <t>Công ty TNHH dịch vụ tư vấn kế toán Minh Ngọc</t>
        </is>
      </c>
      <c r="E5646" s="10" t="inlineStr">
        <is>
          <t>8tr-15tr ₫/tháng</t>
        </is>
      </c>
      <c r="F5646" s="10" t="inlineStr">
        <is>
          <t>Hồ Chí Minh</t>
        </is>
      </c>
      <c r="G5646" s="10" t="inlineStr">
        <is>
          <t>Mới Tốt Nghiệp</t>
        </is>
      </c>
      <c r="H5646" s="10" t="inlineStr">
        <is>
          <t>15/01/2026</t>
        </is>
      </c>
      <c r="I5646" s="10" t="inlineStr">
        <is>
          <t>01/04/2026</t>
        </is>
      </c>
      <c r="J5646" s="10" t="inlineStr">
        <is>
          <t>17/03/2026</t>
        </is>
      </c>
      <c r="K5646" s="10" t="inlineStr">
        <is>
          <t>N/A</t>
        </is>
      </c>
      <c r="L5646" s="10" t="inlineStr">
        <is>
          <t>Kế Toán, Phần mềm kế toán, Hạch Toán, Thuế, Kế Toán Nội Bộ</t>
        </is>
      </c>
      <c r="M5646" s="10" t="inlineStr">
        <is>
          <t>Paid Leave, Canteen, Others</t>
        </is>
      </c>
      <c r="N5646" s="11">
        <f>HYPERLINK("https://www.vietnamworks.com/ke-toan-tong-hop-ke-toan-lam-dich-vu-ke-toan-2002984-jv","Xem chi tiết")</f>
        <v/>
      </c>
      <c r="O5646" s="10" t="n"/>
    </row>
    <row r="5647">
      <c r="B5647" s="7" t="n">
        <v>5645</v>
      </c>
      <c r="C5647" t="inlineStr">
        <is>
          <t>Nhân Viên Thủ Tục (Xuất Nhập Khẩu / Hải Quan)</t>
        </is>
      </c>
      <c r="D5647" t="inlineStr">
        <is>
          <t>CÔNG TY CỔ PHẦN KHO VẬN VIỆT THÁI</t>
        </is>
      </c>
      <c r="E5647" t="inlineStr">
        <is>
          <t>Thương lượng</t>
        </is>
      </c>
      <c r="F5647" t="inlineStr">
        <is>
          <t>Hải Phòng</t>
        </is>
      </c>
      <c r="G5647" t="inlineStr">
        <is>
          <t>Nhân viên</t>
        </is>
      </c>
      <c r="H5647" t="inlineStr">
        <is>
          <t>15/01/2026</t>
        </is>
      </c>
      <c r="I5647" t="inlineStr">
        <is>
          <t>01/04/2026</t>
        </is>
      </c>
      <c r="J5647" t="inlineStr">
        <is>
          <t>17/03/2026</t>
        </is>
      </c>
      <c r="K5647" t="inlineStr">
        <is>
          <t>N/A</t>
        </is>
      </c>
      <c r="L5647" t="inlineStr">
        <is>
          <t>Thủ Tục Hải Quan, Xuất Nhập Khẩu, Kinh Tế, Logistics, Kỹ năng giao tiêp</t>
        </is>
      </c>
      <c r="M5647" t="inlineStr">
        <is>
          <t>Bonus, Healthcare Plan, Team Activities, Others</t>
        </is>
      </c>
      <c r="N5647" s="8">
        <f>HYPERLINK("https://www.vietnamworks.com/nhan-vien-thu-tuc-xuat-nhap-khau-hai-quan-2003144-jv","Xem chi tiết")</f>
        <v/>
      </c>
    </row>
    <row r="5648">
      <c r="B5648" s="9" t="n">
        <v>5646</v>
      </c>
      <c r="C5648" s="10" t="inlineStr">
        <is>
          <t>Phó Giám Đốc Chi Nhánh</t>
        </is>
      </c>
      <c r="D5648" s="10" t="inlineStr">
        <is>
          <t>Công Ty Cổ Phần Chứng Khoán Dầu Khí (Psi)</t>
        </is>
      </c>
      <c r="E5648" s="10" t="inlineStr">
        <is>
          <t>Thương lượng</t>
        </is>
      </c>
      <c r="F5648" s="10" t="inlineStr">
        <is>
          <t>Hồ Chí Minh, Đà Nẵng</t>
        </is>
      </c>
      <c r="G5648" s="10" t="inlineStr">
        <is>
          <t>Trưởng phòng</t>
        </is>
      </c>
      <c r="H5648" s="10" t="inlineStr">
        <is>
          <t>15/01/2026</t>
        </is>
      </c>
      <c r="I5648" s="10" t="inlineStr">
        <is>
          <t>01/04/2026</t>
        </is>
      </c>
      <c r="J5648" s="10" t="inlineStr">
        <is>
          <t>17/03/2026</t>
        </is>
      </c>
      <c r="K5648" s="10" t="inlineStr">
        <is>
          <t>N/A</t>
        </is>
      </c>
      <c r="L5648" s="10" t="inlineStr">
        <is>
          <t>Tài Chính, Quản Trị Kinh Doanh, Chứng khoán, Ngân hàng, Phát Triển Khách Hàng</t>
        </is>
      </c>
      <c r="M5648" s="10" t="inlineStr">
        <is>
          <t>Bonus, Healthcare Plan, Training, Team Activities, Others</t>
        </is>
      </c>
      <c r="N5648" s="11">
        <f>HYPERLINK("https://www.vietnamworks.com/pho-giam-doc-chi-nhanh--2003122-jv","Xem chi tiết")</f>
        <v/>
      </c>
      <c r="O5648" s="10" t="n"/>
    </row>
    <row r="5649">
      <c r="B5649" s="7" t="n">
        <v>5647</v>
      </c>
      <c r="C5649" t="inlineStr">
        <is>
          <t>Trưởng Nhóm Mentor và Xử Lý Hồ Sơ (15 Triệu - 30 Triệu/tháng)</t>
        </is>
      </c>
      <c r="D5649" t="inlineStr">
        <is>
          <t>Cty TNHH Hợp Tác Quốc Tế Và Đào Tạo Eduline</t>
        </is>
      </c>
      <c r="E5649" t="inlineStr">
        <is>
          <t>15tr-30tr ₫/tháng</t>
        </is>
      </c>
      <c r="F5649" t="inlineStr">
        <is>
          <t>Hồ Chí Minh, Hà Nội</t>
        </is>
      </c>
      <c r="G5649" t="inlineStr">
        <is>
          <t>Nhân viên</t>
        </is>
      </c>
      <c r="H5649" t="inlineStr">
        <is>
          <t>15/01/2026</t>
        </is>
      </c>
      <c r="I5649" t="inlineStr">
        <is>
          <t>01/04/2026</t>
        </is>
      </c>
      <c r="J5649" t="inlineStr">
        <is>
          <t>17/03/2026</t>
        </is>
      </c>
      <c r="K5649" t="inlineStr">
        <is>
          <t>N/A</t>
        </is>
      </c>
      <c r="L5649" t="inlineStr">
        <is>
          <t>Tư Vấn Du Học, Tư Vấn Giáo Dục, Tiếng Anh, Tư Vấn Visa, Xử Lý Hồ Sơ</t>
        </is>
      </c>
      <c r="M5649" t="inlineStr">
        <is>
          <t>Bonus, Training, Awards, Others</t>
        </is>
      </c>
      <c r="N5649" s="8">
        <f>HYPERLINK("https://www.vietnamworks.com/truong-nhom-mentor-va-xu-ly-ho-so-15-trieu-30-trieu-thang-2002960-jv","Xem chi tiết")</f>
        <v/>
      </c>
    </row>
    <row r="5650">
      <c r="B5650" s="9" t="n">
        <v>5648</v>
      </c>
      <c r="C5650" s="10" t="inlineStr">
        <is>
          <t>Chuyên viên Tuyển dụng và Quan hệ lao động (Công ty Bò sữa - Công ty con Vinamilk)</t>
        </is>
      </c>
      <c r="D5650" s="10" t="inlineStr">
        <is>
          <t>Công Ty Cổ Phần Sữa Việt Nam (Vinamilk)</t>
        </is>
      </c>
      <c r="E5650" s="10" t="inlineStr">
        <is>
          <t>Thương lượng</t>
        </is>
      </c>
      <c r="F5650" s="10" t="inlineStr">
        <is>
          <t>Hồ Chí Minh</t>
        </is>
      </c>
      <c r="G5650" s="10" t="inlineStr">
        <is>
          <t>Nhân viên</t>
        </is>
      </c>
      <c r="H5650" s="10" t="inlineStr">
        <is>
          <t>15/01/2026</t>
        </is>
      </c>
      <c r="I5650" s="10" t="inlineStr">
        <is>
          <t>01/04/2026</t>
        </is>
      </c>
      <c r="J5650" s="10" t="inlineStr">
        <is>
          <t>17/03/2026</t>
        </is>
      </c>
      <c r="K5650" s="10" t="inlineStr">
        <is>
          <t>N/A</t>
        </is>
      </c>
      <c r="L5650" s="10" t="inlineStr">
        <is>
          <t>Giải Quyết Vấn Đề, Kỹ năng giao tiếp, Luật Lao Động, Quản Lý Dữ Liệu, Tạo Nguồn Tuyển Dụng</t>
        </is>
      </c>
      <c r="M5650" s="10" t="inlineStr">
        <is>
          <t>Bonus, Awards, Laptop, Canteen, Vouchers</t>
        </is>
      </c>
      <c r="N5650" s="11">
        <f>HYPERLINK("https://www.vietnamworks.com/chuyen-vien-tuyen-dung-va-quan-he-lao-djong-cong-ty-bo-sua-cong-ty-con-vinamilk-2003076-jv","Xem chi tiết")</f>
        <v/>
      </c>
      <c r="O5650" s="10" t="n"/>
    </row>
    <row r="5651">
      <c r="B5651" s="7" t="n">
        <v>5649</v>
      </c>
      <c r="C5651" t="inlineStr">
        <is>
          <t>Chuyên Viên Cao Cấp Khách Hàng Cá Nhân: Đăklak, Gia Lai, Bình Định</t>
        </is>
      </c>
      <c r="D5651" t="inlineStr">
        <is>
          <t>Ngân Hàng Thương Mại Cổ Phần Bảo Việt</t>
        </is>
      </c>
      <c r="E5651" t="inlineStr">
        <is>
          <t>Thương lượng</t>
        </is>
      </c>
      <c r="F5651" t="inlineStr">
        <is>
          <t>Đắk Lắk, Gia Lai, Bình Định</t>
        </is>
      </c>
      <c r="G5651" t="inlineStr">
        <is>
          <t>Nhân viên</t>
        </is>
      </c>
      <c r="H5651" t="inlineStr">
        <is>
          <t>15/01/2026</t>
        </is>
      </c>
      <c r="I5651" t="inlineStr">
        <is>
          <t>01/04/2026</t>
        </is>
      </c>
      <c r="J5651" t="inlineStr">
        <is>
          <t>17/03/2026</t>
        </is>
      </c>
      <c r="K5651" t="inlineStr">
        <is>
          <t>N/A</t>
        </is>
      </c>
      <c r="L5651" t="inlineStr">
        <is>
          <t>Quan Hệ Khách Hàng Cá Nhân, Phát Triển Kinh Doanh, Tài Chính Tiền Tệ</t>
        </is>
      </c>
      <c r="M5651" t="inlineStr">
        <is>
          <t>Bonus, Healthcare Plan, Travel Opportunities</t>
        </is>
      </c>
      <c r="N5651" s="8">
        <f>HYPERLINK("https://www.vietnamworks.com/chuyen-vien-cao-cap-khach-hang-ca-nhan-daklak-gia-lai-binh-dinh-2003156-jv","Xem chi tiết")</f>
        <v/>
      </c>
    </row>
    <row r="5652">
      <c r="B5652" s="9" t="n">
        <v>5650</v>
      </c>
      <c r="C5652" s="10" t="inlineStr">
        <is>
          <t>Chuyên Viên Tài Chính Kế Toán (Up to 30Tr + Thưởng)</t>
        </is>
      </c>
      <c r="D5652" s="10" t="inlineStr">
        <is>
          <t>CÔNG TY CỔ PHẦN CÔNG NGHỆ THÔNG TIN NAM Á</t>
        </is>
      </c>
      <c r="E5652" s="10" t="inlineStr">
        <is>
          <t>16tr-30tr ₫/tháng</t>
        </is>
      </c>
      <c r="F5652" s="10" t="inlineStr">
        <is>
          <t>Hà Nội</t>
        </is>
      </c>
      <c r="G5652" s="10" t="inlineStr">
        <is>
          <t>Nhân viên</t>
        </is>
      </c>
      <c r="H5652" s="10" t="inlineStr">
        <is>
          <t>15/01/2026</t>
        </is>
      </c>
      <c r="I5652" s="10" t="inlineStr">
        <is>
          <t>01/04/2026</t>
        </is>
      </c>
      <c r="J5652" s="10" t="inlineStr">
        <is>
          <t>17/03/2026</t>
        </is>
      </c>
      <c r="K5652" s="10" t="inlineStr">
        <is>
          <t>N/A</t>
        </is>
      </c>
      <c r="L5652" s="10" t="inlineStr">
        <is>
          <t>Kế Toán Tổng Hợp, Chính Sách Thuế, Báo Cáo Tài Chính, Kê Khai Thuế, Nghiệp Vụ Kế Toán</t>
        </is>
      </c>
      <c r="M5652" s="10" t="inlineStr">
        <is>
          <t>Bonus, Healthcare Plan, Training, Others</t>
        </is>
      </c>
      <c r="N5652" s="11">
        <f>HYPERLINK("https://www.vietnamworks.com/chuyen-vien-tai-chinh-ke-toan-up-to-30tr-thuong-2003081-jv","Xem chi tiết")</f>
        <v/>
      </c>
      <c r="O5652" s="10" t="n"/>
    </row>
    <row r="5653">
      <c r="B5653" s="7" t="n">
        <v>5651</v>
      </c>
      <c r="C5653" t="inlineStr">
        <is>
          <t>Chuyên Viên Cao Cấp Khách Hàng Cá Nhân: Đà Nẵng, Nghệ An, Thanh Hóa</t>
        </is>
      </c>
      <c r="D5653" t="inlineStr">
        <is>
          <t>Ngân Hàng Thương Mại Cổ Phần Bảo Việt</t>
        </is>
      </c>
      <c r="E5653" t="inlineStr">
        <is>
          <t>Thương lượng</t>
        </is>
      </c>
      <c r="F5653" t="inlineStr">
        <is>
          <t>Đà Nẵng, Nghệ An, Thanh Hóa</t>
        </is>
      </c>
      <c r="G5653" t="inlineStr">
        <is>
          <t>Nhân viên</t>
        </is>
      </c>
      <c r="H5653" t="inlineStr">
        <is>
          <t>15/01/2026</t>
        </is>
      </c>
      <c r="I5653" t="inlineStr">
        <is>
          <t>01/04/2026</t>
        </is>
      </c>
      <c r="J5653" t="inlineStr">
        <is>
          <t>17/03/2026</t>
        </is>
      </c>
      <c r="K5653" t="inlineStr">
        <is>
          <t>N/A</t>
        </is>
      </c>
      <c r="L5653" t="inlineStr">
        <is>
          <t>Quan Hệ Khách Hàng Cá Nhân, Phát Triển Kinh Doanh, Tài Chính Tiền Tệ</t>
        </is>
      </c>
      <c r="M5653" t="inlineStr">
        <is>
          <t>Bonus, Healthcare Plan, Travel Opportunities</t>
        </is>
      </c>
      <c r="N5653" s="8">
        <f>HYPERLINK("https://www.vietnamworks.com/chuyen-vien-cao-cap-khach-hang-ca-nhan-da-nang-nghe-an-thanh-hoa-2003164-jv","Xem chi tiết")</f>
        <v/>
      </c>
    </row>
    <row r="5654">
      <c r="B5654" s="9" t="n">
        <v>5652</v>
      </c>
      <c r="C5654" s="10" t="inlineStr">
        <is>
          <t>Chuyên Viên Kinh Doanh Quốc Tế (Lương + Bonus Từ $1,500 - 5,000)</t>
        </is>
      </c>
      <c r="D5654" s="10" t="inlineStr">
        <is>
          <t>CÔNG TY CỔ PHẦN CÔNG NGHỆ THÔNG TIN NAM Á</t>
        </is>
      </c>
      <c r="E5654" s="10" t="inlineStr">
        <is>
          <t>$$ 1,500-5,000 /tháng</t>
        </is>
      </c>
      <c r="F5654" s="10" t="inlineStr">
        <is>
          <t>Hà Nội</t>
        </is>
      </c>
      <c r="G5654" s="10" t="inlineStr">
        <is>
          <t>Nhân viên</t>
        </is>
      </c>
      <c r="H5654" s="10" t="inlineStr">
        <is>
          <t>15/01/2026</t>
        </is>
      </c>
      <c r="I5654" s="10" t="inlineStr">
        <is>
          <t>01/04/2026</t>
        </is>
      </c>
      <c r="J5654" s="10" t="inlineStr">
        <is>
          <t>17/03/2026</t>
        </is>
      </c>
      <c r="K5654" s="10" t="inlineStr">
        <is>
          <t>N/A</t>
        </is>
      </c>
      <c r="L5654" s="10" t="inlineStr">
        <is>
          <t>Kinh Doanh Quốc Tế, Logistics, Phát Triển Thị Trường, Kinh Doanh, Xuất nhập khẩu</t>
        </is>
      </c>
      <c r="M5654" s="10" t="inlineStr">
        <is>
          <t>Bonus, Healthcare Plan, Others</t>
        </is>
      </c>
      <c r="N5654" s="11">
        <f>HYPERLINK("https://www.vietnamworks.com/chuyen-vien-kinh-doanh-quoc-te-luong-bonus-tu-1-500-5-000-2003079-jv","Xem chi tiết")</f>
        <v/>
      </c>
      <c r="O5654" s="10" t="n"/>
    </row>
    <row r="5655">
      <c r="B5655" s="7" t="n">
        <v>5653</v>
      </c>
      <c r="C5655" t="inlineStr">
        <is>
          <t>Chuyên Viên Phân Tích Đánh Giá Xếp Hạng Tín Nhiệm Doanh Nghiệp</t>
        </is>
      </c>
      <c r="D5655" t="inlineStr">
        <is>
          <t>CÔNG TY CỔ PHẦN SÀI GÒN PHÁT THỊNH RATINGS</t>
        </is>
      </c>
      <c r="E5655" t="inlineStr">
        <is>
          <t>Thương lượng</t>
        </is>
      </c>
      <c r="F5655" t="inlineStr">
        <is>
          <t>Hồ Chí Minh</t>
        </is>
      </c>
      <c r="G5655" t="inlineStr">
        <is>
          <t>Nhân viên</t>
        </is>
      </c>
      <c r="H5655" t="inlineStr">
        <is>
          <t>15/01/2026</t>
        </is>
      </c>
      <c r="I5655" t="inlineStr">
        <is>
          <t>01/04/2026</t>
        </is>
      </c>
      <c r="J5655" t="inlineStr">
        <is>
          <t>17/03/2026</t>
        </is>
      </c>
      <c r="K5655" t="inlineStr">
        <is>
          <t>N/A</t>
        </is>
      </c>
      <c r="L5655" t="inlineStr">
        <is>
          <t>Xếp Hạng Tín Nhiệm, Tiếng Anh, Credit Analysis, CFA knowledge, Corporate Finance</t>
        </is>
      </c>
      <c r="M5655" t="inlineStr">
        <is>
          <t>Bonus, Healthcare Plan, Training, Travel Opportunities, Others</t>
        </is>
      </c>
      <c r="N5655" s="8">
        <f>HYPERLINK("https://www.vietnamworks.com/chuyen-vien-phan-tich-djanh-gia-xep-hang-tin-nhiem-doanh-nghiep-2003048-jv","Xem chi tiết")</f>
        <v/>
      </c>
    </row>
    <row r="5656">
      <c r="B5656" s="9" t="n">
        <v>5654</v>
      </c>
      <c r="C5656" s="10" t="inlineStr">
        <is>
          <t>Chuyên Viên Cao Cấp Khách Hàng Cá Nhân: Quảng Ninh, Thái Nguyên, Lào Cai</t>
        </is>
      </c>
      <c r="D5656" s="10" t="inlineStr">
        <is>
          <t>Ngân Hàng Thương Mại Cổ Phần Bảo Việt</t>
        </is>
      </c>
      <c r="E5656" s="10" t="inlineStr">
        <is>
          <t>Thương lượng</t>
        </is>
      </c>
      <c r="F5656" s="10" t="inlineStr">
        <is>
          <t>Quảng Ninh, Thái Nguyên, Lào Cai</t>
        </is>
      </c>
      <c r="G5656" s="10" t="inlineStr">
        <is>
          <t>Nhân viên</t>
        </is>
      </c>
      <c r="H5656" s="10" t="inlineStr">
        <is>
          <t>15/01/2026</t>
        </is>
      </c>
      <c r="I5656" s="10" t="inlineStr">
        <is>
          <t>01/04/2026</t>
        </is>
      </c>
      <c r="J5656" s="10" t="inlineStr">
        <is>
          <t>17/03/2026</t>
        </is>
      </c>
      <c r="K5656" s="10" t="inlineStr">
        <is>
          <t>N/A</t>
        </is>
      </c>
      <c r="L5656" s="10" t="inlineStr">
        <is>
          <t>Quan Hệ Khách Hàng Cá Nhân, Phát Triển Kinh Doanh, Tài Chính Tiền Tệ</t>
        </is>
      </c>
      <c r="M5656" s="10" t="inlineStr">
        <is>
          <t>Bonus, Healthcare Plan, Travel Opportunities</t>
        </is>
      </c>
      <c r="N5656" s="11">
        <f>HYPERLINK("https://www.vietnamworks.com/chuyen-vien-cao-cap-khach-hang-ca-nhan-quang-ninh-thai-nguyen-lao-cai-2003171-jv","Xem chi tiết")</f>
        <v/>
      </c>
      <c r="O5656" s="10" t="n"/>
    </row>
    <row r="5657">
      <c r="B5657" s="7" t="n">
        <v>5655</v>
      </c>
      <c r="C5657" t="inlineStr">
        <is>
          <t>Office and Trade Admin (Contractor)</t>
        </is>
      </c>
      <c r="D5657" t="inlineStr">
        <is>
          <t>Archer Daniels Midland (ADM)</t>
        </is>
      </c>
      <c r="E5657" t="inlineStr">
        <is>
          <t>Thương lượng</t>
        </is>
      </c>
      <c r="F5657" t="inlineStr">
        <is>
          <t>Hồ Chí Minh</t>
        </is>
      </c>
      <c r="G5657" t="inlineStr">
        <is>
          <t>Nhân viên</t>
        </is>
      </c>
      <c r="H5657" t="inlineStr">
        <is>
          <t>15/02/2026</t>
        </is>
      </c>
      <c r="I5657" t="inlineStr">
        <is>
          <t>01/04/2026</t>
        </is>
      </c>
      <c r="J5657" t="inlineStr">
        <is>
          <t>17/03/2026</t>
        </is>
      </c>
      <c r="K5657" t="inlineStr">
        <is>
          <t>N/A</t>
        </is>
      </c>
      <c r="L5657" t="inlineStr">
        <is>
          <t>Trade Administration, Office Admin, Admin Support, Operations Processes, Administrative Expenses</t>
        </is>
      </c>
      <c r="M5657" t="inlineStr">
        <is>
          <t>Healthcare Plan</t>
        </is>
      </c>
      <c r="N5657" s="8">
        <f>HYPERLINK("https://www.vietnamworks.com/office-and-trade-admin-contractor-2012109-jv","Xem chi tiết")</f>
        <v/>
      </c>
    </row>
    <row r="5658">
      <c r="B5658" s="9" t="n">
        <v>5656</v>
      </c>
      <c r="C5658" s="10" t="inlineStr">
        <is>
          <t>Chuyên Viên Cao Cấp Khách Hàng Cá Nhân: Cần Thơ, Khánh Hòa, Kiên Giang</t>
        </is>
      </c>
      <c r="D5658" s="10" t="inlineStr">
        <is>
          <t>Ngân Hàng Thương Mại Cổ Phần Bảo Việt</t>
        </is>
      </c>
      <c r="E5658" s="10" t="inlineStr">
        <is>
          <t>Thương lượng</t>
        </is>
      </c>
      <c r="F5658" s="10" t="inlineStr">
        <is>
          <t>Cần Thơ, Khánh Hòa, Kiên Giang</t>
        </is>
      </c>
      <c r="G5658" s="10" t="inlineStr">
        <is>
          <t>Nhân viên</t>
        </is>
      </c>
      <c r="H5658" s="10" t="inlineStr">
        <is>
          <t>15/01/2026</t>
        </is>
      </c>
      <c r="I5658" s="10" t="inlineStr">
        <is>
          <t>01/04/2026</t>
        </is>
      </c>
      <c r="J5658" s="10" t="inlineStr">
        <is>
          <t>17/03/2026</t>
        </is>
      </c>
      <c r="K5658" s="10" t="inlineStr">
        <is>
          <t>N/A</t>
        </is>
      </c>
      <c r="L5658" s="10" t="inlineStr">
        <is>
          <t>Quan Hệ Khách Hàng Cá Nhân, Phát Triển Kinh Doanh, Tài Chính Tiền Tệ</t>
        </is>
      </c>
      <c r="M5658" s="10" t="inlineStr">
        <is>
          <t>Bonus, Healthcare Plan, Travel Opportunities</t>
        </is>
      </c>
      <c r="N5658" s="11">
        <f>HYPERLINK("https://www.vietnamworks.com/chuyen-vien-cao-cap-khach-hang-ca-nhan-can-tho-khanh-hoa-kien-giang-2003170-jv","Xem chi tiết")</f>
        <v/>
      </c>
      <c r="O5658" s="10" t="n"/>
    </row>
    <row r="5659">
      <c r="B5659" s="7" t="n">
        <v>5657</v>
      </c>
      <c r="C5659" t="inlineStr">
        <is>
          <t>Cán Bộ Giám Sát Đường Sắt Tốc Độ Cao (Hạ Tầng, Cầu Hầm, MEP)</t>
        </is>
      </c>
      <c r="D5659" t="inlineStr">
        <is>
          <t>CÔNG TY CỔ PHẦN ĐẦU TƯ VÀ XÂY DỰNG SGC</t>
        </is>
      </c>
      <c r="E5659" t="inlineStr">
        <is>
          <t>$$ 1,500-2,000 /tháng</t>
        </is>
      </c>
      <c r="F5659" t="inlineStr">
        <is>
          <t>Hồ Chí Minh, Hà Nội</t>
        </is>
      </c>
      <c r="G5659" t="inlineStr">
        <is>
          <t>Nhân viên</t>
        </is>
      </c>
      <c r="H5659" t="inlineStr">
        <is>
          <t>15/02/2026</t>
        </is>
      </c>
      <c r="I5659" t="inlineStr">
        <is>
          <t>01/04/2026</t>
        </is>
      </c>
      <c r="J5659" t="inlineStr">
        <is>
          <t>17/03/2026</t>
        </is>
      </c>
      <c r="K5659" t="inlineStr">
        <is>
          <t>N/A</t>
        </is>
      </c>
      <c r="L5659" t="inlineStr">
        <is>
          <t>Chứng chỉ TVGS, Kỹ Thuật Cầu Đường, Thi Công Cầu Đường, Hạ Tầng Giao Thông</t>
        </is>
      </c>
      <c r="M5659" t="inlineStr">
        <is>
          <t>Bonus, Healthcare Plan, Training</t>
        </is>
      </c>
      <c r="N5659" s="8">
        <f>HYPERLINK("https://www.vietnamworks.com/can-bo-giam-sat-duong-sat-toc-do-cao-ha-tang-cau-ham-mep--2012106-jv","Xem chi tiết")</f>
        <v/>
      </c>
    </row>
    <row r="5660">
      <c r="B5660" s="9" t="n">
        <v>5658</v>
      </c>
      <c r="C5660" s="10" t="inlineStr">
        <is>
          <t>Trade Admin - Oilseeds (Contractor)</t>
        </is>
      </c>
      <c r="D5660" s="10" t="inlineStr">
        <is>
          <t>Archer Daniels Midland (ADM)</t>
        </is>
      </c>
      <c r="E5660" s="10" t="inlineStr">
        <is>
          <t>Thương lượng</t>
        </is>
      </c>
      <c r="F5660" s="10" t="inlineStr">
        <is>
          <t>Hồ Chí Minh</t>
        </is>
      </c>
      <c r="G5660" s="10" t="inlineStr">
        <is>
          <t>Nhân viên</t>
        </is>
      </c>
      <c r="H5660" s="10" t="inlineStr">
        <is>
          <t>15/02/2026</t>
        </is>
      </c>
      <c r="I5660" s="10" t="inlineStr">
        <is>
          <t>01/04/2026</t>
        </is>
      </c>
      <c r="J5660" s="10" t="inlineStr">
        <is>
          <t>17/03/2026</t>
        </is>
      </c>
      <c r="K5660" s="10" t="inlineStr">
        <is>
          <t>N/A</t>
        </is>
      </c>
      <c r="L5660" s="10" t="inlineStr">
        <is>
          <t>Trade Administration, Trading Openration, Trading System, Trading and Customs Clearance, Agricultural Production</t>
        </is>
      </c>
      <c r="M5660" s="10" t="inlineStr">
        <is>
          <t>Healthcare Plan</t>
        </is>
      </c>
      <c r="N5660" s="11">
        <f>HYPERLINK("https://www.vietnamworks.com/trade-admin-oilseeds-contractor-2012110-jv","Xem chi tiết")</f>
        <v/>
      </c>
      <c r="O5660" s="10" t="n"/>
    </row>
    <row r="5661">
      <c r="B5661" s="7" t="n">
        <v>5659</v>
      </c>
      <c r="C5661" t="inlineStr">
        <is>
          <t>Manager Execution &amp; LOGISTICS</t>
        </is>
      </c>
      <c r="D5661" t="inlineStr">
        <is>
          <t>Archer Daniels Midland (ADM)</t>
        </is>
      </c>
      <c r="E5661" t="inlineStr">
        <is>
          <t>Thương lượng</t>
        </is>
      </c>
      <c r="F5661" t="inlineStr">
        <is>
          <t>Hồ Chí Minh</t>
        </is>
      </c>
      <c r="G5661" t="inlineStr">
        <is>
          <t>Trưởng phòng</t>
        </is>
      </c>
      <c r="H5661" t="inlineStr">
        <is>
          <t>15/02/2026</t>
        </is>
      </c>
      <c r="I5661" t="inlineStr">
        <is>
          <t>01/04/2026</t>
        </is>
      </c>
      <c r="J5661" t="inlineStr">
        <is>
          <t>17/03/2026</t>
        </is>
      </c>
      <c r="K5661" t="inlineStr">
        <is>
          <t>N/A</t>
        </is>
      </c>
      <c r="L5661" t="inlineStr">
        <is>
          <t>Logistics Operations, Warehous Operation, Operations Planning, Logistics Management System, Logistics</t>
        </is>
      </c>
      <c r="M5661" t="inlineStr">
        <is>
          <t>Healthcare Plan</t>
        </is>
      </c>
      <c r="N5661" s="8">
        <f>HYPERLINK("https://www.vietnamworks.com/manager-execution-logistics-2012108-jv","Xem chi tiết")</f>
        <v/>
      </c>
    </row>
    <row r="5662">
      <c r="B5662" s="9" t="n">
        <v>5660</v>
      </c>
      <c r="C5662" s="10" t="inlineStr">
        <is>
          <t>Production Planning Senior Staff</t>
        </is>
      </c>
      <c r="D5662" s="10" t="inlineStr">
        <is>
          <t>Piaggio Vietnam Co., Ltd (Pvn)</t>
        </is>
      </c>
      <c r="E5662" s="10" t="inlineStr">
        <is>
          <t>Thương lượng</t>
        </is>
      </c>
      <c r="F5662" s="10" t="inlineStr">
        <is>
          <t>Phú Thọ</t>
        </is>
      </c>
      <c r="G5662" s="10" t="inlineStr">
        <is>
          <t>Nhân viên</t>
        </is>
      </c>
      <c r="H5662" s="10" t="inlineStr">
        <is>
          <t>15/02/2026</t>
        </is>
      </c>
      <c r="I5662" s="10" t="inlineStr">
        <is>
          <t>01/04/2026</t>
        </is>
      </c>
      <c r="J5662" s="10" t="inlineStr">
        <is>
          <t>17/03/2026</t>
        </is>
      </c>
      <c r="K5662" s="10" t="inlineStr">
        <is>
          <t>N/A</t>
        </is>
      </c>
      <c r="L5662" s="10" t="inlineStr">
        <is>
          <t>Analytical Skills, Material Planning, MS Excel, Problem-solving, Production Planning</t>
        </is>
      </c>
      <c r="M5662" s="10" t="inlineStr">
        <is>
          <t>Bonus, Healthcare Plan, Paid Leave, Transportation</t>
        </is>
      </c>
      <c r="N5662" s="11">
        <f>HYPERLINK("https://www.vietnamworks.com/production-planning-senior-staff-2012122-jv","Xem chi tiết")</f>
        <v/>
      </c>
      <c r="O5662" s="10" t="n"/>
    </row>
    <row r="5663">
      <c r="B5663" s="7" t="n">
        <v>5661</v>
      </c>
      <c r="C5663" t="inlineStr">
        <is>
          <t>Chuyên Viên Tuyển Dụng (Recruitment Specialist)</t>
        </is>
      </c>
      <c r="D5663" t="inlineStr">
        <is>
          <t>CÔNG TY CỔ PHẦN ĐẦU TƯ VÀ XÂY DỰNG SGC</t>
        </is>
      </c>
      <c r="E5663" t="inlineStr">
        <is>
          <t>$$ 500-1,200 /tháng</t>
        </is>
      </c>
      <c r="F5663" t="inlineStr">
        <is>
          <t>Hà Nội</t>
        </is>
      </c>
      <c r="G5663" t="inlineStr">
        <is>
          <t>Trưởng phòng</t>
        </is>
      </c>
      <c r="H5663" t="inlineStr">
        <is>
          <t>15/02/2026</t>
        </is>
      </c>
      <c r="I5663" t="inlineStr">
        <is>
          <t>01/04/2026</t>
        </is>
      </c>
      <c r="J5663" t="inlineStr">
        <is>
          <t>17/03/2026</t>
        </is>
      </c>
      <c r="K5663" t="inlineStr">
        <is>
          <t>N/A</t>
        </is>
      </c>
      <c r="L5663" t="inlineStr">
        <is>
          <t>Phân Tích Ứng Viên, Phỏng Vấn, Tuyển Dụng, Recruitment Specialist, Nhân sự - HR</t>
        </is>
      </c>
      <c r="M5663" t="inlineStr">
        <is>
          <t>Bonus, Healthcare Plan, Training, Others</t>
        </is>
      </c>
      <c r="N5663" s="8">
        <f>HYPERLINK("https://www.vietnamworks.com/chuyen-vien-tuyen-dung-recruitment-specialist-2012107-jv","Xem chi tiết")</f>
        <v/>
      </c>
    </row>
    <row r="5664">
      <c r="B5664" s="9" t="n">
        <v>5662</v>
      </c>
      <c r="C5664" s="10" t="inlineStr">
        <is>
          <t>Kế Toán Thuế</t>
        </is>
      </c>
      <c r="D5664" s="10" t="inlineStr">
        <is>
          <t>công ty cổ phần bách việt á châu</t>
        </is>
      </c>
      <c r="E5664" s="10" t="inlineStr">
        <is>
          <t>18tr-25tr ₫/tháng</t>
        </is>
      </c>
      <c r="F5664" s="10" t="inlineStr">
        <is>
          <t>Hưng Yên</t>
        </is>
      </c>
      <c r="G5664" s="10" t="inlineStr">
        <is>
          <t>Nhân viên</t>
        </is>
      </c>
      <c r="H5664" s="10" t="inlineStr">
        <is>
          <t>27/02/2026</t>
        </is>
      </c>
      <c r="I5664" s="10" t="inlineStr">
        <is>
          <t>01/04/2026</t>
        </is>
      </c>
      <c r="J5664" s="10" t="inlineStr">
        <is>
          <t>17/03/2026</t>
        </is>
      </c>
      <c r="K5664" s="10" t="inlineStr">
        <is>
          <t>N/A</t>
        </is>
      </c>
      <c r="L5664" s="10" t="inlineStr">
        <is>
          <t>Báo Cáo Tài Chính, Báo Cáo Thuế, Báo Cáo Quản Trị, Kiểm Soát Chi Phí, Theo Dõi Công Nợ</t>
        </is>
      </c>
      <c r="M5664" s="10" t="inlineStr">
        <is>
          <t>Bonus</t>
        </is>
      </c>
      <c r="N5664" s="11">
        <f>HYPERLINK("https://www.vietnamworks.com/ke-toan-thue-2015380-jv","Xem chi tiết")</f>
        <v/>
      </c>
      <c r="O5664" s="10" t="n"/>
    </row>
    <row r="5665">
      <c r="B5665" s="7" t="n">
        <v>5663</v>
      </c>
      <c r="C5665" t="inlineStr">
        <is>
          <t>Project Leader (Japanese Speaking)</t>
        </is>
      </c>
      <c r="D5665" t="inlineStr">
        <is>
          <t>ISV Vietnam Co., Ltd</t>
        </is>
      </c>
      <c r="E5665" t="inlineStr">
        <is>
          <t>Thương lượng</t>
        </is>
      </c>
      <c r="F5665" t="inlineStr">
        <is>
          <t>Hồ Chí Minh</t>
        </is>
      </c>
      <c r="G5665" t="inlineStr">
        <is>
          <t>Trưởng phòng</t>
        </is>
      </c>
      <c r="H5665" t="inlineStr">
        <is>
          <t>25/02/2026</t>
        </is>
      </c>
      <c r="I5665" t="inlineStr">
        <is>
          <t>01/04/2026</t>
        </is>
      </c>
      <c r="J5665" t="inlineStr">
        <is>
          <t>17/03/2026</t>
        </is>
      </c>
      <c r="K5665" t="inlineStr">
        <is>
          <t>N/A</t>
        </is>
      </c>
      <c r="L5665" t="inlineStr">
        <is>
          <t>Java, C#, SQL, .NET, Japanese N3</t>
        </is>
      </c>
      <c r="M5665" t="inlineStr">
        <is>
          <t>Bonus, Healthcare Plan, Others</t>
        </is>
      </c>
      <c r="N5665" s="8">
        <f>HYPERLINK("https://www.vietnamworks.com/project-leader-japanese-speaking--2013647-jv","Xem chi tiết")</f>
        <v/>
      </c>
    </row>
    <row r="5666">
      <c r="B5666" s="9" t="n">
        <v>5664</v>
      </c>
      <c r="C5666" s="10" t="inlineStr">
        <is>
          <t>Chuyên Viên Cao Cấp Khách Hàng Cá Nhân: Hà Nội, Hải Phòng, Bắc Ninh</t>
        </is>
      </c>
      <c r="D5666" s="10" t="inlineStr">
        <is>
          <t>Ngân Hàng Thương Mại Cổ Phần Bảo Việt</t>
        </is>
      </c>
      <c r="E5666" s="10" t="inlineStr">
        <is>
          <t>Thương lượng</t>
        </is>
      </c>
      <c r="F5666" s="10" t="inlineStr">
        <is>
          <t>Hà Nội, Hải Phòng, Bắc Ninh</t>
        </is>
      </c>
      <c r="G5666" s="10" t="inlineStr">
        <is>
          <t>Nhân viên</t>
        </is>
      </c>
      <c r="H5666" s="10" t="inlineStr">
        <is>
          <t>15/01/2026</t>
        </is>
      </c>
      <c r="I5666" s="10" t="inlineStr">
        <is>
          <t>01/04/2026</t>
        </is>
      </c>
      <c r="J5666" s="10" t="inlineStr">
        <is>
          <t>17/03/2026</t>
        </is>
      </c>
      <c r="K5666" s="10" t="inlineStr">
        <is>
          <t>N/A</t>
        </is>
      </c>
      <c r="L5666" s="10" t="inlineStr">
        <is>
          <t>Quan Hệ Khách Hàng Cá Nhân, Phát Triển Kinh Doanh, Tài Chính Tiền Tệ</t>
        </is>
      </c>
      <c r="M5666" s="10" t="inlineStr">
        <is>
          <t>Bonus, Healthcare Plan, Travel Opportunities</t>
        </is>
      </c>
      <c r="N5666" s="11">
        <f>HYPERLINK("https://www.vietnamworks.com/chuyen-vien-cao-cap-khach-hang-ca-nhan-ha-noi-hai-phong-bac-ninh-2003173-jv","Xem chi tiết")</f>
        <v/>
      </c>
      <c r="O5666" s="10" t="n"/>
    </row>
    <row r="5667">
      <c r="B5667" s="7" t="n">
        <v>5665</v>
      </c>
      <c r="C5667" t="inlineStr">
        <is>
          <t>Public Relation Specialist</t>
        </is>
      </c>
      <c r="D5667" t="inlineStr">
        <is>
          <t>Piaggio Vietnam Co., Ltd (Pvn)</t>
        </is>
      </c>
      <c r="E5667" t="inlineStr">
        <is>
          <t>Thương lượng</t>
        </is>
      </c>
      <c r="F5667" t="inlineStr">
        <is>
          <t>Hồ Chí Minh</t>
        </is>
      </c>
      <c r="G5667" t="inlineStr">
        <is>
          <t>Nhân viên</t>
        </is>
      </c>
      <c r="H5667" t="inlineStr">
        <is>
          <t>15/02/2026</t>
        </is>
      </c>
      <c r="I5667" t="inlineStr">
        <is>
          <t>01/04/2026</t>
        </is>
      </c>
      <c r="J5667" t="inlineStr">
        <is>
          <t>17/03/2026</t>
        </is>
      </c>
      <c r="K5667" t="inlineStr">
        <is>
          <t>N/A</t>
        </is>
      </c>
      <c r="L5667" t="inlineStr">
        <is>
          <t>Communication, Content Marketing, Marketing Development, Public Relations, Strategic Thinking</t>
        </is>
      </c>
      <c r="M5667" t="inlineStr">
        <is>
          <t>Bonus, Healthcare Plan, Paid Leave</t>
        </is>
      </c>
      <c r="N5667" s="8">
        <f>HYPERLINK("https://www.vietnamworks.com/public-relation-specialist-2012129-jv","Xem chi tiết")</f>
        <v/>
      </c>
    </row>
    <row r="5668">
      <c r="B5668" s="9" t="n">
        <v>5666</v>
      </c>
      <c r="C5668" s="10" t="inlineStr">
        <is>
          <t>Draftsman (Revit)</t>
        </is>
      </c>
      <c r="D5668" s="10" t="inlineStr">
        <is>
          <t>Cty TNHH Kingsmen Việt Nam</t>
        </is>
      </c>
      <c r="E5668" s="10" t="inlineStr">
        <is>
          <t>Thương lượng</t>
        </is>
      </c>
      <c r="F5668" s="10" t="inlineStr">
        <is>
          <t>Hồ Chí Minh</t>
        </is>
      </c>
      <c r="G5668" s="10" t="inlineStr">
        <is>
          <t>Nhân viên</t>
        </is>
      </c>
      <c r="H5668" s="10" t="inlineStr">
        <is>
          <t>27/02/2026</t>
        </is>
      </c>
      <c r="I5668" s="10" t="inlineStr">
        <is>
          <t>01/04/2026</t>
        </is>
      </c>
      <c r="J5668" s="10" t="inlineStr">
        <is>
          <t>17/03/2026</t>
        </is>
      </c>
      <c r="K5668" s="10" t="inlineStr">
        <is>
          <t>N/A</t>
        </is>
      </c>
      <c r="L5668" s="10" t="inlineStr">
        <is>
          <t>Revit, AutoCAD, 3D Max, Sketchup, Thi Công Nội Thất</t>
        </is>
      </c>
      <c r="M5668" s="10" t="inlineStr">
        <is>
          <t>Bonus, Healthcare Plan, Others</t>
        </is>
      </c>
      <c r="N5668" s="11">
        <f>HYPERLINK("https://www.vietnamworks.com/draftsman-revit-2014975-jv","Xem chi tiết")</f>
        <v/>
      </c>
      <c r="O5668" s="10" t="n"/>
    </row>
    <row r="5669">
      <c r="B5669" s="7" t="n">
        <v>5667</v>
      </c>
      <c r="C5669" t="inlineStr">
        <is>
          <t>Thư Ký Dự Án - Công Tác Hành Chính – Điều Phối Cuộc Họp – Hỗ Trợ Đấu Thầu – Theo Dõi Thanh Toán</t>
        </is>
      </c>
      <c r="D5669" t="inlineStr">
        <is>
          <t>Công ty Cổ phần Dược phẩm Phenikaa (Phenikaa Pharma)</t>
        </is>
      </c>
      <c r="E5669" t="inlineStr">
        <is>
          <t>Tới 20tr ₫/tháng</t>
        </is>
      </c>
      <c r="F5669" t="inlineStr">
        <is>
          <t>Hà Nội</t>
        </is>
      </c>
      <c r="G5669" t="inlineStr">
        <is>
          <t>Nhân viên</t>
        </is>
      </c>
      <c r="H5669" t="inlineStr">
        <is>
          <t>27/02/2026</t>
        </is>
      </c>
      <c r="I5669" t="inlineStr">
        <is>
          <t>01/04/2026</t>
        </is>
      </c>
      <c r="J5669" t="inlineStr">
        <is>
          <t>17/03/2026</t>
        </is>
      </c>
      <c r="K5669" t="inlineStr">
        <is>
          <t>N/A</t>
        </is>
      </c>
      <c r="L5669" t="inlineStr">
        <is>
          <t>Chuẩn Bị Tài Liệu, Lập Hồ Sơ Đấu Thầu, Nghiệp Vụ Thư Ký, Thư Ký, Văn Bản Hợp Đồng</t>
        </is>
      </c>
      <c r="M5669" t="inlineStr">
        <is>
          <t>Bonus, Healthcare Plan, Paid Leave, Travel Opportunities, Others</t>
        </is>
      </c>
      <c r="N5669" s="8">
        <f>HYPERLINK("https://www.vietnamworks.com/thu-ky-du-an-cong-tac-hanh-chinh-djieu-phoi-cuoc-hop-ho-tro-djau-thau-theo-doi-thanh-toan-2015222-jv","Xem chi tiết")</f>
        <v/>
      </c>
    </row>
    <row r="5670">
      <c r="B5670" s="9" t="n">
        <v>5668</v>
      </c>
      <c r="C5670" s="10" t="inlineStr">
        <is>
          <t>Quản Lý Sản Phẩm / Product Manager</t>
        </is>
      </c>
      <c r="D5670" s="10" t="inlineStr">
        <is>
          <t>CÔNG TY CỔ PHẦN DƯỢC PHẨM ĐẠT VI PHÚ (DAVIPHARM)</t>
        </is>
      </c>
      <c r="E5670" s="10" t="inlineStr">
        <is>
          <t>Thương lượng</t>
        </is>
      </c>
      <c r="F5670" s="10" t="inlineStr">
        <is>
          <t>Hồ Chí Minh</t>
        </is>
      </c>
      <c r="G5670" s="10" t="inlineStr">
        <is>
          <t>Trưởng phòng</t>
        </is>
      </c>
      <c r="H5670" s="10" t="inlineStr">
        <is>
          <t>26/02/2026</t>
        </is>
      </c>
      <c r="I5670" s="10" t="inlineStr">
        <is>
          <t>01/04/2026</t>
        </is>
      </c>
      <c r="J5670" s="10" t="inlineStr">
        <is>
          <t>17/03/2026</t>
        </is>
      </c>
      <c r="K5670" s="10" t="inlineStr">
        <is>
          <t>N/A</t>
        </is>
      </c>
      <c r="L5670" s="10" t="inlineStr">
        <is>
          <t>Dược Phẩm, Marketing, Planning and promotion of policies, Market Research, Branding Marketing</t>
        </is>
      </c>
      <c r="M5670" s="10" t="inlineStr">
        <is>
          <t>Bonus, Training, Others</t>
        </is>
      </c>
      <c r="N5670" s="11">
        <f>HYPERLINK("https://www.vietnamworks.com/quan-ly-san-pham-product-manager--2014572-jv","Xem chi tiết")</f>
        <v/>
      </c>
      <c r="O5670" s="10" t="n"/>
    </row>
    <row r="5671">
      <c r="B5671" s="7" t="n">
        <v>5669</v>
      </c>
      <c r="C5671" t="inlineStr">
        <is>
          <t>Nhân Viên Điều Phối Kho Trung Tâm</t>
        </is>
      </c>
      <c r="D5671" t="inlineStr">
        <is>
          <t>Công Ty TNHH Bán Lẻ Fujimart Việt Nam</t>
        </is>
      </c>
      <c r="E5671" t="inlineStr">
        <is>
          <t>Thương lượng</t>
        </is>
      </c>
      <c r="F5671" t="inlineStr">
        <is>
          <t>Hà Nội</t>
        </is>
      </c>
      <c r="G5671" t="inlineStr">
        <is>
          <t>Nhân viên</t>
        </is>
      </c>
      <c r="H5671" t="inlineStr">
        <is>
          <t>27/02/2026</t>
        </is>
      </c>
      <c r="I5671" t="inlineStr">
        <is>
          <t>01/04/2026</t>
        </is>
      </c>
      <c r="J5671" t="inlineStr">
        <is>
          <t>17/03/2026</t>
        </is>
      </c>
      <c r="K5671" t="inlineStr">
        <is>
          <t>N/A</t>
        </is>
      </c>
      <c r="L5671" t="inlineStr">
        <is>
          <t>Điều Phối Hàng Hoá, Xuất nhập hàng hoá, Logistics, Inventory Control, Order Management</t>
        </is>
      </c>
      <c r="M5671" t="inlineStr">
        <is>
          <t>Bonus, Healthcare Plan, Training</t>
        </is>
      </c>
      <c r="N5671" s="8">
        <f>HYPERLINK("https://www.vietnamworks.com/nhan-vien-dieu-phoi-kho-trung-tam-2014949-jv","Xem chi tiết")</f>
        <v/>
      </c>
    </row>
    <row r="5672">
      <c r="B5672" s="9" t="n">
        <v>5670</v>
      </c>
      <c r="C5672" s="10" t="inlineStr">
        <is>
          <t>Chuyên Viên Pháp Lý Cao Cấp / Senior Legal Specialist</t>
        </is>
      </c>
      <c r="D5672" s="10" t="inlineStr">
        <is>
          <t>CÔNG TY CỔ PHẦN DƯỢC PHẨM ĐẠT VI PHÚ (DAVIPHARM)</t>
        </is>
      </c>
      <c r="E5672" s="10" t="inlineStr">
        <is>
          <t>Thương lượng</t>
        </is>
      </c>
      <c r="F5672" s="10" t="inlineStr">
        <is>
          <t>Hồ Chí Minh</t>
        </is>
      </c>
      <c r="G5672" s="10" t="inlineStr">
        <is>
          <t>Nhân viên</t>
        </is>
      </c>
      <c r="H5672" s="10" t="inlineStr">
        <is>
          <t>26/02/2026</t>
        </is>
      </c>
      <c r="I5672" s="10" t="inlineStr">
        <is>
          <t>01/04/2026</t>
        </is>
      </c>
      <c r="J5672" s="10" t="inlineStr">
        <is>
          <t>17/03/2026</t>
        </is>
      </c>
      <c r="K5672" s="10" t="inlineStr">
        <is>
          <t>N/A</t>
        </is>
      </c>
      <c r="L5672" s="10" t="inlineStr">
        <is>
          <t>Legal Advise, Legal Administration, Law Firms, Tư Vấn Luật Doanh Nghệp, License Management</t>
        </is>
      </c>
      <c r="M5672" s="10" t="inlineStr">
        <is>
          <t>Bonus, Training, Transportation</t>
        </is>
      </c>
      <c r="N5672" s="11">
        <f>HYPERLINK("https://www.vietnamworks.com/chuyen-vien-phap-ly-cao-cap-senior-legal-specialist-2014601-jv","Xem chi tiết")</f>
        <v/>
      </c>
      <c r="O5672" s="10" t="n"/>
    </row>
    <row r="5673">
      <c r="B5673" s="7" t="n">
        <v>5671</v>
      </c>
      <c r="C5673" t="inlineStr">
        <is>
          <t>Thư Ký Dự Án - (Kiểm Soát Tiến Độ, Chất Lượng, Chi Phí Đầu Tư (Lĩnh Vực Xây Dựng, Cơ Điện)</t>
        </is>
      </c>
      <c r="D5673" t="inlineStr">
        <is>
          <t>Công ty Cổ phần Dược phẩm Phenikaa (Phenikaa Pharma)</t>
        </is>
      </c>
      <c r="E5673" t="inlineStr">
        <is>
          <t>Tới 20tr ₫/tháng</t>
        </is>
      </c>
      <c r="F5673" t="inlineStr">
        <is>
          <t>Hà Nội</t>
        </is>
      </c>
      <c r="G5673" t="inlineStr">
        <is>
          <t>Nhân viên</t>
        </is>
      </c>
      <c r="H5673" t="inlineStr">
        <is>
          <t>27/02/2026</t>
        </is>
      </c>
      <c r="I5673" t="inlineStr">
        <is>
          <t>01/04/2026</t>
        </is>
      </c>
      <c r="J5673" t="inlineStr">
        <is>
          <t>17/03/2026</t>
        </is>
      </c>
      <c r="K5673" t="inlineStr">
        <is>
          <t>N/A</t>
        </is>
      </c>
      <c r="L5673" t="inlineStr">
        <is>
          <t>Lập Hồ Sơ Thanh Toán, Nghiệp Vụ Thư Ký, Quản Lý Chất Lượng Xây Dựng, Quản Lý Chi Phí, Quản Lý Tiến Độ</t>
        </is>
      </c>
      <c r="M5673" t="inlineStr">
        <is>
          <t>Bonus, Healthcare Plan, Paid Leave, Travel Opportunities, Others</t>
        </is>
      </c>
      <c r="N5673" s="8">
        <f>HYPERLINK("https://www.vietnamworks.com/thu-ky-du-an-kiem-soat-tien-djo-chat-luong-chi-phi-djau-tu-linh-vuc-xay-dung-co-djien-2015225-jv","Xem chi tiết")</f>
        <v/>
      </c>
    </row>
    <row r="5674">
      <c r="B5674" s="9" t="n">
        <v>5672</v>
      </c>
      <c r="C5674" s="10" t="inlineStr">
        <is>
          <t>Marketing Manager (Fintech)</t>
        </is>
      </c>
      <c r="D5674" s="10" t="inlineStr">
        <is>
          <t>BUFF Fintech JSC</t>
        </is>
      </c>
      <c r="E5674" s="10" t="inlineStr">
        <is>
          <t>$$ 1,000-2,500 /tháng</t>
        </is>
      </c>
      <c r="F5674" s="10" t="inlineStr">
        <is>
          <t>Hà Nội</t>
        </is>
      </c>
      <c r="G5674" s="10" t="inlineStr">
        <is>
          <t>Trưởng phòng</t>
        </is>
      </c>
      <c r="H5674" s="10" t="inlineStr">
        <is>
          <t>27/02/2026</t>
        </is>
      </c>
      <c r="I5674" s="10" t="inlineStr">
        <is>
          <t>01/04/2026</t>
        </is>
      </c>
      <c r="J5674" s="10" t="inlineStr">
        <is>
          <t>17/03/2026</t>
        </is>
      </c>
      <c r="K5674" s="10" t="inlineStr">
        <is>
          <t>N/A</t>
        </is>
      </c>
      <c r="L5674" s="10" t="inlineStr">
        <is>
          <t>Digital Marketing, Growth Marketing, Leadership, Product Marketing</t>
        </is>
      </c>
      <c r="M5674" s="10" t="inlineStr">
        <is>
          <t>Healthcare Plan, Paid Leave, Training, Others</t>
        </is>
      </c>
      <c r="N5674" s="11">
        <f>HYPERLINK("https://www.vietnamworks.com/marketing-manager-fintech-2015830-jv","Xem chi tiết")</f>
        <v/>
      </c>
      <c r="O5674" s="10" t="n"/>
    </row>
    <row r="5675">
      <c r="B5675" s="7" t="n">
        <v>5673</v>
      </c>
      <c r="C5675" t="inlineStr">
        <is>
          <t>Graphic Designer (Junior)</t>
        </is>
      </c>
      <c r="D5675" t="inlineStr">
        <is>
          <t>EZVIZ Việt Nam</t>
        </is>
      </c>
      <c r="E5675" t="inlineStr">
        <is>
          <t>$$ 700-800 /tháng</t>
        </is>
      </c>
      <c r="F5675" t="inlineStr">
        <is>
          <t>Hồ Chí Minh</t>
        </is>
      </c>
      <c r="G5675" t="inlineStr">
        <is>
          <t>Mới Tốt Nghiệp</t>
        </is>
      </c>
      <c r="H5675" t="inlineStr">
        <is>
          <t>27/02/2026</t>
        </is>
      </c>
      <c r="I5675" t="inlineStr">
        <is>
          <t>01/04/2026</t>
        </is>
      </c>
      <c r="J5675" t="inlineStr">
        <is>
          <t>17/03/2026</t>
        </is>
      </c>
      <c r="K5675" t="inlineStr">
        <is>
          <t>N/A</t>
        </is>
      </c>
      <c r="L5675" t="inlineStr">
        <is>
          <t>Graphic Design, Digital Marketing, Image Editing, Animation, After Effect</t>
        </is>
      </c>
      <c r="M5675" t="inlineStr">
        <is>
          <t>Healthcare Plan, Paid Leave, Training, Team Activities, Others</t>
        </is>
      </c>
      <c r="N5675" s="8">
        <f>HYPERLINK("https://www.vietnamworks.com/graphic-designer-junior-2015785-jv","Xem chi tiết")</f>
        <v/>
      </c>
    </row>
    <row r="5676">
      <c r="B5676" s="9" t="n">
        <v>5674</v>
      </c>
      <c r="C5676" s="10" t="inlineStr">
        <is>
          <t>Nhân Viên Nữ Điều Hành Tour Du Lịch Inbound (Thu Nhập Upto 20Tr)</t>
        </is>
      </c>
      <c r="D5676" s="10" t="inlineStr">
        <is>
          <t>Lac Viet Travel</t>
        </is>
      </c>
      <c r="E5676" s="10" t="inlineStr">
        <is>
          <t>12tr-20tr ₫/tháng</t>
        </is>
      </c>
      <c r="F5676" s="10" t="inlineStr">
        <is>
          <t>Hà Nội</t>
        </is>
      </c>
      <c r="G5676" s="10" t="inlineStr">
        <is>
          <t>Nhân viên</t>
        </is>
      </c>
      <c r="H5676" s="10" t="inlineStr">
        <is>
          <t>27/02/2026</t>
        </is>
      </c>
      <c r="I5676" s="10" t="inlineStr">
        <is>
          <t>01/04/2026</t>
        </is>
      </c>
      <c r="J5676" s="10" t="inlineStr">
        <is>
          <t>17/03/2026</t>
        </is>
      </c>
      <c r="K5676" s="10" t="inlineStr">
        <is>
          <t>N/A</t>
        </is>
      </c>
      <c r="L5676" s="10" t="inlineStr">
        <is>
          <t>Du Lịch Quốc Tế, Tiếng Anh, Điều Hành, Bán Hàng Dịch Vụ, Giao Tiếp</t>
        </is>
      </c>
      <c r="M5676" s="10" t="inlineStr">
        <is>
          <t>Bonus, Healthcare Plan, Travel Opportunities, Team Activities, Others</t>
        </is>
      </c>
      <c r="N5676" s="11">
        <f>HYPERLINK("https://www.vietnamworks.com/nhan-vien-nu-djieu-hanh-tour-du-lich-inbound-thu-nhap-upto-20tr-2016004-jv","Xem chi tiết")</f>
        <v/>
      </c>
      <c r="O5676" s="10" t="n"/>
    </row>
    <row r="5677">
      <c r="B5677" s="7" t="n">
        <v>5675</v>
      </c>
      <c r="C5677" t="inlineStr">
        <is>
          <t>Senior Electrical Engineer</t>
        </is>
      </c>
      <c r="D5677" t="inlineStr">
        <is>
          <t>Aurecon Vietnam</t>
        </is>
      </c>
      <c r="E5677" t="inlineStr">
        <is>
          <t>Thương lượng</t>
        </is>
      </c>
      <c r="F5677" t="inlineStr">
        <is>
          <t>Hồ Chí Minh</t>
        </is>
      </c>
      <c r="G5677" t="inlineStr">
        <is>
          <t>Nhân viên</t>
        </is>
      </c>
      <c r="H5677" t="inlineStr">
        <is>
          <t>27/02/2026</t>
        </is>
      </c>
      <c r="I5677" t="inlineStr">
        <is>
          <t>01/04/2026</t>
        </is>
      </c>
      <c r="J5677" t="inlineStr">
        <is>
          <t>17/03/2026</t>
        </is>
      </c>
      <c r="K5677" t="inlineStr">
        <is>
          <t>N/A</t>
        </is>
      </c>
      <c r="L5677" t="inlineStr">
        <is>
          <t>Electrical Design, Lighting Design, Revit, AutoCAD, Hạ Tầng Kỹ Thuật</t>
        </is>
      </c>
      <c r="M5677" t="inlineStr">
        <is>
          <t>Bonus, Healthcare Plan, Paid Leave, Training, Others</t>
        </is>
      </c>
      <c r="N5677" s="8">
        <f>HYPERLINK("https://www.vietnamworks.com/senior-electrical-engineer-2015959-jv","Xem chi tiết")</f>
        <v/>
      </c>
    </row>
    <row r="5678">
      <c r="B5678" s="9" t="n">
        <v>5676</v>
      </c>
      <c r="C5678" s="10" t="inlineStr">
        <is>
          <t>Business Development Executive (Freight Forwarding)</t>
        </is>
      </c>
      <c r="D5678" s="10" t="inlineStr">
        <is>
          <t>CT TNHH CHENXIN COMPREHENSIVE VIET NAM</t>
        </is>
      </c>
      <c r="E5678" s="10" t="inlineStr">
        <is>
          <t>15tr-30tr ₫/tháng</t>
        </is>
      </c>
      <c r="F5678" s="10" t="inlineStr">
        <is>
          <t>Hồ Chí Minh</t>
        </is>
      </c>
      <c r="G5678" s="10" t="inlineStr">
        <is>
          <t>Nhân viên</t>
        </is>
      </c>
      <c r="H5678" s="10" t="inlineStr">
        <is>
          <t>02/03/2026</t>
        </is>
      </c>
      <c r="I5678" s="10" t="inlineStr">
        <is>
          <t>01/04/2026</t>
        </is>
      </c>
      <c r="J5678" s="10" t="inlineStr">
        <is>
          <t>17/03/2026</t>
        </is>
      </c>
      <c r="K5678" s="10" t="inlineStr">
        <is>
          <t>N/A</t>
        </is>
      </c>
      <c r="L5678" s="10" t="inlineStr">
        <is>
          <t>Business Development, Client Consulting, English Language Proficiency, freight forwarding experience, Import-Export Procedure</t>
        </is>
      </c>
      <c r="M5678" s="10" t="inlineStr">
        <is>
          <t>Bonus, Paid Leave, Training, Laptop</t>
        </is>
      </c>
      <c r="N5678" s="11">
        <f>HYPERLINK("https://www.vietnamworks.com/business-development-executive-freight-forwarding-2016386-jv","Xem chi tiết")</f>
        <v/>
      </c>
      <c r="O5678" s="10" t="n"/>
    </row>
    <row r="5679">
      <c r="B5679" s="7" t="n">
        <v>5677</v>
      </c>
      <c r="C5679" t="inlineStr">
        <is>
          <t>Senior Mechanical Engineer</t>
        </is>
      </c>
      <c r="D5679" t="inlineStr">
        <is>
          <t>Aurecon Vietnam</t>
        </is>
      </c>
      <c r="E5679" t="inlineStr">
        <is>
          <t>Thương lượng</t>
        </is>
      </c>
      <c r="F5679" t="inlineStr">
        <is>
          <t>Hồ Chí Minh</t>
        </is>
      </c>
      <c r="G5679" t="inlineStr">
        <is>
          <t>Nhân viên</t>
        </is>
      </c>
      <c r="H5679" t="inlineStr">
        <is>
          <t>27/02/2026</t>
        </is>
      </c>
      <c r="I5679" t="inlineStr">
        <is>
          <t>01/04/2026</t>
        </is>
      </c>
      <c r="J5679" t="inlineStr">
        <is>
          <t>17/03/2026</t>
        </is>
      </c>
      <c r="K5679" t="inlineStr">
        <is>
          <t>N/A</t>
        </is>
      </c>
      <c r="L5679" t="inlineStr">
        <is>
          <t>Mechanical Engineering, Revit, AutoCAD, Technical Drawing, MVAC system</t>
        </is>
      </c>
      <c r="M5679" t="inlineStr">
        <is>
          <t>Bonus, Healthcare Plan, Paid Leave, Training, Others</t>
        </is>
      </c>
      <c r="N5679" s="8">
        <f>HYPERLINK("https://www.vietnamworks.com/senior-mechanical-engineer-2015965-jv","Xem chi tiết")</f>
        <v/>
      </c>
    </row>
    <row r="5680">
      <c r="B5680" s="9" t="n">
        <v>5678</v>
      </c>
      <c r="C5680" s="10" t="inlineStr">
        <is>
          <t>Senior Hydraulic Engineer</t>
        </is>
      </c>
      <c r="D5680" s="10" t="inlineStr">
        <is>
          <t>Aurecon Vietnam</t>
        </is>
      </c>
      <c r="E5680" s="10" t="inlineStr">
        <is>
          <t>Thương lượng</t>
        </is>
      </c>
      <c r="F5680" s="10" t="inlineStr">
        <is>
          <t>Hồ Chí Minh</t>
        </is>
      </c>
      <c r="G5680" s="10" t="inlineStr">
        <is>
          <t>Nhân viên</t>
        </is>
      </c>
      <c r="H5680" s="10" t="inlineStr">
        <is>
          <t>27/02/2026</t>
        </is>
      </c>
      <c r="I5680" s="10" t="inlineStr">
        <is>
          <t>01/04/2026</t>
        </is>
      </c>
      <c r="J5680" s="10" t="inlineStr">
        <is>
          <t>17/03/2026</t>
        </is>
      </c>
      <c r="K5680" s="10" t="inlineStr">
        <is>
          <t>N/A</t>
        </is>
      </c>
      <c r="L5680" s="10" t="inlineStr">
        <is>
          <t>Revit, AutoCAD, Cấp Thoát Nước, Hydraulic Calculation, Navisworks</t>
        </is>
      </c>
      <c r="M5680" s="10" t="inlineStr">
        <is>
          <t>Bonus, Healthcare Plan, Paid Leave, Training, Others</t>
        </is>
      </c>
      <c r="N5680" s="11">
        <f>HYPERLINK("https://www.vietnamworks.com/senior-hydraulic-engineer-2015956-jv","Xem chi tiết")</f>
        <v/>
      </c>
      <c r="O5680" s="10" t="n"/>
    </row>
    <row r="5681">
      <c r="B5681" s="7" t="n">
        <v>5679</v>
      </c>
      <c r="C5681" t="inlineStr">
        <is>
          <t>Phó Giám Đốc</t>
        </is>
      </c>
      <c r="D5681" t="inlineStr">
        <is>
          <t>CÔNG TY CỔ PHẦN TẬP ĐOÀN BMK</t>
        </is>
      </c>
      <c r="E5681" t="inlineStr">
        <is>
          <t>30tr-40tr ₫/tháng</t>
        </is>
      </c>
      <c r="F5681" t="inlineStr">
        <is>
          <t>Ninh Bình</t>
        </is>
      </c>
      <c r="G5681" t="inlineStr">
        <is>
          <t>Giám Đốc và Cấp Cao Hơn</t>
        </is>
      </c>
      <c r="H5681" t="inlineStr">
        <is>
          <t>02/03/2026</t>
        </is>
      </c>
      <c r="I5681" t="inlineStr">
        <is>
          <t>01/04/2026</t>
        </is>
      </c>
      <c r="J5681" t="inlineStr">
        <is>
          <t>17/03/2026</t>
        </is>
      </c>
      <c r="K5681" t="inlineStr">
        <is>
          <t>N/A</t>
        </is>
      </c>
      <c r="L5681" t="inlineStr">
        <is>
          <t>Giám Sát Ngân Sách, Giao Tiếp, Quản Lý Dự Án, Quản Lý Hợp Đồng, Thiết Kế Xây Dựng</t>
        </is>
      </c>
      <c r="M5681" t="inlineStr">
        <is>
          <t>Bonus, Healthcare Plan, Awards, Travel Opportunities, Others</t>
        </is>
      </c>
      <c r="N5681" s="8">
        <f>HYPERLINK("https://www.vietnamworks.com/pho-giam-doc--2016389-jv","Xem chi tiết")</f>
        <v/>
      </c>
    </row>
    <row r="5682">
      <c r="B5682" s="9" t="n">
        <v>5680</v>
      </c>
      <c r="C5682" s="10" t="inlineStr">
        <is>
          <t>Nhân Viên Kỹ Thuật</t>
        </is>
      </c>
      <c r="D5682" s="10" t="inlineStr">
        <is>
          <t>CÔNG TY TNHH KHOA HỌC CÔNG NGHỆ VÀ ỨNG DỤNG HELIUS</t>
        </is>
      </c>
      <c r="E5682" s="10" t="inlineStr">
        <is>
          <t>Thương lượng</t>
        </is>
      </c>
      <c r="F5682" s="10" t="inlineStr">
        <is>
          <t>Hồ Chí Minh</t>
        </is>
      </c>
      <c r="G5682" s="10" t="inlineStr">
        <is>
          <t>Nhân viên</t>
        </is>
      </c>
      <c r="H5682" s="10" t="inlineStr">
        <is>
          <t>27/02/2026</t>
        </is>
      </c>
      <c r="I5682" s="10" t="inlineStr">
        <is>
          <t>01/04/2026</t>
        </is>
      </c>
      <c r="J5682" s="10" t="inlineStr">
        <is>
          <t>17/03/2026</t>
        </is>
      </c>
      <c r="K5682" s="10" t="inlineStr">
        <is>
          <t>N/A</t>
        </is>
      </c>
      <c r="L5682" s="10" t="inlineStr">
        <is>
          <t>Kỹ Thuật Điện, Bảo Trì, Cơ Điện Tử</t>
        </is>
      </c>
      <c r="M5682" s="10" t="inlineStr">
        <is>
          <t>Bonus, Healthcare Plan, Paid Leave, Training, Travel Opportunities, Others</t>
        </is>
      </c>
      <c r="N5682" s="11">
        <f>HYPERLINK("https://www.vietnamworks.com/nhan-vien-ky-thuat-2015944-jv","Xem chi tiết")</f>
        <v/>
      </c>
      <c r="O5682" s="10" t="n"/>
    </row>
    <row r="5683">
      <c r="B5683" s="7" t="n">
        <v>5681</v>
      </c>
      <c r="C5683" t="inlineStr">
        <is>
          <t>Trợ Giảng Mầm Non</t>
        </is>
      </c>
      <c r="D5683" t="inlineStr">
        <is>
          <t>Eschool</t>
        </is>
      </c>
      <c r="E5683" t="inlineStr">
        <is>
          <t>Thương lượng</t>
        </is>
      </c>
      <c r="F5683" t="inlineStr">
        <is>
          <t>Hồ Chí Minh</t>
        </is>
      </c>
      <c r="G5683" t="inlineStr">
        <is>
          <t>Nhân viên</t>
        </is>
      </c>
      <c r="H5683" t="inlineStr">
        <is>
          <t>02/03/2026</t>
        </is>
      </c>
      <c r="I5683" t="inlineStr">
        <is>
          <t>01/04/2026</t>
        </is>
      </c>
      <c r="J5683" t="inlineStr">
        <is>
          <t>17/03/2026</t>
        </is>
      </c>
      <c r="K5683" t="inlineStr">
        <is>
          <t>N/A</t>
        </is>
      </c>
      <c r="L5683" t="inlineStr">
        <is>
          <t>Giáo Dục Mầm Non, Tiếng Anh giao tiếp, Sư Phạm Mầm Non, Nghiệp Vụ Sư Phạm</t>
        </is>
      </c>
      <c r="M5683" t="inlineStr">
        <is>
          <t>Bonus, Training, Team Activities, Others</t>
        </is>
      </c>
      <c r="N5683" s="8">
        <f>HYPERLINK("https://www.vietnamworks.com/tro-giang-mam-non-2016383-jv","Xem chi tiết")</f>
        <v/>
      </c>
    </row>
    <row r="5684">
      <c r="B5684" s="9" t="n">
        <v>5682</v>
      </c>
      <c r="C5684" s="10" t="inlineStr">
        <is>
          <t>Chuyên Viên Quản Trị Hệ Thống Và Hạ Tầng (IT)</t>
        </is>
      </c>
      <c r="D5684" s="10" t="inlineStr">
        <is>
          <t>Công Ty Cổ Phần Đầu Tư Xây Dựng Viteccons</t>
        </is>
      </c>
      <c r="E5684" s="10" t="inlineStr">
        <is>
          <t>18tr-25tr ₫/tháng</t>
        </is>
      </c>
      <c r="F5684" s="10" t="inlineStr">
        <is>
          <t>Hồ Chí Minh</t>
        </is>
      </c>
      <c r="G5684" s="10" t="inlineStr">
        <is>
          <t>Nhân viên</t>
        </is>
      </c>
      <c r="H5684" s="10" t="inlineStr">
        <is>
          <t>02/03/2026</t>
        </is>
      </c>
      <c r="I5684" s="10" t="inlineStr">
        <is>
          <t>01/04/2026</t>
        </is>
      </c>
      <c r="J5684" s="10" t="inlineStr">
        <is>
          <t>17/03/2026</t>
        </is>
      </c>
      <c r="K5684" s="10" t="inlineStr">
        <is>
          <t>N/A</t>
        </is>
      </c>
      <c r="L5684" s="10" t="inlineStr">
        <is>
          <t>An Toàn Thông Tin, Giám Sát Hệ Thống Máy Chủ, Quản Trị Hệ Thống, Tài Chính Tổng Hợp, Điều Hành</t>
        </is>
      </c>
      <c r="M5684" s="10" t="inlineStr">
        <is>
          <t>Healthcare Plan, Training, Team Activities, Others</t>
        </is>
      </c>
      <c r="N5684" s="11">
        <f>HYPERLINK("https://www.vietnamworks.com/chuyen-vien-quan-tri-he-thong-va-ha-tang-it-2016384-jv","Xem chi tiết")</f>
        <v/>
      </c>
      <c r="O5684" s="10" t="n"/>
    </row>
    <row r="5685">
      <c r="B5685" s="7" t="n">
        <v>5683</v>
      </c>
      <c r="C5685" t="inlineStr">
        <is>
          <t>Trưởng Nhóm Thiết Kế - Design Team Leader</t>
        </is>
      </c>
      <c r="D5685" t="inlineStr">
        <is>
          <t>Công Ty Cổ Phần Kềm Nghĩa</t>
        </is>
      </c>
      <c r="E5685" t="inlineStr">
        <is>
          <t>Thương lượng</t>
        </is>
      </c>
      <c r="F5685" t="inlineStr">
        <is>
          <t>Hồ Chí Minh</t>
        </is>
      </c>
      <c r="G5685" t="inlineStr">
        <is>
          <t>Trưởng phòng</t>
        </is>
      </c>
      <c r="H5685" t="inlineStr">
        <is>
          <t>02/03/2026</t>
        </is>
      </c>
      <c r="I5685" t="inlineStr">
        <is>
          <t>01/04/2026</t>
        </is>
      </c>
      <c r="J5685" t="inlineStr">
        <is>
          <t>17/03/2026</t>
        </is>
      </c>
      <c r="K5685" t="inlineStr">
        <is>
          <t>N/A</t>
        </is>
      </c>
      <c r="L5685" t="inlineStr">
        <is>
          <t>Marketing, Digital Marketing, Key Visual, Brand Identity, Thiết Kế</t>
        </is>
      </c>
      <c r="M5685" t="inlineStr">
        <is>
          <t>Bonus, Laptop, Travel Opportunities</t>
        </is>
      </c>
      <c r="N5685" s="8">
        <f>HYPERLINK("https://www.vietnamworks.com/truong-nhom-thiet-ke-design-team-leader--2016387-jv","Xem chi tiết")</f>
        <v/>
      </c>
    </row>
    <row r="5686">
      <c r="B5686" s="9" t="n">
        <v>5684</v>
      </c>
      <c r="C5686" s="10" t="inlineStr">
        <is>
          <t>Nhân Viên Kế Toán Tổng Hợp</t>
        </is>
      </c>
      <c r="D5686" s="10" t="inlineStr">
        <is>
          <t>CÔNG TY CP THỰC PHẨM ANH KHẢI KÝ</t>
        </is>
      </c>
      <c r="E5686" s="10" t="inlineStr">
        <is>
          <t>15tr-20tr ₫/tháng</t>
        </is>
      </c>
      <c r="F5686" s="10" t="inlineStr">
        <is>
          <t>Hồ Chí Minh, Bà Rịa - Vũng Tàu</t>
        </is>
      </c>
      <c r="G5686" s="10" t="inlineStr">
        <is>
          <t>Nhân viên</t>
        </is>
      </c>
      <c r="H5686" s="10" t="inlineStr">
        <is>
          <t>02/03/2026</t>
        </is>
      </c>
      <c r="I5686" s="10" t="inlineStr">
        <is>
          <t>01/04/2026</t>
        </is>
      </c>
      <c r="J5686" s="10" t="inlineStr">
        <is>
          <t>17/03/2026</t>
        </is>
      </c>
      <c r="K5686" s="10" t="inlineStr">
        <is>
          <t>N/A</t>
        </is>
      </c>
      <c r="L5686" s="10" t="inlineStr">
        <is>
          <t>Hạch Toán, Kiểm Toán, Theo Dõi Công Nợ, Báo Cáo Thuế, Kế toán &amp; Báo cáo Tài chính</t>
        </is>
      </c>
      <c r="M5686" s="10" t="inlineStr">
        <is>
          <t>Bonus, Healthcare Plan, Others</t>
        </is>
      </c>
      <c r="N5686" s="11">
        <f>HYPERLINK("https://www.vietnamworks.com/nhan-vien-ke-toan-tong-hop-2016391-jv","Xem chi tiết")</f>
        <v/>
      </c>
      <c r="O5686" s="10" t="n"/>
    </row>
    <row r="5687">
      <c r="B5687" s="7" t="n">
        <v>5685</v>
      </c>
      <c r="C5687" t="inlineStr">
        <is>
          <t>CV/CVCC Chính Sách Sản Phẩm</t>
        </is>
      </c>
      <c r="D5687" t="inlineStr">
        <is>
          <t>Công Ty Tài Chính Trách Nhiệm Hữu Hạn MB Shinsei (Mcredit)</t>
        </is>
      </c>
      <c r="E5687" t="inlineStr">
        <is>
          <t>Thương lượng</t>
        </is>
      </c>
      <c r="F5687" t="inlineStr">
        <is>
          <t>Hà Nội</t>
        </is>
      </c>
      <c r="G5687" t="inlineStr">
        <is>
          <t>Nhân viên</t>
        </is>
      </c>
      <c r="H5687" t="inlineStr">
        <is>
          <t>27/02/2026</t>
        </is>
      </c>
      <c r="I5687" t="inlineStr">
        <is>
          <t>01/04/2026</t>
        </is>
      </c>
      <c r="J5687" t="inlineStr">
        <is>
          <t>17/03/2026</t>
        </is>
      </c>
      <c r="K5687" t="inlineStr">
        <is>
          <t>N/A</t>
        </is>
      </c>
      <c r="L5687" t="inlineStr">
        <is>
          <t>Chính sách</t>
        </is>
      </c>
      <c r="M5687" t="inlineStr">
        <is>
          <t>Bonus, Healthcare Plan, Travel Opportunities</t>
        </is>
      </c>
      <c r="N5687" s="8">
        <f>HYPERLINK("https://www.vietnamworks.com/cvcvcc-chinh-sach-san-pham-2015960-jv","Xem chi tiết")</f>
        <v/>
      </c>
    </row>
    <row r="5688">
      <c r="B5688" s="9" t="n">
        <v>5686</v>
      </c>
      <c r="C5688" s="10" t="inlineStr">
        <is>
          <t>Automation Technician (Shift Work)</t>
        </is>
      </c>
      <c r="D5688" s="10" t="inlineStr">
        <is>
          <t>Công Ty TNHH Sản Xuất First Solar Việt Nam</t>
        </is>
      </c>
      <c r="E5688" s="10" t="inlineStr">
        <is>
          <t>Thương lượng</t>
        </is>
      </c>
      <c r="F5688" s="10" t="inlineStr">
        <is>
          <t>Hồ Chí Minh</t>
        </is>
      </c>
      <c r="G5688" s="10" t="inlineStr">
        <is>
          <t>Nhân viên</t>
        </is>
      </c>
      <c r="H5688" s="10" t="inlineStr">
        <is>
          <t>02/03/2026</t>
        </is>
      </c>
      <c r="I5688" s="10" t="inlineStr">
        <is>
          <t>01/04/2026</t>
        </is>
      </c>
      <c r="J5688" s="10" t="inlineStr">
        <is>
          <t>17/03/2026</t>
        </is>
      </c>
      <c r="K5688" s="10" t="inlineStr">
        <is>
          <t>N/A</t>
        </is>
      </c>
      <c r="L5688" s="10" t="inlineStr">
        <is>
          <t>Electrical Controls, HMI, PLC Programming, Problem Solving, Robotics Knowledge</t>
        </is>
      </c>
      <c r="M5688" s="10" t="inlineStr">
        <is>
          <t>Bonus, Transportation, Canteen</t>
        </is>
      </c>
      <c r="N5688" s="11">
        <f>HYPERLINK("https://www.vietnamworks.com/automation-technician-shift-work-2016382-jv","Xem chi tiết")</f>
        <v/>
      </c>
      <c r="O5688" s="10" t="n"/>
    </row>
    <row r="5689">
      <c r="B5689" s="7" t="n">
        <v>5687</v>
      </c>
      <c r="C5689" t="inlineStr">
        <is>
          <t>Controls Engineer/ Automation Engineer (Shift Work)</t>
        </is>
      </c>
      <c r="D5689" t="inlineStr">
        <is>
          <t>Công Ty TNHH Sản Xuất First Solar Việt Nam</t>
        </is>
      </c>
      <c r="E5689" t="inlineStr">
        <is>
          <t>Thương lượng</t>
        </is>
      </c>
      <c r="F5689" t="inlineStr">
        <is>
          <t>Hồ Chí Minh</t>
        </is>
      </c>
      <c r="G5689" t="inlineStr">
        <is>
          <t>Nhân viên</t>
        </is>
      </c>
      <c r="H5689" t="inlineStr">
        <is>
          <t>02/03/2026</t>
        </is>
      </c>
      <c r="I5689" t="inlineStr">
        <is>
          <t>01/04/2026</t>
        </is>
      </c>
      <c r="J5689" t="inlineStr">
        <is>
          <t>17/03/2026</t>
        </is>
      </c>
      <c r="K5689" t="inlineStr">
        <is>
          <t>N/A</t>
        </is>
      </c>
      <c r="L5689" t="inlineStr">
        <is>
          <t>Electrical Controls, HMI, Electrical Systems Design, Automation Engineering, PLC</t>
        </is>
      </c>
      <c r="M5689" t="inlineStr">
        <is>
          <t>Bonus, Transportation, Canteen</t>
        </is>
      </c>
      <c r="N5689" s="8">
        <f>HYPERLINK("https://www.vietnamworks.com/controls-engineer-automation-engineer-shift-work--2016390-jv","Xem chi tiết")</f>
        <v/>
      </c>
    </row>
    <row r="5690">
      <c r="B5690" s="9" t="n">
        <v>5688</v>
      </c>
      <c r="C5690" s="10" t="inlineStr">
        <is>
          <t>Garment Merchandiser - Nhân Viên Theo Dõi Đơn Hàng May Mặc</t>
        </is>
      </c>
      <c r="D5690" s="10" t="inlineStr">
        <is>
          <t>Công Ty Cổ Phần Đầu Tư Mặt Trời Việt (Vietsun Int Corp)</t>
        </is>
      </c>
      <c r="E5690" s="10" t="inlineStr">
        <is>
          <t>12tr-20tr ₫/tháng</t>
        </is>
      </c>
      <c r="F5690" s="10" t="inlineStr">
        <is>
          <t>Hồ Chí Minh</t>
        </is>
      </c>
      <c r="G5690" s="10" t="inlineStr">
        <is>
          <t>Nhân viên</t>
        </is>
      </c>
      <c r="H5690" s="10" t="inlineStr">
        <is>
          <t>28/02/2026</t>
        </is>
      </c>
      <c r="I5690" s="10" t="inlineStr">
        <is>
          <t>01/04/2026</t>
        </is>
      </c>
      <c r="J5690" s="10" t="inlineStr">
        <is>
          <t>17/03/2026</t>
        </is>
      </c>
      <c r="K5690" s="10" t="inlineStr">
        <is>
          <t>N/A</t>
        </is>
      </c>
      <c r="L5690" s="10" t="inlineStr">
        <is>
          <t>Collect Quotation, Fabric Sourcing, Garment, Garment Sourcing, Merchandising</t>
        </is>
      </c>
      <c r="M5690" s="10" t="inlineStr">
        <is>
          <t>Bonus, Healthcare Plan, Paid Leave, Training, Travel Opportunities, Canteen, Others</t>
        </is>
      </c>
      <c r="N5690" s="11">
        <f>HYPERLINK("https://www.vietnamworks.com/garment-merchandiser-nhan-vien-theo-doi-djon-hang-may-mac-2016242-jv","Xem chi tiết")</f>
        <v/>
      </c>
      <c r="O5690" s="10" t="n"/>
    </row>
    <row r="5691">
      <c r="B5691" s="7" t="n">
        <v>5689</v>
      </c>
      <c r="C5691" t="inlineStr">
        <is>
          <t xml:space="preserve">Bookkeeper - Australian Accountant Assistant </t>
        </is>
      </c>
      <c r="D5691" t="inlineStr">
        <is>
          <t>VU LE XI Data Solutions Limited Company</t>
        </is>
      </c>
      <c r="E5691" t="inlineStr">
        <is>
          <t>$$ 500-1,000 /tháng</t>
        </is>
      </c>
      <c r="F5691" t="inlineStr">
        <is>
          <t>Hồ Chí Minh</t>
        </is>
      </c>
      <c r="G5691" t="inlineStr">
        <is>
          <t>Nhân viên</t>
        </is>
      </c>
      <c r="H5691" t="inlineStr">
        <is>
          <t>02/03/2026</t>
        </is>
      </c>
      <c r="I5691" t="inlineStr">
        <is>
          <t>01/04/2026</t>
        </is>
      </c>
      <c r="J5691" t="inlineStr">
        <is>
          <t>17/03/2026</t>
        </is>
      </c>
      <c r="K5691" t="inlineStr">
        <is>
          <t>N/A</t>
        </is>
      </c>
      <c r="L5691" t="inlineStr">
        <is>
          <t>Tax Accounting, Xero Accounting Software, Tax Legislation, Product Preparation, Communication Skills</t>
        </is>
      </c>
      <c r="M5691" t="inlineStr">
        <is>
          <t>Bonus, Paid Leave, Training, Team Activities, Others</t>
        </is>
      </c>
      <c r="N5691" s="8">
        <f>HYPERLINK("https://www.vietnamworks.com/bookkeeper-australian-accountant-assistant-2016379-jv","Xem chi tiết")</f>
        <v/>
      </c>
    </row>
    <row r="5692">
      <c r="B5692" s="9" t="n">
        <v>5690</v>
      </c>
      <c r="C5692" s="10" t="inlineStr">
        <is>
          <t>Nhân Viên Kinh Doanh Thiết Bị Phòng Thí Nghiệm</t>
        </is>
      </c>
      <c r="D5692" s="10" t="inlineStr">
        <is>
          <t>CÔNG TY TNHH KHOA HỌC CÔNG NGHỆ VÀ ỨNG DỤNG HELIUS</t>
        </is>
      </c>
      <c r="E5692" s="10" t="inlineStr">
        <is>
          <t>Thương lượng</t>
        </is>
      </c>
      <c r="F5692" s="10" t="inlineStr">
        <is>
          <t>Hồ Chí Minh</t>
        </is>
      </c>
      <c r="G5692" s="10" t="inlineStr">
        <is>
          <t>Nhân viên</t>
        </is>
      </c>
      <c r="H5692" s="10" t="inlineStr">
        <is>
          <t>27/02/2026</t>
        </is>
      </c>
      <c r="I5692" s="10" t="inlineStr">
        <is>
          <t>01/04/2026</t>
        </is>
      </c>
      <c r="J5692" s="10" t="inlineStr">
        <is>
          <t>17/03/2026</t>
        </is>
      </c>
      <c r="K5692" s="10" t="inlineStr">
        <is>
          <t>N/A</t>
        </is>
      </c>
      <c r="L5692" s="10" t="inlineStr">
        <is>
          <t>Kinh Doanh Thiết Bị Y Tế, Quản Lý Đơn Hàng, Yêu Thích Kinh Doanh, Bán hàng, Sales</t>
        </is>
      </c>
      <c r="M5692" s="10" t="inlineStr">
        <is>
          <t>Bonus, Healthcare Plan, Paid Leave, Training, Travel Opportunities, Others</t>
        </is>
      </c>
      <c r="N5692" s="11">
        <f>HYPERLINK("https://www.vietnamworks.com/nhan-vien-kinh-doanh-thiet-bi-phong-thi-nghiem-2015907-jv","Xem chi tiết")</f>
        <v/>
      </c>
      <c r="O5692" s="10" t="n"/>
    </row>
    <row r="5693">
      <c r="B5693" s="7" t="n">
        <v>5691</v>
      </c>
      <c r="C5693" t="inlineStr">
        <is>
          <t>Middle/Senior .NET Developer</t>
        </is>
      </c>
      <c r="D5693" t="inlineStr">
        <is>
          <t>Công Ty Cổ Phần Chứng Khoán SSI</t>
        </is>
      </c>
      <c r="E5693" t="inlineStr">
        <is>
          <t>Thương lượng</t>
        </is>
      </c>
      <c r="F5693" t="inlineStr">
        <is>
          <t>Hà Nội</t>
        </is>
      </c>
      <c r="G5693" t="inlineStr">
        <is>
          <t>Nhân viên</t>
        </is>
      </c>
      <c r="H5693" t="inlineStr">
        <is>
          <t>02/03/2026</t>
        </is>
      </c>
      <c r="I5693" t="inlineStr">
        <is>
          <t>01/04/2026</t>
        </is>
      </c>
      <c r="J5693" t="inlineStr">
        <is>
          <t>17/03/2026</t>
        </is>
      </c>
      <c r="K5693" t="inlineStr">
        <is>
          <t>N/A</t>
        </is>
      </c>
      <c r="L5693" t="inlineStr">
        <is>
          <t>OOP, SOLID, .Net Core, Entity Framework, C# (.NET Core)</t>
        </is>
      </c>
      <c r="M5693" t="inlineStr">
        <is>
          <t>Bonus, Training, Others</t>
        </is>
      </c>
      <c r="N5693" s="8">
        <f>HYPERLINK("https://www.vietnamworks.com/middle-senior-net-developer--2016375-jv","Xem chi tiết")</f>
        <v/>
      </c>
    </row>
    <row r="5694">
      <c r="B5694" s="9" t="n">
        <v>5692</v>
      </c>
      <c r="C5694" s="10" t="inlineStr">
        <is>
          <t>Graphic Designer</t>
        </is>
      </c>
      <c r="D5694" s="10" t="inlineStr">
        <is>
          <t>Công Ty Cổ Phần BM Windows</t>
        </is>
      </c>
      <c r="E5694" s="10" t="inlineStr">
        <is>
          <t>Thương lượng</t>
        </is>
      </c>
      <c r="F5694" s="10" t="inlineStr">
        <is>
          <t>Hồ Chí Minh</t>
        </is>
      </c>
      <c r="G5694" s="10" t="inlineStr">
        <is>
          <t>Mới Tốt Nghiệp</t>
        </is>
      </c>
      <c r="H5694" s="10" t="inlineStr">
        <is>
          <t>02/03/2026</t>
        </is>
      </c>
      <c r="I5694" s="10" t="inlineStr">
        <is>
          <t>01/04/2026</t>
        </is>
      </c>
      <c r="J5694" s="10" t="inlineStr">
        <is>
          <t>17/03/2026</t>
        </is>
      </c>
      <c r="K5694" s="10" t="inlineStr">
        <is>
          <t>N/A</t>
        </is>
      </c>
      <c r="L5694" s="10" t="inlineStr">
        <is>
          <t>Adobe Creative Suite, Graphic Design, Thiết Kế Digital, Thiết Kế Thương Hiệu, Thiết Kế Đồ Họa</t>
        </is>
      </c>
      <c r="M5694" s="10" t="inlineStr">
        <is>
          <t>Bonus, Healthcare Plan, Training, Team Activities, Others</t>
        </is>
      </c>
      <c r="N5694" s="11">
        <f>HYPERLINK("https://www.vietnamworks.com/graphic-designer-2016385-jv","Xem chi tiết")</f>
        <v/>
      </c>
      <c r="O5694" s="10" t="n"/>
    </row>
    <row r="5695">
      <c r="B5695" s="7" t="n">
        <v>5693</v>
      </c>
      <c r="C5695" t="inlineStr">
        <is>
          <t>Kế Toán Hộ Kinh Doanh Thiết Bị Y Tế</t>
        </is>
      </c>
      <c r="D5695" t="inlineStr">
        <is>
          <t>CÔNG TY TNHH THƯƠNG MẠI DỊCH VỤ VÀ TRANG THIẾT BỊ Y TẾ PHÚ AN</t>
        </is>
      </c>
      <c r="E5695" t="inlineStr">
        <is>
          <t>9tr-12tr ₫/tháng</t>
        </is>
      </c>
      <c r="F5695" t="inlineStr">
        <is>
          <t>Hồ Chí Minh</t>
        </is>
      </c>
      <c r="G5695" t="inlineStr">
        <is>
          <t>Nhân viên</t>
        </is>
      </c>
      <c r="H5695" t="inlineStr">
        <is>
          <t>02/03/2026</t>
        </is>
      </c>
      <c r="I5695" t="inlineStr">
        <is>
          <t>01/04/2026</t>
        </is>
      </c>
      <c r="J5695" t="inlineStr">
        <is>
          <t>17/03/2026</t>
        </is>
      </c>
      <c r="K5695" t="inlineStr">
        <is>
          <t>N/A</t>
        </is>
      </c>
      <c r="L5695" t="inlineStr">
        <is>
          <t>Kế Toán Thanh Toán, Kế Toán Công Nợ, Kế Toán Chi Phí, Kế Toán Tổng Hợp, Accouting</t>
        </is>
      </c>
      <c r="M5695" t="inlineStr">
        <is>
          <t>Bonus, Healthcare Plan, Others</t>
        </is>
      </c>
      <c r="N5695" s="8">
        <f>HYPERLINK("https://www.vietnamworks.com/ke-toan-ho-kinh-doanh-thiet-bi-y-te-2016392-jv","Xem chi tiết")</f>
        <v/>
      </c>
    </row>
    <row r="5696">
      <c r="B5696" s="9" t="n">
        <v>5694</v>
      </c>
      <c r="C5696" s="10" t="inlineStr">
        <is>
          <t>Freight Forwarding Procurement Expert</t>
        </is>
      </c>
      <c r="D5696" s="10" t="inlineStr">
        <is>
          <t>Công Ty TNHH YQN Link International Logistics</t>
        </is>
      </c>
      <c r="E5696" s="10" t="inlineStr">
        <is>
          <t>$$ 700-1,000 /tháng</t>
        </is>
      </c>
      <c r="F5696" s="10" t="inlineStr">
        <is>
          <t>Hồ Chí Minh</t>
        </is>
      </c>
      <c r="G5696" s="10" t="inlineStr">
        <is>
          <t>Nhân viên</t>
        </is>
      </c>
      <c r="H5696" s="10" t="inlineStr">
        <is>
          <t>02/03/2026</t>
        </is>
      </c>
      <c r="I5696" s="10" t="inlineStr">
        <is>
          <t>01/04/2026</t>
        </is>
      </c>
      <c r="J5696" s="10" t="inlineStr">
        <is>
          <t>17/03/2026</t>
        </is>
      </c>
      <c r="K5696" s="10" t="inlineStr">
        <is>
          <t>N/A</t>
        </is>
      </c>
      <c r="L5696" s="10" t="inlineStr">
        <is>
          <t>Communication, Freight Forwarding, Logistics, Sea Freight, Supply Chain Management</t>
        </is>
      </c>
      <c r="M5696" s="10" t="inlineStr">
        <is>
          <t>Paid Leave</t>
        </is>
      </c>
      <c r="N5696" s="11">
        <f>HYPERLINK("https://www.vietnamworks.com/freight-forwarding-procurement-expert-2016394-jv","Xem chi tiết")</f>
        <v/>
      </c>
      <c r="O5696" s="10" t="n"/>
    </row>
    <row r="5697">
      <c r="B5697" s="7" t="n">
        <v>5695</v>
      </c>
      <c r="C5697" t="inlineStr">
        <is>
          <t>Trợ lý kinh doanh - 销售助理</t>
        </is>
      </c>
      <c r="D5697" t="inlineStr">
        <is>
          <t>CÔNG TY TNHH TOPOINT VIỆT NAM</t>
        </is>
      </c>
      <c r="E5697" t="inlineStr">
        <is>
          <t>$$ 500-1,000 /tháng</t>
        </is>
      </c>
      <c r="F5697" t="inlineStr">
        <is>
          <t>Bắc Ninh</t>
        </is>
      </c>
      <c r="G5697" t="inlineStr">
        <is>
          <t>Nhân viên</t>
        </is>
      </c>
      <c r="H5697" t="inlineStr">
        <is>
          <t>02/03/2026</t>
        </is>
      </c>
      <c r="I5697" t="inlineStr">
        <is>
          <t>01/04/2026</t>
        </is>
      </c>
      <c r="J5697" t="inlineStr">
        <is>
          <t>17/03/2026</t>
        </is>
      </c>
      <c r="K5697" t="inlineStr">
        <is>
          <t>N/A</t>
        </is>
      </c>
      <c r="L5697" t="inlineStr">
        <is>
          <t>Maintain Customer Relationship, Team Cooperation, 出口报关, 沟通技巧, 订单跟进</t>
        </is>
      </c>
      <c r="M5697" t="inlineStr">
        <is>
          <t>Laptop</t>
        </is>
      </c>
      <c r="N5697" s="8">
        <f>HYPERLINK("https://www.vietnamworks.com/tro-ly-kinh-doanh-2016411-jv","Xem chi tiết")</f>
        <v/>
      </c>
    </row>
    <row r="5698">
      <c r="B5698" s="9" t="n">
        <v>5696</v>
      </c>
      <c r="C5698" s="10" t="inlineStr">
        <is>
          <t>Nhân Viên Marketing - ngành Mỹ Phẩm</t>
        </is>
      </c>
      <c r="D5698" s="10" t="inlineStr">
        <is>
          <t>Công Ty TNHH IMU</t>
        </is>
      </c>
      <c r="E5698" s="10" t="inlineStr">
        <is>
          <t>15tr-30tr ₫/tháng</t>
        </is>
      </c>
      <c r="F5698" s="10" t="inlineStr">
        <is>
          <t>Hồ Chí Minh</t>
        </is>
      </c>
      <c r="G5698" s="10" t="inlineStr">
        <is>
          <t>Nhân viên</t>
        </is>
      </c>
      <c r="H5698" s="10" t="inlineStr">
        <is>
          <t>02/03/2026</t>
        </is>
      </c>
      <c r="I5698" s="10" t="inlineStr">
        <is>
          <t>01/04/2026</t>
        </is>
      </c>
      <c r="J5698" s="10" t="inlineStr">
        <is>
          <t>17/03/2026</t>
        </is>
      </c>
      <c r="K5698" s="10" t="inlineStr">
        <is>
          <t>N/A</t>
        </is>
      </c>
      <c r="L5698" s="10" t="inlineStr">
        <is>
          <t>Communication Skills, Content Creation, Koc Collaboration, Social Media Management, Trend Analysis</t>
        </is>
      </c>
      <c r="M5698" s="10" t="inlineStr">
        <is>
          <t>Training, Others</t>
        </is>
      </c>
      <c r="N5698" s="11">
        <f>HYPERLINK("https://www.vietnamworks.com/nhan-vien-marketing-nganh-my-pham-2016415-jv","Xem chi tiết")</f>
        <v/>
      </c>
      <c r="O5698" s="10" t="n"/>
    </row>
    <row r="5699">
      <c r="B5699" s="7" t="n">
        <v>5697</v>
      </c>
      <c r="C5699" t="inlineStr">
        <is>
          <t>Sales Engineer Staff (Chinese Language)-Salary Up to $1100</t>
        </is>
      </c>
      <c r="D5699" t="inlineStr">
        <is>
          <t>Misumi Vietnam Co., Ltd</t>
        </is>
      </c>
      <c r="E5699" t="inlineStr">
        <is>
          <t>$$ 700-1,100 /tháng</t>
        </is>
      </c>
      <c r="F5699" t="inlineStr">
        <is>
          <t>Hà Nội, Bắc Ninh</t>
        </is>
      </c>
      <c r="G5699" t="inlineStr">
        <is>
          <t>Nhân viên</t>
        </is>
      </c>
      <c r="H5699" t="inlineStr">
        <is>
          <t>02/03/2026</t>
        </is>
      </c>
      <c r="I5699" t="inlineStr">
        <is>
          <t>01/04/2026</t>
        </is>
      </c>
      <c r="J5699" t="inlineStr">
        <is>
          <t>17/03/2026</t>
        </is>
      </c>
      <c r="K5699" t="inlineStr">
        <is>
          <t>N/A</t>
        </is>
      </c>
      <c r="L5699" t="inlineStr">
        <is>
          <t>Technical background, HSK5, Kinh Doanh Kỹ Thuật, Sales Planning, Sales Technical</t>
        </is>
      </c>
      <c r="M5699" t="inlineStr">
        <is>
          <t>Bonus, Healthcare Plan, Training, Team Activities</t>
        </is>
      </c>
      <c r="N5699" s="8">
        <f>HYPERLINK("https://www.vietnamworks.com/sales-engineer-staff-chinese-language-salary-up-to-dollar1100-2016395-jv","Xem chi tiết")</f>
        <v/>
      </c>
    </row>
    <row r="5700">
      <c r="B5700" s="9" t="n">
        <v>5698</v>
      </c>
      <c r="C5700" s="10" t="inlineStr">
        <is>
          <t>Kế Toán Công Trình (Trưởng nhóm)</t>
        </is>
      </c>
      <c r="D5700" s="10" t="inlineStr">
        <is>
          <t>AA Corporation</t>
        </is>
      </c>
      <c r="E5700" s="10" t="inlineStr">
        <is>
          <t>$$ 1,000-1,000 /tháng</t>
        </is>
      </c>
      <c r="F5700" s="10" t="inlineStr">
        <is>
          <t>Hồ Chí Minh</t>
        </is>
      </c>
      <c r="G5700" s="10" t="inlineStr">
        <is>
          <t>Nhân viên</t>
        </is>
      </c>
      <c r="H5700" s="10" t="inlineStr">
        <is>
          <t>02/03/2026</t>
        </is>
      </c>
      <c r="I5700" s="10" t="inlineStr">
        <is>
          <t>01/04/2026</t>
        </is>
      </c>
      <c r="J5700" s="10" t="inlineStr">
        <is>
          <t>17/03/2026</t>
        </is>
      </c>
      <c r="K5700" s="10" t="inlineStr">
        <is>
          <t>N/A</t>
        </is>
      </c>
      <c r="L5700" s="10" t="inlineStr">
        <is>
          <t>Hạch Toán, Kế Toán Công Trường, Kiểm toán, Tài Chính Kế Toán, Theo Dõi Công Nợ</t>
        </is>
      </c>
      <c r="M5700" s="10" t="inlineStr">
        <is>
          <t>Bonus, Training, Team Activities, Others</t>
        </is>
      </c>
      <c r="N5700" s="11">
        <f>HYPERLINK("https://www.vietnamworks.com/ke-toan-cong-trinh-truong-nhom-2016401-jv","Xem chi tiết")</f>
        <v/>
      </c>
      <c r="O5700" s="10" t="n"/>
    </row>
    <row r="5701">
      <c r="B5701" s="7" t="n">
        <v>5699</v>
      </c>
      <c r="C5701" t="inlineStr">
        <is>
          <t>Chuyên Viên Kiểm Soát Thiết Kế Kết Cấu</t>
        </is>
      </c>
      <c r="D5701" t="inlineStr">
        <is>
          <t>Tập đoàn Hateco</t>
        </is>
      </c>
      <c r="E5701" t="inlineStr">
        <is>
          <t>$$ 800-1,400 /tháng</t>
        </is>
      </c>
      <c r="F5701" t="inlineStr">
        <is>
          <t>Hà Nội</t>
        </is>
      </c>
      <c r="G5701" t="inlineStr">
        <is>
          <t>Nhân viên</t>
        </is>
      </c>
      <c r="H5701" t="inlineStr">
        <is>
          <t>02/03/2026</t>
        </is>
      </c>
      <c r="I5701" t="inlineStr">
        <is>
          <t>01/04/2026</t>
        </is>
      </c>
      <c r="J5701" t="inlineStr">
        <is>
          <t>17/03/2026</t>
        </is>
      </c>
      <c r="K5701" t="inlineStr">
        <is>
          <t>N/A</t>
        </is>
      </c>
      <c r="L5701" t="inlineStr">
        <is>
          <t>Kiếm Soát Thiết Kế, Kết Cấu Công Trình, Chủ Trì Kết Cấu, Kết Cấu Xây Dựng, Design Management</t>
        </is>
      </c>
      <c r="M5701" t="inlineStr">
        <is>
          <t>Bonus, Team Activities, Canteen</t>
        </is>
      </c>
      <c r="N5701" s="8">
        <f>HYPERLINK("https://www.vietnamworks.com/chuyen-vien-kiem-soat-thiet-ke-ket-cau--2016419-jv","Xem chi tiết")</f>
        <v/>
      </c>
    </row>
    <row r="5702">
      <c r="B5702" s="9" t="n">
        <v>5700</v>
      </c>
      <c r="C5702" s="10" t="inlineStr">
        <is>
          <t>Nhân Viên Thiết Kế 3D</t>
        </is>
      </c>
      <c r="D5702" s="10" t="inlineStr">
        <is>
          <t>CÔNG TY CỔ PHẦN XÂY DỰNG VÀ ĐẦU TƯ GALAXY</t>
        </is>
      </c>
      <c r="E5702" s="10" t="inlineStr">
        <is>
          <t>Thương lượng</t>
        </is>
      </c>
      <c r="F5702" s="10" t="inlineStr">
        <is>
          <t>Hồ Chí Minh</t>
        </is>
      </c>
      <c r="G5702" s="10" t="inlineStr">
        <is>
          <t>Nhân viên</t>
        </is>
      </c>
      <c r="H5702" s="10" t="inlineStr">
        <is>
          <t>02/03/2026</t>
        </is>
      </c>
      <c r="I5702" s="10" t="inlineStr">
        <is>
          <t>01/04/2026</t>
        </is>
      </c>
      <c r="J5702" s="10" t="inlineStr">
        <is>
          <t>17/03/2026</t>
        </is>
      </c>
      <c r="K5702" s="10" t="inlineStr">
        <is>
          <t>N/A</t>
        </is>
      </c>
      <c r="L5702" s="10" t="inlineStr">
        <is>
          <t>Thiết Kế 3D, AutoCAD, 3DSMAX, Photoshop, Thiết Kế Kiến Trúc Nội Thất</t>
        </is>
      </c>
      <c r="M5702" s="10" t="inlineStr">
        <is>
          <t>Bonus, Healthcare Plan, Travel Opportunities, Others</t>
        </is>
      </c>
      <c r="N5702" s="11">
        <f>HYPERLINK("https://www.vietnamworks.com/nhan-vien-thiet-ke-3d-2016408-jv","Xem chi tiết")</f>
        <v/>
      </c>
      <c r="O5702" s="10" t="n"/>
    </row>
    <row r="5703">
      <c r="B5703" s="7" t="n">
        <v>5701</v>
      </c>
      <c r="C5703" t="inlineStr">
        <is>
          <t>Giám Sát Chất Lượng QA/QC</t>
        </is>
      </c>
      <c r="D5703" t="inlineStr">
        <is>
          <t>CÔNG TY CỔ PHẦN XÂY DỰNG VÀ ĐẦU TƯ GALAXY</t>
        </is>
      </c>
      <c r="E5703" t="inlineStr">
        <is>
          <t>Thương lượng</t>
        </is>
      </c>
      <c r="F5703" t="inlineStr">
        <is>
          <t>Hồ Chí Minh</t>
        </is>
      </c>
      <c r="G5703" t="inlineStr">
        <is>
          <t>Nhân viên</t>
        </is>
      </c>
      <c r="H5703" t="inlineStr">
        <is>
          <t>02/03/2026</t>
        </is>
      </c>
      <c r="I5703" t="inlineStr">
        <is>
          <t>01/04/2026</t>
        </is>
      </c>
      <c r="J5703" t="inlineStr">
        <is>
          <t>17/03/2026</t>
        </is>
      </c>
      <c r="K5703" t="inlineStr">
        <is>
          <t>N/A</t>
        </is>
      </c>
      <c r="L5703" t="inlineStr">
        <is>
          <t>Giám Sát Công Trình, An Toàn Lao Động, Xây Dựng, Giám Sát Chất Lượng, Giám Sát Chất Lượng Thi Công</t>
        </is>
      </c>
      <c r="M5703" t="inlineStr">
        <is>
          <t>Bonus, Healthcare Plan, Paid Leave, Others</t>
        </is>
      </c>
      <c r="N5703" s="8">
        <f>HYPERLINK("https://www.vietnamworks.com/giam-sat-chat-luong-qaqc-2016403-jv","Xem chi tiết")</f>
        <v/>
      </c>
    </row>
    <row r="5704">
      <c r="B5704" s="9" t="n">
        <v>5702</v>
      </c>
      <c r="C5704" s="10" t="inlineStr">
        <is>
          <t>Nhân Viên Vật Tư</t>
        </is>
      </c>
      <c r="D5704" s="10" t="inlineStr">
        <is>
          <t>CÔNG TY CỔ PHẦN XÂY DỰNG VÀ ĐẦU TƯ GALAXY</t>
        </is>
      </c>
      <c r="E5704" s="10" t="inlineStr">
        <is>
          <t>Thương lượng</t>
        </is>
      </c>
      <c r="F5704" s="10" t="inlineStr">
        <is>
          <t>Hồ Chí Minh</t>
        </is>
      </c>
      <c r="G5704" s="10" t="inlineStr">
        <is>
          <t>Nhân viên</t>
        </is>
      </c>
      <c r="H5704" s="10" t="inlineStr">
        <is>
          <t>02/03/2026</t>
        </is>
      </c>
      <c r="I5704" s="10" t="inlineStr">
        <is>
          <t>01/04/2026</t>
        </is>
      </c>
      <c r="J5704" s="10" t="inlineStr">
        <is>
          <t>17/03/2026</t>
        </is>
      </c>
      <c r="K5704" s="10" t="inlineStr">
        <is>
          <t>N/A</t>
        </is>
      </c>
      <c r="L5704" s="10" t="inlineStr">
        <is>
          <t>Lập Hồ Sơ Thanh Toán, Mua Hàng, Mua Hàng Vật Tư, Xây Dựng, Xuất Nhập Khẩu</t>
        </is>
      </c>
      <c r="M5704" s="10" t="inlineStr">
        <is>
          <t>Bonus, Paid Leave, Travel Opportunities, Others</t>
        </is>
      </c>
      <c r="N5704" s="11">
        <f>HYPERLINK("https://www.vietnamworks.com/nhan-vien-vat-tu-2016406-jv","Xem chi tiết")</f>
        <v/>
      </c>
      <c r="O5704" s="10" t="n"/>
    </row>
    <row r="5705">
      <c r="B5705" s="7" t="n">
        <v>5703</v>
      </c>
      <c r="C5705" t="inlineStr">
        <is>
          <t>Ecom Digital Manager</t>
        </is>
      </c>
      <c r="D5705" t="inlineStr">
        <is>
          <t>CÔNG TY TNHH PHÂN PHỐI TIÊN TIẾN</t>
        </is>
      </c>
      <c r="E5705" t="inlineStr">
        <is>
          <t>Thương lượng</t>
        </is>
      </c>
      <c r="F5705" t="inlineStr">
        <is>
          <t>Hồ Chí Minh</t>
        </is>
      </c>
      <c r="G5705" t="inlineStr">
        <is>
          <t>Trưởng phòng</t>
        </is>
      </c>
      <c r="H5705" t="inlineStr">
        <is>
          <t>02/03/2026</t>
        </is>
      </c>
      <c r="I5705" t="inlineStr">
        <is>
          <t>01/04/2026</t>
        </is>
      </c>
      <c r="J5705" t="inlineStr">
        <is>
          <t>17/03/2026</t>
        </is>
      </c>
      <c r="K5705" t="inlineStr">
        <is>
          <t>N/A</t>
        </is>
      </c>
      <c r="L5705" t="inlineStr">
        <is>
          <t>Ecommerce Platforms, Digital Marketing, Budget Management, Advertising Campaign, Marketing Planning</t>
        </is>
      </c>
      <c r="M5705" t="inlineStr">
        <is>
          <t>Bonus, Healthcare Plan, Training, Others</t>
        </is>
      </c>
      <c r="N5705" s="8">
        <f>HYPERLINK("https://www.vietnamworks.com/ecom-digital-manager-2016414-jv","Xem chi tiết")</f>
        <v/>
      </c>
    </row>
    <row r="5706">
      <c r="B5706" s="9" t="n">
        <v>5704</v>
      </c>
      <c r="C5706" s="10" t="inlineStr">
        <is>
          <t>Kỹ Sư Cơ Điện (Giám Sát / Thiết Kế)</t>
        </is>
      </c>
      <c r="D5706" s="10" t="inlineStr">
        <is>
          <t>CÔNG TY CỔ PHẦN XÂY DỰNG CƠ ĐIỆN LÊ NGUYÊN</t>
        </is>
      </c>
      <c r="E5706" s="10" t="inlineStr">
        <is>
          <t>13tr-23tr ₫/tháng</t>
        </is>
      </c>
      <c r="F5706" s="10" t="inlineStr">
        <is>
          <t>Hồ Chí Minh</t>
        </is>
      </c>
      <c r="G5706" s="10" t="inlineStr">
        <is>
          <t>Nhân viên</t>
        </is>
      </c>
      <c r="H5706" s="10" t="inlineStr">
        <is>
          <t>02/03/2026</t>
        </is>
      </c>
      <c r="I5706" s="10" t="inlineStr">
        <is>
          <t>01/04/2026</t>
        </is>
      </c>
      <c r="J5706" s="10" t="inlineStr">
        <is>
          <t>17/03/2026</t>
        </is>
      </c>
      <c r="K5706" s="10" t="inlineStr">
        <is>
          <t>N/A</t>
        </is>
      </c>
      <c r="L5706" s="10" t="inlineStr">
        <is>
          <t>Thiết Kế Cơ Điện, Triển Khai Bản Vẽ, Thi công MEP, Autocad, Revit</t>
        </is>
      </c>
      <c r="M5706" s="10" t="inlineStr">
        <is>
          <t>Bonus, Healthcare Plan, Others</t>
        </is>
      </c>
      <c r="N5706" s="11">
        <f>HYPERLINK("https://www.vietnamworks.com/ky-su-co-dien-giam-sat-thiet-ke-2016416-jv","Xem chi tiết")</f>
        <v/>
      </c>
      <c r="O5706" s="10" t="n"/>
    </row>
    <row r="5707">
      <c r="B5707" s="7" t="n">
        <v>5705</v>
      </c>
      <c r="C5707" t="inlineStr">
        <is>
          <t>Kỹ Sư QS Công Trình</t>
        </is>
      </c>
      <c r="D5707" t="inlineStr">
        <is>
          <t>CÔNG TY CỔ PHẦN XÂY DỰNG CƠ ĐIỆN LÊ NGUYÊN</t>
        </is>
      </c>
      <c r="E5707" t="inlineStr">
        <is>
          <t>18tr-20tr ₫/tháng</t>
        </is>
      </c>
      <c r="F5707" t="inlineStr">
        <is>
          <t>Hồ Chí Minh</t>
        </is>
      </c>
      <c r="G5707" t="inlineStr">
        <is>
          <t>Nhân viên</t>
        </is>
      </c>
      <c r="H5707" t="inlineStr">
        <is>
          <t>02/03/2026</t>
        </is>
      </c>
      <c r="I5707" t="inlineStr">
        <is>
          <t>01/04/2026</t>
        </is>
      </c>
      <c r="J5707" t="inlineStr">
        <is>
          <t>17/03/2026</t>
        </is>
      </c>
      <c r="K5707" t="inlineStr">
        <is>
          <t>N/A</t>
        </is>
      </c>
      <c r="L5707" t="inlineStr">
        <is>
          <t>Dự Toán Xây Dựng, AutoCAD, Nghiệm Thu, Kỹ Thuật Xây Dựng, Cơ Điện</t>
        </is>
      </c>
      <c r="M5707" t="inlineStr">
        <is>
          <t>Bonus, Healthcare Plan, Others</t>
        </is>
      </c>
      <c r="N5707" s="8">
        <f>HYPERLINK("https://www.vietnamworks.com/ky-su-qs-cong-trinh--2016417-jv","Xem chi tiết")</f>
        <v/>
      </c>
    </row>
    <row r="5708">
      <c r="B5708" s="9" t="n">
        <v>5706</v>
      </c>
      <c r="C5708" s="10" t="inlineStr">
        <is>
          <t>Chuyên Viên/Nhân viên thiết kế Hạ Tầng (M&amp;E, CTN, Giao thông)</t>
        </is>
      </c>
      <c r="D5708" s="10" t="inlineStr">
        <is>
          <t>Công Ty Cổ Phần Vinhomes</t>
        </is>
      </c>
      <c r="E5708" s="10" t="inlineStr">
        <is>
          <t>Thương lượng</t>
        </is>
      </c>
      <c r="F5708" s="10" t="inlineStr">
        <is>
          <t>Hà Nội</t>
        </is>
      </c>
      <c r="G5708" s="10" t="inlineStr">
        <is>
          <t>Nhân viên</t>
        </is>
      </c>
      <c r="H5708" s="10" t="inlineStr">
        <is>
          <t>02/03/2026</t>
        </is>
      </c>
      <c r="I5708" s="10" t="inlineStr">
        <is>
          <t>01/04/2026</t>
        </is>
      </c>
      <c r="J5708" s="10" t="inlineStr">
        <is>
          <t>17/03/2026</t>
        </is>
      </c>
      <c r="K5708" s="10" t="inlineStr">
        <is>
          <t>N/A</t>
        </is>
      </c>
      <c r="L5708" s="10" t="inlineStr">
        <is>
          <t>Autocad, Cấp Thoát Nước, Civil 3D, Thiết Kế Kết Cấu Cao Tầng, Trách Nhiệm Cao</t>
        </is>
      </c>
      <c r="M5708" s="10" t="inlineStr">
        <is>
          <t>Bonus</t>
        </is>
      </c>
      <c r="N5708" s="11">
        <f>HYPERLINK("https://www.vietnamworks.com/chuyen-viennhan-vien-thiet-ke-ha-tang-mande-ctn-giao-thong-2016398-jv","Xem chi tiết")</f>
        <v/>
      </c>
      <c r="O5708" s="10" t="n"/>
    </row>
    <row r="5709">
      <c r="B5709" s="7" t="n">
        <v>5707</v>
      </c>
      <c r="C5709" t="inlineStr">
        <is>
          <t>ISO Specialist</t>
        </is>
      </c>
      <c r="D5709" t="inlineStr">
        <is>
          <t>Nefab Vietnam</t>
        </is>
      </c>
      <c r="E5709" t="inlineStr">
        <is>
          <t>Thương lượng</t>
        </is>
      </c>
      <c r="F5709" t="inlineStr">
        <is>
          <t>Bắc Ninh</t>
        </is>
      </c>
      <c r="G5709" t="inlineStr">
        <is>
          <t>Nhân viên</t>
        </is>
      </c>
      <c r="H5709" t="inlineStr">
        <is>
          <t>02/03/2026</t>
        </is>
      </c>
      <c r="I5709" t="inlineStr">
        <is>
          <t>01/04/2026</t>
        </is>
      </c>
      <c r="J5709" t="inlineStr">
        <is>
          <t>17/03/2026</t>
        </is>
      </c>
      <c r="K5709" t="inlineStr">
        <is>
          <t>N/A</t>
        </is>
      </c>
      <c r="L5709" t="inlineStr">
        <is>
          <t>HSE, ISO, Quality Management, QMS Compliance, Audit Management</t>
        </is>
      </c>
      <c r="M5709" t="inlineStr">
        <is>
          <t>Bonus, Healthcare Plan, Awards</t>
        </is>
      </c>
      <c r="N5709" s="8">
        <f>HYPERLINK("https://www.vietnamworks.com/iso-specialist--2016399-jv","Xem chi tiết")</f>
        <v/>
      </c>
    </row>
    <row r="5710">
      <c r="B5710" s="9" t="n">
        <v>5708</v>
      </c>
      <c r="C5710" s="10" t="inlineStr">
        <is>
          <t>Creative Manager</t>
        </is>
      </c>
      <c r="D5710" s="10" t="inlineStr">
        <is>
          <t>The Grand Ho Tram</t>
        </is>
      </c>
      <c r="E5710" s="10" t="inlineStr">
        <is>
          <t>Thương lượng</t>
        </is>
      </c>
      <c r="F5710" s="10" t="inlineStr">
        <is>
          <t>Hồ Chí Minh</t>
        </is>
      </c>
      <c r="G5710" s="10" t="inlineStr">
        <is>
          <t>Trưởng phòng</t>
        </is>
      </c>
      <c r="H5710" s="10" t="inlineStr">
        <is>
          <t>02/03/2026</t>
        </is>
      </c>
      <c r="I5710" s="10" t="inlineStr">
        <is>
          <t>01/04/2026</t>
        </is>
      </c>
      <c r="J5710" s="10" t="inlineStr">
        <is>
          <t>17/03/2026</t>
        </is>
      </c>
      <c r="K5710" s="10" t="inlineStr">
        <is>
          <t>N/A</t>
        </is>
      </c>
      <c r="L5710" s="10" t="inlineStr">
        <is>
          <t>Truyền Thông, Creative Marketing, Advertising, Marketing Planning, Branding</t>
        </is>
      </c>
      <c r="M5710" s="10" t="inlineStr">
        <is>
          <t>Healthcare Plan, Transportation, Canteen</t>
        </is>
      </c>
      <c r="N5710" s="11">
        <f>HYPERLINK("https://www.vietnamworks.com/creative-manager--2016421-jv","Xem chi tiết")</f>
        <v/>
      </c>
      <c r="O5710" s="10" t="n"/>
    </row>
    <row r="5711">
      <c r="B5711" s="7" t="n">
        <v>5709</v>
      </c>
      <c r="C5711" t="inlineStr">
        <is>
          <t>Staff Accountant</t>
        </is>
      </c>
      <c r="D5711" t="inlineStr">
        <is>
          <t>CÔNG TY TNHH STARTUP ASSISTANT AZ</t>
        </is>
      </c>
      <c r="E5711" t="inlineStr">
        <is>
          <t>Thương lượng</t>
        </is>
      </c>
      <c r="F5711" t="inlineStr">
        <is>
          <t>Hồ Chí Minh</t>
        </is>
      </c>
      <c r="G5711" t="inlineStr">
        <is>
          <t>Nhân viên</t>
        </is>
      </c>
      <c r="H5711" t="inlineStr">
        <is>
          <t>02/03/2026</t>
        </is>
      </c>
      <c r="I5711" t="inlineStr">
        <is>
          <t>01/04/2026</t>
        </is>
      </c>
      <c r="J5711" t="inlineStr">
        <is>
          <t>17/03/2026</t>
        </is>
      </c>
      <c r="K5711" t="inlineStr">
        <is>
          <t>N/A</t>
        </is>
      </c>
      <c r="L5711" t="inlineStr">
        <is>
          <t>Accounting, QuickBooks Online, Xero Accounting Software, Microsoft Office, IFRS</t>
        </is>
      </c>
      <c r="M5711" t="inlineStr">
        <is>
          <t>Healthcare Plan, Paid Leave, Travel Opportunities, Team Activities, Others</t>
        </is>
      </c>
      <c r="N5711" s="8">
        <f>HYPERLINK("https://www.vietnamworks.com/staff-accountant-2016407-jv","Xem chi tiết")</f>
        <v/>
      </c>
    </row>
    <row r="5712">
      <c r="B5712" s="9" t="n">
        <v>5710</v>
      </c>
      <c r="C5712" s="10" t="inlineStr">
        <is>
          <t>IT Security Engineer (Kỹ Sư An Toàn Thông Tin)</t>
        </is>
      </c>
      <c r="D5712" s="10" t="inlineStr">
        <is>
          <t>Ngân Hàng TNHH MTV Woori Việt Nam</t>
        </is>
      </c>
      <c r="E5712" s="10" t="inlineStr">
        <is>
          <t>Thương lượng</t>
        </is>
      </c>
      <c r="F5712" s="10" t="inlineStr">
        <is>
          <t>Hà Nội</t>
        </is>
      </c>
      <c r="G5712" s="10" t="inlineStr">
        <is>
          <t>Nhân viên</t>
        </is>
      </c>
      <c r="H5712" s="10" t="inlineStr">
        <is>
          <t>02/03/2026</t>
        </is>
      </c>
      <c r="I5712" s="10" t="inlineStr">
        <is>
          <t>01/04/2026</t>
        </is>
      </c>
      <c r="J5712" s="10" t="inlineStr">
        <is>
          <t>17/03/2026</t>
        </is>
      </c>
      <c r="K5712" s="10" t="inlineStr">
        <is>
          <t>N/A</t>
        </is>
      </c>
      <c r="L5712" s="10" t="inlineStr">
        <is>
          <t>Authorization Control, English Language Proficiency, Information Security, Security Infrastructure, Vulnerability Scanning</t>
        </is>
      </c>
      <c r="M5712" s="10" t="inlineStr">
        <is>
          <t>Healthcare Plan, Paid Leave, Training, Team Activities, Others</t>
        </is>
      </c>
      <c r="N5712" s="11">
        <f>HYPERLINK("https://www.vietnamworks.com/it-security-engineer-ky-su-an-toan-thong-tin-2016409-jv","Xem chi tiết")</f>
        <v/>
      </c>
      <c r="O5712" s="10" t="n"/>
    </row>
    <row r="5713">
      <c r="B5713" s="7" t="n">
        <v>5711</v>
      </c>
      <c r="C5713" t="inlineStr">
        <is>
          <t>Quản Lý Sản Phẩm Kênh ETC (PM ETC)</t>
        </is>
      </c>
      <c r="D5713" t="inlineStr">
        <is>
          <t>Công Ty Cổ Phần Dược Phẩm Vĩnh Phúc</t>
        </is>
      </c>
      <c r="E5713" t="inlineStr">
        <is>
          <t>Thương lượng</t>
        </is>
      </c>
      <c r="F5713" t="inlineStr">
        <is>
          <t>Hà Nội</t>
        </is>
      </c>
      <c r="G5713" t="inlineStr">
        <is>
          <t>Nhân viên</t>
        </is>
      </c>
      <c r="H5713" t="inlineStr">
        <is>
          <t>02/03/2026</t>
        </is>
      </c>
      <c r="I5713" t="inlineStr">
        <is>
          <t>01/04/2026</t>
        </is>
      </c>
      <c r="J5713" t="inlineStr">
        <is>
          <t>17/03/2026</t>
        </is>
      </c>
      <c r="K5713" t="inlineStr">
        <is>
          <t>N/A</t>
        </is>
      </c>
      <c r="L5713" t="inlineStr">
        <is>
          <t>Quản Lý Sản Phẩm, Nghiên Cứu Thị Trường</t>
        </is>
      </c>
      <c r="M5713" t="inlineStr">
        <is>
          <t>Bonus, Healthcare Plan, Travel Opportunities</t>
        </is>
      </c>
      <c r="N5713" s="8">
        <f>HYPERLINK("https://www.vietnamworks.com/quan-ly-san-pham-kenh-etc-pm-etc--2016425-jv","Xem chi tiết")</f>
        <v/>
      </c>
    </row>
    <row r="5714">
      <c r="B5714" s="9" t="n">
        <v>5712</v>
      </c>
      <c r="C5714" s="10" t="inlineStr">
        <is>
          <t>Chuyên Viên Đề Xuất Sản Phẩm Dược Phẩm Mới</t>
        </is>
      </c>
      <c r="D5714" s="10" t="inlineStr">
        <is>
          <t>Công Ty Cổ Phần Dược Phẩm Vĩnh Phúc</t>
        </is>
      </c>
      <c r="E5714" s="10" t="inlineStr">
        <is>
          <t>Thương lượng</t>
        </is>
      </c>
      <c r="F5714" s="10" t="inlineStr">
        <is>
          <t>Hà Nội</t>
        </is>
      </c>
      <c r="G5714" s="10" t="inlineStr">
        <is>
          <t>Nhân viên</t>
        </is>
      </c>
      <c r="H5714" s="10" t="inlineStr">
        <is>
          <t>02/03/2026</t>
        </is>
      </c>
      <c r="I5714" s="10" t="inlineStr">
        <is>
          <t>01/04/2026</t>
        </is>
      </c>
      <c r="J5714" s="10" t="inlineStr">
        <is>
          <t>17/03/2026</t>
        </is>
      </c>
      <c r="K5714" s="10" t="inlineStr">
        <is>
          <t>N/A</t>
        </is>
      </c>
      <c r="L5714" s="10" t="inlineStr">
        <is>
          <t>Giao Tiếp Tiếng Anh, Kinh Doanh Thuốc, Nghiên Cứu Thị Trường, Phân Tích Thị Trường, Phát Triển Sản Phẩm</t>
        </is>
      </c>
      <c r="M5714" s="10" t="inlineStr">
        <is>
          <t>Bonus, Healthcare Plan, Training, Team Activities, Others</t>
        </is>
      </c>
      <c r="N5714" s="11">
        <f>HYPERLINK("https://www.vietnamworks.com/chuyen-vien-dje-xuat-san-pham-duoc-pham-moi-2016422-jv","Xem chi tiết")</f>
        <v/>
      </c>
      <c r="O5714" s="10" t="n"/>
    </row>
    <row r="5715">
      <c r="B5715" s="7" t="n">
        <v>5713</v>
      </c>
      <c r="C5715" t="inlineStr">
        <is>
          <t>Nhân Viên Triển Khai 2D</t>
        </is>
      </c>
      <c r="D5715" t="inlineStr">
        <is>
          <t>CÔNG TY CỔ PHẦN XÂY DỰNG VÀ ĐẦU TƯ GALAXY</t>
        </is>
      </c>
      <c r="E5715" t="inlineStr">
        <is>
          <t>Thương lượng</t>
        </is>
      </c>
      <c r="F5715" t="inlineStr">
        <is>
          <t>Hồ Chí Minh</t>
        </is>
      </c>
      <c r="G5715" t="inlineStr">
        <is>
          <t>Nhân viên</t>
        </is>
      </c>
      <c r="H5715" t="inlineStr">
        <is>
          <t>02/03/2026</t>
        </is>
      </c>
      <c r="I5715" t="inlineStr">
        <is>
          <t>01/04/2026</t>
        </is>
      </c>
      <c r="J5715" t="inlineStr">
        <is>
          <t>17/03/2026</t>
        </is>
      </c>
      <c r="K5715" t="inlineStr">
        <is>
          <t>N/A</t>
        </is>
      </c>
      <c r="L5715" t="inlineStr">
        <is>
          <t>AutoCAD, Nội Thất, Khảo Sát Công Trình, Kiến Trúc, Triển Khai Bản Vẽ</t>
        </is>
      </c>
      <c r="M5715" t="inlineStr">
        <is>
          <t>Bonus, Paid Leave, Library, Others</t>
        </is>
      </c>
      <c r="N5715" s="8">
        <f>HYPERLINK("https://www.vietnamworks.com/nhan-vien-trien-khai-2d-2016427-jv","Xem chi tiết")</f>
        <v/>
      </c>
    </row>
    <row r="5716">
      <c r="B5716" s="9" t="n">
        <v>5714</v>
      </c>
      <c r="C5716" s="10" t="inlineStr">
        <is>
          <t>Air Customer Service, HCM</t>
        </is>
      </c>
      <c r="D5716" s="10" t="inlineStr">
        <is>
          <t>Công Ty TNHH Eusu Logistics Việt Nam</t>
        </is>
      </c>
      <c r="E5716" s="10" t="inlineStr">
        <is>
          <t>Thương lượng</t>
        </is>
      </c>
      <c r="F5716" s="10" t="inlineStr">
        <is>
          <t>Hồ Chí Minh</t>
        </is>
      </c>
      <c r="G5716" s="10" t="inlineStr">
        <is>
          <t>Nhân viên</t>
        </is>
      </c>
      <c r="H5716" s="10" t="inlineStr">
        <is>
          <t>02/03/2026</t>
        </is>
      </c>
      <c r="I5716" s="10" t="inlineStr">
        <is>
          <t>01/04/2026</t>
        </is>
      </c>
      <c r="J5716" s="10" t="inlineStr">
        <is>
          <t>17/03/2026</t>
        </is>
      </c>
      <c r="K5716" s="10" t="inlineStr">
        <is>
          <t>N/A</t>
        </is>
      </c>
      <c r="L5716" s="10" t="inlineStr">
        <is>
          <t>Logistics, Freight Forwarding, Air Freight, Import &amp; Export, Documentation Handling</t>
        </is>
      </c>
      <c r="M5716" s="10" t="inlineStr">
        <is>
          <t>Bonus, Healthcare Plan, Team Activities</t>
        </is>
      </c>
      <c r="N5716" s="11">
        <f>HYPERLINK("https://www.vietnamworks.com/air-customer-service-hcm--2016430-jv","Xem chi tiết")</f>
        <v/>
      </c>
      <c r="O5716" s="10" t="n"/>
    </row>
    <row r="5717">
      <c r="B5717" s="7" t="n">
        <v>5715</v>
      </c>
      <c r="C5717" t="inlineStr">
        <is>
          <t>Kỹ Thuật Điện</t>
        </is>
      </c>
      <c r="D5717" t="inlineStr">
        <is>
          <t>Công Ty TNHH Xây Dựng Đông Nam</t>
        </is>
      </c>
      <c r="E5717" t="inlineStr">
        <is>
          <t>Thương lượng</t>
        </is>
      </c>
      <c r="F5717" t="inlineStr">
        <is>
          <t>Bà Rịa - Vũng Tàu</t>
        </is>
      </c>
      <c r="G5717" t="inlineStr">
        <is>
          <t>Nhân viên</t>
        </is>
      </c>
      <c r="H5717" t="inlineStr">
        <is>
          <t>02/03/2026</t>
        </is>
      </c>
      <c r="I5717" t="inlineStr">
        <is>
          <t>01/04/2026</t>
        </is>
      </c>
      <c r="J5717" t="inlineStr">
        <is>
          <t>17/03/2026</t>
        </is>
      </c>
      <c r="K5717" t="inlineStr">
        <is>
          <t>N/A</t>
        </is>
      </c>
      <c r="L5717" t="inlineStr">
        <is>
          <t>Hệ Thống Điện, Kỹ Thuật Điện, Điện Công Nghiệp</t>
        </is>
      </c>
      <c r="M5717" t="inlineStr">
        <is>
          <t>Others</t>
        </is>
      </c>
      <c r="N5717" s="8">
        <f>HYPERLINK("https://www.vietnamworks.com/ky-thuat-djien-2016438-jv","Xem chi tiết")</f>
        <v/>
      </c>
    </row>
    <row r="5718">
      <c r="B5718" s="9" t="n">
        <v>5716</v>
      </c>
      <c r="C5718" s="10" t="inlineStr">
        <is>
          <t>Graphic Designer</t>
        </is>
      </c>
      <c r="D5718" s="10" t="inlineStr">
        <is>
          <t>CÔNG TY CỔ PHẦN XÂY DỰNG VÀ ĐẦU TƯ GALAXY</t>
        </is>
      </c>
      <c r="E5718" s="10" t="inlineStr">
        <is>
          <t>Thương lượng</t>
        </is>
      </c>
      <c r="F5718" s="10" t="inlineStr">
        <is>
          <t>Hồ Chí Minh</t>
        </is>
      </c>
      <c r="G5718" s="10" t="inlineStr">
        <is>
          <t>Nhân viên</t>
        </is>
      </c>
      <c r="H5718" s="10" t="inlineStr">
        <is>
          <t>02/03/2026</t>
        </is>
      </c>
      <c r="I5718" s="10" t="inlineStr">
        <is>
          <t>01/04/2026</t>
        </is>
      </c>
      <c r="J5718" s="10" t="inlineStr">
        <is>
          <t>17/03/2026</t>
        </is>
      </c>
      <c r="K5718" s="10" t="inlineStr">
        <is>
          <t>N/A</t>
        </is>
      </c>
      <c r="L5718" s="10" t="inlineStr">
        <is>
          <t>After Effect, Typography, 3D, Graphic Design, Thiết Kế Ấn Phẩm</t>
        </is>
      </c>
      <c r="M5718" s="10" t="inlineStr">
        <is>
          <t>Bonus, Paid Leave, Awards, Travel Opportunities, Others</t>
        </is>
      </c>
      <c r="N5718" s="11">
        <f>HYPERLINK("https://www.vietnamworks.com/graphic-designer-2016450-jv","Xem chi tiết")</f>
        <v/>
      </c>
      <c r="O5718" s="10" t="n"/>
    </row>
    <row r="5719">
      <c r="B5719" s="7" t="n">
        <v>5717</v>
      </c>
      <c r="C5719" t="inlineStr">
        <is>
          <t>Kế Toán Nội Bộ</t>
        </is>
      </c>
      <c r="D5719" t="inlineStr">
        <is>
          <t>CÔNG TY TNHH THƯƠNG MẠI DỊCH VỤ VÀ TRANG THIẾT BỊ Y TẾ PHÚ AN</t>
        </is>
      </c>
      <c r="E5719" t="inlineStr">
        <is>
          <t>10tr-15tr ₫/tháng</t>
        </is>
      </c>
      <c r="F5719" t="inlineStr">
        <is>
          <t>Hà Nội</t>
        </is>
      </c>
      <c r="G5719" t="inlineStr">
        <is>
          <t>Nhân viên</t>
        </is>
      </c>
      <c r="H5719" t="inlineStr">
        <is>
          <t>02/03/2026</t>
        </is>
      </c>
      <c r="I5719" t="inlineStr">
        <is>
          <t>01/04/2026</t>
        </is>
      </c>
      <c r="J5719" t="inlineStr">
        <is>
          <t>17/03/2026</t>
        </is>
      </c>
      <c r="K5719" t="inlineStr">
        <is>
          <t>N/A</t>
        </is>
      </c>
      <c r="L5719" t="inlineStr">
        <is>
          <t>Kế Toán Thanh Toán, Kế Toán Công Nợ, Kế Toán Chi Phí, Kế Toán Tổng Hợp, Accounting</t>
        </is>
      </c>
      <c r="M5719" t="inlineStr">
        <is>
          <t>Bonus, Others</t>
        </is>
      </c>
      <c r="N5719" s="8">
        <f>HYPERLINK("https://www.vietnamworks.com/ke-toan-noi-bo-2016436-jv","Xem chi tiết")</f>
        <v/>
      </c>
    </row>
    <row r="5720">
      <c r="B5720" s="9" t="n">
        <v>5718</v>
      </c>
      <c r="C5720" s="10" t="inlineStr">
        <is>
          <t>Nhân Viên Dự Toán (Phần Xây Dựng Và Hoàn Thiện Nội Thất)</t>
        </is>
      </c>
      <c r="D5720" s="10" t="inlineStr">
        <is>
          <t>CÔNG TY CỔ PHẦN XÂY DỰNG VÀ ĐẦU TƯ GALAXY</t>
        </is>
      </c>
      <c r="E5720" s="10" t="inlineStr">
        <is>
          <t>Thương lượng</t>
        </is>
      </c>
      <c r="F5720" s="10" t="inlineStr">
        <is>
          <t>Hồ Chí Minh</t>
        </is>
      </c>
      <c r="G5720" s="10" t="inlineStr">
        <is>
          <t>Nhân viên</t>
        </is>
      </c>
      <c r="H5720" s="10" t="inlineStr">
        <is>
          <t>02/03/2026</t>
        </is>
      </c>
      <c r="I5720" s="10" t="inlineStr">
        <is>
          <t>01/04/2026</t>
        </is>
      </c>
      <c r="J5720" s="10" t="inlineStr">
        <is>
          <t>17/03/2026</t>
        </is>
      </c>
      <c r="K5720" s="10" t="inlineStr">
        <is>
          <t>N/A</t>
        </is>
      </c>
      <c r="L5720" s="10" t="inlineStr">
        <is>
          <t>Dự Toán, Xây Dựng, Bóc Tách Khối Lượng, Đấu Thầu, Đọc Hiểu Bản Vẽ</t>
        </is>
      </c>
      <c r="M5720" s="10" t="inlineStr">
        <is>
          <t>Bonus, Healthcare Plan, Travel Opportunities, Others</t>
        </is>
      </c>
      <c r="N5720" s="11">
        <f>HYPERLINK("https://www.vietnamworks.com/nhan-vien-du-toan-phan-xay-dung-va-hoan-thien-noi-that-2016445-jv","Xem chi tiết")</f>
        <v/>
      </c>
      <c r="O5720" s="10" t="n"/>
    </row>
    <row r="5721">
      <c r="B5721" s="7" t="n">
        <v>5719</v>
      </c>
      <c r="C5721" t="inlineStr">
        <is>
          <t>Trợ Lý Kinh Doanh (Lương Thưởng Up To 30Tr / Tháng)</t>
        </is>
      </c>
      <c r="D5721" t="inlineStr">
        <is>
          <t>CÔNG TY CỔ PHẦN DAPDANCE</t>
        </is>
      </c>
      <c r="E5721" t="inlineStr">
        <is>
          <t>20tr-30tr ₫/tháng</t>
        </is>
      </c>
      <c r="F5721" t="inlineStr">
        <is>
          <t>Hồ Chí Minh</t>
        </is>
      </c>
      <c r="G5721" t="inlineStr">
        <is>
          <t>Nhân viên</t>
        </is>
      </c>
      <c r="H5721" t="inlineStr">
        <is>
          <t>02/03/2026</t>
        </is>
      </c>
      <c r="I5721" t="inlineStr">
        <is>
          <t>01/04/2026</t>
        </is>
      </c>
      <c r="J5721" t="inlineStr">
        <is>
          <t>17/03/2026</t>
        </is>
      </c>
      <c r="K5721" t="inlineStr">
        <is>
          <t>N/A</t>
        </is>
      </c>
      <c r="L5721" t="inlineStr">
        <is>
          <t>Chăm Sóc Khách Hàng, Hỗ Trợ Kinh Doanh, Sales Admin, Customer Sales, Adminstration</t>
        </is>
      </c>
      <c r="M5721" t="inlineStr">
        <is>
          <t>Bonus, Healthcare Plan, Training</t>
        </is>
      </c>
      <c r="N5721" s="8">
        <f>HYPERLINK("https://www.vietnamworks.com/tro-ly-kinh-doanh-luong-thuong-up-to-30tr-thang-2016442-jv","Xem chi tiết")</f>
        <v/>
      </c>
    </row>
    <row r="5722">
      <c r="B5722" s="9" t="n">
        <v>5720</v>
      </c>
      <c r="C5722" s="10" t="inlineStr">
        <is>
          <t>CEO Dapfriends</t>
        </is>
      </c>
      <c r="D5722" s="10" t="inlineStr">
        <is>
          <t>Công Ty TNHH Thương Mại Dược Phẩm Đông Á</t>
        </is>
      </c>
      <c r="E5722" s="10" t="inlineStr">
        <is>
          <t>Thương lượng</t>
        </is>
      </c>
      <c r="F5722" s="10" t="inlineStr">
        <is>
          <t>Hà Nội</t>
        </is>
      </c>
      <c r="G5722" s="10" t="inlineStr">
        <is>
          <t>Giám Đốc và Cấp Cao Hơn</t>
        </is>
      </c>
      <c r="H5722" s="10" t="inlineStr">
        <is>
          <t>02/03/2026</t>
        </is>
      </c>
      <c r="I5722" s="10" t="inlineStr">
        <is>
          <t>01/04/2026</t>
        </is>
      </c>
      <c r="J5722" s="10" t="inlineStr">
        <is>
          <t>17/03/2026</t>
        </is>
      </c>
      <c r="K5722" s="10" t="inlineStr">
        <is>
          <t>N/A</t>
        </is>
      </c>
      <c r="L5722" s="10" t="inlineStr">
        <is>
          <t>Quản Lý, Digital Marketing, Social Commerce, FMCG, Thương Mại Điện Tử</t>
        </is>
      </c>
      <c r="M5722" s="10" t="inlineStr">
        <is>
          <t>Bonus, Healthcare Plan, Team Activities</t>
        </is>
      </c>
      <c r="N5722" s="11">
        <f>HYPERLINK("https://www.vietnamworks.com/ceo-dapfriends-2016441-jv","Xem chi tiết")</f>
        <v/>
      </c>
      <c r="O5722" s="10" t="n"/>
    </row>
    <row r="5723">
      <c r="B5723" s="7" t="n">
        <v>5721</v>
      </c>
      <c r="C5723" t="inlineStr">
        <is>
          <t>Chuyên Viên Môi Giới và Tư Vấn Đầu Tư</t>
        </is>
      </c>
      <c r="D5723" t="inlineStr">
        <is>
          <t>Công Ty TNHH Chứng Khoán ACB</t>
        </is>
      </c>
      <c r="E5723" t="inlineStr">
        <is>
          <t>Thương lượng</t>
        </is>
      </c>
      <c r="F5723" t="inlineStr">
        <is>
          <t>Hồ Chí Minh, Hà Nội, Cần Thơ</t>
        </is>
      </c>
      <c r="G5723" t="inlineStr">
        <is>
          <t>Nhân viên</t>
        </is>
      </c>
      <c r="H5723" t="inlineStr">
        <is>
          <t>02/03/2026</t>
        </is>
      </c>
      <c r="I5723" t="inlineStr">
        <is>
          <t>01/04/2026</t>
        </is>
      </c>
      <c r="J5723" t="inlineStr">
        <is>
          <t>17/03/2026</t>
        </is>
      </c>
      <c r="K5723" t="inlineStr">
        <is>
          <t>N/A</t>
        </is>
      </c>
      <c r="L5723" t="inlineStr">
        <is>
          <t>Môi Giới Chứng Khoán, Chứng Khoán Đầu Tư, Tư Vấn Đầu Tư, Chăm Sóc Khách Hàng, Giao Tiếp Thuyết Phục</t>
        </is>
      </c>
      <c r="M5723" t="inlineStr">
        <is>
          <t>Bonus, Healthcare Plan, Travel Opportunities</t>
        </is>
      </c>
      <c r="N5723" s="8">
        <f>HYPERLINK("https://www.vietnamworks.com/chuyen-vien-moi-gioi-va-tu-van-dau-tu--2016449-jv","Xem chi tiết")</f>
        <v/>
      </c>
    </row>
    <row r="5724">
      <c r="B5724" s="9" t="n">
        <v>5722</v>
      </c>
      <c r="C5724" s="10" t="inlineStr">
        <is>
          <t>[CN Hà Nội, CN Bắc Ninh] Giao Dịch Viên (Ưu Tiên Tiếng Hàn)</t>
        </is>
      </c>
      <c r="D5724" s="10" t="inlineStr">
        <is>
          <t>Ngân Hàng TNHH MTV Woori Việt Nam</t>
        </is>
      </c>
      <c r="E5724" s="10" t="inlineStr">
        <is>
          <t>Thương lượng</t>
        </is>
      </c>
      <c r="F5724" s="10" t="inlineStr">
        <is>
          <t>Hà Nội, Bắc Ninh</t>
        </is>
      </c>
      <c r="G5724" s="10" t="inlineStr">
        <is>
          <t>Nhân viên</t>
        </is>
      </c>
      <c r="H5724" s="10" t="inlineStr">
        <is>
          <t>02/03/2026</t>
        </is>
      </c>
      <c r="I5724" s="10" t="inlineStr">
        <is>
          <t>01/04/2026</t>
        </is>
      </c>
      <c r="J5724" s="10" t="inlineStr">
        <is>
          <t>17/03/2026</t>
        </is>
      </c>
      <c r="K5724" s="10" t="inlineStr">
        <is>
          <t>N/A</t>
        </is>
      </c>
      <c r="L5724" s="10" t="inlineStr">
        <is>
          <t>Giao Dịch Ngân Hàng, Tài Chính, Quan Hệ Khách Hàng, Tài Chính Ngân Hàng, Dịch Vụ Ngân Hàng</t>
        </is>
      </c>
      <c r="M5724" s="10" t="inlineStr">
        <is>
          <t>Bonus, Healthcare Plan, Travel Opportunities</t>
        </is>
      </c>
      <c r="N5724" s="11">
        <f>HYPERLINK("https://www.vietnamworks.com/cn-ha-noi-cn-bac-ninh-giao-dich-vien-uu-tien-tieng-han-2016439-jv","Xem chi tiết")</f>
        <v/>
      </c>
      <c r="O5724" s="10" t="n"/>
    </row>
    <row r="5725">
      <c r="B5725" s="7" t="n">
        <v>5723</v>
      </c>
      <c r="C5725" t="inlineStr">
        <is>
          <t>[Woori Bank Chi Nhánh Bắc Ninh] Tín Dụng Cá Nhân</t>
        </is>
      </c>
      <c r="D5725" t="inlineStr">
        <is>
          <t>Ngân Hàng TNHH MTV Woori Việt Nam</t>
        </is>
      </c>
      <c r="E5725" t="inlineStr">
        <is>
          <t>Thương lượng</t>
        </is>
      </c>
      <c r="F5725" t="inlineStr">
        <is>
          <t>Bắc Ninh</t>
        </is>
      </c>
      <c r="G5725" t="inlineStr">
        <is>
          <t>Nhân viên</t>
        </is>
      </c>
      <c r="H5725" t="inlineStr">
        <is>
          <t>02/03/2026</t>
        </is>
      </c>
      <c r="I5725" t="inlineStr">
        <is>
          <t>01/04/2026</t>
        </is>
      </c>
      <c r="J5725" t="inlineStr">
        <is>
          <t>17/03/2026</t>
        </is>
      </c>
      <c r="K5725" t="inlineStr">
        <is>
          <t>N/A</t>
        </is>
      </c>
      <c r="L5725" t="inlineStr">
        <is>
          <t>Tài Chính, Khách Hàng Cá Nhân, Quản Lý Khách Hàng</t>
        </is>
      </c>
      <c r="M5725" t="inlineStr">
        <is>
          <t>Bonus, Healthcare Plan, Travel Opportunities</t>
        </is>
      </c>
      <c r="N5725" s="8">
        <f>HYPERLINK("https://www.vietnamworks.com/woori-bank-chi-nhanh-bac-ninh-tin-dung-ca-nhan-2016440-jv","Xem chi tiết")</f>
        <v/>
      </c>
    </row>
    <row r="5726">
      <c r="B5726" s="9" t="n">
        <v>5724</v>
      </c>
      <c r="C5726" s="10" t="inlineStr">
        <is>
          <t>Chuyên Viên Bán Hàng Kỹ Thuật (Nữ) / Technical Sales Executive (Female) - Thu Nhập 25-35 Triệu ++</t>
        </is>
      </c>
      <c r="D5726" s="10" t="inlineStr">
        <is>
          <t>CÔNG TY TNHH GIB VIỆT NAM</t>
        </is>
      </c>
      <c r="E5726" s="10" t="inlineStr">
        <is>
          <t>25tr-30tr ₫/tháng</t>
        </is>
      </c>
      <c r="F5726" s="10" t="inlineStr">
        <is>
          <t>Hà Nội</t>
        </is>
      </c>
      <c r="G5726" s="10" t="inlineStr">
        <is>
          <t>Mới Tốt Nghiệp</t>
        </is>
      </c>
      <c r="H5726" s="10" t="inlineStr">
        <is>
          <t>02/03/2026</t>
        </is>
      </c>
      <c r="I5726" s="10" t="inlineStr">
        <is>
          <t>01/04/2026</t>
        </is>
      </c>
      <c r="J5726" s="10" t="inlineStr">
        <is>
          <t>17/03/2026</t>
        </is>
      </c>
      <c r="K5726" s="10" t="inlineStr">
        <is>
          <t>N/A</t>
        </is>
      </c>
      <c r="L5726" s="10" t="inlineStr">
        <is>
          <t>Kinh Doanh, Bán Hàng Kỹ Thuật, Chăm Sóc Khách Hàng, Tư Vấn Bán Hàng, B2B Sales</t>
        </is>
      </c>
      <c r="M5726" s="10" t="inlineStr">
        <is>
          <t>Bonus, Healthcare Plan, Paid Leave</t>
        </is>
      </c>
      <c r="N5726" s="11">
        <f>HYPERLINK("https://www.vietnamworks.com/chuyen-vien-ban-hang-ky-thuat-nu-technical-sales-executive-female-thu-nhap-25-35-trieu-2016429-jv","Xem chi tiết")</f>
        <v/>
      </c>
      <c r="O5726" s="10" t="n"/>
    </row>
    <row r="5727">
      <c r="B5727" s="7" t="n">
        <v>5725</v>
      </c>
      <c r="C5727" t="inlineStr">
        <is>
          <t>Sales Engineer / Nhân Viên Kinh Doanh Kỹ Thuật (B2B)</t>
        </is>
      </c>
      <c r="D5727" t="inlineStr">
        <is>
          <t>Công Ty TNHH Công Nghệ TN Việt Nam</t>
        </is>
      </c>
      <c r="E5727" t="inlineStr">
        <is>
          <t>Thương lượng</t>
        </is>
      </c>
      <c r="F5727" t="inlineStr">
        <is>
          <t>Hà Nội</t>
        </is>
      </c>
      <c r="G5727" t="inlineStr">
        <is>
          <t>Nhân viên</t>
        </is>
      </c>
      <c r="H5727" t="inlineStr">
        <is>
          <t>02/03/2026</t>
        </is>
      </c>
      <c r="I5727" t="inlineStr">
        <is>
          <t>01/04/2026</t>
        </is>
      </c>
      <c r="J5727" t="inlineStr">
        <is>
          <t>17/03/2026</t>
        </is>
      </c>
      <c r="K5727" t="inlineStr">
        <is>
          <t>N/A</t>
        </is>
      </c>
      <c r="L5727" t="inlineStr">
        <is>
          <t>Tiếng Anh, sales engineer, Sales Technical, Technical Sales, Kinh Doanh Kỹ Thuật</t>
        </is>
      </c>
      <c r="M5727" t="inlineStr">
        <is>
          <t>Bonus, Healthcare Plan, Training, Laptop, Mobile, Team Activities, Others</t>
        </is>
      </c>
      <c r="N5727" s="8">
        <f>HYPERLINK("https://www.vietnamworks.com/sales-engineer-nhan-vien-kinh-doanh-ky-thuat-b2b-2016444-jv","Xem chi tiết")</f>
        <v/>
      </c>
    </row>
    <row r="5728">
      <c r="B5728" s="9" t="n">
        <v>5726</v>
      </c>
      <c r="C5728" s="10" t="inlineStr">
        <is>
          <t>[CN Hà Nội] [ CN Thái Nguyên] Quan Hệ Khách Hàng Cá Nhân</t>
        </is>
      </c>
      <c r="D5728" s="10" t="inlineStr">
        <is>
          <t>Ngân Hàng TNHH MTV Woori Việt Nam</t>
        </is>
      </c>
      <c r="E5728" s="10" t="inlineStr">
        <is>
          <t>Thương lượng</t>
        </is>
      </c>
      <c r="F5728" s="10" t="inlineStr">
        <is>
          <t>Thái Nguyên, Hà Nội</t>
        </is>
      </c>
      <c r="G5728" s="10" t="inlineStr">
        <is>
          <t>Nhân viên</t>
        </is>
      </c>
      <c r="H5728" s="10" t="inlineStr">
        <is>
          <t>02/03/2026</t>
        </is>
      </c>
      <c r="I5728" s="10" t="inlineStr">
        <is>
          <t>01/04/2026</t>
        </is>
      </c>
      <c r="J5728" s="10" t="inlineStr">
        <is>
          <t>17/03/2026</t>
        </is>
      </c>
      <c r="K5728" s="10" t="inlineStr">
        <is>
          <t>N/A</t>
        </is>
      </c>
      <c r="L5728" s="10" t="inlineStr">
        <is>
          <t>Sales, Banking, Relationship Management, Quan Hệ Khách Hàng Cá Nhân, Bất Động Sản</t>
        </is>
      </c>
      <c r="M5728" s="10" t="inlineStr">
        <is>
          <t>Bonus, Healthcare Plan, Training</t>
        </is>
      </c>
      <c r="N5728" s="11">
        <f>HYPERLINK("https://www.vietnamworks.com/cn-ha-noi-cn-thai-nguyen-quan-he-khach-hang-ca-nhan--2016446-jv","Xem chi tiết")</f>
        <v/>
      </c>
      <c r="O5728" s="10" t="n"/>
    </row>
    <row r="5729">
      <c r="B5729" s="7" t="n">
        <v>5727</v>
      </c>
      <c r="C5729" t="inlineStr">
        <is>
          <t>Trưởng Phòng HCNS Từ 5 Năm KN [Upto 30Tr] [Đi Làm Ngay]</t>
        </is>
      </c>
      <c r="D5729" t="inlineStr">
        <is>
          <t>CÔNG TY TNHH DỊCH VỤ VÀ THƯƠNG MẠI ĐỨC BÌNH</t>
        </is>
      </c>
      <c r="E5729" t="inlineStr">
        <is>
          <t>Tới 30tr ₫/tháng</t>
        </is>
      </c>
      <c r="F5729" t="inlineStr">
        <is>
          <t>Hà Nội</t>
        </is>
      </c>
      <c r="G5729" t="inlineStr">
        <is>
          <t>Trưởng phòng</t>
        </is>
      </c>
      <c r="H5729" t="inlineStr">
        <is>
          <t>02/03/2026</t>
        </is>
      </c>
      <c r="I5729" t="inlineStr">
        <is>
          <t>01/04/2026</t>
        </is>
      </c>
      <c r="J5729" t="inlineStr">
        <is>
          <t>17/03/2026</t>
        </is>
      </c>
      <c r="K5729" t="inlineStr">
        <is>
          <t>N/A</t>
        </is>
      </c>
      <c r="L5729" t="inlineStr">
        <is>
          <t>Quản Lý Nhân Sự, General HR Management, Nhân Sự, Quản Trị Nhân Sự, F&amp;B</t>
        </is>
      </c>
      <c r="M5729" t="inlineStr">
        <is>
          <t>Others</t>
        </is>
      </c>
      <c r="N5729" s="8">
        <f>HYPERLINK("https://www.vietnamworks.com/truong-phong-hcns-tu-5-nam-kn-upto-30tr-di-lam-ngay-2016434-jv","Xem chi tiết")</f>
        <v/>
      </c>
    </row>
    <row r="5730">
      <c r="B5730" s="9" t="n">
        <v>5728</v>
      </c>
      <c r="C5730" s="10" t="inlineStr">
        <is>
          <t>QMS Staff | Chuyên Viên Hệ Thống Quản Lý Chất Lượng</t>
        </is>
      </c>
      <c r="D5730" s="10" t="inlineStr">
        <is>
          <t>Công Ty Cổ Phần Thiết Bị Và Giải Pháp Cơ Khí AUTOMECH</t>
        </is>
      </c>
      <c r="E5730" s="10" t="inlineStr">
        <is>
          <t>20tr-25tr ₫/tháng</t>
        </is>
      </c>
      <c r="F5730" s="10" t="inlineStr">
        <is>
          <t>Bắc Giang, Bắc Ninh</t>
        </is>
      </c>
      <c r="G5730" s="10" t="inlineStr">
        <is>
          <t>Nhân viên</t>
        </is>
      </c>
      <c r="H5730" s="10" t="inlineStr">
        <is>
          <t>02/03/2026</t>
        </is>
      </c>
      <c r="I5730" s="10" t="inlineStr">
        <is>
          <t>01/04/2026</t>
        </is>
      </c>
      <c r="J5730" s="10" t="inlineStr">
        <is>
          <t>17/03/2026</t>
        </is>
      </c>
      <c r="K5730" s="10" t="inlineStr">
        <is>
          <t>N/A</t>
        </is>
      </c>
      <c r="L5730" s="10" t="inlineStr">
        <is>
          <t>Quản lý chất lượng, Giao Tiếp, IATF, QMS (ISO 9001, IATF 16949), QA</t>
        </is>
      </c>
      <c r="M5730" s="10" t="inlineStr">
        <is>
          <t>Bonus, Paid Leave, Laptop, Travel Opportunities, Others</t>
        </is>
      </c>
      <c r="N5730" s="11">
        <f>HYPERLINK("https://www.vietnamworks.com/qms-staff-or-chuyen-vien-he-thong-quan-ly-chat-luong-2016451-jv","Xem chi tiết")</f>
        <v/>
      </c>
      <c r="O5730" s="10" t="n"/>
    </row>
    <row r="5731">
      <c r="B5731" s="7" t="n">
        <v>5729</v>
      </c>
      <c r="C5731" t="inlineStr">
        <is>
          <t>Giám Đốc Marketing Lĩnh Vực F&amp;B [Upto 30Tr] [Đi Làm Ngay]</t>
        </is>
      </c>
      <c r="D5731" t="inlineStr">
        <is>
          <t>CÔNG TY TNHH DỊCH VỤ VÀ THƯƠNG MẠI ĐỨC BÌNH</t>
        </is>
      </c>
      <c r="E5731" t="inlineStr">
        <is>
          <t>Tới 30tr ₫/tháng</t>
        </is>
      </c>
      <c r="F5731" t="inlineStr">
        <is>
          <t>Hà Nội</t>
        </is>
      </c>
      <c r="G5731" t="inlineStr">
        <is>
          <t>Giám Đốc và Cấp Cao Hơn</t>
        </is>
      </c>
      <c r="H5731" t="inlineStr">
        <is>
          <t>02/03/2026</t>
        </is>
      </c>
      <c r="I5731" t="inlineStr">
        <is>
          <t>01/04/2026</t>
        </is>
      </c>
      <c r="J5731" t="inlineStr">
        <is>
          <t>17/03/2026</t>
        </is>
      </c>
      <c r="K5731" t="inlineStr">
        <is>
          <t>N/A</t>
        </is>
      </c>
      <c r="L5731" t="inlineStr">
        <is>
          <t>Digital Marketing, Marketing Management, Truyền Thông, Quản Lý Ngân Sách, F&amp;B</t>
        </is>
      </c>
      <c r="M5731" t="inlineStr">
        <is>
          <t>Others</t>
        </is>
      </c>
      <c r="N5731" s="8">
        <f>HYPERLINK("https://www.vietnamworks.com/giam-doc-marketing-linh-vuc-f-b-upto-30tr-di-lam-ngay-2016435-jv","Xem chi tiết")</f>
        <v/>
      </c>
    </row>
    <row r="5732">
      <c r="B5732" s="9" t="n">
        <v>5730</v>
      </c>
      <c r="C5732" s="10" t="inlineStr">
        <is>
          <t>[New - Woori Bank Chi Nhánh Bình Dương, Cần Thơ] Tín Dụng Doanh Nghiệp - Thu Nhập Từ 16 Triệu Trở Lên</t>
        </is>
      </c>
      <c r="D5732" s="10" t="inlineStr">
        <is>
          <t>Ngân Hàng TNHH MTV Woori Việt Nam</t>
        </is>
      </c>
      <c r="E5732" s="10" t="inlineStr">
        <is>
          <t>Thương lượng</t>
        </is>
      </c>
      <c r="F5732" s="10" t="inlineStr">
        <is>
          <t>Bình Dương, Cần Thơ</t>
        </is>
      </c>
      <c r="G5732" s="10" t="inlineStr">
        <is>
          <t>Nhân viên</t>
        </is>
      </c>
      <c r="H5732" s="10" t="inlineStr">
        <is>
          <t>02/03/2026</t>
        </is>
      </c>
      <c r="I5732" s="10" t="inlineStr">
        <is>
          <t>01/04/2026</t>
        </is>
      </c>
      <c r="J5732" s="10" t="inlineStr">
        <is>
          <t>17/03/2026</t>
        </is>
      </c>
      <c r="K5732" s="10" t="inlineStr">
        <is>
          <t>N/A</t>
        </is>
      </c>
      <c r="L5732" s="10" t="inlineStr">
        <is>
          <t>Loan Management, Credit Appraisal, Relationship Management, Corporate Banking, Khách Hàng Doanh Nghiệp</t>
        </is>
      </c>
      <c r="M5732" s="10" t="inlineStr">
        <is>
          <t>Bonus, Healthcare Plan, Training</t>
        </is>
      </c>
      <c r="N5732" s="11">
        <f>HYPERLINK("https://www.vietnamworks.com/new-woori-bank-chi-nhanh-binh-duong-can-tho-tin-dung-doanh-nghiep-thu-nhap-tu-16-trieu-tro-len--2016447-jv","Xem chi tiết")</f>
        <v/>
      </c>
      <c r="O5732" s="10" t="n"/>
    </row>
    <row r="5733">
      <c r="B5733" s="7" t="n">
        <v>5731</v>
      </c>
      <c r="C5733" t="inlineStr">
        <is>
          <t>Quản Lý Vùng OTC (ASM OTC)</t>
        </is>
      </c>
      <c r="D5733" t="inlineStr">
        <is>
          <t>Công Ty Cổ Phần Dược Phẩm Vĩnh Phúc</t>
        </is>
      </c>
      <c r="E5733" t="inlineStr">
        <is>
          <t>Thương lượng</t>
        </is>
      </c>
      <c r="F5733" t="inlineStr">
        <is>
          <t>Hà Nội, Phú Thọ</t>
        </is>
      </c>
      <c r="G5733" t="inlineStr">
        <is>
          <t>Trưởng phòng</t>
        </is>
      </c>
      <c r="H5733" t="inlineStr">
        <is>
          <t>02/03/2026</t>
        </is>
      </c>
      <c r="I5733" t="inlineStr">
        <is>
          <t>01/04/2026</t>
        </is>
      </c>
      <c r="J5733" t="inlineStr">
        <is>
          <t>17/03/2026</t>
        </is>
      </c>
      <c r="K5733" t="inlineStr">
        <is>
          <t>N/A</t>
        </is>
      </c>
      <c r="L5733" t="inlineStr">
        <is>
          <t>Sales Management, Dược Phẩm, Bán Hàng Dược Phẩm, Quản Lý OTC</t>
        </is>
      </c>
      <c r="M5733" t="inlineStr">
        <is>
          <t>Bonus, Paid Leave, Training, Laptop, Travel Opportunities, Transportation, Canteen</t>
        </is>
      </c>
      <c r="N5733" s="8">
        <f>HYPERLINK("https://www.vietnamworks.com/quan-ly-vung-otc-asm-otc-2016428-jv","Xem chi tiết")</f>
        <v/>
      </c>
    </row>
    <row r="5734">
      <c r="B5734" s="9" t="n">
        <v>5732</v>
      </c>
      <c r="C5734" s="10" t="inlineStr">
        <is>
          <t>Trưởng Phòng Nghiên Cứu Phát Triển</t>
        </is>
      </c>
      <c r="D5734" s="10" t="inlineStr">
        <is>
          <t>Công Ty Cổ Phần Dược Phẩm Vĩnh Phúc</t>
        </is>
      </c>
      <c r="E5734" s="10" t="inlineStr">
        <is>
          <t>Thương lượng</t>
        </is>
      </c>
      <c r="F5734" s="10" t="inlineStr">
        <is>
          <t>Vĩnh Phúc</t>
        </is>
      </c>
      <c r="G5734" s="10" t="inlineStr">
        <is>
          <t>Trưởng phòng</t>
        </is>
      </c>
      <c r="H5734" s="10" t="inlineStr">
        <is>
          <t>02/03/2026</t>
        </is>
      </c>
      <c r="I5734" s="10" t="inlineStr">
        <is>
          <t>01/04/2026</t>
        </is>
      </c>
      <c r="J5734" s="10" t="inlineStr">
        <is>
          <t>17/03/2026</t>
        </is>
      </c>
      <c r="K5734" s="10" t="inlineStr">
        <is>
          <t>N/A</t>
        </is>
      </c>
      <c r="L5734" s="10" t="inlineStr">
        <is>
          <t>Tiếng Anh, Phát Triển Sản Phẩm, Nghiên Cứu Sản Phẩm, Dược</t>
        </is>
      </c>
      <c r="M5734" s="10" t="inlineStr">
        <is>
          <t>Bonus, Healthcare Plan, Travel Opportunities</t>
        </is>
      </c>
      <c r="N5734" s="11">
        <f>HYPERLINK("https://www.vietnamworks.com/truong-phong-nghien-cuu-phat-trien--2016433-jv","Xem chi tiết")</f>
        <v/>
      </c>
      <c r="O5734" s="10" t="n"/>
    </row>
    <row r="5735">
      <c r="B5735" s="7" t="n">
        <v>5733</v>
      </c>
      <c r="C5735" t="inlineStr">
        <is>
          <t>Chuyên Viên Kinh Doanh Tiếng Trung (BĐS Công Nghiệp)</t>
        </is>
      </c>
      <c r="D5735" t="inlineStr">
        <is>
          <t>Tổng Công Ty Đầu Tư FECON</t>
        </is>
      </c>
      <c r="E5735" t="inlineStr">
        <is>
          <t>Thương lượng</t>
        </is>
      </c>
      <c r="F5735" t="inlineStr">
        <is>
          <t>Hà Nội</t>
        </is>
      </c>
      <c r="G5735" t="inlineStr">
        <is>
          <t>Nhân viên</t>
        </is>
      </c>
      <c r="H5735" t="inlineStr">
        <is>
          <t>02/03/2026</t>
        </is>
      </c>
      <c r="I5735" t="inlineStr">
        <is>
          <t>01/04/2026</t>
        </is>
      </c>
      <c r="J5735" t="inlineStr">
        <is>
          <t>17/03/2026</t>
        </is>
      </c>
      <c r="K5735" t="inlineStr">
        <is>
          <t>N/A</t>
        </is>
      </c>
      <c r="L5735" t="inlineStr">
        <is>
          <t>Bất Động Sản, Kinh Doanh, Tiếng Trung, Tìm Kiếm Khách Hàng, Tin Học Văn Phòng</t>
        </is>
      </c>
      <c r="M5735" t="inlineStr">
        <is>
          <t>Bonus, Healthcare Plan, Training</t>
        </is>
      </c>
      <c r="N5735" s="8">
        <f>HYPERLINK("https://www.vietnamworks.com/chuyen-vien-kinh-doanh-tieng-trung-bdjs-cong-nghiep-2016464-jv","Xem chi tiết")</f>
        <v/>
      </c>
    </row>
    <row r="5736">
      <c r="B5736" s="9" t="n">
        <v>5734</v>
      </c>
      <c r="C5736" s="10" t="inlineStr">
        <is>
          <t>Kế Toán Trưởng</t>
        </is>
      </c>
      <c r="D5736" s="10" t="inlineStr">
        <is>
          <t>CÔNG TY CỔ PHẦN THỰC PHẨM ĂN CÙNG BÀ TUYẾT</t>
        </is>
      </c>
      <c r="E5736" s="10" t="inlineStr">
        <is>
          <t>20tr-30tr ₫/tháng</t>
        </is>
      </c>
      <c r="F5736" s="10" t="inlineStr">
        <is>
          <t>Hà Nội</t>
        </is>
      </c>
      <c r="G5736" s="10" t="inlineStr">
        <is>
          <t>Nhân viên</t>
        </is>
      </c>
      <c r="H5736" s="10" t="inlineStr">
        <is>
          <t>02/03/2026</t>
        </is>
      </c>
      <c r="I5736" s="10" t="inlineStr">
        <is>
          <t>01/04/2026</t>
        </is>
      </c>
      <c r="J5736" s="10" t="inlineStr">
        <is>
          <t>17/03/2026</t>
        </is>
      </c>
      <c r="K5736" s="10" t="inlineStr">
        <is>
          <t>N/A</t>
        </is>
      </c>
      <c r="L5736" s="10" t="inlineStr">
        <is>
          <t>Phần mềm kế toán, Thuế, Kế Toán, Kiểm Toán, Tài Chính Kế Toán</t>
        </is>
      </c>
      <c r="M5736" s="10" t="inlineStr">
        <is>
          <t>Healthcare Plan, Team Activities, Others</t>
        </is>
      </c>
      <c r="N5736" s="11">
        <f>HYPERLINK("https://www.vietnamworks.com/ke-toan-truong-2016458-jv","Xem chi tiết")</f>
        <v/>
      </c>
      <c r="O5736" s="10" t="n"/>
    </row>
    <row r="5737">
      <c r="B5737" s="7" t="n">
        <v>5735</v>
      </c>
      <c r="C5737" t="inlineStr">
        <is>
          <t>Trưởng Phòng Xử Lý Nợ</t>
        </is>
      </c>
      <c r="D5737" t="inlineStr">
        <is>
          <t>CÔNG TY CỔ PHẦN TẬP ĐOÀN ĐẦU TƯ EMIR</t>
        </is>
      </c>
      <c r="E5737" t="inlineStr">
        <is>
          <t>Thương lượng</t>
        </is>
      </c>
      <c r="F5737" t="inlineStr">
        <is>
          <t>Hồ Chí Minh</t>
        </is>
      </c>
      <c r="G5737" t="inlineStr">
        <is>
          <t>Trưởng phòng</t>
        </is>
      </c>
      <c r="H5737" t="inlineStr">
        <is>
          <t>02/03/2026</t>
        </is>
      </c>
      <c r="I5737" t="inlineStr">
        <is>
          <t>01/04/2026</t>
        </is>
      </c>
      <c r="J5737" t="inlineStr">
        <is>
          <t>17/03/2026</t>
        </is>
      </c>
      <c r="K5737" t="inlineStr">
        <is>
          <t>N/A</t>
        </is>
      </c>
      <c r="L5737" t="inlineStr">
        <is>
          <t>Quản Lý Công Nợ, Tài Chính Công Nợ, Xử Lý Nợ, thu hồi nợ, Công Nợ</t>
        </is>
      </c>
      <c r="M5737" t="inlineStr">
        <is>
          <t>Bonus, Healthcare Plan, Training, Team Activities, Others</t>
        </is>
      </c>
      <c r="N5737" s="8">
        <f>HYPERLINK("https://www.vietnamworks.com/truong-phong-xu-ly-no--2016453-jv","Xem chi tiết")</f>
        <v/>
      </c>
    </row>
    <row r="5738">
      <c r="B5738" s="9" t="n">
        <v>5736</v>
      </c>
      <c r="C5738" s="10" t="inlineStr">
        <is>
          <t>Chuyên Viên Cao Cấp Xây Dựng Mô Hình Rủi Ro - Risk Modeling Senior Specialist - Khối Quản Trị Rủi Ro (HO26.13)</t>
        </is>
      </c>
      <c r="D5738" s="10" t="inlineStr">
        <is>
          <t>NGÂN HÀNG TMCP QUÂN ĐỘI – MBBANK</t>
        </is>
      </c>
      <c r="E5738" s="10" t="inlineStr">
        <is>
          <t>Thương lượng</t>
        </is>
      </c>
      <c r="F5738" s="10" t="inlineStr">
        <is>
          <t>Hà Nội</t>
        </is>
      </c>
      <c r="G5738" s="10" t="inlineStr">
        <is>
          <t>Nhân viên</t>
        </is>
      </c>
      <c r="H5738" s="10" t="inlineStr">
        <is>
          <t>02/03/2026</t>
        </is>
      </c>
      <c r="I5738" s="10" t="inlineStr">
        <is>
          <t>01/04/2026</t>
        </is>
      </c>
      <c r="J5738" s="10" t="inlineStr">
        <is>
          <t>17/03/2026</t>
        </is>
      </c>
      <c r="K5738" s="10" t="inlineStr">
        <is>
          <t>N/A</t>
        </is>
      </c>
      <c r="L5738" s="10" t="inlineStr">
        <is>
          <t>Python, SQL, Credit Risk Management, Credit Risk Modeling, Power BI</t>
        </is>
      </c>
      <c r="M5738" s="10" t="inlineStr">
        <is>
          <t>Bonus, Healthcare Plan, Paid Leave, Training, Awards, Team Activities, Others</t>
        </is>
      </c>
      <c r="N5738" s="11">
        <f>HYPERLINK("https://www.vietnamworks.com/chuyen-vien-cao-cap-xay-dung-mo-hinh-rui-ro-risk-modeling-senior-specialist-khoi-quan-tri-rui-ro-ho26-13--2016470-jv","Xem chi tiết")</f>
        <v/>
      </c>
      <c r="O5738" s="10" t="n"/>
    </row>
    <row r="5739">
      <c r="B5739" s="7" t="n">
        <v>5737</v>
      </c>
      <c r="C5739" t="inlineStr">
        <is>
          <t>Trưởng Phòng Khách Hàng Doanh Nghiệp - Phòng Khách Hàng Doanh Nghiệp - CN. Lào</t>
        </is>
      </c>
      <c r="D5739" t="inlineStr">
        <is>
          <t>NGÂN HÀNG TMCP QUÂN ĐỘI – MBBANK</t>
        </is>
      </c>
      <c r="E5739" t="inlineStr">
        <is>
          <t>Thương lượng</t>
        </is>
      </c>
      <c r="F5739" t="inlineStr">
        <is>
          <t>Quốc tế</t>
        </is>
      </c>
      <c r="G5739" t="inlineStr">
        <is>
          <t>Nhân viên</t>
        </is>
      </c>
      <c r="H5739" t="inlineStr">
        <is>
          <t>02/03/2026</t>
        </is>
      </c>
      <c r="I5739" t="inlineStr">
        <is>
          <t>01/04/2026</t>
        </is>
      </c>
      <c r="J5739" t="inlineStr">
        <is>
          <t>17/03/2026</t>
        </is>
      </c>
      <c r="K5739" t="inlineStr">
        <is>
          <t>N/A</t>
        </is>
      </c>
      <c r="L5739" t="inlineStr">
        <is>
          <t>Financial Analysis, Risk Management, Wholesale Banking, Business Development, Customer Experience Management</t>
        </is>
      </c>
      <c r="M5739" t="inlineStr">
        <is>
          <t>Bonus, Healthcare Plan, Paid Leave, Training, Awards, Library, Others</t>
        </is>
      </c>
      <c r="N5739" s="8">
        <f>HYPERLINK("https://www.vietnamworks.com/truong-phong-khach-hang-doanh-nghiep-phong-khach-hang-doanh-nghiep-cn-lao-2016462-jv","Xem chi tiết")</f>
        <v/>
      </c>
    </row>
    <row r="5740">
      <c r="B5740" s="9" t="n">
        <v>5738</v>
      </c>
      <c r="C5740" s="10" t="inlineStr">
        <is>
          <t>IT Network Administrator</t>
        </is>
      </c>
      <c r="D5740" s="10" t="inlineStr">
        <is>
          <t>Công Ty TNHH Sản Xuất First Solar Việt Nam</t>
        </is>
      </c>
      <c r="E5740" s="10" t="inlineStr">
        <is>
          <t>Thương lượng</t>
        </is>
      </c>
      <c r="F5740" s="10" t="inlineStr">
        <is>
          <t>Hồ Chí Minh</t>
        </is>
      </c>
      <c r="G5740" s="10" t="inlineStr">
        <is>
          <t>Nhân viên</t>
        </is>
      </c>
      <c r="H5740" s="10" t="inlineStr">
        <is>
          <t>02/03/2026</t>
        </is>
      </c>
      <c r="I5740" s="10" t="inlineStr">
        <is>
          <t>01/04/2026</t>
        </is>
      </c>
      <c r="J5740" s="10" t="inlineStr">
        <is>
          <t>17/03/2026</t>
        </is>
      </c>
      <c r="K5740" s="10" t="inlineStr">
        <is>
          <t>N/A</t>
        </is>
      </c>
      <c r="L5740" s="10" t="inlineStr">
        <is>
          <t>IT Hardware, Network Administration, Firewall</t>
        </is>
      </c>
      <c r="M5740" s="10" t="inlineStr">
        <is>
          <t>Bonus, Transportation, Canteen</t>
        </is>
      </c>
      <c r="N5740" s="11">
        <f>HYPERLINK("https://www.vietnamworks.com/it-network-administrator--2016454-jv","Xem chi tiết")</f>
        <v/>
      </c>
      <c r="O5740" s="10" t="n"/>
    </row>
    <row r="5741">
      <c r="B5741" s="7" t="n">
        <v>5739</v>
      </c>
      <c r="C5741" t="inlineStr">
        <is>
          <t>Nhân Viên Hành Chính - Văn Phòng (Làm Việc Tại Vũng Tàu)</t>
        </is>
      </c>
      <c r="D5741" t="inlineStr">
        <is>
          <t>Công Ty EGS (Việt Nam)</t>
        </is>
      </c>
      <c r="E5741" t="inlineStr">
        <is>
          <t>Thương lượng</t>
        </is>
      </c>
      <c r="F5741" t="inlineStr">
        <is>
          <t>Bà Rịa - Vũng Tàu</t>
        </is>
      </c>
      <c r="G5741" t="inlineStr">
        <is>
          <t>Nhân viên</t>
        </is>
      </c>
      <c r="H5741" t="inlineStr">
        <is>
          <t>02/03/2026</t>
        </is>
      </c>
      <c r="I5741" t="inlineStr">
        <is>
          <t>01/04/2026</t>
        </is>
      </c>
      <c r="J5741" t="inlineStr">
        <is>
          <t>17/03/2026</t>
        </is>
      </c>
      <c r="K5741" t="inlineStr">
        <is>
          <t>N/A</t>
        </is>
      </c>
      <c r="L5741" t="inlineStr">
        <is>
          <t>Admin, Hành Chính, Lập Kế Hoạch, MS Office, Tiếng Anh</t>
        </is>
      </c>
      <c r="M5741" t="inlineStr">
        <is>
          <t>Bonus, Healthcare Plan, Others</t>
        </is>
      </c>
      <c r="N5741" s="8">
        <f>HYPERLINK("https://www.vietnamworks.com/nhan-vien-hanh-chinh-van-phong-lam-viec-tai-vung-tau-2016459-jv","Xem chi tiết")</f>
        <v/>
      </c>
    </row>
    <row r="5742">
      <c r="B5742" s="9" t="n">
        <v>5740</v>
      </c>
      <c r="C5742" s="10" t="inlineStr">
        <is>
          <t>Nhân Viên Kỹ Thuật Bảo Hành Dụng Cụ Cầm Tay</t>
        </is>
      </c>
      <c r="D5742" s="10" t="inlineStr">
        <is>
          <t>CÔNG TY TNHH THƯƠNG MẠI DỊCH VỤ &amp; SẢN XUẤT VIỆT Á</t>
        </is>
      </c>
      <c r="E5742" s="10" t="inlineStr">
        <is>
          <t>10tr-15tr ₫/tháng</t>
        </is>
      </c>
      <c r="F5742" s="10" t="inlineStr">
        <is>
          <t>Hồ Chí Minh</t>
        </is>
      </c>
      <c r="G5742" s="10" t="inlineStr">
        <is>
          <t>Nhân viên</t>
        </is>
      </c>
      <c r="H5742" s="10" t="inlineStr">
        <is>
          <t>02/03/2026</t>
        </is>
      </c>
      <c r="I5742" s="10" t="inlineStr">
        <is>
          <t>01/04/2026</t>
        </is>
      </c>
      <c r="J5742" s="10" t="inlineStr">
        <is>
          <t>17/03/2026</t>
        </is>
      </c>
      <c r="K5742" s="10" t="inlineStr">
        <is>
          <t>N/A</t>
        </is>
      </c>
      <c r="L5742" s="10" t="inlineStr">
        <is>
          <t>Kỹ Thuật, Đọc Hiểu Mạch Điện, Sửa Chữa, Bảo Trì Thiết Bị Tin Học, Cơ Khí</t>
        </is>
      </c>
      <c r="M5742" s="10" t="inlineStr">
        <is>
          <t>Bonus, Healthcare Plan, Paid Leave, Training, Others</t>
        </is>
      </c>
      <c r="N5742" s="11">
        <f>HYPERLINK("https://www.vietnamworks.com/nhan-vien-ky-thuat-bao-hanh-dung-cu-cam-tay-2016455-jv","Xem chi tiết")</f>
        <v/>
      </c>
      <c r="O5742" s="10" t="n"/>
    </row>
    <row r="5743">
      <c r="B5743" s="7" t="n">
        <v>5741</v>
      </c>
      <c r="C5743" t="inlineStr">
        <is>
          <t>Trưởng Phòng Mua Hàng</t>
        </is>
      </c>
      <c r="D5743" t="inlineStr">
        <is>
          <t>CÔNG TY CỔ PHẦN THỰC PHẨM ĂN CÙNG BÀ TUYẾT</t>
        </is>
      </c>
      <c r="E5743" t="inlineStr">
        <is>
          <t>20tr-25tr ₫/tháng</t>
        </is>
      </c>
      <c r="F5743" t="inlineStr">
        <is>
          <t>Hà Nội</t>
        </is>
      </c>
      <c r="G5743" t="inlineStr">
        <is>
          <t>Trưởng phòng</t>
        </is>
      </c>
      <c r="H5743" t="inlineStr">
        <is>
          <t>02/03/2026</t>
        </is>
      </c>
      <c r="I5743" t="inlineStr">
        <is>
          <t>01/04/2026</t>
        </is>
      </c>
      <c r="J5743" t="inlineStr">
        <is>
          <t>17/03/2026</t>
        </is>
      </c>
      <c r="K5743" t="inlineStr">
        <is>
          <t>N/A</t>
        </is>
      </c>
      <c r="L5743" t="inlineStr">
        <is>
          <t>Quản Lý Thu Mua, Quản Trị Rủi Ro, Cung Ứng, Mua Hàng, Purchasing</t>
        </is>
      </c>
      <c r="M5743" t="inlineStr">
        <is>
          <t>Bonus, Others</t>
        </is>
      </c>
      <c r="N5743" s="8">
        <f>HYPERLINK("https://www.vietnamworks.com/truong-phong-mua-hang-2016456-jv","Xem chi tiết")</f>
        <v/>
      </c>
    </row>
    <row r="5744">
      <c r="B5744" s="9" t="n">
        <v>5742</v>
      </c>
      <c r="C5744" s="10" t="inlineStr">
        <is>
          <t>Junior Piping Engineer</t>
        </is>
      </c>
      <c r="D5744" s="10" t="inlineStr">
        <is>
          <t>GMODIS</t>
        </is>
      </c>
      <c r="E5744" s="10" t="inlineStr">
        <is>
          <t>Thương lượng</t>
        </is>
      </c>
      <c r="F5744" s="10" t="inlineStr">
        <is>
          <t>Nghệ An, Khác</t>
        </is>
      </c>
      <c r="G5744" s="10" t="inlineStr">
        <is>
          <t>Nhân viên</t>
        </is>
      </c>
      <c r="H5744" s="10" t="inlineStr">
        <is>
          <t>02/03/2026</t>
        </is>
      </c>
      <c r="I5744" s="10" t="inlineStr">
        <is>
          <t>01/04/2026</t>
        </is>
      </c>
      <c r="J5744" s="10" t="inlineStr">
        <is>
          <t>17/03/2026</t>
        </is>
      </c>
      <c r="K5744" s="10" t="inlineStr">
        <is>
          <t>N/A</t>
        </is>
      </c>
      <c r="L5744" s="10" t="inlineStr">
        <is>
          <t>Piping Design, AutoCAD, Revit, Mechanical Engineering, AutoCAD Plant 3D</t>
        </is>
      </c>
      <c r="M5744" s="10" t="inlineStr">
        <is>
          <t>Bonus, Healthcare Plan, Training</t>
        </is>
      </c>
      <c r="N5744" s="11">
        <f>HYPERLINK("https://www.vietnamworks.com/junior-piping-engineer-2016471-jv","Xem chi tiết")</f>
        <v/>
      </c>
      <c r="O5744" s="10" t="n"/>
    </row>
    <row r="5745">
      <c r="B5745" s="7" t="n">
        <v>5743</v>
      </c>
      <c r="C5745" t="inlineStr">
        <is>
          <t>Chuyên Viên Cao Cấp Mô Hình Rủi Ro Thị Trường - Market Risks Modelling Senior Specialist - Khối Quản Trị Rủi Ro (HO26.12)</t>
        </is>
      </c>
      <c r="D5745" t="inlineStr">
        <is>
          <t>NGÂN HÀNG TMCP QUÂN ĐỘI – MBBANK</t>
        </is>
      </c>
      <c r="E5745" t="inlineStr">
        <is>
          <t>Thương lượng</t>
        </is>
      </c>
      <c r="F5745" t="inlineStr">
        <is>
          <t>Hà Nội</t>
        </is>
      </c>
      <c r="G5745" t="inlineStr">
        <is>
          <t>Nhân viên</t>
        </is>
      </c>
      <c r="H5745" t="inlineStr">
        <is>
          <t>02/03/2026</t>
        </is>
      </c>
      <c r="I5745" t="inlineStr">
        <is>
          <t>01/04/2026</t>
        </is>
      </c>
      <c r="J5745" t="inlineStr">
        <is>
          <t>17/03/2026</t>
        </is>
      </c>
      <c r="K5745" t="inlineStr">
        <is>
          <t>N/A</t>
        </is>
      </c>
      <c r="L5745" t="inlineStr">
        <is>
          <t>PowerBI, Python, SQL, VBA</t>
        </is>
      </c>
      <c r="M5745" t="inlineStr">
        <is>
          <t>Bonus, Healthcare Plan, Paid Leave, Training, Awards, Team Activities, Others</t>
        </is>
      </c>
      <c r="N5745" s="8">
        <f>HYPERLINK("https://www.vietnamworks.com/chuyen-vien-cao-cap-mo-hinh-rui-ro-thi-truong-market-risks-modelling-senior-specialist-khoi-quan-tri-rui-ro-ho26-12--2016465-jv","Xem chi tiết")</f>
        <v/>
      </c>
    </row>
    <row r="5746">
      <c r="B5746" s="9" t="n">
        <v>5744</v>
      </c>
      <c r="C5746" s="10" t="inlineStr">
        <is>
          <t>[Hà Nội] Nhân Viên Phân Tích Giá - Hàng AIR Xuất</t>
        </is>
      </c>
      <c r="D5746" s="10" t="inlineStr">
        <is>
          <t>Bee Logistics Corporation</t>
        </is>
      </c>
      <c r="E5746" s="10" t="inlineStr">
        <is>
          <t>$$ 400-700 /tháng</t>
        </is>
      </c>
      <c r="F5746" s="10" t="inlineStr">
        <is>
          <t>Hà Nội</t>
        </is>
      </c>
      <c r="G5746" s="10" t="inlineStr">
        <is>
          <t>Nhân viên</t>
        </is>
      </c>
      <c r="H5746" s="10" t="inlineStr">
        <is>
          <t>02/03/2026</t>
        </is>
      </c>
      <c r="I5746" s="10" t="inlineStr">
        <is>
          <t>01/04/2026</t>
        </is>
      </c>
      <c r="J5746" s="10" t="inlineStr">
        <is>
          <t>17/03/2026</t>
        </is>
      </c>
      <c r="K5746" s="10" t="inlineStr">
        <is>
          <t>N/A</t>
        </is>
      </c>
      <c r="L5746" s="10" t="inlineStr">
        <is>
          <t>Kế Toán Giá Thành, Tư Vấn Giá, Phân Tích Giá Thành, Chăm Sóc Khách Hàng</t>
        </is>
      </c>
      <c r="M5746" s="10" t="inlineStr">
        <is>
          <t>Bonus, Laptop, Travel Opportunities</t>
        </is>
      </c>
      <c r="N5746" s="11">
        <f>HYPERLINK("https://www.vietnamworks.com/ha-noi-nhan-vien-phan-tich-gia-hang-air-xuat--2016461-jv","Xem chi tiết")</f>
        <v/>
      </c>
      <c r="O5746" s="10" t="n"/>
    </row>
    <row r="5747">
      <c r="B5747" s="7" t="n">
        <v>5745</v>
      </c>
      <c r="C5747" t="inlineStr">
        <is>
          <t>Chuyên Viên Cao Cấp Xử Lý Tranh Chấp - Dispute Resolution Senior Specialist - Khối Pháp Chế và Tuân Thủ (HO26.01)</t>
        </is>
      </c>
      <c r="D5747" t="inlineStr">
        <is>
          <t>NGÂN HÀNG TMCP QUÂN ĐỘI – MBBANK</t>
        </is>
      </c>
      <c r="E5747" t="inlineStr">
        <is>
          <t>$$ 500-1,000 /tháng</t>
        </is>
      </c>
      <c r="F5747" t="inlineStr">
        <is>
          <t>Hà Nội</t>
        </is>
      </c>
      <c r="G5747" t="inlineStr">
        <is>
          <t>Nhân viên</t>
        </is>
      </c>
      <c r="H5747" t="inlineStr">
        <is>
          <t>02/03/2026</t>
        </is>
      </c>
      <c r="I5747" t="inlineStr">
        <is>
          <t>01/04/2026</t>
        </is>
      </c>
      <c r="J5747" t="inlineStr">
        <is>
          <t>17/03/2026</t>
        </is>
      </c>
      <c r="K5747" t="inlineStr">
        <is>
          <t>N/A</t>
        </is>
      </c>
      <c r="L5747" t="inlineStr">
        <is>
          <t>Giải Quyết Khiếu Nại, Giao Tiếp, Quản Lý Công Nợ, Tố Tụng Dân Sự, Xử Lý Tranh Chấp Lao Động</t>
        </is>
      </c>
      <c r="M5747" t="inlineStr">
        <is>
          <t>Bonus, Healthcare Plan, Paid Leave, Training, Awards, Team Activities, Others</t>
        </is>
      </c>
      <c r="N5747" s="8">
        <f>HYPERLINK("https://www.vietnamworks.com/chuyen-vien-cao-cap-xu-ly-tranh-chap-dispute-resolution-senior-specialist-khoi-phap-che-va-tuan-thu-ho26-01--2016467-jv","Xem chi tiết")</f>
        <v/>
      </c>
    </row>
    <row r="5748">
      <c r="B5748" s="9" t="n">
        <v>5746</v>
      </c>
      <c r="C5748" s="10" t="inlineStr">
        <is>
          <t>Product Designer – Automotive (2D/3D)</t>
        </is>
      </c>
      <c r="D5748" s="10" t="inlineStr">
        <is>
          <t>Công ty Cổ phần Ô tô GMG</t>
        </is>
      </c>
      <c r="E5748" s="10" t="inlineStr">
        <is>
          <t>15tr-20tr ₫/tháng</t>
        </is>
      </c>
      <c r="F5748" s="10" t="inlineStr">
        <is>
          <t>Hồ Chí Minh</t>
        </is>
      </c>
      <c r="G5748" s="10" t="inlineStr">
        <is>
          <t>Nhân viên</t>
        </is>
      </c>
      <c r="H5748" s="10" t="inlineStr">
        <is>
          <t>02/03/2026</t>
        </is>
      </c>
      <c r="I5748" s="10" t="inlineStr">
        <is>
          <t>01/04/2026</t>
        </is>
      </c>
      <c r="J5748" s="10" t="inlineStr">
        <is>
          <t>17/03/2026</t>
        </is>
      </c>
      <c r="K5748" s="10" t="inlineStr">
        <is>
          <t>N/A</t>
        </is>
      </c>
      <c r="L5748" s="10" t="inlineStr">
        <is>
          <t>Thiết Kế Sản Phẩm, Thiết Kế Công Nghiệp, Phác Thảo Bản Vẽ, 3D Modeling, Sketchup</t>
        </is>
      </c>
      <c r="M5748" s="10" t="inlineStr">
        <is>
          <t>Bonus, Healthcare Plan, Training, Laptop, Team Activities, Transportation, Canteen, Others</t>
        </is>
      </c>
      <c r="N5748" s="11">
        <f>HYPERLINK("https://www.vietnamworks.com/product-designer-automotive-2d3d-2016473-jv","Xem chi tiết")</f>
        <v/>
      </c>
      <c r="O5748" s="10" t="n"/>
    </row>
    <row r="5749">
      <c r="B5749" s="7" t="n">
        <v>5747</v>
      </c>
      <c r="C5749" t="inlineStr">
        <is>
          <t>Chuyên Viên Tư Vấn Bất Động Sản</t>
        </is>
      </c>
      <c r="D5749" t="inlineStr">
        <is>
          <t>Công Ty Cổ Phần Tập Đoàn Sunshine</t>
        </is>
      </c>
      <c r="E5749" t="inlineStr">
        <is>
          <t>Thương lượng</t>
        </is>
      </c>
      <c r="F5749" t="inlineStr">
        <is>
          <t>Hà Nội</t>
        </is>
      </c>
      <c r="G5749" t="inlineStr">
        <is>
          <t>Nhân viên</t>
        </is>
      </c>
      <c r="H5749" t="inlineStr">
        <is>
          <t>02/03/2026</t>
        </is>
      </c>
      <c r="I5749" t="inlineStr">
        <is>
          <t>01/04/2026</t>
        </is>
      </c>
      <c r="J5749" t="inlineStr">
        <is>
          <t>17/03/2026</t>
        </is>
      </c>
      <c r="K5749" t="inlineStr">
        <is>
          <t>N/A</t>
        </is>
      </c>
      <c r="L5749" t="inlineStr">
        <is>
          <t>Bán Hàng, Tư Vấn, Giao Tiếp, Chăm Sóc Khách Hàng, Bất Động Sản</t>
        </is>
      </c>
      <c r="M5749" t="inlineStr">
        <is>
          <t>Bonus, Healthcare Plan, Paid Leave, Training, Others</t>
        </is>
      </c>
      <c r="N5749" s="8">
        <f>HYPERLINK("https://www.vietnamworks.com/chuyen-vien-tu-van-bat-djong-san-2016452-jv","Xem chi tiết")</f>
        <v/>
      </c>
    </row>
    <row r="5750">
      <c r="B5750" s="9" t="n">
        <v>5748</v>
      </c>
      <c r="C5750" s="10" t="inlineStr">
        <is>
          <t>Chuyên Viên Cao Cấp Quản Lý Pháp Chế - Legal Management Senior Specialist - Khối Pháp Chế và Tuân Thủ (HO26.02)</t>
        </is>
      </c>
      <c r="D5750" s="10" t="inlineStr">
        <is>
          <t>NGÂN HÀNG TMCP QUÂN ĐỘI – MBBANK</t>
        </is>
      </c>
      <c r="E5750" s="10" t="inlineStr">
        <is>
          <t>Thương lượng</t>
        </is>
      </c>
      <c r="F5750" s="10" t="inlineStr">
        <is>
          <t>Hà Nội</t>
        </is>
      </c>
      <c r="G5750" s="10" t="inlineStr">
        <is>
          <t>Nhân viên</t>
        </is>
      </c>
      <c r="H5750" s="10" t="inlineStr">
        <is>
          <t>02/03/2026</t>
        </is>
      </c>
      <c r="I5750" s="10" t="inlineStr">
        <is>
          <t>01/04/2026</t>
        </is>
      </c>
      <c r="J5750" s="10" t="inlineStr">
        <is>
          <t>17/03/2026</t>
        </is>
      </c>
      <c r="K5750" s="10" t="inlineStr">
        <is>
          <t>N/A</t>
        </is>
      </c>
      <c r="L5750" s="10" t="inlineStr">
        <is>
          <t>Corporate Governance, Internal Control, Legal Advisory, Legal Risk Management, Regulatory Compliance</t>
        </is>
      </c>
      <c r="M5750" s="10" t="inlineStr">
        <is>
          <t>Bonus, Healthcare Plan, Paid Leave, Training, Awards, Team Activities, Others</t>
        </is>
      </c>
      <c r="N5750" s="11">
        <f>HYPERLINK("https://www.vietnamworks.com/chuyen-vien-cao-cap-quan-ly-phap-che-legal-management-senior-specialist-khoi-phap-che-va-tuan-thu-ho26-02--2016472-jv","Xem chi tiết")</f>
        <v/>
      </c>
      <c r="O5750" s="10" t="n"/>
    </row>
    <row r="5751">
      <c r="B5751" s="7" t="n">
        <v>5749</v>
      </c>
      <c r="C5751" t="inlineStr">
        <is>
          <t>Chuyên Viên Cao Cấp Quản Trị Rủi Ro Thị Trường - Market Risk Management Senior Specialist - Khối Quản Trị Rủi Ro (HO26.11)</t>
        </is>
      </c>
      <c r="D5751" t="inlineStr">
        <is>
          <t>NGÂN HÀNG TMCP QUÂN ĐỘI – MBBANK</t>
        </is>
      </c>
      <c r="E5751" t="inlineStr">
        <is>
          <t>Thương lượng</t>
        </is>
      </c>
      <c r="F5751" t="inlineStr">
        <is>
          <t>Hà Nội</t>
        </is>
      </c>
      <c r="G5751" t="inlineStr">
        <is>
          <t>Nhân viên</t>
        </is>
      </c>
      <c r="H5751" t="inlineStr">
        <is>
          <t>02/03/2026</t>
        </is>
      </c>
      <c r="I5751" t="inlineStr">
        <is>
          <t>01/04/2026</t>
        </is>
      </c>
      <c r="J5751" t="inlineStr">
        <is>
          <t>17/03/2026</t>
        </is>
      </c>
      <c r="K5751" t="inlineStr">
        <is>
          <t>N/A</t>
        </is>
      </c>
      <c r="L5751" t="inlineStr">
        <is>
          <t>PowerBI, Python, SQL, VBA</t>
        </is>
      </c>
      <c r="M5751" t="inlineStr">
        <is>
          <t>Bonus, Healthcare Plan, Paid Leave, Training, Awards, Team Activities, Others</t>
        </is>
      </c>
      <c r="N5751" s="8">
        <f>HYPERLINK("https://www.vietnamworks.com/chuyen-vien-cao-cap-quan-tri-rui-ro-thi-truong-market-risk-management-senior-specialist-khoi-quan-tri-rui-ro-ho26-11--2016463-jv","Xem chi tiết")</f>
        <v/>
      </c>
    </row>
    <row r="5752">
      <c r="B5752" s="9" t="n">
        <v>5750</v>
      </c>
      <c r="C5752" s="10" t="inlineStr">
        <is>
          <t>Production Supervisor - Contractor 1 Year - Night Shift (22H00 - 6H00) - LPG Product</t>
        </is>
      </c>
      <c r="D5752" s="10" t="inlineStr">
        <is>
          <t>TotalEnergies Việt Nam</t>
        </is>
      </c>
      <c r="E5752" s="10" t="inlineStr">
        <is>
          <t>Thương lượng</t>
        </is>
      </c>
      <c r="F5752" s="10" t="inlineStr">
        <is>
          <t>Hồ Chí Minh</t>
        </is>
      </c>
      <c r="G5752" s="10" t="inlineStr">
        <is>
          <t>Nhân viên</t>
        </is>
      </c>
      <c r="H5752" s="10" t="inlineStr">
        <is>
          <t>02/03/2026</t>
        </is>
      </c>
      <c r="I5752" s="10" t="inlineStr">
        <is>
          <t>01/04/2026</t>
        </is>
      </c>
      <c r="J5752" s="10" t="inlineStr">
        <is>
          <t>17/03/2026</t>
        </is>
      </c>
      <c r="K5752" s="10" t="inlineStr">
        <is>
          <t>N/A</t>
        </is>
      </c>
      <c r="L5752" s="10" t="inlineStr">
        <is>
          <t>Production, Sản xuất, LPG, Vận Hành Nhà Máy, Giám Sát Sản Xuất</t>
        </is>
      </c>
      <c r="M5752" s="10" t="inlineStr">
        <is>
          <t>Bonus, Paid Leave, Training</t>
        </is>
      </c>
      <c r="N5752" s="11">
        <f>HYPERLINK("https://www.vietnamworks.com/production-supervisor-contractor-1-year-night-shift-22h00-6h00-lpg-product-2016469-jv","Xem chi tiết")</f>
        <v/>
      </c>
      <c r="O5752" s="10" t="n"/>
    </row>
    <row r="5753">
      <c r="B5753" s="7" t="n">
        <v>5751</v>
      </c>
      <c r="C5753" t="inlineStr">
        <is>
          <t>Senior Executive Assistant (Trợ Lý CEO)</t>
        </is>
      </c>
      <c r="D5753" t="inlineStr">
        <is>
          <t>Edupia</t>
        </is>
      </c>
      <c r="E5753" t="inlineStr">
        <is>
          <t>Tới 70tr ₫/tháng</t>
        </is>
      </c>
      <c r="F5753" t="inlineStr">
        <is>
          <t>Hà Nội</t>
        </is>
      </c>
      <c r="G5753" t="inlineStr">
        <is>
          <t>Trưởng phòng</t>
        </is>
      </c>
      <c r="H5753" t="inlineStr">
        <is>
          <t>02/03/2026</t>
        </is>
      </c>
      <c r="I5753" t="inlineStr">
        <is>
          <t>01/04/2026</t>
        </is>
      </c>
      <c r="J5753" t="inlineStr">
        <is>
          <t>17/03/2026</t>
        </is>
      </c>
      <c r="K5753" t="inlineStr">
        <is>
          <t>N/A</t>
        </is>
      </c>
      <c r="L5753" t="inlineStr">
        <is>
          <t>PMO Management, Quản Trị Rủi Ro, Strategic Planning, Trợ Lý, Trợ Lý Giám Đốc</t>
        </is>
      </c>
      <c r="M5753" t="inlineStr">
        <is>
          <t>Bonus, Healthcare Plan, Paid Leave, Awards, Team Activities, Others</t>
        </is>
      </c>
      <c r="N5753" s="8">
        <f>HYPERLINK("https://www.vietnamworks.com/senior-executive-assistant-tro-ly-ceo-2016457-jv","Xem chi tiết")</f>
        <v/>
      </c>
    </row>
    <row r="5754">
      <c r="B5754" s="9" t="n">
        <v>5752</v>
      </c>
      <c r="C5754" s="10" t="inlineStr">
        <is>
          <t>Chuyên Viên Chính Quan Hệ Khách Hàng Doanh Nghiệp - EB - MSB - 3Y038</t>
        </is>
      </c>
      <c r="D5754" s="10" t="inlineStr">
        <is>
          <t>Ngân Hàng Thương Mại Cổ Phần Hàng Hải Việt Nam (MSB)</t>
        </is>
      </c>
      <c r="E5754" s="10" t="inlineStr">
        <is>
          <t>Thương lượng</t>
        </is>
      </c>
      <c r="F5754" s="10" t="inlineStr">
        <is>
          <t>Hồ Chí Minh</t>
        </is>
      </c>
      <c r="G5754" s="10" t="inlineStr">
        <is>
          <t>Nhân viên</t>
        </is>
      </c>
      <c r="H5754" s="10" t="inlineStr">
        <is>
          <t>02/03/2026</t>
        </is>
      </c>
      <c r="I5754" s="10" t="inlineStr">
        <is>
          <t>01/04/2026</t>
        </is>
      </c>
      <c r="J5754" s="10" t="inlineStr">
        <is>
          <t>17/03/2026</t>
        </is>
      </c>
      <c r="K5754" s="10" t="inlineStr">
        <is>
          <t>N/A</t>
        </is>
      </c>
      <c r="L5754" s="10" t="inlineStr">
        <is>
          <t>Phân Tích Báo Cáo Tài Chính, Quan hệ khách hàng doanh nghiệp</t>
        </is>
      </c>
      <c r="M5754" s="10" t="inlineStr">
        <is>
          <t>Bonus, Healthcare Plan, Team Activities</t>
        </is>
      </c>
      <c r="N5754" s="11">
        <f>HYPERLINK("https://www.vietnamworks.com/chuyen-vien-chinh-quan-he-khach-hang-doanh-nghiep-eb-msb-3y038-2016474-jv","Xem chi tiết")</f>
        <v/>
      </c>
      <c r="O5754" s="10" t="n"/>
    </row>
    <row r="5755">
      <c r="B5755" s="7" t="n">
        <v>5753</v>
      </c>
      <c r="C5755" t="inlineStr">
        <is>
          <t>Nhân Viên Kỹ Thuật</t>
        </is>
      </c>
      <c r="D5755" t="inlineStr">
        <is>
          <t>Design-Net VN Co.,ltd.</t>
        </is>
      </c>
      <c r="E5755" t="inlineStr">
        <is>
          <t>$$ 500-1,000 /tháng</t>
        </is>
      </c>
      <c r="F5755" t="inlineStr">
        <is>
          <t>Hồ Chí Minh</t>
        </is>
      </c>
      <c r="G5755" t="inlineStr">
        <is>
          <t>Mới Tốt Nghiệp</t>
        </is>
      </c>
      <c r="H5755" t="inlineStr">
        <is>
          <t>02/03/2026</t>
        </is>
      </c>
      <c r="I5755" t="inlineStr">
        <is>
          <t>01/04/2026</t>
        </is>
      </c>
      <c r="J5755" t="inlineStr">
        <is>
          <t>17/03/2026</t>
        </is>
      </c>
      <c r="K5755" t="inlineStr">
        <is>
          <t>N/A</t>
        </is>
      </c>
      <c r="L5755" t="inlineStr">
        <is>
          <t>AutoCAD 2D, Kiến Trúc Công Trình, Tiếng Nhật, Đọc Hiểu Bản Vẽ Kỹ Thuật, Xây Dựng</t>
        </is>
      </c>
      <c r="M5755" t="inlineStr">
        <is>
          <t>Healthcare Plan, Others</t>
        </is>
      </c>
      <c r="N5755" s="8">
        <f>HYPERLINK("https://www.vietnamworks.com/nhan-vien-ky-thuat-2016479-jv","Xem chi tiết")</f>
        <v/>
      </c>
    </row>
    <row r="5756">
      <c r="B5756" s="9" t="n">
        <v>5754</v>
      </c>
      <c r="C5756" s="10" t="inlineStr">
        <is>
          <t>Business Analyst Executive (CDP/CRM &amp; Cross-Sales)</t>
        </is>
      </c>
      <c r="D5756" s="10" t="inlineStr">
        <is>
          <t>Mitsubishi Electric Vietnam Co. Ltd.</t>
        </is>
      </c>
      <c r="E5756" s="10" t="inlineStr">
        <is>
          <t>Thương lượng</t>
        </is>
      </c>
      <c r="F5756" s="10" t="inlineStr">
        <is>
          <t>Hồ Chí Minh</t>
        </is>
      </c>
      <c r="G5756" s="10" t="inlineStr">
        <is>
          <t>Nhân viên</t>
        </is>
      </c>
      <c r="H5756" s="10" t="inlineStr">
        <is>
          <t>02/03/2026</t>
        </is>
      </c>
      <c r="I5756" s="10" t="inlineStr">
        <is>
          <t>01/04/2026</t>
        </is>
      </c>
      <c r="J5756" s="10" t="inlineStr">
        <is>
          <t>17/03/2026</t>
        </is>
      </c>
      <c r="K5756" s="10" t="inlineStr">
        <is>
          <t>N/A</t>
        </is>
      </c>
      <c r="L5756" s="10" t="inlineStr">
        <is>
          <t>Active Mindset, CRM System, Data Analysis, Insight Generation, Retail Analytics</t>
        </is>
      </c>
      <c r="M5756" s="10" t="inlineStr">
        <is>
          <t>Bonus, Healthcare Plan, Paid Leave, Training, Laptop</t>
        </is>
      </c>
      <c r="N5756" s="11">
        <f>HYPERLINK("https://www.vietnamworks.com/business-analyst-executive-cdpcrm-and-cross-sales-2016475-jv","Xem chi tiết")</f>
        <v/>
      </c>
      <c r="O5756" s="10" t="n"/>
    </row>
    <row r="5757">
      <c r="B5757" s="7" t="n">
        <v>5755</v>
      </c>
      <c r="C5757" t="inlineStr">
        <is>
          <t>Kế Toán Tổng Hợp</t>
        </is>
      </c>
      <c r="D5757" t="inlineStr">
        <is>
          <t>CÔNG TY CỔ PHẦN TẬP ĐOÀN XUẤT - NHẬP KHẨU TRÁI CÂY CHÁNH THU</t>
        </is>
      </c>
      <c r="E5757" t="inlineStr">
        <is>
          <t>Thương lượng</t>
        </is>
      </c>
      <c r="F5757" t="inlineStr">
        <is>
          <t>Hồ Chí Minh, Đắk Lắk, Bến Tre</t>
        </is>
      </c>
      <c r="G5757" t="inlineStr">
        <is>
          <t>Nhân viên</t>
        </is>
      </c>
      <c r="H5757" t="inlineStr">
        <is>
          <t>02/03/2026</t>
        </is>
      </c>
      <c r="I5757" t="inlineStr">
        <is>
          <t>01/04/2026</t>
        </is>
      </c>
      <c r="J5757" t="inlineStr">
        <is>
          <t>17/03/2026</t>
        </is>
      </c>
      <c r="K5757" t="inlineStr">
        <is>
          <t>N/A</t>
        </is>
      </c>
      <c r="L5757" t="inlineStr">
        <is>
          <t>Tài Chính, Kiểm Toán, Kế Toán Tổng Hợp, Kế Toán, Báo Cáo Tài Chính</t>
        </is>
      </c>
      <c r="M5757" t="inlineStr">
        <is>
          <t>Bonus, Training, Laptop</t>
        </is>
      </c>
      <c r="N5757" s="8">
        <f>HYPERLINK("https://www.vietnamworks.com/ke-toan-tong-hop--2016483-jv","Xem chi tiết")</f>
        <v/>
      </c>
    </row>
    <row r="5758">
      <c r="B5758" s="9" t="n">
        <v>5756</v>
      </c>
      <c r="C5758" s="10" t="inlineStr">
        <is>
          <t>Member Experience Executive (Office - Coworking space)</t>
        </is>
      </c>
      <c r="D5758" s="10" t="inlineStr">
        <is>
          <t>DREAMPLEX REAL ESTATE INVESTMENT COMPANY LIMITED</t>
        </is>
      </c>
      <c r="E5758" s="10" t="inlineStr">
        <is>
          <t>8tr-10tr ₫/tháng</t>
        </is>
      </c>
      <c r="F5758" s="10" t="inlineStr">
        <is>
          <t>Hà Nội</t>
        </is>
      </c>
      <c r="G5758" s="10" t="inlineStr">
        <is>
          <t>Nhân viên</t>
        </is>
      </c>
      <c r="H5758" s="10" t="inlineStr">
        <is>
          <t>02/03/2026</t>
        </is>
      </c>
      <c r="I5758" s="10" t="inlineStr">
        <is>
          <t>01/04/2026</t>
        </is>
      </c>
      <c r="J5758" s="10" t="inlineStr">
        <is>
          <t>17/03/2026</t>
        </is>
      </c>
      <c r="K5758" s="10" t="inlineStr">
        <is>
          <t>N/A</t>
        </is>
      </c>
      <c r="L5758" s="10" t="inlineStr">
        <is>
          <t>Chăm Sóc Khách Hàng, Customer Service &amp; After Service, Dịch Vụ Khách Hàng, Lễ Tân Hành Chính, hành chính văn phòng</t>
        </is>
      </c>
      <c r="M5758" s="10" t="inlineStr">
        <is>
          <t>Bonus, Healthcare Plan, Paid Leave, Awards, Laptop, Team Activities, Others</t>
        </is>
      </c>
      <c r="N5758" s="11">
        <f>HYPERLINK("https://www.vietnamworks.com/member-experience-executive-office-coworking-space-2016486-jv","Xem chi tiết")</f>
        <v/>
      </c>
      <c r="O5758" s="10" t="n"/>
    </row>
    <row r="5759">
      <c r="B5759" s="7" t="n">
        <v>5757</v>
      </c>
      <c r="C5759" t="inlineStr">
        <is>
          <t>Nhân Viên Kinh Doanh Thiết Bị Sản Phẩm Nha Khoa Dentium</t>
        </is>
      </c>
      <c r="D5759" t="inlineStr">
        <is>
          <t>DENTIUM VIỆT NAM - Chi nhánh Công Ty TNHH BMS VINA tại Hồ Chí Minh</t>
        </is>
      </c>
      <c r="E5759" t="inlineStr">
        <is>
          <t>Thương lượng</t>
        </is>
      </c>
      <c r="F5759" t="inlineStr">
        <is>
          <t>Hồ Chí Minh, Cần Thơ, Hà Nội</t>
        </is>
      </c>
      <c r="G5759" t="inlineStr">
        <is>
          <t>Mới Tốt Nghiệp</t>
        </is>
      </c>
      <c r="H5759" t="inlineStr">
        <is>
          <t>02/03/2026</t>
        </is>
      </c>
      <c r="I5759" t="inlineStr">
        <is>
          <t>01/04/2026</t>
        </is>
      </c>
      <c r="J5759" t="inlineStr">
        <is>
          <t>17/03/2026</t>
        </is>
      </c>
      <c r="K5759" t="inlineStr">
        <is>
          <t>N/A</t>
        </is>
      </c>
      <c r="L5759" t="inlineStr">
        <is>
          <t>Chăm Sóc Khách Hàng, Dự Thảo Hợp Đồng, Kinh Doanh Thiết Bị Y Tế, Phân Tích Hồ Sơ, Theo Dõi Công Nợ</t>
        </is>
      </c>
      <c r="M5759" t="inlineStr">
        <is>
          <t>Bonus, Others</t>
        </is>
      </c>
      <c r="N5759" s="8">
        <f>HYPERLINK("https://www.vietnamworks.com/nhan-vien-kinh-doanh-thiet-bi-san-pham-nha-khoa-dentium-2016478-jv","Xem chi tiết")</f>
        <v/>
      </c>
    </row>
    <row r="5760">
      <c r="B5760" s="9" t="n">
        <v>5758</v>
      </c>
      <c r="C5760" s="10" t="inlineStr">
        <is>
          <t>Kế Toán Tổng Hợp Thu Nhập Upto 18Tr</t>
        </is>
      </c>
      <c r="D5760" s="10" t="inlineStr">
        <is>
          <t>Công Ty Cổ Phần Thiết Bị Điện Và Chế Tạo Biến Thế Hà Nội</t>
        </is>
      </c>
      <c r="E5760" s="10" t="inlineStr">
        <is>
          <t>14tr-18tr ₫/tháng</t>
        </is>
      </c>
      <c r="F5760" s="10" t="inlineStr">
        <is>
          <t>Hà Nội</t>
        </is>
      </c>
      <c r="G5760" s="10" t="inlineStr">
        <is>
          <t>Nhân viên</t>
        </is>
      </c>
      <c r="H5760" s="10" t="inlineStr">
        <is>
          <t>02/03/2026</t>
        </is>
      </c>
      <c r="I5760" s="10" t="inlineStr">
        <is>
          <t>01/04/2026</t>
        </is>
      </c>
      <c r="J5760" s="10" t="inlineStr">
        <is>
          <t>17/03/2026</t>
        </is>
      </c>
      <c r="K5760" s="10" t="inlineStr">
        <is>
          <t>N/A</t>
        </is>
      </c>
      <c r="L5760" s="10" t="inlineStr">
        <is>
          <t>Phân Tích Giá Thành, Quyết Toán Thuế, Thuế, Chứng Từ Kế Toán, Quản Lý Công Nợ</t>
        </is>
      </c>
      <c r="M5760" s="10" t="inlineStr">
        <is>
          <t>Bonus, Awards, Transportation, Others</t>
        </is>
      </c>
      <c r="N5760" s="11">
        <f>HYPERLINK("https://www.vietnamworks.com/ke-toan-tong-hop-thu-nhap-upto-18tr-2016488-jv","Xem chi tiết")</f>
        <v/>
      </c>
      <c r="O5760" s="10" t="n"/>
    </row>
    <row r="5761">
      <c r="B5761" s="7" t="n">
        <v>5759</v>
      </c>
      <c r="C5761" t="inlineStr">
        <is>
          <t>Trưởng Nhóm Thiết Kế Cơ Khí</t>
        </is>
      </c>
      <c r="D5761" t="inlineStr">
        <is>
          <t>Công Ty Cổ Phần Phương Tiện Điện Thông Minh Selex</t>
        </is>
      </c>
      <c r="E5761" t="inlineStr">
        <is>
          <t>$$ 1,000-1,200 /tháng</t>
        </is>
      </c>
      <c r="F5761" t="inlineStr">
        <is>
          <t>Hà Nội</t>
        </is>
      </c>
      <c r="G5761" t="inlineStr">
        <is>
          <t>Nhân viên</t>
        </is>
      </c>
      <c r="H5761" t="inlineStr">
        <is>
          <t>02/03/2026</t>
        </is>
      </c>
      <c r="I5761" t="inlineStr">
        <is>
          <t>01/04/2026</t>
        </is>
      </c>
      <c r="J5761" t="inlineStr">
        <is>
          <t>17/03/2026</t>
        </is>
      </c>
      <c r="K5761" t="inlineStr">
        <is>
          <t>N/A</t>
        </is>
      </c>
      <c r="L5761" t="inlineStr">
        <is>
          <t>Thiết Kế Cơ Khí, Cơ Khí, AutoCAD, Cơ Khí Chế Tạo Máy, Kỹ Sư Thiết Kế</t>
        </is>
      </c>
      <c r="M5761" t="inlineStr">
        <is>
          <t>Bonus, Awards, Others</t>
        </is>
      </c>
      <c r="N5761" s="8">
        <f>HYPERLINK("https://www.vietnamworks.com/truong-nhom-thiet-ke-co-khi--2016495-jv","Xem chi tiết")</f>
        <v/>
      </c>
    </row>
    <row r="5762">
      <c r="B5762" s="9" t="n">
        <v>5760</v>
      </c>
      <c r="C5762" s="10" t="inlineStr">
        <is>
          <t>Regional Sales Manager (GT North)</t>
        </is>
      </c>
      <c r="D5762" s="10" t="inlineStr">
        <is>
          <t>Công ty TNHH CJ Foods Việt Nam/ CJ Foods Vietnam Company Limited</t>
        </is>
      </c>
      <c r="E5762" s="10" t="inlineStr">
        <is>
          <t>Thương lượng</t>
        </is>
      </c>
      <c r="F5762" s="10" t="inlineStr">
        <is>
          <t>Hà Nội</t>
        </is>
      </c>
      <c r="G5762" s="10" t="inlineStr">
        <is>
          <t>Trưởng phòng</t>
        </is>
      </c>
      <c r="H5762" s="10" t="inlineStr">
        <is>
          <t>02/03/2026</t>
        </is>
      </c>
      <c r="I5762" s="10" t="inlineStr">
        <is>
          <t>01/04/2026</t>
        </is>
      </c>
      <c r="J5762" s="10" t="inlineStr">
        <is>
          <t>17/03/2026</t>
        </is>
      </c>
      <c r="K5762" s="10" t="inlineStr">
        <is>
          <t>N/A</t>
        </is>
      </c>
      <c r="L5762" s="10" t="inlineStr">
        <is>
          <t>Effective Communication, Planning Skills, Sales Admin, Sales Management, Sales Supervisor</t>
        </is>
      </c>
      <c r="M5762" s="10" t="inlineStr">
        <is>
          <t>Bonus, Healthcare Plan, Training, Travel Opportunities, Others</t>
        </is>
      </c>
      <c r="N5762" s="11">
        <f>HYPERLINK("https://www.vietnamworks.com/regional-sales-manager-gt-north-2016501-jv","Xem chi tiết")</f>
        <v/>
      </c>
      <c r="O5762" s="10" t="n"/>
    </row>
    <row r="5763">
      <c r="B5763" s="7" t="n">
        <v>5761</v>
      </c>
      <c r="C5763" t="inlineStr">
        <is>
          <t>Chuyên Viên Cao Cấp Kiểm Định Mô Hình Rủi Ro - Risk Model Validation Senior Specialist - Khối Quản Trị Rủi Ro (HO26.14)</t>
        </is>
      </c>
      <c r="D5763" t="inlineStr">
        <is>
          <t>NGÂN HÀNG TMCP QUÂN ĐỘI – MBBANK</t>
        </is>
      </c>
      <c r="E5763" t="inlineStr">
        <is>
          <t>Thương lượng</t>
        </is>
      </c>
      <c r="F5763" t="inlineStr">
        <is>
          <t>Hà Nội</t>
        </is>
      </c>
      <c r="G5763" t="inlineStr">
        <is>
          <t>Nhân viên</t>
        </is>
      </c>
      <c r="H5763" t="inlineStr">
        <is>
          <t>02/03/2026</t>
        </is>
      </c>
      <c r="I5763" t="inlineStr">
        <is>
          <t>01/04/2026</t>
        </is>
      </c>
      <c r="J5763" t="inlineStr">
        <is>
          <t>17/03/2026</t>
        </is>
      </c>
      <c r="K5763" t="inlineStr">
        <is>
          <t>N/A</t>
        </is>
      </c>
      <c r="L5763" t="inlineStr">
        <is>
          <t>Basel II, Data Analysis, Financial Modeling, IFRS Compliance</t>
        </is>
      </c>
      <c r="M5763" t="inlineStr">
        <is>
          <t>Bonus, Healthcare Plan, Paid Leave, Training, Awards, Team Activities, Others</t>
        </is>
      </c>
      <c r="N5763" s="8">
        <f>HYPERLINK("https://www.vietnamworks.com/chuyen-vien-cao-cap-kiem-dinh-mo-hinh-rui-ro-risk-model-validation-senior-specialist-khoi-quan-tri-rui-ro-ho26-14--2016482-jv","Xem chi tiết")</f>
        <v/>
      </c>
    </row>
    <row r="5764">
      <c r="B5764" s="9" t="n">
        <v>5762</v>
      </c>
      <c r="C5764" s="10" t="inlineStr">
        <is>
          <t>Chuyên Viên Cao Cấp Quản Trị Rủi Ro Tích Hợp - Integrated Risk Management Senior Specialist - Khối Quản Trị Rủi Ro (HO26.04)</t>
        </is>
      </c>
      <c r="D5764" s="10" t="inlineStr">
        <is>
          <t>NGÂN HÀNG TMCP QUÂN ĐỘI – MBBANK</t>
        </is>
      </c>
      <c r="E5764" s="10" t="inlineStr">
        <is>
          <t>Thương lượng</t>
        </is>
      </c>
      <c r="F5764" s="10" t="inlineStr">
        <is>
          <t>Hà Nội</t>
        </is>
      </c>
      <c r="G5764" s="10" t="inlineStr">
        <is>
          <t>Nhân viên</t>
        </is>
      </c>
      <c r="H5764" s="10" t="inlineStr">
        <is>
          <t>02/03/2026</t>
        </is>
      </c>
      <c r="I5764" s="10" t="inlineStr">
        <is>
          <t>01/04/2026</t>
        </is>
      </c>
      <c r="J5764" s="10" t="inlineStr">
        <is>
          <t>17/03/2026</t>
        </is>
      </c>
      <c r="K5764" s="10" t="inlineStr">
        <is>
          <t>N/A</t>
        </is>
      </c>
      <c r="L5764" s="10" t="inlineStr">
        <is>
          <t>CAR, Kiểm Soát Nội Bộ, Risk Management, SQL, VBA</t>
        </is>
      </c>
      <c r="M5764" s="10" t="inlineStr">
        <is>
          <t>Bonus, Healthcare Plan, Paid Leave, Training, Awards, Team Activities, Others</t>
        </is>
      </c>
      <c r="N5764" s="11">
        <f>HYPERLINK("https://www.vietnamworks.com/chuyen-vien-cao-cap-quan-tri-rui-ro-tich-hop-integrated-risk-management-senior-specialist-khoi-quan-tri-rui-ro-ho26-04--2016492-jv","Xem chi tiết")</f>
        <v/>
      </c>
      <c r="O5764" s="10" t="n"/>
    </row>
    <row r="5765">
      <c r="B5765" s="7" t="n">
        <v>5763</v>
      </c>
      <c r="C5765" t="inlineStr">
        <is>
          <t>Deputy Head of Legal (Attractive Remuneration Package)</t>
        </is>
      </c>
      <c r="D5765" t="inlineStr">
        <is>
          <t>Masan High-Tech Materials</t>
        </is>
      </c>
      <c r="E5765" t="inlineStr">
        <is>
          <t>Thương lượng</t>
        </is>
      </c>
      <c r="F5765" t="inlineStr">
        <is>
          <t>Hà Nội</t>
        </is>
      </c>
      <c r="G5765" t="inlineStr">
        <is>
          <t>Nhân viên</t>
        </is>
      </c>
      <c r="H5765" t="inlineStr">
        <is>
          <t>02/03/2026</t>
        </is>
      </c>
      <c r="I5765" t="inlineStr">
        <is>
          <t>01/04/2026</t>
        </is>
      </c>
      <c r="J5765" t="inlineStr">
        <is>
          <t>17/03/2026</t>
        </is>
      </c>
      <c r="K5765" t="inlineStr">
        <is>
          <t>N/A</t>
        </is>
      </c>
      <c r="L5765" t="inlineStr">
        <is>
          <t>Legal Process Management, Legal Consultation, Law Firms, Law Analysing, Counselling</t>
        </is>
      </c>
      <c r="M5765" t="inlineStr">
        <is>
          <t>Bonus, Healthcare Plan, Others</t>
        </is>
      </c>
      <c r="N5765" s="8">
        <f>HYPERLINK("https://www.vietnamworks.com/deputy-head-of-legal-attractive-remuneration-package-2016477-jv","Xem chi tiết")</f>
        <v/>
      </c>
    </row>
    <row r="5766">
      <c r="B5766" s="9" t="n">
        <v>5764</v>
      </c>
      <c r="C5766" s="10" t="inlineStr">
        <is>
          <t>Chuyên Gia Tư Vấn Pháp Chế (Mảng Khách Hàng Lớn/ Ngân Hàng Đầu Tư) - Legal Consultant Expert - Khối Pháp Chế và Tuân Thủ (HO26.03)</t>
        </is>
      </c>
      <c r="D5766" s="10" t="inlineStr">
        <is>
          <t>NGÂN HÀNG TMCP QUÂN ĐỘI – MBBANK</t>
        </is>
      </c>
      <c r="E5766" s="10" t="inlineStr">
        <is>
          <t>Thương lượng</t>
        </is>
      </c>
      <c r="F5766" s="10" t="inlineStr">
        <is>
          <t>Hà Nội</t>
        </is>
      </c>
      <c r="G5766" s="10" t="inlineStr">
        <is>
          <t>Nhân viên</t>
        </is>
      </c>
      <c r="H5766" s="10" t="inlineStr">
        <is>
          <t>02/03/2026</t>
        </is>
      </c>
      <c r="I5766" s="10" t="inlineStr">
        <is>
          <t>01/04/2026</t>
        </is>
      </c>
      <c r="J5766" s="10" t="inlineStr">
        <is>
          <t>17/03/2026</t>
        </is>
      </c>
      <c r="K5766" s="10" t="inlineStr">
        <is>
          <t>N/A</t>
        </is>
      </c>
      <c r="L5766" s="10" t="inlineStr">
        <is>
          <t>Legal Affairs, Legal Consultant, Phân tích pháp luật, Pháp Lý Tài Chính</t>
        </is>
      </c>
      <c r="M5766" s="10" t="inlineStr">
        <is>
          <t>Bonus, Healthcare Plan, Paid Leave, Training, Awards, Team Activities, Others</t>
        </is>
      </c>
      <c r="N5766" s="11">
        <f>HYPERLINK("https://www.vietnamworks.com/chuyen-gia-tu-van-phap-che-mang-khach-hang-lon-ngan-hang-dau-tu-legal-consultant-expert-khoi-phap-che-va-tuan-thu-ho26-03-2016487-jv","Xem chi tiết")</f>
        <v/>
      </c>
      <c r="O5766" s="10" t="n"/>
    </row>
    <row r="5767">
      <c r="B5767" s="7" t="n">
        <v>5765</v>
      </c>
      <c r="C5767" t="inlineStr">
        <is>
          <t>Application Support Team Head</t>
        </is>
      </c>
      <c r="D5767" t="inlineStr">
        <is>
          <t>Shinhan Vietnam Finance Company Limited</t>
        </is>
      </c>
      <c r="E5767" t="inlineStr">
        <is>
          <t>Thương lượng</t>
        </is>
      </c>
      <c r="F5767" t="inlineStr">
        <is>
          <t>Hồ Chí Minh</t>
        </is>
      </c>
      <c r="G5767" t="inlineStr">
        <is>
          <t>Trưởng phòng</t>
        </is>
      </c>
      <c r="H5767" t="inlineStr">
        <is>
          <t>02/03/2026</t>
        </is>
      </c>
      <c r="I5767" t="inlineStr">
        <is>
          <t>01/04/2026</t>
        </is>
      </c>
      <c r="J5767" t="inlineStr">
        <is>
          <t>17/03/2026</t>
        </is>
      </c>
      <c r="K5767" t="inlineStr">
        <is>
          <t>N/A</t>
        </is>
      </c>
      <c r="L5767" t="inlineStr">
        <is>
          <t>System Support, Application Support</t>
        </is>
      </c>
      <c r="M5767" t="inlineStr">
        <is>
          <t>Bonus, Healthcare Plan, Paid Leave</t>
        </is>
      </c>
      <c r="N5767" s="8">
        <f>HYPERLINK("https://www.vietnamworks.com/application-support-team-head--2016493-jv","Xem chi tiết")</f>
        <v/>
      </c>
    </row>
    <row r="5768">
      <c r="B5768" s="9" t="n">
        <v>5766</v>
      </c>
      <c r="C5768" s="10" t="inlineStr">
        <is>
          <t>Chuyên Viên Cao Cấp Giám Sát Rủi Ro Tín Dụng - Credit Risk Monitoring Senior Specialist - Khối Quản Trị Rủi Ro (HO26.05)</t>
        </is>
      </c>
      <c r="D5768" s="10" t="inlineStr">
        <is>
          <t>NGÂN HÀNG TMCP QUÂN ĐỘI – MBBANK</t>
        </is>
      </c>
      <c r="E5768" s="10" t="inlineStr">
        <is>
          <t>Thương lượng</t>
        </is>
      </c>
      <c r="F5768" s="10" t="inlineStr">
        <is>
          <t>Hà Nội</t>
        </is>
      </c>
      <c r="G5768" s="10" t="inlineStr">
        <is>
          <t>Nhân viên</t>
        </is>
      </c>
      <c r="H5768" s="10" t="inlineStr">
        <is>
          <t>02/03/2026</t>
        </is>
      </c>
      <c r="I5768" s="10" t="inlineStr">
        <is>
          <t>01/04/2026</t>
        </is>
      </c>
      <c r="J5768" s="10" t="inlineStr">
        <is>
          <t>17/03/2026</t>
        </is>
      </c>
      <c r="K5768" s="10" t="inlineStr">
        <is>
          <t>N/A</t>
        </is>
      </c>
      <c r="L5768" s="10" t="inlineStr">
        <is>
          <t>VBA, Customer Scoring System</t>
        </is>
      </c>
      <c r="M5768" s="10" t="inlineStr">
        <is>
          <t>Bonus, Healthcare Plan, Paid Leave, Training, Awards, Team Activities, Others</t>
        </is>
      </c>
      <c r="N5768" s="11">
        <f>HYPERLINK("https://www.vietnamworks.com/chuyen-vien-cao-cap-giam-sat-rui-ro-tin-dung-credit-risk-monitoring-senior-specialist-khoi-quan-tri-rui-ro-ho26-05--2016497-jv","Xem chi tiết")</f>
        <v/>
      </c>
      <c r="O5768" s="10" t="n"/>
    </row>
    <row r="5769">
      <c r="B5769" s="7" t="n">
        <v>5767</v>
      </c>
      <c r="C5769" t="inlineStr">
        <is>
          <t>Kỹ Sư Phát Triển Giải Pháp Oracle - Database Developer - Khối Công Nghệ Thông Tin (HO26.17)</t>
        </is>
      </c>
      <c r="D5769" t="inlineStr">
        <is>
          <t>NGÂN HÀNG TMCP QUÂN ĐỘI – MBBANK</t>
        </is>
      </c>
      <c r="E5769" t="inlineStr">
        <is>
          <t>Thương lượng</t>
        </is>
      </c>
      <c r="F5769" t="inlineStr">
        <is>
          <t>Hà Nội</t>
        </is>
      </c>
      <c r="G5769" t="inlineStr">
        <is>
          <t>Nhân viên</t>
        </is>
      </c>
      <c r="H5769" t="inlineStr">
        <is>
          <t>02/03/2026</t>
        </is>
      </c>
      <c r="I5769" t="inlineStr">
        <is>
          <t>01/04/2026</t>
        </is>
      </c>
      <c r="J5769" t="inlineStr">
        <is>
          <t>17/03/2026</t>
        </is>
      </c>
      <c r="K5769" t="inlineStr">
        <is>
          <t>N/A</t>
        </is>
      </c>
      <c r="L5769" t="inlineStr">
        <is>
          <t>ETL, Oracle BI, PLSQL, SQL</t>
        </is>
      </c>
      <c r="M5769" t="inlineStr">
        <is>
          <t>Bonus, Healthcare Plan, Paid Leave, Training, Awards, Team Activities, Others</t>
        </is>
      </c>
      <c r="N5769" s="8">
        <f>HYPERLINK("https://www.vietnamworks.com/ky-su-phat-trien-giai-phap-oracle-database-developer-khoi-cong-nghe-thong-tin-ho26-17--2016500-jv","Xem chi tiết")</f>
        <v/>
      </c>
    </row>
    <row r="5770">
      <c r="B5770" s="9" t="n">
        <v>5768</v>
      </c>
      <c r="C5770" s="10" t="inlineStr">
        <is>
          <t>Data Engineer - Khối Công Nghệ Thông Tin (HO26.16)</t>
        </is>
      </c>
      <c r="D5770" s="10" t="inlineStr">
        <is>
          <t>NGÂN HÀNG TMCP QUÂN ĐỘI – MBBANK</t>
        </is>
      </c>
      <c r="E5770" s="10" t="inlineStr">
        <is>
          <t>Thương lượng</t>
        </is>
      </c>
      <c r="F5770" s="10" t="inlineStr">
        <is>
          <t>Hà Nội</t>
        </is>
      </c>
      <c r="G5770" s="10" t="inlineStr">
        <is>
          <t>Nhân viên</t>
        </is>
      </c>
      <c r="H5770" s="10" t="inlineStr">
        <is>
          <t>02/03/2026</t>
        </is>
      </c>
      <c r="I5770" s="10" t="inlineStr">
        <is>
          <t>01/04/2026</t>
        </is>
      </c>
      <c r="J5770" s="10" t="inlineStr">
        <is>
          <t>17/03/2026</t>
        </is>
      </c>
      <c r="K5770" s="10" t="inlineStr">
        <is>
          <t>N/A</t>
        </is>
      </c>
      <c r="L5770" s="10" t="inlineStr">
        <is>
          <t>ETL, Oracle BI, PLSQL, SQL</t>
        </is>
      </c>
      <c r="M5770" s="10" t="inlineStr">
        <is>
          <t>Bonus, Healthcare Plan, Paid Leave, Training, Awards, Team Activities, Others</t>
        </is>
      </c>
      <c r="N5770" s="11">
        <f>HYPERLINK("https://www.vietnamworks.com/data-engineer-khoi-cong-nghe-thong-tin-ho26-16--2016494-jv","Xem chi tiết")</f>
        <v/>
      </c>
      <c r="O5770" s="10" t="n"/>
    </row>
    <row r="5771">
      <c r="B5771" s="7" t="n">
        <v>5769</v>
      </c>
      <c r="C5771" t="inlineStr">
        <is>
          <t>Chuyên Viên Cao Cấp Tố Tụng - QLTD - MSB - 3Y037</t>
        </is>
      </c>
      <c r="D5771" t="inlineStr">
        <is>
          <t>Ngân Hàng Thương Mại Cổ Phần Hàng Hải Việt Nam (MSB)</t>
        </is>
      </c>
      <c r="E5771" t="inlineStr">
        <is>
          <t>Thương lượng</t>
        </is>
      </c>
      <c r="F5771" t="inlineStr">
        <is>
          <t>Hồ Chí Minh, Cần Thơ, Đà Nẵng</t>
        </is>
      </c>
      <c r="G5771" t="inlineStr">
        <is>
          <t>Nhân viên</t>
        </is>
      </c>
      <c r="H5771" t="inlineStr">
        <is>
          <t>02/03/2026</t>
        </is>
      </c>
      <c r="I5771" t="inlineStr">
        <is>
          <t>01/04/2026</t>
        </is>
      </c>
      <c r="J5771" t="inlineStr">
        <is>
          <t>17/03/2026</t>
        </is>
      </c>
      <c r="K5771" t="inlineStr">
        <is>
          <t>N/A</t>
        </is>
      </c>
      <c r="L5771" t="inlineStr">
        <is>
          <t>Quản Lý Rủi Ro Tín Dụng, Thu hồi nợ</t>
        </is>
      </c>
      <c r="M5771" t="inlineStr">
        <is>
          <t>Bonus, Healthcare Plan, Team Activities</t>
        </is>
      </c>
      <c r="N5771" s="8">
        <f>HYPERLINK("https://www.vietnamworks.com/chuyen-vien-cao-cap-to-tung-qltd-msb-3y037-2016489-jv","Xem chi tiết")</f>
        <v/>
      </c>
    </row>
    <row r="5772">
      <c r="B5772" s="9" t="n">
        <v>5770</v>
      </c>
      <c r="C5772" s="10" t="inlineStr">
        <is>
          <t>Chuyên Viên Cao Cấp Quản Trị Rủi Ro Mô Hình - Model Risk Management Senior Specialist - Khối Quản Trị Rủi Ro (HO26.15)</t>
        </is>
      </c>
      <c r="D5772" s="10" t="inlineStr">
        <is>
          <t>NGÂN HÀNG TMCP QUÂN ĐỘI – MBBANK</t>
        </is>
      </c>
      <c r="E5772" s="10" t="inlineStr">
        <is>
          <t>Thương lượng</t>
        </is>
      </c>
      <c r="F5772" s="10" t="inlineStr">
        <is>
          <t>Hà Nội</t>
        </is>
      </c>
      <c r="G5772" s="10" t="inlineStr">
        <is>
          <t>Nhân viên</t>
        </is>
      </c>
      <c r="H5772" s="10" t="inlineStr">
        <is>
          <t>02/03/2026</t>
        </is>
      </c>
      <c r="I5772" s="10" t="inlineStr">
        <is>
          <t>01/04/2026</t>
        </is>
      </c>
      <c r="J5772" s="10" t="inlineStr">
        <is>
          <t>17/03/2026</t>
        </is>
      </c>
      <c r="K5772" s="10" t="inlineStr">
        <is>
          <t>N/A</t>
        </is>
      </c>
      <c r="L5772" s="10" t="inlineStr">
        <is>
          <t>Data Analysis, CFA, Data Processing, Data Science, Regulatory Compliance</t>
        </is>
      </c>
      <c r="M5772" s="10" t="inlineStr">
        <is>
          <t>Bonus, Healthcare Plan, Paid Leave, Training, Awards, Team Activities, Others</t>
        </is>
      </c>
      <c r="N5772" s="11">
        <f>HYPERLINK("https://www.vietnamworks.com/chuyen-vien-cao-cap-quan-tri-rui-ro-mo-hinh-model-risk-management-senior-specialist-khoi-quan-tri-rui-ro-ho26-15--2016491-jv","Xem chi tiết")</f>
        <v/>
      </c>
      <c r="O5772" s="10" t="n"/>
    </row>
    <row r="5773">
      <c r="B5773" s="7" t="n">
        <v>5771</v>
      </c>
      <c r="C5773" t="inlineStr">
        <is>
          <t>Chief Accountant (Based in Cambodia)</t>
        </is>
      </c>
      <c r="D5773" t="inlineStr">
        <is>
          <t>Công Ty Cổ Phần Sữa Việt Nam (Vinamilk)</t>
        </is>
      </c>
      <c r="E5773" t="inlineStr">
        <is>
          <t>Thương lượng</t>
        </is>
      </c>
      <c r="F5773" t="inlineStr">
        <is>
          <t>Hồ Chí Minh, Quốc tế, Hà Nội</t>
        </is>
      </c>
      <c r="G5773" t="inlineStr">
        <is>
          <t>Giám Đốc và Cấp Cao Hơn</t>
        </is>
      </c>
      <c r="H5773" t="inlineStr">
        <is>
          <t>02/03/2026</t>
        </is>
      </c>
      <c r="I5773" t="inlineStr">
        <is>
          <t>01/04/2026</t>
        </is>
      </c>
      <c r="J5773" t="inlineStr">
        <is>
          <t>17/03/2026</t>
        </is>
      </c>
      <c r="K5773" t="inlineStr">
        <is>
          <t>N/A</t>
        </is>
      </c>
      <c r="L5773" t="inlineStr">
        <is>
          <t>Accounting, Finance, Finance &amp; Accounting</t>
        </is>
      </c>
      <c r="M5773" t="inlineStr">
        <is>
          <t>Bonus, Healthcare Plan, Training</t>
        </is>
      </c>
      <c r="N5773" s="8">
        <f>HYPERLINK("https://www.vietnamworks.com/chief-accountant-based-in-cambodia-2016499-jv","Xem chi tiết")</f>
        <v/>
      </c>
    </row>
    <row r="5774">
      <c r="B5774" s="9" t="n">
        <v>5772</v>
      </c>
      <c r="C5774" s="10" t="inlineStr">
        <is>
          <t>Phó Phòng Kế Toán (Phụ Trách Kế Toán Tổng Hợp)</t>
        </is>
      </c>
      <c r="D5774" s="10" t="inlineStr">
        <is>
          <t>Công Ty CP Giải Pháp Thanh Toán Việt Nam (VNPAY)</t>
        </is>
      </c>
      <c r="E5774" s="10" t="inlineStr">
        <is>
          <t>Thương lượng</t>
        </is>
      </c>
      <c r="F5774" s="10" t="inlineStr">
        <is>
          <t>Hà Nội</t>
        </is>
      </c>
      <c r="G5774" s="10" t="inlineStr">
        <is>
          <t>Trưởng phòng</t>
        </is>
      </c>
      <c r="H5774" s="10" t="inlineStr">
        <is>
          <t>02/03/2026</t>
        </is>
      </c>
      <c r="I5774" s="10" t="inlineStr">
        <is>
          <t>01/04/2026</t>
        </is>
      </c>
      <c r="J5774" s="10" t="inlineStr">
        <is>
          <t>17/03/2026</t>
        </is>
      </c>
      <c r="K5774" s="10" t="inlineStr">
        <is>
          <t>N/A</t>
        </is>
      </c>
      <c r="L5774" s="10" t="inlineStr">
        <is>
          <t>Kế Toán Tổng Hợp, Kiểm Soát Nội Bộ, Lập Báo Cáo Tài Chính, Thuế, VAS Standards</t>
        </is>
      </c>
      <c r="M5774" s="10" t="inlineStr">
        <is>
          <t>Bonus, Healthcare Plan, Training, Laptop, Team Activities, Canteen, Others</t>
        </is>
      </c>
      <c r="N5774" s="11">
        <f>HYPERLINK("https://www.vietnamworks.com/pho-phong-ke-toan-phu-trach-ke-toan-tong-hop-2016476-jv","Xem chi tiết")</f>
        <v/>
      </c>
      <c r="O5774" s="10" t="n"/>
    </row>
    <row r="5775">
      <c r="B5775" s="7" t="n">
        <v>5773</v>
      </c>
      <c r="C5775" t="inlineStr">
        <is>
          <t>Chỉ Huy Trưởng Công Trình - Site Manager</t>
        </is>
      </c>
      <c r="D5775" t="inlineStr">
        <is>
          <t>AA Decor CORPORATION</t>
        </is>
      </c>
      <c r="E5775" t="inlineStr">
        <is>
          <t>Thương lượng</t>
        </is>
      </c>
      <c r="F5775" t="inlineStr">
        <is>
          <t>Hồ Chí Minh</t>
        </is>
      </c>
      <c r="G5775" t="inlineStr">
        <is>
          <t>Trưởng phòng</t>
        </is>
      </c>
      <c r="H5775" t="inlineStr">
        <is>
          <t>02/03/2026</t>
        </is>
      </c>
      <c r="I5775" t="inlineStr">
        <is>
          <t>01/04/2026</t>
        </is>
      </c>
      <c r="J5775" t="inlineStr">
        <is>
          <t>17/03/2026</t>
        </is>
      </c>
      <c r="K5775" t="inlineStr">
        <is>
          <t>N/A</t>
        </is>
      </c>
      <c r="L5775" t="inlineStr">
        <is>
          <t>Thi Công Nội Thất, Giám Sát Thi Công, Xây Dựng Dân Dụng, Xây Dựng, Chỉ Huy Công Trình</t>
        </is>
      </c>
      <c r="M5775" t="inlineStr">
        <is>
          <t>Bonus, Healthcare Plan, Team Activities</t>
        </is>
      </c>
      <c r="N5775" s="8">
        <f>HYPERLINK("https://www.vietnamworks.com/chi-huy-truong-cong-trinh-site-manager--2016507-jv","Xem chi tiết")</f>
        <v/>
      </c>
    </row>
    <row r="5776">
      <c r="B5776" s="9" t="n">
        <v>5774</v>
      </c>
      <c r="C5776" s="10" t="inlineStr">
        <is>
          <t>Giám Sát Thi Công (Lương Từ 18-20M + Thưởng Dự Án)</t>
        </is>
      </c>
      <c r="D5776" s="10" t="inlineStr">
        <is>
          <t>Công Ty TNHH Kiến Trúc Nội Thất Nam Anh</t>
        </is>
      </c>
      <c r="E5776" s="10" t="inlineStr">
        <is>
          <t>18tr-20tr ₫/tháng</t>
        </is>
      </c>
      <c r="F5776" s="10" t="inlineStr">
        <is>
          <t>Hà Nội</t>
        </is>
      </c>
      <c r="G5776" s="10" t="inlineStr">
        <is>
          <t>Nhân viên</t>
        </is>
      </c>
      <c r="H5776" s="10" t="inlineStr">
        <is>
          <t>02/03/2026</t>
        </is>
      </c>
      <c r="I5776" s="10" t="inlineStr">
        <is>
          <t>01/04/2026</t>
        </is>
      </c>
      <c r="J5776" s="10" t="inlineStr">
        <is>
          <t>17/03/2026</t>
        </is>
      </c>
      <c r="K5776" s="10" t="inlineStr">
        <is>
          <t>N/A</t>
        </is>
      </c>
      <c r="L5776" s="10" t="inlineStr">
        <is>
          <t>AutoCAD, Giám Sát Thi Công, Kiểm Soát Chất Lượng, Thi Công Nội Thất, Lập Bản Vẽ Hoàn Công</t>
        </is>
      </c>
      <c r="M5776" s="10" t="inlineStr">
        <is>
          <t>Bonus, Healthcare Plan, Paid Leave</t>
        </is>
      </c>
      <c r="N5776" s="11">
        <f>HYPERLINK("https://www.vietnamworks.com/giam-sat-thi-cong-luong-tu-18-20m-thuong-du-an-2016502-jv","Xem chi tiết")</f>
        <v/>
      </c>
      <c r="O5776" s="10" t="n"/>
    </row>
    <row r="5777">
      <c r="B5777" s="7" t="n">
        <v>5775</v>
      </c>
      <c r="C5777" t="inlineStr">
        <is>
          <t>Kỹ Sư Thiết Kế Cơ Khí Thu Nhập Upto 18 Triệu</t>
        </is>
      </c>
      <c r="D5777" t="inlineStr">
        <is>
          <t>Công Ty Cổ Phần Thiết Bị Điện Và Chế Tạo Biến Thế Hà Nội</t>
        </is>
      </c>
      <c r="E5777" t="inlineStr">
        <is>
          <t>12tr-18tr ₫/tháng</t>
        </is>
      </c>
      <c r="F5777" t="inlineStr">
        <is>
          <t>Hà Nội</t>
        </is>
      </c>
      <c r="G5777" t="inlineStr">
        <is>
          <t>Nhân viên</t>
        </is>
      </c>
      <c r="H5777" t="inlineStr">
        <is>
          <t>02/03/2026</t>
        </is>
      </c>
      <c r="I5777" t="inlineStr">
        <is>
          <t>01/04/2026</t>
        </is>
      </c>
      <c r="J5777" t="inlineStr">
        <is>
          <t>17/03/2026</t>
        </is>
      </c>
      <c r="K5777" t="inlineStr">
        <is>
          <t>N/A</t>
        </is>
      </c>
      <c r="L5777" t="inlineStr">
        <is>
          <t>Thiết Kế Cơ Khí, Autocad, Bản Vẽ Kỹ Thuật, Cơ Khí Chế Tạo Máy, Dự Toán Chi Phí</t>
        </is>
      </c>
      <c r="M5777" t="inlineStr">
        <is>
          <t>Transportation, Others</t>
        </is>
      </c>
      <c r="N5777" s="8">
        <f>HYPERLINK("https://www.vietnamworks.com/ky-su-thiet-ke-co-khi-thu-nhap-upto-18-trieu-2016515-jv","Xem chi tiết")</f>
        <v/>
      </c>
    </row>
    <row r="5778">
      <c r="B5778" s="9" t="n">
        <v>5776</v>
      </c>
      <c r="C5778" s="10" t="inlineStr">
        <is>
          <t>IT (Service Desk) - Nhơn Trạch (Shuttle Bus Available)</t>
        </is>
      </c>
      <c r="D5778" s="10" t="inlineStr">
        <is>
          <t>CÔNG TY TNHH SUMMIT POLYMERS VIETNAM</t>
        </is>
      </c>
      <c r="E5778" s="10" t="inlineStr">
        <is>
          <t>Thương lượng</t>
        </is>
      </c>
      <c r="F5778" s="10" t="inlineStr">
        <is>
          <t>Đồng Nai</t>
        </is>
      </c>
      <c r="G5778" s="10" t="inlineStr">
        <is>
          <t>Nhân viên</t>
        </is>
      </c>
      <c r="H5778" s="10" t="inlineStr">
        <is>
          <t>02/03/2026</t>
        </is>
      </c>
      <c r="I5778" s="10" t="inlineStr">
        <is>
          <t>01/04/2026</t>
        </is>
      </c>
      <c r="J5778" s="10" t="inlineStr">
        <is>
          <t>17/03/2026</t>
        </is>
      </c>
      <c r="K5778" s="10" t="inlineStr">
        <is>
          <t>N/A</t>
        </is>
      </c>
      <c r="L5778" s="10" t="inlineStr">
        <is>
          <t>English</t>
        </is>
      </c>
      <c r="M5778" s="10" t="inlineStr">
        <is>
          <t>Healthcare Plan, Transportation, Canteen</t>
        </is>
      </c>
      <c r="N5778" s="11">
        <f>HYPERLINK("https://www.vietnamworks.com/it-service-desk-nhon-trach-shuttle-bus-available--2016509-jv","Xem chi tiết")</f>
        <v/>
      </c>
      <c r="O5778" s="10" t="n"/>
    </row>
    <row r="5779">
      <c r="B5779" s="7" t="n">
        <v>5777</v>
      </c>
      <c r="C5779" t="inlineStr">
        <is>
          <t>Sales Logistics Thu Nhập 20M+</t>
        </is>
      </c>
      <c r="D5779" t="inlineStr">
        <is>
          <t>CÔNG TY TNHH SOONEST EXPRESS (VIETNAM)</t>
        </is>
      </c>
      <c r="E5779" t="inlineStr">
        <is>
          <t>Tới 25tr ₫/tháng</t>
        </is>
      </c>
      <c r="F5779" t="inlineStr">
        <is>
          <t>Hà Nội</t>
        </is>
      </c>
      <c r="G5779" t="inlineStr">
        <is>
          <t>Nhân viên</t>
        </is>
      </c>
      <c r="H5779" t="inlineStr">
        <is>
          <t>02/03/2026</t>
        </is>
      </c>
      <c r="I5779" t="inlineStr">
        <is>
          <t>01/04/2026</t>
        </is>
      </c>
      <c r="J5779" t="inlineStr">
        <is>
          <t>17/03/2026</t>
        </is>
      </c>
      <c r="K5779" t="inlineStr">
        <is>
          <t>N/A</t>
        </is>
      </c>
      <c r="L5779" t="inlineStr">
        <is>
          <t>Báo Cáo Kinh Doanh, Duy Trì Mối Quan Hệ, Nghiên Cứu Thị Trường, Tiếng Trung, Đàm Phán</t>
        </is>
      </c>
      <c r="M5779" t="inlineStr">
        <is>
          <t>Bonus, Healthcare Plan, Others</t>
        </is>
      </c>
      <c r="N5779" s="8">
        <f>HYPERLINK("https://www.vietnamworks.com/sales-logistics-thu-nhap-20m-2016506-jv","Xem chi tiết")</f>
        <v/>
      </c>
    </row>
    <row r="5780">
      <c r="B5780" s="9" t="n">
        <v>5778</v>
      </c>
      <c r="C5780" s="10" t="inlineStr">
        <is>
          <t>Kế Toán Trưởng Thu Nhập Upto 35 Triệu</t>
        </is>
      </c>
      <c r="D5780" s="10" t="inlineStr">
        <is>
          <t>Công Ty Cổ Phần Thiết Bị Điện Và Chế Tạo Biến Thế Hà Nội</t>
        </is>
      </c>
      <c r="E5780" s="10" t="inlineStr">
        <is>
          <t>25tr-35tr ₫/tháng</t>
        </is>
      </c>
      <c r="F5780" s="10" t="inlineStr">
        <is>
          <t>Hà Nội</t>
        </is>
      </c>
      <c r="G5780" s="10" t="inlineStr">
        <is>
          <t>Nhân viên</t>
        </is>
      </c>
      <c r="H5780" s="10" t="inlineStr">
        <is>
          <t>02/03/2026</t>
        </is>
      </c>
      <c r="I5780" s="10" t="inlineStr">
        <is>
          <t>01/04/2026</t>
        </is>
      </c>
      <c r="J5780" s="10" t="inlineStr">
        <is>
          <t>17/03/2026</t>
        </is>
      </c>
      <c r="K5780" s="10" t="inlineStr">
        <is>
          <t>N/A</t>
        </is>
      </c>
      <c r="L5780" s="10" t="inlineStr">
        <is>
          <t>Hoạch Định Ngân Sách, Luật Kế Toán, Lưu Trữ Chứng Từ, Quyết Toán Thuế, Xây Dựng Quy Trình</t>
        </is>
      </c>
      <c r="M5780" s="10" t="inlineStr">
        <is>
          <t>Bonus, Healthcare Plan, Paid Leave, Team Activities, Others</t>
        </is>
      </c>
      <c r="N5780" s="11">
        <f>HYPERLINK("https://www.vietnamworks.com/ke-toan-truong-thu-nhap-upto-35-trieu-2016505-jv","Xem chi tiết")</f>
        <v/>
      </c>
      <c r="O5780" s="10" t="n"/>
    </row>
    <row r="5781">
      <c r="B5781" s="7" t="n">
        <v>5779</v>
      </c>
      <c r="C5781" t="inlineStr">
        <is>
          <t>Chuyên Viên HCNS Dự Án - Tiếng Trung (Quận 2)</t>
        </is>
      </c>
      <c r="D5781" t="inlineStr">
        <is>
          <t>China Construction (S.e.a) Co.ltd</t>
        </is>
      </c>
      <c r="E5781" t="inlineStr">
        <is>
          <t>Thương lượng</t>
        </is>
      </c>
      <c r="F5781" t="inlineStr">
        <is>
          <t>Hồ Chí Minh</t>
        </is>
      </c>
      <c r="G5781" t="inlineStr">
        <is>
          <t>Nhân viên</t>
        </is>
      </c>
      <c r="H5781" t="inlineStr">
        <is>
          <t>02/03/2026</t>
        </is>
      </c>
      <c r="I5781" t="inlineStr">
        <is>
          <t>01/04/2026</t>
        </is>
      </c>
      <c r="J5781" t="inlineStr">
        <is>
          <t>17/03/2026</t>
        </is>
      </c>
      <c r="K5781" t="inlineStr">
        <is>
          <t>N/A</t>
        </is>
      </c>
      <c r="L5781" t="inlineStr">
        <is>
          <t>Tuyển Dụng, C&amp;B, Chế độ phúc lợi, Tiếng Trung HSK 5</t>
        </is>
      </c>
      <c r="M5781" t="inlineStr">
        <is>
          <t>Bonus, Healthcare Plan, Paid Leave, Awards, Others</t>
        </is>
      </c>
      <c r="N5781" s="8">
        <f>HYPERLINK("https://www.vietnamworks.com/chuyen-vien-hcns-du-an-tieng-trung-quan-2-2016514-jv","Xem chi tiết")</f>
        <v/>
      </c>
    </row>
    <row r="5782">
      <c r="B5782" s="9" t="n">
        <v>5780</v>
      </c>
      <c r="C5782" s="10" t="inlineStr">
        <is>
          <t>Cán Bộ Kỹ Thuật Hiện Trường</t>
        </is>
      </c>
      <c r="D5782" s="10" t="inlineStr">
        <is>
          <t>CÔNG TY CỔ PHẦN ISC CONS</t>
        </is>
      </c>
      <c r="E5782" s="10" t="inlineStr">
        <is>
          <t>Thương lượng</t>
        </is>
      </c>
      <c r="F5782" s="10" t="inlineStr">
        <is>
          <t>Bắc Ninh, Hà Nội</t>
        </is>
      </c>
      <c r="G5782" s="10" t="inlineStr">
        <is>
          <t>Nhân viên</t>
        </is>
      </c>
      <c r="H5782" s="10" t="inlineStr">
        <is>
          <t>02/03/2026</t>
        </is>
      </c>
      <c r="I5782" s="10" t="inlineStr">
        <is>
          <t>01/04/2026</t>
        </is>
      </c>
      <c r="J5782" s="10" t="inlineStr">
        <is>
          <t>17/03/2026</t>
        </is>
      </c>
      <c r="K5782" s="10" t="inlineStr">
        <is>
          <t>N/A</t>
        </is>
      </c>
      <c r="L5782" s="10" t="inlineStr">
        <is>
          <t>Kỹ Thuật Xây Dựng, Quản lý chất lượng, Giám Sát Thi Công, Lập Kế Hoạch Thi Công Dự Án, Làm Việc Nhóm</t>
        </is>
      </c>
      <c r="M5782" s="10" t="inlineStr">
        <is>
          <t>Bonus, Healthcare Plan, Team Activities, Others</t>
        </is>
      </c>
      <c r="N5782" s="11">
        <f>HYPERLINK("https://www.vietnamworks.com/can-bo-ky-thuat-hien-truong-2016516-jv","Xem chi tiết")</f>
        <v/>
      </c>
      <c r="O5782" s="10" t="n"/>
    </row>
    <row r="5783">
      <c r="B5783" s="7" t="n">
        <v>5781</v>
      </c>
      <c r="C5783" t="inlineStr">
        <is>
          <t>Chuyên Viên Cao Cấp Mảng Chính Sách Rủi Ro Tín Dụng - Credit Risk Policy Senior Specialist - Khối Quản Trị Rủi Ro (HO26.06)</t>
        </is>
      </c>
      <c r="D5783" t="inlineStr">
        <is>
          <t>NGÂN HÀNG TMCP QUÂN ĐỘI – MBBANK</t>
        </is>
      </c>
      <c r="E5783" t="inlineStr">
        <is>
          <t>Thương lượng</t>
        </is>
      </c>
      <c r="F5783" t="inlineStr">
        <is>
          <t>Hà Nội</t>
        </is>
      </c>
      <c r="G5783" t="inlineStr">
        <is>
          <t>Nhân viên</t>
        </is>
      </c>
      <c r="H5783" t="inlineStr">
        <is>
          <t>02/03/2026</t>
        </is>
      </c>
      <c r="I5783" t="inlineStr">
        <is>
          <t>01/04/2026</t>
        </is>
      </c>
      <c r="J5783" t="inlineStr">
        <is>
          <t>17/03/2026</t>
        </is>
      </c>
      <c r="K5783" t="inlineStr">
        <is>
          <t>N/A</t>
        </is>
      </c>
      <c r="L5783" t="inlineStr">
        <is>
          <t>Credit Risk Management, Data Analysis, Process Development, Quản Lý Tài Sản, Risk Analysis</t>
        </is>
      </c>
      <c r="M5783" t="inlineStr">
        <is>
          <t>Bonus, Healthcare Plan, Paid Leave, Training, Awards, Team Activities, Others</t>
        </is>
      </c>
      <c r="N5783" s="8">
        <f>HYPERLINK("https://www.vietnamworks.com/chuyen-vien-cao-cap-mang-chinh-sach-rui-ro-tin-dung-credit-risk-policy-senior-specialist-khoi-quan-tri-rui-ro-ho26-06--2016504-jv","Xem chi tiết")</f>
        <v/>
      </c>
    </row>
    <row r="5784">
      <c r="B5784" s="9" t="n">
        <v>5782</v>
      </c>
      <c r="C5784" s="10" t="inlineStr">
        <is>
          <t>Kỹ Sư Kỹ Thuật/ Service Engineer</t>
        </is>
      </c>
      <c r="D5784" s="10" t="inlineStr">
        <is>
          <t>Công Ty TNHH Khoa Học Và Công Nghệ Saticus</t>
        </is>
      </c>
      <c r="E5784" s="10" t="inlineStr">
        <is>
          <t>12tr-25tr ₫/tháng</t>
        </is>
      </c>
      <c r="F5784" s="10" t="inlineStr">
        <is>
          <t>Hồ Chí Minh</t>
        </is>
      </c>
      <c r="G5784" s="10" t="inlineStr">
        <is>
          <t>Nhân viên</t>
        </is>
      </c>
      <c r="H5784" s="10" t="inlineStr">
        <is>
          <t>02/03/2026</t>
        </is>
      </c>
      <c r="I5784" s="10" t="inlineStr">
        <is>
          <t>01/04/2026</t>
        </is>
      </c>
      <c r="J5784" s="10" t="inlineStr">
        <is>
          <t>17/03/2026</t>
        </is>
      </c>
      <c r="K5784" s="10" t="inlineStr">
        <is>
          <t>N/A</t>
        </is>
      </c>
      <c r="L5784" s="10" t="inlineStr">
        <is>
          <t>Điện Lạnh, Cơ Điện Tử, Tiếng Anh, Lập Báo Cáo Kỹ Thuật, Lắp Đặt Bảo Dưỡng</t>
        </is>
      </c>
      <c r="M5784" s="10" t="inlineStr">
        <is>
          <t>Bonus, Healthcare Plan, Training</t>
        </is>
      </c>
      <c r="N5784" s="11">
        <f>HYPERLINK("https://www.vietnamworks.com/ky-su-ky-thuat-service-engineer-2016519-jv","Xem chi tiết")</f>
        <v/>
      </c>
      <c r="O5784" s="10" t="n"/>
    </row>
    <row r="5785">
      <c r="B5785" s="7" t="n">
        <v>5783</v>
      </c>
      <c r="C5785" t="inlineStr">
        <is>
          <t>Kiểm Toán Viên (Mảng Công Nghệ, Dữ Liệu) - Auditor (IT, Model, Data) - Cơ Quan Kiểm Toán Nội Bộ (HO26.08)</t>
        </is>
      </c>
      <c r="D5785" t="inlineStr">
        <is>
          <t>NGÂN HÀNG TMCP QUÂN ĐỘI – MBBANK</t>
        </is>
      </c>
      <c r="E5785" t="inlineStr">
        <is>
          <t>Thương lượng</t>
        </is>
      </c>
      <c r="F5785" t="inlineStr">
        <is>
          <t>Hà Nội</t>
        </is>
      </c>
      <c r="G5785" t="inlineStr">
        <is>
          <t>Nhân viên</t>
        </is>
      </c>
      <c r="H5785" t="inlineStr">
        <is>
          <t>02/03/2026</t>
        </is>
      </c>
      <c r="I5785" t="inlineStr">
        <is>
          <t>01/04/2026</t>
        </is>
      </c>
      <c r="J5785" t="inlineStr">
        <is>
          <t>17/03/2026</t>
        </is>
      </c>
      <c r="K5785" t="inlineStr">
        <is>
          <t>N/A</t>
        </is>
      </c>
      <c r="L5785" t="inlineStr">
        <is>
          <t>Audit Management, Bank, Internal Audit, IT Audit</t>
        </is>
      </c>
      <c r="M5785" t="inlineStr">
        <is>
          <t>Bonus, Healthcare Plan, Paid Leave, Training, Awards, Team Activities, Others</t>
        </is>
      </c>
      <c r="N5785" s="8">
        <f>HYPERLINK("https://www.vietnamworks.com/kiem-toan-vien-mang-cong-nghe-du-lieu-auditor-it-model-data-co-quan-kiem-toan-noi-bo-ho26-08--2016527-jv","Xem chi tiết")</f>
        <v/>
      </c>
    </row>
    <row r="5786">
      <c r="B5786" s="9" t="n">
        <v>5784</v>
      </c>
      <c r="C5786" s="10" t="inlineStr">
        <is>
          <t>Senior AI Expert - Khối Công Nghệ Thông Tin (HO26.20)</t>
        </is>
      </c>
      <c r="D5786" s="10" t="inlineStr">
        <is>
          <t>NGÂN HÀNG TMCP QUÂN ĐỘI – MBBANK</t>
        </is>
      </c>
      <c r="E5786" s="10" t="inlineStr">
        <is>
          <t>Thương lượng</t>
        </is>
      </c>
      <c r="F5786" s="10" t="inlineStr">
        <is>
          <t>Hà Nội</t>
        </is>
      </c>
      <c r="G5786" s="10" t="inlineStr">
        <is>
          <t>Nhân viên</t>
        </is>
      </c>
      <c r="H5786" s="10" t="inlineStr">
        <is>
          <t>02/03/2026</t>
        </is>
      </c>
      <c r="I5786" s="10" t="inlineStr">
        <is>
          <t>01/04/2026</t>
        </is>
      </c>
      <c r="J5786" s="10" t="inlineStr">
        <is>
          <t>17/03/2026</t>
        </is>
      </c>
      <c r="K5786" s="10" t="inlineStr">
        <is>
          <t>N/A</t>
        </is>
      </c>
      <c r="L5786" s="10" t="inlineStr">
        <is>
          <t>AI, Deep Learning</t>
        </is>
      </c>
      <c r="M5786" s="10" t="inlineStr">
        <is>
          <t>Bonus, Healthcare Plan, Paid Leave, Training, Awards, Team Activities, Others</t>
        </is>
      </c>
      <c r="N5786" s="11">
        <f>HYPERLINK("https://www.vietnamworks.com/senior-ai-expert-khoi-cong-nghe-thong-tin-ho26-20--2016511-jv","Xem chi tiết")</f>
        <v/>
      </c>
      <c r="O5786" s="10" t="n"/>
    </row>
    <row r="5787">
      <c r="B5787" s="7" t="n">
        <v>5785</v>
      </c>
      <c r="C5787" t="inlineStr">
        <is>
          <t>Chuyên Viên Cao Cấp Quản Trị Rủi Ro Tập Đoàn - Corporate Risk Management Specialist - Khối Quản Trị Rủi Ro (HO26.07)</t>
        </is>
      </c>
      <c r="D5787" t="inlineStr">
        <is>
          <t>NGÂN HÀNG TMCP QUÂN ĐỘI – MBBANK</t>
        </is>
      </c>
      <c r="E5787" t="inlineStr">
        <is>
          <t>Thương lượng</t>
        </is>
      </c>
      <c r="F5787" t="inlineStr">
        <is>
          <t>Hà Nội</t>
        </is>
      </c>
      <c r="G5787" t="inlineStr">
        <is>
          <t>Nhân viên</t>
        </is>
      </c>
      <c r="H5787" t="inlineStr">
        <is>
          <t>02/03/2026</t>
        </is>
      </c>
      <c r="I5787" t="inlineStr">
        <is>
          <t>01/04/2026</t>
        </is>
      </c>
      <c r="J5787" t="inlineStr">
        <is>
          <t>17/03/2026</t>
        </is>
      </c>
      <c r="K5787" t="inlineStr">
        <is>
          <t>N/A</t>
        </is>
      </c>
      <c r="L5787" t="inlineStr">
        <is>
          <t>Risk Analysis, Insurance, Quản Trị Rủi Ro</t>
        </is>
      </c>
      <c r="M5787" t="inlineStr">
        <is>
          <t>Bonus, Healthcare Plan, Paid Leave, Training, Awards, Team Activities, Others</t>
        </is>
      </c>
      <c r="N5787" s="8">
        <f>HYPERLINK("https://www.vietnamworks.com/chuyen-vien-cao-cap-quan-tri-rui-ro-tap-doan-corporate-risk-management-specialist-khoi-quan-tri-rui-ro-ho26-07--2016521-jv","Xem chi tiết")</f>
        <v/>
      </c>
    </row>
    <row r="5788">
      <c r="B5788" s="9" t="n">
        <v>5786</v>
      </c>
      <c r="C5788" s="10" t="inlineStr">
        <is>
          <t>Senior BIM Modeler</t>
        </is>
      </c>
      <c r="D5788" s="10" t="inlineStr">
        <is>
          <t>Thornton Tomasetti Vietnam</t>
        </is>
      </c>
      <c r="E5788" s="10" t="inlineStr">
        <is>
          <t>Thương lượng</t>
        </is>
      </c>
      <c r="F5788" s="10" t="inlineStr">
        <is>
          <t>Hồ Chí Minh</t>
        </is>
      </c>
      <c r="G5788" s="10" t="inlineStr">
        <is>
          <t>Nhân viên</t>
        </is>
      </c>
      <c r="H5788" s="10" t="inlineStr">
        <is>
          <t>02/03/2026</t>
        </is>
      </c>
      <c r="I5788" s="10" t="inlineStr">
        <is>
          <t>01/04/2026</t>
        </is>
      </c>
      <c r="J5788" s="10" t="inlineStr">
        <is>
          <t>17/03/2026</t>
        </is>
      </c>
      <c r="K5788" s="10" t="inlineStr">
        <is>
          <t>N/A</t>
        </is>
      </c>
      <c r="L5788" s="10" t="inlineStr">
        <is>
          <t>AutoCAD, BIM 3D, MEP, Revit Structure, Dynamo</t>
        </is>
      </c>
      <c r="M5788" s="10" t="inlineStr">
        <is>
          <t>Bonus, Training, Team Activities</t>
        </is>
      </c>
      <c r="N5788" s="11">
        <f>HYPERLINK("https://www.vietnamworks.com/senior-bim-modeler-2016510-jv","Xem chi tiết")</f>
        <v/>
      </c>
      <c r="O5788" s="10" t="n"/>
    </row>
    <row r="5789">
      <c r="B5789" s="7" t="n">
        <v>5787</v>
      </c>
      <c r="C5789" t="inlineStr">
        <is>
          <t>BIM Modeler</t>
        </is>
      </c>
      <c r="D5789" t="inlineStr">
        <is>
          <t>Thornton Tomasetti Vietnam</t>
        </is>
      </c>
      <c r="E5789" t="inlineStr">
        <is>
          <t>Thương lượng</t>
        </is>
      </c>
      <c r="F5789" t="inlineStr">
        <is>
          <t>Hồ Chí Minh</t>
        </is>
      </c>
      <c r="G5789" t="inlineStr">
        <is>
          <t>Nhân viên</t>
        </is>
      </c>
      <c r="H5789" t="inlineStr">
        <is>
          <t>02/03/2026</t>
        </is>
      </c>
      <c r="I5789" t="inlineStr">
        <is>
          <t>01/04/2026</t>
        </is>
      </c>
      <c r="J5789" t="inlineStr">
        <is>
          <t>17/03/2026</t>
        </is>
      </c>
      <c r="K5789" t="inlineStr">
        <is>
          <t>N/A</t>
        </is>
      </c>
      <c r="L5789" t="inlineStr">
        <is>
          <t>AutoCAD, BIM 3D, MEP, Revit Structure</t>
        </is>
      </c>
      <c r="M5789" t="inlineStr">
        <is>
          <t>Bonus, Training, Team Activities</t>
        </is>
      </c>
      <c r="N5789" s="8">
        <f>HYPERLINK("https://www.vietnamworks.com/bim-modeler-2016517-jv","Xem chi tiết")</f>
        <v/>
      </c>
    </row>
    <row r="5790">
      <c r="B5790" s="9" t="n">
        <v>5788</v>
      </c>
      <c r="C5790" s="10" t="inlineStr">
        <is>
          <t>Senior AI Engineer (Computer Vision/npl/llm) - Khối Công Nghệ Thông Tin (Ho26.18)</t>
        </is>
      </c>
      <c r="D5790" s="10" t="inlineStr">
        <is>
          <t>NGÂN HÀNG TMCP QUÂN ĐỘI – MBBANK</t>
        </is>
      </c>
      <c r="E5790" s="10" t="inlineStr">
        <is>
          <t>Thương lượng</t>
        </is>
      </c>
      <c r="F5790" s="10" t="inlineStr">
        <is>
          <t>Hà Nội</t>
        </is>
      </c>
      <c r="G5790" s="10" t="inlineStr">
        <is>
          <t>Nhân viên</t>
        </is>
      </c>
      <c r="H5790" s="10" t="inlineStr">
        <is>
          <t>02/03/2026</t>
        </is>
      </c>
      <c r="I5790" s="10" t="inlineStr">
        <is>
          <t>01/04/2026</t>
        </is>
      </c>
      <c r="J5790" s="10" t="inlineStr">
        <is>
          <t>17/03/2026</t>
        </is>
      </c>
      <c r="K5790" s="10" t="inlineStr">
        <is>
          <t>N/A</t>
        </is>
      </c>
      <c r="L5790" s="10" t="inlineStr">
        <is>
          <t>C/C++, Microservice, Python, PyTorch, TensorFlow</t>
        </is>
      </c>
      <c r="M5790" s="10" t="inlineStr">
        <is>
          <t>Bonus, Healthcare Plan, Paid Leave, Training, Awards, Team Activities, Others</t>
        </is>
      </c>
      <c r="N5790" s="11">
        <f>HYPERLINK("https://www.vietnamworks.com/senior-ai-engineer-computer-vision-npl-llm-khoi-cong-nghe-thong-tin-ho26-18-2016503-jv","Xem chi tiết")</f>
        <v/>
      </c>
      <c r="O5790" s="10" t="n"/>
    </row>
    <row r="5791">
      <c r="B5791" s="7" t="n">
        <v>5789</v>
      </c>
      <c r="C5791" t="inlineStr">
        <is>
          <t>AI Expert - Khối Công Nghệ Thông Tin (HO26.19)</t>
        </is>
      </c>
      <c r="D5791" t="inlineStr">
        <is>
          <t>NGÂN HÀNG TMCP QUÂN ĐỘI – MBBANK</t>
        </is>
      </c>
      <c r="E5791" t="inlineStr">
        <is>
          <t>Thương lượng</t>
        </is>
      </c>
      <c r="F5791" t="inlineStr">
        <is>
          <t>Hà Nội</t>
        </is>
      </c>
      <c r="G5791" t="inlineStr">
        <is>
          <t>Nhân viên</t>
        </is>
      </c>
      <c r="H5791" t="inlineStr">
        <is>
          <t>02/03/2026</t>
        </is>
      </c>
      <c r="I5791" t="inlineStr">
        <is>
          <t>01/04/2026</t>
        </is>
      </c>
      <c r="J5791" t="inlineStr">
        <is>
          <t>17/03/2026</t>
        </is>
      </c>
      <c r="K5791" t="inlineStr">
        <is>
          <t>N/A</t>
        </is>
      </c>
      <c r="L5791" t="inlineStr">
        <is>
          <t>AI, Deep Learning</t>
        </is>
      </c>
      <c r="M5791" t="inlineStr">
        <is>
          <t>Bonus, Healthcare Plan, Paid Leave, Training, Awards, Team Activities, Others</t>
        </is>
      </c>
      <c r="N5791" s="8">
        <f>HYPERLINK("https://www.vietnamworks.com/ai-expert-khoi-cong-nghe-thong-tin-ho26-19--2016508-jv","Xem chi tiết")</f>
        <v/>
      </c>
    </row>
    <row r="5792">
      <c r="B5792" s="9" t="n">
        <v>5790</v>
      </c>
      <c r="C5792" s="10" t="inlineStr">
        <is>
          <t>Giám Sát Kinh Doanh - Khu Vực Hồ Chí Minh</t>
        </is>
      </c>
      <c r="D5792" s="10" t="inlineStr">
        <is>
          <t>Shinhan Vietnam Finance Company Limited</t>
        </is>
      </c>
      <c r="E5792" s="10" t="inlineStr">
        <is>
          <t>Thương lượng</t>
        </is>
      </c>
      <c r="F5792" s="10" t="inlineStr">
        <is>
          <t>Hồ Chí Minh</t>
        </is>
      </c>
      <c r="G5792" s="10" t="inlineStr">
        <is>
          <t>Trưởng phòng</t>
        </is>
      </c>
      <c r="H5792" s="10" t="inlineStr">
        <is>
          <t>02/03/2026</t>
        </is>
      </c>
      <c r="I5792" s="10" t="inlineStr">
        <is>
          <t>01/04/2026</t>
        </is>
      </c>
      <c r="J5792" s="10" t="inlineStr">
        <is>
          <t>17/03/2026</t>
        </is>
      </c>
      <c r="K5792" s="10" t="inlineStr">
        <is>
          <t>N/A</t>
        </is>
      </c>
      <c r="L5792" s="10" t="inlineStr">
        <is>
          <t>Giao Tiếp Thuyết Phục, Quản Lý Chỉ Số KPI, Sales Supervisor, Tài Chính, Telesales Marketing</t>
        </is>
      </c>
      <c r="M5792" s="10" t="inlineStr">
        <is>
          <t>Bonus, Healthcare Plan, Laptop, Travel Opportunities</t>
        </is>
      </c>
      <c r="N5792" s="11">
        <f>HYPERLINK("https://www.vietnamworks.com/giam-sat-kinh-doanh-khu-vuc-ho-chi-minh-2016525-jv","Xem chi tiết")</f>
        <v/>
      </c>
      <c r="O5792" s="10" t="n"/>
    </row>
    <row r="5793">
      <c r="B5793" s="7" t="n">
        <v>5791</v>
      </c>
      <c r="C5793" t="inlineStr">
        <is>
          <t>Sales Account Executive</t>
        </is>
      </c>
      <c r="D5793" t="inlineStr">
        <is>
          <t>CÔNG TY TNHH MVC &amp; CO</t>
        </is>
      </c>
      <c r="E5793" t="inlineStr">
        <is>
          <t>Thương lượng</t>
        </is>
      </c>
      <c r="F5793" t="inlineStr">
        <is>
          <t>Hà Nội</t>
        </is>
      </c>
      <c r="G5793" t="inlineStr">
        <is>
          <t>Mới Tốt Nghiệp</t>
        </is>
      </c>
      <c r="H5793" t="inlineStr">
        <is>
          <t>02/03/2026</t>
        </is>
      </c>
      <c r="I5793" t="inlineStr">
        <is>
          <t>01/04/2026</t>
        </is>
      </c>
      <c r="J5793" t="inlineStr">
        <is>
          <t>17/03/2026</t>
        </is>
      </c>
      <c r="K5793" t="inlineStr">
        <is>
          <t>N/A</t>
        </is>
      </c>
      <c r="L5793" t="inlineStr">
        <is>
          <t>Account Management, Credit Control, English, Payment Management, Transaction Management</t>
        </is>
      </c>
      <c r="M5793" t="inlineStr">
        <is>
          <t>Bonus, Healthcare Plan, Paid Leave, Awards, Laptop, Team Activities, Others</t>
        </is>
      </c>
      <c r="N5793" s="8">
        <f>HYPERLINK("https://www.vietnamworks.com/sales-account-executive-2016513-jv","Xem chi tiết")</f>
        <v/>
      </c>
    </row>
    <row r="5794">
      <c r="B5794" s="9" t="n">
        <v>5792</v>
      </c>
      <c r="C5794" s="10" t="inlineStr">
        <is>
          <t>Kiến Trúc Sư 3D, Concept</t>
        </is>
      </c>
      <c r="D5794" s="10" t="inlineStr">
        <is>
          <t>Công Ty TNHH Uniktech</t>
        </is>
      </c>
      <c r="E5794" s="10" t="inlineStr">
        <is>
          <t>Thương lượng</t>
        </is>
      </c>
      <c r="F5794" s="10" t="inlineStr">
        <is>
          <t>Hồ Chí Minh</t>
        </is>
      </c>
      <c r="G5794" s="10" t="inlineStr">
        <is>
          <t>Nhân viên</t>
        </is>
      </c>
      <c r="H5794" s="10" t="inlineStr">
        <is>
          <t>02/03/2026</t>
        </is>
      </c>
      <c r="I5794" s="10" t="inlineStr">
        <is>
          <t>01/04/2026</t>
        </is>
      </c>
      <c r="J5794" s="10" t="inlineStr">
        <is>
          <t>17/03/2026</t>
        </is>
      </c>
      <c r="K5794" s="10" t="inlineStr">
        <is>
          <t>N/A</t>
        </is>
      </c>
      <c r="L5794" s="10" t="inlineStr">
        <is>
          <t>3Ds Max, Phối Cảnh 3D, Thiết Kế Concept, Thiết Kế Công Trình, Thiết Kế Nội Thất</t>
        </is>
      </c>
      <c r="M5794" s="10" t="inlineStr">
        <is>
          <t>Bonus, Awards, Others</t>
        </is>
      </c>
      <c r="N5794" s="11">
        <f>HYPERLINK("https://www.vietnamworks.com/kien-truc-su-3d-concept-2016524-jv","Xem chi tiết")</f>
        <v/>
      </c>
      <c r="O5794" s="10" t="n"/>
    </row>
    <row r="5795">
      <c r="B5795" s="7" t="n">
        <v>5793</v>
      </c>
      <c r="C5795" t="inlineStr">
        <is>
          <t>Structural Engineer</t>
        </is>
      </c>
      <c r="D5795" t="inlineStr">
        <is>
          <t>Thornton Tomasetti Vietnam</t>
        </is>
      </c>
      <c r="E5795" t="inlineStr">
        <is>
          <t>Thương lượng</t>
        </is>
      </c>
      <c r="F5795" t="inlineStr">
        <is>
          <t>Hồ Chí Minh</t>
        </is>
      </c>
      <c r="G5795" t="inlineStr">
        <is>
          <t>Nhân viên</t>
        </is>
      </c>
      <c r="H5795" t="inlineStr">
        <is>
          <t>02/03/2026</t>
        </is>
      </c>
      <c r="I5795" t="inlineStr">
        <is>
          <t>01/04/2026</t>
        </is>
      </c>
      <c r="J5795" t="inlineStr">
        <is>
          <t>17/03/2026</t>
        </is>
      </c>
      <c r="K5795" t="inlineStr">
        <is>
          <t>N/A</t>
        </is>
      </c>
      <c r="L5795" t="inlineStr">
        <is>
          <t>Etabs, Revit, SAP2000, Structural Analysis, Structural Engineering</t>
        </is>
      </c>
      <c r="M5795" t="inlineStr">
        <is>
          <t>Bonus, Training, Team Activities</t>
        </is>
      </c>
      <c r="N5795" s="8">
        <f>HYPERLINK("https://www.vietnamworks.com/structural-engineer-2016533-jv","Xem chi tiết")</f>
        <v/>
      </c>
    </row>
    <row r="5796">
      <c r="B5796" s="9" t="n">
        <v>5794</v>
      </c>
      <c r="C5796" s="10" t="inlineStr">
        <is>
          <t>AP Team Leader/ Trưởng nhóm KT Thanh toán</t>
        </is>
      </c>
      <c r="D5796" s="10" t="inlineStr">
        <is>
          <t>Công ty TNHH CJ Foods Việt Nam/ CJ Foods Vietnam Company Limited</t>
        </is>
      </c>
      <c r="E5796" s="10" t="inlineStr">
        <is>
          <t>Thương lượng</t>
        </is>
      </c>
      <c r="F5796" s="10" t="inlineStr">
        <is>
          <t>Hồ Chí Minh</t>
        </is>
      </c>
      <c r="G5796" s="10" t="inlineStr">
        <is>
          <t>Trưởng phòng</t>
        </is>
      </c>
      <c r="H5796" s="10" t="inlineStr">
        <is>
          <t>02/03/2026</t>
        </is>
      </c>
      <c r="I5796" s="10" t="inlineStr">
        <is>
          <t>01/04/2026</t>
        </is>
      </c>
      <c r="J5796" s="10" t="inlineStr">
        <is>
          <t>17/03/2026</t>
        </is>
      </c>
      <c r="K5796" s="10" t="inlineStr">
        <is>
          <t>N/A</t>
        </is>
      </c>
      <c r="L5796" s="10" t="inlineStr">
        <is>
          <t>Account Payable, Accounting, Finance, FMCG &amp; Manufacturing, Team Management</t>
        </is>
      </c>
      <c r="M5796" s="10" t="inlineStr">
        <is>
          <t>Bonus, Healthcare Plan, Paid Leave, Training, Laptop, Travel Opportunities, Transportation, Others</t>
        </is>
      </c>
      <c r="N5796" s="11">
        <f>HYPERLINK("https://www.vietnamworks.com/ap-team-leader-truong-nhom-kt-thanh-toan-2016550-jv","Xem chi tiết")</f>
        <v/>
      </c>
      <c r="O5796" s="10" t="n"/>
    </row>
    <row r="5797">
      <c r="B5797" s="7" t="n">
        <v>5795</v>
      </c>
      <c r="C5797" t="inlineStr">
        <is>
          <t>Kỹ Sư Thiết Kế Kết Cấu - Structure Engineer (HCM)</t>
        </is>
      </c>
      <c r="D5797" t="inlineStr">
        <is>
          <t>BMB&amp;A JSC.</t>
        </is>
      </c>
      <c r="E5797" t="inlineStr">
        <is>
          <t>12tr-18tr ₫/tháng</t>
        </is>
      </c>
      <c r="F5797" t="inlineStr">
        <is>
          <t>Hồ Chí Minh</t>
        </is>
      </c>
      <c r="G5797" t="inlineStr">
        <is>
          <t>Nhân viên</t>
        </is>
      </c>
      <c r="H5797" t="inlineStr">
        <is>
          <t>02/03/2026</t>
        </is>
      </c>
      <c r="I5797" t="inlineStr">
        <is>
          <t>01/04/2026</t>
        </is>
      </c>
      <c r="J5797" t="inlineStr">
        <is>
          <t>17/03/2026</t>
        </is>
      </c>
      <c r="K5797" t="inlineStr">
        <is>
          <t>N/A</t>
        </is>
      </c>
      <c r="L5797" t="inlineStr">
        <is>
          <t>Triển Khai Bản Vẽ, Kết Cấu Công Trình, Kỹ Sư Thiết Kế, Thiết Kế Công Trình, Xây Dựng Dân Dụng và Công Nghiệp</t>
        </is>
      </c>
      <c r="M5797" t="inlineStr">
        <is>
          <t>Bonus, Healthcare Plan, Training, Travel Opportunities, Others</t>
        </is>
      </c>
      <c r="N5797" s="8">
        <f>HYPERLINK("https://www.vietnamworks.com/ky-su-thiet-ke-ket-cau-structure-engineer-hcm-2016554-jv","Xem chi tiết")</f>
        <v/>
      </c>
    </row>
    <row r="5798">
      <c r="B5798" s="9" t="n">
        <v>5796</v>
      </c>
      <c r="C5798" s="10" t="inlineStr">
        <is>
          <t>Kế Toán Trưởng</t>
        </is>
      </c>
      <c r="D5798" s="10" t="inlineStr">
        <is>
          <t>Ngân Hàng TNHH MTV Woori Việt Nam</t>
        </is>
      </c>
      <c r="E5798" s="10" t="inlineStr">
        <is>
          <t>Thương lượng</t>
        </is>
      </c>
      <c r="F5798" s="10" t="inlineStr">
        <is>
          <t>Hà Nội</t>
        </is>
      </c>
      <c r="G5798" s="10" t="inlineStr">
        <is>
          <t>Trưởng phòng</t>
        </is>
      </c>
      <c r="H5798" s="10" t="inlineStr">
        <is>
          <t>02/03/2026</t>
        </is>
      </c>
      <c r="I5798" s="10" t="inlineStr">
        <is>
          <t>01/04/2026</t>
        </is>
      </c>
      <c r="J5798" s="10" t="inlineStr">
        <is>
          <t>17/03/2026</t>
        </is>
      </c>
      <c r="K5798" s="10" t="inlineStr">
        <is>
          <t>N/A</t>
        </is>
      </c>
      <c r="L5798" s="10" t="inlineStr">
        <is>
          <t>Tài Chính, Kế Toán Thuế, Hệ Thống Thuế, Kế Toán, Kế Toán Tổng Hợp</t>
        </is>
      </c>
      <c r="M5798" s="10" t="inlineStr">
        <is>
          <t>Bonus, Healthcare Plan, Travel Opportunities</t>
        </is>
      </c>
      <c r="N5798" s="11">
        <f>HYPERLINK("https://www.vietnamworks.com/ke-toan-truong--2016531-jv","Xem chi tiết")</f>
        <v/>
      </c>
      <c r="O5798" s="10" t="n"/>
    </row>
    <row r="5799">
      <c r="B5799" s="7" t="n">
        <v>5797</v>
      </c>
      <c r="C5799" t="inlineStr">
        <is>
          <t>Trưởng Phòng Hành Chính Nhân Sự</t>
        </is>
      </c>
      <c r="D5799" t="inlineStr">
        <is>
          <t>Công Ty TNHH Thương Mại - Dược Phẩm Mẹ và Bé</t>
        </is>
      </c>
      <c r="E5799" t="inlineStr">
        <is>
          <t>$$ 800-1,000 /tháng</t>
        </is>
      </c>
      <c r="F5799" t="inlineStr">
        <is>
          <t>Hà Nội</t>
        </is>
      </c>
      <c r="G5799" t="inlineStr">
        <is>
          <t>Trưởng phòng</t>
        </is>
      </c>
      <c r="H5799" t="inlineStr">
        <is>
          <t>02/03/2026</t>
        </is>
      </c>
      <c r="I5799" t="inlineStr">
        <is>
          <t>01/04/2026</t>
        </is>
      </c>
      <c r="J5799" t="inlineStr">
        <is>
          <t>17/03/2026</t>
        </is>
      </c>
      <c r="K5799" t="inlineStr">
        <is>
          <t>N/A</t>
        </is>
      </c>
      <c r="L5799" t="inlineStr">
        <is>
          <t>Quản Lý Nhân Sự, Hành Chính Nhân Sự, Nhân Sự, HR, Hoạch Định Chiến Lược Nhân Sự</t>
        </is>
      </c>
      <c r="M5799" t="inlineStr">
        <is>
          <t>Bonus, Travel Opportunities, Canteen</t>
        </is>
      </c>
      <c r="N5799" s="8">
        <f>HYPERLINK("https://www.vietnamworks.com/truong-phong-hanh-chinh-nhan-su--2016529-jv","Xem chi tiết")</f>
        <v/>
      </c>
    </row>
    <row r="5800">
      <c r="B5800" s="9" t="n">
        <v>5798</v>
      </c>
      <c r="C5800" s="10" t="inlineStr">
        <is>
          <t>Kiểm Toán Viên - Phòng Quản Lý Kiểm Toán - Auditor - Internal Audit Management Department - Cơ Quan Kiểm Toán Nội Bộ (HO26.10)</t>
        </is>
      </c>
      <c r="D5800" s="10" t="inlineStr">
        <is>
          <t>NGÂN HÀNG TMCP QUÂN ĐỘI – MBBANK</t>
        </is>
      </c>
      <c r="E5800" s="10" t="inlineStr">
        <is>
          <t>Thương lượng</t>
        </is>
      </c>
      <c r="F5800" s="10" t="inlineStr">
        <is>
          <t>Hà Nội</t>
        </is>
      </c>
      <c r="G5800" s="10" t="inlineStr">
        <is>
          <t>Nhân viên</t>
        </is>
      </c>
      <c r="H5800" s="10" t="inlineStr">
        <is>
          <t>02/03/2026</t>
        </is>
      </c>
      <c r="I5800" s="10" t="inlineStr">
        <is>
          <t>01/04/2026</t>
        </is>
      </c>
      <c r="J5800" s="10" t="inlineStr">
        <is>
          <t>17/03/2026</t>
        </is>
      </c>
      <c r="K5800" s="10" t="inlineStr">
        <is>
          <t>N/A</t>
        </is>
      </c>
      <c r="L5800" s="10" t="inlineStr">
        <is>
          <t>Audit Management, Bank, Internal Audit, IT Audit</t>
        </is>
      </c>
      <c r="M5800" s="10" t="inlineStr">
        <is>
          <t>Bonus, Healthcare Plan, Paid Leave, Training, Awards, Team Activities, Others</t>
        </is>
      </c>
      <c r="N5800" s="11">
        <f>HYPERLINK("https://www.vietnamworks.com/kiem-toan-vien-phong-quan-ly-kiem-toan-auditor-internal-audit-management-department-co-quan-kiem-toan-noi-bo-ho26-10--2016534-jv","Xem chi tiết")</f>
        <v/>
      </c>
      <c r="O5800" s="10" t="n"/>
    </row>
    <row r="5801">
      <c r="B5801" s="7" t="n">
        <v>5799</v>
      </c>
      <c r="C5801" t="inlineStr">
        <is>
          <t>Chuyên Viên Phần Mềm</t>
        </is>
      </c>
      <c r="D5801" t="inlineStr">
        <is>
          <t>Công ty Cổ phần Âu Lạc</t>
        </is>
      </c>
      <c r="E5801" t="inlineStr">
        <is>
          <t>Thương lượng</t>
        </is>
      </c>
      <c r="F5801" t="inlineStr">
        <is>
          <t>Hồ Chí Minh</t>
        </is>
      </c>
      <c r="G5801" t="inlineStr">
        <is>
          <t>Nhân viên</t>
        </is>
      </c>
      <c r="H5801" t="inlineStr">
        <is>
          <t>02/03/2026</t>
        </is>
      </c>
      <c r="I5801" t="inlineStr">
        <is>
          <t>01/04/2026</t>
        </is>
      </c>
      <c r="J5801" t="inlineStr">
        <is>
          <t>17/03/2026</t>
        </is>
      </c>
      <c r="K5801" t="inlineStr">
        <is>
          <t>N/A</t>
        </is>
      </c>
      <c r="L5801" t="inlineStr">
        <is>
          <t>Sử Dụng Phần Mềm, C#, ASP.NET, Power BI, Tiếng Anh</t>
        </is>
      </c>
      <c r="M5801" t="inlineStr">
        <is>
          <t>Bonus, Healthcare Plan, Awards, Others</t>
        </is>
      </c>
      <c r="N5801" s="8">
        <f>HYPERLINK("https://www.vietnamworks.com/chuyen-vien-phan-mem-2016548-jv","Xem chi tiết")</f>
        <v/>
      </c>
    </row>
    <row r="5802">
      <c r="B5802" s="9" t="n">
        <v>5800</v>
      </c>
      <c r="C5802" s="10" t="inlineStr">
        <is>
          <t>Tuyển Dụng Kế Toán Thanh Toán - Chấp Nhận Sinh Viên Mới Ra Trường</t>
        </is>
      </c>
      <c r="D5802" s="10" t="inlineStr">
        <is>
          <t>Ken Logistics CO., LTD.</t>
        </is>
      </c>
      <c r="E5802" s="10" t="inlineStr">
        <is>
          <t>Thương lượng</t>
        </is>
      </c>
      <c r="F5802" s="10" t="inlineStr">
        <is>
          <t>Hà Nội</t>
        </is>
      </c>
      <c r="G5802" s="10" t="inlineStr">
        <is>
          <t>Mới Tốt Nghiệp</t>
        </is>
      </c>
      <c r="H5802" s="10" t="inlineStr">
        <is>
          <t>02/03/2026</t>
        </is>
      </c>
      <c r="I5802" s="10" t="inlineStr">
        <is>
          <t>01/04/2026</t>
        </is>
      </c>
      <c r="J5802" s="10" t="inlineStr">
        <is>
          <t>17/03/2026</t>
        </is>
      </c>
      <c r="K5802" s="10" t="inlineStr">
        <is>
          <t>N/A</t>
        </is>
      </c>
      <c r="L5802" s="10" t="inlineStr">
        <is>
          <t>Logistics, Leadership, Import-Export Documents, Communication</t>
        </is>
      </c>
      <c r="M5802" s="10" t="inlineStr">
        <is>
          <t>Bonus, Paid Leave, Others</t>
        </is>
      </c>
      <c r="N5802" s="11">
        <f>HYPERLINK("https://www.vietnamworks.com/tuyen-dung-ke-toan-thanh-toan-chap-nhan-sinh-vien-moi-ra-truong--2016556-jv","Xem chi tiết")</f>
        <v/>
      </c>
      <c r="O5802" s="10" t="n"/>
    </row>
    <row r="5803">
      <c r="B5803" s="7" t="n">
        <v>5801</v>
      </c>
      <c r="C5803" t="inlineStr">
        <is>
          <t>Kế Toán Tổng Hợp (Ngành F&amp;B)</t>
        </is>
      </c>
      <c r="D5803" t="inlineStr">
        <is>
          <t>Vietnamworks' Client</t>
        </is>
      </c>
      <c r="E5803" t="inlineStr">
        <is>
          <t>$$ 500-800 /tháng</t>
        </is>
      </c>
      <c r="F5803" t="inlineStr">
        <is>
          <t>Hồ Chí Minh</t>
        </is>
      </c>
      <c r="G5803" t="inlineStr">
        <is>
          <t>Nhân viên</t>
        </is>
      </c>
      <c r="H5803" t="inlineStr">
        <is>
          <t>02/03/2026</t>
        </is>
      </c>
      <c r="I5803" t="inlineStr">
        <is>
          <t>01/04/2026</t>
        </is>
      </c>
      <c r="J5803" t="inlineStr">
        <is>
          <t>17/03/2026</t>
        </is>
      </c>
      <c r="K5803" t="inlineStr">
        <is>
          <t>N/A</t>
        </is>
      </c>
      <c r="L5803" t="inlineStr">
        <is>
          <t>Kế Toán, Kế Toán Tổng Hợp, Dịch Vụ Nhà Hàng, Kế toán viên</t>
        </is>
      </c>
      <c r="M5803" t="inlineStr">
        <is>
          <t>Bonus, Healthcare Plan, Paid Leave</t>
        </is>
      </c>
      <c r="N5803" s="8">
        <f>HYPERLINK("https://www.vietnamworks.com/ke-toan-tong-hop-nganh-f-b--2016553-jv","Xem chi tiết")</f>
        <v/>
      </c>
    </row>
    <row r="5804">
      <c r="B5804" s="9" t="n">
        <v>5802</v>
      </c>
      <c r="C5804" s="10" t="inlineStr">
        <is>
          <t>Kiến Trúc Sư/kiến Trúc Sư Revit (Senior/midlevel/junior)</t>
        </is>
      </c>
      <c r="D5804" s="10" t="inlineStr">
        <is>
          <t>AG Ingo Design Vietnam</t>
        </is>
      </c>
      <c r="E5804" s="10" t="inlineStr">
        <is>
          <t>Thương lượng</t>
        </is>
      </c>
      <c r="F5804" s="10" t="inlineStr">
        <is>
          <t>Hồ Chí Minh</t>
        </is>
      </c>
      <c r="G5804" s="10" t="inlineStr">
        <is>
          <t>Nhân viên</t>
        </is>
      </c>
      <c r="H5804" s="10" t="inlineStr">
        <is>
          <t>02/03/2026</t>
        </is>
      </c>
      <c r="I5804" s="10" t="inlineStr">
        <is>
          <t>01/04/2026</t>
        </is>
      </c>
      <c r="J5804" s="10" t="inlineStr">
        <is>
          <t>17/03/2026</t>
        </is>
      </c>
      <c r="K5804" s="10" t="inlineStr">
        <is>
          <t>N/A</t>
        </is>
      </c>
      <c r="L5804" s="10" t="inlineStr">
        <is>
          <t>BIM, Design Coordination</t>
        </is>
      </c>
      <c r="M5804" s="10" t="inlineStr">
        <is>
          <t>Bonus, Healthcare Plan, Team Activities, Others</t>
        </is>
      </c>
      <c r="N5804" s="11">
        <f>HYPERLINK("https://www.vietnamworks.com/kien-truc-su-kien-truc-su-revit-senior-midlevel-junior-2016546-jv","Xem chi tiết")</f>
        <v/>
      </c>
      <c r="O5804" s="10" t="n"/>
    </row>
    <row r="5805">
      <c r="B5805" s="7" t="n">
        <v>5803</v>
      </c>
      <c r="C5805" t="inlineStr">
        <is>
          <t>Kế Toán Công Nợ (Account Receivable)</t>
        </is>
      </c>
      <c r="D5805" t="inlineStr">
        <is>
          <t>Công Ty Cổ Phần Nước Giải Khát Rooster</t>
        </is>
      </c>
      <c r="E5805" t="inlineStr">
        <is>
          <t>Thương lượng</t>
        </is>
      </c>
      <c r="F5805" t="inlineStr">
        <is>
          <t>Hồ Chí Minh</t>
        </is>
      </c>
      <c r="G5805" t="inlineStr">
        <is>
          <t>Nhân viên</t>
        </is>
      </c>
      <c r="H5805" t="inlineStr">
        <is>
          <t>02/03/2026</t>
        </is>
      </c>
      <c r="I5805" t="inlineStr">
        <is>
          <t>01/04/2026</t>
        </is>
      </c>
      <c r="J5805" t="inlineStr">
        <is>
          <t>17/03/2026</t>
        </is>
      </c>
      <c r="K5805" t="inlineStr">
        <is>
          <t>N/A</t>
        </is>
      </c>
      <c r="L5805" t="inlineStr">
        <is>
          <t>Kế Toán Bán Hàng, Tax Report, Account Receivable, Theo Dõi Công Nợ, Thu Hồi Công Nợ</t>
        </is>
      </c>
      <c r="M5805" t="inlineStr">
        <is>
          <t>Bonus</t>
        </is>
      </c>
      <c r="N5805" s="8">
        <f>HYPERLINK("https://www.vietnamworks.com/ke-toan-cong-no-account-receivable-2016530-jv","Xem chi tiết")</f>
        <v/>
      </c>
    </row>
    <row r="5806">
      <c r="B5806" s="9" t="n">
        <v>5804</v>
      </c>
      <c r="C5806" s="10" t="inlineStr">
        <is>
          <t>Kỹ Sư/kiến Trúc Sư Cảnh Quan - Landscape Designer</t>
        </is>
      </c>
      <c r="D5806" s="10" t="inlineStr">
        <is>
          <t>AG Ingo Design Vietnam</t>
        </is>
      </c>
      <c r="E5806" s="10" t="inlineStr">
        <is>
          <t>Thương lượng</t>
        </is>
      </c>
      <c r="F5806" s="10" t="inlineStr">
        <is>
          <t>Hồ Chí Minh</t>
        </is>
      </c>
      <c r="G5806" s="10" t="inlineStr">
        <is>
          <t>Nhân viên</t>
        </is>
      </c>
      <c r="H5806" s="10" t="inlineStr">
        <is>
          <t>02/03/2026</t>
        </is>
      </c>
      <c r="I5806" s="10" t="inlineStr">
        <is>
          <t>01/04/2026</t>
        </is>
      </c>
      <c r="J5806" s="10" t="inlineStr">
        <is>
          <t>17/03/2026</t>
        </is>
      </c>
      <c r="K5806" s="10" t="inlineStr">
        <is>
          <t>N/A</t>
        </is>
      </c>
      <c r="L5806" s="10" t="inlineStr">
        <is>
          <t>English, Thiết Kế Cảnh Quan, Thiết Kế Kiến Trúc, Thiết Kế Đô Thị, Landscape Architecture</t>
        </is>
      </c>
      <c r="M5806" s="10" t="inlineStr">
        <is>
          <t>Bonus, Healthcare Plan, Team Activities, Others</t>
        </is>
      </c>
      <c r="N5806" s="11">
        <f>HYPERLINK("https://www.vietnamworks.com/ky-su-kien-truc-su-canh-quan-landscape-designer-2016538-jv","Xem chi tiết")</f>
        <v/>
      </c>
      <c r="O5806" s="10" t="n"/>
    </row>
    <row r="5807">
      <c r="B5807" s="7" t="n">
        <v>5805</v>
      </c>
      <c r="C5807" t="inlineStr">
        <is>
          <t xml:space="preserve">Senior Molding Process Engineer </t>
        </is>
      </c>
      <c r="D5807" t="inlineStr">
        <is>
          <t>CÔNG TY TNHH SUMMIT POLYMERS VIETNAM</t>
        </is>
      </c>
      <c r="E5807" t="inlineStr">
        <is>
          <t>Thương lượng</t>
        </is>
      </c>
      <c r="F5807" t="inlineStr">
        <is>
          <t>Đồng Nai</t>
        </is>
      </c>
      <c r="G5807" t="inlineStr">
        <is>
          <t>Nhân viên</t>
        </is>
      </c>
      <c r="H5807" t="inlineStr">
        <is>
          <t>02/03/2026</t>
        </is>
      </c>
      <c r="I5807" t="inlineStr">
        <is>
          <t>01/04/2026</t>
        </is>
      </c>
      <c r="J5807" t="inlineStr">
        <is>
          <t>17/03/2026</t>
        </is>
      </c>
      <c r="K5807" t="inlineStr">
        <is>
          <t>N/A</t>
        </is>
      </c>
      <c r="L5807" t="inlineStr">
        <is>
          <t>Injection Molding, Molding, Problem Solving, Process Engineer, Molding Machine</t>
        </is>
      </c>
      <c r="M5807" t="inlineStr">
        <is>
          <t>Bonus</t>
        </is>
      </c>
      <c r="N5807" s="8">
        <f>HYPERLINK("https://www.vietnamworks.com/senior-molding-process-engineer-2016547-jv","Xem chi tiết")</f>
        <v/>
      </c>
    </row>
    <row r="5808">
      <c r="B5808" s="9" t="n">
        <v>5806</v>
      </c>
      <c r="C5808" s="10" t="inlineStr">
        <is>
          <t>Kiểm Toán Viên (Mảng Tín Dụng, Tài Chính, Hoạt Động) - Auditor (Credit, Finance, Operation) - Cơ Quan Kiểm Toán Nội Bộ (HO26.09)</t>
        </is>
      </c>
      <c r="D5808" s="10" t="inlineStr">
        <is>
          <t>NGÂN HÀNG TMCP QUÂN ĐỘI – MBBANK</t>
        </is>
      </c>
      <c r="E5808" s="10" t="inlineStr">
        <is>
          <t>Thương lượng</t>
        </is>
      </c>
      <c r="F5808" s="10" t="inlineStr">
        <is>
          <t>Hà Nội</t>
        </is>
      </c>
      <c r="G5808" s="10" t="inlineStr">
        <is>
          <t>Nhân viên</t>
        </is>
      </c>
      <c r="H5808" s="10" t="inlineStr">
        <is>
          <t>02/03/2026</t>
        </is>
      </c>
      <c r="I5808" s="10" t="inlineStr">
        <is>
          <t>01/04/2026</t>
        </is>
      </c>
      <c r="J5808" s="10" t="inlineStr">
        <is>
          <t>17/03/2026</t>
        </is>
      </c>
      <c r="K5808" s="10" t="inlineStr">
        <is>
          <t>N/A</t>
        </is>
      </c>
      <c r="L5808" s="10" t="inlineStr">
        <is>
          <t>Audit Management, Bank, Internal Audit, IT Audit</t>
        </is>
      </c>
      <c r="M5808" s="10" t="inlineStr">
        <is>
          <t>Bonus, Healthcare Plan, Paid Leave, Training, Awards, Team Activities, Others</t>
        </is>
      </c>
      <c r="N5808" s="11">
        <f>HYPERLINK("https://www.vietnamworks.com/kiem-toan-vien-mang-tin-dung-tai-chinh-hoat-dong-auditor-credit-finance-operation-co-quan-kiem-toan-noi-bo-ho26-09--2016532-jv","Xem chi tiết")</f>
        <v/>
      </c>
      <c r="O5808" s="10" t="n"/>
    </row>
    <row r="5809">
      <c r="B5809" s="7" t="n">
        <v>5807</v>
      </c>
      <c r="C5809" t="inlineStr">
        <is>
          <t>Technical Support Engineer / Kỹ Sư Kỹ Thuật (HVAC)</t>
        </is>
      </c>
      <c r="D5809" t="inlineStr">
        <is>
          <t>Văn phòng đại diện Huber Ranner (Singapore) Pte. Ltd. tại thành phố Hà Nội</t>
        </is>
      </c>
      <c r="E5809" t="inlineStr">
        <is>
          <t>10tr-15tr ₫/tháng</t>
        </is>
      </c>
      <c r="F5809" t="inlineStr">
        <is>
          <t>Hà Nội</t>
        </is>
      </c>
      <c r="G5809" t="inlineStr">
        <is>
          <t>Nhân viên</t>
        </is>
      </c>
      <c r="H5809" t="inlineStr">
        <is>
          <t>02/03/2026</t>
        </is>
      </c>
      <c r="I5809" t="inlineStr">
        <is>
          <t>01/04/2026</t>
        </is>
      </c>
      <c r="J5809" t="inlineStr">
        <is>
          <t>17/03/2026</t>
        </is>
      </c>
      <c r="K5809" t="inlineStr">
        <is>
          <t>N/A</t>
        </is>
      </c>
      <c r="L5809" t="inlineStr">
        <is>
          <t>Technical Support, Bảo Trì Kỹ Thuật, HVAC System, Giải Pháp Kỹ Thuật, Auto CAD</t>
        </is>
      </c>
      <c r="M5809" t="inlineStr">
        <is>
          <t>Bonus, Training, Laptop</t>
        </is>
      </c>
      <c r="N5809" s="8">
        <f>HYPERLINK("https://www.vietnamworks.com/technical-support-engineer-ky-su-ky-thuat-hvac--2016555-jv","Xem chi tiết")</f>
        <v/>
      </c>
    </row>
    <row r="5810">
      <c r="B5810" s="9" t="n">
        <v>5808</v>
      </c>
      <c r="C5810" s="10" t="inlineStr">
        <is>
          <t>Senior/Techlead Python</t>
        </is>
      </c>
      <c r="D5810" s="10" t="inlineStr">
        <is>
          <t>Công Ty Cổ Phần Công Nghệ VMO Holdings</t>
        </is>
      </c>
      <c r="E5810" s="10" t="inlineStr">
        <is>
          <t>Tới 65tr ₫/tháng</t>
        </is>
      </c>
      <c r="F5810" s="10" t="inlineStr">
        <is>
          <t>Hà Nội</t>
        </is>
      </c>
      <c r="G5810" s="10" t="inlineStr">
        <is>
          <t>Nhân viên</t>
        </is>
      </c>
      <c r="H5810" s="10" t="inlineStr">
        <is>
          <t>02/03/2026</t>
        </is>
      </c>
      <c r="I5810" s="10" t="inlineStr">
        <is>
          <t>01/04/2026</t>
        </is>
      </c>
      <c r="J5810" s="10" t="inlineStr">
        <is>
          <t>17/03/2026</t>
        </is>
      </c>
      <c r="K5810" s="10" t="inlineStr">
        <is>
          <t>N/A</t>
        </is>
      </c>
      <c r="L5810" s="10" t="inlineStr">
        <is>
          <t>Backend &amp; Api Development, Cloud Infrastructure, Core Python Expertise, Database Software, Leadership Skills</t>
        </is>
      </c>
      <c r="M5810" s="10" t="inlineStr">
        <is>
          <t>Healthcare Plan, Training, Team Activities, Others</t>
        </is>
      </c>
      <c r="N5810" s="11">
        <f>HYPERLINK("https://www.vietnamworks.com/seniortechlead-python-2016543-jv","Xem chi tiết")</f>
        <v/>
      </c>
      <c r="O5810" s="10" t="n"/>
    </row>
    <row r="5811">
      <c r="B5811" s="7" t="n">
        <v>5809</v>
      </c>
      <c r="C5811" t="inlineStr">
        <is>
          <t>Chuyên Viên Cao Cấp Phát Triển Kinh Doanh (Phụ Trách Quỹ Mở)</t>
        </is>
      </c>
      <c r="D5811" t="inlineStr">
        <is>
          <t>Công Ty Cổ Phần Quản Lý Quỹ PVI</t>
        </is>
      </c>
      <c r="E5811" t="inlineStr">
        <is>
          <t>$$ 500-1,000 /tháng</t>
        </is>
      </c>
      <c r="F5811" t="inlineStr">
        <is>
          <t>Hà Nội</t>
        </is>
      </c>
      <c r="G5811" t="inlineStr">
        <is>
          <t>Nhân viên</t>
        </is>
      </c>
      <c r="H5811" t="inlineStr">
        <is>
          <t>02/03/2026</t>
        </is>
      </c>
      <c r="I5811" t="inlineStr">
        <is>
          <t>01/04/2026</t>
        </is>
      </c>
      <c r="J5811" t="inlineStr">
        <is>
          <t>17/03/2026</t>
        </is>
      </c>
      <c r="K5811" t="inlineStr">
        <is>
          <t>N/A</t>
        </is>
      </c>
      <c r="L5811" t="inlineStr">
        <is>
          <t>Giao Dịch Chứng Khoán, Phát Triển Kinh Doanh, Tài Chính Đầu Tư, Tư Vấn Chứng Khoán, Đầu Tư Chứng Khoán</t>
        </is>
      </c>
      <c r="M5811" t="inlineStr">
        <is>
          <t>Bonus, Healthcare Plan, Awards, Team Activities, Others</t>
        </is>
      </c>
      <c r="N5811" s="8">
        <f>HYPERLINK("https://www.vietnamworks.com/chuyen-vien-cao-cap-phat-trien-kinh-doanh-phu-trach-quy-mo-2016544-jv","Xem chi tiết")</f>
        <v/>
      </c>
    </row>
    <row r="5812">
      <c r="B5812" s="9" t="n">
        <v>5810</v>
      </c>
      <c r="C5812" s="10" t="inlineStr">
        <is>
          <t>Tekla Modeler</t>
        </is>
      </c>
      <c r="D5812" s="10" t="inlineStr">
        <is>
          <t>Thornton Tomasetti Vietnam</t>
        </is>
      </c>
      <c r="E5812" s="10" t="inlineStr">
        <is>
          <t>Thương lượng</t>
        </is>
      </c>
      <c r="F5812" s="10" t="inlineStr">
        <is>
          <t>Hồ Chí Minh</t>
        </is>
      </c>
      <c r="G5812" s="10" t="inlineStr">
        <is>
          <t>Nhân viên</t>
        </is>
      </c>
      <c r="H5812" s="10" t="inlineStr">
        <is>
          <t>02/03/2026</t>
        </is>
      </c>
      <c r="I5812" s="10" t="inlineStr">
        <is>
          <t>01/04/2026</t>
        </is>
      </c>
      <c r="J5812" s="10" t="inlineStr">
        <is>
          <t>17/03/2026</t>
        </is>
      </c>
      <c r="K5812" s="10" t="inlineStr">
        <is>
          <t>N/A</t>
        </is>
      </c>
      <c r="L5812" s="10" t="inlineStr">
        <is>
          <t>Steel Structure, Structural Analysis, Structural Engineering, Us Design Codes, Tekla Structure</t>
        </is>
      </c>
      <c r="M5812" s="10" t="inlineStr">
        <is>
          <t>Bonus, Training, Team Activities</t>
        </is>
      </c>
      <c r="N5812" s="11">
        <f>HYPERLINK("https://www.vietnamworks.com/tekla-modeler-2016542-jv","Xem chi tiết")</f>
        <v/>
      </c>
      <c r="O5812" s="10" t="n"/>
    </row>
    <row r="5813">
      <c r="B5813" s="7" t="n">
        <v>5811</v>
      </c>
      <c r="C5813" t="inlineStr">
        <is>
          <t>Chỉ Huy Trưởng Công Trình Dân Dụng (5 Năm Kinh Nghiệm)</t>
        </is>
      </c>
      <c r="D5813" t="inlineStr">
        <is>
          <t>CÔNG TY CỔ PHẦN ISC CONS</t>
        </is>
      </c>
      <c r="E5813" t="inlineStr">
        <is>
          <t>Thương lượng</t>
        </is>
      </c>
      <c r="F5813" t="inlineStr">
        <is>
          <t>Bắc Ninh, Hà Nội</t>
        </is>
      </c>
      <c r="G5813" t="inlineStr">
        <is>
          <t>Trưởng phòng</t>
        </is>
      </c>
      <c r="H5813" t="inlineStr">
        <is>
          <t>02/03/2026</t>
        </is>
      </c>
      <c r="I5813" t="inlineStr">
        <is>
          <t>01/04/2026</t>
        </is>
      </c>
      <c r="J5813" t="inlineStr">
        <is>
          <t>17/03/2026</t>
        </is>
      </c>
      <c r="K5813" t="inlineStr">
        <is>
          <t>N/A</t>
        </is>
      </c>
      <c r="L5813" t="inlineStr">
        <is>
          <t>Quản Lý Thi Công, Giám Sát Chất Lượng, Lập Kế Hoạch, Kỹ Thuật Xây Dựng, Lãnh Đạo</t>
        </is>
      </c>
      <c r="M5813" t="inlineStr">
        <is>
          <t>Bonus, Healthcare Plan, Training, Others</t>
        </is>
      </c>
      <c r="N5813" s="8">
        <f>HYPERLINK("https://www.vietnamworks.com/chi-huy-truong-cong-trinh-dan-dung-5-nam-kinh-nghiem-2016545-jv","Xem chi tiết")</f>
        <v/>
      </c>
    </row>
    <row r="5814">
      <c r="B5814" s="9" t="n">
        <v>5812</v>
      </c>
      <c r="C5814" s="10" t="inlineStr">
        <is>
          <t>Technical Leader</t>
        </is>
      </c>
      <c r="D5814" s="10" t="inlineStr">
        <is>
          <t>Seoul Semiconductor Vina</t>
        </is>
      </c>
      <c r="E5814" s="10" t="inlineStr">
        <is>
          <t>Thương lượng</t>
        </is>
      </c>
      <c r="F5814" s="10" t="inlineStr">
        <is>
          <t>Hà Nam, Hưng Yên, Hà Nội</t>
        </is>
      </c>
      <c r="G5814" s="10" t="inlineStr">
        <is>
          <t>Nhân viên</t>
        </is>
      </c>
      <c r="H5814" s="10" t="inlineStr">
        <is>
          <t>02/03/2026</t>
        </is>
      </c>
      <c r="I5814" s="10" t="inlineStr">
        <is>
          <t>01/04/2026</t>
        </is>
      </c>
      <c r="J5814" s="10" t="inlineStr">
        <is>
          <t>17/03/2026</t>
        </is>
      </c>
      <c r="K5814" s="10" t="inlineStr">
        <is>
          <t>N/A</t>
        </is>
      </c>
      <c r="L5814" s="10" t="inlineStr">
        <is>
          <t>Process Engineer, Điện, Bảo Dưỡng, Phân Tích Lỗi, Technical Lead</t>
        </is>
      </c>
      <c r="M5814" s="10" t="inlineStr">
        <is>
          <t>Bonus, Laptop, Transportation</t>
        </is>
      </c>
      <c r="N5814" s="11">
        <f>HYPERLINK("https://www.vietnamworks.com/technical-leader--2016563-jv","Xem chi tiết")</f>
        <v/>
      </c>
      <c r="O5814" s="10" t="n"/>
    </row>
    <row r="5815">
      <c r="B5815" s="7" t="n">
        <v>5813</v>
      </c>
      <c r="C5815" t="inlineStr">
        <is>
          <t>[ Hot Job ] Chuyên Viên Cao Cấp Nghiệp Vụ Bảo Hiểm Tài Sản Kỹ Thuật (Thu Nhập: 18,000,000 - 22,000,000 VNĐ + Thưởng Hiệu Quả)</t>
        </is>
      </c>
      <c r="D5815" t="inlineStr">
        <is>
          <t>Công ty cổ phần Tập đoàn Bảo hiểm DBV</t>
        </is>
      </c>
      <c r="E5815" t="inlineStr">
        <is>
          <t>18tr-20tr ₫/tháng</t>
        </is>
      </c>
      <c r="F5815" t="inlineStr">
        <is>
          <t>Hà Nội</t>
        </is>
      </c>
      <c r="G5815" t="inlineStr">
        <is>
          <t>Nhân viên</t>
        </is>
      </c>
      <c r="H5815" t="inlineStr">
        <is>
          <t>02/03/2026</t>
        </is>
      </c>
      <c r="I5815" t="inlineStr">
        <is>
          <t>01/04/2026</t>
        </is>
      </c>
      <c r="J5815" t="inlineStr">
        <is>
          <t>17/03/2026</t>
        </is>
      </c>
      <c r="K5815" t="inlineStr">
        <is>
          <t>N/A</t>
        </is>
      </c>
      <c r="L5815" t="inlineStr">
        <is>
          <t>Bảo Hiểm, Tài Chính Ngân Hàng, Giao Tiếp Tiếng Anh, Bồi Thường Bảo Hiểm, Quản Lý Bảo Lãnh</t>
        </is>
      </c>
      <c r="M5815" t="inlineStr">
        <is>
          <t>Bonus, Healthcare Plan, Team Activities, Others</t>
        </is>
      </c>
      <c r="N5815" s="8">
        <f>HYPERLINK("https://www.vietnamworks.com/hot-job-chuyen-vien-cao-cap-nghiep-vu-bao-hiem-tai-san-ky-thuat-thu-nhap-18-000-000-22-000-000-vnd-thuong-hieu-qua-2016567-jv","Xem chi tiết")</f>
        <v/>
      </c>
    </row>
    <row r="5816">
      <c r="B5816" s="9" t="n">
        <v>5814</v>
      </c>
      <c r="C5816" s="10" t="inlineStr">
        <is>
          <t>Senior Maintenance Engineer (KCN Nam Cấm, Nghệ An)</t>
        </is>
      </c>
      <c r="D5816" s="10" t="inlineStr">
        <is>
          <t>Cargill Vietnam</t>
        </is>
      </c>
      <c r="E5816" s="10" t="inlineStr">
        <is>
          <t>Thương lượng</t>
        </is>
      </c>
      <c r="F5816" s="10" t="inlineStr">
        <is>
          <t>Nghệ An</t>
        </is>
      </c>
      <c r="G5816" s="10" t="inlineStr">
        <is>
          <t>Nhân viên</t>
        </is>
      </c>
      <c r="H5816" s="10" t="inlineStr">
        <is>
          <t>02/03/2026</t>
        </is>
      </c>
      <c r="I5816" s="10" t="inlineStr">
        <is>
          <t>01/04/2026</t>
        </is>
      </c>
      <c r="J5816" s="10" t="inlineStr">
        <is>
          <t>17/03/2026</t>
        </is>
      </c>
      <c r="K5816" s="10" t="inlineStr">
        <is>
          <t>N/A</t>
        </is>
      </c>
      <c r="L5816" s="10" t="inlineStr">
        <is>
          <t>Bảo Trì, Electrical, Cơ Điện Tử, Maintenance, Điện</t>
        </is>
      </c>
      <c r="M5816" s="10" t="inlineStr">
        <is>
          <t>Bonus, Healthcare Plan, Training</t>
        </is>
      </c>
      <c r="N5816" s="11">
        <f>HYPERLINK("https://www.vietnamworks.com/senior-maintenance-engineer-kcn-nam-cam-nghe-an-2016558-jv","Xem chi tiết")</f>
        <v/>
      </c>
      <c r="O5816" s="10" t="n"/>
    </row>
    <row r="5817">
      <c r="B5817" s="7" t="n">
        <v>5815</v>
      </c>
      <c r="C5817" t="inlineStr">
        <is>
          <t>Kỹ Sư/ Giám Sát Điện (01 Nam Định, 02 Thái Bình)</t>
        </is>
      </c>
      <c r="D5817" t="inlineStr">
        <is>
          <t>VSIP Nam Định</t>
        </is>
      </c>
      <c r="E5817" t="inlineStr">
        <is>
          <t>Thương lượng</t>
        </is>
      </c>
      <c r="F5817" t="inlineStr">
        <is>
          <t>Nam Định, Thái Bình</t>
        </is>
      </c>
      <c r="G5817" t="inlineStr">
        <is>
          <t>Trưởng phòng</t>
        </is>
      </c>
      <c r="H5817" t="inlineStr">
        <is>
          <t>02/03/2026</t>
        </is>
      </c>
      <c r="I5817" t="inlineStr">
        <is>
          <t>01/04/2026</t>
        </is>
      </c>
      <c r="J5817" t="inlineStr">
        <is>
          <t>17/03/2026</t>
        </is>
      </c>
      <c r="K5817" t="inlineStr">
        <is>
          <t>N/A</t>
        </is>
      </c>
      <c r="L5817" t="inlineStr">
        <is>
          <t>Giám Sát Cơ Điện, Giám Sát Thi Công, Sản Xuất Điện, Tự Động Hóa, Vận Hành Điện</t>
        </is>
      </c>
      <c r="M5817" t="inlineStr">
        <is>
          <t>Bonus, Healthcare Plan, Paid Leave, Awards, Team Activities, Others</t>
        </is>
      </c>
      <c r="N5817" s="8">
        <f>HYPERLINK("https://www.vietnamworks.com/ky-su-giam-sat-djien-01-nam-djinh-02-thai-binh-2016569-jv","Xem chi tiết")</f>
        <v/>
      </c>
    </row>
    <row r="5818">
      <c r="B5818" s="9" t="n">
        <v>5816</v>
      </c>
      <c r="C5818" s="10" t="inlineStr">
        <is>
          <t>Cán Bộ An Toàn, Vệ Sinh Lao Động</t>
        </is>
      </c>
      <c r="D5818" s="10" t="inlineStr">
        <is>
          <t>EuP Group</t>
        </is>
      </c>
      <c r="E5818" s="10" t="inlineStr">
        <is>
          <t>12tr-25tr ₫/tháng</t>
        </is>
      </c>
      <c r="F5818" s="10" t="inlineStr">
        <is>
          <t>Hải Phòng, Nghệ An, Ninh Bình</t>
        </is>
      </c>
      <c r="G5818" s="10" t="inlineStr">
        <is>
          <t>Nhân viên</t>
        </is>
      </c>
      <c r="H5818" s="10" t="inlineStr">
        <is>
          <t>02/03/2026</t>
        </is>
      </c>
      <c r="I5818" s="10" t="inlineStr">
        <is>
          <t>01/04/2026</t>
        </is>
      </c>
      <c r="J5818" s="10" t="inlineStr">
        <is>
          <t>17/03/2026</t>
        </is>
      </c>
      <c r="K5818" s="10" t="inlineStr">
        <is>
          <t>N/A</t>
        </is>
      </c>
      <c r="L5818" s="10" t="inlineStr">
        <is>
          <t>HSE, Bảo Hộ Lao Động, Sản xuất</t>
        </is>
      </c>
      <c r="M5818" s="10" t="inlineStr">
        <is>
          <t>Bonus, Healthcare Plan, Training</t>
        </is>
      </c>
      <c r="N5818" s="11">
        <f>HYPERLINK("https://www.vietnamworks.com/can-bo-an-toan-ve-sinh-lao-dong--2016564-jv","Xem chi tiết")</f>
        <v/>
      </c>
      <c r="O5818" s="10" t="n"/>
    </row>
    <row r="5819">
      <c r="B5819" s="7" t="n">
        <v>5817</v>
      </c>
      <c r="C5819" t="inlineStr">
        <is>
          <t>Nhân Viên Lễ Tân - Chăm Sóc Khách Hàng</t>
        </is>
      </c>
      <c r="D5819" t="inlineStr">
        <is>
          <t>Nha Khoa Hoa Hồng Phương Đông</t>
        </is>
      </c>
      <c r="E5819" t="inlineStr">
        <is>
          <t>$$ 12tr-15tr /tháng</t>
        </is>
      </c>
      <c r="F5819" t="inlineStr">
        <is>
          <t>Hồ Chí Minh</t>
        </is>
      </c>
      <c r="G5819" t="inlineStr">
        <is>
          <t>Nhân viên</t>
        </is>
      </c>
      <c r="H5819" t="inlineStr">
        <is>
          <t>02/03/2026</t>
        </is>
      </c>
      <c r="I5819" t="inlineStr">
        <is>
          <t>01/04/2026</t>
        </is>
      </c>
      <c r="J5819" t="inlineStr">
        <is>
          <t>17/03/2026</t>
        </is>
      </c>
      <c r="K5819" t="inlineStr">
        <is>
          <t>N/A</t>
        </is>
      </c>
      <c r="L5819" t="inlineStr">
        <is>
          <t>Chăm Sóc Khách Hàng, Bán Hàng, Dịch Vụ Nha Khoa, Tư Vấn, MS Office</t>
        </is>
      </c>
      <c r="M5819" t="inlineStr">
        <is>
          <t>Bonus, Healthcare Plan, Paid Leave, Training, Vouchers, Others</t>
        </is>
      </c>
      <c r="N5819" s="8">
        <f>HYPERLINK("https://www.vietnamworks.com/nhan-vien-le-tan-cham-soc-khach-hang-2016560-jv","Xem chi tiết")</f>
        <v/>
      </c>
    </row>
    <row r="5820">
      <c r="B5820" s="9" t="n">
        <v>5818</v>
      </c>
      <c r="C5820" s="10" t="inlineStr">
        <is>
          <t>Phiên Dịch Viên Tiếng Trung - Thu Nhập Lên Đến 25 Triệu + Thưởng</t>
        </is>
      </c>
      <c r="D5820" s="10" t="inlineStr">
        <is>
          <t>Công Ty CP Đầu Tư Xây Dựng và Thương Mại Kiến Hưng</t>
        </is>
      </c>
      <c r="E5820" s="10" t="inlineStr">
        <is>
          <t>16tr-25tr ₫/tháng</t>
        </is>
      </c>
      <c r="F5820" s="10" t="inlineStr">
        <is>
          <t>Thanh Hóa, Hà Nội</t>
        </is>
      </c>
      <c r="G5820" s="10" t="inlineStr">
        <is>
          <t>Mới Tốt Nghiệp</t>
        </is>
      </c>
      <c r="H5820" s="10" t="inlineStr">
        <is>
          <t>02/03/2026</t>
        </is>
      </c>
      <c r="I5820" s="10" t="inlineStr">
        <is>
          <t>01/04/2026</t>
        </is>
      </c>
      <c r="J5820" s="10" t="inlineStr">
        <is>
          <t>17/03/2026</t>
        </is>
      </c>
      <c r="K5820" s="10" t="inlineStr">
        <is>
          <t>N/A</t>
        </is>
      </c>
      <c r="L5820" s="10" t="inlineStr">
        <is>
          <t>Biên Dịch Hợp Đồng, Biên Dịch Tài Liệu, Giao Tiếp, Phiên Dịch, Tiếng Trung</t>
        </is>
      </c>
      <c r="M5820" s="10" t="inlineStr">
        <is>
          <t>Bonus, Paid Leave, Travel Opportunities, Others</t>
        </is>
      </c>
      <c r="N5820" s="11">
        <f>HYPERLINK("https://www.vietnamworks.com/phien-dich-vien-tieng-trung-thu-nhap-len-den-25-trieu-thuong-2016582-jv","Xem chi tiết")</f>
        <v/>
      </c>
      <c r="O5820" s="10" t="n"/>
    </row>
    <row r="5821">
      <c r="B5821" s="7" t="n">
        <v>5819</v>
      </c>
      <c r="C5821" t="inlineStr">
        <is>
          <t>Nhân Viên Kế Toán Đầu Tư Xây Dựng Cơ Bản</t>
        </is>
      </c>
      <c r="D5821" t="inlineStr">
        <is>
          <t>Công Ty Cổ Phần ICD Tân Cảng Long Bình</t>
        </is>
      </c>
      <c r="E5821" t="inlineStr">
        <is>
          <t>Thương lượng</t>
        </is>
      </c>
      <c r="F5821" t="inlineStr">
        <is>
          <t>Đồng Nai</t>
        </is>
      </c>
      <c r="G5821" t="inlineStr">
        <is>
          <t>Nhân viên</t>
        </is>
      </c>
      <c r="H5821" t="inlineStr">
        <is>
          <t>02/03/2026</t>
        </is>
      </c>
      <c r="I5821" t="inlineStr">
        <is>
          <t>01/04/2026</t>
        </is>
      </c>
      <c r="J5821" t="inlineStr">
        <is>
          <t>17/03/2026</t>
        </is>
      </c>
      <c r="K5821" t="inlineStr">
        <is>
          <t>N/A</t>
        </is>
      </c>
      <c r="L5821" t="inlineStr">
        <is>
          <t>Lập Dự Toán Đầu Tư, Phân Tích Số Liệu, Quản Lý Công Nợ, Tiếng Anh, Tin Học Văn Phòng</t>
        </is>
      </c>
      <c r="M5821" t="inlineStr">
        <is>
          <t>Bonus, Healthcare Plan, Training, Travel Opportunities</t>
        </is>
      </c>
      <c r="N5821" s="8">
        <f>HYPERLINK("https://www.vietnamworks.com/nhan-vien-ke-toan-djau-tu-xay-dung-co-ban-2016570-jv","Xem chi tiết")</f>
        <v/>
      </c>
    </row>
    <row r="5822">
      <c r="B5822" s="9" t="n">
        <v>5820</v>
      </c>
      <c r="C5822" s="10" t="inlineStr">
        <is>
          <t>Nhân Viên Kế Toán Tổng Hợp</t>
        </is>
      </c>
      <c r="D5822" s="10" t="inlineStr">
        <is>
          <t>Công Ty Cổ Phần ICD Tân Cảng Long Bình</t>
        </is>
      </c>
      <c r="E5822" s="10" t="inlineStr">
        <is>
          <t>Thương lượng</t>
        </is>
      </c>
      <c r="F5822" s="10" t="inlineStr">
        <is>
          <t>Đồng Nai</t>
        </is>
      </c>
      <c r="G5822" s="10" t="inlineStr">
        <is>
          <t>Nhân viên</t>
        </is>
      </c>
      <c r="H5822" s="10" t="inlineStr">
        <is>
          <t>02/03/2026</t>
        </is>
      </c>
      <c r="I5822" s="10" t="inlineStr">
        <is>
          <t>01/04/2026</t>
        </is>
      </c>
      <c r="J5822" s="10" t="inlineStr">
        <is>
          <t>17/03/2026</t>
        </is>
      </c>
      <c r="K5822" s="10" t="inlineStr">
        <is>
          <t>N/A</t>
        </is>
      </c>
      <c r="L5822" s="10" t="inlineStr">
        <is>
          <t>Kế Toán Tổng Hợp, Phân Tích Số Liệu, Đọc Tiếng Anh, Hạch Toán Doanh Thu, Tài Chính Kế Toán</t>
        </is>
      </c>
      <c r="M5822" s="10" t="inlineStr">
        <is>
          <t>Bonus, Healthcare Plan, Training, Travel Opportunities</t>
        </is>
      </c>
      <c r="N5822" s="11">
        <f>HYPERLINK("https://www.vietnamworks.com/nhan-vien-ke-toan-tong-hop-2016571-jv","Xem chi tiết")</f>
        <v/>
      </c>
      <c r="O5822" s="10" t="n"/>
    </row>
    <row r="5823">
      <c r="B5823" s="7" t="n">
        <v>5821</v>
      </c>
      <c r="C5823" t="inlineStr">
        <is>
          <t>Thợ Rập (Pattern Maker)</t>
        </is>
      </c>
      <c r="D5823" t="inlineStr">
        <is>
          <t>Shilla Bags International</t>
        </is>
      </c>
      <c r="E5823" t="inlineStr">
        <is>
          <t>Thương lượng</t>
        </is>
      </c>
      <c r="F5823" t="inlineStr">
        <is>
          <t>Hồ Chí Minh, Long An, Tây Ninh</t>
        </is>
      </c>
      <c r="G5823" t="inlineStr">
        <is>
          <t>Nhân viên</t>
        </is>
      </c>
      <c r="H5823" t="inlineStr">
        <is>
          <t>02/03/2026</t>
        </is>
      </c>
      <c r="I5823" t="inlineStr">
        <is>
          <t>01/04/2026</t>
        </is>
      </c>
      <c r="J5823" t="inlineStr">
        <is>
          <t>17/03/2026</t>
        </is>
      </c>
      <c r="K5823" t="inlineStr">
        <is>
          <t>N/A</t>
        </is>
      </c>
      <c r="L5823" t="inlineStr">
        <is>
          <t>Rập Mẫu, Pattern Design Management, Pattern Design, 3D Design, Modaris Software</t>
        </is>
      </c>
      <c r="M5823" t="inlineStr">
        <is>
          <t>Bonus, Healthcare Plan, Transportation</t>
        </is>
      </c>
      <c r="N5823" s="8">
        <f>HYPERLINK("https://www.vietnamworks.com/tho-rap-pattern-maker--2016587-jv","Xem chi tiết")</f>
        <v/>
      </c>
    </row>
    <row r="5824">
      <c r="B5824" s="9" t="n">
        <v>5822</v>
      </c>
      <c r="C5824" s="10" t="inlineStr">
        <is>
          <t>Nhân Viên Marketing - Chăm Sóc Khách Hàng (01 Tiếng Trung/ 01 Tiếng Nhật)</t>
        </is>
      </c>
      <c r="D5824" s="10" t="inlineStr">
        <is>
          <t>VSIP Nam Định</t>
        </is>
      </c>
      <c r="E5824" s="10" t="inlineStr">
        <is>
          <t>Thương lượng</t>
        </is>
      </c>
      <c r="F5824" s="10" t="inlineStr">
        <is>
          <t>Nam Định</t>
        </is>
      </c>
      <c r="G5824" s="10" t="inlineStr">
        <is>
          <t>Nhân viên</t>
        </is>
      </c>
      <c r="H5824" s="10" t="inlineStr">
        <is>
          <t>02/03/2026</t>
        </is>
      </c>
      <c r="I5824" s="10" t="inlineStr">
        <is>
          <t>01/04/2026</t>
        </is>
      </c>
      <c r="J5824" s="10" t="inlineStr">
        <is>
          <t>17/03/2026</t>
        </is>
      </c>
      <c r="K5824" s="10" t="inlineStr">
        <is>
          <t>N/A</t>
        </is>
      </c>
      <c r="L5824" s="10" t="inlineStr">
        <is>
          <t>Customer Care, Marketing Development, Tiếng Nhật, Tiếng Trung, Tìm Kiếm Khách Hàng</t>
        </is>
      </c>
      <c r="M5824" s="10" t="inlineStr">
        <is>
          <t>Bonus, Healthcare Plan, Paid Leave, Team Activities, Others</t>
        </is>
      </c>
      <c r="N5824" s="11">
        <f>HYPERLINK("https://www.vietnamworks.com/nhan-vien-marketing-cham-soc-khach-hang-01-tieng-trung-01-tieng-nhat-2016576-jv","Xem chi tiết")</f>
        <v/>
      </c>
      <c r="O5824" s="10" t="n"/>
    </row>
    <row r="5825">
      <c r="B5825" s="7" t="n">
        <v>5823</v>
      </c>
      <c r="C5825" t="inlineStr">
        <is>
          <t>Trưởng Phòng Marketing Lĩnh Vực Thời Trang - Thu Nhập Upto 50Tr</t>
        </is>
      </c>
      <c r="D5825" t="inlineStr">
        <is>
          <t>Công ty Cổ phần Thương mại JDD Việt Nam</t>
        </is>
      </c>
      <c r="E5825" t="inlineStr">
        <is>
          <t>35tr-50tr ₫/tháng</t>
        </is>
      </c>
      <c r="F5825" t="inlineStr">
        <is>
          <t>Hà Nội</t>
        </is>
      </c>
      <c r="G5825" t="inlineStr">
        <is>
          <t>Trưởng phòng</t>
        </is>
      </c>
      <c r="H5825" t="inlineStr">
        <is>
          <t>02/03/2026</t>
        </is>
      </c>
      <c r="I5825" t="inlineStr">
        <is>
          <t>01/04/2026</t>
        </is>
      </c>
      <c r="J5825" t="inlineStr">
        <is>
          <t>17/03/2026</t>
        </is>
      </c>
      <c r="K5825" t="inlineStr">
        <is>
          <t>N/A</t>
        </is>
      </c>
      <c r="L5825" t="inlineStr">
        <is>
          <t>Marketing Strategy Development, Digital Marketing Tools, Fashion Industry Experience, Brand Building, Event Organizing</t>
        </is>
      </c>
      <c r="M5825" t="inlineStr">
        <is>
          <t>Bonus, Healthcare Plan, Travel Opportunities, Team Activities, Vouchers, Others</t>
        </is>
      </c>
      <c r="N5825" s="8">
        <f>HYPERLINK("https://www.vietnamworks.com/truong-phong-marketing-linh-vuc-thoi-trang-thu-nhap-upto-50tr-2016575-jv","Xem chi tiết")</f>
        <v/>
      </c>
    </row>
    <row r="5826">
      <c r="B5826" s="9" t="n">
        <v>5824</v>
      </c>
      <c r="C5826" s="10" t="inlineStr">
        <is>
          <t>Chuyên Viên Tư Vấn Tuyển Sinh</t>
        </is>
      </c>
      <c r="D5826" s="10" t="inlineStr">
        <is>
          <t>Công Ty Phát Triển Công Nghệ Giáo Dục Việt Nam (Enspire)</t>
        </is>
      </c>
      <c r="E5826" s="10" t="inlineStr">
        <is>
          <t>Thương lượng</t>
        </is>
      </c>
      <c r="F5826" s="10" t="inlineStr">
        <is>
          <t>Hà Nội</t>
        </is>
      </c>
      <c r="G5826" s="10" t="inlineStr">
        <is>
          <t>Nhân viên</t>
        </is>
      </c>
      <c r="H5826" s="10" t="inlineStr">
        <is>
          <t>02/03/2026</t>
        </is>
      </c>
      <c r="I5826" s="10" t="inlineStr">
        <is>
          <t>01/04/2026</t>
        </is>
      </c>
      <c r="J5826" s="10" t="inlineStr">
        <is>
          <t>17/03/2026</t>
        </is>
      </c>
      <c r="K5826" s="10" t="inlineStr">
        <is>
          <t>N/A</t>
        </is>
      </c>
      <c r="L5826" s="10" t="inlineStr">
        <is>
          <t>Tư Vấn Tuyển Sinh, Tư Vấn, Giáo Dục, Chăm Sóc Khách Hàng, Bán Hàng</t>
        </is>
      </c>
      <c r="M5826" s="10" t="inlineStr">
        <is>
          <t>Bonus, Healthcare Plan, Paid Leave</t>
        </is>
      </c>
      <c r="N5826" s="11">
        <f>HYPERLINK("https://www.vietnamworks.com/chuyen-vien-tu-van-tuyen-sinh--2016577-jv","Xem chi tiết")</f>
        <v/>
      </c>
      <c r="O5826" s="10" t="n"/>
    </row>
    <row r="5827">
      <c r="B5827" s="7" t="n">
        <v>5825</v>
      </c>
      <c r="C5827" t="inlineStr">
        <is>
          <t>[ Hot Job ] Trưởng Phòng Mua Hàng (Biên Chế Tại Công Ty TNHH Luyện Kim Trần Hồng Quân)</t>
        </is>
      </c>
      <c r="D5827" t="inlineStr">
        <is>
          <t>Trần Hồng Quân Holdings</t>
        </is>
      </c>
      <c r="E5827" t="inlineStr">
        <is>
          <t>Thương lượng</t>
        </is>
      </c>
      <c r="F5827" t="inlineStr">
        <is>
          <t>Lâm Đồng, Bình Dương, Hà Nội</t>
        </is>
      </c>
      <c r="G5827" t="inlineStr">
        <is>
          <t>Nhân viên</t>
        </is>
      </c>
      <c r="H5827" t="inlineStr">
        <is>
          <t>02/03/2026</t>
        </is>
      </c>
      <c r="I5827" t="inlineStr">
        <is>
          <t>01/04/2026</t>
        </is>
      </c>
      <c r="J5827" t="inlineStr">
        <is>
          <t>17/03/2026</t>
        </is>
      </c>
      <c r="K5827" t="inlineStr">
        <is>
          <t>N/A</t>
        </is>
      </c>
      <c r="L5827" t="inlineStr">
        <is>
          <t>Mua Hàng Kỹ Thuật, Mua Sắm Vật Tư, Thiết Bị Công Nghiệp, Incoterms, International Trade</t>
        </is>
      </c>
      <c r="M5827" t="inlineStr">
        <is>
          <t>Bonus, Healthcare Plan, Laptop, Team Activities, Canteen, Others</t>
        </is>
      </c>
      <c r="N5827" s="8">
        <f>HYPERLINK("https://www.vietnamworks.com/hot-job-truong-phong-mua-hang-bien-che-tai-cong-ty-tnhh-luyen-kim-tran-hong-quan-2016585-jv","Xem chi tiết")</f>
        <v/>
      </c>
    </row>
    <row r="5828">
      <c r="B5828" s="9" t="n">
        <v>5826</v>
      </c>
      <c r="C5828" s="10" t="inlineStr">
        <is>
          <t>Trưởng/ Phó Phòng Hành Chính Nhân Sự (Nam Định hoặc Quảng Ninh)</t>
        </is>
      </c>
      <c r="D5828" s="10" t="inlineStr">
        <is>
          <t>VSIP Nam Định</t>
        </is>
      </c>
      <c r="E5828" s="10" t="inlineStr">
        <is>
          <t>Thương lượng</t>
        </is>
      </c>
      <c r="F5828" s="10" t="inlineStr">
        <is>
          <t>Nam Định, Quảng Ninh</t>
        </is>
      </c>
      <c r="G5828" s="10" t="inlineStr">
        <is>
          <t>Trưởng phòng</t>
        </is>
      </c>
      <c r="H5828" s="10" t="inlineStr">
        <is>
          <t>02/03/2026</t>
        </is>
      </c>
      <c r="I5828" s="10" t="inlineStr">
        <is>
          <t>01/04/2026</t>
        </is>
      </c>
      <c r="J5828" s="10" t="inlineStr">
        <is>
          <t>17/03/2026</t>
        </is>
      </c>
      <c r="K5828" s="10" t="inlineStr">
        <is>
          <t>N/A</t>
        </is>
      </c>
      <c r="L5828" s="10" t="inlineStr">
        <is>
          <t>Hành Chính Nhân Sự, HR Management, Quản Trị Nhân Sự, Tuyển Dụng, Đào Tạo</t>
        </is>
      </c>
      <c r="M5828" s="10" t="inlineStr">
        <is>
          <t>Bonus, Healthcare Plan, Paid Leave, Awards, Team Activities</t>
        </is>
      </c>
      <c r="N5828" s="11">
        <f>HYPERLINK("https://www.vietnamworks.com/truong-pho-phong-hanh-chinh-nhan-su-nam-dinh-hoac-quang-ninh-2016573-jv","Xem chi tiết")</f>
        <v/>
      </c>
      <c r="O5828" s="10" t="n"/>
    </row>
    <row r="5829">
      <c r="B5829" s="7" t="n">
        <v>5827</v>
      </c>
      <c r="C5829" t="inlineStr">
        <is>
          <t>Power Distribution Expert (Electrical Field)</t>
        </is>
      </c>
      <c r="D5829" t="inlineStr">
        <is>
          <t>Schneider Electric Vietnam Limited</t>
        </is>
      </c>
      <c r="E5829" t="inlineStr">
        <is>
          <t>Thương lượng</t>
        </is>
      </c>
      <c r="F5829" t="inlineStr">
        <is>
          <t>Hồ Chí Minh, Hà Nội</t>
        </is>
      </c>
      <c r="G5829" t="inlineStr">
        <is>
          <t>Nhân viên</t>
        </is>
      </c>
      <c r="H5829" t="inlineStr">
        <is>
          <t>02/03/2026</t>
        </is>
      </c>
      <c r="I5829" t="inlineStr">
        <is>
          <t>01/04/2026</t>
        </is>
      </c>
      <c r="J5829" t="inlineStr">
        <is>
          <t>17/03/2026</t>
        </is>
      </c>
      <c r="K5829" t="inlineStr">
        <is>
          <t>N/A</t>
        </is>
      </c>
      <c r="L5829" t="inlineStr">
        <is>
          <t>Electrical, Electrical Power System, Engineering, Consultant, Solution Architecture</t>
        </is>
      </c>
      <c r="M5829" t="inlineStr">
        <is>
          <t>Bonus, Healthcare Plan, Paid Leave</t>
        </is>
      </c>
      <c r="N5829" s="8">
        <f>HYPERLINK("https://www.vietnamworks.com/power-distribution-expert-electrical-field-2016574-jv","Xem chi tiết")</f>
        <v/>
      </c>
    </row>
    <row r="5830">
      <c r="B5830" s="9" t="n">
        <v>5828</v>
      </c>
      <c r="C5830" s="10" t="inlineStr">
        <is>
          <t>Kỹ Sư Thiết Kế (Dân Dụng &amp; Công Nghiệp) - Lương Lên Đến 22 Triệu</t>
        </is>
      </c>
      <c r="D5830" s="10" t="inlineStr">
        <is>
          <t>Công Ty CP Đầu Tư Xây Dựng và Thương Mại Kiến Hưng</t>
        </is>
      </c>
      <c r="E5830" s="10" t="inlineStr">
        <is>
          <t>16tr-22tr ₫/tháng</t>
        </is>
      </c>
      <c r="F5830" s="10" t="inlineStr">
        <is>
          <t>Thanh Hóa, Hà Nội</t>
        </is>
      </c>
      <c r="G5830" s="10" t="inlineStr">
        <is>
          <t>Nhân viên</t>
        </is>
      </c>
      <c r="H5830" s="10" t="inlineStr">
        <is>
          <t>02/03/2026</t>
        </is>
      </c>
      <c r="I5830" s="10" t="inlineStr">
        <is>
          <t>01/04/2026</t>
        </is>
      </c>
      <c r="J5830" s="10" t="inlineStr">
        <is>
          <t>17/03/2026</t>
        </is>
      </c>
      <c r="K5830" s="10" t="inlineStr">
        <is>
          <t>N/A</t>
        </is>
      </c>
      <c r="L5830" s="10" t="inlineStr">
        <is>
          <t>Quản Lý Thiết Kế, Thiết Kế Dự Án, Thiết Kế Xây Dựng, Xây Dựng Công Nghiệp, Xây Dựng Dân Dụng</t>
        </is>
      </c>
      <c r="M5830" s="10" t="inlineStr">
        <is>
          <t>Bonus, Paid Leave, Travel Opportunities, Others</t>
        </is>
      </c>
      <c r="N5830" s="11">
        <f>HYPERLINK("https://www.vietnamworks.com/ky-su-thiet-ke-dan-dung-cong-nghiep-luong-len-den-22-trieu-2016578-jv","Xem chi tiết")</f>
        <v/>
      </c>
      <c r="O5830" s="10" t="n"/>
    </row>
    <row r="5831">
      <c r="B5831" s="7" t="n">
        <v>5829</v>
      </c>
      <c r="C5831" t="inlineStr">
        <is>
          <t>Phó Phòng Xây Dựng và Phát Triển Dự Án (01 Nam Định, 01 Thái Bình)</t>
        </is>
      </c>
      <c r="D5831" t="inlineStr">
        <is>
          <t>VSIP Nam Định</t>
        </is>
      </c>
      <c r="E5831" t="inlineStr">
        <is>
          <t>Thương lượng</t>
        </is>
      </c>
      <c r="F5831" t="inlineStr">
        <is>
          <t>Thái Bình, Nam Định</t>
        </is>
      </c>
      <c r="G5831" t="inlineStr">
        <is>
          <t>Trưởng phòng</t>
        </is>
      </c>
      <c r="H5831" t="inlineStr">
        <is>
          <t>02/03/2026</t>
        </is>
      </c>
      <c r="I5831" t="inlineStr">
        <is>
          <t>01/04/2026</t>
        </is>
      </c>
      <c r="J5831" t="inlineStr">
        <is>
          <t>17/03/2026</t>
        </is>
      </c>
      <c r="K5831" t="inlineStr">
        <is>
          <t>N/A</t>
        </is>
      </c>
      <c r="L5831" t="inlineStr">
        <is>
          <t>Pháp Lý Dự Án Đầu Tư, Quản Lý Dự Án, Quản Lý Đội Ngũ, Triển Khai Dự Án, Điều Phối Dự Án</t>
        </is>
      </c>
      <c r="M5831" t="inlineStr">
        <is>
          <t>Bonus, Healthcare Plan, Paid Leave, Team Activities, Others</t>
        </is>
      </c>
      <c r="N5831" s="8">
        <f>HYPERLINK("https://www.vietnamworks.com/pho-phong-xay-dung-va-phat-trien-du-an-01-nam-djinh-01-thai-binh-2016572-jv","Xem chi tiết")</f>
        <v/>
      </c>
    </row>
    <row r="5832">
      <c r="B5832" s="9" t="n">
        <v>5830</v>
      </c>
      <c r="C5832" s="10" t="inlineStr">
        <is>
          <t>Brand Manager (Quản Lý Thương Hiệu) - Bae Beauty</t>
        </is>
      </c>
      <c r="D5832" s="10" t="inlineStr">
        <is>
          <t>KIMM GROUP</t>
        </is>
      </c>
      <c r="E5832" s="10" t="inlineStr">
        <is>
          <t>18tr-27tr ₫/tháng</t>
        </is>
      </c>
      <c r="F5832" s="10" t="inlineStr">
        <is>
          <t>Hồ Chí Minh</t>
        </is>
      </c>
      <c r="G5832" s="10" t="inlineStr">
        <is>
          <t>Trưởng phòng</t>
        </is>
      </c>
      <c r="H5832" s="10" t="inlineStr">
        <is>
          <t>02/03/2026</t>
        </is>
      </c>
      <c r="I5832" s="10" t="inlineStr">
        <is>
          <t>01/04/2026</t>
        </is>
      </c>
      <c r="J5832" s="10" t="inlineStr">
        <is>
          <t>17/03/2026</t>
        </is>
      </c>
      <c r="K5832" s="10" t="inlineStr">
        <is>
          <t>N/A</t>
        </is>
      </c>
      <c r="L5832" s="10" t="inlineStr">
        <is>
          <t>Brand Management, Truyền Thông Thương Hiệu, Branding Marketing, KOL/KOC Management, Marketing Strategy</t>
        </is>
      </c>
      <c r="M5832" s="10" t="inlineStr">
        <is>
          <t>Bonus, Healthcare Plan, Paid Leave, Training, Team Activities, Others</t>
        </is>
      </c>
      <c r="N5832" s="11">
        <f>HYPERLINK("https://www.vietnamworks.com/brand-manager-quan-ly-thuong-hieu-bae-beauty-2016589-jv","Xem chi tiết")</f>
        <v/>
      </c>
      <c r="O5832" s="10" t="n"/>
    </row>
    <row r="5833">
      <c r="B5833" s="7" t="n">
        <v>5831</v>
      </c>
      <c r="C5833" t="inlineStr">
        <is>
          <t>Nhân Viên Y Tế Thời Vụ 6 Tháng</t>
        </is>
      </c>
      <c r="D5833" t="inlineStr">
        <is>
          <t>Công Ty TNHH Tds Việt Nam</t>
        </is>
      </c>
      <c r="E5833" t="inlineStr">
        <is>
          <t>Thương lượng</t>
        </is>
      </c>
      <c r="F5833" t="inlineStr">
        <is>
          <t>Hà Nam, Hà Nội, Hưng Yên</t>
        </is>
      </c>
      <c r="G5833" t="inlineStr">
        <is>
          <t>Nhân viên</t>
        </is>
      </c>
      <c r="H5833" t="inlineStr">
        <is>
          <t>02/03/2026</t>
        </is>
      </c>
      <c r="I5833" t="inlineStr">
        <is>
          <t>01/04/2026</t>
        </is>
      </c>
      <c r="J5833" t="inlineStr">
        <is>
          <t>17/03/2026</t>
        </is>
      </c>
      <c r="K5833" t="inlineStr">
        <is>
          <t>N/A</t>
        </is>
      </c>
      <c r="L5833" t="inlineStr">
        <is>
          <t>Y Tế, Y Tế Văn Phòng, Sơ Cấp Cứu, Chăm Sóc Sức Khỏe, Cấp Phát Thuốc</t>
        </is>
      </c>
      <c r="M5833" t="inlineStr">
        <is>
          <t>Bonus, Healthcare Plan, Transportation</t>
        </is>
      </c>
      <c r="N5833" s="8">
        <f>HYPERLINK("https://www.vietnamworks.com/nhan-vien-y-te-thoi-vu-6-thang-2016588-jv","Xem chi tiết")</f>
        <v/>
      </c>
    </row>
    <row r="5834">
      <c r="B5834" s="9" t="n">
        <v>5832</v>
      </c>
      <c r="C5834" s="10" t="inlineStr">
        <is>
          <t>Nhân Viên Sale Overseas</t>
        </is>
      </c>
      <c r="D5834" s="10" t="inlineStr">
        <is>
          <t>Công Ty Cổ Phần Vận Tải Ao Shipping</t>
        </is>
      </c>
      <c r="E5834" s="10" t="inlineStr">
        <is>
          <t>7tr-15tr ₫/tháng</t>
        </is>
      </c>
      <c r="F5834" s="10" t="inlineStr">
        <is>
          <t>Hồ Chí Minh</t>
        </is>
      </c>
      <c r="G5834" s="10" t="inlineStr">
        <is>
          <t>Mới Tốt Nghiệp</t>
        </is>
      </c>
      <c r="H5834" s="10" t="inlineStr">
        <is>
          <t>02/03/2026</t>
        </is>
      </c>
      <c r="I5834" s="10" t="inlineStr">
        <is>
          <t>01/04/2026</t>
        </is>
      </c>
      <c r="J5834" s="10" t="inlineStr">
        <is>
          <t>17/03/2026</t>
        </is>
      </c>
      <c r="K5834" s="10" t="inlineStr">
        <is>
          <t>N/A</t>
        </is>
      </c>
      <c r="L5834" s="10" t="inlineStr">
        <is>
          <t>Thương Mại, Luật Xuất Nhập Khẩu, Kinh Doanh Quốc Tế, Logistics, Xuất Nhập Khẩu</t>
        </is>
      </c>
      <c r="M5834" s="10" t="inlineStr">
        <is>
          <t>Bonus, Healthcare Plan, Paid Leave, Training, Travel Opportunities</t>
        </is>
      </c>
      <c r="N5834" s="11">
        <f>HYPERLINK("https://www.vietnamworks.com/nhan-vien-sale-overseas-2016592-jv","Xem chi tiết")</f>
        <v/>
      </c>
      <c r="O5834" s="10" t="n"/>
    </row>
    <row r="5835">
      <c r="B5835" s="7" t="n">
        <v>5833</v>
      </c>
      <c r="C5835" t="inlineStr">
        <is>
          <t>[ Hot Job ] Quản Lý Miền/ RSM</t>
        </is>
      </c>
      <c r="D5835" t="inlineStr">
        <is>
          <t>Công tyTNHH PGCO</t>
        </is>
      </c>
      <c r="E5835" t="inlineStr">
        <is>
          <t>3,000-6,300 ₫/tháng</t>
        </is>
      </c>
      <c r="F5835" t="inlineStr">
        <is>
          <t>Lào Cai, Tuyên Quang, Hòa Bình</t>
        </is>
      </c>
      <c r="G5835" t="inlineStr">
        <is>
          <t>Trưởng phòng</t>
        </is>
      </c>
      <c r="H5835" t="inlineStr">
        <is>
          <t>02/03/2026</t>
        </is>
      </c>
      <c r="I5835" t="inlineStr">
        <is>
          <t>01/04/2026</t>
        </is>
      </c>
      <c r="J5835" t="inlineStr">
        <is>
          <t>17/03/2026</t>
        </is>
      </c>
      <c r="K5835" t="inlineStr">
        <is>
          <t>N/A</t>
        </is>
      </c>
      <c r="L5835" t="inlineStr">
        <is>
          <t>Hàng Tiêu Dùng, Bán hàng, Quản Lý, Kinh Doanh, Trade Marketing</t>
        </is>
      </c>
      <c r="M5835" t="inlineStr">
        <is>
          <t>Bonus, Healthcare Plan, Training</t>
        </is>
      </c>
      <c r="N5835" s="8">
        <f>HYPERLINK("https://www.vietnamworks.com/hot-job-quan-ly-mien-rsm--2016591-jv","Xem chi tiết")</f>
        <v/>
      </c>
    </row>
    <row r="5836">
      <c r="B5836" s="9" t="n">
        <v>5834</v>
      </c>
      <c r="C5836" s="10" t="inlineStr">
        <is>
          <t>Chuyên Viên Thiết Kế Cơ Khí</t>
        </is>
      </c>
      <c r="D5836" s="10" t="inlineStr">
        <is>
          <t>CÔNG TY CỔ PHẦN ĐIỆN MÁY GIA DỤNG HOÀ PHÁT HÀ NAM</t>
        </is>
      </c>
      <c r="E5836" s="10" t="inlineStr">
        <is>
          <t>$$ 600-1,500 /tháng</t>
        </is>
      </c>
      <c r="F5836" s="10" t="inlineStr">
        <is>
          <t>Hà Nội</t>
        </is>
      </c>
      <c r="G5836" s="10" t="inlineStr">
        <is>
          <t>Nhân viên</t>
        </is>
      </c>
      <c r="H5836" s="10" t="inlineStr">
        <is>
          <t>02/03/2026</t>
        </is>
      </c>
      <c r="I5836" s="10" t="inlineStr">
        <is>
          <t>01/04/2026</t>
        </is>
      </c>
      <c r="J5836" s="10" t="inlineStr">
        <is>
          <t>17/03/2026</t>
        </is>
      </c>
      <c r="K5836" s="10" t="inlineStr">
        <is>
          <t>N/A</t>
        </is>
      </c>
      <c r="L5836" s="10" t="inlineStr">
        <is>
          <t>Chịu Trách Nhiệm, Làm Việc Nhóm, Nhiệt tình, Thiết Kế Kỹ Thuật, Tư Duy Logic</t>
        </is>
      </c>
      <c r="M5836" s="10" t="inlineStr">
        <is>
          <t>Bonus, Travel Opportunities, Others</t>
        </is>
      </c>
      <c r="N5836" s="11">
        <f>HYPERLINK("https://www.vietnamworks.com/chuyen-vien-thiet-ke-co-khi-2016590-jv","Xem chi tiết")</f>
        <v/>
      </c>
      <c r="O5836" s="10" t="n"/>
    </row>
    <row r="5837">
      <c r="B5837" s="7" t="n">
        <v>5835</v>
      </c>
      <c r="C5837" t="inlineStr">
        <is>
          <t>Nhân Viên Operations (Booking) - Forwarder</t>
        </is>
      </c>
      <c r="D5837" t="inlineStr">
        <is>
          <t>Công Ty TNHH Century Distribution Systems (Việt Nam)</t>
        </is>
      </c>
      <c r="E5837" t="inlineStr">
        <is>
          <t>Thương lượng</t>
        </is>
      </c>
      <c r="F5837" t="inlineStr">
        <is>
          <t>Hồ Chí Minh</t>
        </is>
      </c>
      <c r="G5837" t="inlineStr">
        <is>
          <t>Nhân viên</t>
        </is>
      </c>
      <c r="H5837" t="inlineStr">
        <is>
          <t>02/03/2026</t>
        </is>
      </c>
      <c r="I5837" t="inlineStr">
        <is>
          <t>01/04/2026</t>
        </is>
      </c>
      <c r="J5837" t="inlineStr">
        <is>
          <t>17/03/2026</t>
        </is>
      </c>
      <c r="K5837" t="inlineStr">
        <is>
          <t>N/A</t>
        </is>
      </c>
      <c r="L5837" t="inlineStr">
        <is>
          <t>Booking Management, International Trade, Freight Forwarder, SOP, Logistics Management</t>
        </is>
      </c>
      <c r="M5837" t="inlineStr">
        <is>
          <t>Bonus, Healthcare Plan, Paid Leave, Team Activities, Others</t>
        </is>
      </c>
      <c r="N5837" s="8">
        <f>HYPERLINK("https://www.vietnamworks.com/nhan-vien-operations-booking-forwarder-2016596-jv","Xem chi tiết")</f>
        <v/>
      </c>
    </row>
    <row r="5838">
      <c r="B5838" s="9" t="n">
        <v>5836</v>
      </c>
      <c r="C5838" s="10" t="inlineStr">
        <is>
          <t>Associate</t>
        </is>
      </c>
      <c r="D5838" s="10" t="inlineStr">
        <is>
          <t>DN Legal</t>
        </is>
      </c>
      <c r="E5838" s="10" t="inlineStr">
        <is>
          <t>Thương lượng</t>
        </is>
      </c>
      <c r="F5838" s="10" t="inlineStr">
        <is>
          <t>Hồ Chí Minh</t>
        </is>
      </c>
      <c r="G5838" s="10" t="inlineStr">
        <is>
          <t>Nhân viên</t>
        </is>
      </c>
      <c r="H5838" s="10" t="inlineStr">
        <is>
          <t>02/03/2026</t>
        </is>
      </c>
      <c r="I5838" s="10" t="inlineStr">
        <is>
          <t>01/04/2026</t>
        </is>
      </c>
      <c r="J5838" s="10" t="inlineStr">
        <is>
          <t>17/03/2026</t>
        </is>
      </c>
      <c r="K5838" s="10" t="inlineStr">
        <is>
          <t>N/A</t>
        </is>
      </c>
      <c r="L5838" s="10" t="inlineStr">
        <is>
          <t>Legal Service, Client Relationship, Legal Research, Law, Lawyer’S Practicing Certificate</t>
        </is>
      </c>
      <c r="M5838" s="10" t="inlineStr">
        <is>
          <t>Bonus, Healthcare Plan, Paid Leave</t>
        </is>
      </c>
      <c r="N5838" s="11">
        <f>HYPERLINK("https://www.vietnamworks.com/associate-2016595-jv","Xem chi tiết")</f>
        <v/>
      </c>
      <c r="O5838" s="10" t="n"/>
    </row>
    <row r="5839">
      <c r="B5839" s="7" t="n">
        <v>5837</v>
      </c>
      <c r="C5839" t="inlineStr">
        <is>
          <t>Kỹ Sư Giám Sát Điện</t>
        </is>
      </c>
      <c r="D5839" t="inlineStr">
        <is>
          <t>Công Ty Cổ Phần Tư Vấn Đầu Tư Thiên Phú Gia</t>
        </is>
      </c>
      <c r="E5839" t="inlineStr">
        <is>
          <t>Thương lượng</t>
        </is>
      </c>
      <c r="F5839" t="inlineStr">
        <is>
          <t>Hồ Chí Minh</t>
        </is>
      </c>
      <c r="G5839" t="inlineStr">
        <is>
          <t>Nhân viên</t>
        </is>
      </c>
      <c r="H5839" t="inlineStr">
        <is>
          <t>02/03/2026</t>
        </is>
      </c>
      <c r="I5839" t="inlineStr">
        <is>
          <t>01/04/2026</t>
        </is>
      </c>
      <c r="J5839" t="inlineStr">
        <is>
          <t>17/03/2026</t>
        </is>
      </c>
      <c r="K5839" t="inlineStr">
        <is>
          <t>N/A</t>
        </is>
      </c>
      <c r="L5839" t="inlineStr">
        <is>
          <t>Thi Công Điện Nhẹ, Giám Sát Thi Công, Cơ Điện, AutoCAD, Lắp Đặt Điện</t>
        </is>
      </c>
      <c r="M5839" t="inlineStr">
        <is>
          <t>Bonus, Healthcare Plan, Others</t>
        </is>
      </c>
      <c r="N5839" s="8">
        <f>HYPERLINK("https://www.vietnamworks.com/ky-su-giam-sat-dien--2016593-jv","Xem chi tiết")</f>
        <v/>
      </c>
    </row>
    <row r="5840">
      <c r="B5840" s="9" t="n">
        <v>5838</v>
      </c>
      <c r="C5840" s="10" t="inlineStr">
        <is>
          <t>Giám Sát Cấp Cao Phòng HCNS</t>
        </is>
      </c>
      <c r="D5840" s="10" t="inlineStr">
        <is>
          <t>Kaga Electronics (Viet Nam) Co.,Ltd</t>
        </is>
      </c>
      <c r="E5840" s="10" t="inlineStr">
        <is>
          <t>Thương lượng</t>
        </is>
      </c>
      <c r="F5840" s="10" t="inlineStr">
        <is>
          <t>Hưng Yên</t>
        </is>
      </c>
      <c r="G5840" s="10" t="inlineStr">
        <is>
          <t>Trưởng phòng</t>
        </is>
      </c>
      <c r="H5840" s="10" t="inlineStr">
        <is>
          <t>02/03/2026</t>
        </is>
      </c>
      <c r="I5840" s="10" t="inlineStr">
        <is>
          <t>01/04/2026</t>
        </is>
      </c>
      <c r="J5840" s="10" t="inlineStr">
        <is>
          <t>17/03/2026</t>
        </is>
      </c>
      <c r="K5840" s="10" t="inlineStr">
        <is>
          <t>N/A</t>
        </is>
      </c>
      <c r="L5840" s="10" t="inlineStr">
        <is>
          <t>Quản Trị Nhân Sự, Luật Bảo Hiểm, Kê Khai Thuế, Quản Lý Hành Chính, Tiếng Nhật</t>
        </is>
      </c>
      <c r="M5840" s="10" t="inlineStr">
        <is>
          <t>Bonus, Healthcare Plan, Training, Canteen, Others</t>
        </is>
      </c>
      <c r="N5840" s="11">
        <f>HYPERLINK("https://www.vietnamworks.com/giam-sat-cap-cao-phong-hcns-2016599-jv","Xem chi tiết")</f>
        <v/>
      </c>
      <c r="O5840" s="10" t="n"/>
    </row>
    <row r="5841">
      <c r="B5841" s="7" t="n">
        <v>5839</v>
      </c>
      <c r="C5841" t="inlineStr">
        <is>
          <t>Nhân Viên Kế Toán Thanh Toán</t>
        </is>
      </c>
      <c r="D5841" t="inlineStr">
        <is>
          <t>Công Ty Cổ Phần ICD Tân Cảng Long Bình</t>
        </is>
      </c>
      <c r="E5841" t="inlineStr">
        <is>
          <t>Thương lượng</t>
        </is>
      </c>
      <c r="F5841" t="inlineStr">
        <is>
          <t>Đồng Nai</t>
        </is>
      </c>
      <c r="G5841" t="inlineStr">
        <is>
          <t>Nhân viên</t>
        </is>
      </c>
      <c r="H5841" t="inlineStr">
        <is>
          <t>02/03/2026</t>
        </is>
      </c>
      <c r="I5841" t="inlineStr">
        <is>
          <t>01/04/2026</t>
        </is>
      </c>
      <c r="J5841" t="inlineStr">
        <is>
          <t>17/03/2026</t>
        </is>
      </c>
      <c r="K5841" t="inlineStr">
        <is>
          <t>N/A</t>
        </is>
      </c>
      <c r="L5841" t="inlineStr">
        <is>
          <t>Giao Tiếp, Hạch Toán, Kế Toán Thuế Công Nợ, Phân Tích Số Liệu, Quản Lý Dòng Tiền</t>
        </is>
      </c>
      <c r="M5841" t="inlineStr">
        <is>
          <t>Bonus, Healthcare Plan, Training, Travel Opportunities</t>
        </is>
      </c>
      <c r="N5841" s="8">
        <f>HYPERLINK("https://www.vietnamworks.com/nhan-vien-ke-toan-thanh-toan-2016597-jv","Xem chi tiết")</f>
        <v/>
      </c>
    </row>
    <row r="5842">
      <c r="B5842" s="9" t="n">
        <v>5840</v>
      </c>
      <c r="C5842" s="10" t="inlineStr">
        <is>
          <t>Cán Bộ Tư Vấn Khóa Học (Dành Cho Sinh Viên) (Tổng Thu Nhập 30 - 100 Triệu/tháng)</t>
        </is>
      </c>
      <c r="D5842" s="10" t="inlineStr">
        <is>
          <t>Công Ty Cổ Phần Giáo Dục American Study</t>
        </is>
      </c>
      <c r="E5842" s="10" t="inlineStr">
        <is>
          <t>30tr-100tr ₫/tháng</t>
        </is>
      </c>
      <c r="F5842" s="10" t="inlineStr">
        <is>
          <t>Hà Nội</t>
        </is>
      </c>
      <c r="G5842" s="10" t="inlineStr">
        <is>
          <t>Mới Tốt Nghiệp</t>
        </is>
      </c>
      <c r="H5842" s="10" t="inlineStr">
        <is>
          <t>02/03/2026</t>
        </is>
      </c>
      <c r="I5842" s="10" t="inlineStr">
        <is>
          <t>01/04/2026</t>
        </is>
      </c>
      <c r="J5842" s="10" t="inlineStr">
        <is>
          <t>17/03/2026</t>
        </is>
      </c>
      <c r="K5842" s="10" t="inlineStr">
        <is>
          <t>N/A</t>
        </is>
      </c>
      <c r="L5842" s="10" t="inlineStr">
        <is>
          <t>Tư Vấn Du Học, Tiếng Anh, Giáo dục, Giao Tiếp, Kinh Doanh</t>
        </is>
      </c>
      <c r="M5842" s="10" t="inlineStr">
        <is>
          <t>Bonus, Training, Travel Opportunities, Team Activities, Others</t>
        </is>
      </c>
      <c r="N5842" s="11">
        <f>HYPERLINK("https://www.vietnamworks.com/can-bo-tu-van-khoa-hoc-danh-cho-sinh-vien-tong-thu-nhap-30-100-trieu-thang-2016598-jv","Xem chi tiết")</f>
        <v/>
      </c>
      <c r="O5842" s="10" t="n"/>
    </row>
    <row r="5843">
      <c r="B5843" s="7" t="n">
        <v>5841</v>
      </c>
      <c r="C5843" t="inlineStr">
        <is>
          <t>Chuyên Viên/chuyên Viên Chính Kỹ Thuật Công Nghiệp</t>
        </is>
      </c>
      <c r="D5843" t="inlineStr">
        <is>
          <t>Tập Đoàn Công Nghiệp - Viễn Thông Quân Đội (Viettel Group)</t>
        </is>
      </c>
      <c r="E5843" t="inlineStr">
        <is>
          <t>$$ 800-2,000 /tháng</t>
        </is>
      </c>
      <c r="F5843" t="inlineStr">
        <is>
          <t>Hà Nội</t>
        </is>
      </c>
      <c r="G5843" t="inlineStr">
        <is>
          <t>Nhân viên</t>
        </is>
      </c>
      <c r="H5843" t="inlineStr">
        <is>
          <t>02/03/2026</t>
        </is>
      </c>
      <c r="I5843" t="inlineStr">
        <is>
          <t>01/04/2026</t>
        </is>
      </c>
      <c r="J5843" t="inlineStr">
        <is>
          <t>17/03/2026</t>
        </is>
      </c>
      <c r="K5843" t="inlineStr">
        <is>
          <t>N/A</t>
        </is>
      </c>
      <c r="L5843" t="inlineStr">
        <is>
          <t>Mechanical Engineering, Analytical Skills, Mechanical and Electrical, Automation, Mechatronics Engineering</t>
        </is>
      </c>
      <c r="M5843" t="inlineStr">
        <is>
          <t>Healthcare Plan, Paid Leave, Travel Opportunities</t>
        </is>
      </c>
      <c r="N5843" s="8">
        <f>HYPERLINK("https://www.vietnamworks.com/chuyen-vien-chuyen-vien-chinh-ky-thuat-cong-nghiep-2016600-jv","Xem chi tiết")</f>
        <v/>
      </c>
    </row>
    <row r="5844">
      <c r="B5844" s="9" t="n">
        <v>5842</v>
      </c>
      <c r="C5844" s="10" t="inlineStr">
        <is>
          <t>Fresh Graduates Welcome Color Engineer, Accountant, Purchasing Engineer, HSE Salary Up to 15M</t>
        </is>
      </c>
      <c r="D5844" s="10" t="inlineStr">
        <is>
          <t>CÔNG TY TNHH KINGFA SCIENCE &amp; TECHNOLOGY (VIETNAM)</t>
        </is>
      </c>
      <c r="E5844" s="10" t="inlineStr">
        <is>
          <t>10tr-15tr ₫/tháng</t>
        </is>
      </c>
      <c r="F5844" s="10" t="inlineStr">
        <is>
          <t>Đồng Nai</t>
        </is>
      </c>
      <c r="G5844" s="10" t="inlineStr">
        <is>
          <t>Mới Tốt Nghiệp</t>
        </is>
      </c>
      <c r="H5844" s="10" t="inlineStr">
        <is>
          <t>02/03/2026</t>
        </is>
      </c>
      <c r="I5844" s="10" t="inlineStr">
        <is>
          <t>01/04/2026</t>
        </is>
      </c>
      <c r="J5844" s="10" t="inlineStr">
        <is>
          <t>17/03/2026</t>
        </is>
      </c>
      <c r="K5844" s="10" t="inlineStr">
        <is>
          <t>N/A</t>
        </is>
      </c>
      <c r="L5844" s="10" t="inlineStr">
        <is>
          <t>Chemical Technology, Inorganic Chemistry, Material Quality, Polymer, Kỹ Thuật Hoá Học</t>
        </is>
      </c>
      <c r="M5844" s="10" t="inlineStr">
        <is>
          <t>Bonus, Healthcare Plan, Training, Laptop, Others</t>
        </is>
      </c>
      <c r="N5844" s="11">
        <f>HYPERLINK("https://www.vietnamworks.com/fresh-graduates-welcome-color-engineer-accountant-purchasing-engineer-hse-salary-up-to-15m-2016602-jv","Xem chi tiết")</f>
        <v/>
      </c>
      <c r="O5844" s="10" t="n"/>
    </row>
    <row r="5845">
      <c r="B5845" s="7" t="n">
        <v>5843</v>
      </c>
      <c r="C5845" t="inlineStr">
        <is>
          <t>Trưởng Phòng Marketing</t>
        </is>
      </c>
      <c r="D5845" t="inlineStr">
        <is>
          <t>Nhà Sách Tiến Thọ</t>
        </is>
      </c>
      <c r="E5845" t="inlineStr">
        <is>
          <t>Từ 30tr ₫/tháng</t>
        </is>
      </c>
      <c r="F5845" t="inlineStr">
        <is>
          <t>Hà Nội</t>
        </is>
      </c>
      <c r="G5845" t="inlineStr">
        <is>
          <t>Trưởng phòng</t>
        </is>
      </c>
      <c r="H5845" t="inlineStr">
        <is>
          <t>02/03/2026</t>
        </is>
      </c>
      <c r="I5845" t="inlineStr">
        <is>
          <t>01/04/2026</t>
        </is>
      </c>
      <c r="J5845" t="inlineStr">
        <is>
          <t>17/03/2026</t>
        </is>
      </c>
      <c r="K5845" t="inlineStr">
        <is>
          <t>N/A</t>
        </is>
      </c>
      <c r="L5845" t="inlineStr">
        <is>
          <t>Marketing Planning, Phân Tích Dữ Liệu, Phát Triển Kênh Phân Phối, Quản Trị Đội Ngũ, Tư Vấn Chiến Lược Marketing</t>
        </is>
      </c>
      <c r="M5845" t="inlineStr">
        <is>
          <t>Bonus, Healthcare Plan, Training, Team Activities, Others</t>
        </is>
      </c>
      <c r="N5845" s="8">
        <f>HYPERLINK("https://www.vietnamworks.com/truong-phong-marketing-2016609-jv","Xem chi tiết")</f>
        <v/>
      </c>
    </row>
    <row r="5846">
      <c r="B5846" s="9" t="n">
        <v>5844</v>
      </c>
      <c r="C5846" s="10" t="inlineStr">
        <is>
          <t>Nhân Viên Kinh Doanh Dự Án _ B2B</t>
        </is>
      </c>
      <c r="D5846" s="10" t="inlineStr">
        <is>
          <t>CÔNG TY CỔ PHẦN STPOWER</t>
        </is>
      </c>
      <c r="E5846" s="10" t="inlineStr">
        <is>
          <t>9tr-30tr ₫/tháng</t>
        </is>
      </c>
      <c r="F5846" s="10" t="inlineStr">
        <is>
          <t>Đà Nẵng</t>
        </is>
      </c>
      <c r="G5846" s="10" t="inlineStr">
        <is>
          <t>Nhân viên</t>
        </is>
      </c>
      <c r="H5846" s="10" t="inlineStr">
        <is>
          <t>02/03/2026</t>
        </is>
      </c>
      <c r="I5846" s="10" t="inlineStr">
        <is>
          <t>01/04/2026</t>
        </is>
      </c>
      <c r="J5846" s="10" t="inlineStr">
        <is>
          <t>17/03/2026</t>
        </is>
      </c>
      <c r="K5846" s="10" t="inlineStr">
        <is>
          <t>N/A</t>
        </is>
      </c>
      <c r="L5846" s="10" t="inlineStr">
        <is>
          <t>Kinh Doanh, Tìm Kiếm Khách Hàng, Điện, sale B2B, Chăm Sóc Khách Hàng</t>
        </is>
      </c>
      <c r="M5846" s="10" t="inlineStr">
        <is>
          <t>Bonus, Training, Others</t>
        </is>
      </c>
      <c r="N5846" s="11">
        <f>HYPERLINK("https://www.vietnamworks.com/nhan-vien-kinh-doanh-du-an-b2b--2016604-jv","Xem chi tiết")</f>
        <v/>
      </c>
      <c r="O5846" s="10" t="n"/>
    </row>
    <row r="5847">
      <c r="B5847" s="7" t="n">
        <v>5845</v>
      </c>
      <c r="C5847" t="inlineStr">
        <is>
          <t>Giám Đốc Ban Kế Hoạch</t>
        </is>
      </c>
      <c r="D5847" t="inlineStr">
        <is>
          <t>Công Ty Cổ Phần Phát Triển Bất Động Sản Văn Phú</t>
        </is>
      </c>
      <c r="E5847" t="inlineStr">
        <is>
          <t>Thương lượng</t>
        </is>
      </c>
      <c r="F5847" t="inlineStr">
        <is>
          <t>Hà Nội</t>
        </is>
      </c>
      <c r="G5847" t="inlineStr">
        <is>
          <t>Giám Đốc và Cấp Cao Hơn</t>
        </is>
      </c>
      <c r="H5847" t="inlineStr">
        <is>
          <t>02/03/2026</t>
        </is>
      </c>
      <c r="I5847" t="inlineStr">
        <is>
          <t>01/04/2026</t>
        </is>
      </c>
      <c r="J5847" t="inlineStr">
        <is>
          <t>17/03/2026</t>
        </is>
      </c>
      <c r="K5847" t="inlineStr">
        <is>
          <t>N/A</t>
        </is>
      </c>
      <c r="L5847" t="inlineStr">
        <is>
          <t>Quản Lý Dự Án, Tài Chính Bất Động Sản, Kế Hoạch Chiến Lược, Đầu Tư Bất Động Sản, KPI Management</t>
        </is>
      </c>
      <c r="M5847" t="inlineStr">
        <is>
          <t>Bonus, Paid Leave, Canteen</t>
        </is>
      </c>
      <c r="N5847" s="8">
        <f>HYPERLINK("https://www.vietnamworks.com/giam-doc-ban-ke-hoach--2016611-jv","Xem chi tiết")</f>
        <v/>
      </c>
    </row>
    <row r="5848">
      <c r="B5848" s="9" t="n">
        <v>5846</v>
      </c>
      <c r="C5848" s="10" t="inlineStr">
        <is>
          <t>Trưởng Phòng Tài Chính Kế Toán (Lương Hấp Dẫn) / Thu Nhập 35 Triệu VND</t>
        </is>
      </c>
      <c r="D5848" s="10" t="inlineStr">
        <is>
          <t>Công Ty TNHH Thương Mại Và Sản Xuất Đức Minh</t>
        </is>
      </c>
      <c r="E5848" s="10" t="inlineStr">
        <is>
          <t>25tr-35tr ₫/tháng</t>
        </is>
      </c>
      <c r="F5848" s="10" t="inlineStr">
        <is>
          <t>Hà Nội</t>
        </is>
      </c>
      <c r="G5848" s="10" t="inlineStr">
        <is>
          <t>Giám Đốc và Cấp Cao Hơn</t>
        </is>
      </c>
      <c r="H5848" s="10" t="inlineStr">
        <is>
          <t>02/03/2026</t>
        </is>
      </c>
      <c r="I5848" s="10" t="inlineStr">
        <is>
          <t>01/04/2026</t>
        </is>
      </c>
      <c r="J5848" s="10" t="inlineStr">
        <is>
          <t>17/03/2026</t>
        </is>
      </c>
      <c r="K5848" s="10" t="inlineStr">
        <is>
          <t>N/A</t>
        </is>
      </c>
      <c r="L5848" s="10" t="inlineStr">
        <is>
          <t>Quản Lý Chi Tiêu, Luật Tài Chính, Accouting, Kế toán &amp; Tài chính, Tài Chính</t>
        </is>
      </c>
      <c r="M5848" s="10" t="inlineStr">
        <is>
          <t>Bonus, Paid Leave, Canteen, Others</t>
        </is>
      </c>
      <c r="N5848" s="11">
        <f>HYPERLINK("https://www.vietnamworks.com/truong-phong-tai-chinh-ke-toan-luong-hap-dan-thu-nhap-35-trieu-vnd-2016601-jv","Xem chi tiết")</f>
        <v/>
      </c>
      <c r="O5848" s="10" t="n"/>
    </row>
    <row r="5849">
      <c r="B5849" s="7" t="n">
        <v>5847</v>
      </c>
      <c r="C5849" t="inlineStr">
        <is>
          <t>Trưởng Phòng Xuất Nhập Khẩu (Manager Import-Export)</t>
        </is>
      </c>
      <c r="D5849" t="inlineStr">
        <is>
          <t>CÔNG TY TNHH XÚC TIẾN THƯƠNG MẠI BẢO TÍN</t>
        </is>
      </c>
      <c r="E5849" t="inlineStr">
        <is>
          <t>25tr-30tr ₫/tháng</t>
        </is>
      </c>
      <c r="F5849" t="inlineStr">
        <is>
          <t>Hà Nội</t>
        </is>
      </c>
      <c r="G5849" t="inlineStr">
        <is>
          <t>Trưởng phòng</t>
        </is>
      </c>
      <c r="H5849" t="inlineStr">
        <is>
          <t>02/03/2026</t>
        </is>
      </c>
      <c r="I5849" t="inlineStr">
        <is>
          <t>01/04/2026</t>
        </is>
      </c>
      <c r="J5849" t="inlineStr">
        <is>
          <t>17/03/2026</t>
        </is>
      </c>
      <c r="K5849" t="inlineStr">
        <is>
          <t>N/A</t>
        </is>
      </c>
      <c r="L5849" t="inlineStr">
        <is>
          <t>Giải Quyết Vấn Đề, Giao Tiếp, Quản Lý, Tiếng Anh, Đàm Phán</t>
        </is>
      </c>
      <c r="M5849" t="inlineStr">
        <is>
          <t>Bonus, Healthcare Plan, Paid Leave, Laptop</t>
        </is>
      </c>
      <c r="N5849" s="8">
        <f>HYPERLINK("https://www.vietnamworks.com/truong-phong-xuat-nhap-khau-manager-import-export-2016606-jv","Xem chi tiết")</f>
        <v/>
      </c>
    </row>
    <row r="5850">
      <c r="B5850" s="9" t="n">
        <v>5848</v>
      </c>
      <c r="C5850" s="10" t="inlineStr">
        <is>
          <t>Sales Planning Officer (Aeon Mall Ha Dong - 555)</t>
        </is>
      </c>
      <c r="D5850" s="10" t="inlineStr">
        <is>
          <t>AEONMALL Vietnam Co., Ltd.</t>
        </is>
      </c>
      <c r="E5850" s="10" t="inlineStr">
        <is>
          <t>$$ 350-550 /tháng</t>
        </is>
      </c>
      <c r="F5850" s="10" t="inlineStr">
        <is>
          <t>Hà Nội</t>
        </is>
      </c>
      <c r="G5850" s="10" t="inlineStr">
        <is>
          <t>Nhân viên</t>
        </is>
      </c>
      <c r="H5850" s="10" t="inlineStr">
        <is>
          <t>02/03/2026</t>
        </is>
      </c>
      <c r="I5850" s="10" t="inlineStr">
        <is>
          <t>01/04/2026</t>
        </is>
      </c>
      <c r="J5850" s="10" t="inlineStr">
        <is>
          <t>17/03/2026</t>
        </is>
      </c>
      <c r="K5850" s="10" t="inlineStr">
        <is>
          <t>N/A</t>
        </is>
      </c>
      <c r="L5850" s="10" t="inlineStr">
        <is>
          <t>Sales Analysis, Negotiation Skills, Planning Skills, Communication Skills, Customer-Focus Mindset</t>
        </is>
      </c>
      <c r="M5850" s="10" t="inlineStr">
        <is>
          <t>Healthcare Plan, Training, Others</t>
        </is>
      </c>
      <c r="N5850" s="11">
        <f>HYPERLINK("https://www.vietnamworks.com/sales-planning-officer-aeon-mall-ha-dong-555--2016607-jv","Xem chi tiết")</f>
        <v/>
      </c>
      <c r="O5850" s="10" t="n"/>
    </row>
    <row r="5851">
      <c r="B5851" s="7" t="n">
        <v>5849</v>
      </c>
      <c r="C5851" t="inlineStr">
        <is>
          <t>Kỹ Sư Đảm Bảo Chất Lượng/ Quality Assurance Engineer</t>
        </is>
      </c>
      <c r="D5851" t="inlineStr">
        <is>
          <t>Công Ty Cổ Phần Phương Tiện Điện Thông Minh Selex</t>
        </is>
      </c>
      <c r="E5851" t="inlineStr">
        <is>
          <t>$$ 800-1,200 /tháng</t>
        </is>
      </c>
      <c r="F5851" t="inlineStr">
        <is>
          <t>Hà Nội</t>
        </is>
      </c>
      <c r="G5851" t="inlineStr">
        <is>
          <t>Nhân viên</t>
        </is>
      </c>
      <c r="H5851" t="inlineStr">
        <is>
          <t>02/03/2026</t>
        </is>
      </c>
      <c r="I5851" t="inlineStr">
        <is>
          <t>01/04/2026</t>
        </is>
      </c>
      <c r="J5851" t="inlineStr">
        <is>
          <t>17/03/2026</t>
        </is>
      </c>
      <c r="K5851" t="inlineStr">
        <is>
          <t>N/A</t>
        </is>
      </c>
      <c r="L5851" t="inlineStr">
        <is>
          <t>Đánh Giá Chất Lượng, Quality Assurance, QA, QC, Kiểm Soát Chất Lượng</t>
        </is>
      </c>
      <c r="M5851" t="inlineStr">
        <is>
          <t>Bonus, Awards, Others</t>
        </is>
      </c>
      <c r="N5851" s="8">
        <f>HYPERLINK("https://www.vietnamworks.com/ky-su-dam-bao-chat-luong-quality-assurance-engineer--2016605-jv","Xem chi tiết")</f>
        <v/>
      </c>
    </row>
    <row r="5852">
      <c r="B5852" s="9" t="n">
        <v>5850</v>
      </c>
      <c r="C5852" s="10" t="inlineStr">
        <is>
          <t>Retail Operation Manager (Franchise Store)</t>
        </is>
      </c>
      <c r="D5852" s="10" t="inlineStr">
        <is>
          <t>Công Ty Cổ Phần Sữa Việt Nam (Vinamilk)</t>
        </is>
      </c>
      <c r="E5852" s="10" t="inlineStr">
        <is>
          <t>Thương lượng</t>
        </is>
      </c>
      <c r="F5852" s="10" t="inlineStr">
        <is>
          <t>Đà Nẵng, Khánh Hòa, Hồ Chí Minh</t>
        </is>
      </c>
      <c r="G5852" s="10" t="inlineStr">
        <is>
          <t>Trưởng phòng</t>
        </is>
      </c>
      <c r="H5852" s="10" t="inlineStr">
        <is>
          <t>02/03/2026</t>
        </is>
      </c>
      <c r="I5852" s="10" t="inlineStr">
        <is>
          <t>01/04/2026</t>
        </is>
      </c>
      <c r="J5852" s="10" t="inlineStr">
        <is>
          <t>17/03/2026</t>
        </is>
      </c>
      <c r="K5852" s="10" t="inlineStr">
        <is>
          <t>N/A</t>
        </is>
      </c>
      <c r="L5852" s="10" t="inlineStr">
        <is>
          <t>Retail Operations, Retail Store Operations, Franchise Management, Franchise Business Development, Sales manager</t>
        </is>
      </c>
      <c r="M5852" s="10" t="inlineStr">
        <is>
          <t>Bonus, Healthcare Plan, Training</t>
        </is>
      </c>
      <c r="N5852" s="11">
        <f>HYPERLINK("https://www.vietnamworks.com/retail-operation-manager-franchise-store--2016613-jv","Xem chi tiết")</f>
        <v/>
      </c>
      <c r="O5852" s="10" t="n"/>
    </row>
    <row r="5853">
      <c r="B5853" s="7" t="n">
        <v>5851</v>
      </c>
      <c r="C5853" t="inlineStr">
        <is>
          <t>Trưởng Nhóm Mua Hàng Thu Nhập Lên Tới 30Trđ/Tháng</t>
        </is>
      </c>
      <c r="D5853" t="inlineStr">
        <is>
          <t>Nhà Sách Tiến Thọ</t>
        </is>
      </c>
      <c r="E5853" t="inlineStr">
        <is>
          <t>Tới 30tr ₫/tháng</t>
        </is>
      </c>
      <c r="F5853" t="inlineStr">
        <is>
          <t>Hà Nội</t>
        </is>
      </c>
      <c r="G5853" t="inlineStr">
        <is>
          <t>Trưởng phòng</t>
        </is>
      </c>
      <c r="H5853" t="inlineStr">
        <is>
          <t>02/03/2026</t>
        </is>
      </c>
      <c r="I5853" t="inlineStr">
        <is>
          <t>01/04/2026</t>
        </is>
      </c>
      <c r="J5853" t="inlineStr">
        <is>
          <t>17/03/2026</t>
        </is>
      </c>
      <c r="K5853" t="inlineStr">
        <is>
          <t>N/A</t>
        </is>
      </c>
      <c r="L5853" t="inlineStr">
        <is>
          <t>FMCG, Mua Hàng, Quản Lý Mua Hàng, Soát Xét Báo Cáo, Đàm Phán Nhà Cung Cấp</t>
        </is>
      </c>
      <c r="M5853" t="inlineStr">
        <is>
          <t>Bonus, Healthcare Plan, Training, Travel Opportunities, Others</t>
        </is>
      </c>
      <c r="N5853" s="8">
        <f>HYPERLINK("https://www.vietnamworks.com/truong-nhom-mua-hang-thu-nhap-len-toi-30trdjthang-2016612-jv","Xem chi tiết")</f>
        <v/>
      </c>
    </row>
    <row r="5854">
      <c r="B5854" s="9" t="n">
        <v>5852</v>
      </c>
      <c r="C5854" s="10" t="inlineStr">
        <is>
          <t>(Tuyển Gấp) Kế Toán</t>
        </is>
      </c>
      <c r="D5854" s="10" t="inlineStr">
        <is>
          <t>CÔNG TY TNHH THƯƠNG MẠI ĐẠI LỢI</t>
        </is>
      </c>
      <c r="E5854" s="10" t="inlineStr">
        <is>
          <t>12tr-14tr ₫/tháng</t>
        </is>
      </c>
      <c r="F5854" s="10" t="inlineStr">
        <is>
          <t>Hà Nội</t>
        </is>
      </c>
      <c r="G5854" s="10" t="inlineStr">
        <is>
          <t>Nhân viên</t>
        </is>
      </c>
      <c r="H5854" s="10" t="inlineStr">
        <is>
          <t>02/03/2026</t>
        </is>
      </c>
      <c r="I5854" s="10" t="inlineStr">
        <is>
          <t>01/04/2026</t>
        </is>
      </c>
      <c r="J5854" s="10" t="inlineStr">
        <is>
          <t>17/03/2026</t>
        </is>
      </c>
      <c r="K5854" s="10" t="inlineStr">
        <is>
          <t>N/A</t>
        </is>
      </c>
      <c r="L5854" s="10" t="inlineStr">
        <is>
          <t>Kiểm Toán, Kế Toán, Tài Chính, Fast Accounting, Công Nợ</t>
        </is>
      </c>
      <c r="M5854" s="10" t="inlineStr">
        <is>
          <t>Bonus, Travel Opportunities, Others</t>
        </is>
      </c>
      <c r="N5854" s="11">
        <f>HYPERLINK("https://www.vietnamworks.com/tuyen-gap-ke-toan--2016618-jv","Xem chi tiết")</f>
        <v/>
      </c>
      <c r="O5854" s="10" t="n"/>
    </row>
    <row r="5855">
      <c r="B5855" s="7" t="n">
        <v>5853</v>
      </c>
      <c r="C5855" t="inlineStr">
        <is>
          <t>Junior Academics/ Finance MIS Executive</t>
        </is>
      </c>
      <c r="D5855" t="inlineStr">
        <is>
          <t>Công Ty Cổ Phần Anne Hill</t>
        </is>
      </c>
      <c r="E5855" t="inlineStr">
        <is>
          <t>$$ 500-700 /tháng</t>
        </is>
      </c>
      <c r="F5855" t="inlineStr">
        <is>
          <t>Hồ Chí Minh</t>
        </is>
      </c>
      <c r="G5855" t="inlineStr">
        <is>
          <t>Nhân viên</t>
        </is>
      </c>
      <c r="H5855" t="inlineStr">
        <is>
          <t>02/03/2026</t>
        </is>
      </c>
      <c r="I5855" t="inlineStr">
        <is>
          <t>01/04/2026</t>
        </is>
      </c>
      <c r="J5855" t="inlineStr">
        <is>
          <t>17/03/2026</t>
        </is>
      </c>
      <c r="K5855" t="inlineStr">
        <is>
          <t>N/A</t>
        </is>
      </c>
      <c r="L5855" t="inlineStr">
        <is>
          <t>Microsoft 365, Mis, REST API, SIS System, SQL</t>
        </is>
      </c>
      <c r="M5855" t="inlineStr">
        <is>
          <t>Healthcare Plan, Paid Leave, Training</t>
        </is>
      </c>
      <c r="N5855" s="8">
        <f>HYPERLINK("https://www.vietnamworks.com/junior-academics-finance-mis-executive-2016621-jv","Xem chi tiết")</f>
        <v/>
      </c>
    </row>
    <row r="5856">
      <c r="B5856" s="9" t="n">
        <v>5854</v>
      </c>
      <c r="C5856" s="10" t="inlineStr">
        <is>
          <t>Front Desk Receptionist</t>
        </is>
      </c>
      <c r="D5856" s="10" t="inlineStr">
        <is>
          <t>Cơ quan điều hành Trung tâm tài chính quốc tế tại Thành phố Hồ Chí Minh</t>
        </is>
      </c>
      <c r="E5856" s="10" t="inlineStr">
        <is>
          <t>15tr-20tr ₫/tháng</t>
        </is>
      </c>
      <c r="F5856" s="10" t="inlineStr">
        <is>
          <t>Hồ Chí Minh</t>
        </is>
      </c>
      <c r="G5856" s="10" t="inlineStr">
        <is>
          <t>Nhân viên</t>
        </is>
      </c>
      <c r="H5856" s="10" t="inlineStr">
        <is>
          <t>02/03/2026</t>
        </is>
      </c>
      <c r="I5856" s="10" t="inlineStr">
        <is>
          <t>01/04/2026</t>
        </is>
      </c>
      <c r="J5856" s="10" t="inlineStr">
        <is>
          <t>17/03/2026</t>
        </is>
      </c>
      <c r="K5856" s="10" t="inlineStr">
        <is>
          <t>N/A</t>
        </is>
      </c>
      <c r="L5856" s="10" t="inlineStr">
        <is>
          <t>Organizational skills, MS Office, Customer Service, Office Equipment Operation, Friendly Communication</t>
        </is>
      </c>
      <c r="M5856" s="10" t="inlineStr">
        <is>
          <t>Bonus, Healthcare Plan, Paid Leave, Others</t>
        </is>
      </c>
      <c r="N5856" s="11">
        <f>HYPERLINK("https://www.vietnamworks.com/front-desk-receptionist-2016617-jv","Xem chi tiết")</f>
        <v/>
      </c>
      <c r="O5856" s="10" t="n"/>
    </row>
    <row r="5857">
      <c r="B5857" s="7" t="n">
        <v>5855</v>
      </c>
      <c r="C5857" t="inlineStr">
        <is>
          <t>Delivery Manager (Site Hanoi &amp; Japan)</t>
        </is>
      </c>
      <c r="D5857" t="inlineStr">
        <is>
          <t>Công Ty Cổ Phần Công Nghệ VMO Holdings</t>
        </is>
      </c>
      <c r="E5857" t="inlineStr">
        <is>
          <t>Thương lượng</t>
        </is>
      </c>
      <c r="F5857" t="inlineStr">
        <is>
          <t>Hà Nội, Khác</t>
        </is>
      </c>
      <c r="G5857" t="inlineStr">
        <is>
          <t>Trưởng phòng</t>
        </is>
      </c>
      <c r="H5857" t="inlineStr">
        <is>
          <t>02/03/2026</t>
        </is>
      </c>
      <c r="I5857" t="inlineStr">
        <is>
          <t>01/04/2026</t>
        </is>
      </c>
      <c r="J5857" t="inlineStr">
        <is>
          <t>17/03/2026</t>
        </is>
      </c>
      <c r="K5857" t="inlineStr">
        <is>
          <t>N/A</t>
        </is>
      </c>
      <c r="L5857" t="inlineStr">
        <is>
          <t>Technical Manager, Japanese, English, Project magement</t>
        </is>
      </c>
      <c r="M5857" t="inlineStr">
        <is>
          <t>Healthcare Plan, Training, Team Activities</t>
        </is>
      </c>
      <c r="N5857" s="8">
        <f>HYPERLINK("https://www.vietnamworks.com/delivery-manager-site-hanoi-japan-2016619-jv","Xem chi tiết")</f>
        <v/>
      </c>
    </row>
    <row r="5858">
      <c r="B5858" s="9" t="n">
        <v>5856</v>
      </c>
      <c r="C5858" s="10" t="inlineStr">
        <is>
          <t>Quality Leader</t>
        </is>
      </c>
      <c r="D5858" s="10" t="inlineStr">
        <is>
          <t>Volta Belting Asia</t>
        </is>
      </c>
      <c r="E5858" s="10" t="inlineStr">
        <is>
          <t>Thương lượng</t>
        </is>
      </c>
      <c r="F5858" s="10" t="inlineStr">
        <is>
          <t>Đồng Nai</t>
        </is>
      </c>
      <c r="G5858" s="10" t="inlineStr">
        <is>
          <t>Nhân viên</t>
        </is>
      </c>
      <c r="H5858" s="10" t="inlineStr">
        <is>
          <t>02/03/2026</t>
        </is>
      </c>
      <c r="I5858" s="10" t="inlineStr">
        <is>
          <t>01/04/2026</t>
        </is>
      </c>
      <c r="J5858" s="10" t="inlineStr">
        <is>
          <t>17/03/2026</t>
        </is>
      </c>
      <c r="K5858" s="10" t="inlineStr">
        <is>
          <t>N/A</t>
        </is>
      </c>
      <c r="L5858" s="10" t="inlineStr">
        <is>
          <t>QC Inspection, Industrial Management, Measurement Tools, Mechanical, Quality Control</t>
        </is>
      </c>
      <c r="M5858" s="10" t="inlineStr">
        <is>
          <t>Bonus, Healthcare Plan, Awards, Team Activities, Others</t>
        </is>
      </c>
      <c r="N5858" s="11">
        <f>HYPERLINK("https://www.vietnamworks.com/quality-leader-2016616-jv","Xem chi tiết")</f>
        <v/>
      </c>
      <c r="O5858" s="10" t="n"/>
    </row>
    <row r="5859">
      <c r="B5859" s="7" t="n">
        <v>5857</v>
      </c>
      <c r="C5859" t="inlineStr">
        <is>
          <t>Business Development Executive (Advertising &amp; Media)</t>
        </is>
      </c>
      <c r="D5859" t="inlineStr">
        <is>
          <t>Chicilon Media</t>
        </is>
      </c>
      <c r="E5859" t="inlineStr">
        <is>
          <t>Thương lượng</t>
        </is>
      </c>
      <c r="F5859" t="inlineStr">
        <is>
          <t>Hồ Chí Minh</t>
        </is>
      </c>
      <c r="G5859" t="inlineStr">
        <is>
          <t>Nhân viên</t>
        </is>
      </c>
      <c r="H5859" t="inlineStr">
        <is>
          <t>02/03/2026</t>
        </is>
      </c>
      <c r="I5859" t="inlineStr">
        <is>
          <t>01/04/2026</t>
        </is>
      </c>
      <c r="J5859" t="inlineStr">
        <is>
          <t>17/03/2026</t>
        </is>
      </c>
      <c r="K5859" t="inlineStr">
        <is>
          <t>N/A</t>
        </is>
      </c>
      <c r="L5859" t="inlineStr">
        <is>
          <t>Media, Advertising, Business Development, Client Acquisition, Relationship Management</t>
        </is>
      </c>
      <c r="M5859" t="inlineStr">
        <is>
          <t>Bonus, Healthcare Plan, Library</t>
        </is>
      </c>
      <c r="N5859" s="8">
        <f>HYPERLINK("https://www.vietnamworks.com/business-development-executive-advertising-and-media-2016641-jv","Xem chi tiết")</f>
        <v/>
      </c>
    </row>
    <row r="5860">
      <c r="B5860" s="9" t="n">
        <v>5858</v>
      </c>
      <c r="C5860" s="10" t="inlineStr">
        <is>
          <t>Global Manufacturing Quality - Quality Manager (Qe/qa/qc) (Working in Haiphong)</t>
        </is>
      </c>
      <c r="D5860" s="10" t="inlineStr">
        <is>
          <t>VINFAST TRADING AND PRODUCTION JSC</t>
        </is>
      </c>
      <c r="E5860" s="10" t="inlineStr">
        <is>
          <t>Thương lượng</t>
        </is>
      </c>
      <c r="F5860" s="10" t="inlineStr">
        <is>
          <t>Hà Nội, Hải Phòng</t>
        </is>
      </c>
      <c r="G5860" s="10" t="inlineStr">
        <is>
          <t>Trưởng phòng</t>
        </is>
      </c>
      <c r="H5860" s="10" t="inlineStr">
        <is>
          <t>02/03/2026</t>
        </is>
      </c>
      <c r="I5860" s="10" t="inlineStr">
        <is>
          <t>01/04/2026</t>
        </is>
      </c>
      <c r="J5860" s="10" t="inlineStr">
        <is>
          <t>17/03/2026</t>
        </is>
      </c>
      <c r="K5860" s="10" t="inlineStr">
        <is>
          <t>N/A</t>
        </is>
      </c>
      <c r="L5860" s="10" t="inlineStr">
        <is>
          <t>Quality Process Improvement, Quality Operations, Leadership, Automotive, Engineering</t>
        </is>
      </c>
      <c r="M5860" s="10" t="inlineStr">
        <is>
          <t>Bonus, Healthcare Plan, Others</t>
        </is>
      </c>
      <c r="N5860" s="11">
        <f>HYPERLINK("https://www.vietnamworks.com/global-manufacturing-quality-quality-manager-qe-qa-qc-working-in-haiphong-2016625-jv","Xem chi tiết")</f>
        <v/>
      </c>
      <c r="O5860" s="10" t="n"/>
    </row>
    <row r="5861">
      <c r="B5861" s="7" t="n">
        <v>5859</v>
      </c>
      <c r="C5861" t="inlineStr">
        <is>
          <t>Design Team Lead</t>
        </is>
      </c>
      <c r="D5861" t="inlineStr">
        <is>
          <t>Công Ty TNHH Vẻ Đẹp Francia</t>
        </is>
      </c>
      <c r="E5861" t="inlineStr">
        <is>
          <t>Thương lượng</t>
        </is>
      </c>
      <c r="F5861" t="inlineStr">
        <is>
          <t>Hồ Chí Minh</t>
        </is>
      </c>
      <c r="G5861" t="inlineStr">
        <is>
          <t>Trưởng phòng</t>
        </is>
      </c>
      <c r="H5861" t="inlineStr">
        <is>
          <t>02/03/2026</t>
        </is>
      </c>
      <c r="I5861" t="inlineStr">
        <is>
          <t>01/04/2026</t>
        </is>
      </c>
      <c r="J5861" t="inlineStr">
        <is>
          <t>17/03/2026</t>
        </is>
      </c>
      <c r="K5861" t="inlineStr">
        <is>
          <t>N/A</t>
        </is>
      </c>
      <c r="L5861" t="inlineStr">
        <is>
          <t>Cosmetic, Graphic Design, Team Management, Trend Awareness, Posm Concept Development</t>
        </is>
      </c>
      <c r="M5861" t="inlineStr">
        <is>
          <t>Bonus, Healthcare Plan, Laptop</t>
        </is>
      </c>
      <c r="N5861" s="8">
        <f>HYPERLINK("https://www.vietnamworks.com/design-team-lead-2016624-jv","Xem chi tiết")</f>
        <v/>
      </c>
    </row>
    <row r="5862">
      <c r="B5862" s="9" t="n">
        <v>5860</v>
      </c>
      <c r="C5862" s="10" t="inlineStr">
        <is>
          <t>Nhân Viên Kinh Doanh - Thu Nhập Có Thể Lên Tới 30 Triệu VND/Tháng (Không Phải Đi Thị Trường)</t>
        </is>
      </c>
      <c r="D5862" s="10" t="inlineStr">
        <is>
          <t>Công Ty TNHH Một Thành Viên Xây Dựng Và Thương Mại Vinastar</t>
        </is>
      </c>
      <c r="E5862" s="10" t="inlineStr">
        <is>
          <t>15tr-30tr ₫/tháng</t>
        </is>
      </c>
      <c r="F5862" s="10" t="inlineStr">
        <is>
          <t>Hà Nội, Hồ Chí Minh</t>
        </is>
      </c>
      <c r="G5862" s="10" t="inlineStr">
        <is>
          <t>Nhân viên</t>
        </is>
      </c>
      <c r="H5862" s="10" t="inlineStr">
        <is>
          <t>02/03/2026</t>
        </is>
      </c>
      <c r="I5862" s="10" t="inlineStr">
        <is>
          <t>01/04/2026</t>
        </is>
      </c>
      <c r="J5862" s="10" t="inlineStr">
        <is>
          <t>17/03/2026</t>
        </is>
      </c>
      <c r="K5862" s="10" t="inlineStr">
        <is>
          <t>N/A</t>
        </is>
      </c>
      <c r="L5862" s="10" t="inlineStr">
        <is>
          <t>Kinh Doanh, Tư Vấn Sản Phẩm, Sales, Bán Hàng, Báo Giá</t>
        </is>
      </c>
      <c r="M5862" s="10" t="inlineStr">
        <is>
          <t>Bonus, Healthcare Plan, Team Activities</t>
        </is>
      </c>
      <c r="N5862" s="11">
        <f>HYPERLINK("https://www.vietnamworks.com/nhan-vien-kinh-doanh-thu-nhap-co-the-len-toi-30-trieu-vndthang-khong-phai-dji-thi-truong-2016630-jv","Xem chi tiết")</f>
        <v/>
      </c>
      <c r="O5862" s="10" t="n"/>
    </row>
    <row r="5863">
      <c r="B5863" s="7" t="n">
        <v>5861</v>
      </c>
      <c r="C5863" t="inlineStr">
        <is>
          <t>Sales Manager</t>
        </is>
      </c>
      <c r="D5863" t="inlineStr">
        <is>
          <t>Truking Technology Limited</t>
        </is>
      </c>
      <c r="E5863" t="inlineStr">
        <is>
          <t>$$ 1,000-5,000 /tháng</t>
        </is>
      </c>
      <c r="F5863" t="inlineStr">
        <is>
          <t>Hồ Chí Minh</t>
        </is>
      </c>
      <c r="G5863" t="inlineStr">
        <is>
          <t>Trưởng phòng</t>
        </is>
      </c>
      <c r="H5863" t="inlineStr">
        <is>
          <t>02/03/2026</t>
        </is>
      </c>
      <c r="I5863" t="inlineStr">
        <is>
          <t>01/04/2026</t>
        </is>
      </c>
      <c r="J5863" t="inlineStr">
        <is>
          <t>17/03/2026</t>
        </is>
      </c>
      <c r="K5863" t="inlineStr">
        <is>
          <t>N/A</t>
        </is>
      </c>
      <c r="L5863" t="inlineStr">
        <is>
          <t>Customer Relationship Management skills, Machinery Equipment, Pharmaceutical Manufacturing</t>
        </is>
      </c>
      <c r="M5863" t="inlineStr">
        <is>
          <t>Bonus</t>
        </is>
      </c>
      <c r="N5863" s="8">
        <f>HYPERLINK("https://www.vietnamworks.com/sales-manager-2016639-jv","Xem chi tiết")</f>
        <v/>
      </c>
    </row>
    <row r="5864">
      <c r="B5864" s="9" t="n">
        <v>5862</v>
      </c>
      <c r="C5864" s="10" t="inlineStr">
        <is>
          <t>Nhân Viên Phát Triển Thị Trường</t>
        </is>
      </c>
      <c r="D5864" s="10" t="inlineStr">
        <is>
          <t>Công Ty Cổ Phần Prowtech International Vina</t>
        </is>
      </c>
      <c r="E5864" s="10" t="inlineStr">
        <is>
          <t>Tới 10tr ₫/tháng</t>
        </is>
      </c>
      <c r="F5864" s="10" t="inlineStr">
        <is>
          <t>Hồ Chí Minh</t>
        </is>
      </c>
      <c r="G5864" s="10" t="inlineStr">
        <is>
          <t>Nhân viên</t>
        </is>
      </c>
      <c r="H5864" s="10" t="inlineStr">
        <is>
          <t>02/03/2026</t>
        </is>
      </c>
      <c r="I5864" s="10" t="inlineStr">
        <is>
          <t>01/04/2026</t>
        </is>
      </c>
      <c r="J5864" s="10" t="inlineStr">
        <is>
          <t>17/03/2026</t>
        </is>
      </c>
      <c r="K5864" s="10" t="inlineStr">
        <is>
          <t>N/A</t>
        </is>
      </c>
      <c r="L5864" s="10" t="inlineStr">
        <is>
          <t>Microsoft Office, OOH, POSM, Truyền Thông, Quản trị Kinh doanh</t>
        </is>
      </c>
      <c r="M5864" s="10" t="inlineStr">
        <is>
          <t>Bonus, Healthcare Plan, Training, Laptop, Travel Opportunities, Team Activities, Others</t>
        </is>
      </c>
      <c r="N5864" s="11">
        <f>HYPERLINK("https://www.vietnamworks.com/nhan-vien-phat-trien-thi-truong-2016627-jv","Xem chi tiết")</f>
        <v/>
      </c>
      <c r="O5864" s="10" t="n"/>
    </row>
    <row r="5865">
      <c r="B5865" s="7" t="n">
        <v>5863</v>
      </c>
      <c r="C5865" t="inlineStr">
        <is>
          <t>Nhân Viên Mua Hàng (Có Xe Đưa Đón Tuyến Hải Dương - Hưng Yên)</t>
        </is>
      </c>
      <c r="D5865" t="inlineStr">
        <is>
          <t>Công Ty TNHH Điện Tử UMC Việt Nam</t>
        </is>
      </c>
      <c r="E5865" t="inlineStr">
        <is>
          <t>$$ 400-550 /tháng</t>
        </is>
      </c>
      <c r="F5865" t="inlineStr">
        <is>
          <t>Bắc Ninh, Hải Phòng, Hưng Yên</t>
        </is>
      </c>
      <c r="G5865" t="inlineStr">
        <is>
          <t>Nhân viên</t>
        </is>
      </c>
      <c r="H5865" t="inlineStr">
        <is>
          <t>02/03/2026</t>
        </is>
      </c>
      <c r="I5865" t="inlineStr">
        <is>
          <t>01/04/2026</t>
        </is>
      </c>
      <c r="J5865" t="inlineStr">
        <is>
          <t>17/03/2026</t>
        </is>
      </c>
      <c r="K5865" t="inlineStr">
        <is>
          <t>N/A</t>
        </is>
      </c>
      <c r="L5865" t="inlineStr">
        <is>
          <t>Tiếng Anh, Mua Hàng, Làm Báo Giá Hợp Đồng</t>
        </is>
      </c>
      <c r="M5865" t="inlineStr">
        <is>
          <t>Bonus, Healthcare Plan, Training</t>
        </is>
      </c>
      <c r="N5865" s="8">
        <f>HYPERLINK("https://www.vietnamworks.com/nhan-vien-mua-hang-co-xe-dua-don-tuyen-hai-duong-hung-yen-2016640-jv","Xem chi tiết")</f>
        <v/>
      </c>
    </row>
    <row r="5866">
      <c r="B5866" s="9" t="n">
        <v>5864</v>
      </c>
      <c r="C5866" s="10" t="inlineStr">
        <is>
          <t>Head of Legal (IPO Focus)</t>
        </is>
      </c>
      <c r="D5866" s="10" t="inlineStr">
        <is>
          <t>Công Ty Cổ Phần Prowtech International Vina</t>
        </is>
      </c>
      <c r="E5866" s="10" t="inlineStr">
        <is>
          <t>Thương lượng</t>
        </is>
      </c>
      <c r="F5866" s="10" t="inlineStr">
        <is>
          <t>Hồ Chí Minh</t>
        </is>
      </c>
      <c r="G5866" s="10" t="inlineStr">
        <is>
          <t>Giám Đốc và Cấp Cao Hơn</t>
        </is>
      </c>
      <c r="H5866" s="10" t="inlineStr">
        <is>
          <t>02/03/2026</t>
        </is>
      </c>
      <c r="I5866" s="10" t="inlineStr">
        <is>
          <t>01/04/2026</t>
        </is>
      </c>
      <c r="J5866" s="10" t="inlineStr">
        <is>
          <t>17/03/2026</t>
        </is>
      </c>
      <c r="K5866" s="10" t="inlineStr">
        <is>
          <t>N/A</t>
        </is>
      </c>
      <c r="L5866" s="10" t="inlineStr">
        <is>
          <t>Luật Doanh Nghiệp, Pháp Lý Doanh Nghiệp, PQE, IPO, Capital Market</t>
        </is>
      </c>
      <c r="M5866" s="10" t="inlineStr">
        <is>
          <t>Bonus, Healthcare Plan, Training, Laptop, Travel Opportunities, Team Activities, Others</t>
        </is>
      </c>
      <c r="N5866" s="11">
        <f>HYPERLINK("https://www.vietnamworks.com/head-of-legal-ipo-focus-2016628-jv","Xem chi tiết")</f>
        <v/>
      </c>
      <c r="O5866" s="10" t="n"/>
    </row>
    <row r="5867">
      <c r="B5867" s="7" t="n">
        <v>5865</v>
      </c>
      <c r="C5867" t="inlineStr">
        <is>
          <t>Managing Director Personal Assistant</t>
        </is>
      </c>
      <c r="D5867" t="inlineStr">
        <is>
          <t>Pernod Ricard Vietnam</t>
        </is>
      </c>
      <c r="E5867" t="inlineStr">
        <is>
          <t>Thương lượng</t>
        </is>
      </c>
      <c r="F5867" t="inlineStr">
        <is>
          <t>Hồ Chí Minh</t>
        </is>
      </c>
      <c r="G5867" t="inlineStr">
        <is>
          <t>Nhân viên</t>
        </is>
      </c>
      <c r="H5867" t="inlineStr">
        <is>
          <t>02/03/2026</t>
        </is>
      </c>
      <c r="I5867" t="inlineStr">
        <is>
          <t>01/04/2026</t>
        </is>
      </c>
      <c r="J5867" t="inlineStr">
        <is>
          <t>17/03/2026</t>
        </is>
      </c>
      <c r="K5867" t="inlineStr">
        <is>
          <t>N/A</t>
        </is>
      </c>
      <c r="L5867" t="inlineStr">
        <is>
          <t>Diary management, Travel Arrangement, Managing Meetings, Microsoft Office, Admin</t>
        </is>
      </c>
      <c r="M5867" t="inlineStr">
        <is>
          <t>Bonus, Healthcare Plan, Paid Leave</t>
        </is>
      </c>
      <c r="N5867" s="8">
        <f>HYPERLINK("https://www.vietnamworks.com/managing-director-personal-assistant-2016632-jv","Xem chi tiết")</f>
        <v/>
      </c>
    </row>
    <row r="5868">
      <c r="B5868" s="9" t="n">
        <v>5866</v>
      </c>
      <c r="C5868" s="10" t="inlineStr">
        <is>
          <t>Trưởng Phòng Đào Tạo</t>
        </is>
      </c>
      <c r="D5868" s="10" t="inlineStr">
        <is>
          <t>Nhà Sách Tiến Thọ</t>
        </is>
      </c>
      <c r="E5868" s="10" t="inlineStr">
        <is>
          <t>Thương lượng</t>
        </is>
      </c>
      <c r="F5868" s="10" t="inlineStr">
        <is>
          <t>Hà Nội</t>
        </is>
      </c>
      <c r="G5868" s="10" t="inlineStr">
        <is>
          <t>Trưởng phòng</t>
        </is>
      </c>
      <c r="H5868" s="10" t="inlineStr">
        <is>
          <t>02/03/2026</t>
        </is>
      </c>
      <c r="I5868" s="10" t="inlineStr">
        <is>
          <t>01/04/2026</t>
        </is>
      </c>
      <c r="J5868" s="10" t="inlineStr">
        <is>
          <t>17/03/2026</t>
        </is>
      </c>
      <c r="K5868" s="10" t="inlineStr">
        <is>
          <t>N/A</t>
        </is>
      </c>
      <c r="L5868" s="10" t="inlineStr">
        <is>
          <t>Khảo Sát Nhu Cầu, Quản Lý Đào Tạo, Thiết Kế Giáo Trình, Training, Xây Dựng Chiến Lược</t>
        </is>
      </c>
      <c r="M5868" s="10" t="inlineStr">
        <is>
          <t>Bonus, Healthcare Plan, Paid Leave, Training, Travel Opportunities, Others</t>
        </is>
      </c>
      <c r="N5868" s="11">
        <f>HYPERLINK("https://www.vietnamworks.com/truong-phong-djao-tao-2016615-jv","Xem chi tiết")</f>
        <v/>
      </c>
      <c r="O5868" s="10" t="n"/>
    </row>
    <row r="5869">
      <c r="B5869" s="7" t="n">
        <v>5867</v>
      </c>
      <c r="C5869" t="inlineStr">
        <is>
          <t>Nhân Viên Hỗ Trợ An Toàn/ môi Trường - EHS Officer Staff</t>
        </is>
      </c>
      <c r="D5869" t="inlineStr">
        <is>
          <t>Chi nhánh Hưng Yên - Công ty Cổ phần Daikin Air Conditioning (Vietnam)</t>
        </is>
      </c>
      <c r="E5869" t="inlineStr">
        <is>
          <t>Thương lượng</t>
        </is>
      </c>
      <c r="F5869" t="inlineStr">
        <is>
          <t>Hải Dương, Hà Nội, Hưng Yên</t>
        </is>
      </c>
      <c r="G5869" t="inlineStr">
        <is>
          <t>Mới Tốt Nghiệp</t>
        </is>
      </c>
      <c r="H5869" t="inlineStr">
        <is>
          <t>02/03/2026</t>
        </is>
      </c>
      <c r="I5869" t="inlineStr">
        <is>
          <t>01/04/2026</t>
        </is>
      </c>
      <c r="J5869" t="inlineStr">
        <is>
          <t>17/03/2026</t>
        </is>
      </c>
      <c r="K5869" t="inlineStr">
        <is>
          <t>N/A</t>
        </is>
      </c>
      <c r="L5869" t="inlineStr">
        <is>
          <t>An Toàn Lao Động, 5S, EHS, HSE, PCCC</t>
        </is>
      </c>
      <c r="M5869" t="inlineStr">
        <is>
          <t>Bonus, Healthcare Plan, Paid Leave, Training, Team Activities, Transportation, Others</t>
        </is>
      </c>
      <c r="N5869" s="8">
        <f>HYPERLINK("https://www.vietnamworks.com/nhan-vien-ho-tro-an-toan-moi-truong-ehs-officer-staff-2016637-jv","Xem chi tiết")</f>
        <v/>
      </c>
    </row>
    <row r="5870">
      <c r="B5870" s="9" t="n">
        <v>5868</v>
      </c>
      <c r="C5870" s="10" t="inlineStr">
        <is>
          <t>Chuyên Viên Tự Động Hóa Và Cơ Giới Hóa</t>
        </is>
      </c>
      <c r="D5870" s="10" t="inlineStr">
        <is>
          <t>Tổng Công Ty Bưu Điện Việt Nam - VNPOST</t>
        </is>
      </c>
      <c r="E5870" s="10" t="inlineStr">
        <is>
          <t>15tr-40tr ₫/tháng</t>
        </is>
      </c>
      <c r="F5870" s="10" t="inlineStr">
        <is>
          <t>Hà Nội</t>
        </is>
      </c>
      <c r="G5870" s="10" t="inlineStr">
        <is>
          <t>Nhân viên</t>
        </is>
      </c>
      <c r="H5870" s="10" t="inlineStr">
        <is>
          <t>02/03/2026</t>
        </is>
      </c>
      <c r="I5870" s="10" t="inlineStr">
        <is>
          <t>01/04/2026</t>
        </is>
      </c>
      <c r="J5870" s="10" t="inlineStr">
        <is>
          <t>17/03/2026</t>
        </is>
      </c>
      <c r="K5870" s="10" t="inlineStr">
        <is>
          <t>N/A</t>
        </is>
      </c>
      <c r="L5870" s="10" t="inlineStr">
        <is>
          <t>PLC, Thiết Kế Cơ Khí, Thiết Kế Mạch Điện Tử, Tự Động Hóa Công Nghiệp, Vận Hành Hệ Thống</t>
        </is>
      </c>
      <c r="M5870" s="10" t="inlineStr">
        <is>
          <t>Bonus, Healthcare Plan, Training, Team Activities, Others</t>
        </is>
      </c>
      <c r="N5870" s="11">
        <f>HYPERLINK("https://www.vietnamworks.com/chuyen-vien-tu-djong-hoa-va-co-gioi-hoa-2016633-jv","Xem chi tiết")</f>
        <v/>
      </c>
      <c r="O5870" s="10" t="n"/>
    </row>
    <row r="5871">
      <c r="B5871" s="7" t="n">
        <v>5869</v>
      </c>
      <c r="C5871" t="inlineStr">
        <is>
          <t>Chuyên Viên Phân Tích Nghiệp Vụ (BA)</t>
        </is>
      </c>
      <c r="D5871" t="inlineStr">
        <is>
          <t>Tập Đoàn Vàng Bạc Đá Quý DOJI</t>
        </is>
      </c>
      <c r="E5871" t="inlineStr">
        <is>
          <t>25tr-35tr ₫/tháng</t>
        </is>
      </c>
      <c r="F5871" t="inlineStr">
        <is>
          <t>Hà Nội</t>
        </is>
      </c>
      <c r="G5871" t="inlineStr">
        <is>
          <t>Nhân viên</t>
        </is>
      </c>
      <c r="H5871" t="inlineStr">
        <is>
          <t>02/03/2026</t>
        </is>
      </c>
      <c r="I5871" t="inlineStr">
        <is>
          <t>01/04/2026</t>
        </is>
      </c>
      <c r="J5871" t="inlineStr">
        <is>
          <t>17/03/2026</t>
        </is>
      </c>
      <c r="K5871" t="inlineStr">
        <is>
          <t>N/A</t>
        </is>
      </c>
      <c r="L5871" t="inlineStr">
        <is>
          <t>Business Process Management, Communication Skills, Data Analysis, Manage ERP Software, Project Management</t>
        </is>
      </c>
      <c r="M5871" t="inlineStr">
        <is>
          <t>Bonus, Healthcare Plan, Team Activities, Canteen, Others</t>
        </is>
      </c>
      <c r="N5871" s="8">
        <f>HYPERLINK("https://www.vietnamworks.com/chuyen-vien-phan-tich-nghiep-vu-ba-2016623-jv","Xem chi tiết")</f>
        <v/>
      </c>
    </row>
    <row r="5872">
      <c r="B5872" s="9" t="n">
        <v>5870</v>
      </c>
      <c r="C5872" s="10" t="inlineStr">
        <is>
          <t>Chuyên Viên Nhân Sự (Mạnh Tuyển Dụng )_Thu Nhập 15Tr-20Tr</t>
        </is>
      </c>
      <c r="D5872" s="10" t="inlineStr">
        <is>
          <t>Công Ty Cổ Phần Đầu Tư Và Xây Dựng Giao Thông Phương Thành</t>
        </is>
      </c>
      <c r="E5872" s="10" t="inlineStr">
        <is>
          <t>15tr-20tr ₫/tháng</t>
        </is>
      </c>
      <c r="F5872" s="10" t="inlineStr">
        <is>
          <t>Hà Nội</t>
        </is>
      </c>
      <c r="G5872" s="10" t="inlineStr">
        <is>
          <t>Nhân viên</t>
        </is>
      </c>
      <c r="H5872" s="10" t="inlineStr">
        <is>
          <t>02/03/2026</t>
        </is>
      </c>
      <c r="I5872" s="10" t="inlineStr">
        <is>
          <t>01/04/2026</t>
        </is>
      </c>
      <c r="J5872" s="10" t="inlineStr">
        <is>
          <t>17/03/2026</t>
        </is>
      </c>
      <c r="K5872" s="10" t="inlineStr">
        <is>
          <t>N/A</t>
        </is>
      </c>
      <c r="L5872" s="10" t="inlineStr">
        <is>
          <t>Nhân Sự, HR Recruitment, Tuyển Dụng</t>
        </is>
      </c>
      <c r="M5872" s="10" t="inlineStr">
        <is>
          <t>Bonus, Healthcare Plan, Paid Leave</t>
        </is>
      </c>
      <c r="N5872" s="11">
        <f>HYPERLINK("https://www.vietnamworks.com/chuyen-vien-nhan-su-manh-tuyen-dung-thu-nhap-15tr-20tr-2016620-jv","Xem chi tiết")</f>
        <v/>
      </c>
      <c r="O5872" s="10" t="n"/>
    </row>
    <row r="5873">
      <c r="B5873" s="7" t="n">
        <v>5871</v>
      </c>
      <c r="C5873" t="inlineStr">
        <is>
          <t>Logistics Operations Executive / Chuyên Viên Vận Hành Logistics (Lương Cơ Bản Up to 15,000,000Vnd/tháng)</t>
        </is>
      </c>
      <c r="D5873" t="inlineStr">
        <is>
          <t>CÔNG TY CỔ PHẦN KHAI ANH BÌNH THUẬN</t>
        </is>
      </c>
      <c r="E5873" t="inlineStr">
        <is>
          <t>Tới 15tr ₫/tháng</t>
        </is>
      </c>
      <c r="F5873" t="inlineStr">
        <is>
          <t>Hà Nội</t>
        </is>
      </c>
      <c r="G5873" t="inlineStr">
        <is>
          <t>Nhân viên</t>
        </is>
      </c>
      <c r="H5873" t="inlineStr">
        <is>
          <t>02/03/2026</t>
        </is>
      </c>
      <c r="I5873" t="inlineStr">
        <is>
          <t>01/04/2026</t>
        </is>
      </c>
      <c r="J5873" t="inlineStr">
        <is>
          <t>17/03/2026</t>
        </is>
      </c>
      <c r="K5873" t="inlineStr">
        <is>
          <t>N/A</t>
        </is>
      </c>
      <c r="L5873" t="inlineStr">
        <is>
          <t>Chăm Sóc Khách Hàng, Phân Tích Báo Cáo, Quản Lý Vận Hành, Vận Tải Giao Nhận, Đàm Phán Hợp Đồng</t>
        </is>
      </c>
      <c r="M5873" t="inlineStr">
        <is>
          <t>Bonus, Healthcare Plan, Awards</t>
        </is>
      </c>
      <c r="N5873" s="8">
        <f>HYPERLINK("https://www.vietnamworks.com/logistics-operations-executive-chuyen-vien-van-hanh-logistics-luong-co-ban-up-to-15-000-000vnd-thang-2016636-jv","Xem chi tiết")</f>
        <v/>
      </c>
    </row>
    <row r="5874">
      <c r="B5874" s="9" t="n">
        <v>5872</v>
      </c>
      <c r="C5874" s="10" t="inlineStr">
        <is>
          <t>PMC Assistant Manager</t>
        </is>
      </c>
      <c r="D5874" s="10" t="inlineStr">
        <is>
          <t>Fleming International Viet Nam</t>
        </is>
      </c>
      <c r="E5874" s="10" t="inlineStr">
        <is>
          <t>Thương lượng</t>
        </is>
      </c>
      <c r="F5874" s="10" t="inlineStr">
        <is>
          <t>Đồng Nai</t>
        </is>
      </c>
      <c r="G5874" s="10" t="inlineStr">
        <is>
          <t>Trưởng phòng</t>
        </is>
      </c>
      <c r="H5874" s="10" t="inlineStr">
        <is>
          <t>02/03/2026</t>
        </is>
      </c>
      <c r="I5874" s="10" t="inlineStr">
        <is>
          <t>01/04/2026</t>
        </is>
      </c>
      <c r="J5874" s="10" t="inlineStr">
        <is>
          <t>17/03/2026</t>
        </is>
      </c>
      <c r="K5874" s="10" t="inlineStr">
        <is>
          <t>N/A</t>
        </is>
      </c>
      <c r="L5874" s="10" t="inlineStr">
        <is>
          <t>Supply Chain Management, MRP, ERP Systems, Inventory Control, Logistics</t>
        </is>
      </c>
      <c r="M5874" s="10" t="inlineStr">
        <is>
          <t>Bonus, Training, Transportation</t>
        </is>
      </c>
      <c r="N5874" s="11">
        <f>HYPERLINK("https://www.vietnamworks.com/pmc-assistant-manager-2016650-jv","Xem chi tiết")</f>
        <v/>
      </c>
      <c r="O5874" s="10" t="n"/>
    </row>
    <row r="5875">
      <c r="B5875" s="7" t="n">
        <v>5873</v>
      </c>
      <c r="C5875" t="inlineStr">
        <is>
          <t>Tuyển Gấp - Trưởng Phòng Môi Giới Chứng Khoán</t>
        </is>
      </c>
      <c r="D5875" t="inlineStr">
        <is>
          <t>Public Bank Securities Vietnam Company Limited (PBSV)</t>
        </is>
      </c>
      <c r="E5875" t="inlineStr">
        <is>
          <t>Thương lượng</t>
        </is>
      </c>
      <c r="F5875" t="inlineStr">
        <is>
          <t>Hà Nội, Hồ Chí Minh</t>
        </is>
      </c>
      <c r="G5875" t="inlineStr">
        <is>
          <t>Trưởng phòng</t>
        </is>
      </c>
      <c r="H5875" t="inlineStr">
        <is>
          <t>02/03/2026</t>
        </is>
      </c>
      <c r="I5875" t="inlineStr">
        <is>
          <t>01/04/2026</t>
        </is>
      </c>
      <c r="J5875" t="inlineStr">
        <is>
          <t>17/03/2026</t>
        </is>
      </c>
      <c r="K5875" t="inlineStr">
        <is>
          <t>N/A</t>
        </is>
      </c>
      <c r="L5875" t="inlineStr">
        <is>
          <t>Quản Trị Đội Ngũ, Phân Tích Thị Trường, Chứng Khoán, Môi Giới Chứng Khoán, Dịch Vụ Chứng Khoán</t>
        </is>
      </c>
      <c r="M5875" t="inlineStr">
        <is>
          <t>Healthcare Plan, Paid Leave, Training, Others</t>
        </is>
      </c>
      <c r="N5875" s="8">
        <f>HYPERLINK("https://www.vietnamworks.com/tuyen-gap-truong-phong-moi-gioi-chung-khoan-2016649-jv","Xem chi tiết")</f>
        <v/>
      </c>
    </row>
    <row r="5876">
      <c r="B5876" s="9" t="n">
        <v>5874</v>
      </c>
      <c r="C5876" s="10" t="inlineStr">
        <is>
          <t>Kỹ Sư Giám Sát Xây Dựng</t>
        </is>
      </c>
      <c r="D5876" s="10" t="inlineStr">
        <is>
          <t>TRUNG TÂM TƯ VẤN TRẮC ĐỊA VÀ XÂY DỰNG</t>
        </is>
      </c>
      <c r="E5876" s="10" t="inlineStr">
        <is>
          <t>Thương lượng</t>
        </is>
      </c>
      <c r="F5876" s="10" t="inlineStr">
        <is>
          <t>Hải Phòng, Hải Dương, Bắc Ninh</t>
        </is>
      </c>
      <c r="G5876" s="10" t="inlineStr">
        <is>
          <t>Mới Tốt Nghiệp</t>
        </is>
      </c>
      <c r="H5876" s="10" t="inlineStr">
        <is>
          <t>02/03/2026</t>
        </is>
      </c>
      <c r="I5876" s="10" t="inlineStr">
        <is>
          <t>01/04/2026</t>
        </is>
      </c>
      <c r="J5876" s="10" t="inlineStr">
        <is>
          <t>17/03/2026</t>
        </is>
      </c>
      <c r="K5876" s="10" t="inlineStr">
        <is>
          <t>N/A</t>
        </is>
      </c>
      <c r="L5876" s="10" t="inlineStr">
        <is>
          <t>Xây Dựng, Giám Sát Xây Dựng, Dân dụng &amp; công nghiệp, Kỹ Sư Xây Dựng, Kỹ sư Kinh tế Xây dựng</t>
        </is>
      </c>
      <c r="M5876" s="10" t="inlineStr">
        <is>
          <t>Healthcare Plan, Awards, Canteen, Others</t>
        </is>
      </c>
      <c r="N5876" s="11">
        <f>HYPERLINK("https://www.vietnamworks.com/ky-su-giam-sat-xay-dung-2016652-jv","Xem chi tiết")</f>
        <v/>
      </c>
      <c r="O5876" s="10" t="n"/>
    </row>
    <row r="5877">
      <c r="B5877" s="7" t="n">
        <v>5875</v>
      </c>
      <c r="C5877" t="inlineStr">
        <is>
          <t>Account / Project Coordinator</t>
        </is>
      </c>
      <c r="D5877" t="inlineStr">
        <is>
          <t>Công Ty TNHH Module K Vietnam</t>
        </is>
      </c>
      <c r="E5877" t="inlineStr">
        <is>
          <t>12tr-20tr ₫/tháng</t>
        </is>
      </c>
      <c r="F5877" t="inlineStr">
        <is>
          <t>Hồ Chí Minh</t>
        </is>
      </c>
      <c r="G5877" t="inlineStr">
        <is>
          <t>Nhân viên</t>
        </is>
      </c>
      <c r="H5877" t="inlineStr">
        <is>
          <t>02/03/2026</t>
        </is>
      </c>
      <c r="I5877" t="inlineStr">
        <is>
          <t>01/04/2026</t>
        </is>
      </c>
      <c r="J5877" t="inlineStr">
        <is>
          <t>17/03/2026</t>
        </is>
      </c>
      <c r="K5877" t="inlineStr">
        <is>
          <t>N/A</t>
        </is>
      </c>
      <c r="L5877" t="inlineStr">
        <is>
          <t>Client Service Management, Project Coordination, Communication Skills, Solution Oriented, Systematic Thinking</t>
        </is>
      </c>
      <c r="M5877" t="inlineStr">
        <is>
          <t>Bonus, Training, Travel Opportunities</t>
        </is>
      </c>
      <c r="N5877" s="8">
        <f>HYPERLINK("https://www.vietnamworks.com/account-project-coordinator-2016655-jv","Xem chi tiết")</f>
        <v/>
      </c>
    </row>
    <row r="5878">
      <c r="B5878" s="9" t="n">
        <v>5876</v>
      </c>
      <c r="C5878" s="10" t="inlineStr">
        <is>
          <t>Accounts Payable Accountant</t>
        </is>
      </c>
      <c r="D5878" s="10" t="inlineStr">
        <is>
          <t>Decathlon Vietnam</t>
        </is>
      </c>
      <c r="E5878" s="10" t="inlineStr">
        <is>
          <t>Thương lượng</t>
        </is>
      </c>
      <c r="F5878" s="10" t="inlineStr">
        <is>
          <t>Hồ Chí Minh</t>
        </is>
      </c>
      <c r="G5878" s="10" t="inlineStr">
        <is>
          <t>Mới Tốt Nghiệp</t>
        </is>
      </c>
      <c r="H5878" s="10" t="inlineStr">
        <is>
          <t>02/03/2026</t>
        </is>
      </c>
      <c r="I5878" s="10" t="inlineStr">
        <is>
          <t>01/04/2026</t>
        </is>
      </c>
      <c r="J5878" s="10" t="inlineStr">
        <is>
          <t>17/03/2026</t>
        </is>
      </c>
      <c r="K5878" s="10" t="inlineStr">
        <is>
          <t>N/A</t>
        </is>
      </c>
      <c r="L5878" s="10" t="inlineStr">
        <is>
          <t>Account Payable, Accounting, English, MOS Excel</t>
        </is>
      </c>
      <c r="M5878" s="10" t="inlineStr">
        <is>
          <t>Paid Leave</t>
        </is>
      </c>
      <c r="N5878" s="11">
        <f>HYPERLINK("https://www.vietnamworks.com/accounts-payable-accountant-23-2016642-jv","Xem chi tiết")</f>
        <v/>
      </c>
      <c r="O5878" s="10" t="n"/>
    </row>
    <row r="5879">
      <c r="B5879" s="7" t="n">
        <v>5877</v>
      </c>
      <c r="C5879" t="inlineStr">
        <is>
          <t>Nhân Viên Cấp Cao Phòng Mua Hàng</t>
        </is>
      </c>
      <c r="D5879" t="inlineStr">
        <is>
          <t>Kaga Electronics (Viet Nam) Co.,Ltd</t>
        </is>
      </c>
      <c r="E5879" t="inlineStr">
        <is>
          <t>Thương lượng</t>
        </is>
      </c>
      <c r="F5879" t="inlineStr">
        <is>
          <t>Hưng Yên</t>
        </is>
      </c>
      <c r="G5879" t="inlineStr">
        <is>
          <t>Trưởng phòng</t>
        </is>
      </c>
      <c r="H5879" t="inlineStr">
        <is>
          <t>02/03/2026</t>
        </is>
      </c>
      <c r="I5879" t="inlineStr">
        <is>
          <t>01/04/2026</t>
        </is>
      </c>
      <c r="J5879" t="inlineStr">
        <is>
          <t>17/03/2026</t>
        </is>
      </c>
      <c r="K5879" t="inlineStr">
        <is>
          <t>N/A</t>
        </is>
      </c>
      <c r="L5879" t="inlineStr">
        <is>
          <t>Mua Hàng Trong Nước, Quản Lý Đội Nhóm, Giao Tiếp Tiếng Nhật Bản, Phân Tích Chi Phí, Quản trị Kinh doanh</t>
        </is>
      </c>
      <c r="M5879" t="inlineStr">
        <is>
          <t>Bonus, Healthcare Plan, Canteen</t>
        </is>
      </c>
      <c r="N5879" s="8">
        <f>HYPERLINK("https://www.vietnamworks.com/nhan-vien-cap-cao-phong-mua-hang-2016653-jv","Xem chi tiết")</f>
        <v/>
      </c>
    </row>
    <row r="5880">
      <c r="B5880" s="9" t="n">
        <v>5878</v>
      </c>
      <c r="C5880" s="10" t="inlineStr">
        <is>
          <t>Chinese Trilingual Interpreter (VNENCN) / Phiên dịch văn phòng tiếng Trung</t>
        </is>
      </c>
      <c r="D5880" s="10" t="inlineStr">
        <is>
          <t>CÔNG TY TNHH AMPHENOL TECHNOLOGY VIỆT NAM</t>
        </is>
      </c>
      <c r="E5880" s="10" t="inlineStr">
        <is>
          <t>Thương lượng</t>
        </is>
      </c>
      <c r="F5880" s="10" t="inlineStr">
        <is>
          <t>Quốc tế</t>
        </is>
      </c>
      <c r="G5880" s="10" t="inlineStr">
        <is>
          <t>Nhân viên</t>
        </is>
      </c>
      <c r="H5880" s="10" t="inlineStr">
        <is>
          <t>02/03/2026</t>
        </is>
      </c>
      <c r="I5880" s="10" t="inlineStr">
        <is>
          <t>01/04/2026</t>
        </is>
      </c>
      <c r="J5880" s="10" t="inlineStr">
        <is>
          <t>17/03/2026</t>
        </is>
      </c>
      <c r="K5880" s="10" t="inlineStr">
        <is>
          <t>N/A</t>
        </is>
      </c>
      <c r="L5880" s="10" t="inlineStr">
        <is>
          <t>Biên Dịch Tiếng Trung, Interpreter, Ngoại Ngữ Tiếng Trung Hsk 6, Thông Thạo Tiếng Hoa, Tiếng Anh lưu loát</t>
        </is>
      </c>
      <c r="M5880" s="10" t="inlineStr">
        <is>
          <t>Bonus, Healthcare Plan, Travel Opportunities, Transportation</t>
        </is>
      </c>
      <c r="N5880" s="11">
        <f>HYPERLINK("https://www.vietnamworks.com/chinese-trilingual-interpreter-vnencn-phien-dich-van-phong-tieng-trung-2016658-jv","Xem chi tiết")</f>
        <v/>
      </c>
      <c r="O5880" s="10" t="n"/>
    </row>
    <row r="5881">
      <c r="B5881" s="7" t="n">
        <v>5879</v>
      </c>
      <c r="C5881" t="inlineStr">
        <is>
          <t>Trưởng Phòng Tài Chính Kế Toán</t>
        </is>
      </c>
      <c r="D5881" t="inlineStr">
        <is>
          <t>Công ty TNHH TMDV XNK Bầu Trời Mới Việt Nam</t>
        </is>
      </c>
      <c r="E5881" t="inlineStr">
        <is>
          <t>35tr-40tr ₫/tháng</t>
        </is>
      </c>
      <c r="F5881" t="inlineStr">
        <is>
          <t>Hồ Chí Minh</t>
        </is>
      </c>
      <c r="G5881" t="inlineStr">
        <is>
          <t>Nhân viên</t>
        </is>
      </c>
      <c r="H5881" t="inlineStr">
        <is>
          <t>02/03/2026</t>
        </is>
      </c>
      <c r="I5881" t="inlineStr">
        <is>
          <t>01/04/2026</t>
        </is>
      </c>
      <c r="J5881" t="inlineStr">
        <is>
          <t>17/03/2026</t>
        </is>
      </c>
      <c r="K5881" t="inlineStr">
        <is>
          <t>N/A</t>
        </is>
      </c>
      <c r="L5881" t="inlineStr">
        <is>
          <t>Kế Toán, Phân tích dữ liệu, Quản Lý Tài Chính, Kiểm Toán, Gia Công Áp Lực</t>
        </is>
      </c>
      <c r="M5881" t="inlineStr">
        <is>
          <t>Bonus, Healthcare Plan, Paid Leave, Travel Opportunities, Team Activities, Others</t>
        </is>
      </c>
      <c r="N5881" s="8">
        <f>HYPERLINK("https://www.vietnamworks.com/truong-phong-tai-chinh-ke-toan-2016648-jv","Xem chi tiết")</f>
        <v/>
      </c>
    </row>
    <row r="5882">
      <c r="B5882" s="9" t="n">
        <v>5880</v>
      </c>
      <c r="C5882" s="10" t="inlineStr">
        <is>
          <t>Deputy Business Development Director</t>
        </is>
      </c>
      <c r="D5882" s="10" t="inlineStr">
        <is>
          <t>Chicilon Media</t>
        </is>
      </c>
      <c r="E5882" s="10" t="inlineStr">
        <is>
          <t>Thương lượng</t>
        </is>
      </c>
      <c r="F5882" s="10" t="inlineStr">
        <is>
          <t>Hồ Chí Minh</t>
        </is>
      </c>
      <c r="G5882" s="10" t="inlineStr">
        <is>
          <t>Giám Đốc và Cấp Cao Hơn</t>
        </is>
      </c>
      <c r="H5882" s="10" t="inlineStr">
        <is>
          <t>02/03/2026</t>
        </is>
      </c>
      <c r="I5882" s="10" t="inlineStr">
        <is>
          <t>01/04/2026</t>
        </is>
      </c>
      <c r="J5882" s="10" t="inlineStr">
        <is>
          <t>17/03/2026</t>
        </is>
      </c>
      <c r="K5882" s="10" t="inlineStr">
        <is>
          <t>N/A</t>
        </is>
      </c>
      <c r="L5882" s="10" t="inlineStr">
        <is>
          <t>Strategy Development, English, Sales Strategy, Stakeholder Management, Media sales</t>
        </is>
      </c>
      <c r="M5882" s="10" t="inlineStr">
        <is>
          <t>Bonus, Healthcare Plan, Library, Laptop</t>
        </is>
      </c>
      <c r="N5882" s="11">
        <f>HYPERLINK("https://www.vietnamworks.com/deputy-business-development-director-2016656-jv","Xem chi tiết")</f>
        <v/>
      </c>
      <c r="O5882" s="10" t="n"/>
    </row>
    <row r="5883">
      <c r="B5883" s="7" t="n">
        <v>5881</v>
      </c>
      <c r="C5883" t="inlineStr">
        <is>
          <t>Brand Specialist</t>
        </is>
      </c>
      <c r="D5883" t="inlineStr">
        <is>
          <t>Wilmar CLV</t>
        </is>
      </c>
      <c r="E5883" t="inlineStr">
        <is>
          <t>Thương lượng</t>
        </is>
      </c>
      <c r="F5883" t="inlineStr">
        <is>
          <t>Hồ Chí Minh</t>
        </is>
      </c>
      <c r="G5883" t="inlineStr">
        <is>
          <t>Nhân viên</t>
        </is>
      </c>
      <c r="H5883" t="inlineStr">
        <is>
          <t>02/03/2026</t>
        </is>
      </c>
      <c r="I5883" t="inlineStr">
        <is>
          <t>01/04/2026</t>
        </is>
      </c>
      <c r="J5883" t="inlineStr">
        <is>
          <t>17/03/2026</t>
        </is>
      </c>
      <c r="K5883" t="inlineStr">
        <is>
          <t>N/A</t>
        </is>
      </c>
      <c r="L5883" t="inlineStr">
        <is>
          <t>Market Knowledge, Advertising Management, Market research knowledge, Data Analysis, Effective Communication</t>
        </is>
      </c>
      <c r="M5883" t="inlineStr">
        <is>
          <t>Healthcare Plan, Training, Vouchers</t>
        </is>
      </c>
      <c r="N5883" s="8">
        <f>HYPERLINK("https://www.vietnamworks.com/brand-specialist-2016657-jv","Xem chi tiết")</f>
        <v/>
      </c>
    </row>
    <row r="5884">
      <c r="B5884" s="9" t="n">
        <v>5882</v>
      </c>
      <c r="C5884" s="10" t="inlineStr">
        <is>
          <t>Nhân Viên Bán Hàng Vinamilk Kênh GT (Toàn Quốc)</t>
        </is>
      </c>
      <c r="D5884" s="10" t="inlineStr">
        <is>
          <t>Công Ty Cổ Phần Sữa Việt Nam (Vinamilk)</t>
        </is>
      </c>
      <c r="E5884" s="10" t="inlineStr">
        <is>
          <t>Thương lượng</t>
        </is>
      </c>
      <c r="F5884" s="10" t="inlineStr">
        <is>
          <t>Đà Nẵng, Hồ Chí Minh, Hà Nội</t>
        </is>
      </c>
      <c r="G5884" s="10" t="inlineStr">
        <is>
          <t>Mới Tốt Nghiệp</t>
        </is>
      </c>
      <c r="H5884" s="10" t="inlineStr">
        <is>
          <t>02/03/2026</t>
        </is>
      </c>
      <c r="I5884" s="10" t="inlineStr">
        <is>
          <t>01/04/2026</t>
        </is>
      </c>
      <c r="J5884" s="10" t="inlineStr">
        <is>
          <t>17/03/2026</t>
        </is>
      </c>
      <c r="K5884" s="10" t="inlineStr">
        <is>
          <t>N/A</t>
        </is>
      </c>
      <c r="L5884" s="10" t="inlineStr">
        <is>
          <t>Bán hàng, Sales, FMCG, Kênh Gt, Kinh Doanh</t>
        </is>
      </c>
      <c r="M5884" s="10" t="inlineStr">
        <is>
          <t>Bonus, Healthcare Plan, Training</t>
        </is>
      </c>
      <c r="N5884" s="11">
        <f>HYPERLINK("https://www.vietnamworks.com/nhan-vien-ban-hang-vinamilk-kenh-gt-toan-quoc-2016645-jv","Xem chi tiết")</f>
        <v/>
      </c>
      <c r="O5884" s="10" t="n"/>
    </row>
    <row r="5885">
      <c r="B5885" s="7" t="n">
        <v>5883</v>
      </c>
      <c r="C5885" t="inlineStr">
        <is>
          <t>Trưởng Bộ Phận Quản Lý Chuỗi Cung Ứng (Có Xe Đưa Đón Nội Thành Hà Nội - KCN Quang Minh)</t>
        </is>
      </c>
      <c r="D5885" t="inlineStr">
        <is>
          <t>Công Ty Cổ Phần Cơ Khí Chính Xác Smart Việt Nam</t>
        </is>
      </c>
      <c r="E5885" t="inlineStr">
        <is>
          <t>Thương lượng</t>
        </is>
      </c>
      <c r="F5885" t="inlineStr">
        <is>
          <t>Hà Nội</t>
        </is>
      </c>
      <c r="G5885" t="inlineStr">
        <is>
          <t>Trưởng phòng</t>
        </is>
      </c>
      <c r="H5885" t="inlineStr">
        <is>
          <t>02/03/2026</t>
        </is>
      </c>
      <c r="I5885" t="inlineStr">
        <is>
          <t>01/04/2026</t>
        </is>
      </c>
      <c r="J5885" t="inlineStr">
        <is>
          <t>17/03/2026</t>
        </is>
      </c>
      <c r="K5885" t="inlineStr">
        <is>
          <t>N/A</t>
        </is>
      </c>
      <c r="L5885" t="inlineStr">
        <is>
          <t>Mua Hàng, Quản Lý Cung Ứng, Quản Lý Tồn Kho, Tiếng Trung, Khai Báo Hải Quan</t>
        </is>
      </c>
      <c r="M5885" t="inlineStr">
        <is>
          <t>Bonus, Healthcare Plan, Others</t>
        </is>
      </c>
      <c r="N5885" s="8">
        <f>HYPERLINK("https://www.vietnamworks.com/truong-bo-phan-quan-ly-chuoi-cung-ung-co-xe-dua-don-noi-thanh-ha-noi-kcn-quang-minh-2016664-jv","Xem chi tiết")</f>
        <v/>
      </c>
    </row>
    <row r="5886">
      <c r="B5886" s="9" t="n">
        <v>5884</v>
      </c>
      <c r="C5886" s="10" t="inlineStr">
        <is>
          <t>Mua Hàng Trong Nước/ Quốc Tế (Tiếng Trung)</t>
        </is>
      </c>
      <c r="D5886" s="10" t="inlineStr">
        <is>
          <t>Công Ty Cổ Phần Cơ Khí Chính Xác Smart Việt Nam</t>
        </is>
      </c>
      <c r="E5886" s="10" t="inlineStr">
        <is>
          <t>Thương lượng</t>
        </is>
      </c>
      <c r="F5886" s="10" t="inlineStr">
        <is>
          <t>Hà Nội</t>
        </is>
      </c>
      <c r="G5886" s="10" t="inlineStr">
        <is>
          <t>Nhân viên</t>
        </is>
      </c>
      <c r="H5886" s="10" t="inlineStr">
        <is>
          <t>02/03/2026</t>
        </is>
      </c>
      <c r="I5886" s="10" t="inlineStr">
        <is>
          <t>01/04/2026</t>
        </is>
      </c>
      <c r="J5886" s="10" t="inlineStr">
        <is>
          <t>17/03/2026</t>
        </is>
      </c>
      <c r="K5886" s="10" t="inlineStr">
        <is>
          <t>N/A</t>
        </is>
      </c>
      <c r="L5886" s="10" t="inlineStr">
        <is>
          <t>Mua Hàng, Quản Lý Cung Ứng, Quản Lý Tồn Kho, Quản Trị Kinh Doanh, Tiếng Trung</t>
        </is>
      </c>
      <c r="M5886" s="10" t="inlineStr">
        <is>
          <t>Bonus, Healthcare Plan, Others</t>
        </is>
      </c>
      <c r="N5886" s="11">
        <f>HYPERLINK("https://www.vietnamworks.com/mua-hang-trong-nuoc-quoc-te-tieng-trung-2016666-jv","Xem chi tiết")</f>
        <v/>
      </c>
      <c r="O5886" s="10" t="n"/>
    </row>
    <row r="5887">
      <c r="B5887" s="7" t="n">
        <v>5885</v>
      </c>
      <c r="C5887" t="inlineStr">
        <is>
          <t>Phó Trưởng Phòng Kinh Doanh</t>
        </is>
      </c>
      <c r="D5887" t="inlineStr">
        <is>
          <t>Tổng Công Ty Bưu Điện Việt Nam - VNPOST</t>
        </is>
      </c>
      <c r="E5887" t="inlineStr">
        <is>
          <t>25tr-35tr ₫/tháng</t>
        </is>
      </c>
      <c r="F5887" t="inlineStr">
        <is>
          <t>Hà Nội</t>
        </is>
      </c>
      <c r="G5887" t="inlineStr">
        <is>
          <t>Trưởng phòng</t>
        </is>
      </c>
      <c r="H5887" t="inlineStr">
        <is>
          <t>02/03/2026</t>
        </is>
      </c>
      <c r="I5887" t="inlineStr">
        <is>
          <t>01/04/2026</t>
        </is>
      </c>
      <c r="J5887" t="inlineStr">
        <is>
          <t>17/03/2026</t>
        </is>
      </c>
      <c r="K5887" t="inlineStr">
        <is>
          <t>N/A</t>
        </is>
      </c>
      <c r="L5887" t="inlineStr">
        <is>
          <t>Giao Tiếp, Kinh doanh dịch vụ CNTT, Lãnh Đạo, Quản Trị Đội Ngũ, Xây Dựng Chiến Lược</t>
        </is>
      </c>
      <c r="M5887" t="inlineStr">
        <is>
          <t>Bonus, Healthcare Plan, Training, Team Activities, Others</t>
        </is>
      </c>
      <c r="N5887" s="8">
        <f>HYPERLINK("https://www.vietnamworks.com/pho-truong-phong-kinh-doanh-2016646-jv","Xem chi tiết")</f>
        <v/>
      </c>
    </row>
    <row r="5888">
      <c r="B5888" s="9" t="n">
        <v>5886</v>
      </c>
      <c r="C5888" s="10" t="inlineStr">
        <is>
          <t>Chuyên Viên IoT (IoT Platform &amp; Digital Twin)</t>
        </is>
      </c>
      <c r="D5888" s="10" t="inlineStr">
        <is>
          <t>Tổng Công Ty Bưu Điện Việt Nam - VNPOST</t>
        </is>
      </c>
      <c r="E5888" s="10" t="inlineStr">
        <is>
          <t>20tr-40tr ₫/tháng</t>
        </is>
      </c>
      <c r="F5888" s="10" t="inlineStr">
        <is>
          <t>Hà Nội</t>
        </is>
      </c>
      <c r="G5888" s="10" t="inlineStr">
        <is>
          <t>Nhân viên</t>
        </is>
      </c>
      <c r="H5888" s="10" t="inlineStr">
        <is>
          <t>02/03/2026</t>
        </is>
      </c>
      <c r="I5888" s="10" t="inlineStr">
        <is>
          <t>01/04/2026</t>
        </is>
      </c>
      <c r="J5888" s="10" t="inlineStr">
        <is>
          <t>17/03/2026</t>
        </is>
      </c>
      <c r="K5888" s="10" t="inlineStr">
        <is>
          <t>N/A</t>
        </is>
      </c>
      <c r="L5888" s="10" t="inlineStr">
        <is>
          <t>Cloud Data, Digital Twin, IoT Solutions, Solution Architecture, System Thinking</t>
        </is>
      </c>
      <c r="M5888" s="10" t="inlineStr">
        <is>
          <t>Bonus, Healthcare Plan, Training, Team Activities, Others</t>
        </is>
      </c>
      <c r="N5888" s="11">
        <f>HYPERLINK("https://www.vietnamworks.com/chuyen-vien-iot-iot-platform-and-digital-twin-2016643-jv","Xem chi tiết")</f>
        <v/>
      </c>
      <c r="O5888" s="10" t="n"/>
    </row>
    <row r="5889">
      <c r="B5889" s="7" t="n">
        <v>5887</v>
      </c>
      <c r="C5889" t="inlineStr">
        <is>
          <t>Nhân Viên Kế Toán Giá Thành</t>
        </is>
      </c>
      <c r="D5889" t="inlineStr">
        <is>
          <t>Công Ty Cổ Phần Cơ Khí Chính Xác Smart Việt Nam</t>
        </is>
      </c>
      <c r="E5889" t="inlineStr">
        <is>
          <t>18tr-20tr ₫/tháng</t>
        </is>
      </c>
      <c r="F5889" t="inlineStr">
        <is>
          <t>Hà Nội</t>
        </is>
      </c>
      <c r="G5889" t="inlineStr">
        <is>
          <t>Nhân viên</t>
        </is>
      </c>
      <c r="H5889" t="inlineStr">
        <is>
          <t>02/03/2026</t>
        </is>
      </c>
      <c r="I5889" t="inlineStr">
        <is>
          <t>01/04/2026</t>
        </is>
      </c>
      <c r="J5889" t="inlineStr">
        <is>
          <t>17/03/2026</t>
        </is>
      </c>
      <c r="K5889" t="inlineStr">
        <is>
          <t>N/A</t>
        </is>
      </c>
      <c r="L5889" t="inlineStr">
        <is>
          <t>Hạch Toán, Kế Toán, Phân Tích Số Liệu, Sử Dụng Excel, Tính Giá Thành</t>
        </is>
      </c>
      <c r="M5889" t="inlineStr">
        <is>
          <t>Bonus, Healthcare Plan, Others</t>
        </is>
      </c>
      <c r="N5889" s="8">
        <f>HYPERLINK("https://www.vietnamworks.com/nhan-vien-ke-toan-gia-thanh-2016671-jv","Xem chi tiết")</f>
        <v/>
      </c>
    </row>
    <row r="5890">
      <c r="B5890" s="9" t="n">
        <v>5888</v>
      </c>
      <c r="C5890" s="10" t="inlineStr">
        <is>
          <t>[Tuyển Gấp] Nhân Viên Lập Kế Hoạch Sản Xuất</t>
        </is>
      </c>
      <c r="D5890" s="10" t="inlineStr">
        <is>
          <t>Công Ty Cổ Phần Cơ Khí Chính Xác Smart Việt Nam</t>
        </is>
      </c>
      <c r="E5890" s="10" t="inlineStr">
        <is>
          <t>$$ 12tr-15tr /tháng</t>
        </is>
      </c>
      <c r="F5890" s="10" t="inlineStr">
        <is>
          <t>Hà Nội</t>
        </is>
      </c>
      <c r="G5890" s="10" t="inlineStr">
        <is>
          <t>Nhân viên</t>
        </is>
      </c>
      <c r="H5890" s="10" t="inlineStr">
        <is>
          <t>02/03/2026</t>
        </is>
      </c>
      <c r="I5890" s="10" t="inlineStr">
        <is>
          <t>01/04/2026</t>
        </is>
      </c>
      <c r="J5890" s="10" t="inlineStr">
        <is>
          <t>17/03/2026</t>
        </is>
      </c>
      <c r="K5890" s="10" t="inlineStr">
        <is>
          <t>N/A</t>
        </is>
      </c>
      <c r="L5890" s="10" t="inlineStr">
        <is>
          <t>Lập Kế Hoạch Sản Xuất, Cân Bằng Tải, Cơ Khí Chế Tạo, MRP, Quản Lý Sản Xuất</t>
        </is>
      </c>
      <c r="M5890" s="10" t="inlineStr">
        <is>
          <t>Bonus, Healthcare Plan, Others</t>
        </is>
      </c>
      <c r="N5890" s="11">
        <f>HYPERLINK("https://www.vietnamworks.com/tuyen-gap-nhan-vien-lap-ke-hoach-san-xuat-2016667-jv","Xem chi tiết")</f>
        <v/>
      </c>
      <c r="O5890" s="10" t="n"/>
    </row>
    <row r="5891">
      <c r="B5891" s="7" t="n">
        <v>5889</v>
      </c>
      <c r="C5891" t="inlineStr">
        <is>
          <t>Quản Lý Showroom</t>
        </is>
      </c>
      <c r="D5891" t="inlineStr">
        <is>
          <t>Chi Nhánh Công Ty Cổ Phần Everpia</t>
        </is>
      </c>
      <c r="E5891" t="inlineStr">
        <is>
          <t>Thương lượng</t>
        </is>
      </c>
      <c r="F5891" t="inlineStr">
        <is>
          <t>Hồ Chí Minh</t>
        </is>
      </c>
      <c r="G5891" t="inlineStr">
        <is>
          <t>Trưởng phòng</t>
        </is>
      </c>
      <c r="H5891" t="inlineStr">
        <is>
          <t>02/03/2026</t>
        </is>
      </c>
      <c r="I5891" t="inlineStr">
        <is>
          <t>01/04/2026</t>
        </is>
      </c>
      <c r="J5891" t="inlineStr">
        <is>
          <t>17/03/2026</t>
        </is>
      </c>
      <c r="K5891" t="inlineStr">
        <is>
          <t>N/A</t>
        </is>
      </c>
      <c r="L5891" t="inlineStr">
        <is>
          <t>Quản Lý Showroom, Kinh Doanh, Bán Hàng, Store Operation, Showroom Management</t>
        </is>
      </c>
      <c r="M5891" t="inlineStr">
        <is>
          <t>Bonus, Training, Travel Opportunities</t>
        </is>
      </c>
      <c r="N5891" s="8">
        <f>HYPERLINK("https://www.vietnamworks.com/quan-ly-showroom--2016663-jv","Xem chi tiết")</f>
        <v/>
      </c>
    </row>
    <row r="5892">
      <c r="B5892" s="9" t="n">
        <v>5890</v>
      </c>
      <c r="C5892" s="10" t="inlineStr">
        <is>
          <t>[Tuyển Gấp] Nhân Viên Kế Toán Tổng Hợp (15- 20 Triệu/ Tháng)</t>
        </is>
      </c>
      <c r="D5892" s="10" t="inlineStr">
        <is>
          <t>Công Ty Cổ Phần Cơ Khí Chính Xác Smart Việt Nam</t>
        </is>
      </c>
      <c r="E5892" s="10" t="inlineStr">
        <is>
          <t>15tr-20tr ₫/tháng</t>
        </is>
      </c>
      <c r="F5892" s="10" t="inlineStr">
        <is>
          <t>Hà Nội</t>
        </is>
      </c>
      <c r="G5892" s="10" t="inlineStr">
        <is>
          <t>Nhân viên</t>
        </is>
      </c>
      <c r="H5892" s="10" t="inlineStr">
        <is>
          <t>02/03/2026</t>
        </is>
      </c>
      <c r="I5892" s="10" t="inlineStr">
        <is>
          <t>01/04/2026</t>
        </is>
      </c>
      <c r="J5892" s="10" t="inlineStr">
        <is>
          <t>17/03/2026</t>
        </is>
      </c>
      <c r="K5892" s="10" t="inlineStr">
        <is>
          <t>N/A</t>
        </is>
      </c>
      <c r="L5892" s="10" t="inlineStr">
        <is>
          <t>Kế Toán Tổng Hợp, Kiểm Toán, Lập Báo Cáo Tài Chính, Lập Báo Cáo Thuế, Tài Chính</t>
        </is>
      </c>
      <c r="M5892" s="10" t="inlineStr">
        <is>
          <t>Bonus, Healthcare Plan, Others</t>
        </is>
      </c>
      <c r="N5892" s="11">
        <f>HYPERLINK("https://www.vietnamworks.com/tuyen-gap-nhan-vien-ke-toan-tong-hop-15-20-trieu-thang-2016670-jv","Xem chi tiết")</f>
        <v/>
      </c>
      <c r="O5892" s="10" t="n"/>
    </row>
    <row r="5893">
      <c r="B5893" s="7" t="n">
        <v>5891</v>
      </c>
      <c r="C5893" t="inlineStr">
        <is>
          <t>[Tuyển Gấp] Kế Toán Trưởng</t>
        </is>
      </c>
      <c r="D5893" t="inlineStr">
        <is>
          <t>Công Ty Cổ Phần Cơ Khí Chính Xác Smart Việt Nam</t>
        </is>
      </c>
      <c r="E5893" t="inlineStr">
        <is>
          <t>25tr-30tr ₫/tháng</t>
        </is>
      </c>
      <c r="F5893" t="inlineStr">
        <is>
          <t>Hà Nội</t>
        </is>
      </c>
      <c r="G5893" t="inlineStr">
        <is>
          <t>Nhân viên</t>
        </is>
      </c>
      <c r="H5893" t="inlineStr">
        <is>
          <t>02/03/2026</t>
        </is>
      </c>
      <c r="I5893" t="inlineStr">
        <is>
          <t>01/04/2026</t>
        </is>
      </c>
      <c r="J5893" t="inlineStr">
        <is>
          <t>17/03/2026</t>
        </is>
      </c>
      <c r="K5893" t="inlineStr">
        <is>
          <t>N/A</t>
        </is>
      </c>
      <c r="L5893" t="inlineStr">
        <is>
          <t>Kế Toán Tổng Hợp, Kiểm Toán, Lập Báo Cáo Tài Chính, Lập Báo Cáo Thuế, Tài Chính</t>
        </is>
      </c>
      <c r="M5893" t="inlineStr">
        <is>
          <t>Bonus, Healthcare Plan, Others</t>
        </is>
      </c>
      <c r="N5893" s="8">
        <f>HYPERLINK("https://www.vietnamworks.com/tuyen-gap-ke-toan-truong-2016669-jv","Xem chi tiết")</f>
        <v/>
      </c>
    </row>
    <row r="5894">
      <c r="B5894" s="9" t="n">
        <v>5892</v>
      </c>
      <c r="C5894" s="10" t="inlineStr">
        <is>
          <t>Kế Toán</t>
        </is>
      </c>
      <c r="D5894" s="10" t="inlineStr">
        <is>
          <t>Công Ty TNHH Providence Enterprise (Việt Nam)</t>
        </is>
      </c>
      <c r="E5894" s="10" t="inlineStr">
        <is>
          <t>Thương lượng</t>
        </is>
      </c>
      <c r="F5894" s="10" t="inlineStr">
        <is>
          <t>Hải Phòng</t>
        </is>
      </c>
      <c r="G5894" s="10" t="inlineStr">
        <is>
          <t>Nhân viên</t>
        </is>
      </c>
      <c r="H5894" s="10" t="inlineStr">
        <is>
          <t>02/03/2026</t>
        </is>
      </c>
      <c r="I5894" s="10" t="inlineStr">
        <is>
          <t>01/04/2026</t>
        </is>
      </c>
      <c r="J5894" s="10" t="inlineStr">
        <is>
          <t>17/03/2026</t>
        </is>
      </c>
      <c r="K5894" s="10" t="inlineStr">
        <is>
          <t>N/A</t>
        </is>
      </c>
      <c r="L5894" s="10" t="inlineStr">
        <is>
          <t>Tiếng Trung, Tiếng Anh, Báo Cáo Tiền Vay, ERP, Khai Thuế</t>
        </is>
      </c>
      <c r="M5894" s="10" t="inlineStr">
        <is>
          <t>Bonus, Training, Awards</t>
        </is>
      </c>
      <c r="N5894" s="11">
        <f>HYPERLINK("https://www.vietnamworks.com/ke-toan-2016691-jv","Xem chi tiết")</f>
        <v/>
      </c>
      <c r="O5894" s="10" t="n"/>
    </row>
    <row r="5895">
      <c r="B5895" s="7" t="n">
        <v>5893</v>
      </c>
      <c r="C5895" t="inlineStr">
        <is>
          <t>Chuyên Viên Phát Triển Đại Lý Ngành Pickleball</t>
        </is>
      </c>
      <c r="D5895" t="inlineStr">
        <is>
          <t>Công Ty Cổ Phần Năng Lượng Kingtek</t>
        </is>
      </c>
      <c r="E5895" t="inlineStr">
        <is>
          <t>30tr-100tr ₫/tháng</t>
        </is>
      </c>
      <c r="F5895" t="inlineStr">
        <is>
          <t>Hồ Chí Minh</t>
        </is>
      </c>
      <c r="G5895" t="inlineStr">
        <is>
          <t>Nhân viên</t>
        </is>
      </c>
      <c r="H5895" t="inlineStr">
        <is>
          <t>02/03/2026</t>
        </is>
      </c>
      <c r="I5895" t="inlineStr">
        <is>
          <t>01/04/2026</t>
        </is>
      </c>
      <c r="J5895" t="inlineStr">
        <is>
          <t>17/03/2026</t>
        </is>
      </c>
      <c r="K5895" t="inlineStr">
        <is>
          <t>N/A</t>
        </is>
      </c>
      <c r="L5895" t="inlineStr">
        <is>
          <t>Business Development, B2B Sales, Sales, Kinh doanh &amp; Phát triển thị trường, Bán hàng &amp; Chăm sóc khách hàng</t>
        </is>
      </c>
      <c r="M5895" t="inlineStr">
        <is>
          <t>Bonus, Healthcare Plan, Training, Travel Opportunities, Others</t>
        </is>
      </c>
      <c r="N5895" s="8">
        <f>HYPERLINK("https://www.vietnamworks.com/chuyen-vien-phat-trien-dai-ly-nganh-pickleball-2016681-jv","Xem chi tiết")</f>
        <v/>
      </c>
    </row>
    <row r="5896">
      <c r="B5896" s="9" t="n">
        <v>5894</v>
      </c>
      <c r="C5896" s="10" t="inlineStr">
        <is>
          <t>生产管理部综合办事员Nhân Viên Hành Chính Phòng Quản Lý Sản Xuất (1人Người)</t>
        </is>
      </c>
      <c r="D5896" s="10" t="inlineStr">
        <is>
          <t>Vinh Tan 1 Power Company Limited</t>
        </is>
      </c>
      <c r="E5896" s="10" t="inlineStr">
        <is>
          <t>Thương lượng</t>
        </is>
      </c>
      <c r="F5896" s="10" t="inlineStr">
        <is>
          <t>Lâm Đồng</t>
        </is>
      </c>
      <c r="G5896" s="10" t="inlineStr">
        <is>
          <t>Nhân viên</t>
        </is>
      </c>
      <c r="H5896" s="10" t="inlineStr">
        <is>
          <t>02/03/2026</t>
        </is>
      </c>
      <c r="I5896" s="10" t="inlineStr">
        <is>
          <t>01/04/2026</t>
        </is>
      </c>
      <c r="J5896" s="10" t="inlineStr">
        <is>
          <t>17/03/2026</t>
        </is>
      </c>
      <c r="K5896" s="10" t="inlineStr">
        <is>
          <t>N/A</t>
        </is>
      </c>
      <c r="L5896" s="10" t="inlineStr">
        <is>
          <t>Administrative Management, Biên Phiên Dịch Tiếng Trung, Hành Chính Tổng Hợp, HSK5, Quản Lý Hậu Cần</t>
        </is>
      </c>
      <c r="M5896" s="10" t="inlineStr">
        <is>
          <t>Bonus, Healthcare Plan, Paid Leave, Canteen, Others</t>
        </is>
      </c>
      <c r="N5896" s="11">
        <f>HYPERLINK("https://www.vietnamworks.com/nhan-vien-hanh-chinh-phong-quan-ly-san-xuat-1nguoi-2016696-jv","Xem chi tiết")</f>
        <v/>
      </c>
      <c r="O5896" s="10" t="n"/>
    </row>
    <row r="5897">
      <c r="B5897" s="7" t="n">
        <v>5895</v>
      </c>
      <c r="C5897" t="inlineStr">
        <is>
          <t>Nhân Viên Môi Trường (Có Xe Đưa Đón Tuyến Hải Dương - Hưng Yên)</t>
        </is>
      </c>
      <c r="D5897" t="inlineStr">
        <is>
          <t>Công Ty TNHH Điện Tử UMC Việt Nam</t>
        </is>
      </c>
      <c r="E5897" t="inlineStr">
        <is>
          <t>$$ 350-450 /tháng</t>
        </is>
      </c>
      <c r="F5897" t="inlineStr">
        <is>
          <t>Bắc Ninh, Hải Phòng, Hưng Yên</t>
        </is>
      </c>
      <c r="G5897" t="inlineStr">
        <is>
          <t>Nhân viên</t>
        </is>
      </c>
      <c r="H5897" t="inlineStr">
        <is>
          <t>02/03/2026</t>
        </is>
      </c>
      <c r="I5897" t="inlineStr">
        <is>
          <t>01/04/2026</t>
        </is>
      </c>
      <c r="J5897" t="inlineStr">
        <is>
          <t>17/03/2026</t>
        </is>
      </c>
      <c r="K5897" t="inlineStr">
        <is>
          <t>N/A</t>
        </is>
      </c>
      <c r="L5897" t="inlineStr">
        <is>
          <t>Tiếng Anh, Mua Hàng, Làm Báo Giá Hợp Đồng</t>
        </is>
      </c>
      <c r="M5897" t="inlineStr">
        <is>
          <t>Bonus, Healthcare Plan, Training</t>
        </is>
      </c>
      <c r="N5897" s="8">
        <f>HYPERLINK("https://www.vietnamworks.com/nhan-vien-moi-truong-co-xe-dua-don-tuyen-hai-duong-hung-yen-2016684-jv","Xem chi tiết")</f>
        <v/>
      </c>
    </row>
    <row r="5898">
      <c r="B5898" s="9" t="n">
        <v>5896</v>
      </c>
      <c r="C5898" s="10" t="inlineStr">
        <is>
          <t>Quản Đốc Sản Xuất (Production Manager)_Công Ty Dược</t>
        </is>
      </c>
      <c r="D5898" s="10" t="inlineStr">
        <is>
          <t>Công Ty Cổ Phần Dược Phẩm Boston Việt Nam</t>
        </is>
      </c>
      <c r="E5898" s="10" t="inlineStr">
        <is>
          <t>Thương lượng</t>
        </is>
      </c>
      <c r="F5898" s="10" t="inlineStr">
        <is>
          <t>Hồ Chí Minh</t>
        </is>
      </c>
      <c r="G5898" s="10" t="inlineStr">
        <is>
          <t>Trưởng phòng</t>
        </is>
      </c>
      <c r="H5898" s="10" t="inlineStr">
        <is>
          <t>02/03/2026</t>
        </is>
      </c>
      <c r="I5898" s="10" t="inlineStr">
        <is>
          <t>01/04/2026</t>
        </is>
      </c>
      <c r="J5898" s="10" t="inlineStr">
        <is>
          <t>17/03/2026</t>
        </is>
      </c>
      <c r="K5898" s="10" t="inlineStr">
        <is>
          <t>N/A</t>
        </is>
      </c>
      <c r="L5898" s="10" t="inlineStr">
        <is>
          <t>Chuyên Môn Dược, Điều Chế Dược, Sản Xuất Dược, GMP EU</t>
        </is>
      </c>
      <c r="M5898" s="10" t="inlineStr">
        <is>
          <t>Bonus, Healthcare Plan, Others</t>
        </is>
      </c>
      <c r="N5898" s="11">
        <f>HYPERLINK("https://www.vietnamworks.com/quan-doc-san-xuat-production-manager-cong-ty-duoc-2016682-jv","Xem chi tiết")</f>
        <v/>
      </c>
      <c r="O5898" s="10" t="n"/>
    </row>
    <row r="5899">
      <c r="B5899" s="7" t="n">
        <v>5897</v>
      </c>
      <c r="C5899" t="inlineStr">
        <is>
          <t>Chuyên Viên Chăm Sóc Và Hỗ Trợ Khách Hàng</t>
        </is>
      </c>
      <c r="D5899" t="inlineStr">
        <is>
          <t>CÔNG TY TNHH TAXSEE VIỆT NAM</t>
        </is>
      </c>
      <c r="E5899" t="inlineStr">
        <is>
          <t>Thương lượng</t>
        </is>
      </c>
      <c r="F5899" t="inlineStr">
        <is>
          <t>Nghệ An</t>
        </is>
      </c>
      <c r="G5899" t="inlineStr">
        <is>
          <t>Mới Tốt Nghiệp</t>
        </is>
      </c>
      <c r="H5899" t="inlineStr">
        <is>
          <t>02/03/2026</t>
        </is>
      </c>
      <c r="I5899" t="inlineStr">
        <is>
          <t>01/04/2026</t>
        </is>
      </c>
      <c r="J5899" t="inlineStr">
        <is>
          <t>17/03/2026</t>
        </is>
      </c>
      <c r="K5899" t="inlineStr">
        <is>
          <t>N/A</t>
        </is>
      </c>
      <c r="L5899" t="inlineStr">
        <is>
          <t>Tư Vấn, Chăm Sóc Khách Hàng, Customer Services, CSKH, English</t>
        </is>
      </c>
      <c r="M5899" t="inlineStr">
        <is>
          <t>Bonus, Training, Others</t>
        </is>
      </c>
      <c r="N5899" s="8">
        <f>HYPERLINK("https://www.vietnamworks.com/chuyen-vien-cham-soc-va-ho-tro-khach-hang--2016674-jv","Xem chi tiết")</f>
        <v/>
      </c>
    </row>
    <row r="5900">
      <c r="B5900" s="9" t="n">
        <v>5898</v>
      </c>
      <c r="C5900" s="10" t="inlineStr">
        <is>
          <t>Chuyên Viên Phát Triển Kênh Phân Phối (Channel Development Executive)</t>
        </is>
      </c>
      <c r="D5900" s="10" t="inlineStr">
        <is>
          <t>Công ty TNHH THẨM MỸ MỸ PHẨM MEIXI</t>
        </is>
      </c>
      <c r="E5900" s="10" t="inlineStr">
        <is>
          <t>22tr-30tr ₫/tháng</t>
        </is>
      </c>
      <c r="F5900" s="10" t="inlineStr">
        <is>
          <t>Hồ Chí Minh</t>
        </is>
      </c>
      <c r="G5900" s="10" t="inlineStr">
        <is>
          <t>Nhân viên</t>
        </is>
      </c>
      <c r="H5900" s="10" t="inlineStr">
        <is>
          <t>02/03/2026</t>
        </is>
      </c>
      <c r="I5900" s="10" t="inlineStr">
        <is>
          <t>01/04/2026</t>
        </is>
      </c>
      <c r="J5900" s="10" t="inlineStr">
        <is>
          <t>17/03/2026</t>
        </is>
      </c>
      <c r="K5900" s="10" t="inlineStr">
        <is>
          <t>N/A</t>
        </is>
      </c>
      <c r="L5900" s="10" t="inlineStr">
        <is>
          <t>Quản Lý Kênh Phân Phối, Chuyên Viên Kinh Doanh, Kinh Doanh, Bán Hàng, Quản Lý Ngành Hàng</t>
        </is>
      </c>
      <c r="M5900" s="10" t="inlineStr">
        <is>
          <t>Bonus, Healthcare Plan, Others</t>
        </is>
      </c>
      <c r="N5900" s="11">
        <f>HYPERLINK("https://www.vietnamworks.com/chuyen-vien-phat-trien-kenh-phan-phoi-channel-development-executive-2016702-jv","Xem chi tiết")</f>
        <v/>
      </c>
      <c r="O5900" s="10" t="n"/>
    </row>
    <row r="5901">
      <c r="B5901" s="7" t="n">
        <v>5899</v>
      </c>
      <c r="C5901" t="inlineStr">
        <is>
          <t>Senior Software Engineer</t>
        </is>
      </c>
      <c r="D5901" t="inlineStr">
        <is>
          <t>Archetype Vietnam Ltd.</t>
        </is>
      </c>
      <c r="E5901" t="inlineStr">
        <is>
          <t>Thương lượng</t>
        </is>
      </c>
      <c r="F5901" t="inlineStr">
        <is>
          <t>Hồ Chí Minh</t>
        </is>
      </c>
      <c r="G5901" t="inlineStr">
        <is>
          <t>Nhân viên</t>
        </is>
      </c>
      <c r="H5901" t="inlineStr">
        <is>
          <t>02/03/2026</t>
        </is>
      </c>
      <c r="I5901" t="inlineStr">
        <is>
          <t>01/04/2026</t>
        </is>
      </c>
      <c r="J5901" t="inlineStr">
        <is>
          <t>17/03/2026</t>
        </is>
      </c>
      <c r="K5901" t="inlineStr">
        <is>
          <t>N/A</t>
        </is>
      </c>
      <c r="L5901" t="inlineStr">
        <is>
          <t>Information Technology, ERP, PHP, CI/CD, Project Management</t>
        </is>
      </c>
      <c r="M5901" t="inlineStr">
        <is>
          <t>Bonus, Team Activities, Others</t>
        </is>
      </c>
      <c r="N5901" s="8">
        <f>HYPERLINK("https://www.vietnamworks.com/senior-software-engineer--2016688-jv","Xem chi tiết")</f>
        <v/>
      </c>
    </row>
    <row r="5902">
      <c r="B5902" s="9" t="n">
        <v>5900</v>
      </c>
      <c r="C5902" s="10" t="inlineStr">
        <is>
          <t>Trưởng Bộ Phận Hành Chính Nhân Sự</t>
        </is>
      </c>
      <c r="D5902" s="10" t="inlineStr">
        <is>
          <t>Công Ty Du Học Du Lịch TMDV Á Âu</t>
        </is>
      </c>
      <c r="E5902" s="10" t="inlineStr">
        <is>
          <t>Thương lượng</t>
        </is>
      </c>
      <c r="F5902" s="10" t="inlineStr">
        <is>
          <t>Hồ Chí Minh</t>
        </is>
      </c>
      <c r="G5902" s="10" t="inlineStr">
        <is>
          <t>Trưởng phòng</t>
        </is>
      </c>
      <c r="H5902" s="10" t="inlineStr">
        <is>
          <t>02/03/2026</t>
        </is>
      </c>
      <c r="I5902" s="10" t="inlineStr">
        <is>
          <t>01/04/2026</t>
        </is>
      </c>
      <c r="J5902" s="10" t="inlineStr">
        <is>
          <t>17/03/2026</t>
        </is>
      </c>
      <c r="K5902" s="10" t="inlineStr">
        <is>
          <t>N/A</t>
        </is>
      </c>
      <c r="L5902" s="10" t="inlineStr">
        <is>
          <t>Nhân Sự, Chính Sách Lương Thưởng, Quản Lý Hành Chính Nhân Sự, Tuyển Dụng, Đánh Giá Nhân Sự</t>
        </is>
      </c>
      <c r="M5902" s="10" t="inlineStr">
        <is>
          <t>Bonus, Team Activities</t>
        </is>
      </c>
      <c r="N5902" s="11">
        <f>HYPERLINK("https://www.vietnamworks.com/truong-bo-phan-hanh-chinh-nhan-su-2016698-jv","Xem chi tiết")</f>
        <v/>
      </c>
      <c r="O5902" s="10" t="n"/>
    </row>
    <row r="5903">
      <c r="B5903" s="7" t="n">
        <v>5901</v>
      </c>
      <c r="C5903" t="inlineStr">
        <is>
          <t>Chief Accountant</t>
        </is>
      </c>
      <c r="D5903" t="inlineStr">
        <is>
          <t>Tialoc Vietnam Company Limited</t>
        </is>
      </c>
      <c r="E5903" t="inlineStr">
        <is>
          <t>Thương lượng</t>
        </is>
      </c>
      <c r="F5903" t="inlineStr">
        <is>
          <t>Hồ Chí Minh</t>
        </is>
      </c>
      <c r="G5903" t="inlineStr">
        <is>
          <t>Trưởng phòng</t>
        </is>
      </c>
      <c r="H5903" t="inlineStr">
        <is>
          <t>02/03/2026</t>
        </is>
      </c>
      <c r="I5903" t="inlineStr">
        <is>
          <t>01/04/2026</t>
        </is>
      </c>
      <c r="J5903" t="inlineStr">
        <is>
          <t>17/03/2026</t>
        </is>
      </c>
      <c r="K5903" t="inlineStr">
        <is>
          <t>N/A</t>
        </is>
      </c>
      <c r="L5903" t="inlineStr">
        <is>
          <t>Accounting, Cash Flow, Fast</t>
        </is>
      </c>
      <c r="M5903" t="inlineStr">
        <is>
          <t>Bonus, Healthcare Plan, Others</t>
        </is>
      </c>
      <c r="N5903" s="8">
        <f>HYPERLINK("https://www.vietnamworks.com/chief-accountant-2016693-jv","Xem chi tiết")</f>
        <v/>
      </c>
    </row>
    <row r="5904">
      <c r="B5904" s="9" t="n">
        <v>5902</v>
      </c>
      <c r="C5904" s="10" t="inlineStr">
        <is>
          <t>Sea Import &amp; Export Documentation Staff</t>
        </is>
      </c>
      <c r="D5904" s="10" t="inlineStr">
        <is>
          <t>Taewoong Global Logistics Vietnam CO., LTD</t>
        </is>
      </c>
      <c r="E5904" s="10" t="inlineStr">
        <is>
          <t>Thương lượng</t>
        </is>
      </c>
      <c r="F5904" s="10" t="inlineStr">
        <is>
          <t>Hồ Chí Minh</t>
        </is>
      </c>
      <c r="G5904" s="10" t="inlineStr">
        <is>
          <t>Nhân viên</t>
        </is>
      </c>
      <c r="H5904" s="10" t="inlineStr">
        <is>
          <t>02/03/2026</t>
        </is>
      </c>
      <c r="I5904" s="10" t="inlineStr">
        <is>
          <t>01/04/2026</t>
        </is>
      </c>
      <c r="J5904" s="10" t="inlineStr">
        <is>
          <t>17/03/2026</t>
        </is>
      </c>
      <c r="K5904" s="10" t="inlineStr">
        <is>
          <t>N/A</t>
        </is>
      </c>
      <c r="L5904" s="10" t="inlineStr">
        <is>
          <t>Freight Forwarding, Billing, Incoterms</t>
        </is>
      </c>
      <c r="M5904" s="10" t="inlineStr">
        <is>
          <t>Bonus, Healthcare Plan, Training</t>
        </is>
      </c>
      <c r="N5904" s="11">
        <f>HYPERLINK("https://www.vietnamworks.com/sea-import-and-export-documentation-staff-2016690-jv","Xem chi tiết")</f>
        <v/>
      </c>
      <c r="O5904" s="10" t="n"/>
    </row>
    <row r="5905">
      <c r="B5905" s="7" t="n">
        <v>5903</v>
      </c>
      <c r="C5905" t="inlineStr">
        <is>
          <t>Kế Toán Trưởng (Công Ty Sản Xuất)</t>
        </is>
      </c>
      <c r="D5905" t="inlineStr">
        <is>
          <t>CÔNG TY TNHH KỸ NGHỆ GT VIỆT NAM</t>
        </is>
      </c>
      <c r="E5905" t="inlineStr">
        <is>
          <t>Thương lượng</t>
        </is>
      </c>
      <c r="F5905" t="inlineStr">
        <is>
          <t>Đồng Nai</t>
        </is>
      </c>
      <c r="G5905" t="inlineStr">
        <is>
          <t>Trưởng phòng</t>
        </is>
      </c>
      <c r="H5905" t="inlineStr">
        <is>
          <t>02/03/2026</t>
        </is>
      </c>
      <c r="I5905" t="inlineStr">
        <is>
          <t>01/04/2026</t>
        </is>
      </c>
      <c r="J5905" t="inlineStr">
        <is>
          <t>17/03/2026</t>
        </is>
      </c>
      <c r="K5905" t="inlineStr">
        <is>
          <t>N/A</t>
        </is>
      </c>
      <c r="L5905" t="inlineStr">
        <is>
          <t>Báo Cáo Tài Chính, Quản Lý Hệ Thống Kế Toán, Giao Tiếp Tiếng Anh, Lập Báo Cáo Quản Trị, Lập Báo Cáo Tài Chính</t>
        </is>
      </c>
      <c r="M5905" t="inlineStr">
        <is>
          <t>Bonus</t>
        </is>
      </c>
      <c r="N5905" s="8">
        <f>HYPERLINK("https://www.vietnamworks.com/ke-toan-truong-cong-ty-san-xuat-2016700-jv","Xem chi tiết")</f>
        <v/>
      </c>
    </row>
    <row r="5906">
      <c r="B5906" s="9" t="n">
        <v>5904</v>
      </c>
      <c r="C5906" s="10" t="inlineStr">
        <is>
          <t>Kỹ Sư Chất Lượng (PQA, VQM, QE, ISO)</t>
        </is>
      </c>
      <c r="D5906" s="10" t="inlineStr">
        <is>
          <t>Wistron Neweb CORPORATION (WNC)</t>
        </is>
      </c>
      <c r="E5906" s="10" t="inlineStr">
        <is>
          <t>Thương lượng</t>
        </is>
      </c>
      <c r="F5906" s="10" t="inlineStr">
        <is>
          <t>Hà Nam</t>
        </is>
      </c>
      <c r="G5906" s="10" t="inlineStr">
        <is>
          <t>Nhân viên</t>
        </is>
      </c>
      <c r="H5906" s="10" t="inlineStr">
        <is>
          <t>02/03/2026</t>
        </is>
      </c>
      <c r="I5906" s="10" t="inlineStr">
        <is>
          <t>01/04/2026</t>
        </is>
      </c>
      <c r="J5906" s="10" t="inlineStr">
        <is>
          <t>17/03/2026</t>
        </is>
      </c>
      <c r="K5906" s="10" t="inlineStr">
        <is>
          <t>N/A</t>
        </is>
      </c>
      <c r="L5906" s="10" t="inlineStr">
        <is>
          <t>Chất Lượng Linh Kiện, Quản Lý Chất Lượng, Tiếng Trung, Chất Lượng Sản Phẩm, QA/ QC</t>
        </is>
      </c>
      <c r="M5906" s="10" t="inlineStr">
        <is>
          <t>Bonus, Healthcare Plan, Paid Leave, Training, Team Activities, Others</t>
        </is>
      </c>
      <c r="N5906" s="11">
        <f>HYPERLINK("https://www.vietnamworks.com/ky-su-chat-luong-pqa-vqm-qe-iso-2016694-jv","Xem chi tiết")</f>
        <v/>
      </c>
      <c r="O5906" s="10" t="n"/>
    </row>
    <row r="5907">
      <c r="B5907" s="7" t="n">
        <v>5905</v>
      </c>
      <c r="C5907" t="inlineStr">
        <is>
          <t>Trưởng Kho Dược - Warehouse Manager (Bình Dương)</t>
        </is>
      </c>
      <c r="D5907" t="inlineStr">
        <is>
          <t>Công Ty Cổ Phần Dược Phẩm Boston Việt Nam</t>
        </is>
      </c>
      <c r="E5907" t="inlineStr">
        <is>
          <t>Thương lượng</t>
        </is>
      </c>
      <c r="F5907" t="inlineStr">
        <is>
          <t>Hồ Chí Minh</t>
        </is>
      </c>
      <c r="G5907" t="inlineStr">
        <is>
          <t>Trưởng phòng</t>
        </is>
      </c>
      <c r="H5907" t="inlineStr">
        <is>
          <t>02/03/2026</t>
        </is>
      </c>
      <c r="I5907" t="inlineStr">
        <is>
          <t>01/04/2026</t>
        </is>
      </c>
      <c r="J5907" t="inlineStr">
        <is>
          <t>17/03/2026</t>
        </is>
      </c>
      <c r="K5907" t="inlineStr">
        <is>
          <t>N/A</t>
        </is>
      </c>
      <c r="L5907" t="inlineStr">
        <is>
          <t>GSP, Quản Lý Kho Dược Phẩm, Dược Phẩm, FIFO, FEFO</t>
        </is>
      </c>
      <c r="M5907" t="inlineStr">
        <is>
          <t>Bonus, Healthcare Plan, Others</t>
        </is>
      </c>
      <c r="N5907" s="8">
        <f>HYPERLINK("https://www.vietnamworks.com/truong-kho-duoc-warehouse-manager-binh-duong-2016709-jv","Xem chi tiết")</f>
        <v/>
      </c>
    </row>
    <row r="5908">
      <c r="B5908" s="9" t="n">
        <v>5906</v>
      </c>
      <c r="C5908" s="10" t="inlineStr">
        <is>
          <t>Nhân Viên Dự Toán - QS (MEP)</t>
        </is>
      </c>
      <c r="D5908" s="10" t="inlineStr">
        <is>
          <t>CÔNG TY CỔ PHẦN XÂY DỰNG VÀ ĐẦU TƯ GALAXY</t>
        </is>
      </c>
      <c r="E5908" s="10" t="inlineStr">
        <is>
          <t>Thương lượng</t>
        </is>
      </c>
      <c r="F5908" s="10" t="inlineStr">
        <is>
          <t>Hồ Chí Minh</t>
        </is>
      </c>
      <c r="G5908" s="10" t="inlineStr">
        <is>
          <t>Nhân viên</t>
        </is>
      </c>
      <c r="H5908" s="10" t="inlineStr">
        <is>
          <t>02/03/2026</t>
        </is>
      </c>
      <c r="I5908" s="10" t="inlineStr">
        <is>
          <t>01/04/2026</t>
        </is>
      </c>
      <c r="J5908" s="10" t="inlineStr">
        <is>
          <t>17/03/2026</t>
        </is>
      </c>
      <c r="K5908" s="10" t="inlineStr">
        <is>
          <t>N/A</t>
        </is>
      </c>
      <c r="L5908" s="10" t="inlineStr">
        <is>
          <t>Dự Toán, Bóc Tách Khối Lượng, Đấu Thầu, Thanh Quyết Toán, Đọc Hiểu Bản Vẽ MEP</t>
        </is>
      </c>
      <c r="M5908" s="10" t="inlineStr">
        <is>
          <t>Bonus, Healthcare Plan, Travel Opportunities, Others</t>
        </is>
      </c>
      <c r="N5908" s="11">
        <f>HYPERLINK("https://www.vietnamworks.com/nhan-vien-du-toan-qs-mep-2016707-jv","Xem chi tiết")</f>
        <v/>
      </c>
      <c r="O5908" s="10" t="n"/>
    </row>
    <row r="5909">
      <c r="B5909" s="7" t="n">
        <v>5907</v>
      </c>
      <c r="C5909" t="inlineStr">
        <is>
          <t>Export C/S &amp; Pricing Specialist</t>
        </is>
      </c>
      <c r="D5909" t="inlineStr">
        <is>
          <t>Taewoong Global Logistics Vietnam CO., LTD</t>
        </is>
      </c>
      <c r="E5909" t="inlineStr">
        <is>
          <t>Thương lượng</t>
        </is>
      </c>
      <c r="F5909" t="inlineStr">
        <is>
          <t>Hà Nội</t>
        </is>
      </c>
      <c r="G5909" t="inlineStr">
        <is>
          <t>Nhân viên</t>
        </is>
      </c>
      <c r="H5909" t="inlineStr">
        <is>
          <t>02/03/2026</t>
        </is>
      </c>
      <c r="I5909" t="inlineStr">
        <is>
          <t>01/04/2026</t>
        </is>
      </c>
      <c r="J5909" t="inlineStr">
        <is>
          <t>17/03/2026</t>
        </is>
      </c>
      <c r="K5909" t="inlineStr">
        <is>
          <t>N/A</t>
        </is>
      </c>
      <c r="L5909" t="inlineStr">
        <is>
          <t>Freight Forwarding, Air Freight, Sea Freight, SOP</t>
        </is>
      </c>
      <c r="M5909" t="inlineStr">
        <is>
          <t>Bonus, Healthcare Plan, Training</t>
        </is>
      </c>
      <c r="N5909" s="8">
        <f>HYPERLINK("https://www.vietnamworks.com/export-c-s-pricing-specialist-2016689-jv","Xem chi tiết")</f>
        <v/>
      </c>
    </row>
    <row r="5910">
      <c r="B5910" s="9" t="n">
        <v>5908</v>
      </c>
      <c r="C5910" s="10" t="inlineStr">
        <is>
          <t>Product Compliance Manager</t>
        </is>
      </c>
      <c r="D5910" s="10" t="inlineStr">
        <is>
          <t>Sharkninja Vietnam</t>
        </is>
      </c>
      <c r="E5910" s="10" t="inlineStr">
        <is>
          <t>Thương lượng</t>
        </is>
      </c>
      <c r="F5910" s="10" t="inlineStr">
        <is>
          <t>Hồ Chí Minh</t>
        </is>
      </c>
      <c r="G5910" s="10" t="inlineStr">
        <is>
          <t>Trưởng phòng</t>
        </is>
      </c>
      <c r="H5910" s="10" t="inlineStr">
        <is>
          <t>02/03/2026</t>
        </is>
      </c>
      <c r="I5910" s="10" t="inlineStr">
        <is>
          <t>01/04/2026</t>
        </is>
      </c>
      <c r="J5910" s="10" t="inlineStr">
        <is>
          <t>17/03/2026</t>
        </is>
      </c>
      <c r="K5910" s="10" t="inlineStr">
        <is>
          <t>N/A</t>
        </is>
      </c>
      <c r="L5910" s="10" t="inlineStr">
        <is>
          <t>Communication, Electrical Engineering, Product Compliance, Project Management, Regulatory Compliance</t>
        </is>
      </c>
      <c r="M5910" s="10" t="inlineStr">
        <is>
          <t>Bonus, Healthcare Plan, Training</t>
        </is>
      </c>
      <c r="N5910" s="11">
        <f>HYPERLINK("https://www.vietnamworks.com/product-compliance-manager-2016703-jv","Xem chi tiết")</f>
        <v/>
      </c>
      <c r="O5910" s="10" t="n"/>
    </row>
    <row r="5911">
      <c r="B5911" s="7" t="n">
        <v>5909</v>
      </c>
      <c r="C5911" t="inlineStr">
        <is>
          <t>Kỹ Sư Quản Lý Công Nghiệp IE</t>
        </is>
      </c>
      <c r="D5911" t="inlineStr">
        <is>
          <t>Wistron Neweb CORPORATION (WNC)</t>
        </is>
      </c>
      <c r="E5911" t="inlineStr">
        <is>
          <t>Thương lượng</t>
        </is>
      </c>
      <c r="F5911" t="inlineStr">
        <is>
          <t>Hà Nam</t>
        </is>
      </c>
      <c r="G5911" t="inlineStr">
        <is>
          <t>Nhân viên</t>
        </is>
      </c>
      <c r="H5911" t="inlineStr">
        <is>
          <t>02/03/2026</t>
        </is>
      </c>
      <c r="I5911" t="inlineStr">
        <is>
          <t>01/04/2026</t>
        </is>
      </c>
      <c r="J5911" t="inlineStr">
        <is>
          <t>17/03/2026</t>
        </is>
      </c>
      <c r="K5911" t="inlineStr">
        <is>
          <t>N/A</t>
        </is>
      </c>
      <c r="L5911" t="inlineStr">
        <is>
          <t>Quản Lý Chất Lượng, Tiếng Trung, Chất Lượng Sản Phẩm, Cải Tiến Công Đoạn, Kế Hoạch Sản Xuất</t>
        </is>
      </c>
      <c r="M5911" t="inlineStr">
        <is>
          <t>Bonus, Healthcare Plan, Paid Leave, Training, Team Activities, Others</t>
        </is>
      </c>
      <c r="N5911" s="8">
        <f>HYPERLINK("https://www.vietnamworks.com/ky-su-quan-ly-cong-nghiep-ie-2016697-jv","Xem chi tiết")</f>
        <v/>
      </c>
    </row>
    <row r="5912">
      <c r="B5912" s="9" t="n">
        <v>5910</v>
      </c>
      <c r="C5912" s="10" t="inlineStr">
        <is>
          <t>Product Compliance Engineer</t>
        </is>
      </c>
      <c r="D5912" s="10" t="inlineStr">
        <is>
          <t>Sharkninja Vietnam</t>
        </is>
      </c>
      <c r="E5912" s="10" t="inlineStr">
        <is>
          <t>Thương lượng</t>
        </is>
      </c>
      <c r="F5912" s="10" t="inlineStr">
        <is>
          <t>Hồ Chí Minh</t>
        </is>
      </c>
      <c r="G5912" s="10" t="inlineStr">
        <is>
          <t>Nhân viên</t>
        </is>
      </c>
      <c r="H5912" s="10" t="inlineStr">
        <is>
          <t>02/03/2026</t>
        </is>
      </c>
      <c r="I5912" s="10" t="inlineStr">
        <is>
          <t>01/04/2026</t>
        </is>
      </c>
      <c r="J5912" s="10" t="inlineStr">
        <is>
          <t>17/03/2026</t>
        </is>
      </c>
      <c r="K5912" s="10" t="inlineStr">
        <is>
          <t>N/A</t>
        </is>
      </c>
      <c r="L5912" s="10" t="inlineStr">
        <is>
          <t>Analytical Problem Solving, Communication Skills, Product Compliance, Regulatory Compliance, Ul And Iec Standards Knowledge</t>
        </is>
      </c>
      <c r="M5912" s="10" t="inlineStr">
        <is>
          <t>Bonus, Healthcare Plan, Training</t>
        </is>
      </c>
      <c r="N5912" s="11">
        <f>HYPERLINK("https://www.vietnamworks.com/product-compliance-engineer-2016695-jv","Xem chi tiết")</f>
        <v/>
      </c>
      <c r="O5912" s="10" t="n"/>
    </row>
    <row r="5913">
      <c r="B5913" s="7" t="n">
        <v>5911</v>
      </c>
      <c r="C5913" t="inlineStr">
        <is>
          <t>Trợ Lý Chủ Tịch Phụ Trách Quản Trị Vận Hành</t>
        </is>
      </c>
      <c r="D5913" t="inlineStr">
        <is>
          <t>Công Ty Du Học Du Lịch TMDV Á Âu</t>
        </is>
      </c>
      <c r="E5913" t="inlineStr">
        <is>
          <t>Thương lượng</t>
        </is>
      </c>
      <c r="F5913" t="inlineStr">
        <is>
          <t>Hồ Chí Minh</t>
        </is>
      </c>
      <c r="G5913" t="inlineStr">
        <is>
          <t>Nhân viên</t>
        </is>
      </c>
      <c r="H5913" t="inlineStr">
        <is>
          <t>02/03/2026</t>
        </is>
      </c>
      <c r="I5913" t="inlineStr">
        <is>
          <t>01/04/2026</t>
        </is>
      </c>
      <c r="J5913" t="inlineStr">
        <is>
          <t>17/03/2026</t>
        </is>
      </c>
      <c r="K5913" t="inlineStr">
        <is>
          <t>N/A</t>
        </is>
      </c>
      <c r="L5913" t="inlineStr">
        <is>
          <t>Cost Controlling, Food and Beverage, Phân Tích Tài Chính, Quản Lý Vận Hành</t>
        </is>
      </c>
      <c r="M5913" t="inlineStr">
        <is>
          <t>Bonus, Team Activities</t>
        </is>
      </c>
      <c r="N5913" s="8">
        <f>HYPERLINK("https://www.vietnamworks.com/tro-ly-chu-tich-phu-trach-quan-tri-van-hanh-2016705-jv","Xem chi tiết")</f>
        <v/>
      </c>
    </row>
    <row r="5914">
      <c r="B5914" s="9" t="n">
        <v>5912</v>
      </c>
      <c r="C5914" s="10" t="inlineStr">
        <is>
          <t>Nhân Viên Hành Chính Nhân Sự Tổng Hợp</t>
        </is>
      </c>
      <c r="D5914" s="10" t="inlineStr">
        <is>
          <t>Công Ty Cổ Phần Cơ Khí Chính Xác Smart Việt Nam</t>
        </is>
      </c>
      <c r="E5914" s="10" t="inlineStr">
        <is>
          <t>10tr-15tr ₫/tháng</t>
        </is>
      </c>
      <c r="F5914" s="10" t="inlineStr">
        <is>
          <t>Hà Nội</t>
        </is>
      </c>
      <c r="G5914" s="10" t="inlineStr">
        <is>
          <t>Nhân viên</t>
        </is>
      </c>
      <c r="H5914" s="10" t="inlineStr">
        <is>
          <t>02/03/2026</t>
        </is>
      </c>
      <c r="I5914" s="10" t="inlineStr">
        <is>
          <t>01/04/2026</t>
        </is>
      </c>
      <c r="J5914" s="10" t="inlineStr">
        <is>
          <t>17/03/2026</t>
        </is>
      </c>
      <c r="K5914" s="10" t="inlineStr">
        <is>
          <t>N/A</t>
        </is>
      </c>
      <c r="L5914" s="10" t="inlineStr">
        <is>
          <t>Hành Chính, Luật Lao Động, Nhân Sự, Quản Trị Nhân Sự</t>
        </is>
      </c>
      <c r="M5914" s="10" t="inlineStr">
        <is>
          <t>Bonus, Healthcare Plan, Others</t>
        </is>
      </c>
      <c r="N5914" s="11">
        <f>HYPERLINK("https://www.vietnamworks.com/nhan-vien-hanh-chinh-nhan-su-tong-hop-2016672-jv","Xem chi tiết")</f>
        <v/>
      </c>
      <c r="O5914" s="10" t="n"/>
    </row>
    <row r="5915">
      <c r="B5915" s="7" t="n">
        <v>5913</v>
      </c>
      <c r="C5915" t="inlineStr">
        <is>
          <t>[Nrg] Trưởng Phòng Thu Mua</t>
        </is>
      </c>
      <c r="D5915" t="inlineStr">
        <is>
          <t>Công Ty Cổ Phần Tổng Công Ty Nova Service</t>
        </is>
      </c>
      <c r="E5915" t="inlineStr">
        <is>
          <t>Thương lượng</t>
        </is>
      </c>
      <c r="F5915" t="inlineStr">
        <is>
          <t>Hồ Chí Minh</t>
        </is>
      </c>
      <c r="G5915" t="inlineStr">
        <is>
          <t>Trưởng phòng</t>
        </is>
      </c>
      <c r="H5915" t="inlineStr">
        <is>
          <t>02/03/2026</t>
        </is>
      </c>
      <c r="I5915" t="inlineStr">
        <is>
          <t>01/04/2026</t>
        </is>
      </c>
      <c r="J5915" t="inlineStr">
        <is>
          <t>17/03/2026</t>
        </is>
      </c>
      <c r="K5915" t="inlineStr">
        <is>
          <t>N/A</t>
        </is>
      </c>
      <c r="L5915" t="inlineStr">
        <is>
          <t>Quản Lý Thu Mua, Purchasing</t>
        </is>
      </c>
      <c r="M5915" t="inlineStr">
        <is>
          <t>Bonus, Paid Leave, Training</t>
        </is>
      </c>
      <c r="N5915" s="8">
        <f>HYPERLINK("https://www.vietnamworks.com/nrg-truong-phong-thu-mua-2016699-jv","Xem chi tiết")</f>
        <v/>
      </c>
    </row>
    <row r="5916">
      <c r="B5916" s="9" t="n">
        <v>5914</v>
      </c>
      <c r="C5916" s="10" t="inlineStr">
        <is>
          <t>Chuyên Viên Kinh Doanh Dự Án (LCB Từ 12-15Tr + COM + PC + Thưởng)</t>
        </is>
      </c>
      <c r="D5916" s="10" t="inlineStr">
        <is>
          <t>Công ty TNHH Kỹ thuật Kenta Việt Nam</t>
        </is>
      </c>
      <c r="E5916" s="10" t="inlineStr">
        <is>
          <t>Thương lượng</t>
        </is>
      </c>
      <c r="F5916" s="10" t="inlineStr">
        <is>
          <t>Hưng Yên, Hà Nội</t>
        </is>
      </c>
      <c r="G5916" s="10" t="inlineStr">
        <is>
          <t>Nhân viên</t>
        </is>
      </c>
      <c r="H5916" s="10" t="inlineStr">
        <is>
          <t>02/03/2026</t>
        </is>
      </c>
      <c r="I5916" s="10" t="inlineStr">
        <is>
          <t>01/04/2026</t>
        </is>
      </c>
      <c r="J5916" s="10" t="inlineStr">
        <is>
          <t>17/03/2026</t>
        </is>
      </c>
      <c r="K5916" s="10" t="inlineStr">
        <is>
          <t>N/A</t>
        </is>
      </c>
      <c r="L5916" s="10" t="inlineStr">
        <is>
          <t>Chăm Sóc Khách Hàng, Kinh Doanh Dự Án, Quản Lý Đơn Hàng, Theo Dõi Công Nợ, Tiếng Anh</t>
        </is>
      </c>
      <c r="M5916" s="10" t="inlineStr">
        <is>
          <t>Bonus, Healthcare Plan, Paid Leave, Training, Laptop, Others</t>
        </is>
      </c>
      <c r="N5916" s="11">
        <f>HYPERLINK("https://www.vietnamworks.com/chuyen-vien-kinh-doanh-du-an-lcb-tu-12-15tr-com-pc-thuong-2016711-jv","Xem chi tiết")</f>
        <v/>
      </c>
      <c r="O5916" s="10" t="n"/>
    </row>
    <row r="5917">
      <c r="B5917" s="7" t="n">
        <v>5915</v>
      </c>
      <c r="C5917" t="inlineStr">
        <is>
          <t>Manual Tester (Japaneses)</t>
        </is>
      </c>
      <c r="D5917" t="inlineStr">
        <is>
          <t>Công Ty Cổ Phần Công Nghệ VMO Holdings</t>
        </is>
      </c>
      <c r="E5917" t="inlineStr">
        <is>
          <t>Thương lượng</t>
        </is>
      </c>
      <c r="F5917" t="inlineStr">
        <is>
          <t>Hà Nội</t>
        </is>
      </c>
      <c r="G5917" t="inlineStr">
        <is>
          <t>Nhân viên</t>
        </is>
      </c>
      <c r="H5917" t="inlineStr">
        <is>
          <t>02/03/2026</t>
        </is>
      </c>
      <c r="I5917" t="inlineStr">
        <is>
          <t>01/04/2026</t>
        </is>
      </c>
      <c r="J5917" t="inlineStr">
        <is>
          <t>17/03/2026</t>
        </is>
      </c>
      <c r="K5917" t="inlineStr">
        <is>
          <t>N/A</t>
        </is>
      </c>
      <c r="L5917" t="inlineStr">
        <is>
          <t>Manual Test, Japanese</t>
        </is>
      </c>
      <c r="M5917" t="inlineStr">
        <is>
          <t>Others</t>
        </is>
      </c>
      <c r="N5917" s="8">
        <f>HYPERLINK("https://www.vietnamworks.com/manual-tester-japaneses-2016701-jv","Xem chi tiết")</f>
        <v/>
      </c>
    </row>
    <row r="5918">
      <c r="B5918" s="9" t="n">
        <v>5916</v>
      </c>
      <c r="C5918" s="10" t="inlineStr">
        <is>
          <t>Chuyên Viên Chính Ngân Hàng Đầu Tư</t>
        </is>
      </c>
      <c r="D5918" s="10" t="inlineStr">
        <is>
          <t>Công Ty Cổ Phần Chứng Khoán Tiên Phong</t>
        </is>
      </c>
      <c r="E5918" s="10" t="inlineStr">
        <is>
          <t>Thương lượng</t>
        </is>
      </c>
      <c r="F5918" s="10" t="inlineStr">
        <is>
          <t>Hà Nội, Hồ Chí Minh</t>
        </is>
      </c>
      <c r="G5918" s="10" t="inlineStr">
        <is>
          <t>Nhân viên</t>
        </is>
      </c>
      <c r="H5918" s="10" t="inlineStr">
        <is>
          <t>02/03/2026</t>
        </is>
      </c>
      <c r="I5918" s="10" t="inlineStr">
        <is>
          <t>01/04/2026</t>
        </is>
      </c>
      <c r="J5918" s="10" t="inlineStr">
        <is>
          <t>17/03/2026</t>
        </is>
      </c>
      <c r="K5918" s="10" t="inlineStr">
        <is>
          <t>N/A</t>
        </is>
      </c>
      <c r="L5918" s="10" t="inlineStr">
        <is>
          <t>Đầu Tư Tài Chính, Quản Lý Tài Chính, IPO, Huy Động Vốn, M&amp;A</t>
        </is>
      </c>
      <c r="M5918" s="10" t="inlineStr">
        <is>
          <t>Bonus, Healthcare Plan, Paid Leave</t>
        </is>
      </c>
      <c r="N5918" s="11">
        <f>HYPERLINK("https://www.vietnamworks.com/chuyen-vien-chinh-ngan-hang-dau-tu-2016710-jv","Xem chi tiết")</f>
        <v/>
      </c>
      <c r="O5918" s="10" t="n"/>
    </row>
    <row r="5919">
      <c r="B5919" s="7" t="n">
        <v>5917</v>
      </c>
      <c r="C5919" t="inlineStr">
        <is>
          <t>Giám Sát Công Trình Nội Thất</t>
        </is>
      </c>
      <c r="D5919" t="inlineStr">
        <is>
          <t>Alliance Construction &amp; Fine Furniture Company</t>
        </is>
      </c>
      <c r="E5919" t="inlineStr">
        <is>
          <t>$$ 600-900 /tháng</t>
        </is>
      </c>
      <c r="F5919" t="inlineStr">
        <is>
          <t>Đà Nẵng, Quảng Ninh, Hà Nội</t>
        </is>
      </c>
      <c r="G5919" t="inlineStr">
        <is>
          <t>Nhân viên</t>
        </is>
      </c>
      <c r="H5919" t="inlineStr">
        <is>
          <t>02/03/2026</t>
        </is>
      </c>
      <c r="I5919" t="inlineStr">
        <is>
          <t>01/04/2026</t>
        </is>
      </c>
      <c r="J5919" t="inlineStr">
        <is>
          <t>17/03/2026</t>
        </is>
      </c>
      <c r="K5919" t="inlineStr">
        <is>
          <t>N/A</t>
        </is>
      </c>
      <c r="L5919" t="inlineStr">
        <is>
          <t>Giám Sát Công Trình, Giám Sát Nội Thất, Giám Sát Thi Công, Nội thất gỗ, Giám Sát Thi Công Hoàn Thiện</t>
        </is>
      </c>
      <c r="M5919" t="inlineStr">
        <is>
          <t>Bonus, Team Activities, Transportation</t>
        </is>
      </c>
      <c r="N5919" s="8">
        <f>HYPERLINK("https://www.vietnamworks.com/giam-sat-cong-trinh-noi-that--2016704-jv","Xem chi tiết")</f>
        <v/>
      </c>
    </row>
    <row r="5920">
      <c r="B5920" s="9" t="n">
        <v>5918</v>
      </c>
      <c r="C5920" s="10" t="inlineStr">
        <is>
          <t>Live Commerce Producer</t>
        </is>
      </c>
      <c r="D5920" s="10" t="inlineStr">
        <is>
          <t>Công Ty TNHH ActsOne Việt Nam (Bbia, Hince BRAND)</t>
        </is>
      </c>
      <c r="E5920" s="10" t="inlineStr">
        <is>
          <t>Thương lượng</t>
        </is>
      </c>
      <c r="F5920" s="10" t="inlineStr">
        <is>
          <t>Hồ Chí Minh</t>
        </is>
      </c>
      <c r="G5920" s="10" t="inlineStr">
        <is>
          <t>Nhân viên</t>
        </is>
      </c>
      <c r="H5920" s="10" t="inlineStr">
        <is>
          <t>02/03/2026</t>
        </is>
      </c>
      <c r="I5920" s="10" t="inlineStr">
        <is>
          <t>01/04/2026</t>
        </is>
      </c>
      <c r="J5920" s="10" t="inlineStr">
        <is>
          <t>17/03/2026</t>
        </is>
      </c>
      <c r="K5920" s="10" t="inlineStr">
        <is>
          <t>N/A</t>
        </is>
      </c>
      <c r="L5920" s="10" t="inlineStr">
        <is>
          <t>Livestream Coordination, Livestream Management, Livestream Hosting</t>
        </is>
      </c>
      <c r="M5920" s="10" t="inlineStr">
        <is>
          <t>Training, Laptop, Vouchers</t>
        </is>
      </c>
      <c r="N5920" s="11">
        <f>HYPERLINK("https://www.vietnamworks.com/live-commerce-producer-2016712-jv","Xem chi tiết")</f>
        <v/>
      </c>
      <c r="O5920" s="10" t="n"/>
    </row>
    <row r="5921">
      <c r="B5921" s="7" t="n">
        <v>5919</v>
      </c>
      <c r="C5921" t="inlineStr">
        <is>
          <t>Trưởng nhóm Kinh doanh Bảo hiểm Xe cơ giới/Bảo hiểm Sức khỏe</t>
        </is>
      </c>
      <c r="D5921" t="inlineStr">
        <is>
          <t>Công Ty Cổ Phần Tư Vấn Global Care</t>
        </is>
      </c>
      <c r="E5921" t="inlineStr">
        <is>
          <t>$$ 20tr-40tr /tháng</t>
        </is>
      </c>
      <c r="F5921" t="inlineStr">
        <is>
          <t>Hồ Chí Minh</t>
        </is>
      </c>
      <c r="G5921" t="inlineStr">
        <is>
          <t>Trưởng phòng</t>
        </is>
      </c>
      <c r="H5921" t="inlineStr">
        <is>
          <t>02/03/2026</t>
        </is>
      </c>
      <c r="I5921" t="inlineStr">
        <is>
          <t>01/04/2026</t>
        </is>
      </c>
      <c r="J5921" t="inlineStr">
        <is>
          <t>17/03/2026</t>
        </is>
      </c>
      <c r="K5921" t="inlineStr">
        <is>
          <t>N/A</t>
        </is>
      </c>
      <c r="L5921" t="inlineStr">
        <is>
          <t>Insurtech Experience</t>
        </is>
      </c>
      <c r="M5921" t="inlineStr">
        <is>
          <t>Healthcare Plan</t>
        </is>
      </c>
      <c r="N5921" s="8">
        <f>HYPERLINK("https://www.vietnamworks.com/truong-nhom-kinh-doanh-bao-hiem-xe-co-gioibao-hiem-suc-khoe-2016725-jv","Xem chi tiết")</f>
        <v/>
      </c>
    </row>
    <row r="5922">
      <c r="B5922" s="9" t="n">
        <v>5920</v>
      </c>
      <c r="C5922" s="10" t="inlineStr">
        <is>
          <t>Kỹ Sư Xây Dựng Hiện Trường/ Site Engineer – Dự Án Nhà Máy</t>
        </is>
      </c>
      <c r="D5922" s="10" t="inlineStr">
        <is>
          <t>Toda Vietnam Company Limited</t>
        </is>
      </c>
      <c r="E5922" s="10" t="inlineStr">
        <is>
          <t>Tới 19tr ₫/tháng</t>
        </is>
      </c>
      <c r="F5922" s="10" t="inlineStr">
        <is>
          <t>Đồng Nai, Bình Dương</t>
        </is>
      </c>
      <c r="G5922" s="10" t="inlineStr">
        <is>
          <t>Nhân viên</t>
        </is>
      </c>
      <c r="H5922" s="10" t="inlineStr">
        <is>
          <t>02/03/2026</t>
        </is>
      </c>
      <c r="I5922" s="10" t="inlineStr">
        <is>
          <t>01/04/2026</t>
        </is>
      </c>
      <c r="J5922" s="10" t="inlineStr">
        <is>
          <t>17/03/2026</t>
        </is>
      </c>
      <c r="K5922" s="10" t="inlineStr">
        <is>
          <t>N/A</t>
        </is>
      </c>
      <c r="L5922" s="10" t="inlineStr">
        <is>
          <t>Structural Civil, site engineer, Construction Engineering, Kỹ Sư hiện trường, Building Construction</t>
        </is>
      </c>
      <c r="M5922" s="10" t="inlineStr">
        <is>
          <t>Bonus</t>
        </is>
      </c>
      <c r="N5922" s="11">
        <f>HYPERLINK("https://www.vietnamworks.com/ky-su-xay-dung-hien-truong-site-engineer-du-an-nha-may-2016724-jv","Xem chi tiết")</f>
        <v/>
      </c>
      <c r="O5922" s="10" t="n"/>
    </row>
    <row r="5923">
      <c r="B5923" s="7" t="n">
        <v>5921</v>
      </c>
      <c r="C5923" t="inlineStr">
        <is>
          <t>Temp Sales &amp; Service Operation Specialist ( 1 year contract)</t>
        </is>
      </c>
      <c r="D5923" t="inlineStr">
        <is>
          <t>Carl Zeiss Vietnam Company Limited</t>
        </is>
      </c>
      <c r="E5923" t="inlineStr">
        <is>
          <t>Thương lượng</t>
        </is>
      </c>
      <c r="F5923" t="inlineStr">
        <is>
          <t>Hà Nội</t>
        </is>
      </c>
      <c r="G5923" t="inlineStr">
        <is>
          <t>Nhân viên</t>
        </is>
      </c>
      <c r="H5923" t="inlineStr">
        <is>
          <t>02/03/2026</t>
        </is>
      </c>
      <c r="I5923" t="inlineStr">
        <is>
          <t>01/04/2026</t>
        </is>
      </c>
      <c r="J5923" t="inlineStr">
        <is>
          <t>17/03/2026</t>
        </is>
      </c>
      <c r="K5923" t="inlineStr">
        <is>
          <t>N/A</t>
        </is>
      </c>
      <c r="L5923" t="inlineStr">
        <is>
          <t>Communication And Problem-Solving Skills, Customer Support, Interpersonal Skills, Microsoft Office, Team player</t>
        </is>
      </c>
      <c r="M5923" t="inlineStr">
        <is>
          <t>Healthcare Plan, Training, Travel Opportunities, Others</t>
        </is>
      </c>
      <c r="N5923" s="8">
        <f>HYPERLINK("https://www.vietnamworks.com/temp-sales-and-service-operation-specialist-1-year-contract-2016721-jv","Xem chi tiết")</f>
        <v/>
      </c>
    </row>
    <row r="5924">
      <c r="B5924" s="9" t="n">
        <v>5922</v>
      </c>
      <c r="C5924" s="10" t="inlineStr">
        <is>
          <t>(JP209) Kỹ Sư PLC Thiết Bị Sản Xuất Bán Dẫn - Đi Nhật Miễn Phí</t>
        </is>
      </c>
      <c r="D5924" s="10" t="inlineStr">
        <is>
          <t>Công Ty TNHH R Techno Việt Nam</t>
        </is>
      </c>
      <c r="E5924" s="10" t="inlineStr">
        <is>
          <t>¥ 350,000-450,000 /tháng</t>
        </is>
      </c>
      <c r="F5924" s="10" t="inlineStr">
        <is>
          <t>Quốc tế</t>
        </is>
      </c>
      <c r="G5924" s="10" t="inlineStr">
        <is>
          <t>Nhân viên</t>
        </is>
      </c>
      <c r="H5924" s="10" t="inlineStr">
        <is>
          <t>02/03/2026</t>
        </is>
      </c>
      <c r="I5924" s="10" t="inlineStr">
        <is>
          <t>01/04/2026</t>
        </is>
      </c>
      <c r="J5924" s="10" t="inlineStr">
        <is>
          <t>17/03/2026</t>
        </is>
      </c>
      <c r="K5924" s="10" t="inlineStr">
        <is>
          <t>N/A</t>
        </is>
      </c>
      <c r="L5924" s="10" t="inlineStr">
        <is>
          <t>Electrical Design, Japanese N3, Teamwork, Japanese N4</t>
        </is>
      </c>
      <c r="M5924" s="10" t="inlineStr">
        <is>
          <t>Healthcare Plan, Paid Leave, Others</t>
        </is>
      </c>
      <c r="N5924" s="11">
        <f>HYPERLINK("https://www.vietnamworks.com/-jp209-ky-su-plc-thiet-bi-san-xuat-ban-dan-dji-nhat-mien-phi-2016718-jv","Xem chi tiết")</f>
        <v/>
      </c>
      <c r="O5924" s="10" t="n"/>
    </row>
    <row r="5925">
      <c r="B5925" s="7" t="n">
        <v>5923</v>
      </c>
      <c r="C5925" t="inlineStr">
        <is>
          <t>Trưởng Phòng Kế Hoạch Thầu</t>
        </is>
      </c>
      <c r="D5925" t="inlineStr">
        <is>
          <t>LOTTE Properties Hanoi (LOTTE MALL West Lake Hanoi)</t>
        </is>
      </c>
      <c r="E5925" t="inlineStr">
        <is>
          <t>Thương lượng</t>
        </is>
      </c>
      <c r="F5925" t="inlineStr">
        <is>
          <t>Hà Nội</t>
        </is>
      </c>
      <c r="G5925" t="inlineStr">
        <is>
          <t>Trưởng phòng</t>
        </is>
      </c>
      <c r="H5925" t="inlineStr">
        <is>
          <t>02/03/2026</t>
        </is>
      </c>
      <c r="I5925" t="inlineStr">
        <is>
          <t>01/04/2026</t>
        </is>
      </c>
      <c r="J5925" t="inlineStr">
        <is>
          <t>17/03/2026</t>
        </is>
      </c>
      <c r="K5925" t="inlineStr">
        <is>
          <t>N/A</t>
        </is>
      </c>
      <c r="L5925" t="inlineStr">
        <is>
          <t>Tendering, Planning</t>
        </is>
      </c>
      <c r="M5925" t="inlineStr">
        <is>
          <t>Bonus, Paid Leave, Vouchers</t>
        </is>
      </c>
      <c r="N5925" s="8">
        <f>HYPERLINK("https://www.vietnamworks.com/truong-phong-ke-hoach-thau--2016722-jv","Xem chi tiết")</f>
        <v/>
      </c>
    </row>
    <row r="5926">
      <c r="B5926" s="9" t="n">
        <v>5924</v>
      </c>
      <c r="C5926" s="10" t="inlineStr">
        <is>
          <t>Nhân Viên Kinh Doanh Thang Máy (Thu Nhập Từ 30 - 50 Triệu/ Tháng, Chấp Nhận Sinh Viên Mới Ra Trường)</t>
        </is>
      </c>
      <c r="D5926" s="10" t="inlineStr">
        <is>
          <t>Công Ty Cổ Phần Phát Triển Công Nghệ Hưng Phát</t>
        </is>
      </c>
      <c r="E5926" s="10" t="inlineStr">
        <is>
          <t>30tr-50tr ₫/tháng</t>
        </is>
      </c>
      <c r="F5926" s="10" t="inlineStr">
        <is>
          <t>Hà Nội, Hồ Chí Minh, Hưng Yên</t>
        </is>
      </c>
      <c r="G5926" s="10" t="inlineStr">
        <is>
          <t>Mới Tốt Nghiệp</t>
        </is>
      </c>
      <c r="H5926" s="10" t="inlineStr">
        <is>
          <t>02/03/2026</t>
        </is>
      </c>
      <c r="I5926" s="10" t="inlineStr">
        <is>
          <t>01/04/2026</t>
        </is>
      </c>
      <c r="J5926" s="10" t="inlineStr">
        <is>
          <t>17/03/2026</t>
        </is>
      </c>
      <c r="K5926" s="10" t="inlineStr">
        <is>
          <t>N/A</t>
        </is>
      </c>
      <c r="L5926" s="10" t="inlineStr">
        <is>
          <t>Kinh Doanh, Tư Vấn Thang Máy, Bán Hàng, Phát Triển Kinh Doanh, Tìm Kiếm Khách Hàng</t>
        </is>
      </c>
      <c r="M5926" s="10" t="inlineStr">
        <is>
          <t>Bonus, Healthcare Plan, Team Activities</t>
        </is>
      </c>
      <c r="N5926" s="11">
        <f>HYPERLINK("https://www.vietnamworks.com/nhan-vien-kinh-doanh-thang-may-thu-nhap-tu-30-50-trieu-thang-chap-nhan-sinh-vien-moi-ra-truong--2016715-jv","Xem chi tiết")</f>
        <v/>
      </c>
      <c r="O5926" s="10" t="n"/>
    </row>
    <row r="5927">
      <c r="B5927" s="7" t="n">
        <v>5925</v>
      </c>
      <c r="C5927" t="inlineStr">
        <is>
          <t>Planning Manager</t>
        </is>
      </c>
      <c r="D5927" t="inlineStr">
        <is>
          <t>Saitex International Dong Nai (VN)</t>
        </is>
      </c>
      <c r="E5927" t="inlineStr">
        <is>
          <t>Thương lượng</t>
        </is>
      </c>
      <c r="F5927" t="inlineStr">
        <is>
          <t>Hồ Chí Minh</t>
        </is>
      </c>
      <c r="G5927" t="inlineStr">
        <is>
          <t>Trưởng phòng</t>
        </is>
      </c>
      <c r="H5927" t="inlineStr">
        <is>
          <t>02/03/2026</t>
        </is>
      </c>
      <c r="I5927" t="inlineStr">
        <is>
          <t>01/04/2026</t>
        </is>
      </c>
      <c r="J5927" t="inlineStr">
        <is>
          <t>17/03/2026</t>
        </is>
      </c>
      <c r="K5927" t="inlineStr">
        <is>
          <t>N/A</t>
        </is>
      </c>
      <c r="L5927" t="inlineStr">
        <is>
          <t>Planning, Material Planning, Production Planning, Garment Manufacturing, Denim Cut and Sew Knowledge</t>
        </is>
      </c>
      <c r="M5927" t="inlineStr">
        <is>
          <t>Bonus, Healthcare Plan, Transportation</t>
        </is>
      </c>
      <c r="N5927" s="8">
        <f>HYPERLINK("https://www.vietnamworks.com/planning-manager--2016735-jv","Xem chi tiết")</f>
        <v/>
      </c>
    </row>
    <row r="5928">
      <c r="B5928" s="9" t="n">
        <v>5926</v>
      </c>
      <c r="C5928" s="10" t="inlineStr">
        <is>
          <t>Nữ Kế Toán Nội Bộ</t>
        </is>
      </c>
      <c r="D5928" s="10" t="inlineStr">
        <is>
          <t>HAMINH MEDICARE LTD</t>
        </is>
      </c>
      <c r="E5928" s="10" t="inlineStr">
        <is>
          <t>9tr-12tr ₫/tháng</t>
        </is>
      </c>
      <c r="F5928" s="10" t="inlineStr">
        <is>
          <t>Hồ Chí Minh</t>
        </is>
      </c>
      <c r="G5928" s="10" t="inlineStr">
        <is>
          <t>Nhân viên</t>
        </is>
      </c>
      <c r="H5928" s="10" t="inlineStr">
        <is>
          <t>02/03/2026</t>
        </is>
      </c>
      <c r="I5928" s="10" t="inlineStr">
        <is>
          <t>01/04/2026</t>
        </is>
      </c>
      <c r="J5928" s="10" t="inlineStr">
        <is>
          <t>17/03/2026</t>
        </is>
      </c>
      <c r="K5928" s="10" t="inlineStr">
        <is>
          <t>N/A</t>
        </is>
      </c>
      <c r="L5928" s="10" t="inlineStr">
        <is>
          <t>Kế Toán, Excel, Word, Trách nhiệm</t>
        </is>
      </c>
      <c r="M5928" s="10" t="inlineStr">
        <is>
          <t>Bonus, Healthcare Plan, Paid Leave, Team Activities, Others</t>
        </is>
      </c>
      <c r="N5928" s="11">
        <f>HYPERLINK("https://www.vietnamworks.com/nu-ke-toan-noi-bo-2016743-jv","Xem chi tiết")</f>
        <v/>
      </c>
      <c r="O5928" s="10" t="n"/>
    </row>
    <row r="5929">
      <c r="B5929" s="7" t="n">
        <v>5927</v>
      </c>
      <c r="C5929" t="inlineStr">
        <is>
          <t>Giám Đốc Quản Lý Dự Án</t>
        </is>
      </c>
      <c r="D5929" t="inlineStr">
        <is>
          <t>Tập Đoàn GOTEC LAND</t>
        </is>
      </c>
      <c r="E5929" t="inlineStr">
        <is>
          <t>Thương lượng</t>
        </is>
      </c>
      <c r="F5929" t="inlineStr">
        <is>
          <t>Hồ Chí Minh</t>
        </is>
      </c>
      <c r="G5929" t="inlineStr">
        <is>
          <t>Giám Đốc và Cấp Cao Hơn</t>
        </is>
      </c>
      <c r="H5929" t="inlineStr">
        <is>
          <t>02/03/2026</t>
        </is>
      </c>
      <c r="I5929" t="inlineStr">
        <is>
          <t>01/04/2026</t>
        </is>
      </c>
      <c r="J5929" t="inlineStr">
        <is>
          <t>17/03/2026</t>
        </is>
      </c>
      <c r="K5929" t="inlineStr">
        <is>
          <t>N/A</t>
        </is>
      </c>
      <c r="L5929" t="inlineStr">
        <is>
          <t>Quản Lý Dự Án, Kỹ Thuật Xây Dựng, MEP, Nghiệm Thu Xây Dựng, Xây Dựng</t>
        </is>
      </c>
      <c r="M5929" t="inlineStr">
        <is>
          <t>Bonus, Healthcare Plan, Training</t>
        </is>
      </c>
      <c r="N5929" s="8">
        <f>HYPERLINK("https://www.vietnamworks.com/giam-djoc-quan-ly-du-an-2016742-jv","Xem chi tiết")</f>
        <v/>
      </c>
    </row>
    <row r="5930">
      <c r="B5930" s="9" t="n">
        <v>5928</v>
      </c>
      <c r="C5930" s="10" t="inlineStr">
        <is>
          <t>Business Development &amp; Digital Promotion Manager</t>
        </is>
      </c>
      <c r="D5930" s="10" t="inlineStr">
        <is>
          <t>CÔNG TY TNHH DAIICHI SANKYO VIỆT NAM</t>
        </is>
      </c>
      <c r="E5930" s="10" t="inlineStr">
        <is>
          <t>Thương lượng</t>
        </is>
      </c>
      <c r="F5930" s="10" t="inlineStr">
        <is>
          <t>Hồ Chí Minh</t>
        </is>
      </c>
      <c r="G5930" s="10" t="inlineStr">
        <is>
          <t>Nhân viên</t>
        </is>
      </c>
      <c r="H5930" s="10" t="inlineStr">
        <is>
          <t>02/03/2026</t>
        </is>
      </c>
      <c r="I5930" s="10" t="inlineStr">
        <is>
          <t>01/04/2026</t>
        </is>
      </c>
      <c r="J5930" s="10" t="inlineStr">
        <is>
          <t>17/03/2026</t>
        </is>
      </c>
      <c r="K5930" s="10" t="inlineStr">
        <is>
          <t>N/A</t>
        </is>
      </c>
      <c r="L5930" s="10" t="inlineStr">
        <is>
          <t>Marketing Management, Data Analysis, Customer Relation, Product Training, Market Trends</t>
        </is>
      </c>
      <c r="M5930" s="10" t="inlineStr">
        <is>
          <t>Bonus, Healthcare Plan</t>
        </is>
      </c>
      <c r="N5930" s="11">
        <f>HYPERLINK("https://www.vietnamworks.com/business-development-and-digital-promotion-manager-2016740-jv","Xem chi tiết")</f>
        <v/>
      </c>
      <c r="O5930" s="10" t="n"/>
    </row>
    <row r="5931">
      <c r="B5931" s="7" t="n">
        <v>5929</v>
      </c>
      <c r="C5931" t="inlineStr">
        <is>
          <t>Nhân Viên Kinh Doanh</t>
        </is>
      </c>
      <c r="D5931" t="inlineStr">
        <is>
          <t>Golden Asia Media</t>
        </is>
      </c>
      <c r="E5931" t="inlineStr">
        <is>
          <t>8tr-15tr ₫/tháng</t>
        </is>
      </c>
      <c r="F5931" t="inlineStr">
        <is>
          <t>Hồ Chí Minh, Đà Nẵng, Hà Nội</t>
        </is>
      </c>
      <c r="G5931" t="inlineStr">
        <is>
          <t>Mới Tốt Nghiệp</t>
        </is>
      </c>
      <c r="H5931" t="inlineStr">
        <is>
          <t>02/03/2026</t>
        </is>
      </c>
      <c r="I5931" t="inlineStr">
        <is>
          <t>01/04/2026</t>
        </is>
      </c>
      <c r="J5931" t="inlineStr">
        <is>
          <t>17/03/2026</t>
        </is>
      </c>
      <c r="K5931" t="inlineStr">
        <is>
          <t>N/A</t>
        </is>
      </c>
      <c r="L5931" t="inlineStr">
        <is>
          <t>Đàm Phán, Telesales, Kinh Doanh, Theo Dõi Hợp Đồng, Tìm Kiếm Khách Hàng</t>
        </is>
      </c>
      <c r="M5931" t="inlineStr">
        <is>
          <t>Bonus, Healthcare Plan, Paid Leave, Training, Team Activities, Others</t>
        </is>
      </c>
      <c r="N5931" s="8">
        <f>HYPERLINK("https://www.vietnamworks.com/nhan-vien-kinh-doanh-2016728-jv","Xem chi tiết")</f>
        <v/>
      </c>
    </row>
    <row r="5932">
      <c r="B5932" s="9" t="n">
        <v>5930</v>
      </c>
      <c r="C5932" s="10" t="inlineStr">
        <is>
          <t>Kỹ Thuật Setup Block</t>
        </is>
      </c>
      <c r="D5932" s="10" t="inlineStr">
        <is>
          <t>Công ty TNHH Elentec Việt Nam</t>
        </is>
      </c>
      <c r="E5932" s="10" t="inlineStr">
        <is>
          <t>Thương lượng</t>
        </is>
      </c>
      <c r="F5932" s="10" t="inlineStr">
        <is>
          <t>Hà Nội</t>
        </is>
      </c>
      <c r="G5932" s="10" t="inlineStr">
        <is>
          <t>Nhân viên</t>
        </is>
      </c>
      <c r="H5932" s="10" t="inlineStr">
        <is>
          <t>02/03/2026</t>
        </is>
      </c>
      <c r="I5932" s="10" t="inlineStr">
        <is>
          <t>01/04/2026</t>
        </is>
      </c>
      <c r="J5932" s="10" t="inlineStr">
        <is>
          <t>17/03/2026</t>
        </is>
      </c>
      <c r="K5932" s="10" t="inlineStr">
        <is>
          <t>N/A</t>
        </is>
      </c>
      <c r="L5932" s="10" t="inlineStr">
        <is>
          <t>Chế Tạo Máy, Cơ Khí Chế Tạo Máy, Tự Động Hóa, Điện Tử, Điện Tự Động Hóa</t>
        </is>
      </c>
      <c r="M5932" s="10" t="inlineStr">
        <is>
          <t>Bonus, Healthcare Plan, Paid Leave, Transportation, Canteen, Others</t>
        </is>
      </c>
      <c r="N5932" s="11">
        <f>HYPERLINK("https://www.vietnamworks.com/ky-thuat-setup-block-2016744-jv","Xem chi tiết")</f>
        <v/>
      </c>
      <c r="O5932" s="10" t="n"/>
    </row>
    <row r="5933">
      <c r="B5933" s="7" t="n">
        <v>5931</v>
      </c>
      <c r="C5933" t="inlineStr">
        <is>
          <t>Supplier Quality Engineer (Work At Ha Noi Or HCM City)</t>
        </is>
      </c>
      <c r="D5933" t="inlineStr">
        <is>
          <t>Công Ty TNHH Techtronic Industries Việt Nam Manufacturing</t>
        </is>
      </c>
      <c r="E5933" t="inlineStr">
        <is>
          <t>Thương lượng</t>
        </is>
      </c>
      <c r="F5933" t="inlineStr">
        <is>
          <t>Hồ Chí Minh, Hà Nội, Đồng Nai</t>
        </is>
      </c>
      <c r="G5933" t="inlineStr">
        <is>
          <t>Nhân viên</t>
        </is>
      </c>
      <c r="H5933" t="inlineStr">
        <is>
          <t>02/03/2026</t>
        </is>
      </c>
      <c r="I5933" t="inlineStr">
        <is>
          <t>01/04/2026</t>
        </is>
      </c>
      <c r="J5933" t="inlineStr">
        <is>
          <t>17/03/2026</t>
        </is>
      </c>
      <c r="K5933" t="inlineStr">
        <is>
          <t>N/A</t>
        </is>
      </c>
      <c r="L5933" t="inlineStr">
        <is>
          <t>Quality Internal Audit, Quality Inspection, Supplier Quality Management, Audit, Mechanical</t>
        </is>
      </c>
      <c r="M5933" t="inlineStr">
        <is>
          <t>Bonus, Healthcare Plan, Transportation</t>
        </is>
      </c>
      <c r="N5933" s="8">
        <f>HYPERLINK("https://www.vietnamworks.com/supplier-quality-engineer-work-at-ha-noi-or-hcm-city-2016734-jv","Xem chi tiết")</f>
        <v/>
      </c>
    </row>
    <row r="5934">
      <c r="B5934" s="9" t="n">
        <v>5932</v>
      </c>
      <c r="C5934" s="10" t="inlineStr">
        <is>
          <t>Electrical Technician - Kỹ Thuật Viên Bảo Trì Điện - Nhà Máy LPG Gò Dầu, Long Thành, Đồng Nai</t>
        </is>
      </c>
      <c r="D5934" s="10" t="inlineStr">
        <is>
          <t>TotalEnergies Việt Nam</t>
        </is>
      </c>
      <c r="E5934" s="10" t="inlineStr">
        <is>
          <t>Thương lượng</t>
        </is>
      </c>
      <c r="F5934" s="10" t="inlineStr">
        <is>
          <t>Đồng Nai</t>
        </is>
      </c>
      <c r="G5934" s="10" t="inlineStr">
        <is>
          <t>Nhân viên</t>
        </is>
      </c>
      <c r="H5934" s="10" t="inlineStr">
        <is>
          <t>02/03/2026</t>
        </is>
      </c>
      <c r="I5934" s="10" t="inlineStr">
        <is>
          <t>01/04/2026</t>
        </is>
      </c>
      <c r="J5934" s="10" t="inlineStr">
        <is>
          <t>17/03/2026</t>
        </is>
      </c>
      <c r="K5934" s="10" t="inlineStr">
        <is>
          <t>N/A</t>
        </is>
      </c>
      <c r="L5934" s="10" t="inlineStr">
        <is>
          <t>Maintenance, Điện, Electrical Engineer, Bảo Trì, Tự Động Hóa Sản Xuất</t>
        </is>
      </c>
      <c r="M5934" s="10" t="inlineStr">
        <is>
          <t>Bonus, Paid Leave, Training</t>
        </is>
      </c>
      <c r="N5934" s="11">
        <f>HYPERLINK("https://www.vietnamworks.com/electrical-technician-ky-thuat-vien-bao-tri-dien-nha-may-lpg-go-dau-long-thanh-dong-nai-2016720-jv","Xem chi tiết")</f>
        <v/>
      </c>
      <c r="O5934" s="10" t="n"/>
    </row>
    <row r="5935">
      <c r="B5935" s="7" t="n">
        <v>5933</v>
      </c>
      <c r="C5935" t="inlineStr">
        <is>
          <t>Nhân Viên Kinh Doanh Tiếng Trung - Tuyển Gấp</t>
        </is>
      </c>
      <c r="D5935" t="inlineStr">
        <is>
          <t>Công Ty Cổ Phần Western Pacific</t>
        </is>
      </c>
      <c r="E5935" t="inlineStr">
        <is>
          <t>15tr-25tr ₫/tháng</t>
        </is>
      </c>
      <c r="F5935" t="inlineStr">
        <is>
          <t>Hà Nội</t>
        </is>
      </c>
      <c r="G5935" t="inlineStr">
        <is>
          <t>Nhân viên</t>
        </is>
      </c>
      <c r="H5935" t="inlineStr">
        <is>
          <t>02/03/2026</t>
        </is>
      </c>
      <c r="I5935" t="inlineStr">
        <is>
          <t>01/04/2026</t>
        </is>
      </c>
      <c r="J5935" t="inlineStr">
        <is>
          <t>17/03/2026</t>
        </is>
      </c>
      <c r="K5935" t="inlineStr">
        <is>
          <t>N/A</t>
        </is>
      </c>
      <c r="L5935" t="inlineStr">
        <is>
          <t>Giao Tiếp, Kinh Doanh, Làm Việc Nhóm, Phân Tích Da, Tiếng Trung</t>
        </is>
      </c>
      <c r="M5935" t="inlineStr">
        <is>
          <t>Bonus, Healthcare Plan, Paid Leave, Training, Others</t>
        </is>
      </c>
      <c r="N5935" s="8">
        <f>HYPERLINK("https://www.vietnamworks.com/nhan-vien-kinh-doanh-tieng-trung-tuyen-gap-2016733-jv","Xem chi tiết")</f>
        <v/>
      </c>
    </row>
    <row r="5936">
      <c r="B5936" s="9" t="n">
        <v>5934</v>
      </c>
      <c r="C5936" s="10" t="inlineStr">
        <is>
          <t>Giám Sát Kho / Warehouse Supervisor</t>
        </is>
      </c>
      <c r="D5936" s="10" t="inlineStr">
        <is>
          <t>CÔNG TY CỔ PHẦN CHẾ BIẾN THỰC PHẨM HOÀNG SƠN</t>
        </is>
      </c>
      <c r="E5936" s="10" t="inlineStr">
        <is>
          <t>Thương lượng</t>
        </is>
      </c>
      <c r="F5936" s="10" t="inlineStr">
        <is>
          <t>Hồ Chí Minh</t>
        </is>
      </c>
      <c r="G5936" s="10" t="inlineStr">
        <is>
          <t>Nhân viên</t>
        </is>
      </c>
      <c r="H5936" s="10" t="inlineStr">
        <is>
          <t>02/03/2026</t>
        </is>
      </c>
      <c r="I5936" s="10" t="inlineStr">
        <is>
          <t>01/04/2026</t>
        </is>
      </c>
      <c r="J5936" s="10" t="inlineStr">
        <is>
          <t>17/03/2026</t>
        </is>
      </c>
      <c r="K5936" s="10" t="inlineStr">
        <is>
          <t>N/A</t>
        </is>
      </c>
      <c r="L5936" s="10" t="inlineStr">
        <is>
          <t>Quy Trình Vận Hành, Giám Sát Kho, Giám sát Kho Vận, Kho Vận, Logistic</t>
        </is>
      </c>
      <c r="M5936" s="10" t="inlineStr">
        <is>
          <t>Healthcare Plan, Training, Transportation</t>
        </is>
      </c>
      <c r="N5936" s="11">
        <f>HYPERLINK("https://www.vietnamworks.com/giam-sat-kho-warehouse-supervisor-2016738-jv","Xem chi tiết")</f>
        <v/>
      </c>
      <c r="O5936" s="10" t="n"/>
    </row>
    <row r="5937">
      <c r="B5937" s="7" t="n">
        <v>5935</v>
      </c>
      <c r="C5937" t="inlineStr">
        <is>
          <t>Product Manager (Jetpay Lending/Bankhub)</t>
        </is>
      </c>
      <c r="D5937" t="inlineStr">
        <is>
          <t>MISA Jointstock Company</t>
        </is>
      </c>
      <c r="E5937" t="inlineStr">
        <is>
          <t>Tới $ 3,000 /tháng</t>
        </is>
      </c>
      <c r="F5937" t="inlineStr">
        <is>
          <t>Hà Nội</t>
        </is>
      </c>
      <c r="G5937" t="inlineStr">
        <is>
          <t>Nhân viên</t>
        </is>
      </c>
      <c r="H5937" t="inlineStr">
        <is>
          <t>02/03/2026</t>
        </is>
      </c>
      <c r="I5937" t="inlineStr">
        <is>
          <t>01/04/2026</t>
        </is>
      </c>
      <c r="J5937" t="inlineStr">
        <is>
          <t>17/03/2026</t>
        </is>
      </c>
      <c r="K5937" t="inlineStr">
        <is>
          <t>N/A</t>
        </is>
      </c>
      <c r="L5937" t="inlineStr">
        <is>
          <t>Business Development, Market Research, Product Management, Product Manager</t>
        </is>
      </c>
      <c r="M5937" t="inlineStr">
        <is>
          <t>Bonus, Paid Leave, Training, Team Activities, Canteen, Others</t>
        </is>
      </c>
      <c r="N5937" s="8">
        <f>HYPERLINK("https://www.vietnamworks.com/product-manager-jetpay-lendingbankhub-2016736-jv","Xem chi tiết")</f>
        <v/>
      </c>
    </row>
    <row r="5938">
      <c r="B5938" s="9" t="n">
        <v>5936</v>
      </c>
      <c r="C5938" s="10" t="inlineStr">
        <is>
          <t>Kỹ Sư Thiết Kế Cơ Khí</t>
        </is>
      </c>
      <c r="D5938" s="10" t="inlineStr">
        <is>
          <t>Công ty TNHH Chuyển Giao Công Nghệ và Dịch Vụ Y Tế</t>
        </is>
      </c>
      <c r="E5938" s="10" t="inlineStr">
        <is>
          <t>12tr-20tr ₫/tháng</t>
        </is>
      </c>
      <c r="F5938" s="10" t="inlineStr">
        <is>
          <t>Hà Nội</t>
        </is>
      </c>
      <c r="G5938" s="10" t="inlineStr">
        <is>
          <t>Nhân viên</t>
        </is>
      </c>
      <c r="H5938" s="10" t="inlineStr">
        <is>
          <t>02/03/2026</t>
        </is>
      </c>
      <c r="I5938" s="10" t="inlineStr">
        <is>
          <t>01/04/2026</t>
        </is>
      </c>
      <c r="J5938" s="10" t="inlineStr">
        <is>
          <t>17/03/2026</t>
        </is>
      </c>
      <c r="K5938" s="10" t="inlineStr">
        <is>
          <t>N/A</t>
        </is>
      </c>
      <c r="L5938" s="10" t="inlineStr">
        <is>
          <t>SolidWorks, Inventor, Autodesk Fusion 360, CNC Machine, Thiết Kế Cơ Khí</t>
        </is>
      </c>
      <c r="M5938" s="10" t="inlineStr">
        <is>
          <t>Bonus, Healthcare Plan, Paid Leave, Travel Opportunities, Others</t>
        </is>
      </c>
      <c r="N5938" s="11">
        <f>HYPERLINK("https://www.vietnamworks.com/ky-su-thiet-ke-co-khi-2016726-jv","Xem chi tiết")</f>
        <v/>
      </c>
      <c r="O5938" s="10" t="n"/>
    </row>
    <row r="5939">
      <c r="B5939" s="7" t="n">
        <v>5937</v>
      </c>
      <c r="C5939" t="inlineStr">
        <is>
          <t>Sales Director, Importer Level (thương hiệu xe sang)</t>
        </is>
      </c>
      <c r="D5939" t="inlineStr">
        <is>
          <t>Tasco Joint Stock Company</t>
        </is>
      </c>
      <c r="E5939" t="inlineStr">
        <is>
          <t>Thương lượng</t>
        </is>
      </c>
      <c r="F5939" t="inlineStr">
        <is>
          <t>Hà Nội</t>
        </is>
      </c>
      <c r="G5939" t="inlineStr">
        <is>
          <t>Giám Đốc và Cấp Cao Hơn</t>
        </is>
      </c>
      <c r="H5939" t="inlineStr">
        <is>
          <t>02/03/2026</t>
        </is>
      </c>
      <c r="I5939" t="inlineStr">
        <is>
          <t>01/04/2026</t>
        </is>
      </c>
      <c r="J5939" t="inlineStr">
        <is>
          <t>17/03/2026</t>
        </is>
      </c>
      <c r="K5939" t="inlineStr">
        <is>
          <t>N/A</t>
        </is>
      </c>
      <c r="L5939" t="inlineStr">
        <is>
          <t>Giao Tiếp Tiếng Anh, Kinh Nghiệm Ô Tô, Phân Tích Thị Trường, Quản Lý Kinh Doanh, Đàm Phán Với Oem</t>
        </is>
      </c>
      <c r="M5939" t="inlineStr">
        <is>
          <t>Bonus, Healthcare Plan, Others</t>
        </is>
      </c>
      <c r="N5939" s="8">
        <f>HYPERLINK("https://www.vietnamworks.com/sales-director-importer-level-thuong-hieu-xe-sang-2016727-jv","Xem chi tiết")</f>
        <v/>
      </c>
    </row>
    <row r="5940">
      <c r="B5940" s="9" t="n">
        <v>5938</v>
      </c>
      <c r="C5940" s="10" t="inlineStr">
        <is>
          <t>Industrial Leasing (Korean Desk) – Tư Vấn BĐS Công Nghiệp, Thị Trường Hàn Quốc</t>
        </is>
      </c>
      <c r="D5940" s="10" t="inlineStr">
        <is>
          <t>Frasers Property Vietnam</t>
        </is>
      </c>
      <c r="E5940" s="10" t="inlineStr">
        <is>
          <t>Thương lượng</t>
        </is>
      </c>
      <c r="F5940" s="10" t="inlineStr">
        <is>
          <t>Hà Nội, Hưng Yên, Bắc Ninh</t>
        </is>
      </c>
      <c r="G5940" s="10" t="inlineStr">
        <is>
          <t>Nhân viên</t>
        </is>
      </c>
      <c r="H5940" s="10" t="inlineStr">
        <is>
          <t>02/03/2026</t>
        </is>
      </c>
      <c r="I5940" s="10" t="inlineStr">
        <is>
          <t>01/04/2026</t>
        </is>
      </c>
      <c r="J5940" s="10" t="inlineStr">
        <is>
          <t>17/03/2026</t>
        </is>
      </c>
      <c r="K5940" s="10" t="inlineStr">
        <is>
          <t>N/A</t>
        </is>
      </c>
      <c r="L5940" s="10" t="inlineStr">
        <is>
          <t>Real Estate, Relationship Building, Leasing Industrial Properties, Korean Language, Real Estate Laws</t>
        </is>
      </c>
      <c r="M5940" s="10" t="inlineStr">
        <is>
          <t>Bonus, Training, Team Activities</t>
        </is>
      </c>
      <c r="N5940" s="11">
        <f>HYPERLINK("https://www.vietnamworks.com/industrial-leasing-korean-desk-tu-van-bds-cong-nghiep-thi-truong-han-quoc--2016729-jv","Xem chi tiết")</f>
        <v/>
      </c>
      <c r="O5940" s="10" t="n"/>
    </row>
    <row r="5941">
      <c r="B5941" s="7" t="n">
        <v>5939</v>
      </c>
      <c r="C5941" t="inlineStr">
        <is>
          <t>Supervisor IT</t>
        </is>
      </c>
      <c r="D5941" t="inlineStr">
        <is>
          <t>Công ty TNHH Elentec Việt Nam</t>
        </is>
      </c>
      <c r="E5941" t="inlineStr">
        <is>
          <t>Thương lượng</t>
        </is>
      </c>
      <c r="F5941" t="inlineStr">
        <is>
          <t>Hà Nội</t>
        </is>
      </c>
      <c r="G5941" t="inlineStr">
        <is>
          <t>Nhân viên</t>
        </is>
      </c>
      <c r="H5941" t="inlineStr">
        <is>
          <t>02/03/2026</t>
        </is>
      </c>
      <c r="I5941" t="inlineStr">
        <is>
          <t>01/04/2026</t>
        </is>
      </c>
      <c r="J5941" t="inlineStr">
        <is>
          <t>17/03/2026</t>
        </is>
      </c>
      <c r="K5941" t="inlineStr">
        <is>
          <t>N/A</t>
        </is>
      </c>
      <c r="L5941" t="inlineStr">
        <is>
          <t>Bảo Mật Web, Hạ Tầng Mạng, Làm Việc Nhóm, Quản Trị Hệ Thống Mạng, Xử Lý Sự Cố</t>
        </is>
      </c>
      <c r="M5941" t="inlineStr">
        <is>
          <t>Bonus, Healthcare Plan, Paid Leave, Awards, Transportation, Canteen</t>
        </is>
      </c>
      <c r="N5941" s="8">
        <f>HYPERLINK("https://www.vietnamworks.com/supervisor-it-2016737-jv","Xem chi tiết")</f>
        <v/>
      </c>
    </row>
    <row r="5942">
      <c r="B5942" s="9" t="n">
        <v>5940</v>
      </c>
      <c r="C5942" s="10" t="inlineStr">
        <is>
          <t>Chuyên Viên Nghiên Cứu và Phát Triển Sản Phẩm (R&amp;D)</t>
        </is>
      </c>
      <c r="D5942" s="10" t="inlineStr">
        <is>
          <t>Công ty Cổ Phần Lai Phú</t>
        </is>
      </c>
      <c r="E5942" s="10" t="inlineStr">
        <is>
          <t>Thương lượng</t>
        </is>
      </c>
      <c r="F5942" s="10" t="inlineStr">
        <is>
          <t>Hồ Chí Minh</t>
        </is>
      </c>
      <c r="G5942" s="10" t="inlineStr">
        <is>
          <t>Nhân viên</t>
        </is>
      </c>
      <c r="H5942" s="10" t="inlineStr">
        <is>
          <t>02/03/2026</t>
        </is>
      </c>
      <c r="I5942" s="10" t="inlineStr">
        <is>
          <t>01/04/2026</t>
        </is>
      </c>
      <c r="J5942" s="10" t="inlineStr">
        <is>
          <t>17/03/2026</t>
        </is>
      </c>
      <c r="K5942" s="10" t="inlineStr">
        <is>
          <t>N/A</t>
        </is>
      </c>
      <c r="L5942" s="10" t="inlineStr">
        <is>
          <t>Phát Triển Sản Phẩm, Công Nghệ Thực Phẩm, Nghiên Cứu Sản Phẩm, Thử Nghiệm Sản Phẩm, Tối Ưu Chi Phí</t>
        </is>
      </c>
      <c r="M5942" s="10" t="inlineStr">
        <is>
          <t>Bonus, Healthcare Plan, Others</t>
        </is>
      </c>
      <c r="N5942" s="11">
        <f>HYPERLINK("https://www.vietnamworks.com/chuyen-vien-nghien-cuu-va-phat-trien-san-pham-r-d--2016752-jv","Xem chi tiết")</f>
        <v/>
      </c>
      <c r="O5942" s="10" t="n"/>
    </row>
    <row r="5943">
      <c r="B5943" s="7" t="n">
        <v>5941</v>
      </c>
      <c r="C5943" t="inlineStr">
        <is>
          <t>Phó Phòng Kho</t>
        </is>
      </c>
      <c r="D5943" t="inlineStr">
        <is>
          <t>CÔNG TY CỔ PHẦN CHẾ BIẾN THỰC PHẨM HOÀNG SƠN</t>
        </is>
      </c>
      <c r="E5943" t="inlineStr">
        <is>
          <t>Thương lượng</t>
        </is>
      </c>
      <c r="F5943" t="inlineStr">
        <is>
          <t>Hồ Chí Minh</t>
        </is>
      </c>
      <c r="G5943" t="inlineStr">
        <is>
          <t>Trưởng phòng</t>
        </is>
      </c>
      <c r="H5943" t="inlineStr">
        <is>
          <t>02/03/2026</t>
        </is>
      </c>
      <c r="I5943" t="inlineStr">
        <is>
          <t>01/04/2026</t>
        </is>
      </c>
      <c r="J5943" t="inlineStr">
        <is>
          <t>17/03/2026</t>
        </is>
      </c>
      <c r="K5943" t="inlineStr">
        <is>
          <t>N/A</t>
        </is>
      </c>
      <c r="L5943" t="inlineStr">
        <is>
          <t>Chứng Từ Xuất Nhập Kho, Chuỗi Cung Ứng, Kho Vận, Quản Lý Chuỗi Cung Ứng, Điều Hành Kho Vận</t>
        </is>
      </c>
      <c r="M5943" t="inlineStr">
        <is>
          <t>Healthcare Plan, Training, Transportation</t>
        </is>
      </c>
      <c r="N5943" s="8">
        <f>HYPERLINK("https://www.vietnamworks.com/pho-phong-kho-2016746-jv","Xem chi tiết")</f>
        <v/>
      </c>
    </row>
    <row r="5944">
      <c r="B5944" s="9" t="n">
        <v>5942</v>
      </c>
      <c r="C5944" s="10" t="inlineStr">
        <is>
          <t>Kỹ Thuật Setup Dây Điện Máy Auto</t>
        </is>
      </c>
      <c r="D5944" s="10" t="inlineStr">
        <is>
          <t>Công ty TNHH Elentec Việt Nam</t>
        </is>
      </c>
      <c r="E5944" s="10" t="inlineStr">
        <is>
          <t>10tr-15tr ₫/tháng</t>
        </is>
      </c>
      <c r="F5944" s="10" t="inlineStr">
        <is>
          <t>Hà Nội</t>
        </is>
      </c>
      <c r="G5944" s="10" t="inlineStr">
        <is>
          <t>Nhân viên</t>
        </is>
      </c>
      <c r="H5944" s="10" t="inlineStr">
        <is>
          <t>02/03/2026</t>
        </is>
      </c>
      <c r="I5944" s="10" t="inlineStr">
        <is>
          <t>01/04/2026</t>
        </is>
      </c>
      <c r="J5944" s="10" t="inlineStr">
        <is>
          <t>17/03/2026</t>
        </is>
      </c>
      <c r="K5944" s="10" t="inlineStr">
        <is>
          <t>N/A</t>
        </is>
      </c>
      <c r="L5944" s="10" t="inlineStr">
        <is>
          <t>Kết Nối Điện, Kỹ Thuật Điện Tử, Thiết Kế Dây Điện, Tự Động Hóa, Điện Tự Động Hóa</t>
        </is>
      </c>
      <c r="M5944" s="10" t="inlineStr">
        <is>
          <t>Bonus, Healthcare Plan, Paid Leave, Transportation, Canteen, Others</t>
        </is>
      </c>
      <c r="N5944" s="11">
        <f>HYPERLINK("https://www.vietnamworks.com/ky-thuat-setup-day-djien-may-auto-2016753-jv","Xem chi tiết")</f>
        <v/>
      </c>
      <c r="O5944" s="10" t="n"/>
    </row>
    <row r="5945">
      <c r="B5945" s="7" t="n">
        <v>5943</v>
      </c>
      <c r="C5945" t="inlineStr">
        <is>
          <t>Project Assistant</t>
        </is>
      </c>
      <c r="D5945" t="inlineStr">
        <is>
          <t>Công Ty Cổ Phần Kiến Trúc Twog</t>
        </is>
      </c>
      <c r="E5945" t="inlineStr">
        <is>
          <t>Thương lượng</t>
        </is>
      </c>
      <c r="F5945" t="inlineStr">
        <is>
          <t>Hồ Chí Minh</t>
        </is>
      </c>
      <c r="G5945" t="inlineStr">
        <is>
          <t>Nhân viên</t>
        </is>
      </c>
      <c r="H5945" t="inlineStr">
        <is>
          <t>02/03/2026</t>
        </is>
      </c>
      <c r="I5945" t="inlineStr">
        <is>
          <t>01/04/2026</t>
        </is>
      </c>
      <c r="J5945" t="inlineStr">
        <is>
          <t>17/03/2026</t>
        </is>
      </c>
      <c r="K5945" t="inlineStr">
        <is>
          <t>N/A</t>
        </is>
      </c>
      <c r="L5945" t="inlineStr">
        <is>
          <t>Architecture, Master Plan, Communications, Construction Design, Microsoff Office 365</t>
        </is>
      </c>
      <c r="M5945" t="inlineStr">
        <is>
          <t>Bonus, Training, Team Activities, Others</t>
        </is>
      </c>
      <c r="N5945" s="8">
        <f>HYPERLINK("https://www.vietnamworks.com/project-assistant-2016751-jv","Xem chi tiết")</f>
        <v/>
      </c>
    </row>
    <row r="5946">
      <c r="B5946" s="9" t="n">
        <v>5944</v>
      </c>
      <c r="C5946" s="10" t="inlineStr">
        <is>
          <t>Trưởng Bộ Phận Kinh Doanh</t>
        </is>
      </c>
      <c r="D5946" s="10" t="inlineStr">
        <is>
          <t>Công Ty Cổ Phần Cơ Khí Chính Xác Smart Việt Nam</t>
        </is>
      </c>
      <c r="E5946" s="10" t="inlineStr">
        <is>
          <t>Thương lượng</t>
        </is>
      </c>
      <c r="F5946" s="10" t="inlineStr">
        <is>
          <t>Hà Nội</t>
        </is>
      </c>
      <c r="G5946" s="10" t="inlineStr">
        <is>
          <t>Trưởng phòng</t>
        </is>
      </c>
      <c r="H5946" s="10" t="inlineStr">
        <is>
          <t>02/03/2026</t>
        </is>
      </c>
      <c r="I5946" s="10" t="inlineStr">
        <is>
          <t>01/04/2026</t>
        </is>
      </c>
      <c r="J5946" s="10" t="inlineStr">
        <is>
          <t>17/03/2026</t>
        </is>
      </c>
      <c r="K5946" s="10" t="inlineStr">
        <is>
          <t>N/A</t>
        </is>
      </c>
      <c r="L5946" s="10" t="inlineStr">
        <is>
          <t>Gia Công Kim Loại, Hỗ Trợ Kỹ Thuật, Phân Tích Thị Trường, Quản Lý Bán Hàng, Quản Lý Đội Ngũ Kinh Doanh</t>
        </is>
      </c>
      <c r="M5946" s="10" t="inlineStr">
        <is>
          <t>Bonus, Healthcare Plan, Paid Leave, Awards, Team Activities, Transportation</t>
        </is>
      </c>
      <c r="N5946" s="11">
        <f>HYPERLINK("https://www.vietnamworks.com/truong-bo-phan-kinh-doanh-2016755-jv","Xem chi tiết")</f>
        <v/>
      </c>
      <c r="O5946" s="10" t="n"/>
    </row>
    <row r="5947">
      <c r="B5947" s="7" t="n">
        <v>5945</v>
      </c>
      <c r="C5947" t="inlineStr">
        <is>
          <t>Sales Planning Assistant</t>
        </is>
      </c>
      <c r="D5947" t="inlineStr">
        <is>
          <t>LOTTE Properties Hanoi (LOTTE MALL West Lake Hanoi)</t>
        </is>
      </c>
      <c r="E5947" t="inlineStr">
        <is>
          <t>Thương lượng</t>
        </is>
      </c>
      <c r="F5947" t="inlineStr">
        <is>
          <t>Hà Nội</t>
        </is>
      </c>
      <c r="G5947" t="inlineStr">
        <is>
          <t>Nhân viên</t>
        </is>
      </c>
      <c r="H5947" t="inlineStr">
        <is>
          <t>02/03/2026</t>
        </is>
      </c>
      <c r="I5947" t="inlineStr">
        <is>
          <t>01/04/2026</t>
        </is>
      </c>
      <c r="J5947" t="inlineStr">
        <is>
          <t>17/03/2026</t>
        </is>
      </c>
      <c r="K5947" t="inlineStr">
        <is>
          <t>N/A</t>
        </is>
      </c>
      <c r="L5947" t="inlineStr">
        <is>
          <t>Sales, Data Analysis, Planning</t>
        </is>
      </c>
      <c r="M5947" t="inlineStr">
        <is>
          <t>Bonus, Paid Leave, Vouchers</t>
        </is>
      </c>
      <c r="N5947" s="8">
        <f>HYPERLINK("https://www.vietnamworks.com/sales-planning-assistant--2016758-jv","Xem chi tiết")</f>
        <v/>
      </c>
    </row>
    <row r="5948">
      <c r="B5948" s="9" t="n">
        <v>5946</v>
      </c>
      <c r="C5948" s="10" t="inlineStr">
        <is>
          <t>Giám Đốc Dịch Vụ - Ban Giám Đốc, CN. Phước Long (CN26.23)</t>
        </is>
      </c>
      <c r="D5948" s="10" t="inlineStr">
        <is>
          <t>NGÂN HÀNG TMCP QUÂN ĐỘI – MBBANK</t>
        </is>
      </c>
      <c r="E5948" s="10" t="inlineStr">
        <is>
          <t>Thương lượng</t>
        </is>
      </c>
      <c r="F5948" s="10" t="inlineStr">
        <is>
          <t>Đồng Nai</t>
        </is>
      </c>
      <c r="G5948" s="10" t="inlineStr">
        <is>
          <t>Giám Đốc và Cấp Cao Hơn</t>
        </is>
      </c>
      <c r="H5948" s="10" t="inlineStr">
        <is>
          <t>02/03/2026</t>
        </is>
      </c>
      <c r="I5948" s="10" t="inlineStr">
        <is>
          <t>01/04/2026</t>
        </is>
      </c>
      <c r="J5948" s="10" t="inlineStr">
        <is>
          <t>17/03/2026</t>
        </is>
      </c>
      <c r="K5948" s="10" t="inlineStr">
        <is>
          <t>N/A</t>
        </is>
      </c>
      <c r="L5948" s="10" t="inlineStr">
        <is>
          <t>Financial Analysis, Risk Management, Business Development, Negotiation, Leadership</t>
        </is>
      </c>
      <c r="M5948" s="10" t="inlineStr">
        <is>
          <t>Bonus, Healthcare Plan, Paid Leave, Training, Awards, Team Activities, Others</t>
        </is>
      </c>
      <c r="N5948" s="11">
        <f>HYPERLINK("https://www.vietnamworks.com/giam-djoc-dich-vu-ban-giam-djoc-cn-phuoc-long-cn26-23-2016756-jv","Xem chi tiết")</f>
        <v/>
      </c>
      <c r="O5948" s="10" t="n"/>
    </row>
    <row r="5949">
      <c r="B5949" s="7" t="n">
        <v>5947</v>
      </c>
      <c r="C5949" t="inlineStr">
        <is>
          <t>Nhân Viên Kinh Doanh B2B | Account Manager (Sales IT)</t>
        </is>
      </c>
      <c r="D5949" t="inlineStr">
        <is>
          <t>Công ty Cổ phần Công nghệ Oryza Systems</t>
        </is>
      </c>
      <c r="E5949" t="inlineStr">
        <is>
          <t>Từ 18tr ₫/tháng</t>
        </is>
      </c>
      <c r="F5949" t="inlineStr">
        <is>
          <t>Hồ Chí Minh</t>
        </is>
      </c>
      <c r="G5949" t="inlineStr">
        <is>
          <t>Nhân viên</t>
        </is>
      </c>
      <c r="H5949" t="inlineStr">
        <is>
          <t>02/03/2026</t>
        </is>
      </c>
      <c r="I5949" t="inlineStr">
        <is>
          <t>01/04/2026</t>
        </is>
      </c>
      <c r="J5949" t="inlineStr">
        <is>
          <t>17/03/2026</t>
        </is>
      </c>
      <c r="K5949" t="inlineStr">
        <is>
          <t>N/A</t>
        </is>
      </c>
      <c r="L5949" t="inlineStr">
        <is>
          <t>Kinh Doanh Phần Mềm, Sales representative, Sales Engineering, IoT Platform, Kỹ sư bán hàng</t>
        </is>
      </c>
      <c r="M5949" t="inlineStr">
        <is>
          <t>Bonus, Healthcare Plan, Paid Leave, Travel Opportunities, Team Activities, Transportation, Others</t>
        </is>
      </c>
      <c r="N5949" s="8">
        <f>HYPERLINK("https://www.vietnamworks.com/nhan-vien-kinh-doanh-b2b-or-account-manager-sales-it-2016750-jv","Xem chi tiết")</f>
        <v/>
      </c>
    </row>
    <row r="5950">
      <c r="B5950" s="9" t="n">
        <v>5948</v>
      </c>
      <c r="C5950" s="10" t="inlineStr">
        <is>
          <t>Procurement</t>
        </is>
      </c>
      <c r="D5950" s="10" t="inlineStr">
        <is>
          <t>Công Ty Cổ Phần Nature Gift Pharma</t>
        </is>
      </c>
      <c r="E5950" s="10" t="inlineStr">
        <is>
          <t>Thương lượng</t>
        </is>
      </c>
      <c r="F5950" s="10" t="inlineStr">
        <is>
          <t>Hồ Chí Minh</t>
        </is>
      </c>
      <c r="G5950" s="10" t="inlineStr">
        <is>
          <t>Nhân viên</t>
        </is>
      </c>
      <c r="H5950" s="10" t="inlineStr">
        <is>
          <t>02/03/2026</t>
        </is>
      </c>
      <c r="I5950" s="10" t="inlineStr">
        <is>
          <t>01/04/2026</t>
        </is>
      </c>
      <c r="J5950" s="10" t="inlineStr">
        <is>
          <t>17/03/2026</t>
        </is>
      </c>
      <c r="K5950" s="10" t="inlineStr">
        <is>
          <t>N/A</t>
        </is>
      </c>
      <c r="L5950" s="10" t="inlineStr">
        <is>
          <t>Supply Planning, Thu Mua, Purchase Management, Procurement, Sourcing</t>
        </is>
      </c>
      <c r="M5950" s="10" t="inlineStr">
        <is>
          <t>Bonus, Healthcare Plan, Training</t>
        </is>
      </c>
      <c r="N5950" s="11">
        <f>HYPERLINK("https://www.vietnamworks.com/procurement--2016760-jv","Xem chi tiết")</f>
        <v/>
      </c>
      <c r="O5950" s="10" t="n"/>
    </row>
    <row r="5951">
      <c r="B5951" s="7" t="n">
        <v>5949</v>
      </c>
      <c r="C5951" t="inlineStr">
        <is>
          <t>Kỹ Sư Hiện Trường - Hỗ Trợ Ăn Ở Tỉnh - Lương 18-23 Triệu</t>
        </is>
      </c>
      <c r="D5951" t="inlineStr">
        <is>
          <t>Công Ty Cổ Phần Đầu Tư Thiên Ân</t>
        </is>
      </c>
      <c r="E5951" t="inlineStr">
        <is>
          <t>18tr-23tr ₫/tháng</t>
        </is>
      </c>
      <c r="F5951" t="inlineStr">
        <is>
          <t>Bắc Giang, Bắc Ninh, Hà Nội</t>
        </is>
      </c>
      <c r="G5951" t="inlineStr">
        <is>
          <t>Nhân viên</t>
        </is>
      </c>
      <c r="H5951" t="inlineStr">
        <is>
          <t>02/03/2026</t>
        </is>
      </c>
      <c r="I5951" t="inlineStr">
        <is>
          <t>01/04/2026</t>
        </is>
      </c>
      <c r="J5951" t="inlineStr">
        <is>
          <t>17/03/2026</t>
        </is>
      </c>
      <c r="K5951" t="inlineStr">
        <is>
          <t>N/A</t>
        </is>
      </c>
      <c r="L5951" t="inlineStr">
        <is>
          <t>Kỹ Thuật Hiện Trường, Giám Sát Thi Công, Site engineering, Xây Dựng Công Trình, Hoàn Thiện Công Trình</t>
        </is>
      </c>
      <c r="M5951" t="inlineStr">
        <is>
          <t>Bonus, Healthcare Plan, Paid Leave, Training, Awards, Team Activities, Others</t>
        </is>
      </c>
      <c r="N5951" s="8">
        <f>HYPERLINK("https://www.vietnamworks.com/ky-su-hien-truong-ho-tro-an-o-tinh-luong-18-23-trieu-2016764-jv","Xem chi tiết")</f>
        <v/>
      </c>
    </row>
    <row r="5952">
      <c r="B5952" s="9" t="n">
        <v>5950</v>
      </c>
      <c r="C5952" s="10" t="inlineStr">
        <is>
          <t>Giám Đốc Điều Hành F&amp;B</t>
        </is>
      </c>
      <c r="D5952" s="10" t="inlineStr">
        <is>
          <t>Công Ty Du Học Du Lịch TMDV Á Âu</t>
        </is>
      </c>
      <c r="E5952" s="10" t="inlineStr">
        <is>
          <t>Thương lượng</t>
        </is>
      </c>
      <c r="F5952" s="10" t="inlineStr">
        <is>
          <t>Hồ Chí Minh</t>
        </is>
      </c>
      <c r="G5952" s="10" t="inlineStr">
        <is>
          <t>Giám Đốc và Cấp Cao Hơn</t>
        </is>
      </c>
      <c r="H5952" s="10" t="inlineStr">
        <is>
          <t>02/03/2026</t>
        </is>
      </c>
      <c r="I5952" s="10" t="inlineStr">
        <is>
          <t>01/04/2026</t>
        </is>
      </c>
      <c r="J5952" s="10" t="inlineStr">
        <is>
          <t>17/03/2026</t>
        </is>
      </c>
      <c r="K5952" s="10" t="inlineStr">
        <is>
          <t>N/A</t>
        </is>
      </c>
      <c r="L5952" s="10" t="inlineStr">
        <is>
          <t>Food and Beverage, Quản Lý Nhà Hàng, Quản Lý Nhà Hàng Khách Sạn, Tổ Chức Tiệc Cưới, Điều Hành Khách Sạn</t>
        </is>
      </c>
      <c r="M5952" s="10" t="inlineStr">
        <is>
          <t>Bonus, Team Activities</t>
        </is>
      </c>
      <c r="N5952" s="11">
        <f>HYPERLINK("https://www.vietnamworks.com/giam-djoc-djieu-hanh-fandb-2016766-jv","Xem chi tiết")</f>
        <v/>
      </c>
      <c r="O5952" s="10" t="n"/>
    </row>
    <row r="5953">
      <c r="B5953" s="7" t="n">
        <v>5951</v>
      </c>
      <c r="C5953" t="inlineStr">
        <is>
          <t>Human Resources Officer - Chuyên Viên Nhân Sự</t>
        </is>
      </c>
      <c r="D5953" t="inlineStr">
        <is>
          <t>Corona Resort &amp; Casino Phu Quoc, Vietnam</t>
        </is>
      </c>
      <c r="E5953" t="inlineStr">
        <is>
          <t>Thương lượng</t>
        </is>
      </c>
      <c r="F5953" t="inlineStr">
        <is>
          <t>Kiên Giang, Hồ Chí Minh</t>
        </is>
      </c>
      <c r="G5953" t="inlineStr">
        <is>
          <t>Nhân viên</t>
        </is>
      </c>
      <c r="H5953" t="inlineStr">
        <is>
          <t>02/03/2026</t>
        </is>
      </c>
      <c r="I5953" t="inlineStr">
        <is>
          <t>01/04/2026</t>
        </is>
      </c>
      <c r="J5953" t="inlineStr">
        <is>
          <t>17/03/2026</t>
        </is>
      </c>
      <c r="K5953" t="inlineStr">
        <is>
          <t>N/A</t>
        </is>
      </c>
      <c r="L5953" t="inlineStr">
        <is>
          <t>C&amp;B, Recruitment, English Communication, Cadena HRM, Human Resources</t>
        </is>
      </c>
      <c r="M5953" t="inlineStr">
        <is>
          <t>Bonus, Healthcare Plan, Others</t>
        </is>
      </c>
      <c r="N5953" s="8">
        <f>HYPERLINK("https://www.vietnamworks.com/human-resources-officer-chuyen-vien-nhan-su-2016780-jv","Xem chi tiết")</f>
        <v/>
      </c>
    </row>
    <row r="5954">
      <c r="B5954" s="9" t="n">
        <v>5952</v>
      </c>
      <c r="C5954" s="10" t="inlineStr">
        <is>
          <t>Phó Phòng Kế Hoạch Kỹ Thuật Phụ Trách Về Kế Hoạch</t>
        </is>
      </c>
      <c r="D5954" s="10" t="inlineStr">
        <is>
          <t>Công Ty Cổ Phần Đầu Tư Thiên Ân</t>
        </is>
      </c>
      <c r="E5954" s="10" t="inlineStr">
        <is>
          <t>20tr-30tr ₫/tháng</t>
        </is>
      </c>
      <c r="F5954" s="10" t="inlineStr">
        <is>
          <t>Hà Nội</t>
        </is>
      </c>
      <c r="G5954" s="10" t="inlineStr">
        <is>
          <t>Trưởng phòng</t>
        </is>
      </c>
      <c r="H5954" s="10" t="inlineStr">
        <is>
          <t>02/03/2026</t>
        </is>
      </c>
      <c r="I5954" s="10" t="inlineStr">
        <is>
          <t>01/04/2026</t>
        </is>
      </c>
      <c r="J5954" s="10" t="inlineStr">
        <is>
          <t>17/03/2026</t>
        </is>
      </c>
      <c r="K5954" s="10" t="inlineStr">
        <is>
          <t>N/A</t>
        </is>
      </c>
      <c r="L5954" s="10" t="inlineStr">
        <is>
          <t>Lập Kế Hoạch Thi Công Dự Án, Giám Sát, Báo Cáo Quyết Toán Dự Án, Triển Khai Kế Hoạch, biện pháp thi công</t>
        </is>
      </c>
      <c r="M5954" s="10" t="inlineStr">
        <is>
          <t>Bonus, Paid Leave, Travel Opportunities</t>
        </is>
      </c>
      <c r="N5954" s="11">
        <f>HYPERLINK("https://www.vietnamworks.com/pho-phong-ke-hoach-ky-thuat-phu-trach-ve-ke-hoach--2016762-jv","Xem chi tiết")</f>
        <v/>
      </c>
      <c r="O5954" s="10" t="n"/>
    </row>
    <row r="5955">
      <c r="B5955" s="7" t="n">
        <v>5953</v>
      </c>
      <c r="C5955" t="inlineStr">
        <is>
          <t>Phó Phòng An Ninh - An Toàn</t>
        </is>
      </c>
      <c r="D5955" t="inlineStr">
        <is>
          <t>Công Ty Cổ Phần Đầu Tư Thiên Ân</t>
        </is>
      </c>
      <c r="E5955" t="inlineStr">
        <is>
          <t>25tr-30tr ₫/tháng</t>
        </is>
      </c>
      <c r="F5955" t="inlineStr">
        <is>
          <t>Hà Nội, Bắc Ninh, Bắc Giang</t>
        </is>
      </c>
      <c r="G5955" t="inlineStr">
        <is>
          <t>Trưởng phòng</t>
        </is>
      </c>
      <c r="H5955" t="inlineStr">
        <is>
          <t>02/03/2026</t>
        </is>
      </c>
      <c r="I5955" t="inlineStr">
        <is>
          <t>01/04/2026</t>
        </is>
      </c>
      <c r="J5955" t="inlineStr">
        <is>
          <t>17/03/2026</t>
        </is>
      </c>
      <c r="K5955" t="inlineStr">
        <is>
          <t>N/A</t>
        </is>
      </c>
      <c r="L5955" t="inlineStr">
        <is>
          <t>Quản Lý Xây Dựng, Quản Lý Dự Án, Project Management, An ninh, An Toàn Lao Động</t>
        </is>
      </c>
      <c r="M5955" t="inlineStr">
        <is>
          <t>Bonus, Paid Leave, Travel Opportunities</t>
        </is>
      </c>
      <c r="N5955" s="8">
        <f>HYPERLINK("https://www.vietnamworks.com/pho-phong-an-ninh-an-toan--2016765-jv","Xem chi tiết")</f>
        <v/>
      </c>
    </row>
    <row r="5956">
      <c r="B5956" s="9" t="n">
        <v>5954</v>
      </c>
      <c r="C5956" s="10" t="inlineStr">
        <is>
          <t>Kỹ Sư HSE - An Toàn Lao Động (Công Trình Xây Dựng) - Hỗ Trợ Ăn Ở Tỉnh - Lương 16Tr-20Tr</t>
        </is>
      </c>
      <c r="D5956" s="10" t="inlineStr">
        <is>
          <t>Công Ty Cổ Phần Đầu Tư Thiên Ân</t>
        </is>
      </c>
      <c r="E5956" s="10" t="inlineStr">
        <is>
          <t>Thương lượng</t>
        </is>
      </c>
      <c r="F5956" s="10" t="inlineStr">
        <is>
          <t>Bắc Giang, Bắc Ninh, Hà Nội</t>
        </is>
      </c>
      <c r="G5956" s="10" t="inlineStr">
        <is>
          <t>Nhân viên</t>
        </is>
      </c>
      <c r="H5956" s="10" t="inlineStr">
        <is>
          <t>02/03/2026</t>
        </is>
      </c>
      <c r="I5956" s="10" t="inlineStr">
        <is>
          <t>01/04/2026</t>
        </is>
      </c>
      <c r="J5956" s="10" t="inlineStr">
        <is>
          <t>17/03/2026</t>
        </is>
      </c>
      <c r="K5956" s="10" t="inlineStr">
        <is>
          <t>N/A</t>
        </is>
      </c>
      <c r="L5956" s="10" t="inlineStr">
        <is>
          <t>Quản Lý An Toàn Lao Động, HSE, Bảo Hộ Lao Động, An Toàn Lao Động, Xây Dựng Dân Dụng và Công Nghiệp</t>
        </is>
      </c>
      <c r="M5956" s="10" t="inlineStr">
        <is>
          <t>Bonus, Healthcare Plan, Travel Opportunities</t>
        </is>
      </c>
      <c r="N5956" s="11">
        <f>HYPERLINK("https://www.vietnamworks.com/ky-su-hse-an-toan-lao-dong-cong-trinh-xay-dung-ho-tro-an-o-tinh-luong-16tr-20tr--2016767-jv","Xem chi tiết")</f>
        <v/>
      </c>
      <c r="O5956" s="10" t="n"/>
    </row>
    <row r="5957">
      <c r="B5957" s="7" t="n">
        <v>5955</v>
      </c>
      <c r="C5957" t="inlineStr">
        <is>
          <t>Thiết Kế Nội Thất</t>
        </is>
      </c>
      <c r="D5957" t="inlineStr">
        <is>
          <t>AA Decor CORPORATION</t>
        </is>
      </c>
      <c r="E5957" t="inlineStr">
        <is>
          <t>Thương lượng</t>
        </is>
      </c>
      <c r="F5957" t="inlineStr">
        <is>
          <t>Hồ Chí Minh</t>
        </is>
      </c>
      <c r="G5957" t="inlineStr">
        <is>
          <t>Nhân viên</t>
        </is>
      </c>
      <c r="H5957" t="inlineStr">
        <is>
          <t>02/03/2026</t>
        </is>
      </c>
      <c r="I5957" t="inlineStr">
        <is>
          <t>01/04/2026</t>
        </is>
      </c>
      <c r="J5957" t="inlineStr">
        <is>
          <t>17/03/2026</t>
        </is>
      </c>
      <c r="K5957" t="inlineStr">
        <is>
          <t>N/A</t>
        </is>
      </c>
      <c r="L5957" t="inlineStr">
        <is>
          <t>CAD, Sketchup, Thiết Kế Nội Thất, Triển Khai Thiết Kế, Quy Hoạch Đô Thị</t>
        </is>
      </c>
      <c r="M5957" t="inlineStr">
        <is>
          <t>Bonus, Healthcare Plan, Others</t>
        </is>
      </c>
      <c r="N5957" s="8">
        <f>HYPERLINK("https://www.vietnamworks.com/thiet-ke-noi-that-2016778-jv","Xem chi tiết")</f>
        <v/>
      </c>
    </row>
    <row r="5958">
      <c r="B5958" s="9" t="n">
        <v>5956</v>
      </c>
      <c r="C5958" s="10" t="inlineStr">
        <is>
          <t>Production Engineer - PE (Kỹ Sư Máy Móc Thiết Bị)</t>
        </is>
      </c>
      <c r="D5958" s="10" t="inlineStr">
        <is>
          <t>LG Electronics Việt Nam Hải Phòng</t>
        </is>
      </c>
      <c r="E5958" s="10" t="inlineStr">
        <is>
          <t>Thương lượng</t>
        </is>
      </c>
      <c r="F5958" s="10" t="inlineStr">
        <is>
          <t>Hải Phòng</t>
        </is>
      </c>
      <c r="G5958" s="10" t="inlineStr">
        <is>
          <t>Nhân viên</t>
        </is>
      </c>
      <c r="H5958" s="10" t="inlineStr">
        <is>
          <t>02/03/2026</t>
        </is>
      </c>
      <c r="I5958" s="10" t="inlineStr">
        <is>
          <t>01/04/2026</t>
        </is>
      </c>
      <c r="J5958" s="10" t="inlineStr">
        <is>
          <t>17/03/2026</t>
        </is>
      </c>
      <c r="K5958" s="10" t="inlineStr">
        <is>
          <t>N/A</t>
        </is>
      </c>
      <c r="L5958" s="10" t="inlineStr">
        <is>
          <t>Machine Management, 7 QC Tools, Cải Tiến Dây Chuyền Sản Xuất, Maintenance, Production engineering</t>
        </is>
      </c>
      <c r="M5958" s="10" t="inlineStr">
        <is>
          <t>Bonus, Healthcare Plan, Paid Leave, Team Activities, Transportation</t>
        </is>
      </c>
      <c r="N5958" s="11">
        <f>HYPERLINK("https://www.vietnamworks.com/production-engineer-pe-ky-su-may-moc-thiet-bi-2016779-jv","Xem chi tiết")</f>
        <v/>
      </c>
      <c r="O5958" s="10" t="n"/>
    </row>
    <row r="5959">
      <c r="B5959" s="7" t="n">
        <v>5957</v>
      </c>
      <c r="C5959" t="inlineStr">
        <is>
          <t>Chuyên Viên Kế Toán</t>
        </is>
      </c>
      <c r="D5959" t="inlineStr">
        <is>
          <t>Công Ty Cổ Phần Tập Đoàn Masterise</t>
        </is>
      </c>
      <c r="E5959" t="inlineStr">
        <is>
          <t>Thương lượng</t>
        </is>
      </c>
      <c r="F5959" t="inlineStr">
        <is>
          <t>Hồ Chí Minh</t>
        </is>
      </c>
      <c r="G5959" t="inlineStr">
        <is>
          <t>Nhân viên</t>
        </is>
      </c>
      <c r="H5959" t="inlineStr">
        <is>
          <t>02/03/2026</t>
        </is>
      </c>
      <c r="I5959" t="inlineStr">
        <is>
          <t>01/04/2026</t>
        </is>
      </c>
      <c r="J5959" t="inlineStr">
        <is>
          <t>17/03/2026</t>
        </is>
      </c>
      <c r="K5959" t="inlineStr">
        <is>
          <t>N/A</t>
        </is>
      </c>
      <c r="L5959" t="inlineStr">
        <is>
          <t>Bất Động Sản, Kế Toán Bán Hàng, Luật Thuế, Nghiệp Vụ Chi Phí, Tài Chính Kế Toán</t>
        </is>
      </c>
      <c r="M5959" t="inlineStr">
        <is>
          <t>Bonus, Healthcare Plan, Training, Others</t>
        </is>
      </c>
      <c r="N5959" s="8">
        <f>HYPERLINK("https://www.vietnamworks.com/chuyen-vien-ke-toan-2016775-jv","Xem chi tiết")</f>
        <v/>
      </c>
    </row>
    <row r="5960">
      <c r="B5960" s="9" t="n">
        <v>5958</v>
      </c>
      <c r="C5960" s="10" t="inlineStr">
        <is>
          <t>Trưởng Phòng Marketing Bất Động Sản</t>
        </is>
      </c>
      <c r="D5960" s="10" t="inlineStr">
        <is>
          <t>Flamingo Holdings Group</t>
        </is>
      </c>
      <c r="E5960" s="10" t="inlineStr">
        <is>
          <t>Thương lượng</t>
        </is>
      </c>
      <c r="F5960" s="10" t="inlineStr">
        <is>
          <t>Hà Nội</t>
        </is>
      </c>
      <c r="G5960" s="10" t="inlineStr">
        <is>
          <t>Giám Đốc và Cấp Cao Hơn</t>
        </is>
      </c>
      <c r="H5960" s="10" t="inlineStr">
        <is>
          <t>02/03/2026</t>
        </is>
      </c>
      <c r="I5960" s="10" t="inlineStr">
        <is>
          <t>01/04/2026</t>
        </is>
      </c>
      <c r="J5960" s="10" t="inlineStr">
        <is>
          <t>17/03/2026</t>
        </is>
      </c>
      <c r="K5960" s="10" t="inlineStr">
        <is>
          <t>N/A</t>
        </is>
      </c>
      <c r="L5960" s="10" t="inlineStr">
        <is>
          <t>Marketing Development, Truyền Thông, Phát Triển Thương Hiệu, Bất Động Sản, Nghiên Cứu Thị Trường</t>
        </is>
      </c>
      <c r="M5960" s="10" t="inlineStr">
        <is>
          <t>Bonus, Healthcare Plan, Training, Travel Opportunities, Canteen, Others</t>
        </is>
      </c>
      <c r="N5960" s="11">
        <f>HYPERLINK("https://www.vietnamworks.com/truong-phong-marketing-bat-djong-san-2016782-jv","Xem chi tiết")</f>
        <v/>
      </c>
      <c r="O5960" s="10" t="n"/>
    </row>
    <row r="5961">
      <c r="B5961" s="7" t="n">
        <v>5959</v>
      </c>
      <c r="C5961" t="inlineStr">
        <is>
          <t>Kỹ Sư Trắc Đạc (Lương 20 -26 Triệu/ Tháng)</t>
        </is>
      </c>
      <c r="D5961" t="inlineStr">
        <is>
          <t>Công Ty TNHH Đầu Tư Xây Dựng VK</t>
        </is>
      </c>
      <c r="E5961" t="inlineStr">
        <is>
          <t>20tr-26tr ₫/tháng</t>
        </is>
      </c>
      <c r="F5961" t="inlineStr">
        <is>
          <t>Hà Nội, Thái Bình, Bắc Ninh</t>
        </is>
      </c>
      <c r="G5961" t="inlineStr">
        <is>
          <t>Nhân viên</t>
        </is>
      </c>
      <c r="H5961" t="inlineStr">
        <is>
          <t>02/03/2026</t>
        </is>
      </c>
      <c r="I5961" t="inlineStr">
        <is>
          <t>01/04/2026</t>
        </is>
      </c>
      <c r="J5961" t="inlineStr">
        <is>
          <t>17/03/2026</t>
        </is>
      </c>
      <c r="K5961" t="inlineStr">
        <is>
          <t>N/A</t>
        </is>
      </c>
      <c r="L5961" t="inlineStr">
        <is>
          <t>Bóc Tách Khối Lượng, Lập Dự Toán, Hồ Sơ Mời Thầu, Thanh Quyết Toán, Trắc Đạc</t>
        </is>
      </c>
      <c r="M5961" t="inlineStr">
        <is>
          <t>Bonus, Healthcare Plan, Team Activities, Others</t>
        </is>
      </c>
      <c r="N5961" s="8">
        <f>HYPERLINK("https://www.vietnamworks.com/ky-su-trac-dac-luong-20-26-trieu-thang-2016768-jv","Xem chi tiết")</f>
        <v/>
      </c>
    </row>
    <row r="5962">
      <c r="B5962" s="9" t="n">
        <v>5960</v>
      </c>
      <c r="C5962" s="10" t="inlineStr">
        <is>
          <t>Nhân Viên QC (Kiểm Tra Chất Lượng)</t>
        </is>
      </c>
      <c r="D5962" s="10" t="inlineStr">
        <is>
          <t>Công Ty Cổ Phần Cơ Khí Chính Xác Smart Việt Nam</t>
        </is>
      </c>
      <c r="E5962" s="10" t="inlineStr">
        <is>
          <t>8tr-12tr ₫/tháng</t>
        </is>
      </c>
      <c r="F5962" s="10" t="inlineStr">
        <is>
          <t>Hà Nội</t>
        </is>
      </c>
      <c r="G5962" s="10" t="inlineStr">
        <is>
          <t>Nhân viên</t>
        </is>
      </c>
      <c r="H5962" s="10" t="inlineStr">
        <is>
          <t>02/03/2026</t>
        </is>
      </c>
      <c r="I5962" s="10" t="inlineStr">
        <is>
          <t>01/04/2026</t>
        </is>
      </c>
      <c r="J5962" s="10" t="inlineStr">
        <is>
          <t>17/03/2026</t>
        </is>
      </c>
      <c r="K5962" s="10" t="inlineStr">
        <is>
          <t>N/A</t>
        </is>
      </c>
      <c r="L5962" s="10" t="inlineStr">
        <is>
          <t>5S, Gia Công Cơ Khí, Kiểm Tra Chất Lượng, Lập Báo Cáo, Đọc Bản Vẽ Kỹ Thuật</t>
        </is>
      </c>
      <c r="M5962" s="10" t="inlineStr">
        <is>
          <t>Bonus, Healthcare Plan, Paid Leave, Awards, Team Activities, Transportation, Others</t>
        </is>
      </c>
      <c r="N5962" s="11">
        <f>HYPERLINK("https://www.vietnamworks.com/nhan-vien-qc-kiem-tra-chat-luong-2016784-jv","Xem chi tiết")</f>
        <v/>
      </c>
      <c r="O5962" s="10" t="n"/>
    </row>
    <row r="5963">
      <c r="B5963" s="7" t="n">
        <v>5961</v>
      </c>
      <c r="C5963" t="inlineStr">
        <is>
          <t>Kỹ Sư QS - Thanh Quyết Toán (17-25 Triệu) - Hỗ Trợ Ăn Ở Công Trường</t>
        </is>
      </c>
      <c r="D5963" t="inlineStr">
        <is>
          <t>Công Ty Cổ Phần Đầu Tư Thiên Ân</t>
        </is>
      </c>
      <c r="E5963" t="inlineStr">
        <is>
          <t>18tr-25tr ₫/tháng</t>
        </is>
      </c>
      <c r="F5963" t="inlineStr">
        <is>
          <t>Bắc Giang, Hà Nội, Bắc Ninh</t>
        </is>
      </c>
      <c r="G5963" t="inlineStr">
        <is>
          <t>Nhân viên</t>
        </is>
      </c>
      <c r="H5963" t="inlineStr">
        <is>
          <t>02/03/2026</t>
        </is>
      </c>
      <c r="I5963" t="inlineStr">
        <is>
          <t>01/04/2026</t>
        </is>
      </c>
      <c r="J5963" t="inlineStr">
        <is>
          <t>17/03/2026</t>
        </is>
      </c>
      <c r="K5963" t="inlineStr">
        <is>
          <t>N/A</t>
        </is>
      </c>
      <c r="L5963" t="inlineStr">
        <is>
          <t>Quantity Surveyor Management, Dự Toán, Thanh Quyết Toán, QS, Thi Công Xây Dựng</t>
        </is>
      </c>
      <c r="M5963" t="inlineStr">
        <is>
          <t>Bonus, Healthcare Plan, Paid Leave, Training, Awards, Team Activities, Transportation, Others</t>
        </is>
      </c>
      <c r="N5963" s="8">
        <f>HYPERLINK("https://www.vietnamworks.com/ky-su-qs-thanh-quyet-toan-17-25-trieu-ho-tro-an-o-cong-truong-2016763-jv","Xem chi tiết")</f>
        <v/>
      </c>
    </row>
    <row r="5964">
      <c r="B5964" s="9" t="n">
        <v>5962</v>
      </c>
      <c r="C5964" s="10" t="inlineStr">
        <is>
          <t>Trưởng Phòng Sáng Tạo (Bất Động Sản)</t>
        </is>
      </c>
      <c r="D5964" s="10" t="inlineStr">
        <is>
          <t>Flamingo Holdings Group</t>
        </is>
      </c>
      <c r="E5964" s="10" t="inlineStr">
        <is>
          <t>Thương lượng</t>
        </is>
      </c>
      <c r="F5964" s="10" t="inlineStr">
        <is>
          <t>Hà Nội</t>
        </is>
      </c>
      <c r="G5964" s="10" t="inlineStr">
        <is>
          <t>Trưởng phòng</t>
        </is>
      </c>
      <c r="H5964" s="10" t="inlineStr">
        <is>
          <t>02/03/2026</t>
        </is>
      </c>
      <c r="I5964" s="10" t="inlineStr">
        <is>
          <t>01/04/2026</t>
        </is>
      </c>
      <c r="J5964" s="10" t="inlineStr">
        <is>
          <t>17/03/2026</t>
        </is>
      </c>
      <c r="K5964" s="10" t="inlineStr">
        <is>
          <t>N/A</t>
        </is>
      </c>
      <c r="L5964" s="10" t="inlineStr">
        <is>
          <t>Marketing Development, Creative Design, Event Planning, Content Creation, Project Management</t>
        </is>
      </c>
      <c r="M5964" s="10" t="inlineStr">
        <is>
          <t>Bonus, Healthcare Plan, Training, Travel Opportunities, Canteen, Others</t>
        </is>
      </c>
      <c r="N5964" s="11">
        <f>HYPERLINK("https://www.vietnamworks.com/truong-phong-sang-tao-bat-djong-san-2016787-jv","Xem chi tiết")</f>
        <v/>
      </c>
      <c r="O5964" s="10" t="n"/>
    </row>
    <row r="5965">
      <c r="B5965" s="7" t="n">
        <v>5963</v>
      </c>
      <c r="C5965" t="inlineStr">
        <is>
          <t>General Cashier – Thủ Quỹ</t>
        </is>
      </c>
      <c r="D5965" t="inlineStr">
        <is>
          <t>Corona Resort &amp; Casino Phu Quoc, Vietnam</t>
        </is>
      </c>
      <c r="E5965" t="inlineStr">
        <is>
          <t>Thương lượng</t>
        </is>
      </c>
      <c r="F5965" t="inlineStr">
        <is>
          <t>Kiên Giang, ĐBSCL, Hồ Chí Minh</t>
        </is>
      </c>
      <c r="G5965" t="inlineStr">
        <is>
          <t>Nhân viên</t>
        </is>
      </c>
      <c r="H5965" t="inlineStr">
        <is>
          <t>02/03/2026</t>
        </is>
      </c>
      <c r="I5965" t="inlineStr">
        <is>
          <t>01/04/2026</t>
        </is>
      </c>
      <c r="J5965" t="inlineStr">
        <is>
          <t>17/03/2026</t>
        </is>
      </c>
      <c r="K5965" t="inlineStr">
        <is>
          <t>N/A</t>
        </is>
      </c>
      <c r="L5965" t="inlineStr">
        <is>
          <t>Cash Management, Opera PMS, Cashier Skill, Property Management System, Bank Deposits</t>
        </is>
      </c>
      <c r="M5965" t="inlineStr">
        <is>
          <t>Bonus, Healthcare Plan, Others</t>
        </is>
      </c>
      <c r="N5965" s="8">
        <f>HYPERLINK("https://www.vietnamworks.com/general-cashier-thu-quy--2016776-jv","Xem chi tiết")</f>
        <v/>
      </c>
    </row>
    <row r="5966">
      <c r="B5966" s="9" t="n">
        <v>5964</v>
      </c>
      <c r="C5966" s="10" t="inlineStr">
        <is>
          <t>Kỹ Sư Shop Drawing (Lương 20 -28 Triệu/ Tháng)</t>
        </is>
      </c>
      <c r="D5966" s="10" t="inlineStr">
        <is>
          <t>Công Ty TNHH Đầu Tư Xây Dựng VK</t>
        </is>
      </c>
      <c r="E5966" s="10" t="inlineStr">
        <is>
          <t>20tr-28tr ₫/tháng</t>
        </is>
      </c>
      <c r="F5966" s="10" t="inlineStr">
        <is>
          <t>Hà Nội, Bắc Ninh, Thái Bình</t>
        </is>
      </c>
      <c r="G5966" s="10" t="inlineStr">
        <is>
          <t>Nhân viên</t>
        </is>
      </c>
      <c r="H5966" s="10" t="inlineStr">
        <is>
          <t>02/03/2026</t>
        </is>
      </c>
      <c r="I5966" s="10" t="inlineStr">
        <is>
          <t>01/04/2026</t>
        </is>
      </c>
      <c r="J5966" s="10" t="inlineStr">
        <is>
          <t>17/03/2026</t>
        </is>
      </c>
      <c r="K5966" s="10" t="inlineStr">
        <is>
          <t>N/A</t>
        </is>
      </c>
      <c r="L5966" s="10" t="inlineStr">
        <is>
          <t>Shop Drawing, Bóc Tách Vật Tư, Hoàn Công, Lập Bản Vẽ Hoàn Công, Triển Khai Bản Vẽ</t>
        </is>
      </c>
      <c r="M5966" s="10" t="inlineStr">
        <is>
          <t>Bonus, Healthcare Plan, Team Activities, Others</t>
        </is>
      </c>
      <c r="N5966" s="11">
        <f>HYPERLINK("https://www.vietnamworks.com/ky-su-shop-drawing-luong-20-28-trieu-thang-2016769-jv","Xem chi tiết")</f>
        <v/>
      </c>
      <c r="O5966" s="10" t="n"/>
    </row>
    <row r="5967">
      <c r="B5967" s="7" t="n">
        <v>5965</v>
      </c>
      <c r="C5967" t="inlineStr">
        <is>
          <t>Compliance &amp; Audit Executive</t>
        </is>
      </c>
      <c r="D5967" t="inlineStr">
        <is>
          <t>LOTTE Properties Hanoi (LOTTE MALL West Lake Hanoi)</t>
        </is>
      </c>
      <c r="E5967" t="inlineStr">
        <is>
          <t>Thương lượng</t>
        </is>
      </c>
      <c r="F5967" t="inlineStr">
        <is>
          <t>Hà Nội</t>
        </is>
      </c>
      <c r="G5967" t="inlineStr">
        <is>
          <t>Nhân viên</t>
        </is>
      </c>
      <c r="H5967" t="inlineStr">
        <is>
          <t>02/03/2026</t>
        </is>
      </c>
      <c r="I5967" t="inlineStr">
        <is>
          <t>01/04/2026</t>
        </is>
      </c>
      <c r="J5967" t="inlineStr">
        <is>
          <t>17/03/2026</t>
        </is>
      </c>
      <c r="K5967" t="inlineStr">
        <is>
          <t>N/A</t>
        </is>
      </c>
      <c r="L5967" t="inlineStr">
        <is>
          <t>Compliance Auditing, Audit, Law</t>
        </is>
      </c>
      <c r="M5967" t="inlineStr">
        <is>
          <t>Bonus, Paid Leave, Vouchers</t>
        </is>
      </c>
      <c r="N5967" s="8">
        <f>HYPERLINK("https://www.vietnamworks.com/compliance-audit-executive-2016777-jv","Xem chi tiết")</f>
        <v/>
      </c>
    </row>
    <row r="5968">
      <c r="B5968" s="9" t="n">
        <v>5966</v>
      </c>
      <c r="C5968" s="10" t="inlineStr">
        <is>
          <t>Tuyển Gấp Kế Toán Trưởng (Thu Nhập 35 - 50 Triệu/tháng)</t>
        </is>
      </c>
      <c r="D5968" s="10" t="inlineStr">
        <is>
          <t>Công Ty Cổ Phần Phát Triển Công Nghệ Thực Phẩm Nam An</t>
        </is>
      </c>
      <c r="E5968" s="10" t="inlineStr">
        <is>
          <t>35tr-50tr ₫/tháng</t>
        </is>
      </c>
      <c r="F5968" s="10" t="inlineStr">
        <is>
          <t>Hà Nội</t>
        </is>
      </c>
      <c r="G5968" s="10" t="inlineStr">
        <is>
          <t>Trưởng phòng</t>
        </is>
      </c>
      <c r="H5968" s="10" t="inlineStr">
        <is>
          <t>02/03/2026</t>
        </is>
      </c>
      <c r="I5968" s="10" t="inlineStr">
        <is>
          <t>01/04/2026</t>
        </is>
      </c>
      <c r="J5968" s="10" t="inlineStr">
        <is>
          <t>17/03/2026</t>
        </is>
      </c>
      <c r="K5968" s="10" t="inlineStr">
        <is>
          <t>N/A</t>
        </is>
      </c>
      <c r="L5968" s="10" t="inlineStr">
        <is>
          <t>Tài Chính Kế Toán, Phân Tích Tài Chính, Báo Cáo Tài Chính, Báo Cáo Quản Trị, Kế Toán Trưởng</t>
        </is>
      </c>
      <c r="M5968" s="10" t="inlineStr">
        <is>
          <t>Bonus, Healthcare Plan, Training</t>
        </is>
      </c>
      <c r="N5968" s="11">
        <f>HYPERLINK("https://www.vietnamworks.com/tuyen-gap-ke-toan-truong-thu-nhap-35-50-trieu-thang--2016774-jv","Xem chi tiết")</f>
        <v/>
      </c>
      <c r="O5968" s="10" t="n"/>
    </row>
    <row r="5969">
      <c r="B5969" s="7" t="n">
        <v>5967</v>
      </c>
      <c r="C5969" t="inlineStr">
        <is>
          <t>Admin And Accounting Supporter (Prefer Candidate Who Can Start Working Immediately)</t>
        </is>
      </c>
      <c r="D5969" t="inlineStr">
        <is>
          <t>Omori Kaisoten Vietnam Co., Ltd</t>
        </is>
      </c>
      <c r="E5969" t="inlineStr">
        <is>
          <t>$$ 500-700 /tháng</t>
        </is>
      </c>
      <c r="F5969" t="inlineStr">
        <is>
          <t>Hồ Chí Minh</t>
        </is>
      </c>
      <c r="G5969" t="inlineStr">
        <is>
          <t>Nhân viên</t>
        </is>
      </c>
      <c r="H5969" t="inlineStr">
        <is>
          <t>02/03/2026</t>
        </is>
      </c>
      <c r="I5969" t="inlineStr">
        <is>
          <t>01/04/2026</t>
        </is>
      </c>
      <c r="J5969" t="inlineStr">
        <is>
          <t>17/03/2026</t>
        </is>
      </c>
      <c r="K5969" t="inlineStr">
        <is>
          <t>N/A</t>
        </is>
      </c>
      <c r="L5969" t="inlineStr">
        <is>
          <t>Accounting Transactions, Admin Task, Good English Skills, HR Tasks, Team Work</t>
        </is>
      </c>
      <c r="M5969" t="inlineStr">
        <is>
          <t>Bonus, Healthcare Plan, Team Activities, Others</t>
        </is>
      </c>
      <c r="N5969" s="8">
        <f>HYPERLINK("https://www.vietnamworks.com/admin-and-accounting-supporter-prefer-candidate-who-can-start-working-immediately-2016770-jv","Xem chi tiết")</f>
        <v/>
      </c>
    </row>
    <row r="5970">
      <c r="B5970" s="9" t="n">
        <v>5968</v>
      </c>
      <c r="C5970" s="10" t="inlineStr">
        <is>
          <t>Income Auditor – Chuyên Viên Kiểm Toán Doanh Thu</t>
        </is>
      </c>
      <c r="D5970" s="10" t="inlineStr">
        <is>
          <t>Corona Resort &amp; Casino Phu Quoc, Vietnam</t>
        </is>
      </c>
      <c r="E5970" s="10" t="inlineStr">
        <is>
          <t>Thương lượng</t>
        </is>
      </c>
      <c r="F5970" s="10" t="inlineStr">
        <is>
          <t>Kiên Giang, Hồ Chí Minh</t>
        </is>
      </c>
      <c r="G5970" s="10" t="inlineStr">
        <is>
          <t>Nhân viên</t>
        </is>
      </c>
      <c r="H5970" s="10" t="inlineStr">
        <is>
          <t>02/03/2026</t>
        </is>
      </c>
      <c r="I5970" s="10" t="inlineStr">
        <is>
          <t>01/04/2026</t>
        </is>
      </c>
      <c r="J5970" s="10" t="inlineStr">
        <is>
          <t>17/03/2026</t>
        </is>
      </c>
      <c r="K5970" s="10" t="inlineStr">
        <is>
          <t>N/A</t>
        </is>
      </c>
      <c r="L5970" s="10" t="inlineStr">
        <is>
          <t>Internal Audit, Account Receivable, English, Audit, Revenue Management</t>
        </is>
      </c>
      <c r="M5970" s="10" t="inlineStr">
        <is>
          <t>Bonus, Healthcare Plan, Others</t>
        </is>
      </c>
      <c r="N5970" s="11">
        <f>HYPERLINK("https://www.vietnamworks.com/income-auditor-chuyen-vien-kiem-toan-doanh-thu--2016771-jv","Xem chi tiết")</f>
        <v/>
      </c>
      <c r="O5970" s="10" t="n"/>
    </row>
    <row r="5971">
      <c r="B5971" s="7" t="n">
        <v>5969</v>
      </c>
      <c r="C5971" t="inlineStr">
        <is>
          <t>Project Manager (PM) - Triển Khai &amp; Vận Hành MES (In-House)</t>
        </is>
      </c>
      <c r="D5971" t="inlineStr">
        <is>
          <t>Công Ty Cổ Phần Cơ Khí Chính Xác Smart Việt Nam</t>
        </is>
      </c>
      <c r="E5971" t="inlineStr">
        <is>
          <t>Thương lượng</t>
        </is>
      </c>
      <c r="F5971" t="inlineStr">
        <is>
          <t>Hà Nội</t>
        </is>
      </c>
      <c r="G5971" t="inlineStr">
        <is>
          <t>Mới Tốt Nghiệp</t>
        </is>
      </c>
      <c r="H5971" t="inlineStr">
        <is>
          <t>02/03/2026</t>
        </is>
      </c>
      <c r="I5971" t="inlineStr">
        <is>
          <t>01/04/2026</t>
        </is>
      </c>
      <c r="J5971" t="inlineStr">
        <is>
          <t>17/03/2026</t>
        </is>
      </c>
      <c r="K5971" t="inlineStr">
        <is>
          <t>N/A</t>
        </is>
      </c>
      <c r="L5971" t="inlineStr">
        <is>
          <t>Hệ Thống MES, MS Excel, Quản Lý Dữ Liệu, Triển Khai Hệ Thống, Điều Phối</t>
        </is>
      </c>
      <c r="M5971" t="inlineStr">
        <is>
          <t>Bonus, Healthcare Plan, Paid Leave, Awards, Team Activities, Transportation, Others</t>
        </is>
      </c>
      <c r="N5971" s="8">
        <f>HYPERLINK("https://www.vietnamworks.com/project-manager-pm-trien-khai-and-van-hanh-mes-in-house-2016773-jv","Xem chi tiết")</f>
        <v/>
      </c>
    </row>
    <row r="5972">
      <c r="B5972" s="9" t="n">
        <v>5970</v>
      </c>
      <c r="C5972" s="10" t="inlineStr">
        <is>
          <t>Nhân Viên Hành Chính Nhân Sự/スタッフ</t>
        </is>
      </c>
      <c r="D5972" s="10" t="inlineStr">
        <is>
          <t>Công Ty TNHH Fujikin Việt Nam - KCN Thăng Long, Hà Nội</t>
        </is>
      </c>
      <c r="E5972" s="10" t="inlineStr">
        <is>
          <t>Thương lượng</t>
        </is>
      </c>
      <c r="F5972" s="10" t="inlineStr">
        <is>
          <t>Hà Nội</t>
        </is>
      </c>
      <c r="G5972" s="10" t="inlineStr">
        <is>
          <t>Mới Tốt Nghiệp</t>
        </is>
      </c>
      <c r="H5972" s="10" t="inlineStr">
        <is>
          <t>02/03/2026</t>
        </is>
      </c>
      <c r="I5972" s="10" t="inlineStr">
        <is>
          <t>01/04/2026</t>
        </is>
      </c>
      <c r="J5972" s="10" t="inlineStr">
        <is>
          <t>17/03/2026</t>
        </is>
      </c>
      <c r="K5972" s="10" t="inlineStr">
        <is>
          <t>N/A</t>
        </is>
      </c>
      <c r="L5972" s="10" t="inlineStr">
        <is>
          <t>Translation, Japanese Translation, 人事サポート, 外交サポート, 日本語能力</t>
        </is>
      </c>
      <c r="M5972" s="10" t="inlineStr">
        <is>
          <t>Bonus, Paid Leave, Travel Opportunities</t>
        </is>
      </c>
      <c r="N5972" s="11">
        <f>HYPERLINK("https://www.vietnamworks.com/nhan-vien-hanh-chinh-nhan-su-v-2016786-jv","Xem chi tiết")</f>
        <v/>
      </c>
      <c r="O5972" s="10" t="n"/>
    </row>
    <row r="5973">
      <c r="B5973" s="7" t="n">
        <v>5971</v>
      </c>
      <c r="C5973" t="inlineStr">
        <is>
          <t>Content Specialist</t>
        </is>
      </c>
      <c r="D5973" t="inlineStr">
        <is>
          <t>DROPPII</t>
        </is>
      </c>
      <c r="E5973" t="inlineStr">
        <is>
          <t>$$ 600-900 /tháng</t>
        </is>
      </c>
      <c r="F5973" t="inlineStr">
        <is>
          <t>Hồ Chí Minh</t>
        </is>
      </c>
      <c r="G5973" t="inlineStr">
        <is>
          <t>Nhân viên</t>
        </is>
      </c>
      <c r="H5973" t="inlineStr">
        <is>
          <t>02/03/2026</t>
        </is>
      </c>
      <c r="I5973" t="inlineStr">
        <is>
          <t>01/04/2026</t>
        </is>
      </c>
      <c r="J5973" t="inlineStr">
        <is>
          <t>17/03/2026</t>
        </is>
      </c>
      <c r="K5973" t="inlineStr">
        <is>
          <t>N/A</t>
        </is>
      </c>
      <c r="L5973" t="inlineStr">
        <is>
          <t>Brand Consistency, Campaign Management, Content Production, Data Analysis, English</t>
        </is>
      </c>
      <c r="M5973" t="inlineStr">
        <is>
          <t>Others</t>
        </is>
      </c>
      <c r="N5973" s="8">
        <f>HYPERLINK("https://www.vietnamworks.com/content-specialist-2016783-jv","Xem chi tiết")</f>
        <v/>
      </c>
    </row>
    <row r="5974">
      <c r="B5974" s="9" t="n">
        <v>5972</v>
      </c>
      <c r="C5974" s="10" t="inlineStr">
        <is>
          <t>Kỹ Sư Cơ</t>
        </is>
      </c>
      <c r="D5974" s="10" t="inlineStr">
        <is>
          <t>Tổng Công Ty Phát Điện 3 - EVNGENCO3</t>
        </is>
      </c>
      <c r="E5974" s="10" t="inlineStr">
        <is>
          <t>Thương lượng</t>
        </is>
      </c>
      <c r="F5974" s="10" t="inlineStr">
        <is>
          <t>Hồ Chí Minh</t>
        </is>
      </c>
      <c r="G5974" s="10" t="inlineStr">
        <is>
          <t>Nhân viên</t>
        </is>
      </c>
      <c r="H5974" s="10" t="inlineStr">
        <is>
          <t>02/03/2026</t>
        </is>
      </c>
      <c r="I5974" s="10" t="inlineStr">
        <is>
          <t>01/04/2026</t>
        </is>
      </c>
      <c r="J5974" s="10" t="inlineStr">
        <is>
          <t>17/03/2026</t>
        </is>
      </c>
      <c r="K5974" s="10" t="inlineStr">
        <is>
          <t>N/A</t>
        </is>
      </c>
      <c r="L5974" s="10" t="inlineStr">
        <is>
          <t>Kỹ sư cơ khí, Kỹ Thuật Nhiệt, Phần Mềm 3D, Tiếng Anh, Tư Duy Logic</t>
        </is>
      </c>
      <c r="M5974" s="10" t="inlineStr">
        <is>
          <t>Healthcare Plan, Training, Laptop, Team Activities, Others</t>
        </is>
      </c>
      <c r="N5974" s="11">
        <f>HYPERLINK("https://www.vietnamworks.com/ky-su-co-2016793-jv","Xem chi tiết")</f>
        <v/>
      </c>
      <c r="O5974" s="10" t="n"/>
    </row>
    <row r="5975">
      <c r="B5975" s="7" t="n">
        <v>5973</v>
      </c>
      <c r="C5975" t="inlineStr">
        <is>
          <t>Chuyên Viên Phân Tích An Ninh Thông Tin, Quản Trị Viên CNTT/ 情報セキュリティアナリスト Ictアドミニストレーター</t>
        </is>
      </c>
      <c r="D5975" t="inlineStr">
        <is>
          <t>Công Ty TNHH Fujikin Việt Nam - KCN Thăng Long, Hà Nội</t>
        </is>
      </c>
      <c r="E5975" t="inlineStr">
        <is>
          <t>Thương lượng</t>
        </is>
      </c>
      <c r="F5975" t="inlineStr">
        <is>
          <t>Hà Nội</t>
        </is>
      </c>
      <c r="G5975" t="inlineStr">
        <is>
          <t>Nhân viên</t>
        </is>
      </c>
      <c r="H5975" t="inlineStr">
        <is>
          <t>02/03/2026</t>
        </is>
      </c>
      <c r="I5975" t="inlineStr">
        <is>
          <t>01/04/2026</t>
        </is>
      </c>
      <c r="J5975" t="inlineStr">
        <is>
          <t>17/03/2026</t>
        </is>
      </c>
      <c r="K5975" t="inlineStr">
        <is>
          <t>N/A</t>
        </is>
      </c>
      <c r="L5975" t="inlineStr">
        <is>
          <t>情報セキュリティ, Ict全般, ネットワーク設計, システム監視, ユーザーサポート</t>
        </is>
      </c>
      <c r="M5975" t="inlineStr">
        <is>
          <t>Bonus, Paid Leave, Travel Opportunities</t>
        </is>
      </c>
      <c r="N5975" s="8">
        <f>HYPERLINK("https://www.vietnamworks.com/chuyen-vien-phan-tich-an-ninh-thong-tin-quan-tri-vien-cntt-ict-2016794-jv","Xem chi tiết")</f>
        <v/>
      </c>
    </row>
    <row r="5976">
      <c r="B5976" s="9" t="n">
        <v>5974</v>
      </c>
      <c r="C5976" s="10" t="inlineStr">
        <is>
          <t>Chuyên Viên System Network</t>
        </is>
      </c>
      <c r="D5976" s="10" t="inlineStr">
        <is>
          <t>Công Ty Cổ Phần Chứng Khoán Tiên Phong</t>
        </is>
      </c>
      <c r="E5976" s="10" t="inlineStr">
        <is>
          <t>Thương lượng</t>
        </is>
      </c>
      <c r="F5976" s="10" t="inlineStr">
        <is>
          <t>Hồ Chí Minh</t>
        </is>
      </c>
      <c r="G5976" s="10" t="inlineStr">
        <is>
          <t>Nhân viên</t>
        </is>
      </c>
      <c r="H5976" s="10" t="inlineStr">
        <is>
          <t>02/03/2026</t>
        </is>
      </c>
      <c r="I5976" s="10" t="inlineStr">
        <is>
          <t>01/04/2026</t>
        </is>
      </c>
      <c r="J5976" s="10" t="inlineStr">
        <is>
          <t>17/03/2026</t>
        </is>
      </c>
      <c r="K5976" s="10" t="inlineStr">
        <is>
          <t>N/A</t>
        </is>
      </c>
      <c r="L5976" s="10" t="inlineStr">
        <is>
          <t>Cloud Infrastructure, Linux Systems, Network Configuration, Problem-solving, Windows Server</t>
        </is>
      </c>
      <c r="M5976" s="10" t="inlineStr">
        <is>
          <t>Bonus</t>
        </is>
      </c>
      <c r="N5976" s="11">
        <f>HYPERLINK("https://www.vietnamworks.com/chuyen-vien-system-network-2016791-jv","Xem chi tiết")</f>
        <v/>
      </c>
      <c r="O5976" s="10" t="n"/>
    </row>
    <row r="5977">
      <c r="B5977" s="7" t="n">
        <v>5975</v>
      </c>
      <c r="C5977" t="inlineStr">
        <is>
          <t>Quản lý hành chính</t>
        </is>
      </c>
      <c r="D5977" t="inlineStr">
        <is>
          <t>Công Ty TNHH Khí Công Nghiệp Messer Việt Nam</t>
        </is>
      </c>
      <c r="E5977" t="inlineStr">
        <is>
          <t>18tr-20tr ₫/tháng</t>
        </is>
      </c>
      <c r="F5977" t="inlineStr">
        <is>
          <t>Hải Dương, Hải Phòng</t>
        </is>
      </c>
      <c r="G5977" t="inlineStr">
        <is>
          <t>Nhân viên</t>
        </is>
      </c>
      <c r="H5977" t="inlineStr">
        <is>
          <t>02/03/2026</t>
        </is>
      </c>
      <c r="I5977" t="inlineStr">
        <is>
          <t>01/04/2026</t>
        </is>
      </c>
      <c r="J5977" t="inlineStr">
        <is>
          <t>17/03/2026</t>
        </is>
      </c>
      <c r="K5977" t="inlineStr">
        <is>
          <t>N/A</t>
        </is>
      </c>
      <c r="L5977" t="inlineStr">
        <is>
          <t>Giao Tiếp Tiếng Anh, Hành Chính, Quản Lý Nhân Sự</t>
        </is>
      </c>
      <c r="M5977" t="inlineStr">
        <is>
          <t>Bonus, Healthcare Plan, Training</t>
        </is>
      </c>
      <c r="N5977" s="8">
        <f>HYPERLINK("https://www.vietnamworks.com/quan-ly-hanh-chinh-2016800-jv","Xem chi tiết")</f>
        <v/>
      </c>
    </row>
    <row r="5978">
      <c r="B5978" s="9" t="n">
        <v>5976</v>
      </c>
      <c r="C5978" s="10" t="inlineStr">
        <is>
          <t>Chief Accountant</t>
        </is>
      </c>
      <c r="D5978" s="10" t="inlineStr">
        <is>
          <t>Pebsteel Buildings Co., Ltd.</t>
        </is>
      </c>
      <c r="E5978" s="10" t="inlineStr">
        <is>
          <t>Thương lượng</t>
        </is>
      </c>
      <c r="F5978" s="10" t="inlineStr">
        <is>
          <t>Hồ Chí Minh</t>
        </is>
      </c>
      <c r="G5978" s="10" t="inlineStr">
        <is>
          <t>Trưởng phòng</t>
        </is>
      </c>
      <c r="H5978" s="10" t="inlineStr">
        <is>
          <t>02/03/2026</t>
        </is>
      </c>
      <c r="I5978" s="10" t="inlineStr">
        <is>
          <t>01/04/2026</t>
        </is>
      </c>
      <c r="J5978" s="10" t="inlineStr">
        <is>
          <t>17/03/2026</t>
        </is>
      </c>
      <c r="K5978" s="10" t="inlineStr">
        <is>
          <t>N/A</t>
        </is>
      </c>
      <c r="L5978" s="10" t="inlineStr">
        <is>
          <t>Chief Accountant Certificate, Finance, Cost Accounting, Financial Planning, Budgeting</t>
        </is>
      </c>
      <c r="M5978" s="10" t="inlineStr">
        <is>
          <t>Bonus, Healthcare Plan, Team Activities</t>
        </is>
      </c>
      <c r="N5978" s="11">
        <f>HYPERLINK("https://www.vietnamworks.com/chief-accountant-1172-1-1--2016790-jv","Xem chi tiết")</f>
        <v/>
      </c>
      <c r="O5978" s="10" t="n"/>
    </row>
    <row r="5979">
      <c r="B5979" s="7" t="n">
        <v>5977</v>
      </c>
      <c r="C5979" t="inlineStr">
        <is>
          <t>Maintenance Leader_Electrical System</t>
        </is>
      </c>
      <c r="D5979" t="inlineStr">
        <is>
          <t>CBRE (Vietnam) Co.,ltd - HCM Branch</t>
        </is>
      </c>
      <c r="E5979" t="inlineStr">
        <is>
          <t>Thương lượng</t>
        </is>
      </c>
      <c r="F5979" t="inlineStr">
        <is>
          <t>Bình Dương</t>
        </is>
      </c>
      <c r="G5979" t="inlineStr">
        <is>
          <t>Trưởng phòng</t>
        </is>
      </c>
      <c r="H5979" t="inlineStr">
        <is>
          <t>02/03/2026</t>
        </is>
      </c>
      <c r="I5979" t="inlineStr">
        <is>
          <t>01/04/2026</t>
        </is>
      </c>
      <c r="J5979" t="inlineStr">
        <is>
          <t>17/03/2026</t>
        </is>
      </c>
      <c r="K5979" t="inlineStr">
        <is>
          <t>N/A</t>
        </is>
      </c>
      <c r="L5979" t="inlineStr">
        <is>
          <t>Electrical Maintenance, Power System, BIM, CAD, Energy Efficiency Project Management</t>
        </is>
      </c>
      <c r="M5979" t="inlineStr">
        <is>
          <t>Bonus, Healthcare Plan, Training</t>
        </is>
      </c>
      <c r="N5979" s="8">
        <f>HYPERLINK("https://www.vietnamworks.com/maintenance-leader-electrical-system-2016811-jv","Xem chi tiết")</f>
        <v/>
      </c>
    </row>
    <row r="5980">
      <c r="B5980" s="9" t="n">
        <v>5978</v>
      </c>
      <c r="C5980" s="10" t="inlineStr">
        <is>
          <t>Quản Lý Chất Lượng Vải</t>
        </is>
      </c>
      <c r="D5980" s="10" t="inlineStr">
        <is>
          <t>Công Ty TNHH Dịch Vụ Thương Mại Sản Xuất Bách Hợp</t>
        </is>
      </c>
      <c r="E5980" s="10" t="inlineStr">
        <is>
          <t>20tr-25tr ₫/tháng</t>
        </is>
      </c>
      <c r="F5980" s="10" t="inlineStr">
        <is>
          <t>Hồ Chí Minh</t>
        </is>
      </c>
      <c r="G5980" s="10" t="inlineStr">
        <is>
          <t>Nhân viên</t>
        </is>
      </c>
      <c r="H5980" s="10" t="inlineStr">
        <is>
          <t>02/03/2026</t>
        </is>
      </c>
      <c r="I5980" s="10" t="inlineStr">
        <is>
          <t>01/04/2026</t>
        </is>
      </c>
      <c r="J5980" s="10" t="inlineStr">
        <is>
          <t>17/03/2026</t>
        </is>
      </c>
      <c r="K5980" s="10" t="inlineStr">
        <is>
          <t>N/A</t>
        </is>
      </c>
      <c r="L5980" s="10" t="inlineStr">
        <is>
          <t>Xử Lý Lỗi Vải, Garment Checking, IQC, Kiểm tra thành phẩm</t>
        </is>
      </c>
      <c r="M5980" s="10" t="inlineStr">
        <is>
          <t>Bonus, Healthcare Plan, Training, Others</t>
        </is>
      </c>
      <c r="N5980" s="11">
        <f>HYPERLINK("https://www.vietnamworks.com/quan-ly-chat-luong-vai-2016807-jv","Xem chi tiết")</f>
        <v/>
      </c>
      <c r="O5980" s="10" t="n"/>
    </row>
    <row r="5981">
      <c r="B5981" s="7" t="n">
        <v>5979</v>
      </c>
      <c r="C5981" t="inlineStr">
        <is>
          <t>Kỹ Sư Xây Dựng</t>
        </is>
      </c>
      <c r="D5981" t="inlineStr">
        <is>
          <t>Tổng Công Ty Phát Điện 3 - EVNGENCO3</t>
        </is>
      </c>
      <c r="E5981" t="inlineStr">
        <is>
          <t>Thương lượng</t>
        </is>
      </c>
      <c r="F5981" t="inlineStr">
        <is>
          <t>Hồ Chí Minh</t>
        </is>
      </c>
      <c r="G5981" t="inlineStr">
        <is>
          <t>Nhân viên</t>
        </is>
      </c>
      <c r="H5981" t="inlineStr">
        <is>
          <t>02/03/2026</t>
        </is>
      </c>
      <c r="I5981" t="inlineStr">
        <is>
          <t>01/04/2026</t>
        </is>
      </c>
      <c r="J5981" t="inlineStr">
        <is>
          <t>17/03/2026</t>
        </is>
      </c>
      <c r="K5981" t="inlineStr">
        <is>
          <t>N/A</t>
        </is>
      </c>
      <c r="L5981" t="inlineStr">
        <is>
          <t>Kĩ Thuật Công Trình Xây Dựng, Phần Mềm Quản Lý Xây Dựng, Thi Công Công Trình, Tiếng Anh, Xây Dựng</t>
        </is>
      </c>
      <c r="M5981" t="inlineStr">
        <is>
          <t>Healthcare Plan, Training, Laptop, Travel Opportunities, Others</t>
        </is>
      </c>
      <c r="N5981" s="8">
        <f>HYPERLINK("https://www.vietnamworks.com/ky-su-xay-dung-2016795-jv","Xem chi tiết")</f>
        <v/>
      </c>
    </row>
    <row r="5982">
      <c r="B5982" s="9" t="n">
        <v>5980</v>
      </c>
      <c r="C5982" s="10" t="inlineStr">
        <is>
          <t>Tour Operations Manager - HCM Based (Oxalis Group)</t>
        </is>
      </c>
      <c r="D5982" s="10" t="inlineStr">
        <is>
          <t>CÔNG TY TNHH PHONG NHA HOLIDAY (Oxalis Group)</t>
        </is>
      </c>
      <c r="E5982" s="10" t="inlineStr">
        <is>
          <t>18tr-20tr ₫/tháng</t>
        </is>
      </c>
      <c r="F5982" s="10" t="inlineStr">
        <is>
          <t>Hồ Chí Minh</t>
        </is>
      </c>
      <c r="G5982" s="10" t="inlineStr">
        <is>
          <t>Trưởng phòng</t>
        </is>
      </c>
      <c r="H5982" s="10" t="inlineStr">
        <is>
          <t>02/03/2026</t>
        </is>
      </c>
      <c r="I5982" s="10" t="inlineStr">
        <is>
          <t>01/04/2026</t>
        </is>
      </c>
      <c r="J5982" s="10" t="inlineStr">
        <is>
          <t>17/03/2026</t>
        </is>
      </c>
      <c r="K5982" s="10" t="inlineStr">
        <is>
          <t>N/A</t>
        </is>
      </c>
      <c r="L5982" s="10" t="inlineStr">
        <is>
          <t>English Communication, Tourism, Organizational Management, Tour Operations Experience, Travel Planning</t>
        </is>
      </c>
      <c r="M5982" s="10" t="inlineStr">
        <is>
          <t>Bonus, Training, Laptop, Travel Opportunities, Transportation</t>
        </is>
      </c>
      <c r="N5982" s="11">
        <f>HYPERLINK("https://www.vietnamworks.com/tour-operations-manager-hcm-based-oxalis-group-2016797-jv","Xem chi tiết")</f>
        <v/>
      </c>
      <c r="O5982" s="10" t="n"/>
    </row>
    <row r="5983">
      <c r="B5983" s="7" t="n">
        <v>5981</v>
      </c>
      <c r="C5983" t="inlineStr">
        <is>
          <t>Chuyên Viên Kiểm Thử Phần Mềm</t>
        </is>
      </c>
      <c r="D5983" t="inlineStr">
        <is>
          <t>Công Ty Cổ Phần Chứng Khoán Tiên Phong</t>
        </is>
      </c>
      <c r="E5983" t="inlineStr">
        <is>
          <t>Thương lượng</t>
        </is>
      </c>
      <c r="F5983" t="inlineStr">
        <is>
          <t>Hồ Chí Minh</t>
        </is>
      </c>
      <c r="G5983" t="inlineStr">
        <is>
          <t>Nhân viên</t>
        </is>
      </c>
      <c r="H5983" t="inlineStr">
        <is>
          <t>02/03/2026</t>
        </is>
      </c>
      <c r="I5983" t="inlineStr">
        <is>
          <t>01/04/2026</t>
        </is>
      </c>
      <c r="J5983" t="inlineStr">
        <is>
          <t>17/03/2026</t>
        </is>
      </c>
      <c r="K5983" t="inlineStr">
        <is>
          <t>N/A</t>
        </is>
      </c>
      <c r="L5983" t="inlineStr">
        <is>
          <t>Jira, Logical Thinking, Mobile App Testing, Test Cases, Test Planning</t>
        </is>
      </c>
      <c r="M5983" t="inlineStr">
        <is>
          <t>Bonus</t>
        </is>
      </c>
      <c r="N5983" s="8">
        <f>HYPERLINK("https://www.vietnamworks.com/chuyen-vien-kiem-thu-phan-mem-2016803-jv","Xem chi tiết")</f>
        <v/>
      </c>
    </row>
    <row r="5984">
      <c r="B5984" s="9" t="n">
        <v>5982</v>
      </c>
      <c r="C5984" s="10" t="inlineStr">
        <is>
          <t>Chuyên Viên Quản Lý Thuyền Viên (Crew Manager)</t>
        </is>
      </c>
      <c r="D5984" s="10" t="inlineStr">
        <is>
          <t>Công Ty CP Đầu Tư Và Quản Lý Tài Sản Á Châu</t>
        </is>
      </c>
      <c r="E5984" s="10" t="inlineStr">
        <is>
          <t>15tr-18tr ₫/tháng</t>
        </is>
      </c>
      <c r="F5984" s="10" t="inlineStr">
        <is>
          <t>Hồ Chí Minh</t>
        </is>
      </c>
      <c r="G5984" s="10" t="inlineStr">
        <is>
          <t>Nhân viên</t>
        </is>
      </c>
      <c r="H5984" s="10" t="inlineStr">
        <is>
          <t>02/03/2026</t>
        </is>
      </c>
      <c r="I5984" s="10" t="inlineStr">
        <is>
          <t>01/04/2026</t>
        </is>
      </c>
      <c r="J5984" s="10" t="inlineStr">
        <is>
          <t>17/03/2026</t>
        </is>
      </c>
      <c r="K5984" s="10" t="inlineStr">
        <is>
          <t>N/A</t>
        </is>
      </c>
      <c r="L5984" s="10" t="inlineStr">
        <is>
          <t>Tuyển Dụng, Quản Lý Hồ Sơ, Hàng Hải, Khai Thác Đội Tàu, Vận Tải Biển</t>
        </is>
      </c>
      <c r="M5984" s="10" t="inlineStr">
        <is>
          <t>Bonus, Healthcare Plan, Paid Leave, Laptop, Others</t>
        </is>
      </c>
      <c r="N5984" s="11">
        <f>HYPERLINK("https://www.vietnamworks.com/chuyen-vien-quan-ly-thuyen-vien-crew-manager-2016809-jv","Xem chi tiết")</f>
        <v/>
      </c>
      <c r="O5984" s="10" t="n"/>
    </row>
    <row r="5985">
      <c r="B5985" s="7" t="n">
        <v>5983</v>
      </c>
      <c r="C5985" t="inlineStr">
        <is>
          <t>Executive, Property Management</t>
        </is>
      </c>
      <c r="D5985" t="inlineStr">
        <is>
          <t>CapitaLand Development (Vietnam)</t>
        </is>
      </c>
      <c r="E5985" t="inlineStr">
        <is>
          <t>Thương lượng</t>
        </is>
      </c>
      <c r="F5985" t="inlineStr">
        <is>
          <t>Hồ Chí Minh</t>
        </is>
      </c>
      <c r="G5985" t="inlineStr">
        <is>
          <t>Nhân viên</t>
        </is>
      </c>
      <c r="H5985" t="inlineStr">
        <is>
          <t>02/03/2026</t>
        </is>
      </c>
      <c r="I5985" t="inlineStr">
        <is>
          <t>01/04/2026</t>
        </is>
      </c>
      <c r="J5985" t="inlineStr">
        <is>
          <t>17/03/2026</t>
        </is>
      </c>
      <c r="K5985" t="inlineStr">
        <is>
          <t>N/A</t>
        </is>
      </c>
      <c r="L5985" t="inlineStr">
        <is>
          <t>Administration Management, Communication, Microsoft Excel, Property Management, Real Estate</t>
        </is>
      </c>
      <c r="M5985" t="inlineStr">
        <is>
          <t>Bonus, Healthcare Plan, Training, Laptop, Travel Opportunities</t>
        </is>
      </c>
      <c r="N5985" s="8">
        <f>HYPERLINK("https://www.vietnamworks.com/executive-property-management-2016805-jv","Xem chi tiết")</f>
        <v/>
      </c>
    </row>
    <row r="5986">
      <c r="B5986" s="9" t="n">
        <v>5984</v>
      </c>
      <c r="C5986" s="10" t="inlineStr">
        <is>
          <t>Kỹ Sư Điện</t>
        </is>
      </c>
      <c r="D5986" s="10" t="inlineStr">
        <is>
          <t>Tổng Công Ty Phát Điện 3 - EVNGENCO3</t>
        </is>
      </c>
      <c r="E5986" s="10" t="inlineStr">
        <is>
          <t>Thương lượng</t>
        </is>
      </c>
      <c r="F5986" s="10" t="inlineStr">
        <is>
          <t>Hồ Chí Minh</t>
        </is>
      </c>
      <c r="G5986" s="10" t="inlineStr">
        <is>
          <t>Nhân viên</t>
        </is>
      </c>
      <c r="H5986" s="10" t="inlineStr">
        <is>
          <t>02/03/2026</t>
        </is>
      </c>
      <c r="I5986" s="10" t="inlineStr">
        <is>
          <t>01/04/2026</t>
        </is>
      </c>
      <c r="J5986" s="10" t="inlineStr">
        <is>
          <t>17/03/2026</t>
        </is>
      </c>
      <c r="K5986" s="10" t="inlineStr">
        <is>
          <t>N/A</t>
        </is>
      </c>
      <c r="L5986" s="10" t="inlineStr">
        <is>
          <t>Autocad, Electrical, Electrical Systems, Kĩ Thuật Điện, Điện tử</t>
        </is>
      </c>
      <c r="M5986" s="10" t="inlineStr">
        <is>
          <t>Healthcare Plan, Training, Laptop</t>
        </is>
      </c>
      <c r="N5986" s="11">
        <f>HYPERLINK("https://www.vietnamworks.com/ky-su-djien-2016799-jv","Xem chi tiết")</f>
        <v/>
      </c>
      <c r="O5986" s="10" t="n"/>
    </row>
    <row r="5987">
      <c r="B5987" s="7" t="n">
        <v>5985</v>
      </c>
      <c r="C5987" t="inlineStr">
        <is>
          <t>Process Engineer</t>
        </is>
      </c>
      <c r="D5987" t="inlineStr">
        <is>
          <t>CÔNG TY TNHH LAFRANCE VIỆT NAM</t>
        </is>
      </c>
      <c r="E5987" t="inlineStr">
        <is>
          <t>Thương lượng</t>
        </is>
      </c>
      <c r="F5987" t="inlineStr">
        <is>
          <t>Long An, Hồ Chí Minh</t>
        </is>
      </c>
      <c r="G5987" t="inlineStr">
        <is>
          <t>Nhân viên</t>
        </is>
      </c>
      <c r="H5987" t="inlineStr">
        <is>
          <t>02/03/2026</t>
        </is>
      </c>
      <c r="I5987" t="inlineStr">
        <is>
          <t>01/04/2026</t>
        </is>
      </c>
      <c r="J5987" t="inlineStr">
        <is>
          <t>17/03/2026</t>
        </is>
      </c>
      <c r="K5987" t="inlineStr">
        <is>
          <t>N/A</t>
        </is>
      </c>
      <c r="L5987" t="inlineStr">
        <is>
          <t>New Product Qualification, Technical Training, Technical Documentation, Continuous Process Improvement, English Fluency</t>
        </is>
      </c>
      <c r="M5987" t="inlineStr">
        <is>
          <t>Bonus</t>
        </is>
      </c>
      <c r="N5987" s="8">
        <f>HYPERLINK("https://www.vietnamworks.com/process-engineer-2016802-jv","Xem chi tiết")</f>
        <v/>
      </c>
    </row>
    <row r="5988">
      <c r="B5988" s="9" t="n">
        <v>5986</v>
      </c>
      <c r="C5988" s="10" t="inlineStr">
        <is>
          <t>Trưởng Bộ Phận Phân Tích Nghiệp Vụ</t>
        </is>
      </c>
      <c r="D5988" s="10" t="inlineStr">
        <is>
          <t>Công Ty Cổ Phần Chứng Khoán Tiên Phong</t>
        </is>
      </c>
      <c r="E5988" s="10" t="inlineStr">
        <is>
          <t>Thương lượng</t>
        </is>
      </c>
      <c r="F5988" s="10" t="inlineStr">
        <is>
          <t>Hồ Chí Minh</t>
        </is>
      </c>
      <c r="G5988" s="10" t="inlineStr">
        <is>
          <t>Trưởng phòng</t>
        </is>
      </c>
      <c r="H5988" s="10" t="inlineStr">
        <is>
          <t>02/03/2026</t>
        </is>
      </c>
      <c r="I5988" s="10" t="inlineStr">
        <is>
          <t>01/04/2026</t>
        </is>
      </c>
      <c r="J5988" s="10" t="inlineStr">
        <is>
          <t>17/03/2026</t>
        </is>
      </c>
      <c r="K5988" s="10" t="inlineStr">
        <is>
          <t>N/A</t>
        </is>
      </c>
      <c r="L5988" s="10" t="inlineStr">
        <is>
          <t>Giao Dịch Chứng Khoán, Phân Tích Nghiệp Vụ, Sử Dụng Jira, Triển Khai Dự Án, Triển Khai Hệ Thống</t>
        </is>
      </c>
      <c r="M5988" s="10" t="inlineStr">
        <is>
          <t>Bonus</t>
        </is>
      </c>
      <c r="N5988" s="11">
        <f>HYPERLINK("https://www.vietnamworks.com/truong-bo-phan-phan-tich-nghiep-vu-2016801-jv","Xem chi tiết")</f>
        <v/>
      </c>
      <c r="O5988" s="10" t="n"/>
    </row>
    <row r="5989">
      <c r="B5989" s="7" t="n">
        <v>5987</v>
      </c>
      <c r="C5989" t="inlineStr">
        <is>
          <t>Trưởng Nhóm Marketing Kênh Website (Lương Cứng Lên Tới 25 Triệu/tháng + Commission)</t>
        </is>
      </c>
      <c r="D5989" t="inlineStr">
        <is>
          <t>Công Ty Cổ Phần Anvy</t>
        </is>
      </c>
      <c r="E5989" t="inlineStr">
        <is>
          <t>20tr-25tr ₫/tháng</t>
        </is>
      </c>
      <c r="F5989" t="inlineStr">
        <is>
          <t>Hà Nội</t>
        </is>
      </c>
      <c r="G5989" t="inlineStr">
        <is>
          <t>Trưởng phòng</t>
        </is>
      </c>
      <c r="H5989" t="inlineStr">
        <is>
          <t>02/03/2026</t>
        </is>
      </c>
      <c r="I5989" t="inlineStr">
        <is>
          <t>01/04/2026</t>
        </is>
      </c>
      <c r="J5989" t="inlineStr">
        <is>
          <t>17/03/2026</t>
        </is>
      </c>
      <c r="K5989" t="inlineStr">
        <is>
          <t>N/A</t>
        </is>
      </c>
      <c r="L5989" t="inlineStr">
        <is>
          <t>Content Marketing, Data Analysis, SEO Optimization, Growth Strategy, Digital Growth Marketing</t>
        </is>
      </c>
      <c r="M5989" t="inlineStr">
        <is>
          <t>Bonus, Healthcare Plan, Training, Team Activities, Others</t>
        </is>
      </c>
      <c r="N5989" s="8">
        <f>HYPERLINK("https://www.vietnamworks.com/truong-nhom-marketing-kenh-website-luong-cung-len-toi-25-trieuthang-commission-2016798-jv","Xem chi tiết")</f>
        <v/>
      </c>
    </row>
    <row r="5990">
      <c r="B5990" s="9" t="n">
        <v>5988</v>
      </c>
      <c r="C5990" s="10" t="inlineStr">
        <is>
          <t>Nhân Viên Kinh Doanh B2B</t>
        </is>
      </c>
      <c r="D5990" s="10" t="inlineStr">
        <is>
          <t>Công Ty CP Tư Vấn Thương Hiệu Sao Kim</t>
        </is>
      </c>
      <c r="E5990" s="10" t="inlineStr">
        <is>
          <t>Tới 300tr ₫/năm</t>
        </is>
      </c>
      <c r="F5990" s="10" t="inlineStr">
        <is>
          <t>Hà Nội, Hồ Chí Minh</t>
        </is>
      </c>
      <c r="G5990" s="10" t="inlineStr">
        <is>
          <t>Nhân viên</t>
        </is>
      </c>
      <c r="H5990" s="10" t="inlineStr">
        <is>
          <t>02/03/2026</t>
        </is>
      </c>
      <c r="I5990" s="10" t="inlineStr">
        <is>
          <t>01/04/2026</t>
        </is>
      </c>
      <c r="J5990" s="10" t="inlineStr">
        <is>
          <t>17/03/2026</t>
        </is>
      </c>
      <c r="K5990" s="10" t="inlineStr">
        <is>
          <t>N/A</t>
        </is>
      </c>
      <c r="L5990" s="10" t="inlineStr">
        <is>
          <t>Báo Giá, Chăm Sóc Khách Hàng, Soạn Thảo Hợp Đồng, Tư Vấn Dịch Vụ, Tư Vấn Giải Pháp</t>
        </is>
      </c>
      <c r="M5990" s="10" t="inlineStr">
        <is>
          <t>Bonus, Healthcare Plan, Laptop, Team Activities, Canteen, Others</t>
        </is>
      </c>
      <c r="N5990" s="11">
        <f>HYPERLINK("https://www.vietnamworks.com/nhan-vien-kinh-doanh-b2b-2016804-jv","Xem chi tiết")</f>
        <v/>
      </c>
      <c r="O5990" s="10" t="n"/>
    </row>
    <row r="5991">
      <c r="B5991" s="7" t="n">
        <v>5989</v>
      </c>
      <c r="C5991" t="inlineStr">
        <is>
          <t>Senior Accountant</t>
        </is>
      </c>
      <c r="D5991" t="inlineStr">
        <is>
          <t>Michael Page Vietnam</t>
        </is>
      </c>
      <c r="E5991" t="inlineStr">
        <is>
          <t>Thương lượng</t>
        </is>
      </c>
      <c r="F5991" t="inlineStr">
        <is>
          <t>Hồ Chí Minh</t>
        </is>
      </c>
      <c r="G5991" t="inlineStr">
        <is>
          <t>Nhân viên</t>
        </is>
      </c>
      <c r="H5991" t="inlineStr">
        <is>
          <t>02/03/2026</t>
        </is>
      </c>
      <c r="I5991" t="inlineStr">
        <is>
          <t>01/04/2026</t>
        </is>
      </c>
      <c r="J5991" t="inlineStr">
        <is>
          <t>17/03/2026</t>
        </is>
      </c>
      <c r="K5991" t="inlineStr">
        <is>
          <t>N/A</t>
        </is>
      </c>
      <c r="L5991" t="inlineStr">
        <is>
          <t>Accounting, Finance, Kế Toán, Tax Regulations, MISA Accounting Software</t>
        </is>
      </c>
      <c r="M5991" t="inlineStr">
        <is>
          <t>Bonus</t>
        </is>
      </c>
      <c r="N5991" s="8">
        <f>HYPERLINK("https://www.vietnamworks.com/senior-accountant-495-2016808-jv","Xem chi tiết")</f>
        <v/>
      </c>
    </row>
    <row r="5992">
      <c r="B5992" s="9" t="n">
        <v>5990</v>
      </c>
      <c r="C5992" s="10" t="inlineStr">
        <is>
          <t>HRBP Executive (Total Rewards)</t>
        </is>
      </c>
      <c r="D5992" s="10" t="inlineStr">
        <is>
          <t>LOTTE Properties Hanoi (LOTTE MALL West Lake Hanoi)</t>
        </is>
      </c>
      <c r="E5992" s="10" t="inlineStr">
        <is>
          <t>Thương lượng</t>
        </is>
      </c>
      <c r="F5992" s="10" t="inlineStr">
        <is>
          <t>Hà Nội</t>
        </is>
      </c>
      <c r="G5992" s="10" t="inlineStr">
        <is>
          <t>Nhân viên</t>
        </is>
      </c>
      <c r="H5992" s="10" t="inlineStr">
        <is>
          <t>02/03/2026</t>
        </is>
      </c>
      <c r="I5992" s="10" t="inlineStr">
        <is>
          <t>01/04/2026</t>
        </is>
      </c>
      <c r="J5992" s="10" t="inlineStr">
        <is>
          <t>17/03/2026</t>
        </is>
      </c>
      <c r="K5992" s="10" t="inlineStr">
        <is>
          <t>N/A</t>
        </is>
      </c>
      <c r="L5992" s="10" t="inlineStr">
        <is>
          <t>Hr Analytics, Compensation &amp; Benefits, Systems Administration</t>
        </is>
      </c>
      <c r="M5992" s="10" t="inlineStr">
        <is>
          <t>Bonus, Paid Leave, Vouchers</t>
        </is>
      </c>
      <c r="N5992" s="11">
        <f>HYPERLINK("https://www.vietnamworks.com/hrbp-executive-total-rewards-2016806-jv","Xem chi tiết")</f>
        <v/>
      </c>
      <c r="O5992" s="10" t="n"/>
    </row>
    <row r="5993">
      <c r="B5993" s="7" t="n">
        <v>5991</v>
      </c>
      <c r="C5993" t="inlineStr">
        <is>
          <t>Operation Management Trainee Program 2026</t>
        </is>
      </c>
      <c r="D5993" t="inlineStr">
        <is>
          <t>Công Ty TNHH Olam Việt Nam</t>
        </is>
      </c>
      <c r="E5993" t="inlineStr">
        <is>
          <t>Thương lượng</t>
        </is>
      </c>
      <c r="F5993" t="inlineStr">
        <is>
          <t>Hồ Chí Minh</t>
        </is>
      </c>
      <c r="G5993" t="inlineStr">
        <is>
          <t>Nhân viên</t>
        </is>
      </c>
      <c r="H5993" t="inlineStr">
        <is>
          <t>02/03/2026</t>
        </is>
      </c>
      <c r="I5993" t="inlineStr">
        <is>
          <t>01/04/2026</t>
        </is>
      </c>
      <c r="J5993" t="inlineStr">
        <is>
          <t>17/03/2026</t>
        </is>
      </c>
      <c r="K5993" t="inlineStr">
        <is>
          <t>N/A</t>
        </is>
      </c>
      <c r="L5993" t="inlineStr">
        <is>
          <t>Business Operations, Supply Chain Management, Economics, Business Administration</t>
        </is>
      </c>
      <c r="M5993" t="inlineStr">
        <is>
          <t>Bonus, Laptop, Transportation</t>
        </is>
      </c>
      <c r="N5993" s="8">
        <f>HYPERLINK("https://www.vietnamworks.com/operation-management-trainee-program-2026--2016812-jv","Xem chi tiết")</f>
        <v/>
      </c>
    </row>
    <row r="5994">
      <c r="B5994" s="9" t="n">
        <v>5992</v>
      </c>
      <c r="C5994" s="10" t="inlineStr">
        <is>
          <t>Maintenance Program Manager_Facilities Systems</t>
        </is>
      </c>
      <c r="D5994" s="10" t="inlineStr">
        <is>
          <t>CBRE (Vietnam) Co.,ltd - HCM Branch</t>
        </is>
      </c>
      <c r="E5994" s="10" t="inlineStr">
        <is>
          <t>Thương lượng</t>
        </is>
      </c>
      <c r="F5994" s="10" t="inlineStr">
        <is>
          <t>Bình Dương</t>
        </is>
      </c>
      <c r="G5994" s="10" t="inlineStr">
        <is>
          <t>Nhân viên</t>
        </is>
      </c>
      <c r="H5994" s="10" t="inlineStr">
        <is>
          <t>02/03/2026</t>
        </is>
      </c>
      <c r="I5994" s="10" t="inlineStr">
        <is>
          <t>01/04/2026</t>
        </is>
      </c>
      <c r="J5994" s="10" t="inlineStr">
        <is>
          <t>17/03/2026</t>
        </is>
      </c>
      <c r="K5994" s="10" t="inlineStr">
        <is>
          <t>N/A</t>
        </is>
      </c>
      <c r="L5994" s="10" t="inlineStr">
        <is>
          <t>Facilities Management, CMMS, Budget Control, Vendor Management, EHS</t>
        </is>
      </c>
      <c r="M5994" s="10" t="inlineStr">
        <is>
          <t>Bonus, Healthcare Plan, Training</t>
        </is>
      </c>
      <c r="N5994" s="11">
        <f>HYPERLINK("https://www.vietnamworks.com/maintenance-program-manager-facilities-systems--2016810-jv","Xem chi tiết")</f>
        <v/>
      </c>
      <c r="O5994" s="10" t="n"/>
    </row>
    <row r="5995">
      <c r="B5995" s="7" t="n">
        <v>5993</v>
      </c>
      <c r="C5995" t="inlineStr">
        <is>
          <t>[ Hot Job ] Nhân Viên Xuất Nhập Khẩu (Ngắn Hạn)</t>
        </is>
      </c>
      <c r="D5995" t="inlineStr">
        <is>
          <t>Công Ty TNHH Dệt Và Nhuộm Hưng Yên</t>
        </is>
      </c>
      <c r="E5995" t="inlineStr">
        <is>
          <t>Thương lượng</t>
        </is>
      </c>
      <c r="F5995" t="inlineStr">
        <is>
          <t>Hưng Yên</t>
        </is>
      </c>
      <c r="G5995" t="inlineStr">
        <is>
          <t>Nhân viên</t>
        </is>
      </c>
      <c r="H5995" t="inlineStr">
        <is>
          <t>02/03/2026</t>
        </is>
      </c>
      <c r="I5995" t="inlineStr">
        <is>
          <t>01/04/2026</t>
        </is>
      </c>
      <c r="J5995" t="inlineStr">
        <is>
          <t>17/03/2026</t>
        </is>
      </c>
      <c r="K5995" t="inlineStr">
        <is>
          <t>N/A</t>
        </is>
      </c>
      <c r="L5995" t="inlineStr">
        <is>
          <t>Chịu Áp Lực Công Việc, Quản Lý Hồ Sơ, Đàm Phán Thương Lượng</t>
        </is>
      </c>
      <c r="M5995" t="inlineStr">
        <is>
          <t>Training, Team Activities, Others</t>
        </is>
      </c>
      <c r="N5995" s="8">
        <f>HYPERLINK("https://www.vietnamworks.com/hot-job-nhan-vien-xuat-nhap-khau-ngan-han-2016816-jv","Xem chi tiết")</f>
        <v/>
      </c>
    </row>
    <row r="5996">
      <c r="B5996" s="9" t="n">
        <v>5994</v>
      </c>
      <c r="C5996" s="10" t="inlineStr">
        <is>
          <t>Seafreight Export Operations Specialist</t>
        </is>
      </c>
      <c r="D5996" s="10" t="inlineStr">
        <is>
          <t>Logwin Air + Ocean Vietnam Co., Ltd</t>
        </is>
      </c>
      <c r="E5996" s="10" t="inlineStr">
        <is>
          <t>Thương lượng</t>
        </is>
      </c>
      <c r="F5996" s="10" t="inlineStr">
        <is>
          <t>Hồ Chí Minh</t>
        </is>
      </c>
      <c r="G5996" s="10" t="inlineStr">
        <is>
          <t>Nhân viên</t>
        </is>
      </c>
      <c r="H5996" s="10" t="inlineStr">
        <is>
          <t>02/03/2026</t>
        </is>
      </c>
      <c r="I5996" s="10" t="inlineStr">
        <is>
          <t>01/04/2026</t>
        </is>
      </c>
      <c r="J5996" s="10" t="inlineStr">
        <is>
          <t>17/03/2026</t>
        </is>
      </c>
      <c r="K5996" s="10" t="inlineStr">
        <is>
          <t>N/A</t>
        </is>
      </c>
      <c r="L5996" s="10" t="inlineStr">
        <is>
          <t>Sea Freight, Freight Forwarding, Export Operation, Customer Service, English</t>
        </is>
      </c>
      <c r="M5996" s="10" t="inlineStr">
        <is>
          <t>Bonus, Healthcare Plan, Training</t>
        </is>
      </c>
      <c r="N5996" s="11">
        <f>HYPERLINK("https://www.vietnamworks.com/seafreight-export-operations-specialist--2016814-jv","Xem chi tiết")</f>
        <v/>
      </c>
      <c r="O5996" s="10" t="n"/>
    </row>
    <row r="5997">
      <c r="B5997" s="7" t="n">
        <v>5995</v>
      </c>
      <c r="C5997" t="inlineStr">
        <is>
          <t>Sales Engineer</t>
        </is>
      </c>
      <c r="D5997" t="inlineStr">
        <is>
          <t>CNP PUMP</t>
        </is>
      </c>
      <c r="E5997" t="inlineStr">
        <is>
          <t>20tr-26tr ₫/tháng</t>
        </is>
      </c>
      <c r="F5997" t="inlineStr">
        <is>
          <t>Hà Nội</t>
        </is>
      </c>
      <c r="G5997" t="inlineStr">
        <is>
          <t>Nhân viên</t>
        </is>
      </c>
      <c r="H5997" t="inlineStr">
        <is>
          <t>02/03/2026</t>
        </is>
      </c>
      <c r="I5997" t="inlineStr">
        <is>
          <t>01/04/2026</t>
        </is>
      </c>
      <c r="J5997" t="inlineStr">
        <is>
          <t>17/03/2026</t>
        </is>
      </c>
      <c r="K5997" t="inlineStr">
        <is>
          <t>N/A</t>
        </is>
      </c>
      <c r="L5997" t="inlineStr">
        <is>
          <t>Bidding &amp; Purchasing Management, English/Chinese</t>
        </is>
      </c>
      <c r="M5997" t="inlineStr">
        <is>
          <t>Bonus, Travel Opportunities</t>
        </is>
      </c>
      <c r="N5997" s="8">
        <f>HYPERLINK("https://www.vietnamworks.com/sales-engineer-2016825-jv","Xem chi tiết")</f>
        <v/>
      </c>
    </row>
    <row r="5998">
      <c r="B5998" s="9" t="n">
        <v>5996</v>
      </c>
      <c r="C5998" s="10" t="inlineStr">
        <is>
          <t>B2B Sales Lead (Horeca)</t>
        </is>
      </c>
      <c r="D5998" s="10" t="inlineStr">
        <is>
          <t>Công ty TNHH CJ Foods Việt Nam/ CJ Foods Vietnam Company Limited</t>
        </is>
      </c>
      <c r="E5998" s="10" t="inlineStr">
        <is>
          <t>Thương lượng</t>
        </is>
      </c>
      <c r="F5998" s="10" t="inlineStr">
        <is>
          <t>Hồ Chí Minh</t>
        </is>
      </c>
      <c r="G5998" s="10" t="inlineStr">
        <is>
          <t>Trưởng phòng</t>
        </is>
      </c>
      <c r="H5998" s="10" t="inlineStr">
        <is>
          <t>02/03/2026</t>
        </is>
      </c>
      <c r="I5998" s="10" t="inlineStr">
        <is>
          <t>01/04/2026</t>
        </is>
      </c>
      <c r="J5998" s="10" t="inlineStr">
        <is>
          <t>17/03/2026</t>
        </is>
      </c>
      <c r="K5998" s="10" t="inlineStr">
        <is>
          <t>N/A</t>
        </is>
      </c>
      <c r="L5998" s="10" t="inlineStr">
        <is>
          <t>Customer Experience Management, Data Analysis, Horeca Sales, Kinh Doanh B2B, Leadership</t>
        </is>
      </c>
      <c r="M5998" s="10" t="inlineStr">
        <is>
          <t>Bonus, Healthcare Plan, Paid Leave, Training, Laptop, Travel Opportunities, Transportation, Others</t>
        </is>
      </c>
      <c r="N5998" s="11">
        <f>HYPERLINK("https://www.vietnamworks.com/b2b-sales-lead-horeca-2016815-jv","Xem chi tiết")</f>
        <v/>
      </c>
      <c r="O5998" s="10" t="n"/>
    </row>
    <row r="5999">
      <c r="B5999" s="7" t="n">
        <v>5997</v>
      </c>
      <c r="C5999" t="inlineStr">
        <is>
          <t>Senior Purchasing Staff</t>
        </is>
      </c>
      <c r="D5999" t="inlineStr">
        <is>
          <t>LOTTE Properties Hanoi (LOTTE MALL West Lake Hanoi)</t>
        </is>
      </c>
      <c r="E5999" t="inlineStr">
        <is>
          <t>Thương lượng</t>
        </is>
      </c>
      <c r="F5999" t="inlineStr">
        <is>
          <t>Hà Nội</t>
        </is>
      </c>
      <c r="G5999" t="inlineStr">
        <is>
          <t>Nhân viên</t>
        </is>
      </c>
      <c r="H5999" t="inlineStr">
        <is>
          <t>02/03/2026</t>
        </is>
      </c>
      <c r="I5999" t="inlineStr">
        <is>
          <t>01/04/2026</t>
        </is>
      </c>
      <c r="J5999" t="inlineStr">
        <is>
          <t>17/03/2026</t>
        </is>
      </c>
      <c r="K5999" t="inlineStr">
        <is>
          <t>N/A</t>
        </is>
      </c>
      <c r="L5999" t="inlineStr">
        <is>
          <t>Thu Mua, Purchase Management, Audit Supplier</t>
        </is>
      </c>
      <c r="M5999" t="inlineStr">
        <is>
          <t>Bonus, Paid Leave, Vouchers</t>
        </is>
      </c>
      <c r="N5999" s="8">
        <f>HYPERLINK("https://www.vietnamworks.com/senior-purchasing-staff--2016821-jv","Xem chi tiết")</f>
        <v/>
      </c>
    </row>
    <row r="6000">
      <c r="B6000" s="9" t="n">
        <v>5998</v>
      </c>
      <c r="C6000" s="10" t="inlineStr">
        <is>
          <t>Kỹ Sư QS / Kỹ Sư Dự Toán - Thu Nhập Upto 35Tr/ Tháng</t>
        </is>
      </c>
      <c r="D6000" s="10" t="inlineStr">
        <is>
          <t>CÔNG TY CỔ PHẦN ĐẦU TƯ VÀ XÂY LẮP ĐỨC PHÁT</t>
        </is>
      </c>
      <c r="E6000" s="10" t="inlineStr">
        <is>
          <t>12tr-35tr ₫/tháng</t>
        </is>
      </c>
      <c r="F6000" s="10" t="inlineStr">
        <is>
          <t>Hà Nội</t>
        </is>
      </c>
      <c r="G6000" s="10" t="inlineStr">
        <is>
          <t>Nhân viên</t>
        </is>
      </c>
      <c r="H6000" s="10" t="inlineStr">
        <is>
          <t>02/03/2026</t>
        </is>
      </c>
      <c r="I6000" s="10" t="inlineStr">
        <is>
          <t>01/04/2026</t>
        </is>
      </c>
      <c r="J6000" s="10" t="inlineStr">
        <is>
          <t>17/03/2026</t>
        </is>
      </c>
      <c r="K6000" s="10" t="inlineStr">
        <is>
          <t>N/A</t>
        </is>
      </c>
      <c r="L6000" s="10" t="inlineStr">
        <is>
          <t>AutoCAD, Kinh Tế Xây Dựng, Làm Hồ Sơ Thanh Quyết Toán, Quantity Surveyor Management, Xây Dựng Dân Dụng</t>
        </is>
      </c>
      <c r="M6000" s="10" t="inlineStr">
        <is>
          <t>Bonus, Healthcare Plan, Training, Travel Opportunities, Others</t>
        </is>
      </c>
      <c r="N6000" s="11">
        <f>HYPERLINK("https://www.vietnamworks.com/ky-su-qs-ky-su-du-toan-thu-nhap-upto-35tr-thang-2016835-jv","Xem chi tiết")</f>
        <v/>
      </c>
      <c r="O6000" s="10" t="n"/>
    </row>
    <row r="6001">
      <c r="B6001" s="7" t="n">
        <v>5999</v>
      </c>
      <c r="C6001" t="inlineStr">
        <is>
          <t>QA/QC Engineer</t>
        </is>
      </c>
      <c r="D6001" t="inlineStr">
        <is>
          <t>3 Points Aviation Vietnam Co., Ltd</t>
        </is>
      </c>
      <c r="E6001" t="inlineStr">
        <is>
          <t>Tới $ 1,000 /tháng</t>
        </is>
      </c>
      <c r="F6001" t="inlineStr">
        <is>
          <t>Hà Nội</t>
        </is>
      </c>
      <c r="G6001" t="inlineStr">
        <is>
          <t>Nhân viên</t>
        </is>
      </c>
      <c r="H6001" t="inlineStr">
        <is>
          <t>02/03/2026</t>
        </is>
      </c>
      <c r="I6001" t="inlineStr">
        <is>
          <t>01/04/2026</t>
        </is>
      </c>
      <c r="J6001" t="inlineStr">
        <is>
          <t>17/03/2026</t>
        </is>
      </c>
      <c r="K6001" t="inlineStr">
        <is>
          <t>N/A</t>
        </is>
      </c>
      <c r="L6001" t="inlineStr">
        <is>
          <t>Quality Control, Mechanical, CNC, Process Engineering, Logical Analysis</t>
        </is>
      </c>
      <c r="M6001" t="inlineStr">
        <is>
          <t>Bonus, Training, Transportation</t>
        </is>
      </c>
      <c r="N6001" s="8">
        <f>HYPERLINK("https://www.vietnamworks.com/qa-qc-engineer--2016818-jv","Xem chi tiết")</f>
        <v/>
      </c>
    </row>
    <row r="6002">
      <c r="B6002" s="9" t="n">
        <v>6000</v>
      </c>
      <c r="C6002" s="10" t="inlineStr">
        <is>
          <t>Giám Đốc Kinh Doanh Chủ Đầu Tư</t>
        </is>
      </c>
      <c r="D6002" s="10" t="inlineStr">
        <is>
          <t>CÔNG TY TNHH THƯƠNG MẠI PHÁT TRIỂN</t>
        </is>
      </c>
      <c r="E6002" s="10" t="inlineStr">
        <is>
          <t>$$ 1,500-3,000 /tháng</t>
        </is>
      </c>
      <c r="F6002" s="10" t="inlineStr">
        <is>
          <t>Hồ Chí Minh</t>
        </is>
      </c>
      <c r="G6002" s="10" t="inlineStr">
        <is>
          <t>Giám Đốc và Cấp Cao Hơn</t>
        </is>
      </c>
      <c r="H6002" s="10" t="inlineStr">
        <is>
          <t>02/03/2026</t>
        </is>
      </c>
      <c r="I6002" s="10" t="inlineStr">
        <is>
          <t>01/04/2026</t>
        </is>
      </c>
      <c r="J6002" s="10" t="inlineStr">
        <is>
          <t>17/03/2026</t>
        </is>
      </c>
      <c r="K6002" s="10" t="inlineStr">
        <is>
          <t>N/A</t>
        </is>
      </c>
      <c r="L6002" s="10" t="inlineStr">
        <is>
          <t>Kỹ năng giao tiếp, Kỹ năng lập kế hoạch, Kỹ Năng Quản Lý, Kỹ năng đàm phán, Phân Tích Chiến Lược</t>
        </is>
      </c>
      <c r="M6002" s="10" t="inlineStr">
        <is>
          <t>Bonus</t>
        </is>
      </c>
      <c r="N6002" s="11">
        <f>HYPERLINK("https://www.vietnamworks.com/giam-djoc-kinh-doanh-chu-djau-tu-2016836-jv","Xem chi tiết")</f>
        <v/>
      </c>
      <c r="O6002" s="10" t="n"/>
    </row>
    <row r="6003">
      <c r="B6003" s="7" t="n">
        <v>6001</v>
      </c>
      <c r="C6003" t="inlineStr">
        <is>
          <t>Junior Content Marketing/ Video Creator</t>
        </is>
      </c>
      <c r="D6003" t="inlineStr">
        <is>
          <t>Công ty CP Giáo dục Thế Hệ Trẻ</t>
        </is>
      </c>
      <c r="E6003" t="inlineStr">
        <is>
          <t>10tr-15tr ₫/tháng</t>
        </is>
      </c>
      <c r="F6003" t="inlineStr">
        <is>
          <t>Hà Nội</t>
        </is>
      </c>
      <c r="G6003" t="inlineStr">
        <is>
          <t>Mới Tốt Nghiệp</t>
        </is>
      </c>
      <c r="H6003" t="inlineStr">
        <is>
          <t>02/03/2026</t>
        </is>
      </c>
      <c r="I6003" t="inlineStr">
        <is>
          <t>01/04/2026</t>
        </is>
      </c>
      <c r="J6003" t="inlineStr">
        <is>
          <t>17/03/2026</t>
        </is>
      </c>
      <c r="K6003" t="inlineStr">
        <is>
          <t>N/A</t>
        </is>
      </c>
      <c r="L6003" t="inlineStr">
        <is>
          <t>Video Editing, Thumbnail Creation, Basic AI usage, Content Marketing, Creative Content Creation</t>
        </is>
      </c>
      <c r="M6003" t="inlineStr">
        <is>
          <t>Bonus, Healthcare Plan, Travel Opportunities, Others</t>
        </is>
      </c>
      <c r="N6003" s="8">
        <f>HYPERLINK("https://www.vietnamworks.com/junior-content-marketing-video-creator-2016819-jv","Xem chi tiết")</f>
        <v/>
      </c>
    </row>
    <row r="6004">
      <c r="B6004" s="9" t="n">
        <v>6002</v>
      </c>
      <c r="C6004" s="10" t="inlineStr">
        <is>
          <t>Administrators</t>
        </is>
      </c>
      <c r="D6004" s="10" t="inlineStr">
        <is>
          <t>Công Ty TNHH Azbil Việt Nam</t>
        </is>
      </c>
      <c r="E6004" s="10" t="inlineStr">
        <is>
          <t>Thương lượng</t>
        </is>
      </c>
      <c r="F6004" s="10" t="inlineStr">
        <is>
          <t>Hồ Chí Minh</t>
        </is>
      </c>
      <c r="G6004" s="10" t="inlineStr">
        <is>
          <t>Mới Tốt Nghiệp</t>
        </is>
      </c>
      <c r="H6004" s="10" t="inlineStr">
        <is>
          <t>02/03/2026</t>
        </is>
      </c>
      <c r="I6004" s="10" t="inlineStr">
        <is>
          <t>01/04/2026</t>
        </is>
      </c>
      <c r="J6004" s="10" t="inlineStr">
        <is>
          <t>17/03/2026</t>
        </is>
      </c>
      <c r="K6004" s="10" t="inlineStr">
        <is>
          <t>N/A</t>
        </is>
      </c>
      <c r="L6004" s="10" t="inlineStr">
        <is>
          <t>Document Translating, Administrative Support, ISO Knowledge, Work Permit Handling, Teamwork</t>
        </is>
      </c>
      <c r="M6004" s="10" t="inlineStr">
        <is>
          <t>Bonus, Healthcare Plan, Paid Leave, Training, Team Activities, Others</t>
        </is>
      </c>
      <c r="N6004" s="11">
        <f>HYPERLINK("https://www.vietnamworks.com/administrators-2016833-jv","Xem chi tiết")</f>
        <v/>
      </c>
      <c r="O6004" s="10" t="n"/>
    </row>
    <row r="6005">
      <c r="B6005" s="7" t="n">
        <v>6003</v>
      </c>
      <c r="C6005" t="inlineStr">
        <is>
          <t>Assistant Manager, Digital &amp; Innovation</t>
        </is>
      </c>
      <c r="D6005" t="inlineStr">
        <is>
          <t>CapitaLand Development (Vietnam)</t>
        </is>
      </c>
      <c r="E6005" t="inlineStr">
        <is>
          <t>Thương lượng</t>
        </is>
      </c>
      <c r="F6005" t="inlineStr">
        <is>
          <t>Hồ Chí Minh</t>
        </is>
      </c>
      <c r="G6005" t="inlineStr">
        <is>
          <t>Nhân viên</t>
        </is>
      </c>
      <c r="H6005" t="inlineStr">
        <is>
          <t>02/03/2026</t>
        </is>
      </c>
      <c r="I6005" t="inlineStr">
        <is>
          <t>01/04/2026</t>
        </is>
      </c>
      <c r="J6005" t="inlineStr">
        <is>
          <t>17/03/2026</t>
        </is>
      </c>
      <c r="K6005" t="inlineStr">
        <is>
          <t>N/A</t>
        </is>
      </c>
      <c r="L6005" t="inlineStr">
        <is>
          <t>Data Analysis, Data Visualization, Organizational skills, Power Automate, SQL</t>
        </is>
      </c>
      <c r="M6005" t="inlineStr">
        <is>
          <t>Bonus, Healthcare Plan, Training, Travel Opportunities</t>
        </is>
      </c>
      <c r="N6005" s="8">
        <f>HYPERLINK("https://www.vietnamworks.com/assistant-manager-digital-and-innovation-2016820-jv","Xem chi tiết")</f>
        <v/>
      </c>
    </row>
    <row r="6006">
      <c r="B6006" s="9" t="n">
        <v>6004</v>
      </c>
      <c r="C6006" s="10" t="inlineStr">
        <is>
          <t>Chuyên Viên Kế Toán Thuế</t>
        </is>
      </c>
      <c r="D6006" s="10" t="inlineStr">
        <is>
          <t>CÔNG TY CỔ PHẦN MAT GROUP</t>
        </is>
      </c>
      <c r="E6006" s="10" t="inlineStr">
        <is>
          <t>Thương lượng</t>
        </is>
      </c>
      <c r="F6006" s="10" t="inlineStr">
        <is>
          <t>Hà Nội</t>
        </is>
      </c>
      <c r="G6006" s="10" t="inlineStr">
        <is>
          <t>Nhân viên</t>
        </is>
      </c>
      <c r="H6006" s="10" t="inlineStr">
        <is>
          <t>02/03/2026</t>
        </is>
      </c>
      <c r="I6006" s="10" t="inlineStr">
        <is>
          <t>01/04/2026</t>
        </is>
      </c>
      <c r="J6006" s="10" t="inlineStr">
        <is>
          <t>17/03/2026</t>
        </is>
      </c>
      <c r="K6006" s="10" t="inlineStr">
        <is>
          <t>N/A</t>
        </is>
      </c>
      <c r="L6006" s="10" t="inlineStr">
        <is>
          <t>Kế Toán Thuế, Phân Tích Tài Chính, Phần mềm kế toán, Quản Lý Báo Cáo Rủi Ro, Kế toán thuế - Quyết toán thuế</t>
        </is>
      </c>
      <c r="M6006" s="10" t="inlineStr">
        <is>
          <t>Bonus, Healthcare Plan, Paid Leave, Training, Laptop, Others</t>
        </is>
      </c>
      <c r="N6006" s="11">
        <f>HYPERLINK("https://www.vietnamworks.com/chuyen-vien-ke-toan-thue--2016828-jv","Xem chi tiết")</f>
        <v/>
      </c>
      <c r="O6006" s="10" t="n"/>
    </row>
    <row r="6007">
      <c r="B6007" s="7" t="n">
        <v>6005</v>
      </c>
      <c r="C6007" t="inlineStr">
        <is>
          <t>Trợ Giảng Tiểu Học - Toàn Thời Gian</t>
        </is>
      </c>
      <c r="D6007" t="inlineStr">
        <is>
          <t>Công ty CP Giáo dục Thế Hệ Trẻ</t>
        </is>
      </c>
      <c r="E6007" t="inlineStr">
        <is>
          <t>10tr-12tr ₫/tháng</t>
        </is>
      </c>
      <c r="F6007" t="inlineStr">
        <is>
          <t>Hà Nội</t>
        </is>
      </c>
      <c r="G6007" t="inlineStr">
        <is>
          <t>Nhân viên</t>
        </is>
      </c>
      <c r="H6007" t="inlineStr">
        <is>
          <t>02/03/2026</t>
        </is>
      </c>
      <c r="I6007" t="inlineStr">
        <is>
          <t>01/04/2026</t>
        </is>
      </c>
      <c r="J6007" t="inlineStr">
        <is>
          <t>17/03/2026</t>
        </is>
      </c>
      <c r="K6007" t="inlineStr">
        <is>
          <t>N/A</t>
        </is>
      </c>
      <c r="L6007" t="inlineStr">
        <is>
          <t>Trợ Giảng, Giảng Dạy Tiểu Học, Teaching Assistance, Giáo Dục Tiểu Học, Sư phạm tiếng Anh</t>
        </is>
      </c>
      <c r="M6007" t="inlineStr">
        <is>
          <t>Bonus, Healthcare Plan, Paid Leave, Others</t>
        </is>
      </c>
      <c r="N6007" s="8">
        <f>HYPERLINK("https://www.vietnamworks.com/tro-giang-tieu-hoc-toan-thoi-gian-2016822-jv","Xem chi tiết")</f>
        <v/>
      </c>
    </row>
    <row r="6008">
      <c r="B6008" s="9" t="n">
        <v>6006</v>
      </c>
      <c r="C6008" s="10" t="inlineStr">
        <is>
          <t>HO - Chuyên Viên Quan Hệ Khách Hàng Doanh Nghiệp Lớn</t>
        </is>
      </c>
      <c r="D6008" s="10" t="inlineStr">
        <is>
          <t>Ngân Hàng TMCP Á Châu (ACB)</t>
        </is>
      </c>
      <c r="E6008" s="10" t="inlineStr">
        <is>
          <t>Thương lượng</t>
        </is>
      </c>
      <c r="F6008" s="10" t="inlineStr">
        <is>
          <t>Hồ Chí Minh, Hà Nội</t>
        </is>
      </c>
      <c r="G6008" s="10" t="inlineStr">
        <is>
          <t>Giám Đốc và Cấp Cao Hơn</t>
        </is>
      </c>
      <c r="H6008" s="10" t="inlineStr">
        <is>
          <t>02/03/2026</t>
        </is>
      </c>
      <c r="I6008" s="10" t="inlineStr">
        <is>
          <t>01/04/2026</t>
        </is>
      </c>
      <c r="J6008" s="10" t="inlineStr">
        <is>
          <t>17/03/2026</t>
        </is>
      </c>
      <c r="K6008" s="10" t="inlineStr">
        <is>
          <t>N/A</t>
        </is>
      </c>
      <c r="L6008" s="10" t="inlineStr">
        <is>
          <t>Dịch Vụ Tài Chính, MS Office, Ngân hàng, Phát Triển Khách Hàng, Quan hệ khách hàng doanh nghiệp</t>
        </is>
      </c>
      <c r="M6008" s="10" t="inlineStr">
        <is>
          <t>Bonus, Healthcare Plan, Training, Mobile, Travel Opportunities, Team Activities, Others</t>
        </is>
      </c>
      <c r="N6008" s="11">
        <f>HYPERLINK("https://www.vietnamworks.com/ho-chuyen-vien-quan-he-khach-hang-doanh-nghiep-lon-2016827-jv","Xem chi tiết")</f>
        <v/>
      </c>
      <c r="O6008" s="10" t="n"/>
    </row>
    <row r="6009">
      <c r="B6009" s="7" t="n">
        <v>6007</v>
      </c>
      <c r="C6009" t="inlineStr">
        <is>
          <t>Nhân Viên Quản Lý Chất Lượng - QA/QC</t>
        </is>
      </c>
      <c r="D6009" t="inlineStr">
        <is>
          <t>INOUE Rubber Vietnam CO., LTD.</t>
        </is>
      </c>
      <c r="E6009" t="inlineStr">
        <is>
          <t>Thương lượng</t>
        </is>
      </c>
      <c r="F6009" t="inlineStr">
        <is>
          <t>Hà Nội</t>
        </is>
      </c>
      <c r="G6009" t="inlineStr">
        <is>
          <t>Nhân viên</t>
        </is>
      </c>
      <c r="H6009" t="inlineStr">
        <is>
          <t>02/03/2026</t>
        </is>
      </c>
      <c r="I6009" t="inlineStr">
        <is>
          <t>01/04/2026</t>
        </is>
      </c>
      <c r="J6009" t="inlineStr">
        <is>
          <t>17/03/2026</t>
        </is>
      </c>
      <c r="K6009" t="inlineStr">
        <is>
          <t>N/A</t>
        </is>
      </c>
      <c r="L6009" t="inlineStr">
        <is>
          <t>Quản Lý Chất Lượng, ISO 9001, Đánh Giá Nhà Cung Cấp, Xử Lý Khiếu Nại, Tiếng Anh</t>
        </is>
      </c>
      <c r="M6009" t="inlineStr">
        <is>
          <t>Bonus, Healthcare Plan, Team Activities</t>
        </is>
      </c>
      <c r="N6009" s="8">
        <f>HYPERLINK("https://www.vietnamworks.com/nhan-vien-quan-ly-chat-luong-qa-qc--2016813-jv","Xem chi tiết")</f>
        <v/>
      </c>
    </row>
    <row r="6010">
      <c r="B6010" s="9" t="n">
        <v>6008</v>
      </c>
      <c r="C6010" s="10" t="inlineStr">
        <is>
          <t>Nhân Viên Kinh Doanh Dịch Vụ B2B / Sales Executive B2B (Thu Nhập Hấp Dẫn)</t>
        </is>
      </c>
      <c r="D6010" s="10" t="inlineStr">
        <is>
          <t>Pan Services</t>
        </is>
      </c>
      <c r="E6010" s="10" t="inlineStr">
        <is>
          <t>Thương lượng</t>
        </is>
      </c>
      <c r="F6010" s="10" t="inlineStr">
        <is>
          <t>Hồ Chí Minh</t>
        </is>
      </c>
      <c r="G6010" s="10" t="inlineStr">
        <is>
          <t>Nhân viên</t>
        </is>
      </c>
      <c r="H6010" s="10" t="inlineStr">
        <is>
          <t>02/03/2026</t>
        </is>
      </c>
      <c r="I6010" s="10" t="inlineStr">
        <is>
          <t>01/04/2026</t>
        </is>
      </c>
      <c r="J6010" s="10" t="inlineStr">
        <is>
          <t>17/03/2026</t>
        </is>
      </c>
      <c r="K6010" s="10" t="inlineStr">
        <is>
          <t>N/A</t>
        </is>
      </c>
      <c r="L6010" s="10" t="inlineStr">
        <is>
          <t>Marketing Development, Business Development, B2B Sales, Báo Giá, Tìm Kiếm Khách Hàng</t>
        </is>
      </c>
      <c r="M6010" s="10" t="inlineStr">
        <is>
          <t>Bonus, Healthcare Plan, Others</t>
        </is>
      </c>
      <c r="N6010" s="11">
        <f>HYPERLINK("https://www.vietnamworks.com/nhan-vien-kinh-doanh-dich-vu-b2b-sales-executive-b2b-thu-nhap-hap-dan-2016839-jv","Xem chi tiết")</f>
        <v/>
      </c>
      <c r="O6010" s="10" t="n"/>
    </row>
    <row r="6011">
      <c r="B6011" s="7" t="n">
        <v>6009</v>
      </c>
      <c r="C6011" t="inlineStr">
        <is>
          <t>Kế Toán Giá Thành (Dự Án Công Trình)</t>
        </is>
      </c>
      <c r="D6011" t="inlineStr">
        <is>
          <t>Công Ty Cổ Phần Công Nghiệp LME</t>
        </is>
      </c>
      <c r="E6011" t="inlineStr">
        <is>
          <t>20tr-25tr ₫/tháng</t>
        </is>
      </c>
      <c r="F6011" t="inlineStr">
        <is>
          <t>Hà Nội</t>
        </is>
      </c>
      <c r="G6011" t="inlineStr">
        <is>
          <t>Nhân viên</t>
        </is>
      </c>
      <c r="H6011" t="inlineStr">
        <is>
          <t>02/03/2026</t>
        </is>
      </c>
      <c r="I6011" t="inlineStr">
        <is>
          <t>01/04/2026</t>
        </is>
      </c>
      <c r="J6011" t="inlineStr">
        <is>
          <t>17/03/2026</t>
        </is>
      </c>
      <c r="K6011" t="inlineStr">
        <is>
          <t>N/A</t>
        </is>
      </c>
      <c r="L6011" t="inlineStr">
        <is>
          <t>Kế Toán Giá Thành, Cost Accountant, Kế Toán Xây Dựng, General Accounting, Kế Toán Dự Án</t>
        </is>
      </c>
      <c r="M6011" t="inlineStr">
        <is>
          <t>Bonus, Healthcare Plan, Paid Leave, Canteen, Others</t>
        </is>
      </c>
      <c r="N6011" s="8">
        <f>HYPERLINK("https://www.vietnamworks.com/ke-toan-gia-thanh-du-an-cong-trinh-2016837-jv","Xem chi tiết")</f>
        <v/>
      </c>
    </row>
    <row r="6012">
      <c r="B6012" s="9" t="n">
        <v>6010</v>
      </c>
      <c r="C6012" s="10" t="inlineStr">
        <is>
          <t>Area Sales Manager (Fashion Retail)</t>
        </is>
      </c>
      <c r="D6012" s="10" t="inlineStr">
        <is>
          <t>Jaspal Company Limited</t>
        </is>
      </c>
      <c r="E6012" s="10" t="inlineStr">
        <is>
          <t>Thương lượng</t>
        </is>
      </c>
      <c r="F6012" s="10" t="inlineStr">
        <is>
          <t>Hồ Chí Minh, Hà Nội</t>
        </is>
      </c>
      <c r="G6012" s="10" t="inlineStr">
        <is>
          <t>Trưởng phòng</t>
        </is>
      </c>
      <c r="H6012" s="10" t="inlineStr">
        <is>
          <t>02/03/2026</t>
        </is>
      </c>
      <c r="I6012" s="10" t="inlineStr">
        <is>
          <t>01/04/2026</t>
        </is>
      </c>
      <c r="J6012" s="10" t="inlineStr">
        <is>
          <t>17/03/2026</t>
        </is>
      </c>
      <c r="K6012" s="10" t="inlineStr">
        <is>
          <t>N/A</t>
        </is>
      </c>
      <c r="L6012" s="10" t="inlineStr">
        <is>
          <t>Visual Merchandising, Retail Operations, Store Management, Sales Supervisor, operations</t>
        </is>
      </c>
      <c r="M6012" s="10" t="inlineStr">
        <is>
          <t>Bonus, Healthcare Plan, Others</t>
        </is>
      </c>
      <c r="N6012" s="11">
        <f>HYPERLINK("https://www.vietnamworks.com/area-sales-manager-fashion-retail--2016842-jv","Xem chi tiết")</f>
        <v/>
      </c>
      <c r="O6012" s="10" t="n"/>
    </row>
    <row r="6013">
      <c r="B6013" s="7" t="n">
        <v>6011</v>
      </c>
      <c r="C6013" t="inlineStr">
        <is>
          <t>Nhân Viên Mua Hàng - Nữ (Purchasing Staff - Female)</t>
        </is>
      </c>
      <c r="D6013" t="inlineStr">
        <is>
          <t>Công Ty Cổ Phần Tổ Chức Hội Nghị Việt Nam</t>
        </is>
      </c>
      <c r="E6013" t="inlineStr">
        <is>
          <t>8tr-11tr ₫/tháng</t>
        </is>
      </c>
      <c r="F6013" t="inlineStr">
        <is>
          <t>Hà Nội</t>
        </is>
      </c>
      <c r="G6013" t="inlineStr">
        <is>
          <t>Nhân viên</t>
        </is>
      </c>
      <c r="H6013" t="inlineStr">
        <is>
          <t>02/03/2026</t>
        </is>
      </c>
      <c r="I6013" t="inlineStr">
        <is>
          <t>01/04/2026</t>
        </is>
      </c>
      <c r="J6013" t="inlineStr">
        <is>
          <t>17/03/2026</t>
        </is>
      </c>
      <c r="K6013" t="inlineStr">
        <is>
          <t>N/A</t>
        </is>
      </c>
      <c r="L6013" t="inlineStr">
        <is>
          <t>Kỹ năng giao tiếp, Làm Việc Nhóm, Mua Sắm Trực Tuyến, Quản Lý Dữ Liệu, Xử Lý Tình Huống</t>
        </is>
      </c>
      <c r="M6013" t="inlineStr">
        <is>
          <t>Healthcare Plan, Paid Leave, Team Activities, Others</t>
        </is>
      </c>
      <c r="N6013" s="8">
        <f>HYPERLINK("https://www.vietnamworks.com/nhan-vien-mua-hang-nu-purchasing-staff-female-2016841-jv","Xem chi tiết")</f>
        <v/>
      </c>
    </row>
    <row r="6014">
      <c r="B6014" s="9" t="n">
        <v>6012</v>
      </c>
      <c r="C6014" s="10" t="inlineStr">
        <is>
          <t>Chủ Trì Thiết Kế ME (Điện, HVAC, Cấp Thoát Nước)</t>
        </is>
      </c>
      <c r="D6014" s="10" t="inlineStr">
        <is>
          <t>Công Ty Cổ Phần Xây Dựng Và Đầu Tư Visicons</t>
        </is>
      </c>
      <c r="E6014" s="10" t="inlineStr">
        <is>
          <t>$$ 1,000-1,800 /tháng</t>
        </is>
      </c>
      <c r="F6014" s="10" t="inlineStr">
        <is>
          <t>Hà Nội</t>
        </is>
      </c>
      <c r="G6014" s="10" t="inlineStr">
        <is>
          <t>Nhân viên</t>
        </is>
      </c>
      <c r="H6014" s="10" t="inlineStr">
        <is>
          <t>02/03/2026</t>
        </is>
      </c>
      <c r="I6014" s="10" t="inlineStr">
        <is>
          <t>01/04/2026</t>
        </is>
      </c>
      <c r="J6014" s="10" t="inlineStr">
        <is>
          <t>17/03/2026</t>
        </is>
      </c>
      <c r="K6014" s="10" t="inlineStr">
        <is>
          <t>N/A</t>
        </is>
      </c>
      <c r="L6014" s="10" t="inlineStr">
        <is>
          <t>Thiết Kế Hệ Thống Điện, Cơ Điện, AutoCAD, Shop Drawing, ME Design</t>
        </is>
      </c>
      <c r="M6014" s="10" t="inlineStr">
        <is>
          <t>Bonus, Healthcare Plan, Training</t>
        </is>
      </c>
      <c r="N6014" s="11">
        <f>HYPERLINK("https://www.vietnamworks.com/chu-tri-thiet-ke-me-dien-hvac-cap-thoat-nuoc--2016824-jv","Xem chi tiết")</f>
        <v/>
      </c>
      <c r="O6014" s="10" t="n"/>
    </row>
    <row r="6015">
      <c r="B6015" s="7" t="n">
        <v>6013</v>
      </c>
      <c r="C6015" t="inlineStr">
        <is>
          <t>Nhân Viên Operation Logistics</t>
        </is>
      </c>
      <c r="D6015" t="inlineStr">
        <is>
          <t>Công Ty TNHH Vận Chuyển Hải Thiên (Việt Nam)</t>
        </is>
      </c>
      <c r="E6015" t="inlineStr">
        <is>
          <t>Thương lượng</t>
        </is>
      </c>
      <c r="F6015" t="inlineStr">
        <is>
          <t>Hồ Chí Minh</t>
        </is>
      </c>
      <c r="G6015" t="inlineStr">
        <is>
          <t>Nhân viên</t>
        </is>
      </c>
      <c r="H6015" t="inlineStr">
        <is>
          <t>02/03/2026</t>
        </is>
      </c>
      <c r="I6015" t="inlineStr">
        <is>
          <t>01/04/2026</t>
        </is>
      </c>
      <c r="J6015" t="inlineStr">
        <is>
          <t>17/03/2026</t>
        </is>
      </c>
      <c r="K6015" t="inlineStr">
        <is>
          <t>N/A</t>
        </is>
      </c>
      <c r="L6015" t="inlineStr">
        <is>
          <t>Chứng Từ Xuất Nhập Khẩu, Cargo Booking, Vận Chuyển Quốc Tế, Đối Chiếu Công Nợ, Logistics Operations</t>
        </is>
      </c>
      <c r="M6015" t="inlineStr">
        <is>
          <t>Bonus, Healthcare Plan, Training, Travel Opportunities, Team Activities</t>
        </is>
      </c>
      <c r="N6015" s="8">
        <f>HYPERLINK("https://www.vietnamworks.com/nhan-vien-operation-logistics-2016845-jv","Xem chi tiết")</f>
        <v/>
      </c>
    </row>
    <row r="6016">
      <c r="B6016" s="9" t="n">
        <v>6014</v>
      </c>
      <c r="C6016" s="10" t="inlineStr">
        <is>
          <t>Chief Accountant (Bakery Factory) – Interested In AI &amp; Automation</t>
        </is>
      </c>
      <c r="D6016" s="10" t="inlineStr">
        <is>
          <t>Công Ty TNHH MTV C'est Bon Bakery</t>
        </is>
      </c>
      <c r="E6016" s="10" t="inlineStr">
        <is>
          <t>Thương lượng</t>
        </is>
      </c>
      <c r="F6016" s="10" t="inlineStr">
        <is>
          <t>Hà Nội</t>
        </is>
      </c>
      <c r="G6016" s="10" t="inlineStr">
        <is>
          <t>Trưởng phòng</t>
        </is>
      </c>
      <c r="H6016" s="10" t="inlineStr">
        <is>
          <t>02/03/2026</t>
        </is>
      </c>
      <c r="I6016" s="10" t="inlineStr">
        <is>
          <t>01/04/2026</t>
        </is>
      </c>
      <c r="J6016" s="10" t="inlineStr">
        <is>
          <t>17/03/2026</t>
        </is>
      </c>
      <c r="K6016" s="10" t="inlineStr">
        <is>
          <t>N/A</t>
        </is>
      </c>
      <c r="L6016" s="10" t="inlineStr">
        <is>
          <t>Accounting, Analytical Skills, Cost Accounting, Finance, Inventory Control</t>
        </is>
      </c>
      <c r="M6016" s="10" t="inlineStr">
        <is>
          <t>Bonus</t>
        </is>
      </c>
      <c r="N6016" s="11">
        <f>HYPERLINK("https://www.vietnamworks.com/chief-accountant-bakery-factory-interested-in-ai-and-automation-2016849-jv","Xem chi tiết")</f>
        <v/>
      </c>
      <c r="O6016" s="10" t="n"/>
    </row>
    <row r="6017">
      <c r="B6017" s="7" t="n">
        <v>6015</v>
      </c>
      <c r="C6017" t="inlineStr">
        <is>
          <t>Trưởng Bộ Phận Vận Hành Bike</t>
        </is>
      </c>
      <c r="D6017" t="inlineStr">
        <is>
          <t>GSM</t>
        </is>
      </c>
      <c r="E6017" t="inlineStr">
        <is>
          <t>$$ 1,000-2,000 /tháng</t>
        </is>
      </c>
      <c r="F6017" t="inlineStr">
        <is>
          <t>Đà Nẵng, Hà Nội</t>
        </is>
      </c>
      <c r="G6017" t="inlineStr">
        <is>
          <t>Trưởng phòng</t>
        </is>
      </c>
      <c r="H6017" t="inlineStr">
        <is>
          <t>02/03/2026</t>
        </is>
      </c>
      <c r="I6017" t="inlineStr">
        <is>
          <t>01/04/2026</t>
        </is>
      </c>
      <c r="J6017" t="inlineStr">
        <is>
          <t>17/03/2026</t>
        </is>
      </c>
      <c r="K6017" t="inlineStr">
        <is>
          <t>N/A</t>
        </is>
      </c>
      <c r="L6017" t="inlineStr">
        <is>
          <t>Vận Hành Chuỗi F&amp;B, Vận Hành, Food Distribution, Quản Lý Giao Hàng, Giao Hàng</t>
        </is>
      </c>
      <c r="M6017" t="inlineStr">
        <is>
          <t>Bonus, Healthcare Plan, Training</t>
        </is>
      </c>
      <c r="N6017" s="8">
        <f>HYPERLINK("https://www.vietnamworks.com/truong-bo-phan-van-hanh-bike-2016846-jv","Xem chi tiết")</f>
        <v/>
      </c>
    </row>
    <row r="6018">
      <c r="B6018" s="9" t="n">
        <v>6016</v>
      </c>
      <c r="C6018" s="10" t="inlineStr">
        <is>
          <t>Chuyên Viên Kinh Doanh Dự Án/ KA - Thu Nhập Từ 20-100M (Cửa Cuốn/ Nhôm Công Nghiệp/ Busway (Thanh Dẫn Điện)/ Solar)</t>
        </is>
      </c>
      <c r="D6018" s="10" t="inlineStr">
        <is>
          <t>Công Ty Cổ Phần Tập Đoàn Austdoor</t>
        </is>
      </c>
      <c r="E6018" s="10" t="inlineStr">
        <is>
          <t>20tr-100tr ₫/tháng</t>
        </is>
      </c>
      <c r="F6018" s="10" t="inlineStr">
        <is>
          <t>Hà Nội, Hồ Chí Minh</t>
        </is>
      </c>
      <c r="G6018" s="10" t="inlineStr">
        <is>
          <t>Nhân viên</t>
        </is>
      </c>
      <c r="H6018" s="10" t="inlineStr">
        <is>
          <t>02/03/2026</t>
        </is>
      </c>
      <c r="I6018" s="10" t="inlineStr">
        <is>
          <t>01/04/2026</t>
        </is>
      </c>
      <c r="J6018" s="10" t="inlineStr">
        <is>
          <t>17/03/2026</t>
        </is>
      </c>
      <c r="K6018" s="10" t="inlineStr">
        <is>
          <t>N/A</t>
        </is>
      </c>
      <c r="L6018" s="10" t="inlineStr">
        <is>
          <t>Tìm Kiếm Khách Hàng, B2B Sales, Phát Triển Kinh Doanh, Tư Vấn Giải Pháp, Báo Giá</t>
        </is>
      </c>
      <c r="M6018" s="10" t="inlineStr">
        <is>
          <t>Bonus, Healthcare Plan, Others</t>
        </is>
      </c>
      <c r="N6018" s="11">
        <f>HYPERLINK("https://www.vietnamworks.com/chuyen-vien-kinh-doanh-du-an-ka-thu-nhap-tu-20-100m-cua-cuon-nhom-cong-nghiep-busway-thanh-dan-dien-solar-2016830-jv","Xem chi tiết")</f>
        <v/>
      </c>
      <c r="O6018" s="10" t="n"/>
    </row>
    <row r="6019">
      <c r="B6019" s="7" t="n">
        <v>6017</v>
      </c>
      <c r="C6019" t="inlineStr">
        <is>
          <t>Biên Tập Viên Tài Chính</t>
        </is>
      </c>
      <c r="D6019" t="inlineStr">
        <is>
          <t>Công Ty Cổ Phần Tài Việt (Vietstock.vn)</t>
        </is>
      </c>
      <c r="E6019" t="inlineStr">
        <is>
          <t>$$ 800-1,500 /tháng</t>
        </is>
      </c>
      <c r="F6019" t="inlineStr">
        <is>
          <t>Hồ Chí Minh</t>
        </is>
      </c>
      <c r="G6019" t="inlineStr">
        <is>
          <t>Nhân viên</t>
        </is>
      </c>
      <c r="H6019" t="inlineStr">
        <is>
          <t>02/03/2026</t>
        </is>
      </c>
      <c r="I6019" t="inlineStr">
        <is>
          <t>01/04/2026</t>
        </is>
      </c>
      <c r="J6019" t="inlineStr">
        <is>
          <t>17/03/2026</t>
        </is>
      </c>
      <c r="K6019" t="inlineStr">
        <is>
          <t>N/A</t>
        </is>
      </c>
      <c r="L6019" t="inlineStr">
        <is>
          <t>Tài Chính, Nghiệp Vụ Phóng Viên, Biên Tập Báo Chí, Biên Tập Báo Điện Tử, Biên Tập Bài Viết</t>
        </is>
      </c>
      <c r="M6019" t="inlineStr">
        <is>
          <t>Healthcare Plan, Paid Leave, Travel Opportunities</t>
        </is>
      </c>
      <c r="N6019" s="8">
        <f>HYPERLINK("https://www.vietnamworks.com/bien-tap-vien-tai-chinh--2016844-jv","Xem chi tiết")</f>
        <v/>
      </c>
    </row>
    <row r="6020">
      <c r="B6020" s="9" t="n">
        <v>6018</v>
      </c>
      <c r="C6020" s="10" t="inlineStr">
        <is>
          <t>Factory Manager – Small Bakery Factory (Hanoi)</t>
        </is>
      </c>
      <c r="D6020" s="10" t="inlineStr">
        <is>
          <t>Công Ty TNHH MTV C'est Bon Bakery</t>
        </is>
      </c>
      <c r="E6020" s="10" t="inlineStr">
        <is>
          <t>Thương lượng</t>
        </is>
      </c>
      <c r="F6020" s="10" t="inlineStr">
        <is>
          <t>Hà Nội</t>
        </is>
      </c>
      <c r="G6020" s="10" t="inlineStr">
        <is>
          <t>Trưởng phòng</t>
        </is>
      </c>
      <c r="H6020" s="10" t="inlineStr">
        <is>
          <t>02/03/2026</t>
        </is>
      </c>
      <c r="I6020" s="10" t="inlineStr">
        <is>
          <t>01/04/2026</t>
        </is>
      </c>
      <c r="J6020" s="10" t="inlineStr">
        <is>
          <t>17/03/2026</t>
        </is>
      </c>
      <c r="K6020" s="10" t="inlineStr">
        <is>
          <t>N/A</t>
        </is>
      </c>
      <c r="L6020" s="10" t="inlineStr">
        <is>
          <t>Food Safety Regulatory, Leadership Skills, Operations Production, People Management, Production Planning</t>
        </is>
      </c>
      <c r="M6020" s="10" t="inlineStr">
        <is>
          <t>Bonus</t>
        </is>
      </c>
      <c r="N6020" s="11">
        <f>HYPERLINK("https://www.vietnamworks.com/factory-manager-small-bakery-factory-hanoi-2016851-jv","Xem chi tiết")</f>
        <v/>
      </c>
      <c r="O6020" s="10" t="n"/>
    </row>
    <row r="6021">
      <c r="B6021" s="7" t="n">
        <v>6019</v>
      </c>
      <c r="C6021" t="inlineStr">
        <is>
          <t>Senior Planning Specialist (Chuyên Viên Kế Hoạch Cao Cấp)</t>
        </is>
      </c>
      <c r="D6021" t="inlineStr">
        <is>
          <t>CÔNG TY CỔ PHẦN OPEN HEALTHCARE VIỆT NAM</t>
        </is>
      </c>
      <c r="E6021" t="inlineStr">
        <is>
          <t>Thương lượng</t>
        </is>
      </c>
      <c r="F6021" t="inlineStr">
        <is>
          <t>Hà Nội</t>
        </is>
      </c>
      <c r="G6021" t="inlineStr">
        <is>
          <t>Nhân viên</t>
        </is>
      </c>
      <c r="H6021" t="inlineStr">
        <is>
          <t>02/03/2026</t>
        </is>
      </c>
      <c r="I6021" t="inlineStr">
        <is>
          <t>01/04/2026</t>
        </is>
      </c>
      <c r="J6021" t="inlineStr">
        <is>
          <t>17/03/2026</t>
        </is>
      </c>
      <c r="K6021" t="inlineStr">
        <is>
          <t>N/A</t>
        </is>
      </c>
      <c r="L6021" t="inlineStr">
        <is>
          <t>Analysis, MS Office, Fianancial analyst, Sale &amp; Business development, busines analysis</t>
        </is>
      </c>
      <c r="M6021" t="inlineStr">
        <is>
          <t>Bonus, Healthcare Plan, Paid Leave, Training, Team Activities</t>
        </is>
      </c>
      <c r="N6021" s="8">
        <f>HYPERLINK("https://www.vietnamworks.com/senior-planning-specialist-chuyen-vien-ke-hoach-cao-cap-2016832-jv","Xem chi tiết")</f>
        <v/>
      </c>
    </row>
    <row r="6022">
      <c r="B6022" s="9" t="n">
        <v>6020</v>
      </c>
      <c r="C6022" s="10" t="inlineStr">
        <is>
          <t>Nhân Viên Phòng Cải Tiến/ CID Engineer (Chinese/ English)</t>
        </is>
      </c>
      <c r="D6022" s="10" t="inlineStr">
        <is>
          <t>CÔNG TY TNHH Q P (VIỆT NAM)</t>
        </is>
      </c>
      <c r="E6022" s="10" t="inlineStr">
        <is>
          <t>Từ $ 800 /tháng</t>
        </is>
      </c>
      <c r="F6022" s="10" t="inlineStr">
        <is>
          <t>Hà Nam, Hà Nội, Nam Định</t>
        </is>
      </c>
      <c r="G6022" s="10" t="inlineStr">
        <is>
          <t>Nhân viên</t>
        </is>
      </c>
      <c r="H6022" s="10" t="inlineStr">
        <is>
          <t>02/03/2026</t>
        </is>
      </c>
      <c r="I6022" s="10" t="inlineStr">
        <is>
          <t>01/04/2026</t>
        </is>
      </c>
      <c r="J6022" s="10" t="inlineStr">
        <is>
          <t>17/03/2026</t>
        </is>
      </c>
      <c r="K6022" s="10" t="inlineStr">
        <is>
          <t>N/A</t>
        </is>
      </c>
      <c r="L6022" s="10" t="inlineStr">
        <is>
          <t>English, Process Analysis, Data Collection, Project Management, Manufacturing Engineering</t>
        </is>
      </c>
      <c r="M6022" s="10" t="inlineStr">
        <is>
          <t>Bonus, Training, Team Activities</t>
        </is>
      </c>
      <c r="N6022" s="11">
        <f>HYPERLINK("https://www.vietnamworks.com/nhan-vien-phong-cai-tien-cid-engineer-chinese-english--2016847-jv","Xem chi tiết")</f>
        <v/>
      </c>
      <c r="O6022" s="10" t="n"/>
    </row>
    <row r="6023">
      <c r="B6023" s="7" t="n">
        <v>6021</v>
      </c>
      <c r="C6023" t="inlineStr">
        <is>
          <t>Sales Staff</t>
        </is>
      </c>
      <c r="D6023" t="inlineStr">
        <is>
          <t>GOKO SPRING VIET NAM Co.,Ltd</t>
        </is>
      </c>
      <c r="E6023" t="inlineStr">
        <is>
          <t>Thương lượng</t>
        </is>
      </c>
      <c r="F6023" t="inlineStr">
        <is>
          <t>Hà Nội</t>
        </is>
      </c>
      <c r="G6023" t="inlineStr">
        <is>
          <t>Mới Tốt Nghiệp</t>
        </is>
      </c>
      <c r="H6023" t="inlineStr">
        <is>
          <t>02/03/2026</t>
        </is>
      </c>
      <c r="I6023" t="inlineStr">
        <is>
          <t>01/04/2026</t>
        </is>
      </c>
      <c r="J6023" t="inlineStr">
        <is>
          <t>17/03/2026</t>
        </is>
      </c>
      <c r="K6023" t="inlineStr">
        <is>
          <t>N/A</t>
        </is>
      </c>
      <c r="L6023" t="inlineStr">
        <is>
          <t>Microsoft Office, communication, English, Sales Forecast, Tìm Kiếm Khách Hàng</t>
        </is>
      </c>
      <c r="M6023" t="inlineStr">
        <is>
          <t>Bonus</t>
        </is>
      </c>
      <c r="N6023" s="8">
        <f>HYPERLINK("https://www.vietnamworks.com/sales-staff-2016863-jv","Xem chi tiết")</f>
        <v/>
      </c>
    </row>
    <row r="6024">
      <c r="B6024" s="9" t="n">
        <v>6022</v>
      </c>
      <c r="C6024" s="10" t="inlineStr">
        <is>
          <t>Kỹ Sư Năng Lượng Tái Tạo</t>
        </is>
      </c>
      <c r="D6024" s="10" t="inlineStr">
        <is>
          <t>Green i-Park</t>
        </is>
      </c>
      <c r="E6024" s="10" t="inlineStr">
        <is>
          <t>Thương lượng</t>
        </is>
      </c>
      <c r="F6024" s="10" t="inlineStr">
        <is>
          <t>Hà Nội</t>
        </is>
      </c>
      <c r="G6024" s="10" t="inlineStr">
        <is>
          <t>Mới Tốt Nghiệp</t>
        </is>
      </c>
      <c r="H6024" s="10" t="inlineStr">
        <is>
          <t>02/03/2026</t>
        </is>
      </c>
      <c r="I6024" s="10" t="inlineStr">
        <is>
          <t>01/04/2026</t>
        </is>
      </c>
      <c r="J6024" s="10" t="inlineStr">
        <is>
          <t>17/03/2026</t>
        </is>
      </c>
      <c r="K6024" s="10" t="inlineStr">
        <is>
          <t>N/A</t>
        </is>
      </c>
      <c r="L6024" s="10" t="inlineStr">
        <is>
          <t>Kỹ Thuật Xây Dựng, Kỹ Thuật Điện, Phân Tích Đầu Tư, Nghiên Cứu Năng Lượng Tái Tạo, Phát Triển Dự Án</t>
        </is>
      </c>
      <c r="M6024" s="10" t="inlineStr">
        <is>
          <t>Bonus, Healthcare Plan, Paid Leave, Training, Travel Opportunities, Others</t>
        </is>
      </c>
      <c r="N6024" s="11">
        <f>HYPERLINK("https://www.vietnamworks.com/ky-su-nang-luong-tai-tao-2016852-jv","Xem chi tiết")</f>
        <v/>
      </c>
      <c r="O6024" s="10" t="n"/>
    </row>
    <row r="6025">
      <c r="B6025" s="7" t="n">
        <v>6023</v>
      </c>
      <c r="C6025" t="inlineStr">
        <is>
          <t>Chuyên Viên Digital Marketing (Ngành Sản Xuất và Thương Mại Nhựa)</t>
        </is>
      </c>
      <c r="D6025" t="inlineStr">
        <is>
          <t>Công ty Cổ phần Nhựa Sinh thái Việt Nam</t>
        </is>
      </c>
      <c r="E6025" t="inlineStr">
        <is>
          <t>12tr-20tr ₫/tháng</t>
        </is>
      </c>
      <c r="F6025" t="inlineStr">
        <is>
          <t>Hà Nội, Hưng Yên</t>
        </is>
      </c>
      <c r="G6025" t="inlineStr">
        <is>
          <t>Nhân viên</t>
        </is>
      </c>
      <c r="H6025" t="inlineStr">
        <is>
          <t>02/03/2026</t>
        </is>
      </c>
      <c r="I6025" t="inlineStr">
        <is>
          <t>01/04/2026</t>
        </is>
      </c>
      <c r="J6025" t="inlineStr">
        <is>
          <t>17/03/2026</t>
        </is>
      </c>
      <c r="K6025" t="inlineStr">
        <is>
          <t>N/A</t>
        </is>
      </c>
      <c r="L6025" t="inlineStr">
        <is>
          <t>Digital Marketing, B2B Marketing, Google Ads, Content Creation, Data Analysis</t>
        </is>
      </c>
      <c r="M6025" t="inlineStr">
        <is>
          <t>Training, Others</t>
        </is>
      </c>
      <c r="N6025" s="8">
        <f>HYPERLINK("https://www.vietnamworks.com/chuyen-vien-digital-marketing-nganh-san-xuat-va-thuong-mai-nhua-2016861-jv","Xem chi tiết")</f>
        <v/>
      </c>
    </row>
    <row r="6026">
      <c r="B6026" s="9" t="n">
        <v>6024</v>
      </c>
      <c r="C6026" s="10" t="inlineStr">
        <is>
          <t>Chuyên Viên Phát Triển Phần Mềm (Mobile - Flutter)</t>
        </is>
      </c>
      <c r="D6026" s="10" t="inlineStr">
        <is>
          <t>Công Ty Cổ Phần Chứng Khoán SSI</t>
        </is>
      </c>
      <c r="E6026" s="10" t="inlineStr">
        <is>
          <t>Thương lượng</t>
        </is>
      </c>
      <c r="F6026" s="10" t="inlineStr">
        <is>
          <t>Hà Nội</t>
        </is>
      </c>
      <c r="G6026" s="10" t="inlineStr">
        <is>
          <t>Nhân viên</t>
        </is>
      </c>
      <c r="H6026" s="10" t="inlineStr">
        <is>
          <t>02/03/2026</t>
        </is>
      </c>
      <c r="I6026" s="10" t="inlineStr">
        <is>
          <t>01/04/2026</t>
        </is>
      </c>
      <c r="J6026" s="10" t="inlineStr">
        <is>
          <t>17/03/2026</t>
        </is>
      </c>
      <c r="K6026" s="10" t="inlineStr">
        <is>
          <t>N/A</t>
        </is>
      </c>
      <c r="L6026" s="10" t="inlineStr">
        <is>
          <t>Mobile App Development, Flutter, Dart, iOS Development, Android</t>
        </is>
      </c>
      <c r="M6026" s="10" t="inlineStr">
        <is>
          <t>Bonus, Training, Others</t>
        </is>
      </c>
      <c r="N6026" s="11">
        <f>HYPERLINK("https://www.vietnamworks.com/chuyen-vien-phat-trien-phan-mem-mobile-flutter-2016854-jv","Xem chi tiết")</f>
        <v/>
      </c>
      <c r="O6026" s="10" t="n"/>
    </row>
    <row r="6027">
      <c r="B6027" s="7" t="n">
        <v>6025</v>
      </c>
      <c r="C6027" t="inlineStr">
        <is>
          <t>Sales Management Assistant</t>
        </is>
      </c>
      <c r="D6027" t="inlineStr">
        <is>
          <t>Lotte Mall West Lake Hanoi</t>
        </is>
      </c>
      <c r="E6027" t="inlineStr">
        <is>
          <t>Thương lượng</t>
        </is>
      </c>
      <c r="F6027" t="inlineStr">
        <is>
          <t>Hà Nội</t>
        </is>
      </c>
      <c r="G6027" t="inlineStr">
        <is>
          <t>Nhân viên</t>
        </is>
      </c>
      <c r="H6027" t="inlineStr">
        <is>
          <t>02/03/2026</t>
        </is>
      </c>
      <c r="I6027" t="inlineStr">
        <is>
          <t>01/04/2026</t>
        </is>
      </c>
      <c r="J6027" t="inlineStr">
        <is>
          <t>17/03/2026</t>
        </is>
      </c>
      <c r="K6027" t="inlineStr">
        <is>
          <t>N/A</t>
        </is>
      </c>
      <c r="L6027" t="inlineStr">
        <is>
          <t>Store Management, Store Leasing, Retail Store Operations, Retail Sales, Event Marketing</t>
        </is>
      </c>
      <c r="M6027" t="inlineStr">
        <is>
          <t>Bonus, Healthcare Plan, Paid Leave</t>
        </is>
      </c>
      <c r="N6027" s="8">
        <f>HYPERLINK("https://www.vietnamworks.com/sales-management-assistant--2016858-jv","Xem chi tiết")</f>
        <v/>
      </c>
    </row>
    <row r="6028">
      <c r="B6028" s="9" t="n">
        <v>6026</v>
      </c>
      <c r="C6028" s="10" t="inlineStr">
        <is>
          <t>Sales Manager (B2B – Wholesale Bakery)</t>
        </is>
      </c>
      <c r="D6028" s="10" t="inlineStr">
        <is>
          <t>Công Ty TNHH MTV C'est Bon Bakery</t>
        </is>
      </c>
      <c r="E6028" s="10" t="inlineStr">
        <is>
          <t>Thương lượng</t>
        </is>
      </c>
      <c r="F6028" s="10" t="inlineStr">
        <is>
          <t>Hà Nội, Hồ Chí Minh</t>
        </is>
      </c>
      <c r="G6028" s="10" t="inlineStr">
        <is>
          <t>Trưởng phòng</t>
        </is>
      </c>
      <c r="H6028" s="10" t="inlineStr">
        <is>
          <t>02/03/2026</t>
        </is>
      </c>
      <c r="I6028" s="10" t="inlineStr">
        <is>
          <t>01/04/2026</t>
        </is>
      </c>
      <c r="J6028" s="10" t="inlineStr">
        <is>
          <t>17/03/2026</t>
        </is>
      </c>
      <c r="K6028" s="10" t="inlineStr">
        <is>
          <t>N/A</t>
        </is>
      </c>
      <c r="L6028" s="10" t="inlineStr">
        <is>
          <t>F&amp;B Concept, Kinh Doanh B2B, Negotiation, Phát Triển Khách Hàng, Relationship Building</t>
        </is>
      </c>
      <c r="M6028" s="10" t="inlineStr">
        <is>
          <t>Bonus</t>
        </is>
      </c>
      <c r="N6028" s="11">
        <f>HYPERLINK("https://www.vietnamworks.com/sales-manager-b2b-wholesale-bakery-2016857-jv","Xem chi tiết")</f>
        <v/>
      </c>
      <c r="O6028" s="10" t="n"/>
    </row>
    <row r="6029">
      <c r="B6029" s="7" t="n">
        <v>6027</v>
      </c>
      <c r="C6029" t="inlineStr">
        <is>
          <t>Accounting Staff</t>
        </is>
      </c>
      <c r="D6029" t="inlineStr">
        <is>
          <t>GOKO SPRING VIET NAM Co.,Ltd</t>
        </is>
      </c>
      <c r="E6029" t="inlineStr">
        <is>
          <t>Thương lượng</t>
        </is>
      </c>
      <c r="F6029" t="inlineStr">
        <is>
          <t>Hà Nội</t>
        </is>
      </c>
      <c r="G6029" t="inlineStr">
        <is>
          <t>Mới Tốt Nghiệp</t>
        </is>
      </c>
      <c r="H6029" t="inlineStr">
        <is>
          <t>02/03/2026</t>
        </is>
      </c>
      <c r="I6029" t="inlineStr">
        <is>
          <t>01/04/2026</t>
        </is>
      </c>
      <c r="J6029" t="inlineStr">
        <is>
          <t>17/03/2026</t>
        </is>
      </c>
      <c r="K6029" t="inlineStr">
        <is>
          <t>N/A</t>
        </is>
      </c>
      <c r="L6029" t="inlineStr">
        <is>
          <t>Account Receivable, Accounting, English, Finance, TAX</t>
        </is>
      </c>
      <c r="M6029" t="inlineStr">
        <is>
          <t>Bonus</t>
        </is>
      </c>
      <c r="N6029" s="8">
        <f>HYPERLINK("https://www.vietnamworks.com/accounting-staff-2016871-jv","Xem chi tiết")</f>
        <v/>
      </c>
    </row>
    <row r="6030">
      <c r="B6030" s="9" t="n">
        <v>6028</v>
      </c>
      <c r="C6030" s="10" t="inlineStr">
        <is>
          <t>Chuyên Viên Biên Dịch Anh - Việt</t>
        </is>
      </c>
      <c r="D6030" s="10" t="inlineStr">
        <is>
          <t>CÔNG TY TNHH TƯ VẤN LUẬT SỞ HỮU TRÍ TUỆ WINTER</t>
        </is>
      </c>
      <c r="E6030" s="10" t="inlineStr">
        <is>
          <t>Thương lượng</t>
        </is>
      </c>
      <c r="F6030" s="10" t="inlineStr">
        <is>
          <t>Hà Nội</t>
        </is>
      </c>
      <c r="G6030" s="10" t="inlineStr">
        <is>
          <t>Nhân viên</t>
        </is>
      </c>
      <c r="H6030" s="10" t="inlineStr">
        <is>
          <t>02/03/2026</t>
        </is>
      </c>
      <c r="I6030" s="10" t="inlineStr">
        <is>
          <t>01/04/2026</t>
        </is>
      </c>
      <c r="J6030" s="10" t="inlineStr">
        <is>
          <t>17/03/2026</t>
        </is>
      </c>
      <c r="K6030" s="10" t="inlineStr">
        <is>
          <t>N/A</t>
        </is>
      </c>
      <c r="L6030" s="10" t="inlineStr">
        <is>
          <t>Dịch Thuật, Phần Mềm Diễn Họa, Biên Dịch, Indesign, Tiếng Anh</t>
        </is>
      </c>
      <c r="M6030" s="10" t="inlineStr">
        <is>
          <t>Bonus, Healthcare Plan, Paid Leave, Others</t>
        </is>
      </c>
      <c r="N6030" s="11">
        <f>HYPERLINK("https://www.vietnamworks.com/chuyen-vien-bien-dich-anh-viet-2016853-jv","Xem chi tiết")</f>
        <v/>
      </c>
      <c r="O6030" s="10" t="n"/>
    </row>
    <row r="6031">
      <c r="B6031" s="7" t="n">
        <v>6029</v>
      </c>
      <c r="C6031" t="inlineStr">
        <is>
          <t>Sales Support Engineer (Vietnam Market)</t>
        </is>
      </c>
      <c r="D6031" t="inlineStr">
        <is>
          <t>Pebsteel Buildings Co., Ltd.</t>
        </is>
      </c>
      <c r="E6031" t="inlineStr">
        <is>
          <t>Thương lượng</t>
        </is>
      </c>
      <c r="F6031" t="inlineStr">
        <is>
          <t>Hồ Chí Minh</t>
        </is>
      </c>
      <c r="G6031" t="inlineStr">
        <is>
          <t>Mới Tốt Nghiệp</t>
        </is>
      </c>
      <c r="H6031" t="inlineStr">
        <is>
          <t>02/03/2026</t>
        </is>
      </c>
      <c r="I6031" t="inlineStr">
        <is>
          <t>01/04/2026</t>
        </is>
      </c>
      <c r="J6031" t="inlineStr">
        <is>
          <t>17/03/2026</t>
        </is>
      </c>
      <c r="K6031" t="inlineStr">
        <is>
          <t>N/A</t>
        </is>
      </c>
      <c r="L6031" t="inlineStr">
        <is>
          <t>AutoCAD Pro, Communication Skills, IT Knowledge, Material Take Off (Mto), Microsoft Office</t>
        </is>
      </c>
      <c r="M6031" t="inlineStr">
        <is>
          <t>Bonus, Healthcare Plan, Team Activities</t>
        </is>
      </c>
      <c r="N6031" s="8">
        <f>HYPERLINK("https://www.vietnamworks.com/sales-support-engineer-vietnam-market-2016860-jv","Xem chi tiết")</f>
        <v/>
      </c>
    </row>
    <row r="6032">
      <c r="B6032" s="9" t="n">
        <v>6030</v>
      </c>
      <c r="C6032" s="10" t="inlineStr">
        <is>
          <t>Trình Dược Viên Kênh Bệnh Viện (ETC) - Ngành Hàng Dinh Dưỡng - Khu Vực Cần Thơ/ Long An/ Bến Tre</t>
        </is>
      </c>
      <c r="D6032" s="10" t="inlineStr">
        <is>
          <t>Abbott</t>
        </is>
      </c>
      <c r="E6032" s="10" t="inlineStr">
        <is>
          <t>Thương lượng</t>
        </is>
      </c>
      <c r="F6032" s="10" t="inlineStr">
        <is>
          <t>Cần Thơ</t>
        </is>
      </c>
      <c r="G6032" s="10" t="inlineStr">
        <is>
          <t>Nhân viên</t>
        </is>
      </c>
      <c r="H6032" s="10" t="inlineStr">
        <is>
          <t>02/03/2026</t>
        </is>
      </c>
      <c r="I6032" s="10" t="inlineStr">
        <is>
          <t>01/04/2026</t>
        </is>
      </c>
      <c r="J6032" s="10" t="inlineStr">
        <is>
          <t>17/03/2026</t>
        </is>
      </c>
      <c r="K6032" s="10" t="inlineStr">
        <is>
          <t>N/A</t>
        </is>
      </c>
      <c r="L6032" s="10" t="inlineStr">
        <is>
          <t>Sales, Tư vấn dinh dưỡng, Trình dược viên ETC, Kinh Doanh, Giao Tiếp</t>
        </is>
      </c>
      <c r="M6032" s="10" t="inlineStr">
        <is>
          <t>Bonus, Healthcare Plan, Training</t>
        </is>
      </c>
      <c r="N6032" s="11">
        <f>HYPERLINK("https://www.vietnamworks.com/trinh-duoc-vien-kenh-benh-vien-etc-nganh-hang-dinh-duong-khu-vuc-can-tho-long-an-ben-tre--2016856-jv","Xem chi tiết")</f>
        <v/>
      </c>
      <c r="O6032" s="10" t="n"/>
    </row>
    <row r="6033">
      <c r="B6033" s="7" t="n">
        <v>6031</v>
      </c>
      <c r="C6033" t="inlineStr">
        <is>
          <t>Nhân Viên SALES Quốc Tế - Thu nhập lên tới 30 triệu/tháng</t>
        </is>
      </c>
      <c r="D6033" t="inlineStr">
        <is>
          <t>Công ty Cổ phần Nhựa Sinh thái Việt Nam</t>
        </is>
      </c>
      <c r="E6033" t="inlineStr">
        <is>
          <t>Tới 30tr ₫/tháng</t>
        </is>
      </c>
      <c r="F6033" t="inlineStr">
        <is>
          <t>Hà Nội, Hưng Yên</t>
        </is>
      </c>
      <c r="G6033" t="inlineStr">
        <is>
          <t>Nhân viên</t>
        </is>
      </c>
      <c r="H6033" t="inlineStr">
        <is>
          <t>02/03/2026</t>
        </is>
      </c>
      <c r="I6033" t="inlineStr">
        <is>
          <t>01/04/2026</t>
        </is>
      </c>
      <c r="J6033" t="inlineStr">
        <is>
          <t>17/03/2026</t>
        </is>
      </c>
      <c r="K6033" t="inlineStr">
        <is>
          <t>N/A</t>
        </is>
      </c>
      <c r="L6033" t="inlineStr">
        <is>
          <t>Logistics, Phát Triển Khách Hàng, Bán hàng, Giao dịch thương mại quốc tế</t>
        </is>
      </c>
      <c r="M6033" t="inlineStr">
        <is>
          <t>Bonus, Healthcare Plan, Training, Others</t>
        </is>
      </c>
      <c r="N6033" s="8">
        <f>HYPERLINK("https://www.vietnamworks.com/nhan-vien-sales-quoc-te-thu-nhap-len-toi-30-trieuthang-2016848-jv","Xem chi tiết")</f>
        <v/>
      </c>
    </row>
    <row r="6034">
      <c r="B6034" s="9" t="n">
        <v>6032</v>
      </c>
      <c r="C6034" s="10" t="inlineStr">
        <is>
          <t>Trưởng Phòng Kỹ Thuật (Điện/ Kỹ Thuật Điện)</t>
        </is>
      </c>
      <c r="D6034" s="10" t="inlineStr">
        <is>
          <t>Chi Nhánh Công Ty Cổ Phần Công Nghệ Thông Tin Truyền Thông Thiên Hy Long Việt Nam</t>
        </is>
      </c>
      <c r="E6034" s="10" t="inlineStr">
        <is>
          <t>Thương lượng</t>
        </is>
      </c>
      <c r="F6034" s="10" t="inlineStr">
        <is>
          <t>Hà Nội</t>
        </is>
      </c>
      <c r="G6034" s="10" t="inlineStr">
        <is>
          <t>Trưởng phòng</t>
        </is>
      </c>
      <c r="H6034" s="10" t="inlineStr">
        <is>
          <t>02/03/2026</t>
        </is>
      </c>
      <c r="I6034" s="10" t="inlineStr">
        <is>
          <t>01/04/2026</t>
        </is>
      </c>
      <c r="J6034" s="10" t="inlineStr">
        <is>
          <t>17/03/2026</t>
        </is>
      </c>
      <c r="K6034" s="10" t="inlineStr">
        <is>
          <t>N/A</t>
        </is>
      </c>
      <c r="L6034" s="10" t="inlineStr">
        <is>
          <t>Kênh Siêu Thị, Thi Công Xây Lắp, Điện, Điện Tử, Kỹ Thuật Toà Nhà</t>
        </is>
      </c>
      <c r="M6034" s="10" t="inlineStr">
        <is>
          <t>Bonus, Healthcare Plan, Paid Leave, Training, Team Activities, Transportation, Canteen, Kindergarten</t>
        </is>
      </c>
      <c r="N6034" s="11">
        <f>HYPERLINK("https://www.vietnamworks.com/truong-phong-ky-thuat-djien-ky-thuat-djien-2016867-jv","Xem chi tiết")</f>
        <v/>
      </c>
      <c r="O6034" s="10" t="n"/>
    </row>
    <row r="6035">
      <c r="B6035" s="7" t="n">
        <v>6033</v>
      </c>
      <c r="C6035" t="inlineStr">
        <is>
          <t>Nhân Viên Kinh Doanh (Sales Executive) - Biết Tiếng Hàn</t>
        </is>
      </c>
      <c r="D6035" t="inlineStr">
        <is>
          <t>CÔNG TY CỔ PHẦN S-TEC SYSTEM VINA</t>
        </is>
      </c>
      <c r="E6035" t="inlineStr">
        <is>
          <t>Thương lượng</t>
        </is>
      </c>
      <c r="F6035" t="inlineStr">
        <is>
          <t>Hà Nội</t>
        </is>
      </c>
      <c r="G6035" t="inlineStr">
        <is>
          <t>Nhân viên</t>
        </is>
      </c>
      <c r="H6035" t="inlineStr">
        <is>
          <t>02/03/2026</t>
        </is>
      </c>
      <c r="I6035" t="inlineStr">
        <is>
          <t>01/04/2026</t>
        </is>
      </c>
      <c r="J6035" t="inlineStr">
        <is>
          <t>17/03/2026</t>
        </is>
      </c>
      <c r="K6035" t="inlineStr">
        <is>
          <t>N/A</t>
        </is>
      </c>
      <c r="L6035" t="inlineStr">
        <is>
          <t>Chăm Sóc Khách Hàng, Kinh Doanh, Lập Kế Hoạch Kinh Doanh, Tiếp Thị Bán Hàng, Tư Vấn Giải Pháp</t>
        </is>
      </c>
      <c r="M6035" t="inlineStr">
        <is>
          <t>Bonus, Healthcare Plan, Laptop, Others</t>
        </is>
      </c>
      <c r="N6035" s="8">
        <f>HYPERLINK("https://www.vietnamworks.com/nhan-vien-kinh-doanh-sales-executive-biet-tieng-han-2016874-jv","Xem chi tiết")</f>
        <v/>
      </c>
    </row>
    <row r="6036">
      <c r="B6036" s="9" t="n">
        <v>6034</v>
      </c>
      <c r="C6036" s="10" t="inlineStr">
        <is>
          <t>Chuyên Viên Mua Hàng</t>
        </is>
      </c>
      <c r="D6036" s="10" t="inlineStr">
        <is>
          <t>IWISU CORP</t>
        </is>
      </c>
      <c r="E6036" s="10" t="inlineStr">
        <is>
          <t>13tr-17tr ₫/tháng</t>
        </is>
      </c>
      <c r="F6036" s="10" t="inlineStr">
        <is>
          <t>Hồ Chí Minh</t>
        </is>
      </c>
      <c r="G6036" s="10" t="inlineStr">
        <is>
          <t>Nhân viên</t>
        </is>
      </c>
      <c r="H6036" s="10" t="inlineStr">
        <is>
          <t>02/03/2026</t>
        </is>
      </c>
      <c r="I6036" s="10" t="inlineStr">
        <is>
          <t>01/04/2026</t>
        </is>
      </c>
      <c r="J6036" s="10" t="inlineStr">
        <is>
          <t>17/03/2026</t>
        </is>
      </c>
      <c r="K6036" s="10" t="inlineStr">
        <is>
          <t>N/A</t>
        </is>
      </c>
      <c r="L6036" s="10" t="inlineStr">
        <is>
          <t>Negotiation, Communication, Problem-solving, English Language Proficiency, Purchasing</t>
        </is>
      </c>
      <c r="M6036" s="10" t="inlineStr">
        <is>
          <t>Bonus, Healthcare Plan, Paid Leave, Training, Team Activities, Others</t>
        </is>
      </c>
      <c r="N6036" s="11">
        <f>HYPERLINK("https://www.vietnamworks.com/chuyen-vien-mua-hang--2016864-jv","Xem chi tiết")</f>
        <v/>
      </c>
      <c r="O6036" s="10" t="n"/>
    </row>
    <row r="6037">
      <c r="B6037" s="7" t="n">
        <v>6035</v>
      </c>
      <c r="C6037" t="inlineStr">
        <is>
          <t>Chuyên Viên Thiết Kế Nội Thất (Senior Interior Design)</t>
        </is>
      </c>
      <c r="D6037" t="inlineStr">
        <is>
          <t>Lotte Mall West Lake Hanoi</t>
        </is>
      </c>
      <c r="E6037" t="inlineStr">
        <is>
          <t>Thương lượng</t>
        </is>
      </c>
      <c r="F6037" t="inlineStr">
        <is>
          <t>Hà Nội</t>
        </is>
      </c>
      <c r="G6037" t="inlineStr">
        <is>
          <t>Nhân viên</t>
        </is>
      </c>
      <c r="H6037" t="inlineStr">
        <is>
          <t>02/03/2026</t>
        </is>
      </c>
      <c r="I6037" t="inlineStr">
        <is>
          <t>01/04/2026</t>
        </is>
      </c>
      <c r="J6037" t="inlineStr">
        <is>
          <t>17/03/2026</t>
        </is>
      </c>
      <c r="K6037" t="inlineStr">
        <is>
          <t>N/A</t>
        </is>
      </c>
      <c r="L6037" t="inlineStr">
        <is>
          <t>Thiết Kế Nội Thất, AutoCAD, Interior Design, Sketchup, 3D Max</t>
        </is>
      </c>
      <c r="M6037" t="inlineStr">
        <is>
          <t>Bonus, Healthcare Plan, Paid Leave</t>
        </is>
      </c>
      <c r="N6037" s="8">
        <f>HYPERLINK("https://www.vietnamworks.com/chuyen-vien-thiet-ke-noi-that-senior-interior-design-2016869-jv","Xem chi tiết")</f>
        <v/>
      </c>
    </row>
    <row r="6038">
      <c r="B6038" s="9" t="n">
        <v>6036</v>
      </c>
      <c r="C6038" s="10" t="inlineStr">
        <is>
          <t>Sales Executive</t>
        </is>
      </c>
      <c r="D6038" s="10" t="inlineStr">
        <is>
          <t>Uniexport CO., LTD</t>
        </is>
      </c>
      <c r="E6038" s="10" t="inlineStr">
        <is>
          <t>Thương lượng</t>
        </is>
      </c>
      <c r="F6038" s="10" t="inlineStr">
        <is>
          <t>Hồ Chí Minh</t>
        </is>
      </c>
      <c r="G6038" s="10" t="inlineStr">
        <is>
          <t>Nhân viên</t>
        </is>
      </c>
      <c r="H6038" s="10" t="inlineStr">
        <is>
          <t>02/03/2026</t>
        </is>
      </c>
      <c r="I6038" s="10" t="inlineStr">
        <is>
          <t>01/04/2026</t>
        </is>
      </c>
      <c r="J6038" s="10" t="inlineStr">
        <is>
          <t>17/03/2026</t>
        </is>
      </c>
      <c r="K6038" s="10" t="inlineStr">
        <is>
          <t>N/A</t>
        </is>
      </c>
      <c r="L6038" s="10" t="inlineStr">
        <is>
          <t>Channel Relationship Management, Communication Skills, Consumer insights, Sales Reporting, Sales Strategy</t>
        </is>
      </c>
      <c r="M6038" s="10" t="inlineStr">
        <is>
          <t>Bonus, Healthcare Plan, Paid Leave, Team Activities, Others</t>
        </is>
      </c>
      <c r="N6038" s="11">
        <f>HYPERLINK("https://www.vietnamworks.com/sales-executive-2016876-jv","Xem chi tiết")</f>
        <v/>
      </c>
      <c r="O6038" s="10" t="n"/>
    </row>
    <row r="6039">
      <c r="B6039" s="7" t="n">
        <v>6037</v>
      </c>
      <c r="C6039" t="inlineStr">
        <is>
          <t>Early Year TA (Temporary)</t>
        </is>
      </c>
      <c r="D6039" t="inlineStr">
        <is>
          <t>British International School Hanoi</t>
        </is>
      </c>
      <c r="E6039" t="inlineStr">
        <is>
          <t>Thương lượng</t>
        </is>
      </c>
      <c r="F6039" t="inlineStr">
        <is>
          <t>Hà Nội</t>
        </is>
      </c>
      <c r="G6039" t="inlineStr">
        <is>
          <t>Mới Tốt Nghiệp</t>
        </is>
      </c>
      <c r="H6039" t="inlineStr">
        <is>
          <t>02/03/2026</t>
        </is>
      </c>
      <c r="I6039" t="inlineStr">
        <is>
          <t>01/04/2026</t>
        </is>
      </c>
      <c r="J6039" t="inlineStr">
        <is>
          <t>17/03/2026</t>
        </is>
      </c>
      <c r="K6039" t="inlineStr">
        <is>
          <t>N/A</t>
        </is>
      </c>
      <c r="L6039" t="inlineStr">
        <is>
          <t>Classroom Instruction, Communication Skills, Early Childhood Education\r\r, Teamwork, Time Management</t>
        </is>
      </c>
      <c r="M6039" t="inlineStr">
        <is>
          <t>Canteen</t>
        </is>
      </c>
      <c r="N6039" s="8">
        <f>HYPERLINK("https://www.vietnamworks.com/early-year-ta-temporary-2016873-jv","Xem chi tiết")</f>
        <v/>
      </c>
    </row>
    <row r="6040">
      <c r="B6040" s="9" t="n">
        <v>6038</v>
      </c>
      <c r="C6040" s="10" t="inlineStr">
        <is>
          <t>Head of OOH (Planning &amp; Buying)</t>
        </is>
      </c>
      <c r="D6040" s="10" t="inlineStr">
        <is>
          <t>Công Ty Cổ Phần DatVietVAC Group Holdings</t>
        </is>
      </c>
      <c r="E6040" s="10" t="inlineStr">
        <is>
          <t>Thương lượng</t>
        </is>
      </c>
      <c r="F6040" s="10" t="inlineStr">
        <is>
          <t>Hồ Chí Minh</t>
        </is>
      </c>
      <c r="G6040" s="10" t="inlineStr">
        <is>
          <t>Trưởng phòng</t>
        </is>
      </c>
      <c r="H6040" s="10" t="inlineStr">
        <is>
          <t>02/03/2026</t>
        </is>
      </c>
      <c r="I6040" s="10" t="inlineStr">
        <is>
          <t>01/04/2026</t>
        </is>
      </c>
      <c r="J6040" s="10" t="inlineStr">
        <is>
          <t>17/03/2026</t>
        </is>
      </c>
      <c r="K6040" s="10" t="inlineStr">
        <is>
          <t>N/A</t>
        </is>
      </c>
      <c r="L6040" s="10" t="inlineStr">
        <is>
          <t>OOH, OOH Trading, Quảng cáo OOH, Media Booking, Media Campaign</t>
        </is>
      </c>
      <c r="M6040" s="10" t="inlineStr">
        <is>
          <t>Bonus, Healthcare Plan, Paid Leave</t>
        </is>
      </c>
      <c r="N6040" s="11">
        <f>HYPERLINK("https://www.vietnamworks.com/head-of-ooh-planning-buying-2016875-jv","Xem chi tiết")</f>
        <v/>
      </c>
      <c r="O6040" s="10" t="n"/>
    </row>
    <row r="6041">
      <c r="B6041" s="7" t="n">
        <v>6039</v>
      </c>
      <c r="C6041" t="inlineStr">
        <is>
          <t>Trợ Lý Kế Hoạch</t>
        </is>
      </c>
      <c r="D6041" t="inlineStr">
        <is>
          <t>CÔNG TY CỔ PHẦN CƠ ĐIỆN TOMECO</t>
        </is>
      </c>
      <c r="E6041" t="inlineStr">
        <is>
          <t>Thương lượng</t>
        </is>
      </c>
      <c r="F6041" t="inlineStr">
        <is>
          <t>Hà Nội</t>
        </is>
      </c>
      <c r="G6041" t="inlineStr">
        <is>
          <t>Nhân viên</t>
        </is>
      </c>
      <c r="H6041" t="inlineStr">
        <is>
          <t>02/03/2026</t>
        </is>
      </c>
      <c r="I6041" t="inlineStr">
        <is>
          <t>01/04/2026</t>
        </is>
      </c>
      <c r="J6041" t="inlineStr">
        <is>
          <t>17/03/2026</t>
        </is>
      </c>
      <c r="K6041" t="inlineStr">
        <is>
          <t>N/A</t>
        </is>
      </c>
      <c r="L6041" t="inlineStr">
        <is>
          <t>ERP, Kế Hoạch Chiến Lược, Kế Hoạch Dự Án, PMO, PMO Management</t>
        </is>
      </c>
      <c r="M6041" t="inlineStr">
        <is>
          <t>Bonus, Healthcare Plan, Paid Leave, Training, Others</t>
        </is>
      </c>
      <c r="N6041" s="8">
        <f>HYPERLINK("https://www.vietnamworks.com/tro-ly-ke-hoach--2016870-jv","Xem chi tiết")</f>
        <v/>
      </c>
    </row>
    <row r="6042">
      <c r="B6042" s="9" t="n">
        <v>6040</v>
      </c>
      <c r="C6042" s="10" t="inlineStr">
        <is>
          <t>Account Executive (Activation/event)</t>
        </is>
      </c>
      <c r="D6042" s="10" t="inlineStr">
        <is>
          <t>Công Ty Cổ Phần Truyền Thông Elyx</t>
        </is>
      </c>
      <c r="E6042" s="10" t="inlineStr">
        <is>
          <t>Thương lượng</t>
        </is>
      </c>
      <c r="F6042" s="10" t="inlineStr">
        <is>
          <t>Hồ Chí Minh</t>
        </is>
      </c>
      <c r="G6042" s="10" t="inlineStr">
        <is>
          <t>Nhân viên</t>
        </is>
      </c>
      <c r="H6042" s="10" t="inlineStr">
        <is>
          <t>02/03/2026</t>
        </is>
      </c>
      <c r="I6042" s="10" t="inlineStr">
        <is>
          <t>01/04/2026</t>
        </is>
      </c>
      <c r="J6042" s="10" t="inlineStr">
        <is>
          <t>17/03/2026</t>
        </is>
      </c>
      <c r="K6042" s="10" t="inlineStr">
        <is>
          <t>N/A</t>
        </is>
      </c>
      <c r="L6042" s="10" t="inlineStr">
        <is>
          <t>Project Development, Key Account Management, Presentation Skills, Creative Planning, Client Communication</t>
        </is>
      </c>
      <c r="M6042" s="10" t="inlineStr">
        <is>
          <t>Bonus, Healthcare Plan, Travel Opportunities</t>
        </is>
      </c>
      <c r="N6042" s="11">
        <f>HYPERLINK("https://www.vietnamworks.com/account-executive-activation-event--2016868-jv","Xem chi tiết")</f>
        <v/>
      </c>
      <c r="O6042" s="10" t="n"/>
    </row>
    <row r="6043">
      <c r="B6043" s="7" t="n">
        <v>6041</v>
      </c>
      <c r="C6043" t="inlineStr">
        <is>
          <t>Nhân Viên Kế Toán Tổng Hợp</t>
        </is>
      </c>
      <c r="D6043" t="inlineStr">
        <is>
          <t>Công Ty Du Học Du Lịch TMDV Á Âu</t>
        </is>
      </c>
      <c r="E6043" t="inlineStr">
        <is>
          <t>Thương lượng</t>
        </is>
      </c>
      <c r="F6043" t="inlineStr">
        <is>
          <t>Hồ Chí Minh</t>
        </is>
      </c>
      <c r="G6043" t="inlineStr">
        <is>
          <t>Nhân viên</t>
        </is>
      </c>
      <c r="H6043" t="inlineStr">
        <is>
          <t>02/03/2026</t>
        </is>
      </c>
      <c r="I6043" t="inlineStr">
        <is>
          <t>01/04/2026</t>
        </is>
      </c>
      <c r="J6043" t="inlineStr">
        <is>
          <t>17/03/2026</t>
        </is>
      </c>
      <c r="K6043" t="inlineStr">
        <is>
          <t>N/A</t>
        </is>
      </c>
      <c r="L6043" t="inlineStr">
        <is>
          <t>General Accounting, Tax Reporting, Cost Accounting, MISA, Kế Toán Tài Chính</t>
        </is>
      </c>
      <c r="M6043" t="inlineStr">
        <is>
          <t>Bonus, Healthcare Plan, Team Activities, Others</t>
        </is>
      </c>
      <c r="N6043" s="8">
        <f>HYPERLINK("https://www.vietnamworks.com/nhan-vien-ke-toan-tong-hop-2016891-jv","Xem chi tiết")</f>
        <v/>
      </c>
    </row>
    <row r="6044">
      <c r="B6044" s="9" t="n">
        <v>6042</v>
      </c>
      <c r="C6044" s="10" t="inlineStr">
        <is>
          <t>Nhân Viên Điều Phối Dự Án (Project Coordinator) (Phát Triển và Xây Dựng Hạ Tầng Khu Công Nghiệp)</t>
        </is>
      </c>
      <c r="D6044" s="10" t="inlineStr">
        <is>
          <t>Deep C Industrial Zones</t>
        </is>
      </c>
      <c r="E6044" s="10" t="inlineStr">
        <is>
          <t>Thương lượng</t>
        </is>
      </c>
      <c r="F6044" s="10" t="inlineStr">
        <is>
          <t>Hải Phòng</t>
        </is>
      </c>
      <c r="G6044" s="10" t="inlineStr">
        <is>
          <t>Nhân viên</t>
        </is>
      </c>
      <c r="H6044" s="10" t="inlineStr">
        <is>
          <t>02/03/2026</t>
        </is>
      </c>
      <c r="I6044" s="10" t="inlineStr">
        <is>
          <t>01/04/2026</t>
        </is>
      </c>
      <c r="J6044" s="10" t="inlineStr">
        <is>
          <t>17/03/2026</t>
        </is>
      </c>
      <c r="K6044" s="10" t="inlineStr">
        <is>
          <t>N/A</t>
        </is>
      </c>
      <c r="L6044" s="10" t="inlineStr">
        <is>
          <t>Project Management, Project Coordination, Stakeholder Coordination, Project Monitoring, Infrastructure Projects</t>
        </is>
      </c>
      <c r="M6044" s="10" t="inlineStr">
        <is>
          <t>Bonus, Healthcare Plan, Paid Leave</t>
        </is>
      </c>
      <c r="N6044" s="11">
        <f>HYPERLINK("https://www.vietnamworks.com/nhan-vien-dieu-phoi-du-an-project-coordinator-phat-trien-va-xay-dung-ha-tang-khu-cong-nghiep-2016881-jv","Xem chi tiết")</f>
        <v/>
      </c>
      <c r="O6044" s="10" t="n"/>
    </row>
    <row r="6045">
      <c r="B6045" s="7" t="n">
        <v>6043</v>
      </c>
      <c r="C6045" t="inlineStr">
        <is>
          <t>Phó Tổng Giám Đốc Điều Hành – Mảng Xây Dựng &amp; Pháp Lý Dự Án</t>
        </is>
      </c>
      <c r="D6045" t="inlineStr">
        <is>
          <t>CÔNG TY TNHH THƯƠNG MẠI PHÁT TRIỂN</t>
        </is>
      </c>
      <c r="E6045" t="inlineStr">
        <is>
          <t>$$ 3,500-5,000 /tháng</t>
        </is>
      </c>
      <c r="F6045" t="inlineStr">
        <is>
          <t>Hồ Chí Minh</t>
        </is>
      </c>
      <c r="G6045" t="inlineStr">
        <is>
          <t>Giám Đốc và Cấp Cao Hơn</t>
        </is>
      </c>
      <c r="H6045" t="inlineStr">
        <is>
          <t>02/03/2026</t>
        </is>
      </c>
      <c r="I6045" t="inlineStr">
        <is>
          <t>01/04/2026</t>
        </is>
      </c>
      <c r="J6045" t="inlineStr">
        <is>
          <t>17/03/2026</t>
        </is>
      </c>
      <c r="K6045" t="inlineStr">
        <is>
          <t>N/A</t>
        </is>
      </c>
      <c r="L6045" t="inlineStr">
        <is>
          <t>Lãnh Đạo, Phân Tích Chiến Lược, Quản Trị Dự Án, Quản Trị Rủi Ro, Đàm Phán</t>
        </is>
      </c>
      <c r="M6045" t="inlineStr">
        <is>
          <t>Bonus</t>
        </is>
      </c>
      <c r="N6045" s="8">
        <f>HYPERLINK("https://www.vietnamworks.com/pho-tong-giam-djoc-djieu-hanh-mang-xay-dung-and-phap-ly-du-an-2016879-jv","Xem chi tiết")</f>
        <v/>
      </c>
    </row>
    <row r="6046">
      <c r="B6046" s="9" t="n">
        <v>6044</v>
      </c>
      <c r="C6046" s="10" t="inlineStr">
        <is>
          <t>Trưởng Phòng Kiểm Soát Tuân Thủ (Lĩnh Vực Dược Phẩm, TBYT)</t>
        </is>
      </c>
      <c r="D6046" s="10" t="inlineStr">
        <is>
          <t>Công Ty Cổ Phần Dược Phẩm Vĩnh Phúc</t>
        </is>
      </c>
      <c r="E6046" s="10" t="inlineStr">
        <is>
          <t>Thương lượng</t>
        </is>
      </c>
      <c r="F6046" s="10" t="inlineStr">
        <is>
          <t>Hà Nội</t>
        </is>
      </c>
      <c r="G6046" s="10" t="inlineStr">
        <is>
          <t>Trưởng phòng</t>
        </is>
      </c>
      <c r="H6046" s="10" t="inlineStr">
        <is>
          <t>02/03/2026</t>
        </is>
      </c>
      <c r="I6046" s="10" t="inlineStr">
        <is>
          <t>01/04/2026</t>
        </is>
      </c>
      <c r="J6046" s="10" t="inlineStr">
        <is>
          <t>17/03/2026</t>
        </is>
      </c>
      <c r="K6046" s="10" t="inlineStr">
        <is>
          <t>N/A</t>
        </is>
      </c>
      <c r="L6046" s="10" t="inlineStr">
        <is>
          <t>Nghiệm Thu Khối Lượng, Giám Sát Tồn Kho</t>
        </is>
      </c>
      <c r="M6046" s="10" t="inlineStr">
        <is>
          <t>Bonus, Healthcare Plan, Travel Opportunities</t>
        </is>
      </c>
      <c r="N6046" s="11">
        <f>HYPERLINK("https://www.vietnamworks.com/truong-phong-kiem-soat-tuan-thu-linh-vuc-duoc-pham-tbyt-2016880-jv","Xem chi tiết")</f>
        <v/>
      </c>
      <c r="O6046" s="10" t="n"/>
    </row>
    <row r="6047">
      <c r="B6047" s="7" t="n">
        <v>6045</v>
      </c>
      <c r="C6047" t="inlineStr">
        <is>
          <t>Digital Marketing</t>
        </is>
      </c>
      <c r="D6047" t="inlineStr">
        <is>
          <t>Công Ty Cổ Phần Đầu Tư Kinh Doanh Bất Động Sản Vietnam Groove</t>
        </is>
      </c>
      <c r="E6047" t="inlineStr">
        <is>
          <t>Thương lượng</t>
        </is>
      </c>
      <c r="F6047" t="inlineStr">
        <is>
          <t>Hồ Chí Minh</t>
        </is>
      </c>
      <c r="G6047" t="inlineStr">
        <is>
          <t>Nhân viên</t>
        </is>
      </c>
      <c r="H6047" t="inlineStr">
        <is>
          <t>02/03/2026</t>
        </is>
      </c>
      <c r="I6047" t="inlineStr">
        <is>
          <t>01/04/2026</t>
        </is>
      </c>
      <c r="J6047" t="inlineStr">
        <is>
          <t>17/03/2026</t>
        </is>
      </c>
      <c r="K6047" t="inlineStr">
        <is>
          <t>N/A</t>
        </is>
      </c>
      <c r="L6047" t="inlineStr">
        <is>
          <t>SEO, Digital Marketing, Truyền Thông, Performance Marketing, Google Analytics</t>
        </is>
      </c>
      <c r="M6047" t="inlineStr">
        <is>
          <t>Bonus, Healthcare Plan, Travel Opportunities</t>
        </is>
      </c>
      <c r="N6047" s="8">
        <f>HYPERLINK("https://www.vietnamworks.com/digital-marketing--2016886-jv","Xem chi tiết")</f>
        <v/>
      </c>
    </row>
    <row r="6048">
      <c r="B6048" s="9" t="n">
        <v>6046</v>
      </c>
      <c r="C6048" s="10" t="inlineStr">
        <is>
          <t>Kỹ Sư Dịch Vụ Kỹ Thuật</t>
        </is>
      </c>
      <c r="D6048" s="10" t="inlineStr">
        <is>
          <t>Công Ty TNHH Sơn Kansai Việt Nam</t>
        </is>
      </c>
      <c r="E6048" s="10" t="inlineStr">
        <is>
          <t>13tr-17tr ₫/tháng</t>
        </is>
      </c>
      <c r="F6048" s="10" t="inlineStr">
        <is>
          <t>Hưng Yên, Hà Nội, Bắc Ninh</t>
        </is>
      </c>
      <c r="G6048" s="10" t="inlineStr">
        <is>
          <t>Nhân viên</t>
        </is>
      </c>
      <c r="H6048" s="10" t="inlineStr">
        <is>
          <t>02/03/2026</t>
        </is>
      </c>
      <c r="I6048" s="10" t="inlineStr">
        <is>
          <t>01/04/2026</t>
        </is>
      </c>
      <c r="J6048" s="10" t="inlineStr">
        <is>
          <t>17/03/2026</t>
        </is>
      </c>
      <c r="K6048" s="10" t="inlineStr">
        <is>
          <t>N/A</t>
        </is>
      </c>
      <c r="L6048" s="10" t="inlineStr">
        <is>
          <t>Hóa Học, Nguyên Vật Liệu, Xử Lý Tình Huống</t>
        </is>
      </c>
      <c r="M6048" s="10" t="inlineStr">
        <is>
          <t>Paid Leave, Training, Others</t>
        </is>
      </c>
      <c r="N6048" s="11">
        <f>HYPERLINK("https://www.vietnamworks.com/ky-su-dich-vu-ky-thuat--2016877-jv","Xem chi tiết")</f>
        <v/>
      </c>
      <c r="O6048" s="10" t="n"/>
    </row>
    <row r="6049">
      <c r="B6049" s="7" t="n">
        <v>6047</v>
      </c>
      <c r="C6049" t="inlineStr">
        <is>
          <t>Product Design Trainee</t>
        </is>
      </c>
      <c r="D6049" t="inlineStr">
        <is>
          <t>Công Ty TNHH Mattel Việt Nam</t>
        </is>
      </c>
      <c r="E6049" t="inlineStr">
        <is>
          <t>Thương lượng</t>
        </is>
      </c>
      <c r="F6049" t="inlineStr">
        <is>
          <t>Hải Phòng</t>
        </is>
      </c>
      <c r="G6049" t="inlineStr">
        <is>
          <t>Mới Tốt Nghiệp</t>
        </is>
      </c>
      <c r="H6049" t="inlineStr">
        <is>
          <t>02/03/2026</t>
        </is>
      </c>
      <c r="I6049" t="inlineStr">
        <is>
          <t>01/04/2026</t>
        </is>
      </c>
      <c r="J6049" t="inlineStr">
        <is>
          <t>17/03/2026</t>
        </is>
      </c>
      <c r="K6049" t="inlineStr">
        <is>
          <t>N/A</t>
        </is>
      </c>
      <c r="L6049" t="inlineStr">
        <is>
          <t>illustrator, Industrial Design, Product Design, Sketching, Toy Design</t>
        </is>
      </c>
      <c r="M6049" t="inlineStr">
        <is>
          <t>Bonus</t>
        </is>
      </c>
      <c r="N6049" s="8">
        <f>HYPERLINK("https://www.vietnamworks.com/product-design-trainee-2016896-jv","Xem chi tiết")</f>
        <v/>
      </c>
    </row>
    <row r="6050">
      <c r="B6050" s="9" t="n">
        <v>6048</v>
      </c>
      <c r="C6050" s="10" t="inlineStr">
        <is>
          <t>Social Media Marketing</t>
        </is>
      </c>
      <c r="D6050" s="10" t="inlineStr">
        <is>
          <t>Công Ty Cổ Phần Đầu Tư Kinh Doanh Bất Động Sản Vietnam Groove</t>
        </is>
      </c>
      <c r="E6050" s="10" t="inlineStr">
        <is>
          <t>Thương lượng</t>
        </is>
      </c>
      <c r="F6050" s="10" t="inlineStr">
        <is>
          <t>Hồ Chí Minh</t>
        </is>
      </c>
      <c r="G6050" s="10" t="inlineStr">
        <is>
          <t>Nhân viên</t>
        </is>
      </c>
      <c r="H6050" s="10" t="inlineStr">
        <is>
          <t>02/03/2026</t>
        </is>
      </c>
      <c r="I6050" s="10" t="inlineStr">
        <is>
          <t>01/04/2026</t>
        </is>
      </c>
      <c r="J6050" s="10" t="inlineStr">
        <is>
          <t>17/03/2026</t>
        </is>
      </c>
      <c r="K6050" s="10" t="inlineStr">
        <is>
          <t>N/A</t>
        </is>
      </c>
      <c r="L6050" s="10" t="inlineStr">
        <is>
          <t>Social Media Marketing, Fanpage Administration, Truyền Thông, quảng bá, Content Development</t>
        </is>
      </c>
      <c r="M6050" s="10" t="inlineStr">
        <is>
          <t>Bonus, Healthcare Plan, Travel Opportunities</t>
        </is>
      </c>
      <c r="N6050" s="11">
        <f>HYPERLINK("https://www.vietnamworks.com/social-media-marketing--2016887-jv","Xem chi tiết")</f>
        <v/>
      </c>
      <c r="O6050" s="10" t="n"/>
    </row>
    <row r="6051">
      <c r="B6051" s="7" t="n">
        <v>6049</v>
      </c>
      <c r="C6051" t="inlineStr">
        <is>
          <t>Production Manager</t>
        </is>
      </c>
      <c r="D6051" t="inlineStr">
        <is>
          <t>Vietnamworks' Client</t>
        </is>
      </c>
      <c r="E6051" t="inlineStr">
        <is>
          <t>Thương lượng</t>
        </is>
      </c>
      <c r="F6051" t="inlineStr">
        <is>
          <t>Long An</t>
        </is>
      </c>
      <c r="G6051" t="inlineStr">
        <is>
          <t>Trưởng phòng</t>
        </is>
      </c>
      <c r="H6051" t="inlineStr">
        <is>
          <t>02/03/2026</t>
        </is>
      </c>
      <c r="I6051" t="inlineStr">
        <is>
          <t>01/04/2026</t>
        </is>
      </c>
      <c r="J6051" t="inlineStr">
        <is>
          <t>17/03/2026</t>
        </is>
      </c>
      <c r="K6051" t="inlineStr">
        <is>
          <t>N/A</t>
        </is>
      </c>
      <c r="L6051" t="inlineStr">
        <is>
          <t>Production Management, Production Planning, Quality Control, Quản Lý Sản Xuất, Process Manufacturing</t>
        </is>
      </c>
      <c r="M6051" t="inlineStr">
        <is>
          <t>Bonus</t>
        </is>
      </c>
      <c r="N6051" s="8">
        <f>HYPERLINK("https://www.vietnamworks.com/production-manager-2016897-jv","Xem chi tiết")</f>
        <v/>
      </c>
    </row>
    <row r="6052">
      <c r="B6052" s="9" t="n">
        <v>6050</v>
      </c>
      <c r="C6052" s="10" t="inlineStr">
        <is>
          <t>Graphic Design Trainee</t>
        </is>
      </c>
      <c r="D6052" s="10" t="inlineStr">
        <is>
          <t>Công Ty TNHH Mattel Việt Nam</t>
        </is>
      </c>
      <c r="E6052" s="10" t="inlineStr">
        <is>
          <t>Thương lượng</t>
        </is>
      </c>
      <c r="F6052" s="10" t="inlineStr">
        <is>
          <t>Hải Phòng</t>
        </is>
      </c>
      <c r="G6052" s="10" t="inlineStr">
        <is>
          <t>Mới Tốt Nghiệp</t>
        </is>
      </c>
      <c r="H6052" s="10" t="inlineStr">
        <is>
          <t>02/03/2026</t>
        </is>
      </c>
      <c r="I6052" s="10" t="inlineStr">
        <is>
          <t>01/04/2026</t>
        </is>
      </c>
      <c r="J6052" s="10" t="inlineStr">
        <is>
          <t>17/03/2026</t>
        </is>
      </c>
      <c r="K6052" s="10" t="inlineStr">
        <is>
          <t>N/A</t>
        </is>
      </c>
      <c r="L6052" s="10" t="inlineStr">
        <is>
          <t>Graphic Design, Visual Communication, illustrator, Packaging Design, Photoshop</t>
        </is>
      </c>
      <c r="M6052" s="10" t="inlineStr">
        <is>
          <t>Bonus</t>
        </is>
      </c>
      <c r="N6052" s="11">
        <f>HYPERLINK("https://www.vietnamworks.com/graphic-design-trainee-2016899-jv","Xem chi tiết")</f>
        <v/>
      </c>
      <c r="O6052" s="10" t="n"/>
    </row>
    <row r="6053">
      <c r="B6053" s="7" t="n">
        <v>6051</v>
      </c>
      <c r="C6053" t="inlineStr">
        <is>
          <t>Trưởng Bộ Phận Phát Triển Thị Trường Du Học</t>
        </is>
      </c>
      <c r="D6053" t="inlineStr">
        <is>
          <t>Công Ty Du Học Du Lịch TMDV Á Âu</t>
        </is>
      </c>
      <c r="E6053" t="inlineStr">
        <is>
          <t>Thương lượng</t>
        </is>
      </c>
      <c r="F6053" t="inlineStr">
        <is>
          <t>Hồ Chí Minh</t>
        </is>
      </c>
      <c r="G6053" t="inlineStr">
        <is>
          <t>Nhân viên</t>
        </is>
      </c>
      <c r="H6053" t="inlineStr">
        <is>
          <t>02/03/2026</t>
        </is>
      </c>
      <c r="I6053" t="inlineStr">
        <is>
          <t>01/04/2026</t>
        </is>
      </c>
      <c r="J6053" t="inlineStr">
        <is>
          <t>17/03/2026</t>
        </is>
      </c>
      <c r="K6053" t="inlineStr">
        <is>
          <t>N/A</t>
        </is>
      </c>
      <c r="L6053" t="inlineStr">
        <is>
          <t>Tư Vấn Du Học, Kinh doanh &amp; Phát triển khách hàng, Giáo Dục Quốc Tế, Bussiness Development, Quản Trị Kinh Doanh</t>
        </is>
      </c>
      <c r="M6053" t="inlineStr">
        <is>
          <t>Bonus, Team Activities</t>
        </is>
      </c>
      <c r="N6053" s="8">
        <f>HYPERLINK("https://www.vietnamworks.com/truong-bo-phan-phat-trien-thi-truong-du-hoc-2016900-jv","Xem chi tiết")</f>
        <v/>
      </c>
    </row>
    <row r="6054">
      <c r="B6054" s="9" t="n">
        <v>6052</v>
      </c>
      <c r="C6054" s="10" t="inlineStr">
        <is>
          <t>Air Documentation Staff</t>
        </is>
      </c>
      <c r="D6054" s="10" t="inlineStr">
        <is>
          <t>Công Ty TNHH Kintetsu World Express Việt Nam</t>
        </is>
      </c>
      <c r="E6054" s="10" t="inlineStr">
        <is>
          <t>Thương lượng</t>
        </is>
      </c>
      <c r="F6054" s="10" t="inlineStr">
        <is>
          <t>Hà Nội</t>
        </is>
      </c>
      <c r="G6054" s="10" t="inlineStr">
        <is>
          <t>Nhân viên</t>
        </is>
      </c>
      <c r="H6054" s="10" t="inlineStr">
        <is>
          <t>02/03/2026</t>
        </is>
      </c>
      <c r="I6054" s="10" t="inlineStr">
        <is>
          <t>01/04/2026</t>
        </is>
      </c>
      <c r="J6054" s="10" t="inlineStr">
        <is>
          <t>17/03/2026</t>
        </is>
      </c>
      <c r="K6054" s="10" t="inlineStr">
        <is>
          <t>N/A</t>
        </is>
      </c>
      <c r="L6054" s="10" t="inlineStr">
        <is>
          <t>Air Freight Operations, Airfreight Experience, Chứng từ, Documentation Handling, Forwarding</t>
        </is>
      </c>
      <c r="M6054" s="10" t="inlineStr">
        <is>
          <t>Bonus, Healthcare Plan, Others</t>
        </is>
      </c>
      <c r="N6054" s="11">
        <f>HYPERLINK("https://www.vietnamworks.com/air-documentation-staff-2016895-jv","Xem chi tiết")</f>
        <v/>
      </c>
      <c r="O6054" s="10" t="n"/>
    </row>
    <row r="6055">
      <c r="B6055" s="7" t="n">
        <v>6053</v>
      </c>
      <c r="C6055" t="inlineStr">
        <is>
          <t>Sales Manager (Ooh/dooh)</t>
        </is>
      </c>
      <c r="D6055" t="inlineStr">
        <is>
          <t>Công Ty Cổ Phần DatVietVAC Group Holdings</t>
        </is>
      </c>
      <c r="E6055" t="inlineStr">
        <is>
          <t>Thương lượng</t>
        </is>
      </c>
      <c r="F6055" t="inlineStr">
        <is>
          <t>Hồ Chí Minh</t>
        </is>
      </c>
      <c r="G6055" t="inlineStr">
        <is>
          <t>Trưởng phòng</t>
        </is>
      </c>
      <c r="H6055" t="inlineStr">
        <is>
          <t>02/03/2026</t>
        </is>
      </c>
      <c r="I6055" t="inlineStr">
        <is>
          <t>01/04/2026</t>
        </is>
      </c>
      <c r="J6055" t="inlineStr">
        <is>
          <t>17/03/2026</t>
        </is>
      </c>
      <c r="K6055" t="inlineStr">
        <is>
          <t>N/A</t>
        </is>
      </c>
      <c r="L6055" t="inlineStr">
        <is>
          <t>Sales manager, Account Management, Business Development, OOH Trading, OOH</t>
        </is>
      </c>
      <c r="M6055" t="inlineStr">
        <is>
          <t>Bonus, Healthcare Plan, Paid Leave</t>
        </is>
      </c>
      <c r="N6055" s="8">
        <f>HYPERLINK("https://www.vietnamworks.com/sales-manager-ooh-dooh-2016892-jv","Xem chi tiết")</f>
        <v/>
      </c>
    </row>
    <row r="6056">
      <c r="B6056" s="9" t="n">
        <v>6054</v>
      </c>
      <c r="C6056" s="10" t="inlineStr">
        <is>
          <t>Account Manager (Kols/kocs/influencers)</t>
        </is>
      </c>
      <c r="D6056" s="10" t="inlineStr">
        <is>
          <t>Công Ty Cổ Phần DatVietVAC Group Holdings</t>
        </is>
      </c>
      <c r="E6056" s="10" t="inlineStr">
        <is>
          <t>Thương lượng</t>
        </is>
      </c>
      <c r="F6056" s="10" t="inlineStr">
        <is>
          <t>Hồ Chí Minh</t>
        </is>
      </c>
      <c r="G6056" s="10" t="inlineStr">
        <is>
          <t>Trưởng phòng</t>
        </is>
      </c>
      <c r="H6056" s="10" t="inlineStr">
        <is>
          <t>02/03/2026</t>
        </is>
      </c>
      <c r="I6056" s="10" t="inlineStr">
        <is>
          <t>01/04/2026</t>
        </is>
      </c>
      <c r="J6056" s="10" t="inlineStr">
        <is>
          <t>17/03/2026</t>
        </is>
      </c>
      <c r="K6056" s="10" t="inlineStr">
        <is>
          <t>N/A</t>
        </is>
      </c>
      <c r="L6056" s="10" t="inlineStr">
        <is>
          <t>Influencer Management, Influencer Outreach, Influencer Marketing, Influencer &amp; KOL Management, Influencer Engagement</t>
        </is>
      </c>
      <c r="M6056" s="10" t="inlineStr">
        <is>
          <t>Bonus, Healthcare Plan, Paid Leave</t>
        </is>
      </c>
      <c r="N6056" s="11">
        <f>HYPERLINK("https://www.vietnamworks.com/account-manager-kols-kocs-influencers-2016884-jv","Xem chi tiết")</f>
        <v/>
      </c>
      <c r="O6056" s="10" t="n"/>
    </row>
    <row r="6057">
      <c r="B6057" s="7" t="n">
        <v>6055</v>
      </c>
      <c r="C6057" t="inlineStr">
        <is>
          <t>MEP Quantity Surveyor</t>
        </is>
      </c>
      <c r="D6057" t="inlineStr">
        <is>
          <t>Công ty TNHH Plus PM Việt Nam</t>
        </is>
      </c>
      <c r="E6057" t="inlineStr">
        <is>
          <t>$$ 1,500-2,200 /tháng</t>
        </is>
      </c>
      <c r="F6057" t="inlineStr">
        <is>
          <t>Hà Nội, Thanh Hóa</t>
        </is>
      </c>
      <c r="G6057" t="inlineStr">
        <is>
          <t>Nhân viên</t>
        </is>
      </c>
      <c r="H6057" t="inlineStr">
        <is>
          <t>02/03/2026</t>
        </is>
      </c>
      <c r="I6057" t="inlineStr">
        <is>
          <t>01/04/2026</t>
        </is>
      </c>
      <c r="J6057" t="inlineStr">
        <is>
          <t>17/03/2026</t>
        </is>
      </c>
      <c r="K6057" t="inlineStr">
        <is>
          <t>N/A</t>
        </is>
      </c>
      <c r="L6057" t="inlineStr">
        <is>
          <t>Structure, MEP, Quantity Surveying (MEP), Cost Estimation</t>
        </is>
      </c>
      <c r="M6057" t="inlineStr">
        <is>
          <t>Healthcare Plan, Paid Leave</t>
        </is>
      </c>
      <c r="N6057" s="8">
        <f>HYPERLINK("https://www.vietnamworks.com/mep-quantity-surveyor--2016889-jv","Xem chi tiết")</f>
        <v/>
      </c>
    </row>
    <row r="6058">
      <c r="B6058" s="9" t="n">
        <v>6056</v>
      </c>
      <c r="C6058" s="10" t="inlineStr">
        <is>
          <t>Kỹ Sư ME/ PE/ R&amp;D</t>
        </is>
      </c>
      <c r="D6058" s="10" t="inlineStr">
        <is>
          <t>Công Ty TNHH K&amp;p Electronics Việt Nam</t>
        </is>
      </c>
      <c r="E6058" s="10" t="inlineStr">
        <is>
          <t>9tr-15tr ₫/tháng</t>
        </is>
      </c>
      <c r="F6058" s="10" t="inlineStr">
        <is>
          <t>Hải Phòng</t>
        </is>
      </c>
      <c r="G6058" s="10" t="inlineStr">
        <is>
          <t>Nhân viên</t>
        </is>
      </c>
      <c r="H6058" s="10" t="inlineStr">
        <is>
          <t>02/03/2026</t>
        </is>
      </c>
      <c r="I6058" s="10" t="inlineStr">
        <is>
          <t>01/04/2026</t>
        </is>
      </c>
      <c r="J6058" s="10" t="inlineStr">
        <is>
          <t>17/03/2026</t>
        </is>
      </c>
      <c r="K6058" s="10" t="inlineStr">
        <is>
          <t>N/A</t>
        </is>
      </c>
      <c r="L6058" s="10" t="inlineStr">
        <is>
          <t>Hệ Thống MES, Phân Tích Lỗi, Quản Lý Rủi Ro, SMT\r\r, Sửa Chữa</t>
        </is>
      </c>
      <c r="M6058" s="10" t="inlineStr">
        <is>
          <t>Bonus, Healthcare Plan, Awards, Travel Opportunities</t>
        </is>
      </c>
      <c r="N6058" s="11">
        <f>HYPERLINK("https://www.vietnamworks.com/ky-su-me-pe-randd-2016882-jv","Xem chi tiết")</f>
        <v/>
      </c>
      <c r="O6058" s="10" t="n"/>
    </row>
    <row r="6059">
      <c r="B6059" s="7" t="n">
        <v>6057</v>
      </c>
      <c r="C6059" t="inlineStr">
        <is>
          <t>Quản Lý Kế Hoạch Dự Án</t>
        </is>
      </c>
      <c r="D6059" t="inlineStr">
        <is>
          <t>Công Ty Cổ Phần Azb</t>
        </is>
      </c>
      <c r="E6059" t="inlineStr">
        <is>
          <t>Thương lượng</t>
        </is>
      </c>
      <c r="F6059" t="inlineStr">
        <is>
          <t>Hồ Chí Minh</t>
        </is>
      </c>
      <c r="G6059" t="inlineStr">
        <is>
          <t>Nhân viên</t>
        </is>
      </c>
      <c r="H6059" t="inlineStr">
        <is>
          <t>02/03/2026</t>
        </is>
      </c>
      <c r="I6059" t="inlineStr">
        <is>
          <t>01/04/2026</t>
        </is>
      </c>
      <c r="J6059" t="inlineStr">
        <is>
          <t>17/03/2026</t>
        </is>
      </c>
      <c r="K6059" t="inlineStr">
        <is>
          <t>N/A</t>
        </is>
      </c>
      <c r="L6059" t="inlineStr">
        <is>
          <t>Kiểm Soát Tiến Độ Thi Công, Ms Project, Primavera, Quản Lý Dự Án, Quản Lý Xây Dựng</t>
        </is>
      </c>
      <c r="M6059" t="inlineStr">
        <is>
          <t>Bonus, Healthcare Plan, Training</t>
        </is>
      </c>
      <c r="N6059" s="8">
        <f>HYPERLINK("https://www.vietnamworks.com/quan-ly-ke-hoach-du-an-2016888-jv","Xem chi tiết")</f>
        <v/>
      </c>
    </row>
    <row r="6060">
      <c r="B6060" s="9" t="n">
        <v>6058</v>
      </c>
      <c r="C6060" s="10" t="inlineStr">
        <is>
          <t>Merchandising Support</t>
        </is>
      </c>
      <c r="D6060" s="10" t="inlineStr">
        <is>
          <t>Lotte Duty Free</t>
        </is>
      </c>
      <c r="E6060" s="10" t="inlineStr">
        <is>
          <t>Thương lượng</t>
        </is>
      </c>
      <c r="F6060" s="10" t="inlineStr">
        <is>
          <t>Đà Nẵng</t>
        </is>
      </c>
      <c r="G6060" s="10" t="inlineStr">
        <is>
          <t>Mới Tốt Nghiệp</t>
        </is>
      </c>
      <c r="H6060" s="10" t="inlineStr">
        <is>
          <t>02/03/2026</t>
        </is>
      </c>
      <c r="I6060" s="10" t="inlineStr">
        <is>
          <t>01/04/2026</t>
        </is>
      </c>
      <c r="J6060" s="10" t="inlineStr">
        <is>
          <t>17/03/2026</t>
        </is>
      </c>
      <c r="K6060" s="10" t="inlineStr">
        <is>
          <t>N/A</t>
        </is>
      </c>
      <c r="L6060" s="10" t="inlineStr">
        <is>
          <t>Purchasing &amp; Sourcing Management, Buying, Retail industry knowledge, Category Merchandising, Import/Export Knowledge</t>
        </is>
      </c>
      <c r="M6060" s="10" t="inlineStr">
        <is>
          <t>Bonus, Healthcare Plan, Laptop</t>
        </is>
      </c>
      <c r="N6060" s="11">
        <f>HYPERLINK("https://www.vietnamworks.com/merchandising-support--2016883-jv","Xem chi tiết")</f>
        <v/>
      </c>
      <c r="O6060" s="10" t="n"/>
    </row>
    <row r="6061">
      <c r="B6061" s="7" t="n">
        <v>6059</v>
      </c>
      <c r="C6061" t="inlineStr">
        <is>
          <t>QC Manager (Quản Lý Chất Lượng Dự Án Xây Dựng)</t>
        </is>
      </c>
      <c r="D6061" t="inlineStr">
        <is>
          <t>Công Ty Cổ Phần Azb</t>
        </is>
      </c>
      <c r="E6061" t="inlineStr">
        <is>
          <t>Thương lượng</t>
        </is>
      </c>
      <c r="F6061" t="inlineStr">
        <is>
          <t>Hồ Chí Minh</t>
        </is>
      </c>
      <c r="G6061" t="inlineStr">
        <is>
          <t>Trưởng phòng</t>
        </is>
      </c>
      <c r="H6061" t="inlineStr">
        <is>
          <t>02/03/2026</t>
        </is>
      </c>
      <c r="I6061" t="inlineStr">
        <is>
          <t>01/04/2026</t>
        </is>
      </c>
      <c r="J6061" t="inlineStr">
        <is>
          <t>17/03/2026</t>
        </is>
      </c>
      <c r="K6061" t="inlineStr">
        <is>
          <t>N/A</t>
        </is>
      </c>
      <c r="L6061" t="inlineStr">
        <is>
          <t>Quantity Surveyor Management, QC Construction, Quản Lý Chất Lượng Xây Dựng, Construction Quality Management, QC Manager</t>
        </is>
      </c>
      <c r="M6061" t="inlineStr">
        <is>
          <t>Bonus, Healthcare Plan, Training</t>
        </is>
      </c>
      <c r="N6061" s="8">
        <f>HYPERLINK("https://www.vietnamworks.com/qc-manager-quan-ly-chat-luong-du-an-xay-dung-2016893-jv","Xem chi tiết")</f>
        <v/>
      </c>
    </row>
    <row r="6062">
      <c r="B6062" s="9" t="n">
        <v>6060</v>
      </c>
      <c r="C6062" s="10" t="inlineStr">
        <is>
          <t>(Senior) Product Development Engineer</t>
        </is>
      </c>
      <c r="D6062" s="10" t="inlineStr">
        <is>
          <t>Công Ty TNHH Mattel Việt Nam</t>
        </is>
      </c>
      <c r="E6062" s="10" t="inlineStr">
        <is>
          <t>Thương lượng</t>
        </is>
      </c>
      <c r="F6062" s="10" t="inlineStr">
        <is>
          <t>Hải Phòng</t>
        </is>
      </c>
      <c r="G6062" s="10" t="inlineStr">
        <is>
          <t>Nhân viên</t>
        </is>
      </c>
      <c r="H6062" s="10" t="inlineStr">
        <is>
          <t>02/03/2026</t>
        </is>
      </c>
      <c r="I6062" s="10" t="inlineStr">
        <is>
          <t>01/04/2026</t>
        </is>
      </c>
      <c r="J6062" s="10" t="inlineStr">
        <is>
          <t>17/03/2026</t>
        </is>
      </c>
      <c r="K6062" s="10" t="inlineStr">
        <is>
          <t>N/A</t>
        </is>
      </c>
      <c r="L6062" s="10" t="inlineStr">
        <is>
          <t>Mechanical Engineering, Product Development, 3D &amp; 2D Design, OEM Management, Toys Manufacturing</t>
        </is>
      </c>
      <c r="M6062" s="10" t="inlineStr">
        <is>
          <t>Bonus</t>
        </is>
      </c>
      <c r="N6062" s="11">
        <f>HYPERLINK("https://www.vietnamworks.com/-senior-product-development-engineer-2016894-jv","Xem chi tiết")</f>
        <v/>
      </c>
      <c r="O6062" s="10" t="n"/>
    </row>
    <row r="6063">
      <c r="B6063" s="7" t="n">
        <v>6061</v>
      </c>
      <c r="C6063" t="inlineStr">
        <is>
          <t>Air Freight Sales Manager</t>
        </is>
      </c>
      <c r="D6063" t="inlineStr">
        <is>
          <t>Flynow Air Service</t>
        </is>
      </c>
      <c r="E6063" t="inlineStr">
        <is>
          <t>$$ 1,500-2,500 /tháng</t>
        </is>
      </c>
      <c r="F6063" t="inlineStr">
        <is>
          <t>Hồ Chí Minh</t>
        </is>
      </c>
      <c r="G6063" t="inlineStr">
        <is>
          <t>Trưởng phòng</t>
        </is>
      </c>
      <c r="H6063" t="inlineStr">
        <is>
          <t>02/03/2026</t>
        </is>
      </c>
      <c r="I6063" t="inlineStr">
        <is>
          <t>01/04/2026</t>
        </is>
      </c>
      <c r="J6063" t="inlineStr">
        <is>
          <t>17/03/2026</t>
        </is>
      </c>
      <c r="K6063" t="inlineStr">
        <is>
          <t>N/A</t>
        </is>
      </c>
      <c r="L6063" t="inlineStr">
        <is>
          <t>Logistics, Air Freight Forwarding, Freight Forwarding</t>
        </is>
      </c>
      <c r="M6063" t="inlineStr">
        <is>
          <t>Awards, Laptop, Travel Opportunities</t>
        </is>
      </c>
      <c r="N6063" s="8">
        <f>HYPERLINK("https://www.vietnamworks.com/air-freight-sales-manager--2016905-jv","Xem chi tiết")</f>
        <v/>
      </c>
    </row>
    <row r="6064">
      <c r="B6064" s="9" t="n">
        <v>6062</v>
      </c>
      <c r="C6064" s="10" t="inlineStr">
        <is>
          <t>Nhân Viên Thu Ngân</t>
        </is>
      </c>
      <c r="D6064" s="10" t="inlineStr">
        <is>
          <t>Công Ty TNHH Nexia STT</t>
        </is>
      </c>
      <c r="E6064" s="10" t="inlineStr">
        <is>
          <t>Thương lượng</t>
        </is>
      </c>
      <c r="F6064" s="10" t="inlineStr">
        <is>
          <t>Hà Nội</t>
        </is>
      </c>
      <c r="G6064" s="10" t="inlineStr">
        <is>
          <t>Mới Tốt Nghiệp</t>
        </is>
      </c>
      <c r="H6064" s="10" t="inlineStr">
        <is>
          <t>02/03/2026</t>
        </is>
      </c>
      <c r="I6064" s="10" t="inlineStr">
        <is>
          <t>01/04/2026</t>
        </is>
      </c>
      <c r="J6064" s="10" t="inlineStr">
        <is>
          <t>17/03/2026</t>
        </is>
      </c>
      <c r="K6064" s="10" t="inlineStr">
        <is>
          <t>N/A</t>
        </is>
      </c>
      <c r="L6064" s="10" t="inlineStr">
        <is>
          <t>Giao Tiếp, Nhận Đơn Đặt Hàng, Quản Lý Thu Ngân, Quản Lý Đơn Hàng, Tiếng Anh</t>
        </is>
      </c>
      <c r="M6064" s="10" t="inlineStr">
        <is>
          <t>Bonus, Healthcare Plan, Others</t>
        </is>
      </c>
      <c r="N6064" s="11">
        <f>HYPERLINK("https://www.vietnamworks.com/nhan-vien-thu-ngan-2016902-jv","Xem chi tiết")</f>
        <v/>
      </c>
      <c r="O6064" s="10" t="n"/>
    </row>
    <row r="6065">
      <c r="B6065" s="7" t="n">
        <v>6063</v>
      </c>
      <c r="C6065" t="inlineStr">
        <is>
          <t>Quality Engineer</t>
        </is>
      </c>
      <c r="D6065" t="inlineStr">
        <is>
          <t>Công Ty TNHH Mattel Việt Nam</t>
        </is>
      </c>
      <c r="E6065" t="inlineStr">
        <is>
          <t>Thương lượng</t>
        </is>
      </c>
      <c r="F6065" t="inlineStr">
        <is>
          <t>Hải Phòng</t>
        </is>
      </c>
      <c r="G6065" t="inlineStr">
        <is>
          <t>Nhân viên</t>
        </is>
      </c>
      <c r="H6065" t="inlineStr">
        <is>
          <t>02/03/2026</t>
        </is>
      </c>
      <c r="I6065" t="inlineStr">
        <is>
          <t>01/04/2026</t>
        </is>
      </c>
      <c r="J6065" t="inlineStr">
        <is>
          <t>17/03/2026</t>
        </is>
      </c>
      <c r="K6065" t="inlineStr">
        <is>
          <t>N/A</t>
        </is>
      </c>
      <c r="L6065" t="inlineStr">
        <is>
          <t>Quality Tools, Statistical Analysis, Product Testing, Quality Assurance, Technical Documentation</t>
        </is>
      </c>
      <c r="M6065" t="inlineStr">
        <is>
          <t>Bonus</t>
        </is>
      </c>
      <c r="N6065" s="8">
        <f>HYPERLINK("https://www.vietnamworks.com/quality-engineer-2016901-jv","Xem chi tiết")</f>
        <v/>
      </c>
    </row>
    <row r="6066">
      <c r="B6066" s="9" t="n">
        <v>6064</v>
      </c>
      <c r="C6066" s="10" t="inlineStr">
        <is>
          <t>Sales Admin B2B (8-12 Triệu, Thưởng Doanh Số)</t>
        </is>
      </c>
      <c r="D6066" s="10" t="inlineStr">
        <is>
          <t>One Smart Star Vietnam</t>
        </is>
      </c>
      <c r="E6066" s="10" t="inlineStr">
        <is>
          <t>8tr-12tr ₫/tháng</t>
        </is>
      </c>
      <c r="F6066" s="10" t="inlineStr">
        <is>
          <t>Hà Nội</t>
        </is>
      </c>
      <c r="G6066" s="10" t="inlineStr">
        <is>
          <t>Mới Tốt Nghiệp</t>
        </is>
      </c>
      <c r="H6066" s="10" t="inlineStr">
        <is>
          <t>02/03/2026</t>
        </is>
      </c>
      <c r="I6066" s="10" t="inlineStr">
        <is>
          <t>01/04/2026</t>
        </is>
      </c>
      <c r="J6066" s="10" t="inlineStr">
        <is>
          <t>17/03/2026</t>
        </is>
      </c>
      <c r="K6066" s="10" t="inlineStr">
        <is>
          <t>N/A</t>
        </is>
      </c>
      <c r="L6066" s="10" t="inlineStr">
        <is>
          <t>Tìm Kiếm Khách Hàng, Phát Triển Kinh Doanh, Báo Giá, Tư Vấn Dịch Vụ, Đàm Phán</t>
        </is>
      </c>
      <c r="M6066" s="10" t="inlineStr">
        <is>
          <t>Bonus, Healthcare Plan, Team Activities</t>
        </is>
      </c>
      <c r="N6066" s="11">
        <f>HYPERLINK("https://www.vietnamworks.com/sales-admin-b2b-8-12-trieu-thuong-doanh-so-2016909-jv","Xem chi tiết")</f>
        <v/>
      </c>
      <c r="O6066" s="10" t="n"/>
    </row>
    <row r="6067">
      <c r="B6067" s="7" t="n">
        <v>6065</v>
      </c>
      <c r="C6067" t="inlineStr">
        <is>
          <t>Kế Toán Tổng Hợp Kiêm Hành Chính Nhân Sự</t>
        </is>
      </c>
      <c r="D6067" t="inlineStr">
        <is>
          <t>Công Ty TNHH Thương Mại Sản Xuất Lò Hơi Tầng Sôi 3E</t>
        </is>
      </c>
      <c r="E6067" t="inlineStr">
        <is>
          <t>Tới 10tr ₫/tháng</t>
        </is>
      </c>
      <c r="F6067" t="inlineStr">
        <is>
          <t>Bình Dương</t>
        </is>
      </c>
      <c r="G6067" t="inlineStr">
        <is>
          <t>Nhân viên</t>
        </is>
      </c>
      <c r="H6067" t="inlineStr">
        <is>
          <t>02/03/2026</t>
        </is>
      </c>
      <c r="I6067" t="inlineStr">
        <is>
          <t>01/04/2026</t>
        </is>
      </c>
      <c r="J6067" t="inlineStr">
        <is>
          <t>17/03/2026</t>
        </is>
      </c>
      <c r="K6067" t="inlineStr">
        <is>
          <t>N/A</t>
        </is>
      </c>
      <c r="L6067" t="inlineStr">
        <is>
          <t>Kế Toán Tổng Hợp, Kê Khai Thuế, Giải quyết vấn đề, Hành Chính Nhân Sự, Tiếng Anh</t>
        </is>
      </c>
      <c r="M6067" t="inlineStr">
        <is>
          <t>Bonus, Healthcare Plan, Paid Leave, Training, Awards, Others</t>
        </is>
      </c>
      <c r="N6067" s="8">
        <f>HYPERLINK("https://www.vietnamworks.com/ke-toan-tong-hop-kiem-hanh-chinh-nhan-su-2016923-jv","Xem chi tiết")</f>
        <v/>
      </c>
    </row>
    <row r="6068">
      <c r="B6068" s="9" t="n">
        <v>6066</v>
      </c>
      <c r="C6068" s="10" t="inlineStr">
        <is>
          <t>Chuyên Viên Nhân Sự (Chuyên C&amp;B)</t>
        </is>
      </c>
      <c r="D6068" s="10" t="inlineStr">
        <is>
          <t>Công Ty CP Nhân Lực Quốc Tế Hoàng Minh</t>
        </is>
      </c>
      <c r="E6068" s="10" t="inlineStr">
        <is>
          <t>10tr-15tr ₫/tháng</t>
        </is>
      </c>
      <c r="F6068" s="10" t="inlineStr">
        <is>
          <t>Hồ Chí Minh</t>
        </is>
      </c>
      <c r="G6068" s="10" t="inlineStr">
        <is>
          <t>Nhân viên</t>
        </is>
      </c>
      <c r="H6068" s="10" t="inlineStr">
        <is>
          <t>02/03/2026</t>
        </is>
      </c>
      <c r="I6068" s="10" t="inlineStr">
        <is>
          <t>01/04/2026</t>
        </is>
      </c>
      <c r="J6068" s="10" t="inlineStr">
        <is>
          <t>17/03/2026</t>
        </is>
      </c>
      <c r="K6068" s="10" t="inlineStr">
        <is>
          <t>N/A</t>
        </is>
      </c>
      <c r="L6068" s="10" t="inlineStr">
        <is>
          <t>Hành Chính Nhân Sự, HR, Tuyển Dụng, C&amp;B &amp; Chế độ đãi ngộ, C&amp;B</t>
        </is>
      </c>
      <c r="M6068" s="10" t="inlineStr">
        <is>
          <t>Bonus, Healthcare Plan, Paid Leave, Team Activities</t>
        </is>
      </c>
      <c r="N6068" s="11">
        <f>HYPERLINK("https://www.vietnamworks.com/chuyen-vien-nhan-su-chuyen-candb-2016917-jv","Xem chi tiết")</f>
        <v/>
      </c>
      <c r="O6068" s="10" t="n"/>
    </row>
    <row r="6069">
      <c r="B6069" s="7" t="n">
        <v>6067</v>
      </c>
      <c r="C6069" t="inlineStr">
        <is>
          <t>Nhân Viên Nghiệp Vụ Quỹ</t>
        </is>
      </c>
      <c r="D6069" t="inlineStr">
        <is>
          <t>Công Ty Cổ Phần Fincorp</t>
        </is>
      </c>
      <c r="E6069" t="inlineStr">
        <is>
          <t>12tr-17tr ₫/tháng</t>
        </is>
      </c>
      <c r="F6069" t="inlineStr">
        <is>
          <t>Hồ Chí Minh</t>
        </is>
      </c>
      <c r="G6069" t="inlineStr">
        <is>
          <t>Nhân viên</t>
        </is>
      </c>
      <c r="H6069" t="inlineStr">
        <is>
          <t>02/03/2026</t>
        </is>
      </c>
      <c r="I6069" t="inlineStr">
        <is>
          <t>01/04/2026</t>
        </is>
      </c>
      <c r="J6069" t="inlineStr">
        <is>
          <t>17/03/2026</t>
        </is>
      </c>
      <c r="K6069" t="inlineStr">
        <is>
          <t>N/A</t>
        </is>
      </c>
      <c r="L6069" t="inlineStr">
        <is>
          <t>Dịch Vụ Khách Hàng, Quản Lý Quỹ, Xử Lý Giao Dịch, Giao dịch viên, Giao dịch chứng chỉ quỹ</t>
        </is>
      </c>
      <c r="M6069" t="inlineStr">
        <is>
          <t>Bonus, Healthcare Plan, Paid Leave, Laptop, Travel Opportunities, Team Activities</t>
        </is>
      </c>
      <c r="N6069" s="8">
        <f>HYPERLINK("https://www.vietnamworks.com/nhan-vien-nghiep-vu-quy-2016925-jv","Xem chi tiết")</f>
        <v/>
      </c>
    </row>
    <row r="6070">
      <c r="B6070" s="9" t="n">
        <v>6068</v>
      </c>
      <c r="C6070" s="10" t="inlineStr">
        <is>
          <t>Nhân Viên Hành Chính Làm Việc Tại Nhà Máy Quang Minh</t>
        </is>
      </c>
      <c r="D6070" s="10" t="inlineStr">
        <is>
          <t>SEI Electronic Components (Vietnam), Ltd.</t>
        </is>
      </c>
      <c r="E6070" s="10" t="inlineStr">
        <is>
          <t>Thương lượng</t>
        </is>
      </c>
      <c r="F6070" s="10" t="inlineStr">
        <is>
          <t>Hà Nội</t>
        </is>
      </c>
      <c r="G6070" s="10" t="inlineStr">
        <is>
          <t>Mới Tốt Nghiệp</t>
        </is>
      </c>
      <c r="H6070" s="10" t="inlineStr">
        <is>
          <t>02/03/2026</t>
        </is>
      </c>
      <c r="I6070" s="10" t="inlineStr">
        <is>
          <t>01/04/2026</t>
        </is>
      </c>
      <c r="J6070" s="10" t="inlineStr">
        <is>
          <t>17/03/2026</t>
        </is>
      </c>
      <c r="K6070" s="10" t="inlineStr">
        <is>
          <t>N/A</t>
        </is>
      </c>
      <c r="L6070" s="10" t="inlineStr">
        <is>
          <t>Hành Chính Tổng Hợp, Quản Lý Vệ Sinh, Điều Phối Xe, MS Office, Tiếng Anh</t>
        </is>
      </c>
      <c r="M6070" s="10" t="inlineStr">
        <is>
          <t>Bonus, Healthcare Plan, Transportation</t>
        </is>
      </c>
      <c r="N6070" s="11">
        <f>HYPERLINK("https://www.vietnamworks.com/nhan-vien-hanh-chinh-lam-viec-tai-nha-may-quang-minh-2016928-jv","Xem chi tiết")</f>
        <v/>
      </c>
      <c r="O6070" s="10" t="n"/>
    </row>
    <row r="6071">
      <c r="B6071" s="7" t="n">
        <v>6069</v>
      </c>
      <c r="C6071" t="inlineStr">
        <is>
          <t>Kỹ Sư Trắc Địa Dự Án Vành Đai 4 - Lương 25 Triệu Đi Làm Ngay</t>
        </is>
      </c>
      <c r="D6071" t="inlineStr">
        <is>
          <t>Công Ty Cổ Phần Thiết Bị Và Dịch Vụ Tce</t>
        </is>
      </c>
      <c r="E6071" t="inlineStr">
        <is>
          <t>Tới 25,000 ₫/tháng</t>
        </is>
      </c>
      <c r="F6071" t="inlineStr">
        <is>
          <t>Hà Nội, Hưng Yên</t>
        </is>
      </c>
      <c r="G6071" t="inlineStr">
        <is>
          <t>Nhân viên</t>
        </is>
      </c>
      <c r="H6071" t="inlineStr">
        <is>
          <t>02/03/2026</t>
        </is>
      </c>
      <c r="I6071" t="inlineStr">
        <is>
          <t>01/04/2026</t>
        </is>
      </c>
      <c r="J6071" t="inlineStr">
        <is>
          <t>17/03/2026</t>
        </is>
      </c>
      <c r="K6071" t="inlineStr">
        <is>
          <t>N/A</t>
        </is>
      </c>
      <c r="L6071" t="inlineStr">
        <is>
          <t>Trắc Địa, Đo Vẽ Trắc Địa, Máy Toàn Đạc Leica, Kỹ Thuật Đo Lường, Nghiệm Thu Công Trình</t>
        </is>
      </c>
      <c r="M6071" t="inlineStr">
        <is>
          <t>Bonus, Healthcare Plan, Training</t>
        </is>
      </c>
      <c r="N6071" s="8">
        <f>HYPERLINK("https://www.vietnamworks.com/ky-su-trac-dia-du-an-vanh-dai-4-luong-25-trieu-di-lam-ngay--2016916-jv","Xem chi tiết")</f>
        <v/>
      </c>
    </row>
    <row r="6072">
      <c r="B6072" s="9" t="n">
        <v>6070</v>
      </c>
      <c r="C6072" s="10" t="inlineStr">
        <is>
          <t>Senior Marketing Planner &amp; Activation Specialist</t>
        </is>
      </c>
      <c r="D6072" s="10" t="inlineStr">
        <is>
          <t>Công Ty Cổ Phần Vàng Bạc Đá Quý Phú Nhuận (PNJ)</t>
        </is>
      </c>
      <c r="E6072" s="10" t="inlineStr">
        <is>
          <t>Thương lượng</t>
        </is>
      </c>
      <c r="F6072" s="10" t="inlineStr">
        <is>
          <t>Hồ Chí Minh</t>
        </is>
      </c>
      <c r="G6072" s="10" t="inlineStr">
        <is>
          <t>Nhân viên</t>
        </is>
      </c>
      <c r="H6072" s="10" t="inlineStr">
        <is>
          <t>02/03/2026</t>
        </is>
      </c>
      <c r="I6072" s="10" t="inlineStr">
        <is>
          <t>01/04/2026</t>
        </is>
      </c>
      <c r="J6072" s="10" t="inlineStr">
        <is>
          <t>17/03/2026</t>
        </is>
      </c>
      <c r="K6072" s="10" t="inlineStr">
        <is>
          <t>N/A</t>
        </is>
      </c>
      <c r="L6072" s="10" t="inlineStr">
        <is>
          <t>Kỹ năng giao tiếp, Lập Kế Hoạch, Phân tích dữ liệu, Quản Lý Dự Án, Trade Marketing Service</t>
        </is>
      </c>
      <c r="M6072" s="10" t="inlineStr">
        <is>
          <t>Bonus, Healthcare Plan, Training, Travel Opportunities</t>
        </is>
      </c>
      <c r="N6072" s="11">
        <f>HYPERLINK("https://www.vietnamworks.com/senior-marketing-planner-and-activation-specialist-2016927-jv","Xem chi tiết")</f>
        <v/>
      </c>
      <c r="O6072" s="10" t="n"/>
    </row>
    <row r="6073">
      <c r="B6073" s="7" t="n">
        <v>6071</v>
      </c>
      <c r="C6073" t="inlineStr">
        <is>
          <t>Chuyên Viên An Ninh Nội Bộ</t>
        </is>
      </c>
      <c r="D6073" t="inlineStr">
        <is>
          <t>Masan Consumer Holdings</t>
        </is>
      </c>
      <c r="E6073" t="inlineStr">
        <is>
          <t>$$ 500-600 /tháng</t>
        </is>
      </c>
      <c r="F6073" t="inlineStr">
        <is>
          <t>Hải Dương</t>
        </is>
      </c>
      <c r="G6073" t="inlineStr">
        <is>
          <t>Nhân viên</t>
        </is>
      </c>
      <c r="H6073" t="inlineStr">
        <is>
          <t>02/03/2026</t>
        </is>
      </c>
      <c r="I6073" t="inlineStr">
        <is>
          <t>01/04/2026</t>
        </is>
      </c>
      <c r="J6073" t="inlineStr">
        <is>
          <t>17/03/2026</t>
        </is>
      </c>
      <c r="K6073" t="inlineStr">
        <is>
          <t>N/A</t>
        </is>
      </c>
      <c r="L6073" t="inlineStr">
        <is>
          <t>Tin Học Văn Phòng, An Toàn Lao Động, Giám Sát Hiệu Quả</t>
        </is>
      </c>
      <c r="M6073" t="inlineStr">
        <is>
          <t>Bonus</t>
        </is>
      </c>
      <c r="N6073" s="8">
        <f>HYPERLINK("https://www.vietnamworks.com/chuyen-vien-an-ninh-noi-bo--2016921-jv","Xem chi tiết")</f>
        <v/>
      </c>
    </row>
    <row r="6074">
      <c r="B6074" s="9" t="n">
        <v>6072</v>
      </c>
      <c r="C6074" s="10" t="inlineStr">
        <is>
          <t>Trưởng Phòng Hồ Sơ Du Học (Tiếng Anh)</t>
        </is>
      </c>
      <c r="D6074" s="10" t="inlineStr">
        <is>
          <t>Công Ty CP Nhân Lực Quốc Tế Hoàng Minh</t>
        </is>
      </c>
      <c r="E6074" s="10" t="inlineStr">
        <is>
          <t>14tr-18tr ₫/tháng</t>
        </is>
      </c>
      <c r="F6074" s="10" t="inlineStr">
        <is>
          <t>Hồ Chí Minh</t>
        </is>
      </c>
      <c r="G6074" s="10" t="inlineStr">
        <is>
          <t>Trưởng phòng</t>
        </is>
      </c>
      <c r="H6074" s="10" t="inlineStr">
        <is>
          <t>02/03/2026</t>
        </is>
      </c>
      <c r="I6074" s="10" t="inlineStr">
        <is>
          <t>01/04/2026</t>
        </is>
      </c>
      <c r="J6074" s="10" t="inlineStr">
        <is>
          <t>17/03/2026</t>
        </is>
      </c>
      <c r="K6074" s="10" t="inlineStr">
        <is>
          <t>N/A</t>
        </is>
      </c>
      <c r="L6074" s="10" t="inlineStr">
        <is>
          <t>Quản Lý Hồ Sơ, Giao Tiếp Tiếng Anh, Hồ Sơ Du Học, du học Hàn, Du Học</t>
        </is>
      </c>
      <c r="M6074" s="10" t="inlineStr">
        <is>
          <t>Bonus, Healthcare Plan, Paid Leave, Team Activities</t>
        </is>
      </c>
      <c r="N6074" s="11">
        <f>HYPERLINK("https://www.vietnamworks.com/truong-phong-ho-so-du-hoc-tieng-anh-2016920-jv","Xem chi tiết")</f>
        <v/>
      </c>
      <c r="O6074" s="10" t="n"/>
    </row>
    <row r="6075">
      <c r="B6075" s="7" t="n">
        <v>6073</v>
      </c>
      <c r="C6075" t="inlineStr">
        <is>
          <t>Nhân Viên Thiết Kế Máy Tự Động (3D) - Có Xe Đưa Đón Tuyến Hải Dương - Hưng Yên</t>
        </is>
      </c>
      <c r="D6075" t="inlineStr">
        <is>
          <t>Công Ty TNHH Điện Tử UMC Việt Nam</t>
        </is>
      </c>
      <c r="E6075" t="inlineStr">
        <is>
          <t>Thương lượng</t>
        </is>
      </c>
      <c r="F6075" t="inlineStr">
        <is>
          <t>Hưng Yên, Hải Phòng, Bắc Ninh</t>
        </is>
      </c>
      <c r="G6075" t="inlineStr">
        <is>
          <t>Nhân viên</t>
        </is>
      </c>
      <c r="H6075" t="inlineStr">
        <is>
          <t>02/03/2026</t>
        </is>
      </c>
      <c r="I6075" t="inlineStr">
        <is>
          <t>01/04/2026</t>
        </is>
      </c>
      <c r="J6075" t="inlineStr">
        <is>
          <t>17/03/2026</t>
        </is>
      </c>
      <c r="K6075" t="inlineStr">
        <is>
          <t>N/A</t>
        </is>
      </c>
      <c r="L6075" t="inlineStr">
        <is>
          <t>Cơ Khí, AutoCAD, Autodesk Inventor, Thiết Kế 3D, Cơ Khí Chế Tạo Máy</t>
        </is>
      </c>
      <c r="M6075" t="inlineStr">
        <is>
          <t>Training</t>
        </is>
      </c>
      <c r="N6075" s="8">
        <f>HYPERLINK("https://www.vietnamworks.com/nhan-vien-thiet-ke-may-tu-dong-3d-co-xe-dua-don-tuyen-hai-duong-hung-yen-2016914-jv","Xem chi tiết")</f>
        <v/>
      </c>
    </row>
    <row r="6076">
      <c r="B6076" s="9" t="n">
        <v>6074</v>
      </c>
      <c r="C6076" s="10" t="inlineStr">
        <is>
          <t>Head of IP Business</t>
        </is>
      </c>
      <c r="D6076" s="10" t="inlineStr">
        <is>
          <t>Công Ty Cổ Phần DatVietVAC Group Holdings</t>
        </is>
      </c>
      <c r="E6076" s="10" t="inlineStr">
        <is>
          <t>Thương lượng</t>
        </is>
      </c>
      <c r="F6076" s="10" t="inlineStr">
        <is>
          <t>Hồ Chí Minh</t>
        </is>
      </c>
      <c r="G6076" s="10" t="inlineStr">
        <is>
          <t>Giám Đốc và Cấp Cao Hơn</t>
        </is>
      </c>
      <c r="H6076" s="10" t="inlineStr">
        <is>
          <t>02/03/2026</t>
        </is>
      </c>
      <c r="I6076" s="10" t="inlineStr">
        <is>
          <t>01/04/2026</t>
        </is>
      </c>
      <c r="J6076" s="10" t="inlineStr">
        <is>
          <t>17/03/2026</t>
        </is>
      </c>
      <c r="K6076" s="10" t="inlineStr">
        <is>
          <t>N/A</t>
        </is>
      </c>
      <c r="L6076" s="10" t="inlineStr">
        <is>
          <t>Merchandise, Monetization, Commercial, Business Licensing, Business Development</t>
        </is>
      </c>
      <c r="M6076" s="10" t="inlineStr">
        <is>
          <t>Bonus, Healthcare Plan, Paid Leave</t>
        </is>
      </c>
      <c r="N6076" s="11">
        <f>HYPERLINK("https://www.vietnamworks.com/head-of-ip-business-2016906-jv","Xem chi tiết")</f>
        <v/>
      </c>
      <c r="O6076" s="10" t="n"/>
    </row>
    <row r="6077">
      <c r="B6077" s="7" t="n">
        <v>6075</v>
      </c>
      <c r="C6077" t="inlineStr">
        <is>
          <t>Nhân Viên QC/QS - Dự Án Vành Đai 4 - Lương Upto 25 Triệu - Đi Làm Ngay</t>
        </is>
      </c>
      <c r="D6077" t="inlineStr">
        <is>
          <t>Công Ty Cổ Phần Thiết Bị Và Dịch Vụ Tce</t>
        </is>
      </c>
      <c r="E6077" t="inlineStr">
        <is>
          <t>600-1,500 ₫/tháng</t>
        </is>
      </c>
      <c r="F6077" t="inlineStr">
        <is>
          <t>Hà Nội, Hưng Yên</t>
        </is>
      </c>
      <c r="G6077" t="inlineStr">
        <is>
          <t>Nhân viên</t>
        </is>
      </c>
      <c r="H6077" t="inlineStr">
        <is>
          <t>02/03/2026</t>
        </is>
      </c>
      <c r="I6077" t="inlineStr">
        <is>
          <t>01/04/2026</t>
        </is>
      </c>
      <c r="J6077" t="inlineStr">
        <is>
          <t>17/03/2026</t>
        </is>
      </c>
      <c r="K6077" t="inlineStr">
        <is>
          <t>N/A</t>
        </is>
      </c>
      <c r="L6077" t="inlineStr">
        <is>
          <t>Giám Sát Chất Lượng Thi Công, AutoCAD, Excel, Lập Hồ Sơ Nghiệm Thu, Bóc Tách Khối Lượng</t>
        </is>
      </c>
      <c r="M6077" t="inlineStr">
        <is>
          <t>Bonus, Healthcare Plan, Training</t>
        </is>
      </c>
      <c r="N6077" s="8">
        <f>HYPERLINK("https://www.vietnamworks.com/nhan-vien-qc-qs-du-an-vanh-dai-4-luong-upto-25-trieu-di-lam-ngay--2016913-jv","Xem chi tiết")</f>
        <v/>
      </c>
    </row>
    <row r="6078">
      <c r="B6078" s="9" t="n">
        <v>6076</v>
      </c>
      <c r="C6078" s="10" t="inlineStr">
        <is>
          <t>Chuyên Viên Mua Hàng (Nữ, Mua Hàng Ngoại - Lương Upto 25 Triệu)</t>
        </is>
      </c>
      <c r="D6078" s="10" t="inlineStr">
        <is>
          <t>Công ty Cổ phần Thiết bị Mỹ Kim</t>
        </is>
      </c>
      <c r="E6078" s="10" t="inlineStr">
        <is>
          <t>Tới 25tr ₫/tháng</t>
        </is>
      </c>
      <c r="F6078" s="10" t="inlineStr">
        <is>
          <t>Hà Nội</t>
        </is>
      </c>
      <c r="G6078" s="10" t="inlineStr">
        <is>
          <t>Nhân viên</t>
        </is>
      </c>
      <c r="H6078" s="10" t="inlineStr">
        <is>
          <t>02/03/2026</t>
        </is>
      </c>
      <c r="I6078" s="10" t="inlineStr">
        <is>
          <t>01/04/2026</t>
        </is>
      </c>
      <c r="J6078" s="10" t="inlineStr">
        <is>
          <t>17/03/2026</t>
        </is>
      </c>
      <c r="K6078" s="10" t="inlineStr">
        <is>
          <t>N/A</t>
        </is>
      </c>
      <c r="L6078" s="10" t="inlineStr">
        <is>
          <t>Cung Ứng, Đấu Thầu, Quản Lý Nhà Thầu Phụ, Đàm Phán, Quản Lý Hồ Sơ</t>
        </is>
      </c>
      <c r="M6078" s="10" t="inlineStr">
        <is>
          <t>Bonus, Healthcare Plan, Awards</t>
        </is>
      </c>
      <c r="N6078" s="11">
        <f>HYPERLINK("https://www.vietnamworks.com/chuyen-vien-mua-hang-nu-mua-hang-ngoai-luong-upto-25-trieu-2016924-jv","Xem chi tiết")</f>
        <v/>
      </c>
      <c r="O6078" s="10" t="n"/>
    </row>
    <row r="6079">
      <c r="B6079" s="7" t="n">
        <v>6077</v>
      </c>
      <c r="C6079" t="inlineStr">
        <is>
          <t>Quản Lý Thực Thi Và Duy Trì Hệ Thống Bán Hàng (Sales Cap+ RTM + DMP)</t>
        </is>
      </c>
      <c r="D6079" t="inlineStr">
        <is>
          <t>Công Ty Cổ Phần Chuỗi Thực Phẩm TH</t>
        </is>
      </c>
      <c r="E6079" t="inlineStr">
        <is>
          <t>Thương lượng</t>
        </is>
      </c>
      <c r="F6079" t="inlineStr">
        <is>
          <t>Hồ Chí Minh</t>
        </is>
      </c>
      <c r="G6079" t="inlineStr">
        <is>
          <t>Trưởng phòng</t>
        </is>
      </c>
      <c r="H6079" t="inlineStr">
        <is>
          <t>02/03/2026</t>
        </is>
      </c>
      <c r="I6079" t="inlineStr">
        <is>
          <t>01/04/2026</t>
        </is>
      </c>
      <c r="J6079" t="inlineStr">
        <is>
          <t>17/03/2026</t>
        </is>
      </c>
      <c r="K6079" t="inlineStr">
        <is>
          <t>N/A</t>
        </is>
      </c>
      <c r="L6079" t="inlineStr">
        <is>
          <t>Sales Capability, RTMS, Quản Lý Nhà Phân Phối, Sale Management</t>
        </is>
      </c>
      <c r="M6079" t="inlineStr">
        <is>
          <t>Training</t>
        </is>
      </c>
      <c r="N6079" s="8">
        <f>HYPERLINK("https://www.vietnamworks.com/quan-ly-thuc-thi-va-duy-tri-he-thong-ban-hang-sales-cap-rtm-dmp--2016904-jv","Xem chi tiết")</f>
        <v/>
      </c>
    </row>
    <row r="6080">
      <c r="B6080" s="9" t="n">
        <v>6078</v>
      </c>
      <c r="C6080" s="10" t="inlineStr">
        <is>
          <t>Import - Export Documents Specialist (English/Chinese)</t>
        </is>
      </c>
      <c r="D6080" s="10" t="inlineStr">
        <is>
          <t>Joy Reap Metal Vietnam</t>
        </is>
      </c>
      <c r="E6080" s="10" t="inlineStr">
        <is>
          <t>15tr-30tr ₫/tháng</t>
        </is>
      </c>
      <c r="F6080" s="10" t="inlineStr">
        <is>
          <t>Hồ Chí Minh, Hà Nội</t>
        </is>
      </c>
      <c r="G6080" s="10" t="inlineStr">
        <is>
          <t>Nhân viên</t>
        </is>
      </c>
      <c r="H6080" s="10" t="inlineStr">
        <is>
          <t>02/03/2026</t>
        </is>
      </c>
      <c r="I6080" s="10" t="inlineStr">
        <is>
          <t>01/04/2026</t>
        </is>
      </c>
      <c r="J6080" s="10" t="inlineStr">
        <is>
          <t>17/03/2026</t>
        </is>
      </c>
      <c r="K6080" s="10" t="inlineStr">
        <is>
          <t>N/A</t>
        </is>
      </c>
      <c r="L6080" s="10" t="inlineStr">
        <is>
          <t>Import-Export Documents, Logistics Management, English Fluency, Chinese Speaking, Logistics</t>
        </is>
      </c>
      <c r="M6080" s="10" t="inlineStr">
        <is>
          <t>Bonus, Healthcare Plan, Paid Leave, Training, Laptop, Travel Opportunities, Others</t>
        </is>
      </c>
      <c r="N6080" s="11">
        <f>HYPERLINK("https://www.vietnamworks.com/import-export-documents-specialist-englishchinese-2016907-jv","Xem chi tiết")</f>
        <v/>
      </c>
      <c r="O6080" s="10" t="n"/>
    </row>
    <row r="6081">
      <c r="B6081" s="7" t="n">
        <v>6079</v>
      </c>
      <c r="C6081" t="inlineStr">
        <is>
          <t>Chuyên Viên Kinh doanh B2B - kênh Dự Án IT, thiết bị mạng, báo cháy,...</t>
        </is>
      </c>
      <c r="D6081" t="inlineStr">
        <is>
          <t>Công Ty Cổ Phần Nhà An Toàn</t>
        </is>
      </c>
      <c r="E6081" t="inlineStr">
        <is>
          <t>10tr-15tr ₫/tháng</t>
        </is>
      </c>
      <c r="F6081" t="inlineStr">
        <is>
          <t>Hà Nội, Hồ Chí Minh</t>
        </is>
      </c>
      <c r="G6081" t="inlineStr">
        <is>
          <t>Nhân viên</t>
        </is>
      </c>
      <c r="H6081" t="inlineStr">
        <is>
          <t>02/03/2026</t>
        </is>
      </c>
      <c r="I6081" t="inlineStr">
        <is>
          <t>01/04/2026</t>
        </is>
      </c>
      <c r="J6081" t="inlineStr">
        <is>
          <t>17/03/2026</t>
        </is>
      </c>
      <c r="K6081" t="inlineStr">
        <is>
          <t>N/A</t>
        </is>
      </c>
      <c r="L6081" t="inlineStr">
        <is>
          <t>Customer Care, ESL Certification, ICT Solutions, Kinh Doanh B2B, Network Engineering</t>
        </is>
      </c>
      <c r="M6081" t="inlineStr">
        <is>
          <t>Bonus, Healthcare Plan, Training, Awards, Laptop, Travel Opportunities, Others</t>
        </is>
      </c>
      <c r="N6081" s="8">
        <f>HYPERLINK("https://www.vietnamworks.com/chuyen-vien-kinh-doanh-b2b-kenh-du-an-it-thiet-bi-mang-bao-chay-2016918-jv","Xem chi tiết")</f>
        <v/>
      </c>
    </row>
    <row r="6082">
      <c r="B6082" s="9" t="n">
        <v>6080</v>
      </c>
      <c r="C6082" s="10" t="inlineStr">
        <is>
          <t>Trưởng Phòng Kinh Doanh (Mảng Gỗ Nhựa)</t>
        </is>
      </c>
      <c r="D6082" s="10" t="inlineStr">
        <is>
          <t>CÔNG TY CỔ PHẦN ALUNEX</t>
        </is>
      </c>
      <c r="E6082" s="10" t="inlineStr">
        <is>
          <t>Thương lượng</t>
        </is>
      </c>
      <c r="F6082" s="10" t="inlineStr">
        <is>
          <t>Hồ Chí Minh</t>
        </is>
      </c>
      <c r="G6082" s="10" t="inlineStr">
        <is>
          <t>Nhân viên</t>
        </is>
      </c>
      <c r="H6082" s="10" t="inlineStr">
        <is>
          <t>02/03/2026</t>
        </is>
      </c>
      <c r="I6082" s="10" t="inlineStr">
        <is>
          <t>01/04/2026</t>
        </is>
      </c>
      <c r="J6082" s="10" t="inlineStr">
        <is>
          <t>17/03/2026</t>
        </is>
      </c>
      <c r="K6082" s="10" t="inlineStr">
        <is>
          <t>N/A</t>
        </is>
      </c>
      <c r="L6082" s="10" t="inlineStr">
        <is>
          <t>Kế Hoạch Kinh Doanh, Kinh Doanh, Phát Triển Đại Lý, Quản Lý Kinh Doanh, Sales Planning</t>
        </is>
      </c>
      <c r="M6082" s="10" t="inlineStr">
        <is>
          <t>Bonus, Healthcare Plan, Others</t>
        </is>
      </c>
      <c r="N6082" s="11">
        <f>HYPERLINK("https://www.vietnamworks.com/truong-phong-kinh-doanh-mang-go-nhua-2016922-jv","Xem chi tiết")</f>
        <v/>
      </c>
      <c r="O6082" s="10" t="n"/>
    </row>
    <row r="6083">
      <c r="B6083" s="7" t="n">
        <v>6081</v>
      </c>
      <c r="C6083" t="inlineStr">
        <is>
          <t>Đại Diện Kinh Doanh Kênh Tạp Hóa GT</t>
        </is>
      </c>
      <c r="D6083" t="inlineStr">
        <is>
          <t>Abbott</t>
        </is>
      </c>
      <c r="E6083" t="inlineStr">
        <is>
          <t>8tr-18tr ₫/tháng</t>
        </is>
      </c>
      <c r="F6083" t="inlineStr">
        <is>
          <t>Thái Nguyên, Thừa Thiên Huế, Đà Nẵng</t>
        </is>
      </c>
      <c r="G6083" t="inlineStr">
        <is>
          <t>Mới Tốt Nghiệp</t>
        </is>
      </c>
      <c r="H6083" t="inlineStr">
        <is>
          <t>02/03/2026</t>
        </is>
      </c>
      <c r="I6083" t="inlineStr">
        <is>
          <t>01/04/2026</t>
        </is>
      </c>
      <c r="J6083" t="inlineStr">
        <is>
          <t>17/03/2026</t>
        </is>
      </c>
      <c r="K6083" t="inlineStr">
        <is>
          <t>N/A</t>
        </is>
      </c>
      <c r="L6083" t="inlineStr">
        <is>
          <t>Chăm sóc, Kỹ năng giao tiếp, Thí Nghiệm, Xử Lý Tình Huống, Đam Mê Học Hỏi</t>
        </is>
      </c>
      <c r="M6083" t="inlineStr">
        <is>
          <t>Bonus, Healthcare Plan, Training, Laptop, Team Activities, Transportation</t>
        </is>
      </c>
      <c r="N6083" s="8">
        <f>HYPERLINK("https://www.vietnamworks.com/djai-dien-kinh-doanh-kenh-tap-hoa-gt-2016931-jv","Xem chi tiết")</f>
        <v/>
      </c>
    </row>
    <row r="6084">
      <c r="B6084" s="9" t="n">
        <v>6082</v>
      </c>
      <c r="C6084" s="10" t="inlineStr">
        <is>
          <t>BIM/ CAD Operator For Structural</t>
        </is>
      </c>
      <c r="D6084" s="10" t="inlineStr">
        <is>
          <t>Công Ty TNHH Thương Mại Và Dịch Vụ Kỹ Thuật Agora</t>
        </is>
      </c>
      <c r="E6084" s="10" t="inlineStr">
        <is>
          <t>Thương lượng</t>
        </is>
      </c>
      <c r="F6084" s="10" t="inlineStr">
        <is>
          <t>Hồ Chí Minh</t>
        </is>
      </c>
      <c r="G6084" s="10" t="inlineStr">
        <is>
          <t>Nhân viên</t>
        </is>
      </c>
      <c r="H6084" s="10" t="inlineStr">
        <is>
          <t>02/03/2026</t>
        </is>
      </c>
      <c r="I6084" s="10" t="inlineStr">
        <is>
          <t>01/04/2026</t>
        </is>
      </c>
      <c r="J6084" s="10" t="inlineStr">
        <is>
          <t>17/03/2026</t>
        </is>
      </c>
      <c r="K6084" s="10" t="inlineStr">
        <is>
          <t>N/A</t>
        </is>
      </c>
      <c r="L6084" s="10" t="inlineStr">
        <is>
          <t>BIM Application, 3D Concept, Structural Drawing, Structural Mechanics, Collaboration</t>
        </is>
      </c>
      <c r="M6084" s="10" t="inlineStr">
        <is>
          <t>Bonus, Healthcare Plan, Paid Leave, Others</t>
        </is>
      </c>
      <c r="N6084" s="11">
        <f>HYPERLINK("https://www.vietnamworks.com/bim-cad-operator-for-structural-2016929-jv","Xem chi tiết")</f>
        <v/>
      </c>
      <c r="O6084" s="10" t="n"/>
    </row>
    <row r="6085">
      <c r="B6085" s="7" t="n">
        <v>6083</v>
      </c>
      <c r="C6085" t="inlineStr">
        <is>
          <t>Kỹ Sư Dự Toán Bóc Tách Khối Lương - Cơ Điện (QS/QC)</t>
        </is>
      </c>
      <c r="D6085" t="inlineStr">
        <is>
          <t>Japan Construction Management Corporation</t>
        </is>
      </c>
      <c r="E6085" t="inlineStr">
        <is>
          <t>Thương lượng</t>
        </is>
      </c>
      <c r="F6085" t="inlineStr">
        <is>
          <t>Hà Nội</t>
        </is>
      </c>
      <c r="G6085" t="inlineStr">
        <is>
          <t>Nhân viên</t>
        </is>
      </c>
      <c r="H6085" t="inlineStr">
        <is>
          <t>02/03/2026</t>
        </is>
      </c>
      <c r="I6085" t="inlineStr">
        <is>
          <t>01/04/2026</t>
        </is>
      </c>
      <c r="J6085" t="inlineStr">
        <is>
          <t>17/03/2026</t>
        </is>
      </c>
      <c r="K6085" t="inlineStr">
        <is>
          <t>N/A</t>
        </is>
      </c>
      <c r="L6085" t="inlineStr">
        <is>
          <t>Xây Dựng, Kỹ Sư Xây Dựng, Bóc Tách Vật Tư, Quản Lý Dự Án, Kinh Nghiệm Qs Xây Dựng</t>
        </is>
      </c>
      <c r="M6085" t="inlineStr">
        <is>
          <t>Bonus, Healthcare Plan, Paid Leave</t>
        </is>
      </c>
      <c r="N6085" s="8">
        <f>HYPERLINK("https://www.vietnamworks.com/ky-su-du-toan-boc-tach-khoi-luong-co-dien-qs-qc-4--2016946-jv","Xem chi tiết")</f>
        <v/>
      </c>
    </row>
    <row r="6086">
      <c r="B6086" s="9" t="n">
        <v>6084</v>
      </c>
      <c r="C6086" s="10" t="inlineStr">
        <is>
          <t>Nhân Viên Cấp Cao Tuyển Dụng và Đào Tạo</t>
        </is>
      </c>
      <c r="D6086" s="10" t="inlineStr">
        <is>
          <t>Công Ty TNHH Megaelec</t>
        </is>
      </c>
      <c r="E6086" s="10" t="inlineStr">
        <is>
          <t>$$ 500-1,000 /tháng</t>
        </is>
      </c>
      <c r="F6086" s="10" t="inlineStr">
        <is>
          <t>Bắc Ninh</t>
        </is>
      </c>
      <c r="G6086" s="10" t="inlineStr">
        <is>
          <t>Nhân viên</t>
        </is>
      </c>
      <c r="H6086" s="10" t="inlineStr">
        <is>
          <t>02/03/2026</t>
        </is>
      </c>
      <c r="I6086" s="10" t="inlineStr">
        <is>
          <t>01/04/2026</t>
        </is>
      </c>
      <c r="J6086" s="10" t="inlineStr">
        <is>
          <t>17/03/2026</t>
        </is>
      </c>
      <c r="K6086" s="10" t="inlineStr">
        <is>
          <t>N/A</t>
        </is>
      </c>
      <c r="L6086" s="10" t="inlineStr">
        <is>
          <t>Tuyển Dụng, Đào Tạo Nội Bộ, Đào Tạo, Tiếng Hàn, Kết Nối Trường Đại Học</t>
        </is>
      </c>
      <c r="M6086" s="10" t="inlineStr">
        <is>
          <t>Paid Leave, Team Activities, Transportation</t>
        </is>
      </c>
      <c r="N6086" s="11">
        <f>HYPERLINK("https://www.vietnamworks.com/nhan-vien-cap-cao-tuyen-dung-va-dao-tao-2016938-jv","Xem chi tiết")</f>
        <v/>
      </c>
      <c r="O6086" s="10" t="n"/>
    </row>
    <row r="6087">
      <c r="B6087" s="7" t="n">
        <v>6085</v>
      </c>
      <c r="C6087" t="inlineStr">
        <is>
          <t>[Hot Job] Phó Phòng Mua Hàng</t>
        </is>
      </c>
      <c r="D6087" t="inlineStr">
        <is>
          <t>CÔNG TY TNHH YASKAWA VIỆT NAM MECHATRONICS SYSTEM</t>
        </is>
      </c>
      <c r="E6087" t="inlineStr">
        <is>
          <t>Thương lượng</t>
        </is>
      </c>
      <c r="F6087" t="inlineStr">
        <is>
          <t>Quảng Ninh, Hải Phòng</t>
        </is>
      </c>
      <c r="G6087" t="inlineStr">
        <is>
          <t>Trưởng phòng</t>
        </is>
      </c>
      <c r="H6087" t="inlineStr">
        <is>
          <t>02/03/2026</t>
        </is>
      </c>
      <c r="I6087" t="inlineStr">
        <is>
          <t>01/04/2026</t>
        </is>
      </c>
      <c r="J6087" t="inlineStr">
        <is>
          <t>17/03/2026</t>
        </is>
      </c>
      <c r="K6087" t="inlineStr">
        <is>
          <t>N/A</t>
        </is>
      </c>
      <c r="L6087" t="inlineStr">
        <is>
          <t>ERP, Mua Hàng, Mua Hàng Sản Xuất, SAP, VNACCS</t>
        </is>
      </c>
      <c r="M6087" t="inlineStr">
        <is>
          <t>Bonus, Healthcare Plan, Paid Leave, Training, Team Activities, Transportation</t>
        </is>
      </c>
      <c r="N6087" s="8">
        <f>HYPERLINK("https://www.vietnamworks.com/hot-job-pho-phong-mua-hang--2016936-jv","Xem chi tiết")</f>
        <v/>
      </c>
    </row>
    <row r="6088">
      <c r="B6088" s="9" t="n">
        <v>6086</v>
      </c>
      <c r="C6088" s="10" t="inlineStr">
        <is>
          <t>Field Trade Activation - PG Supervisor (Quản lý Tiếp Thị PG)</t>
        </is>
      </c>
      <c r="D6088" s="10" t="inlineStr">
        <is>
          <t>Abbott</t>
        </is>
      </c>
      <c r="E6088" s="10" t="inlineStr">
        <is>
          <t>20tr-30tr ₫/tháng</t>
        </is>
      </c>
      <c r="F6088" s="10" t="inlineStr">
        <is>
          <t>Tây Ninh, Bến Tre</t>
        </is>
      </c>
      <c r="G6088" s="10" t="inlineStr">
        <is>
          <t>Trưởng phòng</t>
        </is>
      </c>
      <c r="H6088" s="10" t="inlineStr">
        <is>
          <t>02/03/2026</t>
        </is>
      </c>
      <c r="I6088" s="10" t="inlineStr">
        <is>
          <t>01/04/2026</t>
        </is>
      </c>
      <c r="J6088" s="10" t="inlineStr">
        <is>
          <t>17/03/2026</t>
        </is>
      </c>
      <c r="K6088" s="10" t="inlineStr">
        <is>
          <t>N/A</t>
        </is>
      </c>
      <c r="L6088" s="10" t="inlineStr">
        <is>
          <t>Giải Quyết Vấn Đề, Kỹ Năng Excel, Kỹ năng giao tiếp, Phân Tích Dữ Liệu</t>
        </is>
      </c>
      <c r="M6088" s="10" t="inlineStr">
        <is>
          <t>Bonus, Healthcare Plan, Training, Laptop, Team Activities, Transportation</t>
        </is>
      </c>
      <c r="N6088" s="11">
        <f>HYPERLINK("https://www.vietnamworks.com/field-trade-activation-pg-supervisor-quan-ly-tiep-thi-pg-2016934-jv","Xem chi tiết")</f>
        <v/>
      </c>
      <c r="O6088" s="10" t="n"/>
    </row>
    <row r="6089">
      <c r="B6089" s="7" t="n">
        <v>6087</v>
      </c>
      <c r="C6089" t="inlineStr">
        <is>
          <t>Nhân Viên HSE (HSE Staff)</t>
        </is>
      </c>
      <c r="D6089" t="inlineStr">
        <is>
          <t>Công ty cổ phần Trang (TrangCorp)</t>
        </is>
      </c>
      <c r="E6089" t="inlineStr">
        <is>
          <t>$$ 500-700 /tháng</t>
        </is>
      </c>
      <c r="F6089" t="inlineStr">
        <is>
          <t>Hồ Chí Minh</t>
        </is>
      </c>
      <c r="G6089" t="inlineStr">
        <is>
          <t>Nhân viên</t>
        </is>
      </c>
      <c r="H6089" t="inlineStr">
        <is>
          <t>02/03/2026</t>
        </is>
      </c>
      <c r="I6089" t="inlineStr">
        <is>
          <t>01/04/2026</t>
        </is>
      </c>
      <c r="J6089" t="inlineStr">
        <is>
          <t>17/03/2026</t>
        </is>
      </c>
      <c r="K6089" t="inlineStr">
        <is>
          <t>N/A</t>
        </is>
      </c>
      <c r="L6089" t="inlineStr">
        <is>
          <t>Giao Tiếp, Làm Việc Nhóm, Phân Tích Rủi Ro, Quản Lý An Toàn, Đào Tạo Nhân Sự</t>
        </is>
      </c>
      <c r="M6089" t="inlineStr">
        <is>
          <t>Bonus, Training, Others</t>
        </is>
      </c>
      <c r="N6089" s="8">
        <f>HYPERLINK("https://www.vietnamworks.com/nhan-vien-hse-hse-staff-2016933-jv","Xem chi tiết")</f>
        <v/>
      </c>
    </row>
    <row r="6090">
      <c r="B6090" s="9" t="n">
        <v>6088</v>
      </c>
      <c r="C6090" s="10" t="inlineStr">
        <is>
          <t>[Hot Job] Phó Phòng Kế Hoạch Sản Xuất – Xuất Nhập Khẩu</t>
        </is>
      </c>
      <c r="D6090" s="10" t="inlineStr">
        <is>
          <t>CÔNG TY TNHH YASKAWA VIỆT NAM MECHATRONICS SYSTEM</t>
        </is>
      </c>
      <c r="E6090" s="10" t="inlineStr">
        <is>
          <t>Thương lượng</t>
        </is>
      </c>
      <c r="F6090" s="10" t="inlineStr">
        <is>
          <t>Quảng Ninh, Hải Phòng</t>
        </is>
      </c>
      <c r="G6090" s="10" t="inlineStr">
        <is>
          <t>Trưởng phòng</t>
        </is>
      </c>
      <c r="H6090" s="10" t="inlineStr">
        <is>
          <t>02/03/2026</t>
        </is>
      </c>
      <c r="I6090" s="10" t="inlineStr">
        <is>
          <t>01/04/2026</t>
        </is>
      </c>
      <c r="J6090" s="10" t="inlineStr">
        <is>
          <t>17/03/2026</t>
        </is>
      </c>
      <c r="K6090" s="10" t="inlineStr">
        <is>
          <t>N/A</t>
        </is>
      </c>
      <c r="L6090" s="10" t="inlineStr">
        <is>
          <t>ERP, SAP, VNACCS, Kế Hoạch Sản Xuất, Quản Lý Kế Hoạch</t>
        </is>
      </c>
      <c r="M6090" s="10" t="inlineStr">
        <is>
          <t>Bonus, Healthcare Plan, Paid Leave, Training, Team Activities, Transportation</t>
        </is>
      </c>
      <c r="N6090" s="11">
        <f>HYPERLINK("https://www.vietnamworks.com/hot-job-pho-phong-ke-hoach-san-xuat-xuat-nhap-khau--2016939-jv","Xem chi tiết")</f>
        <v/>
      </c>
      <c r="O6090" s="10" t="n"/>
    </row>
    <row r="6091">
      <c r="B6091" s="7" t="n">
        <v>6089</v>
      </c>
      <c r="C6091" t="inlineStr">
        <is>
          <t>Documentation Staff (Freight Forwarding) In HCM Office</t>
        </is>
      </c>
      <c r="D6091" t="inlineStr">
        <is>
          <t>KPL Vietnam Co., Ltd</t>
        </is>
      </c>
      <c r="E6091" t="inlineStr">
        <is>
          <t>Thương lượng</t>
        </is>
      </c>
      <c r="F6091" t="inlineStr">
        <is>
          <t>Hồ Chí Minh</t>
        </is>
      </c>
      <c r="G6091" t="inlineStr">
        <is>
          <t>Nhân viên</t>
        </is>
      </c>
      <c r="H6091" t="inlineStr">
        <is>
          <t>02/03/2026</t>
        </is>
      </c>
      <c r="I6091" t="inlineStr">
        <is>
          <t>01/04/2026</t>
        </is>
      </c>
      <c r="J6091" t="inlineStr">
        <is>
          <t>17/03/2026</t>
        </is>
      </c>
      <c r="K6091" t="inlineStr">
        <is>
          <t>N/A</t>
        </is>
      </c>
      <c r="L6091" t="inlineStr">
        <is>
          <t>Logistics, Forwarding, Shipping Management, Freight Forwarding, Documentation</t>
        </is>
      </c>
      <c r="M6091" t="inlineStr">
        <is>
          <t>Bonus, Healthcare Plan, Team Activities</t>
        </is>
      </c>
      <c r="N6091" s="8">
        <f>HYPERLINK("https://www.vietnamworks.com/documentation-staff-freight-forwarding-in-hcm-office-2016937-jv","Xem chi tiết")</f>
        <v/>
      </c>
    </row>
    <row r="6092">
      <c r="B6092" s="9" t="n">
        <v>6090</v>
      </c>
      <c r="C6092" s="10" t="inlineStr">
        <is>
          <t>Kĩ Sư Điện (Commisioning) - 4U020</t>
        </is>
      </c>
      <c r="D6092" s="10" t="inlineStr">
        <is>
          <t>Tập đoàn ROX (ROX Group)</t>
        </is>
      </c>
      <c r="E6092" s="10" t="inlineStr">
        <is>
          <t>Thương lượng</t>
        </is>
      </c>
      <c r="F6092" s="10" t="inlineStr">
        <is>
          <t>Quốc tế</t>
        </is>
      </c>
      <c r="G6092" s="10" t="inlineStr">
        <is>
          <t>Nhân viên</t>
        </is>
      </c>
      <c r="H6092" s="10" t="inlineStr">
        <is>
          <t>02/03/2026</t>
        </is>
      </c>
      <c r="I6092" s="10" t="inlineStr">
        <is>
          <t>01/04/2026</t>
        </is>
      </c>
      <c r="J6092" s="10" t="inlineStr">
        <is>
          <t>17/03/2026</t>
        </is>
      </c>
      <c r="K6092" s="10" t="inlineStr">
        <is>
          <t>N/A</t>
        </is>
      </c>
      <c r="L6092" s="10" t="inlineStr">
        <is>
          <t>AutoCAD Electrical, Hệ Thống Điện, Kỹ Thuật Điện, Thẩm Định Vấn Đề, Tự Động Hóa</t>
        </is>
      </c>
      <c r="M6092" s="10" t="inlineStr">
        <is>
          <t>Bonus, Healthcare Plan, Training, Travel Opportunities, Others</t>
        </is>
      </c>
      <c r="N6092" s="11">
        <f>HYPERLINK("https://www.vietnamworks.com/ki-su-dien-commisioning-4u020-2016930-jv","Xem chi tiết")</f>
        <v/>
      </c>
      <c r="O6092" s="10" t="n"/>
    </row>
    <row r="6093">
      <c r="B6093" s="7" t="n">
        <v>6091</v>
      </c>
      <c r="C6093" t="inlineStr">
        <is>
          <t>QS Văn Phòng</t>
        </is>
      </c>
      <c r="D6093" t="inlineStr">
        <is>
          <t>Công Ty Cổ Phần Xây Dựng A&amp;C</t>
        </is>
      </c>
      <c r="E6093" t="inlineStr">
        <is>
          <t>Thương lượng</t>
        </is>
      </c>
      <c r="F6093" t="inlineStr">
        <is>
          <t>Hồ Chí Minh</t>
        </is>
      </c>
      <c r="G6093" t="inlineStr">
        <is>
          <t>Trưởng phòng</t>
        </is>
      </c>
      <c r="H6093" t="inlineStr">
        <is>
          <t>02/03/2026</t>
        </is>
      </c>
      <c r="I6093" t="inlineStr">
        <is>
          <t>01/04/2026</t>
        </is>
      </c>
      <c r="J6093" t="inlineStr">
        <is>
          <t>17/03/2026</t>
        </is>
      </c>
      <c r="K6093" t="inlineStr">
        <is>
          <t>N/A</t>
        </is>
      </c>
      <c r="L6093" t="inlineStr">
        <is>
          <t>ACAD, Revit, Tekla, Dự Toán, Kiến Trúc Xây Dựng</t>
        </is>
      </c>
      <c r="M6093" t="inlineStr">
        <is>
          <t>Bonus, Healthcare Plan, Others</t>
        </is>
      </c>
      <c r="N6093" s="8">
        <f>HYPERLINK("https://www.vietnamworks.com/qs-van-phong-2016951-jv","Xem chi tiết")</f>
        <v/>
      </c>
    </row>
    <row r="6094">
      <c r="B6094" s="9" t="n">
        <v>6092</v>
      </c>
      <c r="C6094" s="10" t="inlineStr">
        <is>
          <t>Product Development Material Coordinator (Funiture)</t>
        </is>
      </c>
      <c r="D6094" s="10" t="inlineStr">
        <is>
          <t>VPDD Citigroup Ltd. In Vietnam</t>
        </is>
      </c>
      <c r="E6094" s="10" t="inlineStr">
        <is>
          <t>Thương lượng</t>
        </is>
      </c>
      <c r="F6094" s="10" t="inlineStr">
        <is>
          <t>Bình Dương, Hồ Chí Minh, Đồng Nai</t>
        </is>
      </c>
      <c r="G6094" s="10" t="inlineStr">
        <is>
          <t>Nhân viên</t>
        </is>
      </c>
      <c r="H6094" s="10" t="inlineStr">
        <is>
          <t>02/03/2026</t>
        </is>
      </c>
      <c r="I6094" s="10" t="inlineStr">
        <is>
          <t>01/04/2026</t>
        </is>
      </c>
      <c r="J6094" s="10" t="inlineStr">
        <is>
          <t>17/03/2026</t>
        </is>
      </c>
      <c r="K6094" s="10" t="inlineStr">
        <is>
          <t>N/A</t>
        </is>
      </c>
      <c r="L6094" s="10" t="inlineStr">
        <is>
          <t>Furniture sourcing, Samples Development, Product Development, Material Samples, Audit Supplier</t>
        </is>
      </c>
      <c r="M6094" s="10" t="inlineStr">
        <is>
          <t>Paid Leave, Laptop, Transportation</t>
        </is>
      </c>
      <c r="N6094" s="11">
        <f>HYPERLINK("https://www.vietnamworks.com/product-development-material-coordinator-funiture--2016935-jv","Xem chi tiết")</f>
        <v/>
      </c>
      <c r="O6094" s="10" t="n"/>
    </row>
    <row r="6095">
      <c r="B6095" s="7" t="n">
        <v>6093</v>
      </c>
      <c r="C6095" t="inlineStr">
        <is>
          <t>[Miền Trung] Regional Field Trade Activation Manager Quản Lý Tiếp Thị Vùng</t>
        </is>
      </c>
      <c r="D6095" t="inlineStr">
        <is>
          <t>Abbott</t>
        </is>
      </c>
      <c r="E6095" t="inlineStr">
        <is>
          <t>35tr-70tr ₫/tháng</t>
        </is>
      </c>
      <c r="F6095" t="inlineStr">
        <is>
          <t>Đà Nẵng, Quảng Ninh, Thanh Hóa</t>
        </is>
      </c>
      <c r="G6095" t="inlineStr">
        <is>
          <t>Trưởng phòng</t>
        </is>
      </c>
      <c r="H6095" t="inlineStr">
        <is>
          <t>02/03/2026</t>
        </is>
      </c>
      <c r="I6095" t="inlineStr">
        <is>
          <t>01/04/2026</t>
        </is>
      </c>
      <c r="J6095" t="inlineStr">
        <is>
          <t>17/03/2026</t>
        </is>
      </c>
      <c r="K6095" t="inlineStr">
        <is>
          <t>N/A</t>
        </is>
      </c>
      <c r="L6095" t="inlineStr">
        <is>
          <t>Analytical Thinking, Leadership, Sales Operation, Trade Marketing, Workflow Management</t>
        </is>
      </c>
      <c r="M6095" t="inlineStr">
        <is>
          <t>Bonus, Healthcare Plan, Training, Laptop, Team Activities, Transportation, Others</t>
        </is>
      </c>
      <c r="N6095" s="8">
        <f>HYPERLINK("https://www.vietnamworks.com/mien-trung-regional-field-trade-activation-manager-quan-ly-tiep-thi-vung-2016945-jv","Xem chi tiết")</f>
        <v/>
      </c>
    </row>
    <row r="6096">
      <c r="B6096" s="9" t="n">
        <v>6094</v>
      </c>
      <c r="C6096" s="10" t="inlineStr">
        <is>
          <t>Senior Health, Safety &amp; Environment Executive</t>
        </is>
      </c>
      <c r="D6096" s="10" t="inlineStr">
        <is>
          <t>Nestlé Vietnam LTD.</t>
        </is>
      </c>
      <c r="E6096" s="10" t="inlineStr">
        <is>
          <t>Thương lượng</t>
        </is>
      </c>
      <c r="F6096" s="10" t="inlineStr">
        <is>
          <t>Đồng Nai</t>
        </is>
      </c>
      <c r="G6096" s="10" t="inlineStr">
        <is>
          <t>Nhân viên</t>
        </is>
      </c>
      <c r="H6096" s="10" t="inlineStr">
        <is>
          <t>02/03/2026</t>
        </is>
      </c>
      <c r="I6096" s="10" t="inlineStr">
        <is>
          <t>01/04/2026</t>
        </is>
      </c>
      <c r="J6096" s="10" t="inlineStr">
        <is>
          <t>17/03/2026</t>
        </is>
      </c>
      <c r="K6096" s="10" t="inlineStr">
        <is>
          <t>N/A</t>
        </is>
      </c>
      <c r="L6096" s="10" t="inlineStr">
        <is>
          <t>Safety Management, SHE Management, Industrial Hygiene, HSE Compliance, An Toàn Lao Động</t>
        </is>
      </c>
      <c r="M6096" s="10" t="inlineStr">
        <is>
          <t>Bonus, Healthcare Plan, Transportation</t>
        </is>
      </c>
      <c r="N6096" s="11">
        <f>HYPERLINK("https://www.vietnamworks.com/senior-health-safety-environment-executive--2016950-jv","Xem chi tiết")</f>
        <v/>
      </c>
      <c r="O6096" s="10" t="n"/>
    </row>
    <row r="6097">
      <c r="B6097" s="7" t="n">
        <v>6095</v>
      </c>
      <c r="C6097" t="inlineStr">
        <is>
          <t>Nhân Viên Sourcing / Nhân Viên Chốt Đơn Hàng (Thu Nhập 10 - 60 Triệu)</t>
        </is>
      </c>
      <c r="D6097" t="inlineStr">
        <is>
          <t>CÔNG TY CỔ PHẦN HAPLAST</t>
        </is>
      </c>
      <c r="E6097" t="inlineStr">
        <is>
          <t>10tr-60tr ₫/tháng</t>
        </is>
      </c>
      <c r="F6097" t="inlineStr">
        <is>
          <t>Hà Nội</t>
        </is>
      </c>
      <c r="G6097" t="inlineStr">
        <is>
          <t>Nhân viên</t>
        </is>
      </c>
      <c r="H6097" t="inlineStr">
        <is>
          <t>02/03/2026</t>
        </is>
      </c>
      <c r="I6097" t="inlineStr">
        <is>
          <t>01/04/2026</t>
        </is>
      </c>
      <c r="J6097" t="inlineStr">
        <is>
          <t>17/03/2026</t>
        </is>
      </c>
      <c r="K6097" t="inlineStr">
        <is>
          <t>N/A</t>
        </is>
      </c>
      <c r="L6097" t="inlineStr">
        <is>
          <t>Mua Hàng, Sourcing, Đánh Giá Nhà Cung Cấp, Quản Lý Đơn Hàng, Ngành Nhựa</t>
        </is>
      </c>
      <c r="M6097" t="inlineStr">
        <is>
          <t>Bonus, Training, Travel Opportunities</t>
        </is>
      </c>
      <c r="N6097" s="8">
        <f>HYPERLINK("https://www.vietnamworks.com/nhan-vien-sourcing-nhan-vien-chot-don-hang-thu-nhap-10-60-trieu-2016943-jv","Xem chi tiết")</f>
        <v/>
      </c>
    </row>
    <row r="6098">
      <c r="B6098" s="9" t="n">
        <v>6096</v>
      </c>
      <c r="C6098" s="10" t="inlineStr">
        <is>
          <t>Cost Analyst (Material Price in Wood / Furniture)</t>
        </is>
      </c>
      <c r="D6098" s="10" t="inlineStr">
        <is>
          <t>VPDD Citigroup Ltd. In Vietnam</t>
        </is>
      </c>
      <c r="E6098" s="10" t="inlineStr">
        <is>
          <t>Thương lượng</t>
        </is>
      </c>
      <c r="F6098" s="10" t="inlineStr">
        <is>
          <t>Bình Dương, Hồ Chí Minh, Đồng Nai</t>
        </is>
      </c>
      <c r="G6098" s="10" t="inlineStr">
        <is>
          <t>Nhân viên</t>
        </is>
      </c>
      <c r="H6098" s="10" t="inlineStr">
        <is>
          <t>02/03/2026</t>
        </is>
      </c>
      <c r="I6098" s="10" t="inlineStr">
        <is>
          <t>01/04/2026</t>
        </is>
      </c>
      <c r="J6098" s="10" t="inlineStr">
        <is>
          <t>17/03/2026</t>
        </is>
      </c>
      <c r="K6098" s="10" t="inlineStr">
        <is>
          <t>N/A</t>
        </is>
      </c>
      <c r="L6098" s="10" t="inlineStr">
        <is>
          <t>Costing Analysis, Material Costing, Furniture Products, Wood Material, CAD Drawings</t>
        </is>
      </c>
      <c r="M6098" s="10" t="inlineStr">
        <is>
          <t>Paid Leave, Laptop, Transportation</t>
        </is>
      </c>
      <c r="N6098" s="11">
        <f>HYPERLINK("https://www.vietnamworks.com/cost-analyst-material-price-in-wood-furniture--2016940-jv","Xem chi tiết")</f>
        <v/>
      </c>
      <c r="O6098" s="10" t="n"/>
    </row>
    <row r="6099">
      <c r="B6099" s="7" t="n">
        <v>6097</v>
      </c>
      <c r="C6099" t="inlineStr">
        <is>
          <t>Kỹ Sư Điện (Ưu Tiên Ứng Viên Có Kinh Nghiệm Giám Sát Hệ Thống Điện Năng Lượng Mặt Trời)</t>
        </is>
      </c>
      <c r="D6099" t="inlineStr">
        <is>
          <t>Công Ty TNHH Cơ Khí Kỹ Thuật Xây Dựng Po Sung</t>
        </is>
      </c>
      <c r="E6099" t="inlineStr">
        <is>
          <t>Thương lượng</t>
        </is>
      </c>
      <c r="F6099" t="inlineStr">
        <is>
          <t>Tây Ninh, Bình Dương, Hồ Chí Minh</t>
        </is>
      </c>
      <c r="G6099" t="inlineStr">
        <is>
          <t>Nhân viên</t>
        </is>
      </c>
      <c r="H6099" t="inlineStr">
        <is>
          <t>02/03/2026</t>
        </is>
      </c>
      <c r="I6099" t="inlineStr">
        <is>
          <t>01/04/2026</t>
        </is>
      </c>
      <c r="J6099" t="inlineStr">
        <is>
          <t>17/03/2026</t>
        </is>
      </c>
      <c r="K6099" t="inlineStr">
        <is>
          <t>N/A</t>
        </is>
      </c>
      <c r="L6099" t="inlineStr">
        <is>
          <t>Giám Sát Hệ Điện, Lập Kế Hoạch Vật Tư, Quản lý chất lượng, Quyết Toán Khối Lượng, Điện Tử</t>
        </is>
      </c>
      <c r="M6099" t="inlineStr">
        <is>
          <t>Bonus, Healthcare Plan, Paid Leave, Others</t>
        </is>
      </c>
      <c r="N6099" s="8">
        <f>HYPERLINK("https://www.vietnamworks.com/ky-su-djien-uu-tien-ung-vien-co-kinh-nghiem-giam-sat-he-thong-djien-nang-luong-mat-troi-2016947-jv","Xem chi tiết")</f>
        <v/>
      </c>
    </row>
    <row r="6100">
      <c r="B6100" s="9" t="n">
        <v>6098</v>
      </c>
      <c r="C6100" s="10" t="inlineStr">
        <is>
          <t>Kế Toán Kho (Kế Toán Quản Lý Hàng Hóa)</t>
        </is>
      </c>
      <c r="D6100" s="10" t="inlineStr">
        <is>
          <t>Chi Nhánh Công Ty CP Maison Retail Management International</t>
        </is>
      </c>
      <c r="E6100" s="10" t="inlineStr">
        <is>
          <t>Thương lượng</t>
        </is>
      </c>
      <c r="F6100" s="10" t="inlineStr">
        <is>
          <t>Hà Nội</t>
        </is>
      </c>
      <c r="G6100" s="10" t="inlineStr">
        <is>
          <t>Nhân viên</t>
        </is>
      </c>
      <c r="H6100" s="10" t="inlineStr">
        <is>
          <t>02/03/2026</t>
        </is>
      </c>
      <c r="I6100" s="10" t="inlineStr">
        <is>
          <t>01/04/2026</t>
        </is>
      </c>
      <c r="J6100" s="10" t="inlineStr">
        <is>
          <t>17/03/2026</t>
        </is>
      </c>
      <c r="K6100" s="10" t="inlineStr">
        <is>
          <t>N/A</t>
        </is>
      </c>
      <c r="L6100" s="10" t="inlineStr">
        <is>
          <t>Kế Toán Kho, Sử Dụng Phần Mềm Sap, Tính Giá Thành, Thời Trang, Kế Toán</t>
        </is>
      </c>
      <c r="M6100" s="10" t="inlineStr">
        <is>
          <t>Bonus, Healthcare Plan, Paid Leave</t>
        </is>
      </c>
      <c r="N6100" s="11">
        <f>HYPERLINK("https://www.vietnamworks.com/ke-toan-kho-ke-toan-quan-ly-hang-hoa--2016942-jv","Xem chi tiết")</f>
        <v/>
      </c>
      <c r="O6100" s="10" t="n"/>
    </row>
    <row r="6101">
      <c r="B6101" s="7" t="n">
        <v>6099</v>
      </c>
      <c r="C6101" t="inlineStr">
        <is>
          <t>Nhân Viên QA Specification</t>
        </is>
      </c>
      <c r="D6101" t="inlineStr">
        <is>
          <t>Công ty cổ phần Trang (TrangCorp)</t>
        </is>
      </c>
      <c r="E6101" t="inlineStr">
        <is>
          <t>Thương lượng</t>
        </is>
      </c>
      <c r="F6101" t="inlineStr">
        <is>
          <t>Hồ Chí Minh</t>
        </is>
      </c>
      <c r="G6101" t="inlineStr">
        <is>
          <t>Nhân viên</t>
        </is>
      </c>
      <c r="H6101" t="inlineStr">
        <is>
          <t>02/03/2026</t>
        </is>
      </c>
      <c r="I6101" t="inlineStr">
        <is>
          <t>01/04/2026</t>
        </is>
      </c>
      <c r="J6101" t="inlineStr">
        <is>
          <t>17/03/2026</t>
        </is>
      </c>
      <c r="K6101" t="inlineStr">
        <is>
          <t>N/A</t>
        </is>
      </c>
      <c r="L6101" t="inlineStr">
        <is>
          <t>Communication Skills, Food Technology, Presentation Skills, Teamwork, QA</t>
        </is>
      </c>
      <c r="M6101" t="inlineStr">
        <is>
          <t>Healthcare Plan, Paid Leave, Travel Opportunities, Canteen</t>
        </is>
      </c>
      <c r="N6101" s="8">
        <f>HYPERLINK("https://www.vietnamworks.com/nhan-vien-qa-specification-2016941-jv","Xem chi tiết")</f>
        <v/>
      </c>
    </row>
    <row r="6102">
      <c r="B6102" s="9" t="n">
        <v>6100</v>
      </c>
      <c r="C6102" s="10" t="inlineStr">
        <is>
          <t>Nhân Viên Chăm Sóc Khách Hàng (Admission Officer)</t>
        </is>
      </c>
      <c r="D6102" s="10" t="inlineStr">
        <is>
          <t>ILA Vietnam</t>
        </is>
      </c>
      <c r="E6102" s="10" t="inlineStr">
        <is>
          <t>Thương lượng</t>
        </is>
      </c>
      <c r="F6102" s="10" t="inlineStr">
        <is>
          <t>Hồ Chí Minh, Bình Dương</t>
        </is>
      </c>
      <c r="G6102" s="10" t="inlineStr">
        <is>
          <t>Mới Tốt Nghiệp</t>
        </is>
      </c>
      <c r="H6102" s="10" t="inlineStr">
        <is>
          <t>02/03/2026</t>
        </is>
      </c>
      <c r="I6102" s="10" t="inlineStr">
        <is>
          <t>01/04/2026</t>
        </is>
      </c>
      <c r="J6102" s="10" t="inlineStr">
        <is>
          <t>17/03/2026</t>
        </is>
      </c>
      <c r="K6102" s="10" t="inlineStr">
        <is>
          <t>N/A</t>
        </is>
      </c>
      <c r="L6102" s="10" t="inlineStr">
        <is>
          <t>Customer Experiences, Consultant Service, Education Operations, Chăm Sóc Khách Hàng, Telesales</t>
        </is>
      </c>
      <c r="M6102" s="10" t="inlineStr">
        <is>
          <t>Bonus, Paid Leave, Training</t>
        </is>
      </c>
      <c r="N6102" s="11">
        <f>HYPERLINK("https://www.vietnamworks.com/nhan-vien-cham-soc-khach-hang-admission-officer--2016948-jv","Xem chi tiết")</f>
        <v/>
      </c>
      <c r="O6102" s="10" t="n"/>
    </row>
    <row r="6103">
      <c r="B6103" s="7" t="n">
        <v>6101</v>
      </c>
      <c r="C6103" t="inlineStr">
        <is>
          <t>Senior of Accounting and Admin</t>
        </is>
      </c>
      <c r="D6103" t="inlineStr">
        <is>
          <t>CÔNG TY TNHH MNC TECHNOLOGY</t>
        </is>
      </c>
      <c r="E6103" t="inlineStr">
        <is>
          <t>Từ 18tr ₫/tháng</t>
        </is>
      </c>
      <c r="F6103" t="inlineStr">
        <is>
          <t>Hà Nội</t>
        </is>
      </c>
      <c r="G6103" t="inlineStr">
        <is>
          <t>Nhân viên</t>
        </is>
      </c>
      <c r="H6103" t="inlineStr">
        <is>
          <t>02/03/2026</t>
        </is>
      </c>
      <c r="I6103" t="inlineStr">
        <is>
          <t>01/04/2026</t>
        </is>
      </c>
      <c r="J6103" t="inlineStr">
        <is>
          <t>17/03/2026</t>
        </is>
      </c>
      <c r="K6103" t="inlineStr">
        <is>
          <t>N/A</t>
        </is>
      </c>
      <c r="L6103" t="inlineStr">
        <is>
          <t>English, ERP, Technical Training, Financial Management, Accounting</t>
        </is>
      </c>
      <c r="M6103" t="inlineStr">
        <is>
          <t>Bonus, Healthcare Plan, Others</t>
        </is>
      </c>
      <c r="N6103" s="8">
        <f>HYPERLINK("https://www.vietnamworks.com/senior-of-accounting-and-admin-2016954-jv","Xem chi tiết")</f>
        <v/>
      </c>
    </row>
    <row r="6104">
      <c r="B6104" s="9" t="n">
        <v>6102</v>
      </c>
      <c r="C6104" s="10" t="inlineStr">
        <is>
          <t>Kế Toán Tổng Hợp</t>
        </is>
      </c>
      <c r="D6104" s="10" t="inlineStr">
        <is>
          <t>Công Ty Cổ Phần Công Nghiệp LME</t>
        </is>
      </c>
      <c r="E6104" s="10" t="inlineStr">
        <is>
          <t>20tr-25tr ₫/tháng</t>
        </is>
      </c>
      <c r="F6104" s="10" t="inlineStr">
        <is>
          <t>Hà Nội</t>
        </is>
      </c>
      <c r="G6104" s="10" t="inlineStr">
        <is>
          <t>Nhân viên</t>
        </is>
      </c>
      <c r="H6104" s="10" t="inlineStr">
        <is>
          <t>02/03/2026</t>
        </is>
      </c>
      <c r="I6104" s="10" t="inlineStr">
        <is>
          <t>01/04/2026</t>
        </is>
      </c>
      <c r="J6104" s="10" t="inlineStr">
        <is>
          <t>17/03/2026</t>
        </is>
      </c>
      <c r="K6104" s="10" t="inlineStr">
        <is>
          <t>N/A</t>
        </is>
      </c>
      <c r="L6104" s="10" t="inlineStr">
        <is>
          <t>Kế Toán Tổng Hợp, Quản Lý Tài Chính, General Accounting, Kiểm Toán, Lập Báo Cáo Tài Chính</t>
        </is>
      </c>
      <c r="M6104" s="10" t="inlineStr">
        <is>
          <t>Bonus, Healthcare Plan, Paid Leave, Canteen, Others</t>
        </is>
      </c>
      <c r="N6104" s="11">
        <f>HYPERLINK("https://www.vietnamworks.com/ke-toan-tong-hop-2016952-jv","Xem chi tiết")</f>
        <v/>
      </c>
      <c r="O6104" s="10" t="n"/>
    </row>
    <row r="6105">
      <c r="B6105" s="7" t="n">
        <v>6103</v>
      </c>
      <c r="C6105" t="inlineStr">
        <is>
          <t>Air Export Staff / Urgent</t>
        </is>
      </c>
      <c r="D6105" t="inlineStr">
        <is>
          <t>KGL Vietnam Co., Ltd</t>
        </is>
      </c>
      <c r="E6105" t="inlineStr">
        <is>
          <t>Thương lượng</t>
        </is>
      </c>
      <c r="F6105" t="inlineStr">
        <is>
          <t>Hà Nội</t>
        </is>
      </c>
      <c r="G6105" t="inlineStr">
        <is>
          <t>Nhân viên</t>
        </is>
      </c>
      <c r="H6105" t="inlineStr">
        <is>
          <t>02/03/2026</t>
        </is>
      </c>
      <c r="I6105" t="inlineStr">
        <is>
          <t>01/04/2026</t>
        </is>
      </c>
      <c r="J6105" t="inlineStr">
        <is>
          <t>17/03/2026</t>
        </is>
      </c>
      <c r="K6105" t="inlineStr">
        <is>
          <t>N/A</t>
        </is>
      </c>
      <c r="L6105" t="inlineStr">
        <is>
          <t>Foreign Trade, Logistics, Customs Clearance, Customs Operations, Export-Import Knowledge</t>
        </is>
      </c>
      <c r="M6105" t="inlineStr">
        <is>
          <t>Bonus, Healthcare Plan, Training, Others</t>
        </is>
      </c>
      <c r="N6105" s="8">
        <f>HYPERLINK("https://www.vietnamworks.com/air-export-staff-urgent-2016956-jv","Xem chi tiết")</f>
        <v/>
      </c>
    </row>
    <row r="6106">
      <c r="B6106" s="9" t="n">
        <v>6104</v>
      </c>
      <c r="C6106" s="10" t="inlineStr">
        <is>
          <t>Chuyên Viên Phòng Phát Triển Kênh Ngân Hàng Số - Hội Sở Chính [Đi Làm Ngay]</t>
        </is>
      </c>
      <c r="D6106" s="10" t="inlineStr">
        <is>
          <t>Public Bank Vietnam Ltd</t>
        </is>
      </c>
      <c r="E6106" s="10" t="inlineStr">
        <is>
          <t>Tới $ 1,500 /tháng</t>
        </is>
      </c>
      <c r="F6106" s="10" t="inlineStr">
        <is>
          <t>Hà Nội</t>
        </is>
      </c>
      <c r="G6106" s="10" t="inlineStr">
        <is>
          <t>Nhân viên</t>
        </is>
      </c>
      <c r="H6106" s="10" t="inlineStr">
        <is>
          <t>02/03/2026</t>
        </is>
      </c>
      <c r="I6106" s="10" t="inlineStr">
        <is>
          <t>01/04/2026</t>
        </is>
      </c>
      <c r="J6106" s="10" t="inlineStr">
        <is>
          <t>17/03/2026</t>
        </is>
      </c>
      <c r="K6106" s="10" t="inlineStr">
        <is>
          <t>N/A</t>
        </is>
      </c>
      <c r="L6106" s="10" t="inlineStr">
        <is>
          <t>Mobile Banking, Digital Banking, Internet Banking</t>
        </is>
      </c>
      <c r="M6106" s="10" t="inlineStr">
        <is>
          <t>Bonus, Training</t>
        </is>
      </c>
      <c r="N6106" s="11">
        <f>HYPERLINK("https://www.vietnamworks.com/chuyen-vien-phong-phat-trien-kenh-ngan-hang-so-hoi-so-chinh-di-lam-ngay--2016972-jv","Xem chi tiết")</f>
        <v/>
      </c>
      <c r="O6106" s="10" t="n"/>
    </row>
    <row r="6107">
      <c r="B6107" s="7" t="n">
        <v>6105</v>
      </c>
      <c r="C6107" t="inlineStr">
        <is>
          <t>Nhân Viên Thiết Kế ME (Điện, Cấp Thoát Nước)</t>
        </is>
      </c>
      <c r="D6107" t="inlineStr">
        <is>
          <t>Công Ty Cổ Phần Xây Dựng Và Đầu Tư Visicons</t>
        </is>
      </c>
      <c r="E6107" t="inlineStr">
        <is>
          <t>Thương lượng</t>
        </is>
      </c>
      <c r="F6107" t="inlineStr">
        <is>
          <t>Hà Nội</t>
        </is>
      </c>
      <c r="G6107" t="inlineStr">
        <is>
          <t>Nhân viên</t>
        </is>
      </c>
      <c r="H6107" t="inlineStr">
        <is>
          <t>02/03/2026</t>
        </is>
      </c>
      <c r="I6107" t="inlineStr">
        <is>
          <t>01/04/2026</t>
        </is>
      </c>
      <c r="J6107" t="inlineStr">
        <is>
          <t>17/03/2026</t>
        </is>
      </c>
      <c r="K6107" t="inlineStr">
        <is>
          <t>N/A</t>
        </is>
      </c>
      <c r="L6107" t="inlineStr">
        <is>
          <t>Thiết Kế Cấp Thoát Nước, Thiết Kế Điện, AutoCAD, Revit, M&amp;E - HVAC</t>
        </is>
      </c>
      <c r="M6107" t="inlineStr">
        <is>
          <t>Bonus, Healthcare Plan, Training, Others</t>
        </is>
      </c>
      <c r="N6107" s="8">
        <f>HYPERLINK("https://www.vietnamworks.com/nhan-vien-thiet-ke-me-djien-cap-thoat-nuoc-2016969-jv","Xem chi tiết")</f>
        <v/>
      </c>
    </row>
    <row r="6108">
      <c r="B6108" s="9" t="n">
        <v>6106</v>
      </c>
      <c r="C6108" s="10" t="inlineStr">
        <is>
          <t>Devops Engineer</t>
        </is>
      </c>
      <c r="D6108" s="10" t="inlineStr">
        <is>
          <t>Công Ty Cổ Phần Công Nghệ VMO Holdings</t>
        </is>
      </c>
      <c r="E6108" s="10" t="inlineStr">
        <is>
          <t>Tới 55tr ₫/tháng</t>
        </is>
      </c>
      <c r="F6108" s="10" t="inlineStr">
        <is>
          <t>Hà Nội</t>
        </is>
      </c>
      <c r="G6108" s="10" t="inlineStr">
        <is>
          <t>Nhân viên</t>
        </is>
      </c>
      <c r="H6108" s="10" t="inlineStr">
        <is>
          <t>02/03/2026</t>
        </is>
      </c>
      <c r="I6108" s="10" t="inlineStr">
        <is>
          <t>01/04/2026</t>
        </is>
      </c>
      <c r="J6108" s="10" t="inlineStr">
        <is>
          <t>17/03/2026</t>
        </is>
      </c>
      <c r="K6108" s="10" t="inlineStr">
        <is>
          <t>N/A</t>
        </is>
      </c>
      <c r="L6108" s="10" t="inlineStr">
        <is>
          <t>Ci/Cd Methodologies, Cloud Platform, Communication Skills, Quality Tools, Technical skills</t>
        </is>
      </c>
      <c r="M6108" s="10" t="inlineStr">
        <is>
          <t>Bonus, Healthcare Plan, Awards, Laptop, Team Activities, Others</t>
        </is>
      </c>
      <c r="N6108" s="11">
        <f>HYPERLINK("https://www.vietnamworks.com/devops-engineer-2016957-jv","Xem chi tiết")</f>
        <v/>
      </c>
      <c r="O6108" s="10" t="n"/>
    </row>
    <row r="6109">
      <c r="B6109" s="7" t="n">
        <v>6107</v>
      </c>
      <c r="C6109" t="inlineStr">
        <is>
          <t>Import-Export Specialist (Pharmaceutical Experience Required)</t>
        </is>
      </c>
      <c r="D6109" t="inlineStr">
        <is>
          <t>Công Ty TNHH Dược Phẩm New Far East</t>
        </is>
      </c>
      <c r="E6109" t="inlineStr">
        <is>
          <t>Thương lượng</t>
        </is>
      </c>
      <c r="F6109" t="inlineStr">
        <is>
          <t>Hồ Chí Minh</t>
        </is>
      </c>
      <c r="G6109" t="inlineStr">
        <is>
          <t>Nhân viên</t>
        </is>
      </c>
      <c r="H6109" t="inlineStr">
        <is>
          <t>02/03/2026</t>
        </is>
      </c>
      <c r="I6109" t="inlineStr">
        <is>
          <t>01/04/2026</t>
        </is>
      </c>
      <c r="J6109" t="inlineStr">
        <is>
          <t>17/03/2026</t>
        </is>
      </c>
      <c r="K6109" t="inlineStr">
        <is>
          <t>N/A</t>
        </is>
      </c>
      <c r="L6109" t="inlineStr">
        <is>
          <t>Import-Export, Xuất Nhập Khẩu, Chứng Từ Xuất Nhập Khẩu, GSP, Pharmaceutical Standards</t>
        </is>
      </c>
      <c r="M6109" t="inlineStr">
        <is>
          <t>Bonus, Healthcare Plan, Paid Leave</t>
        </is>
      </c>
      <c r="N6109" s="8">
        <f>HYPERLINK("https://www.vietnamworks.com/import-export-specialist-pharmaceutical-experience-required--2016968-jv","Xem chi tiết")</f>
        <v/>
      </c>
    </row>
    <row r="6110">
      <c r="B6110" s="9" t="n">
        <v>6108</v>
      </c>
      <c r="C6110" s="10" t="inlineStr">
        <is>
          <t>Giám Đốc Quản Lý Khách Hàng Ưu Tiên PRM</t>
        </is>
      </c>
      <c r="D6110" s="10" t="inlineStr">
        <is>
          <t>Ngân Hàng TMCP Quốc Tế Việt Nam (VIB)</t>
        </is>
      </c>
      <c r="E6110" s="10" t="inlineStr">
        <is>
          <t>Từ $ 1,000 /tháng</t>
        </is>
      </c>
      <c r="F6110" s="10" t="inlineStr">
        <is>
          <t>Hồ Chí Minh</t>
        </is>
      </c>
      <c r="G6110" s="10" t="inlineStr">
        <is>
          <t>Giám Đốc và Cấp Cao Hơn</t>
        </is>
      </c>
      <c r="H6110" s="10" t="inlineStr">
        <is>
          <t>02/03/2026</t>
        </is>
      </c>
      <c r="I6110" s="10" t="inlineStr">
        <is>
          <t>01/04/2026</t>
        </is>
      </c>
      <c r="J6110" s="10" t="inlineStr">
        <is>
          <t>17/03/2026</t>
        </is>
      </c>
      <c r="K6110" s="10" t="inlineStr">
        <is>
          <t>N/A</t>
        </is>
      </c>
      <c r="L6110" s="10" t="inlineStr">
        <is>
          <t>Quản Lý Khách Hàng Ưu Tiên, PRM, Huy Động Vốn, Tư Vấn Tài Chính, Sales</t>
        </is>
      </c>
      <c r="M6110" s="10" t="inlineStr">
        <is>
          <t>Bonus, Paid Leave, Travel Opportunities</t>
        </is>
      </c>
      <c r="N6110" s="11">
        <f>HYPERLINK("https://www.vietnamworks.com/giam-doc-quan-ly-khach-hang-uu-tien-prm--2016958-jv","Xem chi tiết")</f>
        <v/>
      </c>
      <c r="O6110" s="10" t="n"/>
    </row>
    <row r="6111">
      <c r="B6111" s="7" t="n">
        <v>6109</v>
      </c>
      <c r="C6111" t="inlineStr">
        <is>
          <t>Principal Learning &amp; Organizational Development</t>
        </is>
      </c>
      <c r="D6111" t="inlineStr">
        <is>
          <t>Công Ty Cổ Phần Vàng Bạc Đá Quý Phú Nhuận (PNJ)</t>
        </is>
      </c>
      <c r="E6111" t="inlineStr">
        <is>
          <t>Thương lượng</t>
        </is>
      </c>
      <c r="F6111" t="inlineStr">
        <is>
          <t>Hồ Chí Minh</t>
        </is>
      </c>
      <c r="G6111" t="inlineStr">
        <is>
          <t>Trưởng phòng</t>
        </is>
      </c>
      <c r="H6111" t="inlineStr">
        <is>
          <t>02/03/2026</t>
        </is>
      </c>
      <c r="I6111" t="inlineStr">
        <is>
          <t>01/04/2026</t>
        </is>
      </c>
      <c r="J6111" t="inlineStr">
        <is>
          <t>17/03/2026</t>
        </is>
      </c>
      <c r="K6111" t="inlineStr">
        <is>
          <t>N/A</t>
        </is>
      </c>
      <c r="L6111" t="inlineStr">
        <is>
          <t>Coaching, Organizational Structure, Performance Management, Talent Development, Team Management</t>
        </is>
      </c>
      <c r="M6111" t="inlineStr">
        <is>
          <t>Bonus</t>
        </is>
      </c>
      <c r="N6111" s="8">
        <f>HYPERLINK("https://www.vietnamworks.com/principal-learning-and-organizational-development-2016979-jv","Xem chi tiết")</f>
        <v/>
      </c>
    </row>
    <row r="6112">
      <c r="B6112" s="9" t="n">
        <v>6110</v>
      </c>
      <c r="C6112" s="10" t="inlineStr">
        <is>
          <t>Giám Đốc Phòng Quản Lý Khách Hàng Ưu Tiên - Khu Vực Hồ Chí Minh</t>
        </is>
      </c>
      <c r="D6112" s="10" t="inlineStr">
        <is>
          <t>Ngân Hàng TMCP Quốc Tế Việt Nam (VIB)</t>
        </is>
      </c>
      <c r="E6112" s="10" t="inlineStr">
        <is>
          <t>Từ $ 1,200 /tháng</t>
        </is>
      </c>
      <c r="F6112" s="10" t="inlineStr">
        <is>
          <t>Hồ Chí Minh</t>
        </is>
      </c>
      <c r="G6112" s="10" t="inlineStr">
        <is>
          <t>Giám Đốc và Cấp Cao Hơn</t>
        </is>
      </c>
      <c r="H6112" s="10" t="inlineStr">
        <is>
          <t>02/03/2026</t>
        </is>
      </c>
      <c r="I6112" s="10" t="inlineStr">
        <is>
          <t>01/04/2026</t>
        </is>
      </c>
      <c r="J6112" s="10" t="inlineStr">
        <is>
          <t>17/03/2026</t>
        </is>
      </c>
      <c r="K6112" s="10" t="inlineStr">
        <is>
          <t>N/A</t>
        </is>
      </c>
      <c r="L6112" s="10" t="inlineStr">
        <is>
          <t>Quản Lý Khách Hàng Ưu Tiên, Tư Vấn Tài Chính, Đầu Tư, Tài Chính Ngân Hàng, Quản Lý Rủi Ro</t>
        </is>
      </c>
      <c r="M6112" s="10" t="inlineStr">
        <is>
          <t>Bonus, Paid Leave, Travel Opportunities</t>
        </is>
      </c>
      <c r="N6112" s="11">
        <f>HYPERLINK("https://www.vietnamworks.com/giam-doc-phong-quan-ly-khach-hang-uu-tien-khu-vuc-ho-chi-minh--2016960-jv","Xem chi tiết")</f>
        <v/>
      </c>
      <c r="O6112" s="10" t="n"/>
    </row>
    <row r="6113">
      <c r="B6113" s="7" t="n">
        <v>6111</v>
      </c>
      <c r="C6113" t="inlineStr">
        <is>
          <t>Chuyên Viên Cao Cấp Truyền Thông Marketing</t>
        </is>
      </c>
      <c r="D6113" t="inlineStr">
        <is>
          <t>Công Ty Cổ Phần Tập Đoàn Sunshine</t>
        </is>
      </c>
      <c r="E6113" t="inlineStr">
        <is>
          <t>$$ 1,000-1,300 /tháng</t>
        </is>
      </c>
      <c r="F6113" t="inlineStr">
        <is>
          <t>Hà Nội</t>
        </is>
      </c>
      <c r="G6113" t="inlineStr">
        <is>
          <t>Nhân viên</t>
        </is>
      </c>
      <c r="H6113" t="inlineStr">
        <is>
          <t>02/03/2026</t>
        </is>
      </c>
      <c r="I6113" t="inlineStr">
        <is>
          <t>01/04/2026</t>
        </is>
      </c>
      <c r="J6113" t="inlineStr">
        <is>
          <t>17/03/2026</t>
        </is>
      </c>
      <c r="K6113" t="inlineStr">
        <is>
          <t>N/A</t>
        </is>
      </c>
      <c r="L6113" t="inlineStr">
        <is>
          <t>Khảo Sát Thị Trường, KOL Management, Marketing Planning, Marketing Strategy, Truyền Thông</t>
        </is>
      </c>
      <c r="M6113" t="inlineStr">
        <is>
          <t>Bonus, Healthcare Plan, Others</t>
        </is>
      </c>
      <c r="N6113" s="8">
        <f>HYPERLINK("https://www.vietnamworks.com/chuyen-vien-cao-cap-truyen-thong-marketing-2016974-jv","Xem chi tiết")</f>
        <v/>
      </c>
    </row>
    <row r="6114">
      <c r="B6114" s="9" t="n">
        <v>6112</v>
      </c>
      <c r="C6114" s="10" t="inlineStr">
        <is>
          <t>Chuyên Viên Kinh Doanh (Thu Nhập Upto 40Tr)</t>
        </is>
      </c>
      <c r="D6114" s="10" t="inlineStr">
        <is>
          <t>Công Ty TNHH Đầu Tư &amp; Phát Triển Phương Việt (Tên Viết Tắt: Phương Việt Group)</t>
        </is>
      </c>
      <c r="E6114" s="10" t="inlineStr">
        <is>
          <t>15tr-40tr ₫/tháng</t>
        </is>
      </c>
      <c r="F6114" s="10" t="inlineStr">
        <is>
          <t>Hà Nội</t>
        </is>
      </c>
      <c r="G6114" s="10" t="inlineStr">
        <is>
          <t>Nhân viên</t>
        </is>
      </c>
      <c r="H6114" s="10" t="inlineStr">
        <is>
          <t>02/03/2026</t>
        </is>
      </c>
      <c r="I6114" s="10" t="inlineStr">
        <is>
          <t>01/04/2026</t>
        </is>
      </c>
      <c r="J6114" s="10" t="inlineStr">
        <is>
          <t>17/03/2026</t>
        </is>
      </c>
      <c r="K6114" s="10" t="inlineStr">
        <is>
          <t>N/A</t>
        </is>
      </c>
      <c r="L6114" s="10" t="inlineStr">
        <is>
          <t>Bán hàng, CCTV, IT Operations, Kinh Doanh, Tư Vấn</t>
        </is>
      </c>
      <c r="M6114" s="10" t="inlineStr">
        <is>
          <t>Bonus, Healthcare Plan, Training, Travel Opportunities, Team Activities, Others</t>
        </is>
      </c>
      <c r="N6114" s="11">
        <f>HYPERLINK("https://www.vietnamworks.com/chuyen-vien-kinh-doanh-thu-nhap-upto-40tr-2016962-jv","Xem chi tiết")</f>
        <v/>
      </c>
      <c r="O6114" s="10" t="n"/>
    </row>
    <row r="6115">
      <c r="B6115" s="7" t="n">
        <v>6113</v>
      </c>
      <c r="C6115" t="inlineStr">
        <is>
          <t>Kế Toán Tổng Hợp</t>
        </is>
      </c>
      <c r="D6115" t="inlineStr">
        <is>
          <t>Công ty TNHH Thương mại &amp; Đầu tư Tbestpro</t>
        </is>
      </c>
      <c r="E6115" t="inlineStr">
        <is>
          <t>20tr-25tr ₫/tháng</t>
        </is>
      </c>
      <c r="F6115" t="inlineStr">
        <is>
          <t>Hà Nội</t>
        </is>
      </c>
      <c r="G6115" t="inlineStr">
        <is>
          <t>Nhân viên</t>
        </is>
      </c>
      <c r="H6115" t="inlineStr">
        <is>
          <t>02/03/2026</t>
        </is>
      </c>
      <c r="I6115" t="inlineStr">
        <is>
          <t>01/04/2026</t>
        </is>
      </c>
      <c r="J6115" t="inlineStr">
        <is>
          <t>17/03/2026</t>
        </is>
      </c>
      <c r="K6115" t="inlineStr">
        <is>
          <t>N/A</t>
        </is>
      </c>
      <c r="L6115" t="inlineStr">
        <is>
          <t>Báo Cáo Tài Chính, Công Nợ, Kế Toán, Kiểm Toán, Thu Chi Nội Bộ</t>
        </is>
      </c>
      <c r="M6115" t="inlineStr">
        <is>
          <t>Bonus, Travel Opportunities, Others</t>
        </is>
      </c>
      <c r="N6115" s="8">
        <f>HYPERLINK("https://www.vietnamworks.com/ke-toan-tong-hop-2016976-jv","Xem chi tiết")</f>
        <v/>
      </c>
    </row>
    <row r="6116">
      <c r="B6116" s="9" t="n">
        <v>6114</v>
      </c>
      <c r="C6116" s="10" t="inlineStr">
        <is>
          <t>Sales Analysis Assistant (3rd Party contract)</t>
        </is>
      </c>
      <c r="D6116" s="10" t="inlineStr">
        <is>
          <t>Nestlé Vietnam LTD.</t>
        </is>
      </c>
      <c r="E6116" s="10" t="inlineStr">
        <is>
          <t>Thương lượng</t>
        </is>
      </c>
      <c r="F6116" s="10" t="inlineStr">
        <is>
          <t>Hồ Chí Minh</t>
        </is>
      </c>
      <c r="G6116" s="10" t="inlineStr">
        <is>
          <t>Nhân viên</t>
        </is>
      </c>
      <c r="H6116" s="10" t="inlineStr">
        <is>
          <t>02/03/2026</t>
        </is>
      </c>
      <c r="I6116" s="10" t="inlineStr">
        <is>
          <t>01/04/2026</t>
        </is>
      </c>
      <c r="J6116" s="10" t="inlineStr">
        <is>
          <t>17/03/2026</t>
        </is>
      </c>
      <c r="K6116" s="10" t="inlineStr">
        <is>
          <t>N/A</t>
        </is>
      </c>
      <c r="L6116" s="10" t="inlineStr">
        <is>
          <t>Power BI, SQL, Microsoft Power Platform, Data Analysis, Finance Analyst</t>
        </is>
      </c>
      <c r="M6116" s="10" t="inlineStr">
        <is>
          <t>Bonus, Laptop</t>
        </is>
      </c>
      <c r="N6116" s="11">
        <f>HYPERLINK("https://www.vietnamworks.com/sales-analysis-assistant-3rd-party-contract-2016965-jv","Xem chi tiết")</f>
        <v/>
      </c>
      <c r="O6116" s="10" t="n"/>
    </row>
    <row r="6117">
      <c r="B6117" s="7" t="n">
        <v>6115</v>
      </c>
      <c r="C6117" t="inlineStr">
        <is>
          <t>Supplier Quality Engineer</t>
        </is>
      </c>
      <c r="D6117" t="inlineStr">
        <is>
          <t>CÔNG TY TNHH AJAX SYSTEMS VIỆT NAM</t>
        </is>
      </c>
      <c r="E6117" t="inlineStr">
        <is>
          <t>Thương lượng</t>
        </is>
      </c>
      <c r="F6117" t="inlineStr">
        <is>
          <t>Hưng Yên, Hà Nội</t>
        </is>
      </c>
      <c r="G6117" t="inlineStr">
        <is>
          <t>Nhân viên</t>
        </is>
      </c>
      <c r="H6117" t="inlineStr">
        <is>
          <t>02/03/2026</t>
        </is>
      </c>
      <c r="I6117" t="inlineStr">
        <is>
          <t>01/04/2026</t>
        </is>
      </c>
      <c r="J6117" t="inlineStr">
        <is>
          <t>17/03/2026</t>
        </is>
      </c>
      <c r="K6117" t="inlineStr">
        <is>
          <t>N/A</t>
        </is>
      </c>
      <c r="L6117" t="inlineStr">
        <is>
          <t>English Speaking, Quality Assurance, Root Cause Analysis, Supplier Assessment, Technical Documentation</t>
        </is>
      </c>
      <c r="M6117" t="inlineStr">
        <is>
          <t>Training</t>
        </is>
      </c>
      <c r="N6117" s="8">
        <f>HYPERLINK("https://www.vietnamworks.com/supplier-quality-engineer-2016961-jv","Xem chi tiết")</f>
        <v/>
      </c>
    </row>
    <row r="6118">
      <c r="B6118" s="9" t="n">
        <v>6116</v>
      </c>
      <c r="C6118" s="10" t="inlineStr">
        <is>
          <t>Chuyên Viên Tư Vấn Du Học</t>
        </is>
      </c>
      <c r="D6118" s="10" t="inlineStr">
        <is>
          <t>Công Ty TNHH Dịch Vụ Giáo Dục Toàn Cầu (GSE)</t>
        </is>
      </c>
      <c r="E6118" s="10" t="inlineStr">
        <is>
          <t>Thương lượng</t>
        </is>
      </c>
      <c r="F6118" s="10" t="inlineStr">
        <is>
          <t>Hà Nội</t>
        </is>
      </c>
      <c r="G6118" s="10" t="inlineStr">
        <is>
          <t>Nhân viên</t>
        </is>
      </c>
      <c r="H6118" s="10" t="inlineStr">
        <is>
          <t>02/03/2026</t>
        </is>
      </c>
      <c r="I6118" s="10" t="inlineStr">
        <is>
          <t>01/04/2026</t>
        </is>
      </c>
      <c r="J6118" s="10" t="inlineStr">
        <is>
          <t>17/03/2026</t>
        </is>
      </c>
      <c r="K6118" s="10" t="inlineStr">
        <is>
          <t>N/A</t>
        </is>
      </c>
      <c r="L6118" s="10" t="inlineStr">
        <is>
          <t>Tư Vấn Du Học, Bảo Hiểm, ngân hàng</t>
        </is>
      </c>
      <c r="M6118" s="10" t="inlineStr">
        <is>
          <t>Bonus, Healthcare Plan, Training, Travel Opportunities</t>
        </is>
      </c>
      <c r="N6118" s="11">
        <f>HYPERLINK("https://www.vietnamworks.com/chuyen-vien-tu-van-du-hoc-2016964-jv","Xem chi tiết")</f>
        <v/>
      </c>
      <c r="O6118" s="10" t="n"/>
    </row>
    <row r="6119">
      <c r="B6119" s="7" t="n">
        <v>6117</v>
      </c>
      <c r="C6119" t="inlineStr">
        <is>
          <t>Kỹ Sư Giám Sát Hiện Trường [Thi Công Cơ Khí, Đường Ống Công Nghệ]</t>
        </is>
      </c>
      <c r="D6119" t="inlineStr">
        <is>
          <t>Công ty TNHH Kỹ thuật Tín Phát Đồng Nai</t>
        </is>
      </c>
      <c r="E6119" t="inlineStr">
        <is>
          <t>Thương lượng</t>
        </is>
      </c>
      <c r="F6119" t="inlineStr">
        <is>
          <t>Đồng Nai</t>
        </is>
      </c>
      <c r="G6119" t="inlineStr">
        <is>
          <t>Nhân viên</t>
        </is>
      </c>
      <c r="H6119" t="inlineStr">
        <is>
          <t>02/03/2026</t>
        </is>
      </c>
      <c r="I6119" t="inlineStr">
        <is>
          <t>01/04/2026</t>
        </is>
      </c>
      <c r="J6119" t="inlineStr">
        <is>
          <t>17/03/2026</t>
        </is>
      </c>
      <c r="K6119" t="inlineStr">
        <is>
          <t>N/A</t>
        </is>
      </c>
      <c r="L6119" t="inlineStr">
        <is>
          <t>Kỹ năng nắm bắt và giải quyết vấn đề, Siêng năng, Chịu Được Áp Lực Công Việc, Giao Tiếp Khéo Léo</t>
        </is>
      </c>
      <c r="M6119" t="inlineStr">
        <is>
          <t>Bonus, Training, Travel Opportunities</t>
        </is>
      </c>
      <c r="N6119" s="8">
        <f>HYPERLINK("https://www.vietnamworks.com/ky-su-giam-sat-hien-truong-thi-cong-co-khi-duong-ong-cong-nghe--2016963-jv","Xem chi tiết")</f>
        <v/>
      </c>
    </row>
    <row r="6120">
      <c r="B6120" s="9" t="n">
        <v>6118</v>
      </c>
      <c r="C6120" s="10" t="inlineStr">
        <is>
          <t>In-House Accountant / Administrator</t>
        </is>
      </c>
      <c r="D6120" s="10" t="inlineStr">
        <is>
          <t>Vinobeer Vietnam</t>
        </is>
      </c>
      <c r="E6120" s="10" t="inlineStr">
        <is>
          <t>$$ 500-1,000 /tháng</t>
        </is>
      </c>
      <c r="F6120" s="10" t="inlineStr">
        <is>
          <t>Hồ Chí Minh</t>
        </is>
      </c>
      <c r="G6120" s="10" t="inlineStr">
        <is>
          <t>Nhân viên</t>
        </is>
      </c>
      <c r="H6120" s="10" t="inlineStr">
        <is>
          <t>02/03/2026</t>
        </is>
      </c>
      <c r="I6120" s="10" t="inlineStr">
        <is>
          <t>01/04/2026</t>
        </is>
      </c>
      <c r="J6120" s="10" t="inlineStr">
        <is>
          <t>17/03/2026</t>
        </is>
      </c>
      <c r="K6120" s="10" t="inlineStr">
        <is>
          <t>N/A</t>
        </is>
      </c>
      <c r="L6120" s="10" t="inlineStr">
        <is>
          <t>Accounting, Accounting Software, English Communication, Excel, Finance</t>
        </is>
      </c>
      <c r="M6120" s="10" t="inlineStr">
        <is>
          <t>Others</t>
        </is>
      </c>
      <c r="N6120" s="11">
        <f>HYPERLINK("https://www.vietnamworks.com/in-house-accountant-administrator-2016955-jv","Xem chi tiết")</f>
        <v/>
      </c>
      <c r="O6120" s="10" t="n"/>
    </row>
    <row r="6121">
      <c r="B6121" s="7" t="n">
        <v>6119</v>
      </c>
      <c r="C6121" t="inlineStr">
        <is>
          <t>Senior Legal Executive</t>
        </is>
      </c>
      <c r="D6121" t="inlineStr">
        <is>
          <t>Công Ty TNHH Onpoint</t>
        </is>
      </c>
      <c r="E6121" t="inlineStr">
        <is>
          <t>Thương lượng</t>
        </is>
      </c>
      <c r="F6121" t="inlineStr">
        <is>
          <t>Hồ Chí Minh</t>
        </is>
      </c>
      <c r="G6121" t="inlineStr">
        <is>
          <t>Nhân viên</t>
        </is>
      </c>
      <c r="H6121" t="inlineStr">
        <is>
          <t>02/03/2026</t>
        </is>
      </c>
      <c r="I6121" t="inlineStr">
        <is>
          <t>01/04/2026</t>
        </is>
      </c>
      <c r="J6121" t="inlineStr">
        <is>
          <t>17/03/2026</t>
        </is>
      </c>
      <c r="K6121" t="inlineStr">
        <is>
          <t>N/A</t>
        </is>
      </c>
      <c r="L6121" t="inlineStr">
        <is>
          <t>Contract Management, Legal Research, Compliance, E-commerce, Analytical Thinking</t>
        </is>
      </c>
      <c r="M6121" t="inlineStr">
        <is>
          <t>Bonus, Healthcare Plan, Paid Leave, Laptop, Mobile</t>
        </is>
      </c>
      <c r="N6121" s="8">
        <f>HYPERLINK("https://www.vietnamworks.com/senior-legal-executive-2016971-jv","Xem chi tiết")</f>
        <v/>
      </c>
    </row>
    <row r="6122">
      <c r="B6122" s="9" t="n">
        <v>6120</v>
      </c>
      <c r="C6122" s="10" t="inlineStr">
        <is>
          <t>Trưởng Phòng Marketing (Mảng FMCG ...)</t>
        </is>
      </c>
      <c r="D6122" s="10" t="inlineStr">
        <is>
          <t>Công Ty TNHH Libra Việt Nam</t>
        </is>
      </c>
      <c r="E6122" s="10" t="inlineStr">
        <is>
          <t>$$ 1,000-1,500 /tháng</t>
        </is>
      </c>
      <c r="F6122" s="10" t="inlineStr">
        <is>
          <t>Hà Nội</t>
        </is>
      </c>
      <c r="G6122" s="10" t="inlineStr">
        <is>
          <t>Trưởng phòng</t>
        </is>
      </c>
      <c r="H6122" s="10" t="inlineStr">
        <is>
          <t>02/03/2026</t>
        </is>
      </c>
      <c r="I6122" s="10" t="inlineStr">
        <is>
          <t>01/04/2026</t>
        </is>
      </c>
      <c r="J6122" s="10" t="inlineStr">
        <is>
          <t>17/03/2026</t>
        </is>
      </c>
      <c r="K6122" s="10" t="inlineStr">
        <is>
          <t>N/A</t>
        </is>
      </c>
      <c r="L6122" s="10" t="inlineStr">
        <is>
          <t>Digital Marketing, Brand Marketing, Multimedia, Marketing Online, Truyền Thông</t>
        </is>
      </c>
      <c r="M6122" s="10" t="inlineStr">
        <is>
          <t>Paid Leave</t>
        </is>
      </c>
      <c r="N6122" s="11">
        <f>HYPERLINK("https://www.vietnamworks.com/truong-phong-marketing-mang-fmcg--2016959-jv","Xem chi tiết")</f>
        <v/>
      </c>
      <c r="O6122" s="10" t="n"/>
    </row>
    <row r="6123">
      <c r="B6123" s="7" t="n">
        <v>6121</v>
      </c>
      <c r="C6123" t="inlineStr">
        <is>
          <t>CNC Programming Engineer</t>
        </is>
      </c>
      <c r="D6123" t="inlineStr">
        <is>
          <t>3 Points Aviation Vietnam Co., Ltd</t>
        </is>
      </c>
      <c r="E6123" t="inlineStr">
        <is>
          <t>$$ 400-700 /tháng</t>
        </is>
      </c>
      <c r="F6123" t="inlineStr">
        <is>
          <t>Hà Nội</t>
        </is>
      </c>
      <c r="G6123" t="inlineStr">
        <is>
          <t>Nhân viên</t>
        </is>
      </c>
      <c r="H6123" t="inlineStr">
        <is>
          <t>02/03/2026</t>
        </is>
      </c>
      <c r="I6123" t="inlineStr">
        <is>
          <t>01/04/2026</t>
        </is>
      </c>
      <c r="J6123" t="inlineStr">
        <is>
          <t>17/03/2026</t>
        </is>
      </c>
      <c r="K6123" t="inlineStr">
        <is>
          <t>N/A</t>
        </is>
      </c>
      <c r="L6123" t="inlineStr">
        <is>
          <t>CNC Machine, Engineering Design, SolidWork 2D/3D</t>
        </is>
      </c>
      <c r="M6123" t="inlineStr">
        <is>
          <t>Bonus, Training, Transportation</t>
        </is>
      </c>
      <c r="N6123" s="8">
        <f>HYPERLINK("https://www.vietnamworks.com/cnc-programming-engineer-2016983-jv","Xem chi tiết")</f>
        <v/>
      </c>
    </row>
    <row r="6124">
      <c r="B6124" s="9" t="n">
        <v>6122</v>
      </c>
      <c r="C6124" s="10" t="inlineStr">
        <is>
          <t>Associate, Sanctions Data Operations</t>
        </is>
      </c>
      <c r="D6124" s="10" t="inlineStr">
        <is>
          <t>NAB Innovation Centre Vietnam</t>
        </is>
      </c>
      <c r="E6124" s="10" t="inlineStr">
        <is>
          <t>Thương lượng</t>
        </is>
      </c>
      <c r="F6124" s="10" t="inlineStr">
        <is>
          <t>Hà Nội</t>
        </is>
      </c>
      <c r="G6124" s="10" t="inlineStr">
        <is>
          <t>Nhân viên</t>
        </is>
      </c>
      <c r="H6124" s="10" t="inlineStr">
        <is>
          <t>02/03/2026</t>
        </is>
      </c>
      <c r="I6124" s="10" t="inlineStr">
        <is>
          <t>01/04/2026</t>
        </is>
      </c>
      <c r="J6124" s="10" t="inlineStr">
        <is>
          <t>17/03/2026</t>
        </is>
      </c>
      <c r="K6124" s="10" t="inlineStr">
        <is>
          <t>N/A</t>
        </is>
      </c>
      <c r="L6124" s="10" t="inlineStr">
        <is>
          <t>Ngân hàng, Vận Hành, AML, Anti-Financial Crime</t>
        </is>
      </c>
      <c r="M6124" s="10" t="inlineStr">
        <is>
          <t>Bonus, Healthcare Plan, Team Activities</t>
        </is>
      </c>
      <c r="N6124" s="11">
        <f>HYPERLINK("https://www.vietnamworks.com/associate-sanctions-data-operations--2016980-jv","Xem chi tiết")</f>
        <v/>
      </c>
      <c r="O6124" s="10" t="n"/>
    </row>
    <row r="6125">
      <c r="B6125" s="7" t="n">
        <v>6123</v>
      </c>
      <c r="C6125" t="inlineStr">
        <is>
          <t>Pricing Executive - Logistics Company (Trade Lane: Middle East, India, Control Space with Shipping Lines)</t>
        </is>
      </c>
      <c r="D6125" t="inlineStr">
        <is>
          <t>CÔNG TY TNHH TOPASIA LOGISTICS</t>
        </is>
      </c>
      <c r="E6125" t="inlineStr">
        <is>
          <t>25tr-30tr ₫/tháng</t>
        </is>
      </c>
      <c r="F6125" t="inlineStr">
        <is>
          <t>Hồ Chí Minh</t>
        </is>
      </c>
      <c r="G6125" t="inlineStr">
        <is>
          <t>Nhân viên</t>
        </is>
      </c>
      <c r="H6125" t="inlineStr">
        <is>
          <t>02/03/2026</t>
        </is>
      </c>
      <c r="I6125" t="inlineStr">
        <is>
          <t>01/04/2026</t>
        </is>
      </c>
      <c r="J6125" t="inlineStr">
        <is>
          <t>17/03/2026</t>
        </is>
      </c>
      <c r="K6125" t="inlineStr">
        <is>
          <t>N/A</t>
        </is>
      </c>
      <c r="L6125" t="inlineStr">
        <is>
          <t>Phân Tích Thị Trường, Chiến lược giá cả, Tính toán giá cả, Tiếng Anh</t>
        </is>
      </c>
      <c r="M6125" t="inlineStr">
        <is>
          <t>Bonus, Healthcare Plan, Paid Leave</t>
        </is>
      </c>
      <c r="N6125" s="8">
        <f>HYPERLINK("https://www.vietnamworks.com/pricing-executive-logistics-company-trade-lane-middle-east-india-control-space-with-shipping-lines-2016990-jv","Xem chi tiết")</f>
        <v/>
      </c>
    </row>
    <row r="6126">
      <c r="B6126" s="9" t="n">
        <v>6124</v>
      </c>
      <c r="C6126" s="10" t="inlineStr">
        <is>
          <t>Nhân Viên Vận Hành Máy</t>
        </is>
      </c>
      <c r="D6126" s="10" t="inlineStr">
        <is>
          <t>Nestlé Vietnam LTD.</t>
        </is>
      </c>
      <c r="E6126" s="10" t="inlineStr">
        <is>
          <t>Thương lượng</t>
        </is>
      </c>
      <c r="F6126" s="10" t="inlineStr">
        <is>
          <t>Đồng Nai</t>
        </is>
      </c>
      <c r="G6126" s="10" t="inlineStr">
        <is>
          <t>Nhân viên</t>
        </is>
      </c>
      <c r="H6126" s="10" t="inlineStr">
        <is>
          <t>02/03/2026</t>
        </is>
      </c>
      <c r="I6126" s="10" t="inlineStr">
        <is>
          <t>01/04/2026</t>
        </is>
      </c>
      <c r="J6126" s="10" t="inlineStr">
        <is>
          <t>17/03/2026</t>
        </is>
      </c>
      <c r="K6126" s="10" t="inlineStr">
        <is>
          <t>N/A</t>
        </is>
      </c>
      <c r="L6126" s="10" t="inlineStr">
        <is>
          <t>Điện, Cơ Khí, Cơ Điện, Vận Hành Sản Xuất, Tự Động Hóa</t>
        </is>
      </c>
      <c r="M6126" s="10" t="inlineStr">
        <is>
          <t>Bonus, Healthcare Plan, Transportation</t>
        </is>
      </c>
      <c r="N6126" s="11">
        <f>HYPERLINK("https://www.vietnamworks.com/nhan-vien-van-hanh-may--2016987-jv","Xem chi tiết")</f>
        <v/>
      </c>
      <c r="O6126" s="10" t="n"/>
    </row>
    <row r="6127">
      <c r="B6127" s="7" t="n">
        <v>6125</v>
      </c>
      <c r="C6127" t="inlineStr">
        <is>
          <t>Trưởng Bộ Phận R&amp;D Phân bón</t>
        </is>
      </c>
      <c r="D6127" t="inlineStr">
        <is>
          <t>Công ty TNHH Vidan</t>
        </is>
      </c>
      <c r="E6127" t="inlineStr">
        <is>
          <t>$$ 1,000-2,000 /tháng</t>
        </is>
      </c>
      <c r="F6127" t="inlineStr">
        <is>
          <t>Hồ Chí Minh</t>
        </is>
      </c>
      <c r="G6127" t="inlineStr">
        <is>
          <t>Trưởng phòng</t>
        </is>
      </c>
      <c r="H6127" t="inlineStr">
        <is>
          <t>02/03/2026</t>
        </is>
      </c>
      <c r="I6127" t="inlineStr">
        <is>
          <t>01/04/2026</t>
        </is>
      </c>
      <c r="J6127" t="inlineStr">
        <is>
          <t>17/03/2026</t>
        </is>
      </c>
      <c r="K6127" t="inlineStr">
        <is>
          <t>N/A</t>
        </is>
      </c>
      <c r="L6127" t="inlineStr">
        <is>
          <t>Hóa Học, Kỹ Thuật Hóa, Quản Lý R&amp;D</t>
        </is>
      </c>
      <c r="M6127" t="inlineStr">
        <is>
          <t>Bonus, Healthcare Plan, Training, Awards, Travel Opportunities, Others</t>
        </is>
      </c>
      <c r="N6127" s="8">
        <f>HYPERLINK("https://www.vietnamworks.com/truong-bo-phan-randd-phan-bon-2016991-jv","Xem chi tiết")</f>
        <v/>
      </c>
    </row>
    <row r="6128">
      <c r="B6128" s="9" t="n">
        <v>6126</v>
      </c>
      <c r="C6128" s="10" t="inlineStr">
        <is>
          <t>Legal Specialist</t>
        </is>
      </c>
      <c r="D6128" s="10" t="inlineStr">
        <is>
          <t>CÔNG TY CỔ PHẦN GIẢI PHÁP ĐỊNH CƯ QUỐC TẾ</t>
        </is>
      </c>
      <c r="E6128" s="10" t="inlineStr">
        <is>
          <t>Thương lượng</t>
        </is>
      </c>
      <c r="F6128" s="10" t="inlineStr">
        <is>
          <t>Hồ Chí Minh</t>
        </is>
      </c>
      <c r="G6128" s="10" t="inlineStr">
        <is>
          <t>Nhân viên</t>
        </is>
      </c>
      <c r="H6128" s="10" t="inlineStr">
        <is>
          <t>02/03/2026</t>
        </is>
      </c>
      <c r="I6128" s="10" t="inlineStr">
        <is>
          <t>01/04/2026</t>
        </is>
      </c>
      <c r="J6128" s="10" t="inlineStr">
        <is>
          <t>17/03/2026</t>
        </is>
      </c>
      <c r="K6128" s="10" t="inlineStr">
        <is>
          <t>N/A</t>
        </is>
      </c>
      <c r="L6128" s="10" t="inlineStr">
        <is>
          <t>Corporate Law, Contract Drafting, Legal Risk Management, Problem-solving, Effective Communication</t>
        </is>
      </c>
      <c r="M6128" s="10" t="inlineStr">
        <is>
          <t>Healthcare Plan, Others</t>
        </is>
      </c>
      <c r="N6128" s="11">
        <f>HYPERLINK("https://www.vietnamworks.com/legal-specialist-2016986-jv","Xem chi tiết")</f>
        <v/>
      </c>
      <c r="O6128" s="10" t="n"/>
    </row>
    <row r="6129">
      <c r="B6129" s="7" t="n">
        <v>6127</v>
      </c>
      <c r="C6129" t="inlineStr">
        <is>
          <t>Trưởng Nhóm Quản Lý Khối Lượng Và Thanh Quyết Toán</t>
        </is>
      </c>
      <c r="D6129" t="inlineStr">
        <is>
          <t>BIM Group</t>
        </is>
      </c>
      <c r="E6129" t="inlineStr">
        <is>
          <t>Thương lượng</t>
        </is>
      </c>
      <c r="F6129" t="inlineStr">
        <is>
          <t>Ninh Bình</t>
        </is>
      </c>
      <c r="G6129" t="inlineStr">
        <is>
          <t>Trưởng phòng</t>
        </is>
      </c>
      <c r="H6129" t="inlineStr">
        <is>
          <t>02/03/2026</t>
        </is>
      </c>
      <c r="I6129" t="inlineStr">
        <is>
          <t>01/04/2026</t>
        </is>
      </c>
      <c r="J6129" t="inlineStr">
        <is>
          <t>17/03/2026</t>
        </is>
      </c>
      <c r="K6129" t="inlineStr">
        <is>
          <t>N/A</t>
        </is>
      </c>
      <c r="L6129" t="inlineStr">
        <is>
          <t>Kinh Tế Xây Dựng, Lãnh Đạo, Phân Tích Chi Phí, Quản Lý Khối Lượng, Thanh Quyết Toán</t>
        </is>
      </c>
      <c r="M6129" t="inlineStr">
        <is>
          <t>Bonus, Healthcare Plan, Paid Leave, Training, Awards, Library, Team Activities, Transportation, Others</t>
        </is>
      </c>
      <c r="N6129" s="8">
        <f>HYPERLINK("https://www.vietnamworks.com/truong-nhom-quan-ly-khoi-luong-va-thanh-quyet-toan-2016988-jv","Xem chi tiết")</f>
        <v/>
      </c>
    </row>
    <row r="6130">
      <c r="B6130" s="9" t="n">
        <v>6128</v>
      </c>
      <c r="C6130" s="10" t="inlineStr">
        <is>
          <t>Sales Logistics (Forwarder)</t>
        </is>
      </c>
      <c r="D6130" s="10" t="inlineStr">
        <is>
          <t>CÔNG TY TNHH TOPASIA LOGISTICS</t>
        </is>
      </c>
      <c r="E6130" s="10" t="inlineStr">
        <is>
          <t>$$ 350-500 /tháng</t>
        </is>
      </c>
      <c r="F6130" s="10" t="inlineStr">
        <is>
          <t>Hồ Chí Minh</t>
        </is>
      </c>
      <c r="G6130" s="10" t="inlineStr">
        <is>
          <t>Nhân viên</t>
        </is>
      </c>
      <c r="H6130" s="10" t="inlineStr">
        <is>
          <t>02/03/2026</t>
        </is>
      </c>
      <c r="I6130" s="10" t="inlineStr">
        <is>
          <t>01/04/2026</t>
        </is>
      </c>
      <c r="J6130" s="10" t="inlineStr">
        <is>
          <t>17/03/2026</t>
        </is>
      </c>
      <c r="K6130" s="10" t="inlineStr">
        <is>
          <t>N/A</t>
        </is>
      </c>
      <c r="L6130" s="10" t="inlineStr">
        <is>
          <t>Logistics Sales, Logistics, Freight Forwarding, Forwarding</t>
        </is>
      </c>
      <c r="M6130" s="10" t="inlineStr">
        <is>
          <t>Bonus, Healthcare Plan, Team Activities</t>
        </is>
      </c>
      <c r="N6130" s="11">
        <f>HYPERLINK("https://www.vietnamworks.com/sales-logistics-forwarder--2016996-jv","Xem chi tiết")</f>
        <v/>
      </c>
      <c r="O6130" s="10" t="n"/>
    </row>
    <row r="6131">
      <c r="B6131" s="7" t="n">
        <v>6129</v>
      </c>
      <c r="C6131" t="inlineStr">
        <is>
          <t>Trưởng Phòng Mua Hàng</t>
        </is>
      </c>
      <c r="D6131" t="inlineStr">
        <is>
          <t>Công Ty Cổ Phần Sao Việt Nam</t>
        </is>
      </c>
      <c r="E6131" t="inlineStr">
        <is>
          <t>25tr-40tr ₫/tháng</t>
        </is>
      </c>
      <c r="F6131" t="inlineStr">
        <is>
          <t>Hà Nội</t>
        </is>
      </c>
      <c r="G6131" t="inlineStr">
        <is>
          <t>Trưởng phòng</t>
        </is>
      </c>
      <c r="H6131" t="inlineStr">
        <is>
          <t>02/03/2026</t>
        </is>
      </c>
      <c r="I6131" t="inlineStr">
        <is>
          <t>01/04/2026</t>
        </is>
      </c>
      <c r="J6131" t="inlineStr">
        <is>
          <t>17/03/2026</t>
        </is>
      </c>
      <c r="K6131" t="inlineStr">
        <is>
          <t>N/A</t>
        </is>
      </c>
      <c r="L6131" t="inlineStr">
        <is>
          <t>Kiểm Soát Chất Lượng, Mua Hàng, Quản Lý Chi Phí, Quản Lý Nhà Cung Cấp, Đàm Phán</t>
        </is>
      </c>
      <c r="M6131" t="inlineStr">
        <is>
          <t>Bonus, Healthcare Plan, Others</t>
        </is>
      </c>
      <c r="N6131" s="8">
        <f>HYPERLINK("https://www.vietnamworks.com/truong-phong-mua-hang-2016985-jv","Xem chi tiết")</f>
        <v/>
      </c>
    </row>
    <row r="6132">
      <c r="B6132" s="9" t="n">
        <v>6130</v>
      </c>
      <c r="C6132" s="10" t="inlineStr">
        <is>
          <t>Trưởng Phòng Kế Hoạch Sản Xuất</t>
        </is>
      </c>
      <c r="D6132" s="10" t="inlineStr">
        <is>
          <t>Công Ty Cổ Phần Sao Việt Nam</t>
        </is>
      </c>
      <c r="E6132" s="10" t="inlineStr">
        <is>
          <t>25tr-40tr ₫/tháng</t>
        </is>
      </c>
      <c r="F6132" s="10" t="inlineStr">
        <is>
          <t>Hà Nội</t>
        </is>
      </c>
      <c r="G6132" s="10" t="inlineStr">
        <is>
          <t>Nhân viên</t>
        </is>
      </c>
      <c r="H6132" s="10" t="inlineStr">
        <is>
          <t>02/03/2026</t>
        </is>
      </c>
      <c r="I6132" s="10" t="inlineStr">
        <is>
          <t>01/04/2026</t>
        </is>
      </c>
      <c r="J6132" s="10" t="inlineStr">
        <is>
          <t>17/03/2026</t>
        </is>
      </c>
      <c r="K6132" s="10" t="inlineStr">
        <is>
          <t>N/A</t>
        </is>
      </c>
      <c r="L6132" s="10" t="inlineStr">
        <is>
          <t>Kế Hoạch Sản Xuất, Lập Kế Hoạch, Phân Tích Dữ Liệu, Production Planning, Quản Trị Sản Xuất</t>
        </is>
      </c>
      <c r="M6132" s="10" t="inlineStr">
        <is>
          <t>Bonus, Healthcare Plan</t>
        </is>
      </c>
      <c r="N6132" s="11">
        <f>HYPERLINK("https://www.vietnamworks.com/truong-phong-ke-hoach-san-xuat-2016989-jv","Xem chi tiết")</f>
        <v/>
      </c>
      <c r="O6132" s="10" t="n"/>
    </row>
    <row r="6133">
      <c r="B6133" s="7" t="n">
        <v>6131</v>
      </c>
      <c r="C6133" t="inlineStr">
        <is>
          <t>Trưởng Ban Kiểm Soát</t>
        </is>
      </c>
      <c r="D6133" t="inlineStr">
        <is>
          <t>Công Ty Cổ Phần Sao Việt Nam</t>
        </is>
      </c>
      <c r="E6133" t="inlineStr">
        <is>
          <t>25tr-40tr ₫/tháng</t>
        </is>
      </c>
      <c r="F6133" t="inlineStr">
        <is>
          <t>Hà Nội</t>
        </is>
      </c>
      <c r="G6133" t="inlineStr">
        <is>
          <t>Nhân viên</t>
        </is>
      </c>
      <c r="H6133" t="inlineStr">
        <is>
          <t>02/03/2026</t>
        </is>
      </c>
      <c r="I6133" t="inlineStr">
        <is>
          <t>01/04/2026</t>
        </is>
      </c>
      <c r="J6133" t="inlineStr">
        <is>
          <t>17/03/2026</t>
        </is>
      </c>
      <c r="K6133" t="inlineStr">
        <is>
          <t>N/A</t>
        </is>
      </c>
      <c r="L6133" t="inlineStr">
        <is>
          <t>Kế Toán, Kiểm Toán, Phân Tích Rủi Ro, Phân Tích Số Liệu, Tài Chính</t>
        </is>
      </c>
      <c r="M6133" t="inlineStr">
        <is>
          <t>Bonus, Healthcare Plan, Others</t>
        </is>
      </c>
      <c r="N6133" s="8">
        <f>HYPERLINK("https://www.vietnamworks.com/truong-ban-kiem-soat-2016984-jv","Xem chi tiết")</f>
        <v/>
      </c>
    </row>
    <row r="6134">
      <c r="B6134" s="9" t="n">
        <v>6132</v>
      </c>
      <c r="C6134" s="10" t="inlineStr">
        <is>
          <t>Giám Đốc Đơn Vị Kinh Doanh [Hồ Chí Minh, Đà Nẵng, Cần Thơ]</t>
        </is>
      </c>
      <c r="D6134" s="10" t="inlineStr">
        <is>
          <t>ABBank - Ngân Hàng TMCP An Bình</t>
        </is>
      </c>
      <c r="E6134" s="10" t="inlineStr">
        <is>
          <t>Thương lượng</t>
        </is>
      </c>
      <c r="F6134" s="10" t="inlineStr">
        <is>
          <t>Hồ Chí Minh, Cần Thơ, Đà Nẵng</t>
        </is>
      </c>
      <c r="G6134" s="10" t="inlineStr">
        <is>
          <t>Giám Đốc và Cấp Cao Hơn</t>
        </is>
      </c>
      <c r="H6134" s="10" t="inlineStr">
        <is>
          <t>02/03/2026</t>
        </is>
      </c>
      <c r="I6134" s="10" t="inlineStr">
        <is>
          <t>01/04/2026</t>
        </is>
      </c>
      <c r="J6134" s="10" t="inlineStr">
        <is>
          <t>17/03/2026</t>
        </is>
      </c>
      <c r="K6134" s="10" t="inlineStr">
        <is>
          <t>N/A</t>
        </is>
      </c>
      <c r="L6134" s="10" t="inlineStr">
        <is>
          <t>Quản Lý Lợi Nhuận, Quản Lý Danh Mục Khách Hàng, Phát Triển Thị Trường, Xây Dựng Chiến Lược, Quản Trị Rủi Ro</t>
        </is>
      </c>
      <c r="M6134" s="10" t="inlineStr">
        <is>
          <t>Bonus, Training, Others</t>
        </is>
      </c>
      <c r="N6134" s="11">
        <f>HYPERLINK("https://www.vietnamworks.com/giam-doc-don-vi-kinh-doanh-ho-chi-minh-da-nang-can-tho-2016992-jv","Xem chi tiết")</f>
        <v/>
      </c>
      <c r="O6134" s="10" t="n"/>
    </row>
    <row r="6135">
      <c r="B6135" s="7" t="n">
        <v>6133</v>
      </c>
      <c r="C6135" t="inlineStr">
        <is>
          <t>Nhân Viên Pháp Chế (Pháp Chế Doanh Nghiệp)</t>
        </is>
      </c>
      <c r="D6135" t="inlineStr">
        <is>
          <t>CÔNG TY CỔ PHẦN TẬP ĐOÀN LONG PHƯƠNG</t>
        </is>
      </c>
      <c r="E6135" t="inlineStr">
        <is>
          <t>Thương lượng</t>
        </is>
      </c>
      <c r="F6135" t="inlineStr">
        <is>
          <t>Bắc Giang, Bắc Ninh, Hưng Yên</t>
        </is>
      </c>
      <c r="G6135" t="inlineStr">
        <is>
          <t>Nhân viên</t>
        </is>
      </c>
      <c r="H6135" t="inlineStr">
        <is>
          <t>02/03/2026</t>
        </is>
      </c>
      <c r="I6135" t="inlineStr">
        <is>
          <t>01/04/2026</t>
        </is>
      </c>
      <c r="J6135" t="inlineStr">
        <is>
          <t>17/03/2026</t>
        </is>
      </c>
      <c r="K6135" t="inlineStr">
        <is>
          <t>N/A</t>
        </is>
      </c>
      <c r="L6135" t="inlineStr">
        <is>
          <t>Law Firms, Pháp Chế, Pháp Chế Doanh Nghiệp, Soạn Thảo Hợp Đồng, Tư Vấn Pháp Lý</t>
        </is>
      </c>
      <c r="M6135" t="inlineStr">
        <is>
          <t>Healthcare Plan, Training, Team Activities, Others</t>
        </is>
      </c>
      <c r="N6135" s="8">
        <f>HYPERLINK("https://www.vietnamworks.com/nhan-vien-phap-che-phap-che-doanh-nghiep-2017000-jv","Xem chi tiết")</f>
        <v/>
      </c>
    </row>
    <row r="6136">
      <c r="B6136" s="9" t="n">
        <v>6134</v>
      </c>
      <c r="C6136" s="10" t="inlineStr">
        <is>
          <t>Sales Manager</t>
        </is>
      </c>
      <c r="D6136" s="10" t="inlineStr">
        <is>
          <t>AsiaPay Company Limited</t>
        </is>
      </c>
      <c r="E6136" s="10" t="inlineStr">
        <is>
          <t>Thương lượng</t>
        </is>
      </c>
      <c r="F6136" s="10" t="inlineStr">
        <is>
          <t>Hà Nội</t>
        </is>
      </c>
      <c r="G6136" s="10" t="inlineStr">
        <is>
          <t>Trưởng phòng</t>
        </is>
      </c>
      <c r="H6136" s="10" t="inlineStr">
        <is>
          <t>02/03/2026</t>
        </is>
      </c>
      <c r="I6136" s="10" t="inlineStr">
        <is>
          <t>01/04/2026</t>
        </is>
      </c>
      <c r="J6136" s="10" t="inlineStr">
        <is>
          <t>17/03/2026</t>
        </is>
      </c>
      <c r="K6136" s="10" t="inlineStr">
        <is>
          <t>N/A</t>
        </is>
      </c>
      <c r="L6136" s="10" t="inlineStr">
        <is>
          <t>B2B Consulting, Channel Relationship Management, Communication Skills, Sales Management, Consultant</t>
        </is>
      </c>
      <c r="M6136" s="10" t="inlineStr">
        <is>
          <t>Healthcare Plan, Others</t>
        </is>
      </c>
      <c r="N6136" s="11">
        <f>HYPERLINK("https://www.vietnamworks.com/sales-manager-2017006-jv","Xem chi tiết")</f>
        <v/>
      </c>
      <c r="O6136" s="10" t="n"/>
    </row>
    <row r="6137">
      <c r="B6137" s="7" t="n">
        <v>6135</v>
      </c>
      <c r="C6137" t="inlineStr">
        <is>
          <t>Talent Acquisition Specialist (Recruitment, HR)</t>
        </is>
      </c>
      <c r="D6137" t="inlineStr">
        <is>
          <t>CÔNG TY TNHH YAOYAO VIETNAM INFO TECH</t>
        </is>
      </c>
      <c r="E6137" t="inlineStr">
        <is>
          <t>$$ 500-700 /tháng</t>
        </is>
      </c>
      <c r="F6137" t="inlineStr">
        <is>
          <t>Hồ Chí Minh</t>
        </is>
      </c>
      <c r="G6137" t="inlineStr">
        <is>
          <t>Nhân viên</t>
        </is>
      </c>
      <c r="H6137" t="inlineStr">
        <is>
          <t>02/03/2026</t>
        </is>
      </c>
      <c r="I6137" t="inlineStr">
        <is>
          <t>01/04/2026</t>
        </is>
      </c>
      <c r="J6137" t="inlineStr">
        <is>
          <t>17/03/2026</t>
        </is>
      </c>
      <c r="K6137" t="inlineStr">
        <is>
          <t>N/A</t>
        </is>
      </c>
      <c r="L6137" t="inlineStr">
        <is>
          <t>Talent Recruitment, English, Interview</t>
        </is>
      </c>
      <c r="M6137" t="inlineStr">
        <is>
          <t>Laptop, Team Activities, Canteen</t>
        </is>
      </c>
      <c r="N6137" s="8">
        <f>HYPERLINK("https://www.vietnamworks.com/talent-acquisition-specialist-recruitment-hr-2017013-jv","Xem chi tiết")</f>
        <v/>
      </c>
    </row>
    <row r="6138">
      <c r="B6138" s="9" t="n">
        <v>6136</v>
      </c>
      <c r="C6138" s="10" t="inlineStr">
        <is>
          <t>Trợ Lý Phó Chủ Tịch HĐQT</t>
        </is>
      </c>
      <c r="D6138" s="10" t="inlineStr">
        <is>
          <t>CÔNG TY CỔ PHẦN UNIK XANH</t>
        </is>
      </c>
      <c r="E6138" s="10" t="inlineStr">
        <is>
          <t>Thương lượng</t>
        </is>
      </c>
      <c r="F6138" s="10" t="inlineStr">
        <is>
          <t>Hà Nội</t>
        </is>
      </c>
      <c r="G6138" s="10" t="inlineStr">
        <is>
          <t>Nhân viên</t>
        </is>
      </c>
      <c r="H6138" s="10" t="inlineStr">
        <is>
          <t>02/03/2026</t>
        </is>
      </c>
      <c r="I6138" s="10" t="inlineStr">
        <is>
          <t>01/04/2026</t>
        </is>
      </c>
      <c r="J6138" s="10" t="inlineStr">
        <is>
          <t>17/03/2026</t>
        </is>
      </c>
      <c r="K6138" s="10" t="inlineStr">
        <is>
          <t>N/A</t>
        </is>
      </c>
      <c r="L6138" s="10" t="inlineStr">
        <is>
          <t>Assistant, business analyst, Corporate Governance, Strategic Analysis, English</t>
        </is>
      </c>
      <c r="M6138" s="10" t="inlineStr">
        <is>
          <t>Bonus, Healthcare Plan, Training, Others</t>
        </is>
      </c>
      <c r="N6138" s="11">
        <f>HYPERLINK("https://www.vietnamworks.com/tro-ly-pho-chu-tich-hdjqt-2017012-jv","Xem chi tiết")</f>
        <v/>
      </c>
      <c r="O6138" s="10" t="n"/>
    </row>
    <row r="6139">
      <c r="B6139" s="7" t="n">
        <v>6137</v>
      </c>
      <c r="C6139" t="inlineStr">
        <is>
          <t>Specialist, System &amp; Monitoring Center (Security)</t>
        </is>
      </c>
      <c r="D6139" t="inlineStr">
        <is>
          <t>Công Ty TNHH Pandora Production Việt Nam</t>
        </is>
      </c>
      <c r="E6139" t="inlineStr">
        <is>
          <t>Thương lượng</t>
        </is>
      </c>
      <c r="F6139" t="inlineStr">
        <is>
          <t>Bình Dương</t>
        </is>
      </c>
      <c r="G6139" t="inlineStr">
        <is>
          <t>Nhân viên</t>
        </is>
      </c>
      <c r="H6139" t="inlineStr">
        <is>
          <t>02/03/2026</t>
        </is>
      </c>
      <c r="I6139" t="inlineStr">
        <is>
          <t>01/04/2026</t>
        </is>
      </c>
      <c r="J6139" t="inlineStr">
        <is>
          <t>17/03/2026</t>
        </is>
      </c>
      <c r="K6139" t="inlineStr">
        <is>
          <t>N/A</t>
        </is>
      </c>
      <c r="L6139" t="inlineStr">
        <is>
          <t>Human Resources Management, Incident Management, Incident Response, Leadership Skills, Security System Management</t>
        </is>
      </c>
      <c r="M6139" t="inlineStr">
        <is>
          <t>Bonus, Transportation</t>
        </is>
      </c>
      <c r="N6139" s="8">
        <f>HYPERLINK("https://www.vietnamworks.com/specialist-system-and-monitoring-center-security-2017017-jv","Xem chi tiết")</f>
        <v/>
      </c>
    </row>
    <row r="6140">
      <c r="B6140" s="9" t="n">
        <v>6138</v>
      </c>
      <c r="C6140" s="10" t="inlineStr">
        <is>
          <t>Kiểm Soát Nội Bộ (Đồng Nai/ Vĩnh Phúc)</t>
        </is>
      </c>
      <c r="D6140" s="10" t="inlineStr">
        <is>
          <t>Công Ty TNHH Japfa Comfeed Việt Nam</t>
        </is>
      </c>
      <c r="E6140" s="10" t="inlineStr">
        <is>
          <t>Thương lượng</t>
        </is>
      </c>
      <c r="F6140" s="10" t="inlineStr">
        <is>
          <t>Đồng Nai, Vĩnh Phúc</t>
        </is>
      </c>
      <c r="G6140" s="10" t="inlineStr">
        <is>
          <t>Nhân viên</t>
        </is>
      </c>
      <c r="H6140" s="10" t="inlineStr">
        <is>
          <t>02/03/2026</t>
        </is>
      </c>
      <c r="I6140" s="10" t="inlineStr">
        <is>
          <t>01/04/2026</t>
        </is>
      </c>
      <c r="J6140" s="10" t="inlineStr">
        <is>
          <t>17/03/2026</t>
        </is>
      </c>
      <c r="K6140" s="10" t="inlineStr">
        <is>
          <t>N/A</t>
        </is>
      </c>
      <c r="L6140" s="10" t="inlineStr">
        <is>
          <t>Tài Chính, Kiểm Toán, Internal Audit, Audit, Internal Control</t>
        </is>
      </c>
      <c r="M6140" s="10" t="inlineStr">
        <is>
          <t>Bonus, Healthcare Plan, Paid Leave</t>
        </is>
      </c>
      <c r="N6140" s="11">
        <f>HYPERLINK("https://www.vietnamworks.com/kiem-soat-noi-bo-dong-nai-vinh-phuc-2017019-jv","Xem chi tiết")</f>
        <v/>
      </c>
      <c r="O6140" s="10" t="n"/>
    </row>
    <row r="6141">
      <c r="B6141" s="7" t="n">
        <v>6139</v>
      </c>
      <c r="C6141" t="inlineStr">
        <is>
          <t>Giám Đốc Thúc Đẩy Mạng Lưới Cộng Tác Viên Thẻ</t>
        </is>
      </c>
      <c r="D6141" t="inlineStr">
        <is>
          <t>Ngân Hàng TMCP Quốc Tế Việt Nam (VIB)</t>
        </is>
      </c>
      <c r="E6141" t="inlineStr">
        <is>
          <t>$$ 1,000-2,000 /tháng</t>
        </is>
      </c>
      <c r="F6141" t="inlineStr">
        <is>
          <t>Hà Nội, Nghệ An, Thanh Hóa</t>
        </is>
      </c>
      <c r="G6141" t="inlineStr">
        <is>
          <t>Nhân viên</t>
        </is>
      </c>
      <c r="H6141" t="inlineStr">
        <is>
          <t>02/03/2026</t>
        </is>
      </c>
      <c r="I6141" t="inlineStr">
        <is>
          <t>01/04/2026</t>
        </is>
      </c>
      <c r="J6141" t="inlineStr">
        <is>
          <t>17/03/2026</t>
        </is>
      </c>
      <c r="K6141" t="inlineStr">
        <is>
          <t>N/A</t>
        </is>
      </c>
      <c r="L6141" t="inlineStr">
        <is>
          <t>Tài Chính Ngân Hàng, Bán Hàng, Bán Hàng Đa Cấp, Bảo Hiểm, Card Business Development</t>
        </is>
      </c>
      <c r="M6141" t="inlineStr">
        <is>
          <t>Bonus, Paid Leave, Travel Opportunities</t>
        </is>
      </c>
      <c r="N6141" s="8">
        <f>HYPERLINK("https://www.vietnamworks.com/giam-doc-thuc-day-mang-luoi-cong-tac-vien-the--2017007-jv","Xem chi tiết")</f>
        <v/>
      </c>
    </row>
    <row r="6142">
      <c r="B6142" s="9" t="n">
        <v>6140</v>
      </c>
      <c r="C6142" s="10" t="inlineStr">
        <is>
          <t>HSE and Lean Staff (5 Working Days Per Week - French Company)</t>
        </is>
      </c>
      <c r="D6142" s="10" t="inlineStr">
        <is>
          <t>Công Ty TNHH Hutchinson Việt Nam</t>
        </is>
      </c>
      <c r="E6142" s="10" t="inlineStr">
        <is>
          <t>Thương lượng</t>
        </is>
      </c>
      <c r="F6142" s="10" t="inlineStr">
        <is>
          <t>Hưng Yên, Hải Dương, Hà Nội</t>
        </is>
      </c>
      <c r="G6142" s="10" t="inlineStr">
        <is>
          <t>Nhân viên</t>
        </is>
      </c>
      <c r="H6142" s="10" t="inlineStr">
        <is>
          <t>02/03/2026</t>
        </is>
      </c>
      <c r="I6142" s="10" t="inlineStr">
        <is>
          <t>01/04/2026</t>
        </is>
      </c>
      <c r="J6142" s="10" t="inlineStr">
        <is>
          <t>17/03/2026</t>
        </is>
      </c>
      <c r="K6142" s="10" t="inlineStr">
        <is>
          <t>N/A</t>
        </is>
      </c>
      <c r="L6142" s="10" t="inlineStr">
        <is>
          <t>English, HSE Management Systems, Environmental Sustainability, Lean Tool</t>
        </is>
      </c>
      <c r="M6142" s="10" t="inlineStr">
        <is>
          <t>Bonus, Laptop, Transportation</t>
        </is>
      </c>
      <c r="N6142" s="11">
        <f>HYPERLINK("https://www.vietnamworks.com/hse-and-lean-staff-5-working-days-per-week-french-company--2017008-jv","Xem chi tiết")</f>
        <v/>
      </c>
      <c r="O6142" s="10" t="n"/>
    </row>
    <row r="6143">
      <c r="B6143" s="7" t="n">
        <v>6141</v>
      </c>
      <c r="C6143" t="inlineStr">
        <is>
          <t>Chemical Lab Manager</t>
        </is>
      </c>
      <c r="D6143" t="inlineStr">
        <is>
          <t>CÔNG TY TNHH PHÒNG THỬ NGHIỆM HOHENSTEIN VIETNAM</t>
        </is>
      </c>
      <c r="E6143" t="inlineStr">
        <is>
          <t>Thương lượng</t>
        </is>
      </c>
      <c r="F6143" t="inlineStr">
        <is>
          <t>Hồ Chí Minh</t>
        </is>
      </c>
      <c r="G6143" t="inlineStr">
        <is>
          <t>Trưởng phòng</t>
        </is>
      </c>
      <c r="H6143" t="inlineStr">
        <is>
          <t>02/03/2026</t>
        </is>
      </c>
      <c r="I6143" t="inlineStr">
        <is>
          <t>01/04/2026</t>
        </is>
      </c>
      <c r="J6143" t="inlineStr">
        <is>
          <t>17/03/2026</t>
        </is>
      </c>
      <c r="K6143" t="inlineStr">
        <is>
          <t>N/A</t>
        </is>
      </c>
      <c r="L6143" t="inlineStr">
        <is>
          <t>Chemical Testing, ISO 17025, Organic Analytic Chemistry, Inorganic Analytical Techniques, Leadership Skills</t>
        </is>
      </c>
      <c r="M6143" t="inlineStr">
        <is>
          <t>Bonus, Healthcare Plan, Training, Team Activities</t>
        </is>
      </c>
      <c r="N6143" s="8">
        <f>HYPERLINK("https://www.vietnamworks.com/chemical-lab-manager-2017004-jv","Xem chi tiết")</f>
        <v/>
      </c>
    </row>
    <row r="6144">
      <c r="B6144" s="9" t="n">
        <v>6142</v>
      </c>
      <c r="C6144" s="10" t="inlineStr">
        <is>
          <t>Kỹ Sư Cao Cấp Giám Sát Xây Dựng</t>
        </is>
      </c>
      <c r="D6144" s="10" t="inlineStr">
        <is>
          <t>Novaland</t>
        </is>
      </c>
      <c r="E6144" s="10" t="inlineStr">
        <is>
          <t>Thương lượng</t>
        </is>
      </c>
      <c r="F6144" s="10" t="inlineStr">
        <is>
          <t>Đồng Nai</t>
        </is>
      </c>
      <c r="G6144" s="10" t="inlineStr">
        <is>
          <t>Nhân viên</t>
        </is>
      </c>
      <c r="H6144" s="10" t="inlineStr">
        <is>
          <t>02/03/2026</t>
        </is>
      </c>
      <c r="I6144" s="10" t="inlineStr">
        <is>
          <t>01/04/2026</t>
        </is>
      </c>
      <c r="J6144" s="10" t="inlineStr">
        <is>
          <t>17/03/2026</t>
        </is>
      </c>
      <c r="K6144" s="10" t="inlineStr">
        <is>
          <t>N/A</t>
        </is>
      </c>
      <c r="L6144" s="10" t="inlineStr">
        <is>
          <t>Shop Drawing, Civil Construction, Engineering, Quản Lý Dự Án, Construction Infrastructure</t>
        </is>
      </c>
      <c r="M6144" s="10" t="inlineStr">
        <is>
          <t>Bonus, Healthcare Plan, Awards</t>
        </is>
      </c>
      <c r="N6144" s="11">
        <f>HYPERLINK("https://www.vietnamworks.com/ky-su-cao-cap-giam-sat-xay-dung-2017010-jv","Xem chi tiết")</f>
        <v/>
      </c>
      <c r="O6144" s="10" t="n"/>
    </row>
    <row r="6145">
      <c r="B6145" s="7" t="n">
        <v>6143</v>
      </c>
      <c r="C6145" t="inlineStr">
        <is>
          <t>Designer (Visualizer Digital Creative)</t>
        </is>
      </c>
      <c r="D6145" t="inlineStr">
        <is>
          <t>Vietnamworks' Client</t>
        </is>
      </c>
      <c r="E6145" t="inlineStr">
        <is>
          <t>Thương lượng</t>
        </is>
      </c>
      <c r="F6145" t="inlineStr">
        <is>
          <t>N/A</t>
        </is>
      </c>
      <c r="G6145" t="inlineStr">
        <is>
          <t>Nhân viên</t>
        </is>
      </c>
      <c r="H6145" t="inlineStr">
        <is>
          <t>02/03/2026</t>
        </is>
      </c>
      <c r="I6145" t="inlineStr">
        <is>
          <t>01/04/2026</t>
        </is>
      </c>
      <c r="J6145" t="inlineStr">
        <is>
          <t>17/03/2026</t>
        </is>
      </c>
      <c r="K6145" t="inlineStr">
        <is>
          <t>N/A</t>
        </is>
      </c>
      <c r="L6145" t="inlineStr">
        <is>
          <t>Digital Design, Digital Storytelling, Adobe Creative Suite, Motion graphics, Communication</t>
        </is>
      </c>
      <c r="M6145" t="inlineStr">
        <is>
          <t>Bonus, Healthcare Plan, Training</t>
        </is>
      </c>
      <c r="N6145" s="8">
        <f>HYPERLINK("https://www.vietnamworks.com/designer-visualizer-digital-creative-2017018-jv","Xem chi tiết")</f>
        <v/>
      </c>
    </row>
    <row r="6146">
      <c r="B6146" s="9" t="n">
        <v>6144</v>
      </c>
      <c r="C6146" s="10" t="inlineStr">
        <is>
          <t>IT Senior System Administrator</t>
        </is>
      </c>
      <c r="D6146" s="10" t="inlineStr">
        <is>
          <t>gbc engineers Vietnam LLC</t>
        </is>
      </c>
      <c r="E6146" s="10" t="inlineStr">
        <is>
          <t>Thương lượng</t>
        </is>
      </c>
      <c r="F6146" s="10" t="inlineStr">
        <is>
          <t>Hồ Chí Minh</t>
        </is>
      </c>
      <c r="G6146" s="10" t="inlineStr">
        <is>
          <t>Nhân viên</t>
        </is>
      </c>
      <c r="H6146" s="10" t="inlineStr">
        <is>
          <t>02/03/2026</t>
        </is>
      </c>
      <c r="I6146" s="10" t="inlineStr">
        <is>
          <t>01/04/2026</t>
        </is>
      </c>
      <c r="J6146" s="10" t="inlineStr">
        <is>
          <t>17/03/2026</t>
        </is>
      </c>
      <c r="K6146" s="10" t="inlineStr">
        <is>
          <t>N/A</t>
        </is>
      </c>
      <c r="L6146" s="10" t="inlineStr">
        <is>
          <t>Firewall, Linux System Administration, System Security Management, Windows System Administration, Architect</t>
        </is>
      </c>
      <c r="M6146" s="10" t="inlineStr">
        <is>
          <t>Bonus, Training, Others</t>
        </is>
      </c>
      <c r="N6146" s="11">
        <f>HYPERLINK("https://www.vietnamworks.com/it-senior-system-administrator-2017011-jv","Xem chi tiết")</f>
        <v/>
      </c>
      <c r="O6146" s="10" t="n"/>
    </row>
    <row r="6147">
      <c r="B6147" s="7" t="n">
        <v>6145</v>
      </c>
      <c r="C6147" t="inlineStr">
        <is>
          <t>Chuyên Viên Quan Hệ Khách Hàng Doanh Nghiệp Lớn - Thu Nhập 30-50 Triệu / Tuyển Gấp</t>
        </is>
      </c>
      <c r="D6147" t="inlineStr">
        <is>
          <t>MISA Jointstock Company</t>
        </is>
      </c>
      <c r="E6147" t="inlineStr">
        <is>
          <t>30tr-50tr ₫/tháng</t>
        </is>
      </c>
      <c r="F6147" t="inlineStr">
        <is>
          <t>Hà Nội</t>
        </is>
      </c>
      <c r="G6147" t="inlineStr">
        <is>
          <t>Nhân viên</t>
        </is>
      </c>
      <c r="H6147" t="inlineStr">
        <is>
          <t>02/03/2026</t>
        </is>
      </c>
      <c r="I6147" t="inlineStr">
        <is>
          <t>01/04/2026</t>
        </is>
      </c>
      <c r="J6147" t="inlineStr">
        <is>
          <t>17/03/2026</t>
        </is>
      </c>
      <c r="K6147" t="inlineStr">
        <is>
          <t>N/A</t>
        </is>
      </c>
      <c r="L6147" t="inlineStr">
        <is>
          <t>Kinh doanh &amp; Phát triển khách hàng, Business Development, Quản Trị Kinh Doanh, Account Management, International Sales Skill</t>
        </is>
      </c>
      <c r="M6147" t="inlineStr">
        <is>
          <t>Bonus, Healthcare Plan, Training, Laptop, Team Activities</t>
        </is>
      </c>
      <c r="N6147" s="8">
        <f>HYPERLINK("https://www.vietnamworks.com/chuyen-vien-quan-he-khach-hang-doanh-nghiep-lon-thu-nhap-30-50-trieu-tuyen-gap-2017020-jv","Xem chi tiết")</f>
        <v/>
      </c>
    </row>
    <row r="6148">
      <c r="B6148" s="9" t="n">
        <v>6146</v>
      </c>
      <c r="C6148" s="10" t="inlineStr">
        <is>
          <t>Procurement Executive</t>
        </is>
      </c>
      <c r="D6148" s="10" t="inlineStr">
        <is>
          <t>Công Ty Cổ Phần DatVietVAC Group Holdings</t>
        </is>
      </c>
      <c r="E6148" s="10" t="inlineStr">
        <is>
          <t>Thương lượng</t>
        </is>
      </c>
      <c r="F6148" s="10" t="inlineStr">
        <is>
          <t>Hồ Chí Minh</t>
        </is>
      </c>
      <c r="G6148" s="10" t="inlineStr">
        <is>
          <t>Nhân viên</t>
        </is>
      </c>
      <c r="H6148" s="10" t="inlineStr">
        <is>
          <t>02/03/2026</t>
        </is>
      </c>
      <c r="I6148" s="10" t="inlineStr">
        <is>
          <t>01/04/2026</t>
        </is>
      </c>
      <c r="J6148" s="10" t="inlineStr">
        <is>
          <t>17/03/2026</t>
        </is>
      </c>
      <c r="K6148" s="10" t="inlineStr">
        <is>
          <t>N/A</t>
        </is>
      </c>
      <c r="L6148" s="10" t="inlineStr">
        <is>
          <t>Purchasing, Procurement</t>
        </is>
      </c>
      <c r="M6148" s="10" t="inlineStr">
        <is>
          <t>Bonus, Healthcare Plan, Paid Leave</t>
        </is>
      </c>
      <c r="N6148" s="11">
        <f>HYPERLINK("https://www.vietnamworks.com/procurement-executive--2017014-jv","Xem chi tiết")</f>
        <v/>
      </c>
      <c r="O6148" s="10" t="n"/>
    </row>
    <row r="6149">
      <c r="B6149" s="7" t="n">
        <v>6147</v>
      </c>
      <c r="C6149" t="inlineStr">
        <is>
          <t>Họa Viên 2D – Triển Khai Shop Drawing</t>
        </is>
      </c>
      <c r="D6149" t="inlineStr">
        <is>
          <t>AA Decor CORPORATION</t>
        </is>
      </c>
      <c r="E6149" t="inlineStr">
        <is>
          <t>Thương lượng</t>
        </is>
      </c>
      <c r="F6149" t="inlineStr">
        <is>
          <t>Hồ Chí Minh</t>
        </is>
      </c>
      <c r="G6149" t="inlineStr">
        <is>
          <t>Nhân viên</t>
        </is>
      </c>
      <c r="H6149" t="inlineStr">
        <is>
          <t>02/03/2026</t>
        </is>
      </c>
      <c r="I6149" t="inlineStr">
        <is>
          <t>01/04/2026</t>
        </is>
      </c>
      <c r="J6149" t="inlineStr">
        <is>
          <t>17/03/2026</t>
        </is>
      </c>
      <c r="K6149" t="inlineStr">
        <is>
          <t>N/A</t>
        </is>
      </c>
      <c r="L6149" t="inlineStr">
        <is>
          <t>Am Hiểu Vật Liệu Nội Thất, AutoCAD, Công Trình Khách Sạn, Shop Drawings, Triển Khai Bản Vẽ 2D</t>
        </is>
      </c>
      <c r="M6149" t="inlineStr">
        <is>
          <t>Bonus, Healthcare Plan, Others</t>
        </is>
      </c>
      <c r="N6149" s="8">
        <f>HYPERLINK("https://www.vietnamworks.com/hoa-vien-2d-trien-khai-shop-drawing-2017005-jv","Xem chi tiết")</f>
        <v/>
      </c>
    </row>
    <row r="6150">
      <c r="B6150" s="9" t="n">
        <v>6148</v>
      </c>
      <c r="C6150" s="10" t="inlineStr">
        <is>
          <t>Chuyên Viên Cao Cấp Xử Lý Nợ</t>
        </is>
      </c>
      <c r="D6150" s="10" t="inlineStr">
        <is>
          <t>Ngân Hàng TMCP Quốc Tế Việt Nam (VIB)</t>
        </is>
      </c>
      <c r="E6150" s="10" t="inlineStr">
        <is>
          <t>$$ 500-2,000 /tháng</t>
        </is>
      </c>
      <c r="F6150" s="10" t="inlineStr">
        <is>
          <t>Thanh Hóa, Nghệ An, Phú Thọ</t>
        </is>
      </c>
      <c r="G6150" s="10" t="inlineStr">
        <is>
          <t>Nhân viên</t>
        </is>
      </c>
      <c r="H6150" s="10" t="inlineStr">
        <is>
          <t>02/03/2026</t>
        </is>
      </c>
      <c r="I6150" s="10" t="inlineStr">
        <is>
          <t>01/04/2026</t>
        </is>
      </c>
      <c r="J6150" s="10" t="inlineStr">
        <is>
          <t>17/03/2026</t>
        </is>
      </c>
      <c r="K6150" s="10" t="inlineStr">
        <is>
          <t>N/A</t>
        </is>
      </c>
      <c r="L6150" s="10" t="inlineStr">
        <is>
          <t>Xử Lý Nợ Xấu, Thu Hồi Nợ Pháp Lý, Thu Hồi Công Nợ, ngân hàng, Luật</t>
        </is>
      </c>
      <c r="M6150" s="10" t="inlineStr">
        <is>
          <t>Bonus, Paid Leave, Travel Opportunities</t>
        </is>
      </c>
      <c r="N6150" s="11">
        <f>HYPERLINK("https://www.vietnamworks.com/chuyen-vien-cao-cap-xu-ly-no--2017001-jv","Xem chi tiết")</f>
        <v/>
      </c>
      <c r="O6150" s="10" t="n"/>
    </row>
    <row r="6151">
      <c r="B6151" s="7" t="n">
        <v>6149</v>
      </c>
      <c r="C6151" t="inlineStr">
        <is>
          <t>Business Development and Technical Sales Consultant</t>
        </is>
      </c>
      <c r="D6151" t="inlineStr">
        <is>
          <t>IQAir (VIETNAM) COMPANY LIMITED</t>
        </is>
      </c>
      <c r="E6151" t="inlineStr">
        <is>
          <t>$$ 800-2,000 /tháng</t>
        </is>
      </c>
      <c r="F6151" t="inlineStr">
        <is>
          <t>Hà Nội, Hồ Chí Minh</t>
        </is>
      </c>
      <c r="G6151" t="inlineStr">
        <is>
          <t>Nhân viên</t>
        </is>
      </c>
      <c r="H6151" t="inlineStr">
        <is>
          <t>02/03/2026</t>
        </is>
      </c>
      <c r="I6151" t="inlineStr">
        <is>
          <t>01/04/2026</t>
        </is>
      </c>
      <c r="J6151" t="inlineStr">
        <is>
          <t>17/03/2026</t>
        </is>
      </c>
      <c r="K6151" t="inlineStr">
        <is>
          <t>N/A</t>
        </is>
      </c>
      <c r="L6151" t="inlineStr">
        <is>
          <t>Technical Sales, Sale Solution</t>
        </is>
      </c>
      <c r="M6151" t="inlineStr">
        <is>
          <t>Healthcare Plan</t>
        </is>
      </c>
      <c r="N6151" s="8">
        <f>HYPERLINK("https://www.vietnamworks.com/business-development-and-technical-sales-consultant--2016998-jv","Xem chi tiết")</f>
        <v/>
      </c>
    </row>
    <row r="6152">
      <c r="B6152" s="9" t="n">
        <v>6150</v>
      </c>
      <c r="C6152" s="10" t="inlineStr">
        <is>
          <t>Fresh Staff Engineer</t>
        </is>
      </c>
      <c r="D6152" s="10" t="inlineStr">
        <is>
          <t>Samsung S-1 CORPORATION Vietnam CO., LTD</t>
        </is>
      </c>
      <c r="E6152" s="10" t="inlineStr">
        <is>
          <t>Thương lượng</t>
        </is>
      </c>
      <c r="F6152" s="10" t="inlineStr">
        <is>
          <t>Bắc Ninh</t>
        </is>
      </c>
      <c r="G6152" s="10" t="inlineStr">
        <is>
          <t>Mới Tốt Nghiệp</t>
        </is>
      </c>
      <c r="H6152" s="10" t="inlineStr">
        <is>
          <t>02/03/2026</t>
        </is>
      </c>
      <c r="I6152" s="10" t="inlineStr">
        <is>
          <t>01/04/2026</t>
        </is>
      </c>
      <c r="J6152" s="10" t="inlineStr">
        <is>
          <t>17/03/2026</t>
        </is>
      </c>
      <c r="K6152" s="10" t="inlineStr">
        <is>
          <t>N/A</t>
        </is>
      </c>
      <c r="L6152" s="10" t="inlineStr">
        <is>
          <t>Computer Science, Technical Engineering, Electric Power, Security Device, Effective Communication</t>
        </is>
      </c>
      <c r="M6152" s="10" t="inlineStr">
        <is>
          <t>Bonus, Healthcare Plan, Others</t>
        </is>
      </c>
      <c r="N6152" s="11">
        <f>HYPERLINK("https://www.vietnamworks.com/fresh-staff-engineer-2016997-jv","Xem chi tiết")</f>
        <v/>
      </c>
      <c r="O6152" s="10" t="n"/>
    </row>
    <row r="6153">
      <c r="B6153" s="7" t="n">
        <v>6151</v>
      </c>
      <c r="C6153" t="inlineStr">
        <is>
          <t>Giám Đốc Kinh Doanh Miền Bắc Kênh GT - Sơn Kim Loại Indu Paint</t>
        </is>
      </c>
      <c r="D6153" t="inlineStr">
        <is>
          <t>Công Ty Cổ Phần Sao Việt Nam</t>
        </is>
      </c>
      <c r="E6153" t="inlineStr">
        <is>
          <t>$$ 2,000-3,000 /tháng</t>
        </is>
      </c>
      <c r="F6153" t="inlineStr">
        <is>
          <t>Hà Nội</t>
        </is>
      </c>
      <c r="G6153" t="inlineStr">
        <is>
          <t>Giám Đốc và Cấp Cao Hơn</t>
        </is>
      </c>
      <c r="H6153" t="inlineStr">
        <is>
          <t>02/03/2026</t>
        </is>
      </c>
      <c r="I6153" t="inlineStr">
        <is>
          <t>01/04/2026</t>
        </is>
      </c>
      <c r="J6153" t="inlineStr">
        <is>
          <t>17/03/2026</t>
        </is>
      </c>
      <c r="K6153" t="inlineStr">
        <is>
          <t>N/A</t>
        </is>
      </c>
      <c r="L6153" t="inlineStr">
        <is>
          <t>Phân Tích Thị Trường, Phát Triển Kinh Doanh, Quản Lý Kinh Doanh, Quản Trị Đội Ngũ, Xây Dựng Chiến Lược</t>
        </is>
      </c>
      <c r="M6153" t="inlineStr">
        <is>
          <t>Bonus, Others</t>
        </is>
      </c>
      <c r="N6153" s="8">
        <f>HYPERLINK("https://www.vietnamworks.com/giam-djoc-kinh-doanh-mien-bac-kenh-gt-son-kim-loai-indu-paint-2017003-jv","Xem chi tiết")</f>
        <v/>
      </c>
    </row>
    <row r="6154">
      <c r="B6154" s="9" t="n">
        <v>6152</v>
      </c>
      <c r="C6154" s="10" t="inlineStr">
        <is>
          <t>Trưởng Phòng Kế Toán/ Kế Toán Trưởng</t>
        </is>
      </c>
      <c r="D6154" s="10" t="inlineStr">
        <is>
          <t>Công Ty Cổ Phần Đầu Tư Thiên Ân</t>
        </is>
      </c>
      <c r="E6154" s="10" t="inlineStr">
        <is>
          <t>$$ 1,500-2,000 /tháng</t>
        </is>
      </c>
      <c r="F6154" s="10" t="inlineStr">
        <is>
          <t>Hà Nội</t>
        </is>
      </c>
      <c r="G6154" s="10" t="inlineStr">
        <is>
          <t>Trưởng phòng</t>
        </is>
      </c>
      <c r="H6154" s="10" t="inlineStr">
        <is>
          <t>02/03/2026</t>
        </is>
      </c>
      <c r="I6154" s="10" t="inlineStr">
        <is>
          <t>01/04/2026</t>
        </is>
      </c>
      <c r="J6154" s="10" t="inlineStr">
        <is>
          <t>17/03/2026</t>
        </is>
      </c>
      <c r="K6154" s="10" t="inlineStr">
        <is>
          <t>N/A</t>
        </is>
      </c>
      <c r="L6154" s="10" t="inlineStr">
        <is>
          <t>Luật Kế Toán, Management Accounting, Tin Học Văn Phòng, Xây Dựng, Xử lý dữ liệu lớn</t>
        </is>
      </c>
      <c r="M6154" s="10" t="inlineStr">
        <is>
          <t>Bonus, Healthcare Plan, Paid Leave, Training, Awards, Team Activities, Others</t>
        </is>
      </c>
      <c r="N6154" s="11">
        <f>HYPERLINK("https://www.vietnamworks.com/truong-phong-ke-toan-ke-toan-truong-2017021-jv","Xem chi tiết")</f>
        <v/>
      </c>
      <c r="O6154" s="10" t="n"/>
    </row>
    <row r="6155">
      <c r="B6155" s="7" t="n">
        <v>6153</v>
      </c>
      <c r="C6155" t="inlineStr">
        <is>
          <t>Kỹ Thuật Dự Án</t>
        </is>
      </c>
      <c r="D6155" t="inlineStr">
        <is>
          <t>Công Ty Cổ Phần Unico Vina</t>
        </is>
      </c>
      <c r="E6155" t="inlineStr">
        <is>
          <t>18tr-25tr ₫/tháng</t>
        </is>
      </c>
      <c r="F6155" t="inlineStr">
        <is>
          <t>Hồ Chí Minh</t>
        </is>
      </c>
      <c r="G6155" t="inlineStr">
        <is>
          <t>Nhân viên</t>
        </is>
      </c>
      <c r="H6155" t="inlineStr">
        <is>
          <t>02/03/2026</t>
        </is>
      </c>
      <c r="I6155" t="inlineStr">
        <is>
          <t>01/04/2026</t>
        </is>
      </c>
      <c r="J6155" t="inlineStr">
        <is>
          <t>17/03/2026</t>
        </is>
      </c>
      <c r="K6155" t="inlineStr">
        <is>
          <t>N/A</t>
        </is>
      </c>
      <c r="L6155" t="inlineStr">
        <is>
          <t>Mechanical Engineering, Kỹ Thuật Dự Án, Auto CAD, Revit, PDMS</t>
        </is>
      </c>
      <c r="M6155" t="inlineStr">
        <is>
          <t>Bonus, Travel Opportunities, Team Activities</t>
        </is>
      </c>
      <c r="N6155" s="8">
        <f>HYPERLINK("https://www.vietnamworks.com/ky-thuat-du-an--2017015-jv","Xem chi tiết")</f>
        <v/>
      </c>
    </row>
    <row r="6156">
      <c r="B6156" s="9" t="n">
        <v>6154</v>
      </c>
      <c r="C6156" s="10" t="inlineStr">
        <is>
          <t>Trưởng Nhóm Sản Phẩm</t>
        </is>
      </c>
      <c r="D6156" s="10" t="inlineStr">
        <is>
          <t>JINRO SOJU Vietnam Co.,ltd</t>
        </is>
      </c>
      <c r="E6156" s="10" t="inlineStr">
        <is>
          <t>Từ $ 1,000 /tháng</t>
        </is>
      </c>
      <c r="F6156" s="10" t="inlineStr">
        <is>
          <t>Thái Bình</t>
        </is>
      </c>
      <c r="G6156" s="10" t="inlineStr">
        <is>
          <t>Trưởng phòng</t>
        </is>
      </c>
      <c r="H6156" s="10" t="inlineStr">
        <is>
          <t>02/03/2026</t>
        </is>
      </c>
      <c r="I6156" s="10" t="inlineStr">
        <is>
          <t>01/04/2026</t>
        </is>
      </c>
      <c r="J6156" s="10" t="inlineStr">
        <is>
          <t>17/03/2026</t>
        </is>
      </c>
      <c r="K6156" s="10" t="inlineStr">
        <is>
          <t>N/A</t>
        </is>
      </c>
      <c r="L6156" s="10" t="inlineStr">
        <is>
          <t>Nghiên Cứu Ứng Dụng Sản Phẩm, Phát Triển Sản Phẩm, Quản Lý Sản Xuất</t>
        </is>
      </c>
      <c r="M6156" s="10" t="inlineStr">
        <is>
          <t>Bonus, Laptop, Team Activities</t>
        </is>
      </c>
      <c r="N6156" s="11">
        <f>HYPERLINK("https://www.vietnamworks.com/truong-nhom-san-pham-2017032-jv","Xem chi tiết")</f>
        <v/>
      </c>
      <c r="O6156" s="10" t="n"/>
    </row>
    <row r="6157">
      <c r="B6157" s="7" t="n">
        <v>6155</v>
      </c>
      <c r="C6157" t="inlineStr">
        <is>
          <t>Nhân Viên Thiết Kế Nội Thất</t>
        </is>
      </c>
      <c r="D6157" t="inlineStr">
        <is>
          <t>CÔNG TY TNHH WITH PLAN VN</t>
        </is>
      </c>
      <c r="E6157" t="inlineStr">
        <is>
          <t>15tr-22tr ₫/tháng</t>
        </is>
      </c>
      <c r="F6157" t="inlineStr">
        <is>
          <t>Hồ Chí Minh</t>
        </is>
      </c>
      <c r="G6157" t="inlineStr">
        <is>
          <t>Nhân viên</t>
        </is>
      </c>
      <c r="H6157" t="inlineStr">
        <is>
          <t>02/03/2026</t>
        </is>
      </c>
      <c r="I6157" t="inlineStr">
        <is>
          <t>01/04/2026</t>
        </is>
      </c>
      <c r="J6157" t="inlineStr">
        <is>
          <t>17/03/2026</t>
        </is>
      </c>
      <c r="K6157" t="inlineStr">
        <is>
          <t>N/A</t>
        </is>
      </c>
      <c r="L6157" t="inlineStr">
        <is>
          <t>AutoCAD, Sketchup, 3DSMAX, Furniture &amp; Interior Design, Interior Design</t>
        </is>
      </c>
      <c r="M6157" t="inlineStr">
        <is>
          <t>Bonus, Healthcare Plan, Paid Leave, Others</t>
        </is>
      </c>
      <c r="N6157" s="8">
        <f>HYPERLINK("https://www.vietnamworks.com/nhan-vien-thiet-ke-noi-that-2017025-jv","Xem chi tiết")</f>
        <v/>
      </c>
    </row>
    <row r="6158">
      <c r="B6158" s="9" t="n">
        <v>6156</v>
      </c>
      <c r="C6158" s="10" t="inlineStr">
        <is>
          <t>Chuyên Viên C&amp;B</t>
        </is>
      </c>
      <c r="D6158" s="10" t="inlineStr">
        <is>
          <t>CÔNG TY TNHH LEGACY VOYAGES VIỆT NAM</t>
        </is>
      </c>
      <c r="E6158" s="10" t="inlineStr">
        <is>
          <t>15tr-17tr ₫/tháng</t>
        </is>
      </c>
      <c r="F6158" s="10" t="inlineStr">
        <is>
          <t>Hà Nội</t>
        </is>
      </c>
      <c r="G6158" s="10" t="inlineStr">
        <is>
          <t>Nhân viên</t>
        </is>
      </c>
      <c r="H6158" s="10" t="inlineStr">
        <is>
          <t>02/03/2026</t>
        </is>
      </c>
      <c r="I6158" s="10" t="inlineStr">
        <is>
          <t>01/04/2026</t>
        </is>
      </c>
      <c r="J6158" s="10" t="inlineStr">
        <is>
          <t>17/03/2026</t>
        </is>
      </c>
      <c r="K6158" s="10" t="inlineStr">
        <is>
          <t>N/A</t>
        </is>
      </c>
      <c r="L6158" s="10" t="inlineStr">
        <is>
          <t>Payroll, Nhân Sự, HR, C&amp;B, Phúc Lợi</t>
        </is>
      </c>
      <c r="M6158" s="10" t="inlineStr">
        <is>
          <t>Bonus, Paid Leave, Travel Opportunities</t>
        </is>
      </c>
      <c r="N6158" s="11">
        <f>HYPERLINK("https://www.vietnamworks.com/chuyen-vien-c-b--2017026-jv","Xem chi tiết")</f>
        <v/>
      </c>
      <c r="O6158" s="10" t="n"/>
    </row>
    <row r="6159">
      <c r="B6159" s="7" t="n">
        <v>6157</v>
      </c>
      <c r="C6159" t="inlineStr">
        <is>
          <t>Production Shift Supervisor</t>
        </is>
      </c>
      <c r="D6159" t="inlineStr">
        <is>
          <t>Coats Phong Phu</t>
        </is>
      </c>
      <c r="E6159" t="inlineStr">
        <is>
          <t>Thương lượng</t>
        </is>
      </c>
      <c r="F6159" t="inlineStr">
        <is>
          <t>Hồ Chí Minh</t>
        </is>
      </c>
      <c r="G6159" t="inlineStr">
        <is>
          <t>Nhân viên</t>
        </is>
      </c>
      <c r="H6159" t="inlineStr">
        <is>
          <t>02/03/2026</t>
        </is>
      </c>
      <c r="I6159" t="inlineStr">
        <is>
          <t>01/04/2026</t>
        </is>
      </c>
      <c r="J6159" t="inlineStr">
        <is>
          <t>17/03/2026</t>
        </is>
      </c>
      <c r="K6159" t="inlineStr">
        <is>
          <t>N/A</t>
        </is>
      </c>
      <c r="L6159" t="inlineStr">
        <is>
          <t>Communication Skills, Data Analysis, Garment Dyeing, Team Management, Dyehouse Systems Knowledge</t>
        </is>
      </c>
      <c r="M6159" t="inlineStr">
        <is>
          <t>Bonus, Healthcare Plan, Paid Leave, Laptop, Others</t>
        </is>
      </c>
      <c r="N6159" s="8">
        <f>HYPERLINK("https://www.vietnamworks.com/production-shift-supervisor-2017029-jv","Xem chi tiết")</f>
        <v/>
      </c>
    </row>
    <row r="6160">
      <c r="B6160" s="9" t="n">
        <v>6158</v>
      </c>
      <c r="C6160" s="10" t="inlineStr">
        <is>
          <t>Cán Bộ QS Kiêm Hành Chính</t>
        </is>
      </c>
      <c r="D6160" s="10" t="inlineStr">
        <is>
          <t>Công Ty Cổ Phần Kinh Doanh Và Phát Triển Nhà Hà Nội</t>
        </is>
      </c>
      <c r="E6160" s="10" t="inlineStr">
        <is>
          <t>20tr-25tr ₫/tháng</t>
        </is>
      </c>
      <c r="F6160" s="10" t="inlineStr">
        <is>
          <t>Hà Nội</t>
        </is>
      </c>
      <c r="G6160" s="10" t="inlineStr">
        <is>
          <t>Nhân viên</t>
        </is>
      </c>
      <c r="H6160" s="10" t="inlineStr">
        <is>
          <t>02/03/2026</t>
        </is>
      </c>
      <c r="I6160" s="10" t="inlineStr">
        <is>
          <t>01/04/2026</t>
        </is>
      </c>
      <c r="J6160" s="10" t="inlineStr">
        <is>
          <t>17/03/2026</t>
        </is>
      </c>
      <c r="K6160" s="10" t="inlineStr">
        <is>
          <t>N/A</t>
        </is>
      </c>
      <c r="L6160" s="10" t="inlineStr">
        <is>
          <t>Kinh Tế Xây Dựng, MEP, Quản Lý Hồ Sơ, Quản Lý Hợp Đồng, Văn Thư Lưu Trữ</t>
        </is>
      </c>
      <c r="M6160" s="10" t="inlineStr">
        <is>
          <t>Healthcare Plan</t>
        </is>
      </c>
      <c r="N6160" s="11">
        <f>HYPERLINK("https://www.vietnamworks.com/can-bo-qs-kiem-hanh-chinh-2017030-jv","Xem chi tiết")</f>
        <v/>
      </c>
      <c r="O6160" s="10" t="n"/>
    </row>
    <row r="6161">
      <c r="B6161" s="7" t="n">
        <v>6159</v>
      </c>
      <c r="C6161" t="inlineStr">
        <is>
          <t>Credit Controller SSC</t>
        </is>
      </c>
      <c r="D6161" t="inlineStr">
        <is>
          <t>OIA GLOBAL Vietnam</t>
        </is>
      </c>
      <c r="E6161" t="inlineStr">
        <is>
          <t>Thương lượng</t>
        </is>
      </c>
      <c r="F6161" t="inlineStr">
        <is>
          <t>Hồ Chí Minh</t>
        </is>
      </c>
      <c r="G6161" t="inlineStr">
        <is>
          <t>Nhân viên</t>
        </is>
      </c>
      <c r="H6161" t="inlineStr">
        <is>
          <t>02/03/2026</t>
        </is>
      </c>
      <c r="I6161" t="inlineStr">
        <is>
          <t>01/04/2026</t>
        </is>
      </c>
      <c r="J6161" t="inlineStr">
        <is>
          <t>17/03/2026</t>
        </is>
      </c>
      <c r="K6161" t="inlineStr">
        <is>
          <t>N/A</t>
        </is>
      </c>
      <c r="L6161" t="inlineStr">
        <is>
          <t>AR, Bank Reconciliation, Cash Flow Management, Client Interaction, Credit Control</t>
        </is>
      </c>
      <c r="M6161" t="inlineStr">
        <is>
          <t>Bonus, Healthcare Plan</t>
        </is>
      </c>
      <c r="N6161" s="8">
        <f>HYPERLINK("https://www.vietnamworks.com/credit-controller-ssc-2017041-jv","Xem chi tiết")</f>
        <v/>
      </c>
    </row>
    <row r="6162">
      <c r="B6162" s="9" t="n">
        <v>6160</v>
      </c>
      <c r="C6162" s="10" t="inlineStr">
        <is>
          <t>Kỹ Sư Xây Dựng Quản Lý Hiện Trường</t>
        </is>
      </c>
      <c r="D6162" s="10" t="inlineStr">
        <is>
          <t>Công Ty Cổ Phần Kinh Doanh Và Phát Triển Nhà Hà Nội</t>
        </is>
      </c>
      <c r="E6162" s="10" t="inlineStr">
        <is>
          <t>20tr-25tr ₫/tháng</t>
        </is>
      </c>
      <c r="F6162" s="10" t="inlineStr">
        <is>
          <t>Hà Nội</t>
        </is>
      </c>
      <c r="G6162" s="10" t="inlineStr">
        <is>
          <t>Nhân viên</t>
        </is>
      </c>
      <c r="H6162" s="10" t="inlineStr">
        <is>
          <t>02/03/2026</t>
        </is>
      </c>
      <c r="I6162" s="10" t="inlineStr">
        <is>
          <t>01/04/2026</t>
        </is>
      </c>
      <c r="J6162" s="10" t="inlineStr">
        <is>
          <t>17/03/2026</t>
        </is>
      </c>
      <c r="K6162" s="10" t="inlineStr">
        <is>
          <t>N/A</t>
        </is>
      </c>
      <c r="L6162" s="10" t="inlineStr">
        <is>
          <t>An Toàn Lao Động, Giám Sát Hiện Trường, Nghiệm Thu, Quản Lý Chất Lượng, Quản Lý Thi Công</t>
        </is>
      </c>
      <c r="M6162" s="10" t="inlineStr">
        <is>
          <t>Healthcare Plan</t>
        </is>
      </c>
      <c r="N6162" s="11">
        <f>HYPERLINK("https://www.vietnamworks.com/ky-su-xay-dung-quan-ly-hien-truong-2017034-jv","Xem chi tiết")</f>
        <v/>
      </c>
      <c r="O6162" s="10" t="n"/>
    </row>
    <row r="6163">
      <c r="B6163" s="7" t="n">
        <v>6161</v>
      </c>
      <c r="C6163" t="inlineStr">
        <is>
          <t>Supply Planner</t>
        </is>
      </c>
      <c r="D6163" t="inlineStr">
        <is>
          <t>Công ty TNHH CJ Foods Việt Nam/ CJ Foods Vietnam Company Limited</t>
        </is>
      </c>
      <c r="E6163" t="inlineStr">
        <is>
          <t>Thương lượng</t>
        </is>
      </c>
      <c r="F6163" t="inlineStr">
        <is>
          <t>Hồ Chí Minh</t>
        </is>
      </c>
      <c r="G6163" t="inlineStr">
        <is>
          <t>Nhân viên</t>
        </is>
      </c>
      <c r="H6163" t="inlineStr">
        <is>
          <t>02/03/2026</t>
        </is>
      </c>
      <c r="I6163" t="inlineStr">
        <is>
          <t>01/04/2026</t>
        </is>
      </c>
      <c r="J6163" t="inlineStr">
        <is>
          <t>17/03/2026</t>
        </is>
      </c>
      <c r="K6163" t="inlineStr">
        <is>
          <t>N/A</t>
        </is>
      </c>
      <c r="L6163" t="inlineStr">
        <is>
          <t>FMCG, Manufacturing, SCM, Supply Chain, Supply Planning</t>
        </is>
      </c>
      <c r="M6163" t="inlineStr">
        <is>
          <t>Bonus, Healthcare Plan, Paid Leave, Training, Laptop, Travel Opportunities</t>
        </is>
      </c>
      <c r="N6163" s="8">
        <f>HYPERLINK("https://www.vietnamworks.com/supply-planner-2017037-jv","Xem chi tiết")</f>
        <v/>
      </c>
    </row>
    <row r="6164">
      <c r="B6164" s="9" t="n">
        <v>6162</v>
      </c>
      <c r="C6164" s="10" t="inlineStr">
        <is>
          <t>Kỹ Sư Thiết Kế Cơ &amp; Điện - M&amp;E Design Engineers</t>
        </is>
      </c>
      <c r="D6164" s="10" t="inlineStr">
        <is>
          <t>Reecons Mechanical Electrical Engineering Corporation</t>
        </is>
      </c>
      <c r="E6164" s="10" t="inlineStr">
        <is>
          <t>$$ 600-1,000 /tháng</t>
        </is>
      </c>
      <c r="F6164" s="10" t="inlineStr">
        <is>
          <t>Hồ Chí Minh</t>
        </is>
      </c>
      <c r="G6164" s="10" t="inlineStr">
        <is>
          <t>Nhân viên</t>
        </is>
      </c>
      <c r="H6164" s="10" t="inlineStr">
        <is>
          <t>02/03/2026</t>
        </is>
      </c>
      <c r="I6164" s="10" t="inlineStr">
        <is>
          <t>01/04/2026</t>
        </is>
      </c>
      <c r="J6164" s="10" t="inlineStr">
        <is>
          <t>17/03/2026</t>
        </is>
      </c>
      <c r="K6164" s="10" t="inlineStr">
        <is>
          <t>N/A</t>
        </is>
      </c>
      <c r="L6164" s="10" t="inlineStr">
        <is>
          <t>Thiết Kế Cơ Điện, Revit, M&amp;E Design, Cơ Điện, AutoCAD</t>
        </is>
      </c>
      <c r="M6164" s="10" t="inlineStr">
        <is>
          <t>Bonus, Healthcare Plan, Training</t>
        </is>
      </c>
      <c r="N6164" s="11">
        <f>HYPERLINK("https://www.vietnamworks.com/ky-su-thiet-ke-co-dien-m-e-design-engineers--2017031-jv","Xem chi tiết")</f>
        <v/>
      </c>
      <c r="O6164" s="10" t="n"/>
    </row>
    <row r="6165">
      <c r="B6165" s="7" t="n">
        <v>6163</v>
      </c>
      <c r="C6165" t="inlineStr">
        <is>
          <t>Kỹ Sư Trắc Đạc Kiêm Nhiệm Quản Lý Khu Dân Cư An Ninh, Bảo Vệ, Bãi Xe Tạm Và HĐKT Chung Của Dự Án</t>
        </is>
      </c>
      <c r="D6165" t="inlineStr">
        <is>
          <t>Công Ty Cổ Phần Kinh Doanh Và Phát Triển Nhà Hà Nội</t>
        </is>
      </c>
      <c r="E6165" t="inlineStr">
        <is>
          <t>20tr-25tr ₫/tháng</t>
        </is>
      </c>
      <c r="F6165" t="inlineStr">
        <is>
          <t>Hà Nội</t>
        </is>
      </c>
      <c r="G6165" t="inlineStr">
        <is>
          <t>Nhân viên</t>
        </is>
      </c>
      <c r="H6165" t="inlineStr">
        <is>
          <t>02/03/2026</t>
        </is>
      </c>
      <c r="I6165" t="inlineStr">
        <is>
          <t>01/04/2026</t>
        </is>
      </c>
      <c r="J6165" t="inlineStr">
        <is>
          <t>17/03/2026</t>
        </is>
      </c>
      <c r="K6165" t="inlineStr">
        <is>
          <t>N/A</t>
        </is>
      </c>
      <c r="L6165" t="inlineStr">
        <is>
          <t>Giám Sát, Nghiệm Thu, Quản Lý Dự Án, Quản Lý Khu Dân Cư, Trắc Đạc</t>
        </is>
      </c>
      <c r="M6165" t="inlineStr">
        <is>
          <t>Healthcare Plan</t>
        </is>
      </c>
      <c r="N6165" s="8">
        <f>HYPERLINK("https://www.vietnamworks.com/ky-su-trac-djac-kiem-nhiem-quan-ly-khu-dan-cu-an-ninh-bao-ve-bai-xe-tam-va-hdjkt-chung-cua-du-an-2017039-jv","Xem chi tiết")</f>
        <v/>
      </c>
    </row>
    <row r="6166">
      <c r="B6166" s="9" t="n">
        <v>6164</v>
      </c>
      <c r="C6166" s="10" t="inlineStr">
        <is>
          <t>[Hot Job] Nhân Viên Kinh Doanh - Tổng Thu Nhập Lên Đến 500Tr/năm</t>
        </is>
      </c>
      <c r="D6166" s="10" t="inlineStr">
        <is>
          <t>Công Ty TNHH B.C.E Việt Nam</t>
        </is>
      </c>
      <c r="E6166" s="10" t="inlineStr">
        <is>
          <t>Từ $ 1,000 /tháng</t>
        </is>
      </c>
      <c r="F6166" s="10" t="inlineStr">
        <is>
          <t>Hồ Chí Minh, Hà Nội</t>
        </is>
      </c>
      <c r="G6166" s="10" t="inlineStr">
        <is>
          <t>Nhân viên</t>
        </is>
      </c>
      <c r="H6166" s="10" t="inlineStr">
        <is>
          <t>02/03/2026</t>
        </is>
      </c>
      <c r="I6166" s="10" t="inlineStr">
        <is>
          <t>01/04/2026</t>
        </is>
      </c>
      <c r="J6166" s="10" t="inlineStr">
        <is>
          <t>17/03/2026</t>
        </is>
      </c>
      <c r="K6166" s="10" t="inlineStr">
        <is>
          <t>N/A</t>
        </is>
      </c>
      <c r="L6166" s="10" t="inlineStr">
        <is>
          <t>Công Nghệ Sinh Học, Sinh Học Phân Tử, Technical Sales, Kinh Doanh, Bán hàng</t>
        </is>
      </c>
      <c r="M6166" s="10" t="inlineStr">
        <is>
          <t>Bonus, Healthcare Plan, Travel Opportunities</t>
        </is>
      </c>
      <c r="N6166" s="11">
        <f>HYPERLINK("https://www.vietnamworks.com/hot-job-nhan-vien-kinh-doanh-tong-thu-nhap-len-den-500tr-nam--2017050-jv","Xem chi tiết")</f>
        <v/>
      </c>
      <c r="O6166" s="10" t="n"/>
    </row>
    <row r="6167">
      <c r="B6167" s="7" t="n">
        <v>6165</v>
      </c>
      <c r="C6167" t="inlineStr">
        <is>
          <t>MEP Management (Chủ Đầu Tư)</t>
        </is>
      </c>
      <c r="D6167" t="inlineStr">
        <is>
          <t>Công Ty TNHH Phát Triển Phú Mỹ Hưng</t>
        </is>
      </c>
      <c r="E6167" t="inlineStr">
        <is>
          <t>Thương lượng</t>
        </is>
      </c>
      <c r="F6167" t="inlineStr">
        <is>
          <t>Hồ Chí Minh</t>
        </is>
      </c>
      <c r="G6167" t="inlineStr">
        <is>
          <t>Nhân viên</t>
        </is>
      </c>
      <c r="H6167" t="inlineStr">
        <is>
          <t>02/03/2026</t>
        </is>
      </c>
      <c r="I6167" t="inlineStr">
        <is>
          <t>01/04/2026</t>
        </is>
      </c>
      <c r="J6167" t="inlineStr">
        <is>
          <t>17/03/2026</t>
        </is>
      </c>
      <c r="K6167" t="inlineStr">
        <is>
          <t>N/A</t>
        </is>
      </c>
      <c r="L6167" t="inlineStr">
        <is>
          <t>MEP Engineering, MEP Construction, MEP Consultant, Cơ Điện, Điện Dân Dụng</t>
        </is>
      </c>
      <c r="M6167" t="inlineStr">
        <is>
          <t>Healthcare Plan, Paid Leave, Training</t>
        </is>
      </c>
      <c r="N6167" s="8">
        <f>HYPERLINK("https://www.vietnamworks.com/mep-management-chu-dau-tu-2017043-jv","Xem chi tiết")</f>
        <v/>
      </c>
    </row>
    <row r="6168">
      <c r="B6168" s="9" t="n">
        <v>6166</v>
      </c>
      <c r="C6168" s="10" t="inlineStr">
        <is>
          <t>Phó Trưởng Phòng Vật Tư</t>
        </is>
      </c>
      <c r="D6168" s="10" t="inlineStr">
        <is>
          <t>Công Ty Cổ Phần Đầu Tư Thiên Ân</t>
        </is>
      </c>
      <c r="E6168" s="10" t="inlineStr">
        <is>
          <t>20tr-30tr ₫/tháng</t>
        </is>
      </c>
      <c r="F6168" s="10" t="inlineStr">
        <is>
          <t>Hà Nội</t>
        </is>
      </c>
      <c r="G6168" s="10" t="inlineStr">
        <is>
          <t>Trưởng phòng</t>
        </is>
      </c>
      <c r="H6168" s="10" t="inlineStr">
        <is>
          <t>02/03/2026</t>
        </is>
      </c>
      <c r="I6168" s="10" t="inlineStr">
        <is>
          <t>01/04/2026</t>
        </is>
      </c>
      <c r="J6168" s="10" t="inlineStr">
        <is>
          <t>17/03/2026</t>
        </is>
      </c>
      <c r="K6168" s="10" t="inlineStr">
        <is>
          <t>N/A</t>
        </is>
      </c>
      <c r="L6168" s="10" t="inlineStr">
        <is>
          <t>Lập Kế Hoạch Vật Tư, Thiết Kế Chuỗi Cung Ứng, Thu Mua Cung Ứng, Thu Mua Vật Tư, Triển Khai Mời Thầu</t>
        </is>
      </c>
      <c r="M6168" s="10" t="inlineStr">
        <is>
          <t>Bonus, Healthcare Plan, Paid Leave, Training, Awards, Team Activities, Others</t>
        </is>
      </c>
      <c r="N6168" s="11">
        <f>HYPERLINK("https://www.vietnamworks.com/pho-truong-phong-vat-tu-2017024-jv","Xem chi tiết")</f>
        <v/>
      </c>
      <c r="O6168" s="10" t="n"/>
    </row>
    <row r="6169">
      <c r="B6169" s="7" t="n">
        <v>6167</v>
      </c>
      <c r="C6169" t="inlineStr">
        <is>
          <t>Site Supervision (Junior)</t>
        </is>
      </c>
      <c r="D6169" t="inlineStr">
        <is>
          <t>Công Ty TNHH Phát Triển Phú Mỹ Hưng</t>
        </is>
      </c>
      <c r="E6169" t="inlineStr">
        <is>
          <t>Thương lượng</t>
        </is>
      </c>
      <c r="F6169" t="inlineStr">
        <is>
          <t>Hồ Chí Minh</t>
        </is>
      </c>
      <c r="G6169" t="inlineStr">
        <is>
          <t>Mới Tốt Nghiệp</t>
        </is>
      </c>
      <c r="H6169" t="inlineStr">
        <is>
          <t>02/03/2026</t>
        </is>
      </c>
      <c r="I6169" t="inlineStr">
        <is>
          <t>01/04/2026</t>
        </is>
      </c>
      <c r="J6169" t="inlineStr">
        <is>
          <t>17/03/2026</t>
        </is>
      </c>
      <c r="K6169" t="inlineStr">
        <is>
          <t>N/A</t>
        </is>
      </c>
      <c r="L6169" t="inlineStr">
        <is>
          <t>Site Engineering, Giám Sát Xây Dựng, Civil engineer, Construction Project, Công Trình Dân Dụng</t>
        </is>
      </c>
      <c r="M6169" t="inlineStr">
        <is>
          <t>Healthcare Plan, Paid Leave, Training</t>
        </is>
      </c>
      <c r="N6169" s="8">
        <f>HYPERLINK("https://www.vietnamworks.com/site-supervision-junior-2017051-jv","Xem chi tiết")</f>
        <v/>
      </c>
    </row>
    <row r="6170">
      <c r="B6170" s="9" t="n">
        <v>6168</v>
      </c>
      <c r="C6170" s="10" t="inlineStr">
        <is>
          <t>HN - Chuyên Viên Quan Hệ Khách Hàng Doanh Nghiệp</t>
        </is>
      </c>
      <c r="D6170" s="10" t="inlineStr">
        <is>
          <t>Ngân Hàng TMCP Á Châu (ACB)</t>
        </is>
      </c>
      <c r="E6170" s="10" t="inlineStr">
        <is>
          <t>Thương lượng</t>
        </is>
      </c>
      <c r="F6170" s="10" t="inlineStr">
        <is>
          <t>Hà Nội</t>
        </is>
      </c>
      <c r="G6170" s="10" t="inlineStr">
        <is>
          <t>Nhân viên</t>
        </is>
      </c>
      <c r="H6170" s="10" t="inlineStr">
        <is>
          <t>02/03/2026</t>
        </is>
      </c>
      <c r="I6170" s="10" t="inlineStr">
        <is>
          <t>01/04/2026</t>
        </is>
      </c>
      <c r="J6170" s="10" t="inlineStr">
        <is>
          <t>17/03/2026</t>
        </is>
      </c>
      <c r="K6170" s="10" t="inlineStr">
        <is>
          <t>N/A</t>
        </is>
      </c>
      <c r="L6170" s="10" t="inlineStr">
        <is>
          <t>Giới Thiệu Sản Phẩm, Quan Hệ Khách Hàng, Tài Chính Ngân Hàng, Tư Vấn, Quản Lý Danh Mục</t>
        </is>
      </c>
      <c r="M6170" s="10" t="inlineStr">
        <is>
          <t>Bonus, Healthcare Plan, Training, Canteen, Others</t>
        </is>
      </c>
      <c r="N6170" s="11">
        <f>HYPERLINK("https://www.vietnamworks.com/hn-chuyen-vien-quan-he-khach-hang-doanh-nghiep--2017048-jv","Xem chi tiết")</f>
        <v/>
      </c>
      <c r="O6170" s="10" t="n"/>
    </row>
    <row r="6171">
      <c r="B6171" s="7" t="n">
        <v>6169</v>
      </c>
      <c r="C6171" t="inlineStr">
        <is>
          <t>Logistics Specialist</t>
        </is>
      </c>
      <c r="D6171" t="inlineStr">
        <is>
          <t>Sharkninja Vietnam</t>
        </is>
      </c>
      <c r="E6171" t="inlineStr">
        <is>
          <t>Thương lượng</t>
        </is>
      </c>
      <c r="F6171" t="inlineStr">
        <is>
          <t>Hồ Chí Minh</t>
        </is>
      </c>
      <c r="G6171" t="inlineStr">
        <is>
          <t>Nhân viên</t>
        </is>
      </c>
      <c r="H6171" t="inlineStr">
        <is>
          <t>02/03/2026</t>
        </is>
      </c>
      <c r="I6171" t="inlineStr">
        <is>
          <t>01/04/2026</t>
        </is>
      </c>
      <c r="J6171" t="inlineStr">
        <is>
          <t>17/03/2026</t>
        </is>
      </c>
      <c r="K6171" t="inlineStr">
        <is>
          <t>N/A</t>
        </is>
      </c>
      <c r="L6171" t="inlineStr">
        <is>
          <t>Communication Skills, Solution Oriented, Team Work, Time Management, Fluent In Both Chinese And English</t>
        </is>
      </c>
      <c r="M6171" t="inlineStr">
        <is>
          <t>Bonus, Healthcare Plan, Training</t>
        </is>
      </c>
      <c r="N6171" s="8">
        <f>HYPERLINK("https://www.vietnamworks.com/logistics-specialist-2017045-jv","Xem chi tiết")</f>
        <v/>
      </c>
    </row>
    <row r="6172">
      <c r="B6172" s="9" t="n">
        <v>6170</v>
      </c>
      <c r="C6172" s="10" t="inlineStr">
        <is>
          <t>VJ/Brand Face Trên Các Nền Tảng Mạng Xã Hội</t>
        </is>
      </c>
      <c r="D6172" s="10" t="inlineStr">
        <is>
          <t>Panasonic Sales Vietnam</t>
        </is>
      </c>
      <c r="E6172" s="10" t="inlineStr">
        <is>
          <t>Thương lượng</t>
        </is>
      </c>
      <c r="F6172" s="10" t="inlineStr">
        <is>
          <t>Hà Nội</t>
        </is>
      </c>
      <c r="G6172" s="10" t="inlineStr">
        <is>
          <t>Mới Tốt Nghiệp</t>
        </is>
      </c>
      <c r="H6172" s="10" t="inlineStr">
        <is>
          <t>02/03/2026</t>
        </is>
      </c>
      <c r="I6172" s="10" t="inlineStr">
        <is>
          <t>01/04/2026</t>
        </is>
      </c>
      <c r="J6172" s="10" t="inlineStr">
        <is>
          <t>17/03/2026</t>
        </is>
      </c>
      <c r="K6172" s="10" t="inlineStr">
        <is>
          <t>N/A</t>
        </is>
      </c>
      <c r="L6172" s="10" t="inlineStr">
        <is>
          <t>Chụp Ảnh, Giao Tiếp, Sáng Tạo Nội Dung, Tự Tin Trước Ống Kính, Khả Năng Diễn Xuất</t>
        </is>
      </c>
      <c r="M6172" s="10" t="inlineStr">
        <is>
          <t>Team Activities, Others</t>
        </is>
      </c>
      <c r="N6172" s="11">
        <f>HYPERLINK("https://www.vietnamworks.com/vjbrand-face-tren-cac-nen-tang-mang-xa-hoi-2017044-jv","Xem chi tiết")</f>
        <v/>
      </c>
      <c r="O6172" s="10" t="n"/>
    </row>
    <row r="6173">
      <c r="B6173" s="7" t="n">
        <v>6171</v>
      </c>
      <c r="C6173" t="inlineStr">
        <is>
          <t>Quantity Surveyor MEP</t>
        </is>
      </c>
      <c r="D6173" t="inlineStr">
        <is>
          <t>Công Ty TNHH Phát Triển Phú Mỹ Hưng</t>
        </is>
      </c>
      <c r="E6173" t="inlineStr">
        <is>
          <t>Thương lượng</t>
        </is>
      </c>
      <c r="F6173" t="inlineStr">
        <is>
          <t>Hồ Chí Minh</t>
        </is>
      </c>
      <c r="G6173" t="inlineStr">
        <is>
          <t>Nhân viên</t>
        </is>
      </c>
      <c r="H6173" t="inlineStr">
        <is>
          <t>02/03/2026</t>
        </is>
      </c>
      <c r="I6173" t="inlineStr">
        <is>
          <t>01/04/2026</t>
        </is>
      </c>
      <c r="J6173" t="inlineStr">
        <is>
          <t>17/03/2026</t>
        </is>
      </c>
      <c r="K6173" t="inlineStr">
        <is>
          <t>N/A</t>
        </is>
      </c>
      <c r="L6173" t="inlineStr">
        <is>
          <t>Quantity take-off, MEP Engineering, Kỹ Sư QS MEP, MEP Consultant, MEP Construction</t>
        </is>
      </c>
      <c r="M6173" t="inlineStr">
        <is>
          <t>Healthcare Plan, Paid Leave, Training</t>
        </is>
      </c>
      <c r="N6173" s="8">
        <f>HYPERLINK("https://www.vietnamworks.com/quantity-surveyor-mep--2017046-jv","Xem chi tiết")</f>
        <v/>
      </c>
    </row>
    <row r="6174">
      <c r="B6174" s="9" t="n">
        <v>6172</v>
      </c>
      <c r="C6174" s="10" t="inlineStr">
        <is>
          <t>Recruitment Team Lead (Us/eu Timezone, Up to $2500)</t>
        </is>
      </c>
      <c r="D6174" s="10" t="inlineStr">
        <is>
          <t>Arches Corporation</t>
        </is>
      </c>
      <c r="E6174" s="10" t="inlineStr">
        <is>
          <t>Tới $ 2,500 /tháng</t>
        </is>
      </c>
      <c r="F6174" s="10" t="inlineStr">
        <is>
          <t>Hồ Chí Minh</t>
        </is>
      </c>
      <c r="G6174" s="10" t="inlineStr">
        <is>
          <t>Trưởng phòng</t>
        </is>
      </c>
      <c r="H6174" s="10" t="inlineStr">
        <is>
          <t>02/03/2026</t>
        </is>
      </c>
      <c r="I6174" s="10" t="inlineStr">
        <is>
          <t>01/04/2026</t>
        </is>
      </c>
      <c r="J6174" s="10" t="inlineStr">
        <is>
          <t>17/03/2026</t>
        </is>
      </c>
      <c r="K6174" s="10" t="inlineStr">
        <is>
          <t>N/A</t>
        </is>
      </c>
      <c r="L6174" s="10" t="inlineStr">
        <is>
          <t>English Communication, KPI Management, Leadership Skills</t>
        </is>
      </c>
      <c r="M6174" s="10" t="inlineStr">
        <is>
          <t>Bonus, Healthcare Plan, Paid Leave, Training, Team Activities, Canteen, Others</t>
        </is>
      </c>
      <c r="N6174" s="11">
        <f>HYPERLINK("https://www.vietnamworks.com/recruitment-team-lead-us-eu-timezone-up-to-2500-2017033-jv","Xem chi tiết")</f>
        <v/>
      </c>
      <c r="O6174" s="10" t="n"/>
    </row>
    <row r="6175">
      <c r="B6175" s="7" t="n">
        <v>6173</v>
      </c>
      <c r="C6175" t="inlineStr">
        <is>
          <t>Trưởng Phòng Hợp Đồng và Mua Sắm</t>
        </is>
      </c>
      <c r="D6175" t="inlineStr">
        <is>
          <t>Công Ty Cổ Phần Tập Đoàn Gỗ Minh Long</t>
        </is>
      </c>
      <c r="E6175" t="inlineStr">
        <is>
          <t>$$ 1,500-1,800 /tháng</t>
        </is>
      </c>
      <c r="F6175" t="inlineStr">
        <is>
          <t>Hà Nội</t>
        </is>
      </c>
      <c r="G6175" t="inlineStr">
        <is>
          <t>Trưởng phòng</t>
        </is>
      </c>
      <c r="H6175" t="inlineStr">
        <is>
          <t>02/03/2026</t>
        </is>
      </c>
      <c r="I6175" t="inlineStr">
        <is>
          <t>01/04/2026</t>
        </is>
      </c>
      <c r="J6175" t="inlineStr">
        <is>
          <t>17/03/2026</t>
        </is>
      </c>
      <c r="K6175" t="inlineStr">
        <is>
          <t>N/A</t>
        </is>
      </c>
      <c r="L6175" t="inlineStr">
        <is>
          <t>Mua Hàng, Hợp Đồng Xuất Nhập Khẩu, Cung Ứng Hàng Hóa, Mua hàng &amp; Tìm nguồn cung ứng, Quản Lý Nguồn Cung Ứng</t>
        </is>
      </c>
      <c r="M6175" t="inlineStr">
        <is>
          <t>Paid Leave, Training, Library</t>
        </is>
      </c>
      <c r="N6175" s="8">
        <f>HYPERLINK("https://www.vietnamworks.com/truong-phong-hop-dong-va-mua-sam--2017035-jv","Xem chi tiết")</f>
        <v/>
      </c>
    </row>
    <row r="6176">
      <c r="B6176" s="9" t="n">
        <v>6174</v>
      </c>
      <c r="C6176" s="10" t="inlineStr">
        <is>
          <t>Junior Accountant</t>
        </is>
      </c>
      <c r="D6176" s="10" t="inlineStr">
        <is>
          <t>CÔNG TY TNHH B&amp;E CONSULTING</t>
        </is>
      </c>
      <c r="E6176" s="10" t="inlineStr">
        <is>
          <t>$$ 400-500 /tháng</t>
        </is>
      </c>
      <c r="F6176" s="10" t="inlineStr">
        <is>
          <t>Hồ Chí Minh</t>
        </is>
      </c>
      <c r="G6176" s="10" t="inlineStr">
        <is>
          <t>Mới Tốt Nghiệp</t>
        </is>
      </c>
      <c r="H6176" s="10" t="inlineStr">
        <is>
          <t>02/03/2026</t>
        </is>
      </c>
      <c r="I6176" s="10" t="inlineStr">
        <is>
          <t>01/04/2026</t>
        </is>
      </c>
      <c r="J6176" s="10" t="inlineStr">
        <is>
          <t>17/03/2026</t>
        </is>
      </c>
      <c r="K6176" s="10" t="inlineStr">
        <is>
          <t>N/A</t>
        </is>
      </c>
      <c r="L6176" s="10" t="inlineStr">
        <is>
          <t>Accounting, Excel, QuickBooks Online, Time Management, Finance</t>
        </is>
      </c>
      <c r="M6176" s="10" t="inlineStr">
        <is>
          <t>Bonus, Healthcare Plan, Paid Leave</t>
        </is>
      </c>
      <c r="N6176" s="11">
        <f>HYPERLINK("https://www.vietnamworks.com/junior-accountant-2017053-jv","Xem chi tiết")</f>
        <v/>
      </c>
      <c r="O6176" s="10" t="n"/>
    </row>
    <row r="6177">
      <c r="B6177" s="7" t="n">
        <v>6175</v>
      </c>
      <c r="C6177" t="inlineStr">
        <is>
          <t>Kế Toán Chi Phí</t>
        </is>
      </c>
      <c r="D6177" t="inlineStr">
        <is>
          <t>K PLUS SUPPLY CHAIN MANAGEMENT COMPANY LIMITED</t>
        </is>
      </c>
      <c r="E6177" t="inlineStr">
        <is>
          <t>8tr-12tr ₫/tháng</t>
        </is>
      </c>
      <c r="F6177" t="inlineStr">
        <is>
          <t>Hồ Chí Minh</t>
        </is>
      </c>
      <c r="G6177" t="inlineStr">
        <is>
          <t>Nhân viên</t>
        </is>
      </c>
      <c r="H6177" t="inlineStr">
        <is>
          <t>02/03/2026</t>
        </is>
      </c>
      <c r="I6177" t="inlineStr">
        <is>
          <t>01/04/2026</t>
        </is>
      </c>
      <c r="J6177" t="inlineStr">
        <is>
          <t>17/03/2026</t>
        </is>
      </c>
      <c r="K6177" t="inlineStr">
        <is>
          <t>N/A</t>
        </is>
      </c>
      <c r="L6177" t="inlineStr">
        <is>
          <t>Giao Tiếp, Kế Toán, MS Office, Quản Lý Chi Phí, Đàm Phán</t>
        </is>
      </c>
      <c r="M6177" t="inlineStr">
        <is>
          <t>Others</t>
        </is>
      </c>
      <c r="N6177" s="8">
        <f>HYPERLINK("https://www.vietnamworks.com/ke-toan-chi-phi-2017063-jv","Xem chi tiết")</f>
        <v/>
      </c>
    </row>
    <row r="6178">
      <c r="B6178" s="9" t="n">
        <v>6176</v>
      </c>
      <c r="C6178" s="10" t="inlineStr">
        <is>
          <t>Sales Supervisor</t>
        </is>
      </c>
      <c r="D6178" s="10" t="inlineStr">
        <is>
          <t>Công Ty TNHH Yusen Logistics (Việt Nam)</t>
        </is>
      </c>
      <c r="E6178" s="10" t="inlineStr">
        <is>
          <t>Thương lượng</t>
        </is>
      </c>
      <c r="F6178" s="10" t="inlineStr">
        <is>
          <t>Hồ Chí Minh, Bình Dương, Hà Nội</t>
        </is>
      </c>
      <c r="G6178" s="10" t="inlineStr">
        <is>
          <t>Nhân viên</t>
        </is>
      </c>
      <c r="H6178" s="10" t="inlineStr">
        <is>
          <t>02/03/2026</t>
        </is>
      </c>
      <c r="I6178" s="10" t="inlineStr">
        <is>
          <t>01/04/2026</t>
        </is>
      </c>
      <c r="J6178" s="10" t="inlineStr">
        <is>
          <t>17/03/2026</t>
        </is>
      </c>
      <c r="K6178" s="10" t="inlineStr">
        <is>
          <t>N/A</t>
        </is>
      </c>
      <c r="L6178" s="10" t="inlineStr">
        <is>
          <t>Logistics Sales, Logistics, Business Development, Sales, fowarding</t>
        </is>
      </c>
      <c r="M6178" s="10" t="inlineStr">
        <is>
          <t>Bonus, Healthcare Plan, Laptop</t>
        </is>
      </c>
      <c r="N6178" s="11">
        <f>HYPERLINK("https://www.vietnamworks.com/sales-supervisor--2017060-jv","Xem chi tiết")</f>
        <v/>
      </c>
      <c r="O6178" s="10" t="n"/>
    </row>
    <row r="6179">
      <c r="B6179" s="7" t="n">
        <v>6177</v>
      </c>
      <c r="C6179" t="inlineStr">
        <is>
          <t>Accountant – Australian Accounting Services - Kế Toán Thuế (Lương Upto 16 Triệu)</t>
        </is>
      </c>
      <c r="D6179" t="inlineStr">
        <is>
          <t>CK SOLUTIONS</t>
        </is>
      </c>
      <c r="E6179" t="inlineStr">
        <is>
          <t>12tr-16tr ₫/tháng</t>
        </is>
      </c>
      <c r="F6179" t="inlineStr">
        <is>
          <t>Hà Nội</t>
        </is>
      </c>
      <c r="G6179" t="inlineStr">
        <is>
          <t>Nhân viên</t>
        </is>
      </c>
      <c r="H6179" t="inlineStr">
        <is>
          <t>02/03/2026</t>
        </is>
      </c>
      <c r="I6179" t="inlineStr">
        <is>
          <t>01/04/2026</t>
        </is>
      </c>
      <c r="J6179" t="inlineStr">
        <is>
          <t>17/03/2026</t>
        </is>
      </c>
      <c r="K6179" t="inlineStr">
        <is>
          <t>N/A</t>
        </is>
      </c>
      <c r="L6179" t="inlineStr">
        <is>
          <t>Tài Chính, Accounting, English, Payroll, Kế Toán Thuế</t>
        </is>
      </c>
      <c r="M6179" t="inlineStr">
        <is>
          <t>Bonus, Awards, Others</t>
        </is>
      </c>
      <c r="N6179" s="8">
        <f>HYPERLINK("https://www.vietnamworks.com/accountant-australian-accounting-services-ke-toan-thue-luong-upto-16-trieu--2017055-jv","Xem chi tiết")</f>
        <v/>
      </c>
    </row>
    <row r="6180">
      <c r="B6180" s="9" t="n">
        <v>6178</v>
      </c>
      <c r="C6180" s="10" t="inlineStr">
        <is>
          <t>O365 Customer Support (Rotation Shift)</t>
        </is>
      </c>
      <c r="D6180" s="10" t="inlineStr">
        <is>
          <t>ITECHWX COMPANY LIMITED</t>
        </is>
      </c>
      <c r="E6180" s="10" t="inlineStr">
        <is>
          <t>16tr-20tr ₫/tháng</t>
        </is>
      </c>
      <c r="F6180" s="10" t="inlineStr">
        <is>
          <t>Hồ Chí Minh</t>
        </is>
      </c>
      <c r="G6180" s="10" t="inlineStr">
        <is>
          <t>Nhân viên</t>
        </is>
      </c>
      <c r="H6180" s="10" t="inlineStr">
        <is>
          <t>02/03/2026</t>
        </is>
      </c>
      <c r="I6180" s="10" t="inlineStr">
        <is>
          <t>01/04/2026</t>
        </is>
      </c>
      <c r="J6180" s="10" t="inlineStr">
        <is>
          <t>17/03/2026</t>
        </is>
      </c>
      <c r="K6180" s="10" t="inlineStr">
        <is>
          <t>N/A</t>
        </is>
      </c>
      <c r="L6180" s="10" t="inlineStr">
        <is>
          <t>Communication Skills, Customer Support, Logical Thinking, Self Learning, Customer Service</t>
        </is>
      </c>
      <c r="M6180" s="10" t="inlineStr">
        <is>
          <t>Bonus, Healthcare Plan, Paid Leave, Training, Laptop</t>
        </is>
      </c>
      <c r="N6180" s="11">
        <f>HYPERLINK("https://www.vietnamworks.com/o365-customer-support-rotation-shift-2017061-jv","Xem chi tiết")</f>
        <v/>
      </c>
      <c r="O6180" s="10" t="n"/>
    </row>
    <row r="6181">
      <c r="B6181" s="7" t="n">
        <v>6179</v>
      </c>
      <c r="C6181" t="inlineStr">
        <is>
          <t>Trưởng Nhóm Tuyển Dụng</t>
        </is>
      </c>
      <c r="D6181" t="inlineStr">
        <is>
          <t>Công Ty TNHH Dịch Vụ Ăn Uống Ba Sao</t>
        </is>
      </c>
      <c r="E6181" t="inlineStr">
        <is>
          <t>Thương lượng</t>
        </is>
      </c>
      <c r="F6181" t="inlineStr">
        <is>
          <t>Hà Nội</t>
        </is>
      </c>
      <c r="G6181" t="inlineStr">
        <is>
          <t>Nhân viên</t>
        </is>
      </c>
      <c r="H6181" t="inlineStr">
        <is>
          <t>02/03/2026</t>
        </is>
      </c>
      <c r="I6181" t="inlineStr">
        <is>
          <t>01/04/2026</t>
        </is>
      </c>
      <c r="J6181" t="inlineStr">
        <is>
          <t>17/03/2026</t>
        </is>
      </c>
      <c r="K6181" t="inlineStr">
        <is>
          <t>N/A</t>
        </is>
      </c>
      <c r="L6181" t="inlineStr">
        <is>
          <t>Giao Tiếp Tiếng Anh, Luật Lao Động, Quy Hoạch Mạng Lưới, Tin Học Văn Phòng</t>
        </is>
      </c>
      <c r="M6181" t="inlineStr">
        <is>
          <t>Bonus, Healthcare Plan, Others</t>
        </is>
      </c>
      <c r="N6181" s="8">
        <f>HYPERLINK("https://www.vietnamworks.com/truong-nhom-tuyen-dung-2017054-jv","Xem chi tiết")</f>
        <v/>
      </c>
    </row>
    <row r="6182">
      <c r="B6182" s="9" t="n">
        <v>6180</v>
      </c>
      <c r="C6182" s="10" t="inlineStr">
        <is>
          <t>HCM - Chuyên Viên Quan Hệ Khách Hàng Doanh Nghiệp</t>
        </is>
      </c>
      <c r="D6182" s="10" t="inlineStr">
        <is>
          <t>Ngân Hàng TMCP Á Châu (ACB)</t>
        </is>
      </c>
      <c r="E6182" s="10" t="inlineStr">
        <is>
          <t>Thương lượng</t>
        </is>
      </c>
      <c r="F6182" s="10" t="inlineStr">
        <is>
          <t>Bình Dương, Bà Rịa - Vũng Tàu, Hồ Chí Minh</t>
        </is>
      </c>
      <c r="G6182" s="10" t="inlineStr">
        <is>
          <t>Nhân viên</t>
        </is>
      </c>
      <c r="H6182" s="10" t="inlineStr">
        <is>
          <t>02/03/2026</t>
        </is>
      </c>
      <c r="I6182" s="10" t="inlineStr">
        <is>
          <t>01/04/2026</t>
        </is>
      </c>
      <c r="J6182" s="10" t="inlineStr">
        <is>
          <t>17/03/2026</t>
        </is>
      </c>
      <c r="K6182" s="10" t="inlineStr">
        <is>
          <t>N/A</t>
        </is>
      </c>
      <c r="L6182" s="10" t="inlineStr">
        <is>
          <t>Giới Thiệu Sản Phẩm, Quan Hệ Khách Hàng, Tài Chính Ngân Hàng, Tư Vấn, Quản Lý Danh Mục</t>
        </is>
      </c>
      <c r="M6182" s="10" t="inlineStr">
        <is>
          <t>Bonus, Healthcare Plan, Training, Canteen, Others</t>
        </is>
      </c>
      <c r="N6182" s="11">
        <f>HYPERLINK("https://www.vietnamworks.com/hcm-chuyen-vien-quan-he-khach-hang-doanh-nghiep--2017052-jv","Xem chi tiết")</f>
        <v/>
      </c>
      <c r="O6182" s="10" t="n"/>
    </row>
    <row r="6183">
      <c r="B6183" s="7" t="n">
        <v>6181</v>
      </c>
      <c r="C6183" t="inlineStr">
        <is>
          <t>HCM - Chuyên Viên Quan Hệ Khách Hàng Cá Nhân</t>
        </is>
      </c>
      <c r="D6183" t="inlineStr">
        <is>
          <t>Ngân Hàng TMCP Á Châu (ACB)</t>
        </is>
      </c>
      <c r="E6183" t="inlineStr">
        <is>
          <t>Thương lượng</t>
        </is>
      </c>
      <c r="F6183" t="inlineStr">
        <is>
          <t>Bình Dương, Bà Rịa - Vũng Tàu, Hồ Chí Minh</t>
        </is>
      </c>
      <c r="G6183" t="inlineStr">
        <is>
          <t>Nhân viên</t>
        </is>
      </c>
      <c r="H6183" t="inlineStr">
        <is>
          <t>02/03/2026</t>
        </is>
      </c>
      <c r="I6183" t="inlineStr">
        <is>
          <t>01/04/2026</t>
        </is>
      </c>
      <c r="J6183" t="inlineStr">
        <is>
          <t>17/03/2026</t>
        </is>
      </c>
      <c r="K6183" t="inlineStr">
        <is>
          <t>N/A</t>
        </is>
      </c>
      <c r="L6183" t="inlineStr">
        <is>
          <t>Giới Thiệu Sản Phẩm, Quan Hệ Khách Hàng, Tài Chính Ngân Hàng, Tìm Kiếm Khách Hàng, Tư Vấn</t>
        </is>
      </c>
      <c r="M6183" t="inlineStr">
        <is>
          <t>Bonus, Healthcare Plan, Training, Canteen, Others</t>
        </is>
      </c>
      <c r="N6183" s="8">
        <f>HYPERLINK("https://www.vietnamworks.com/hcm-chuyen-vien-quan-he-khach-hang-ca-nhan--2017057-jv","Xem chi tiết")</f>
        <v/>
      </c>
    </row>
    <row r="6184">
      <c r="B6184" s="9" t="n">
        <v>6182</v>
      </c>
      <c r="C6184" s="10" t="inlineStr">
        <is>
          <t>ERP Developer (C#, Devexpress, .NET) - Urgent</t>
        </is>
      </c>
      <c r="D6184" s="10" t="inlineStr">
        <is>
          <t>Alliance Construction &amp; Fine Furniture Company</t>
        </is>
      </c>
      <c r="E6184" s="10" t="inlineStr">
        <is>
          <t>Thương lượng</t>
        </is>
      </c>
      <c r="F6184" s="10" t="inlineStr">
        <is>
          <t>Long An, Hồ Chí Minh</t>
        </is>
      </c>
      <c r="G6184" s="10" t="inlineStr">
        <is>
          <t>Nhân viên</t>
        </is>
      </c>
      <c r="H6184" s="10" t="inlineStr">
        <is>
          <t>02/03/2026</t>
        </is>
      </c>
      <c r="I6184" s="10" t="inlineStr">
        <is>
          <t>01/04/2026</t>
        </is>
      </c>
      <c r="J6184" s="10" t="inlineStr">
        <is>
          <t>17/03/2026</t>
        </is>
      </c>
      <c r="K6184" s="10" t="inlineStr">
        <is>
          <t>N/A</t>
        </is>
      </c>
      <c r="L6184" s="10" t="inlineStr">
        <is>
          <t>.Net, C#, DevExpress, ERP, OOP</t>
        </is>
      </c>
      <c r="M6184" s="10" t="inlineStr">
        <is>
          <t>Bonus, Paid Leave, Team Activities</t>
        </is>
      </c>
      <c r="N6184" s="11">
        <f>HYPERLINK("https://www.vietnamworks.com/erp-developer-c-sharp-devexpress-net-urgent--2017058-jv","Xem chi tiết")</f>
        <v/>
      </c>
      <c r="O6184" s="10" t="n"/>
    </row>
    <row r="6185">
      <c r="B6185" s="7" t="n">
        <v>6183</v>
      </c>
      <c r="C6185" t="inlineStr">
        <is>
          <t>Chuyên Viên Đấu Thầu (Tổng Thầu) - Alphanam Group</t>
        </is>
      </c>
      <c r="D6185" t="inlineStr">
        <is>
          <t>Alphanam Group</t>
        </is>
      </c>
      <c r="E6185" t="inlineStr">
        <is>
          <t>$$ 1,000-1,200 /tháng</t>
        </is>
      </c>
      <c r="F6185" t="inlineStr">
        <is>
          <t>Hà Nội</t>
        </is>
      </c>
      <c r="G6185" t="inlineStr">
        <is>
          <t>Nhân viên</t>
        </is>
      </c>
      <c r="H6185" t="inlineStr">
        <is>
          <t>02/03/2026</t>
        </is>
      </c>
      <c r="I6185" t="inlineStr">
        <is>
          <t>01/04/2026</t>
        </is>
      </c>
      <c r="J6185" t="inlineStr">
        <is>
          <t>17/03/2026</t>
        </is>
      </c>
      <c r="K6185" t="inlineStr">
        <is>
          <t>N/A</t>
        </is>
      </c>
      <c r="L6185" t="inlineStr">
        <is>
          <t>Đấu Thầu, Cung Ứng, Xây Dựng, Kinh Nghiệm Với Tổng Thầu</t>
        </is>
      </c>
      <c r="M6185" t="inlineStr">
        <is>
          <t>Bonus, Training, Travel Opportunities</t>
        </is>
      </c>
      <c r="N6185" s="8">
        <f>HYPERLINK("https://www.vietnamworks.com/chuyen-vien-dau-thau-tong-thau-alphanam-group-2017067-jv","Xem chi tiết")</f>
        <v/>
      </c>
    </row>
    <row r="6186">
      <c r="B6186" s="9" t="n">
        <v>6184</v>
      </c>
      <c r="C6186" s="10" t="inlineStr">
        <is>
          <t>HN - Chuyên Viên Quan Hệ Khách Hàng Cá Nhân</t>
        </is>
      </c>
      <c r="D6186" s="10" t="inlineStr">
        <is>
          <t>Ngân Hàng TMCP Á Châu (ACB)</t>
        </is>
      </c>
      <c r="E6186" s="10" t="inlineStr">
        <is>
          <t>Thương lượng</t>
        </is>
      </c>
      <c r="F6186" s="10" t="inlineStr">
        <is>
          <t>Hà Nội</t>
        </is>
      </c>
      <c r="G6186" s="10" t="inlineStr">
        <is>
          <t>Nhân viên</t>
        </is>
      </c>
      <c r="H6186" s="10" t="inlineStr">
        <is>
          <t>02/03/2026</t>
        </is>
      </c>
      <c r="I6186" s="10" t="inlineStr">
        <is>
          <t>01/04/2026</t>
        </is>
      </c>
      <c r="J6186" s="10" t="inlineStr">
        <is>
          <t>17/03/2026</t>
        </is>
      </c>
      <c r="K6186" s="10" t="inlineStr">
        <is>
          <t>N/A</t>
        </is>
      </c>
      <c r="L6186" s="10" t="inlineStr">
        <is>
          <t>Giới Thiệu Sản Phẩm, Quan Hệ Khách Hàng, Tài Chính Ngân Hàng, Tìm Kiếm Khách Hàng, Tư Vấn</t>
        </is>
      </c>
      <c r="M6186" s="10" t="inlineStr">
        <is>
          <t>Bonus, Healthcare Plan, Training, Canteen, Others</t>
        </is>
      </c>
      <c r="N6186" s="11">
        <f>HYPERLINK("https://www.vietnamworks.com/hn-chuyen-vien-quan-he-khach-hang-ca-nhan-2017056-jv","Xem chi tiết")</f>
        <v/>
      </c>
      <c r="O6186" s="10" t="n"/>
    </row>
    <row r="6187">
      <c r="B6187" s="7" t="n">
        <v>6185</v>
      </c>
      <c r="C6187" t="inlineStr">
        <is>
          <t>Chuyên Viên Chính C&amp;B</t>
        </is>
      </c>
      <c r="D6187" t="inlineStr">
        <is>
          <t>Công Ty Cổ Phần Viễn Thông Di Động Đông Dương</t>
        </is>
      </c>
      <c r="E6187" t="inlineStr">
        <is>
          <t>$$ 500-700 /tháng</t>
        </is>
      </c>
      <c r="F6187" t="inlineStr">
        <is>
          <t>Hà Nội</t>
        </is>
      </c>
      <c r="G6187" t="inlineStr">
        <is>
          <t>Nhân viên</t>
        </is>
      </c>
      <c r="H6187" t="inlineStr">
        <is>
          <t>02/03/2026</t>
        </is>
      </c>
      <c r="I6187" t="inlineStr">
        <is>
          <t>01/04/2026</t>
        </is>
      </c>
      <c r="J6187" t="inlineStr">
        <is>
          <t>17/03/2026</t>
        </is>
      </c>
      <c r="K6187" t="inlineStr">
        <is>
          <t>N/A</t>
        </is>
      </c>
      <c r="L6187" t="inlineStr">
        <is>
          <t>Quản Lý Phúc Lợi, Quản Lý Hành Chính Nhân Sự, Nhân Sự, C&amp;B, HR</t>
        </is>
      </c>
      <c r="M6187" t="inlineStr">
        <is>
          <t>Bonus, Healthcare Plan, Training</t>
        </is>
      </c>
      <c r="N6187" s="8">
        <f>HYPERLINK("https://www.vietnamworks.com/chuyen-vien-chinh-c-b--2017068-jv","Xem chi tiết")</f>
        <v/>
      </c>
    </row>
    <row r="6188">
      <c r="B6188" s="9" t="n">
        <v>6186</v>
      </c>
      <c r="C6188" s="10" t="inlineStr">
        <is>
          <t>Kỹ Sư Thiết Kế Cơ Khí</t>
        </is>
      </c>
      <c r="D6188" s="10" t="inlineStr">
        <is>
          <t>Công Ty Cổ Phần Công Nghệ Thiết Bị Nâng ATT</t>
        </is>
      </c>
      <c r="E6188" s="10" t="inlineStr">
        <is>
          <t>Thương lượng</t>
        </is>
      </c>
      <c r="F6188" s="10" t="inlineStr">
        <is>
          <t>Hà Nội</t>
        </is>
      </c>
      <c r="G6188" s="10" t="inlineStr">
        <is>
          <t>Nhân viên</t>
        </is>
      </c>
      <c r="H6188" s="10" t="inlineStr">
        <is>
          <t>02/03/2026</t>
        </is>
      </c>
      <c r="I6188" s="10" t="inlineStr">
        <is>
          <t>01/04/2026</t>
        </is>
      </c>
      <c r="J6188" s="10" t="inlineStr">
        <is>
          <t>17/03/2026</t>
        </is>
      </c>
      <c r="K6188" s="10" t="inlineStr">
        <is>
          <t>N/A</t>
        </is>
      </c>
      <c r="L6188" s="10" t="inlineStr">
        <is>
          <t>AutoCAD, Thiết Kế Cơ Khí, Inventor, Solidworks 3D, Cơ khí chế tạo máy</t>
        </is>
      </c>
      <c r="M6188" s="10" t="inlineStr">
        <is>
          <t>Bonus, Training, Travel Opportunities</t>
        </is>
      </c>
      <c r="N6188" s="11">
        <f>HYPERLINK("https://www.vietnamworks.com/ky-su-thiet-ke-co-khi--2017064-jv","Xem chi tiết")</f>
        <v/>
      </c>
      <c r="O6188" s="10" t="n"/>
    </row>
    <row r="6189">
      <c r="B6189" s="7" t="n">
        <v>6187</v>
      </c>
      <c r="C6189" t="inlineStr">
        <is>
          <t>Strutural Design Management</t>
        </is>
      </c>
      <c r="D6189" t="inlineStr">
        <is>
          <t>Công Ty TNHH Phát Triển Phú Mỹ Hưng</t>
        </is>
      </c>
      <c r="E6189" t="inlineStr">
        <is>
          <t>Thương lượng</t>
        </is>
      </c>
      <c r="F6189" t="inlineStr">
        <is>
          <t>Hòa Bình, Hà Nội</t>
        </is>
      </c>
      <c r="G6189" t="inlineStr">
        <is>
          <t>Nhân viên</t>
        </is>
      </c>
      <c r="H6189" t="inlineStr">
        <is>
          <t>02/03/2026</t>
        </is>
      </c>
      <c r="I6189" t="inlineStr">
        <is>
          <t>01/04/2026</t>
        </is>
      </c>
      <c r="J6189" t="inlineStr">
        <is>
          <t>17/03/2026</t>
        </is>
      </c>
      <c r="K6189" t="inlineStr">
        <is>
          <t>N/A</t>
        </is>
      </c>
      <c r="L6189" t="inlineStr">
        <is>
          <t>Structural Design, Thiết Kế Kết Cấu, Kết Cấu Kiến Trúc, Xây Dựng Dân Dụng và Công Nghiệp, Structural Drawing</t>
        </is>
      </c>
      <c r="M6189" t="inlineStr">
        <is>
          <t>Healthcare Plan, Paid Leave, Training</t>
        </is>
      </c>
      <c r="N6189" s="8">
        <f>HYPERLINK("https://www.vietnamworks.com/strutural-design-management-2017071-jv","Xem chi tiết")</f>
        <v/>
      </c>
    </row>
    <row r="6190">
      <c r="B6190" s="9" t="n">
        <v>6188</v>
      </c>
      <c r="C6190" s="10" t="inlineStr">
        <is>
          <t>Kỹ Thuật Viên Vận Hành &amp; Bảo Trì Hệ Thống – Môi Trường Giáo Dục Chuyên Nghiệp</t>
        </is>
      </c>
      <c r="D6190" s="10" t="inlineStr">
        <is>
          <t>Scotch Australian Grammar School (AGS)</t>
        </is>
      </c>
      <c r="E6190" s="10" t="inlineStr">
        <is>
          <t>Thương lượng</t>
        </is>
      </c>
      <c r="F6190" s="10" t="inlineStr">
        <is>
          <t>Hồ Chí Minh</t>
        </is>
      </c>
      <c r="G6190" s="10" t="inlineStr">
        <is>
          <t>Nhân viên</t>
        </is>
      </c>
      <c r="H6190" s="10" t="inlineStr">
        <is>
          <t>02/03/2026</t>
        </is>
      </c>
      <c r="I6190" s="10" t="inlineStr">
        <is>
          <t>01/04/2026</t>
        </is>
      </c>
      <c r="J6190" s="10" t="inlineStr">
        <is>
          <t>17/03/2026</t>
        </is>
      </c>
      <c r="K6190" s="10" t="inlineStr">
        <is>
          <t>N/A</t>
        </is>
      </c>
      <c r="L6190" s="10" t="inlineStr">
        <is>
          <t>Quản Lý Thiết Bị, Sửa Chữa Thiết Bị, Đọc Bản Vẽ Kỹ Thuật, Hỗ Trợ Kỹ Thuật, Bảo Trì Hệ Thống</t>
        </is>
      </c>
      <c r="M6190" s="10" t="inlineStr">
        <is>
          <t>Bonus, Training, Others</t>
        </is>
      </c>
      <c r="N6190" s="11">
        <f>HYPERLINK("https://www.vietnamworks.com/ky-thuat-vien-van-hanh-bao-tri-he-thong-moi-truong-giao-duc-chuyen-nghiep--2017069-jv","Xem chi tiết")</f>
        <v/>
      </c>
      <c r="O6190" s="10" t="n"/>
    </row>
    <row r="6191">
      <c r="B6191" s="7" t="n">
        <v>6189</v>
      </c>
      <c r="C6191" t="inlineStr">
        <is>
          <t>Trưởng Phòng Thiết Bị</t>
        </is>
      </c>
      <c r="D6191" t="inlineStr">
        <is>
          <t>JINRO SOJU Vietnam Co.,ltd</t>
        </is>
      </c>
      <c r="E6191" t="inlineStr">
        <is>
          <t>Từ $ 1,000 /tháng</t>
        </is>
      </c>
      <c r="F6191" t="inlineStr">
        <is>
          <t>Thái Bình</t>
        </is>
      </c>
      <c r="G6191" t="inlineStr">
        <is>
          <t>Trưởng phòng</t>
        </is>
      </c>
      <c r="H6191" t="inlineStr">
        <is>
          <t>02/03/2026</t>
        </is>
      </c>
      <c r="I6191" t="inlineStr">
        <is>
          <t>01/04/2026</t>
        </is>
      </c>
      <c r="J6191" t="inlineStr">
        <is>
          <t>17/03/2026</t>
        </is>
      </c>
      <c r="K6191" t="inlineStr">
        <is>
          <t>N/A</t>
        </is>
      </c>
      <c r="L6191" t="inlineStr">
        <is>
          <t>Bảo trì &amp; bảo dưỡng máy móc</t>
        </is>
      </c>
      <c r="M6191" t="inlineStr">
        <is>
          <t>Bonus, Laptop, Team Activities</t>
        </is>
      </c>
      <c r="N6191" s="8">
        <f>HYPERLINK("https://www.vietnamworks.com/truong-phong-thiet-bi-2017076-jv","Xem chi tiết")</f>
        <v/>
      </c>
    </row>
    <row r="6192">
      <c r="B6192" s="9" t="n">
        <v>6190</v>
      </c>
      <c r="C6192" s="10" t="inlineStr">
        <is>
          <t>Outsourcing Payroll Specialist</t>
        </is>
      </c>
      <c r="D6192" s="10" t="inlineStr">
        <is>
          <t>Roedl &amp; Partner Vietnam</t>
        </is>
      </c>
      <c r="E6192" s="10" t="inlineStr">
        <is>
          <t>Thương lượng</t>
        </is>
      </c>
      <c r="F6192" s="10" t="inlineStr">
        <is>
          <t>Hà Nội</t>
        </is>
      </c>
      <c r="G6192" s="10" t="inlineStr">
        <is>
          <t>Nhân viên</t>
        </is>
      </c>
      <c r="H6192" s="10" t="inlineStr">
        <is>
          <t>02/03/2026</t>
        </is>
      </c>
      <c r="I6192" s="10" t="inlineStr">
        <is>
          <t>01/04/2026</t>
        </is>
      </c>
      <c r="J6192" s="10" t="inlineStr">
        <is>
          <t>17/03/2026</t>
        </is>
      </c>
      <c r="K6192" s="10" t="inlineStr">
        <is>
          <t>N/A</t>
        </is>
      </c>
      <c r="L6192" s="10" t="inlineStr">
        <is>
          <t>Accounting, Accounting Software, Outsourcing, Tax Declaration</t>
        </is>
      </c>
      <c r="M6192" s="10" t="inlineStr">
        <is>
          <t>Bonus, Healthcare Plan, Paid Leave, Team Activities, Others</t>
        </is>
      </c>
      <c r="N6192" s="11">
        <f>HYPERLINK("https://www.vietnamworks.com/outsourcing-payroll-specialist-2017070-jv","Xem chi tiết")</f>
        <v/>
      </c>
      <c r="O6192" s="10" t="n"/>
    </row>
    <row r="6193">
      <c r="B6193" s="7" t="n">
        <v>6191</v>
      </c>
      <c r="C6193" t="inlineStr">
        <is>
          <t>Branding Marketing Lĩnh Vực Xây Dựng</t>
        </is>
      </c>
      <c r="D6193" t="inlineStr">
        <is>
          <t>Công ty Cổ phần Xây dựng Hợp Lực</t>
        </is>
      </c>
      <c r="E6193" t="inlineStr">
        <is>
          <t>$$ 900-1,100 /tháng</t>
        </is>
      </c>
      <c r="F6193" t="inlineStr">
        <is>
          <t>Hà Nội</t>
        </is>
      </c>
      <c r="G6193" t="inlineStr">
        <is>
          <t>Nhân viên</t>
        </is>
      </c>
      <c r="H6193" t="inlineStr">
        <is>
          <t>02/03/2026</t>
        </is>
      </c>
      <c r="I6193" t="inlineStr">
        <is>
          <t>01/04/2026</t>
        </is>
      </c>
      <c r="J6193" t="inlineStr">
        <is>
          <t>17/03/2026</t>
        </is>
      </c>
      <c r="K6193" t="inlineStr">
        <is>
          <t>N/A</t>
        </is>
      </c>
      <c r="L6193" t="inlineStr">
        <is>
          <t>Marketing, Branding Marketing, Nghiên Cứu Thị Trường, Phát Triển Thương Hiệu, Quản Trị Website</t>
        </is>
      </c>
      <c r="M6193" t="inlineStr">
        <is>
          <t>Healthcare Plan, Awards, Travel Opportunities</t>
        </is>
      </c>
      <c r="N6193" s="8">
        <f>HYPERLINK("https://www.vietnamworks.com/branding-marketing-linh-vuc-xay-dung--2017074-jv","Xem chi tiết")</f>
        <v/>
      </c>
    </row>
    <row r="6194">
      <c r="B6194" s="9" t="n">
        <v>6192</v>
      </c>
      <c r="C6194" s="10" t="inlineStr">
        <is>
          <t>Trưởng phòng Cơ Điện</t>
        </is>
      </c>
      <c r="D6194" s="10" t="inlineStr">
        <is>
          <t>JINRO SOJU Vietnam Co.,ltd</t>
        </is>
      </c>
      <c r="E6194" s="10" t="inlineStr">
        <is>
          <t>Từ $ 1,000 /tháng</t>
        </is>
      </c>
      <c r="F6194" s="10" t="inlineStr">
        <is>
          <t>Thái Bình</t>
        </is>
      </c>
      <c r="G6194" s="10" t="inlineStr">
        <is>
          <t>Trưởng phòng</t>
        </is>
      </c>
      <c r="H6194" s="10" t="inlineStr">
        <is>
          <t>02/03/2026</t>
        </is>
      </c>
      <c r="I6194" s="10" t="inlineStr">
        <is>
          <t>01/04/2026</t>
        </is>
      </c>
      <c r="J6194" s="10" t="inlineStr">
        <is>
          <t>17/03/2026</t>
        </is>
      </c>
      <c r="K6194" s="10" t="inlineStr">
        <is>
          <t>N/A</t>
        </is>
      </c>
      <c r="L6194" s="10" t="inlineStr">
        <is>
          <t>Máy Móc Cơ Điện, Điện điện tử</t>
        </is>
      </c>
      <c r="M6194" s="10" t="inlineStr">
        <is>
          <t>Bonus, Laptop, Team Activities</t>
        </is>
      </c>
      <c r="N6194" s="11">
        <f>HYPERLINK("https://www.vietnamworks.com/truong-phong-co-djien-2017087-jv","Xem chi tiết")</f>
        <v/>
      </c>
      <c r="O6194" s="10" t="n"/>
    </row>
    <row r="6195">
      <c r="B6195" s="7" t="n">
        <v>6193</v>
      </c>
      <c r="C6195" t="inlineStr">
        <is>
          <t>Design Engineer</t>
        </is>
      </c>
      <c r="D6195" t="inlineStr">
        <is>
          <t>KIRBY SOUTHEAST ASIA CO., LTD</t>
        </is>
      </c>
      <c r="E6195" t="inlineStr">
        <is>
          <t>Thương lượng</t>
        </is>
      </c>
      <c r="F6195" t="inlineStr">
        <is>
          <t>Hồ Chí Minh</t>
        </is>
      </c>
      <c r="G6195" t="inlineStr">
        <is>
          <t>Nhân viên</t>
        </is>
      </c>
      <c r="H6195" t="inlineStr">
        <is>
          <t>02/03/2026</t>
        </is>
      </c>
      <c r="I6195" t="inlineStr">
        <is>
          <t>01/04/2026</t>
        </is>
      </c>
      <c r="J6195" t="inlineStr">
        <is>
          <t>17/03/2026</t>
        </is>
      </c>
      <c r="K6195" t="inlineStr">
        <is>
          <t>N/A</t>
        </is>
      </c>
      <c r="L6195" t="inlineStr">
        <is>
          <t>Xây Dựng, Thiết Kế Kết Cấu, Design, Design Engineer, PEB Design</t>
        </is>
      </c>
      <c r="M6195" t="inlineStr">
        <is>
          <t>Bonus, Healthcare Plan, Training</t>
        </is>
      </c>
      <c r="N6195" s="8">
        <f>HYPERLINK("https://www.vietnamworks.com/design-engineer--2017092-jv","Xem chi tiết")</f>
        <v/>
      </c>
    </row>
    <row r="6196">
      <c r="B6196" s="9" t="n">
        <v>6194</v>
      </c>
      <c r="C6196" s="10" t="inlineStr">
        <is>
          <t>Business Analyst (BA) SAP S/4HANA PP</t>
        </is>
      </c>
      <c r="D6196" s="10" t="inlineStr">
        <is>
          <t>AA Corporation</t>
        </is>
      </c>
      <c r="E6196" s="10" t="inlineStr">
        <is>
          <t>Thương lượng</t>
        </is>
      </c>
      <c r="F6196" s="10" t="inlineStr">
        <is>
          <t>Hồ Chí Minh</t>
        </is>
      </c>
      <c r="G6196" s="10" t="inlineStr">
        <is>
          <t>Nhân viên</t>
        </is>
      </c>
      <c r="H6196" s="10" t="inlineStr">
        <is>
          <t>02/03/2026</t>
        </is>
      </c>
      <c r="I6196" s="10" t="inlineStr">
        <is>
          <t>01/04/2026</t>
        </is>
      </c>
      <c r="J6196" s="10" t="inlineStr">
        <is>
          <t>17/03/2026</t>
        </is>
      </c>
      <c r="K6196" s="10" t="inlineStr">
        <is>
          <t>N/A</t>
        </is>
      </c>
      <c r="L6196" s="10" t="inlineStr">
        <is>
          <t>Communication, OS Migration, Production Planning, SAP Configuration, System Integration</t>
        </is>
      </c>
      <c r="M6196" s="10" t="inlineStr">
        <is>
          <t>Bonus, Travel Opportunities, Transportation</t>
        </is>
      </c>
      <c r="N6196" s="11">
        <f>HYPERLINK("https://www.vietnamworks.com/business-analyst-ba-sap-s4hana-pp-2017089-jv","Xem chi tiết")</f>
        <v/>
      </c>
      <c r="O6196" s="10" t="n"/>
    </row>
    <row r="6197">
      <c r="B6197" s="7" t="n">
        <v>6195</v>
      </c>
      <c r="C6197" t="inlineStr">
        <is>
          <t>Chuyên gia Thiết kế Thương hiệu Doanh nghiệp (Corporate Brand Designer Expert)</t>
        </is>
      </c>
      <c r="D6197" t="inlineStr">
        <is>
          <t>Tập Đoàn Đất Xanh</t>
        </is>
      </c>
      <c r="E6197" t="inlineStr">
        <is>
          <t>Thương lượng</t>
        </is>
      </c>
      <c r="F6197" t="inlineStr">
        <is>
          <t>Hồ Chí Minh</t>
        </is>
      </c>
      <c r="G6197" t="inlineStr">
        <is>
          <t>Trưởng phòng</t>
        </is>
      </c>
      <c r="H6197" t="inlineStr">
        <is>
          <t>02/03/2026</t>
        </is>
      </c>
      <c r="I6197" t="inlineStr">
        <is>
          <t>01/04/2026</t>
        </is>
      </c>
      <c r="J6197" t="inlineStr">
        <is>
          <t>17/03/2026</t>
        </is>
      </c>
      <c r="K6197" t="inlineStr">
        <is>
          <t>N/A</t>
        </is>
      </c>
      <c r="L6197" t="inlineStr">
        <is>
          <t>Adobe Creative Suite, Figma, Thiết Kế Đồ Họa, Tư Duy Sáng Tạo, Xây Dựng Brand Guideline</t>
        </is>
      </c>
      <c r="M6197" t="inlineStr">
        <is>
          <t>Bonus, Healthcare Plan, Training, Laptop, Travel Opportunities</t>
        </is>
      </c>
      <c r="N6197" s="8">
        <f>HYPERLINK("https://www.vietnamworks.com/chuyen-gia-thiet-ke-thuong-hieu-doanh-nghiep-corporate-brand-designer-expert-2017086-jv","Xem chi tiết")</f>
        <v/>
      </c>
    </row>
    <row r="6198">
      <c r="B6198" s="9" t="n">
        <v>6196</v>
      </c>
      <c r="C6198" s="10" t="inlineStr">
        <is>
          <t>Funding Legal Officer</t>
        </is>
      </c>
      <c r="D6198" s="10" t="inlineStr">
        <is>
          <t>Home Credit Vietnam - Explore Your Dream Team</t>
        </is>
      </c>
      <c r="E6198" s="10" t="inlineStr">
        <is>
          <t>Thương lượng</t>
        </is>
      </c>
      <c r="F6198" s="10" t="inlineStr">
        <is>
          <t>Hồ Chí Minh</t>
        </is>
      </c>
      <c r="G6198" s="10" t="inlineStr">
        <is>
          <t>Nhân viên</t>
        </is>
      </c>
      <c r="H6198" s="10" t="inlineStr">
        <is>
          <t>02/03/2026</t>
        </is>
      </c>
      <c r="I6198" s="10" t="inlineStr">
        <is>
          <t>01/04/2026</t>
        </is>
      </c>
      <c r="J6198" s="10" t="inlineStr">
        <is>
          <t>17/03/2026</t>
        </is>
      </c>
      <c r="K6198" s="10" t="inlineStr">
        <is>
          <t>N/A</t>
        </is>
      </c>
      <c r="L6198" s="10" t="inlineStr">
        <is>
          <t>Finance, Banking, Law, Legal</t>
        </is>
      </c>
      <c r="M6198" s="10" t="inlineStr">
        <is>
          <t>Bonus, Healthcare Plan, Paid Leave</t>
        </is>
      </c>
      <c r="N6198" s="11">
        <f>HYPERLINK("https://www.vietnamworks.com/funding-legal-officer-2017099-jv","Xem chi tiết")</f>
        <v/>
      </c>
      <c r="O6198" s="10" t="n"/>
    </row>
    <row r="6199">
      <c r="B6199" s="7" t="n">
        <v>6197</v>
      </c>
      <c r="C6199" t="inlineStr">
        <is>
          <t xml:space="preserve">Tax Specialist </t>
        </is>
      </c>
      <c r="D6199" t="inlineStr">
        <is>
          <t>DSV</t>
        </is>
      </c>
      <c r="E6199" t="inlineStr">
        <is>
          <t>Thương lượng</t>
        </is>
      </c>
      <c r="F6199" t="inlineStr">
        <is>
          <t>Hồ Chí Minh</t>
        </is>
      </c>
      <c r="G6199" t="inlineStr">
        <is>
          <t>Nhân viên</t>
        </is>
      </c>
      <c r="H6199" t="inlineStr">
        <is>
          <t>02/03/2026</t>
        </is>
      </c>
      <c r="I6199" t="inlineStr">
        <is>
          <t>01/04/2026</t>
        </is>
      </c>
      <c r="J6199" t="inlineStr">
        <is>
          <t>17/03/2026</t>
        </is>
      </c>
      <c r="K6199" t="inlineStr">
        <is>
          <t>N/A</t>
        </is>
      </c>
      <c r="L6199" t="inlineStr">
        <is>
          <t>Account Receivable, Credit Risk Management, English Language Proficiency, Experience In SAP, Microsoft Office</t>
        </is>
      </c>
      <c r="M6199" t="inlineStr">
        <is>
          <t>Bonus, Healthcare Plan, Travel Opportunities</t>
        </is>
      </c>
      <c r="N6199" s="8">
        <f>HYPERLINK("https://www.vietnamworks.com/tax-specialist-2017104-jv","Xem chi tiết")</f>
        <v/>
      </c>
    </row>
    <row r="6200">
      <c r="B6200" s="9" t="n">
        <v>6198</v>
      </c>
      <c r="C6200" s="10" t="inlineStr">
        <is>
          <t>Kỹ Sư xây dựng Công Trình - TP HCM - 15-25 Triệu Đồng</t>
        </is>
      </c>
      <c r="D6200" s="10" t="inlineStr">
        <is>
          <t>CÔNG TY TNHH KIẾN TRÚC VÀ XÂY DỰNG DORI</t>
        </is>
      </c>
      <c r="E6200" s="10" t="inlineStr">
        <is>
          <t>15tr-25tr ₫/tháng</t>
        </is>
      </c>
      <c r="F6200" s="10" t="inlineStr">
        <is>
          <t>Hồ Chí Minh, Bình Dương</t>
        </is>
      </c>
      <c r="G6200" s="10" t="inlineStr">
        <is>
          <t>Nhân viên</t>
        </is>
      </c>
      <c r="H6200" s="10" t="inlineStr">
        <is>
          <t>02/03/2026</t>
        </is>
      </c>
      <c r="I6200" s="10" t="inlineStr">
        <is>
          <t>01/04/2026</t>
        </is>
      </c>
      <c r="J6200" s="10" t="inlineStr">
        <is>
          <t>17/03/2026</t>
        </is>
      </c>
      <c r="K6200" s="10" t="inlineStr">
        <is>
          <t>N/A</t>
        </is>
      </c>
      <c r="L6200" s="10" t="inlineStr">
        <is>
          <t>Civil Engineering, Kỹ Sư Xây Dựng, Bóc Tách Khối Lượng, Giám Sát Thi Công, Giám Sát An Toàn Công Trình</t>
        </is>
      </c>
      <c r="M6200" s="10" t="inlineStr">
        <is>
          <t>Healthcare Plan, Training, Others</t>
        </is>
      </c>
      <c r="N6200" s="11">
        <f>HYPERLINK("https://www.vietnamworks.com/ky-su-xay-dung-cong-trinh-tp-hcm-15-25-trieu-djong-2017111-jv","Xem chi tiết")</f>
        <v/>
      </c>
      <c r="O6200" s="10" t="n"/>
    </row>
    <row r="6201">
      <c r="B6201" s="7" t="n">
        <v>6199</v>
      </c>
      <c r="C6201" t="inlineStr">
        <is>
          <t>Reliability Engineer</t>
        </is>
      </c>
      <c r="D6201" t="inlineStr">
        <is>
          <t>Fushan Technology Vietnam</t>
        </is>
      </c>
      <c r="E6201" t="inlineStr">
        <is>
          <t>$$ 500-1,500 /tháng</t>
        </is>
      </c>
      <c r="F6201" t="inlineStr">
        <is>
          <t>Bắc Ninh, Hà Nội, Bắc Giang</t>
        </is>
      </c>
      <c r="G6201" t="inlineStr">
        <is>
          <t>Nhân viên</t>
        </is>
      </c>
      <c r="H6201" t="inlineStr">
        <is>
          <t>02/03/2026</t>
        </is>
      </c>
      <c r="I6201" t="inlineStr">
        <is>
          <t>01/04/2026</t>
        </is>
      </c>
      <c r="J6201" t="inlineStr">
        <is>
          <t>17/03/2026</t>
        </is>
      </c>
      <c r="K6201" t="inlineStr">
        <is>
          <t>N/A</t>
        </is>
      </c>
      <c r="L6201" t="inlineStr">
        <is>
          <t>Reliability Test Management, Reliability, Data Analysis, Electronic, Automotive</t>
        </is>
      </c>
      <c r="M6201" t="inlineStr">
        <is>
          <t>Bonus, Healthcare Plan, Paid Leave</t>
        </is>
      </c>
      <c r="N6201" s="8">
        <f>HYPERLINK("https://www.vietnamworks.com/reliability-engineer--2017107-jv","Xem chi tiết")</f>
        <v/>
      </c>
    </row>
    <row r="6202">
      <c r="B6202" s="9" t="n">
        <v>6200</v>
      </c>
      <c r="C6202" s="10" t="inlineStr">
        <is>
          <t>Asia Supply Chain Manager</t>
        </is>
      </c>
      <c r="D6202" s="10" t="inlineStr">
        <is>
          <t>L&amp;E International Paper Packaging Viet Nam Co. LTD.</t>
        </is>
      </c>
      <c r="E6202" s="10" t="inlineStr">
        <is>
          <t>Thương lượng</t>
        </is>
      </c>
      <c r="F6202" s="10" t="inlineStr">
        <is>
          <t>Hồ Chí Minh</t>
        </is>
      </c>
      <c r="G6202" s="10" t="inlineStr">
        <is>
          <t>Trưởng phòng</t>
        </is>
      </c>
      <c r="H6202" s="10" t="inlineStr">
        <is>
          <t>28/11/2025</t>
        </is>
      </c>
      <c r="I6202" s="10" t="inlineStr">
        <is>
          <t>02/04/2026</t>
        </is>
      </c>
      <c r="J6202" s="10" t="inlineStr">
        <is>
          <t>17/03/2026</t>
        </is>
      </c>
      <c r="K6202" s="10" t="inlineStr">
        <is>
          <t>N/A</t>
        </is>
      </c>
      <c r="L6202" s="10" t="inlineStr">
        <is>
          <t>Supply Chain Management, Cost Management, Asset Integrity Management, Inventory Management, Communication</t>
        </is>
      </c>
      <c r="M6202" s="10" t="inlineStr">
        <is>
          <t>Bonus, Healthcare Plan, Paid Leave</t>
        </is>
      </c>
      <c r="N6202" s="11">
        <f>HYPERLINK("https://www.vietnamworks.com/asia-supply-chain-manager-1987117-jv","Xem chi tiết")</f>
        <v/>
      </c>
      <c r="O6202" s="10" t="n"/>
    </row>
    <row r="6203">
      <c r="B6203" s="7" t="n">
        <v>6201</v>
      </c>
      <c r="C6203" t="inlineStr">
        <is>
          <t>Kỹ Sư QS Đấu Thầu - MEP</t>
        </is>
      </c>
      <c r="D6203" t="inlineStr">
        <is>
          <t>CÔNG TY CỔ PHẦN TẬP ĐOÀN ĐẦU TƯ HOÀNG GIA VIỆT NAM</t>
        </is>
      </c>
      <c r="E6203" t="inlineStr">
        <is>
          <t>Thương lượng</t>
        </is>
      </c>
      <c r="F6203" t="inlineStr">
        <is>
          <t>Hồ Chí Minh</t>
        </is>
      </c>
      <c r="G6203" t="inlineStr">
        <is>
          <t>Nhân viên</t>
        </is>
      </c>
      <c r="H6203" t="inlineStr">
        <is>
          <t>02/03/2026</t>
        </is>
      </c>
      <c r="I6203" t="inlineStr">
        <is>
          <t>01/04/2026</t>
        </is>
      </c>
      <c r="J6203" t="inlineStr">
        <is>
          <t>17/03/2026</t>
        </is>
      </c>
      <c r="K6203" t="inlineStr">
        <is>
          <t>N/A</t>
        </is>
      </c>
      <c r="L6203" t="inlineStr">
        <is>
          <t>Cơ Điện, Excel, Powerpoint, Xây Dựng</t>
        </is>
      </c>
      <c r="M6203" t="inlineStr">
        <is>
          <t>Bonus, Healthcare Plan, Travel Opportunities, Canteen</t>
        </is>
      </c>
      <c r="N6203" s="8">
        <f>HYPERLINK("https://www.vietnamworks.com/ky-su-qs-djau-thau-mep-2017097-jv","Xem chi tiết")</f>
        <v/>
      </c>
    </row>
    <row r="6204">
      <c r="B6204" s="9" t="n">
        <v>6202</v>
      </c>
      <c r="C6204" s="10" t="inlineStr">
        <is>
          <t>Kiến Trúc Sư - Quản Lý Thiết Kế Dự Án (CĐT)</t>
        </is>
      </c>
      <c r="D6204" s="10" t="inlineStr">
        <is>
          <t>CÔNG TY CỔ PHẦN TẬP ĐOÀN ĐẦU TƯ HOÀNG GIA VIỆT NAM</t>
        </is>
      </c>
      <c r="E6204" s="10" t="inlineStr">
        <is>
          <t>Thương lượng</t>
        </is>
      </c>
      <c r="F6204" s="10" t="inlineStr">
        <is>
          <t>Hồ Chí Minh</t>
        </is>
      </c>
      <c r="G6204" s="10" t="inlineStr">
        <is>
          <t>Nhân viên</t>
        </is>
      </c>
      <c r="H6204" s="10" t="inlineStr">
        <is>
          <t>02/03/2026</t>
        </is>
      </c>
      <c r="I6204" s="10" t="inlineStr">
        <is>
          <t>01/04/2026</t>
        </is>
      </c>
      <c r="J6204" s="10" t="inlineStr">
        <is>
          <t>17/03/2026</t>
        </is>
      </c>
      <c r="K6204" s="10" t="inlineStr">
        <is>
          <t>N/A</t>
        </is>
      </c>
      <c r="L6204" s="10" t="inlineStr">
        <is>
          <t>Kiến Trúc Công Trình, Kiến Trúc Sư, Sketchup</t>
        </is>
      </c>
      <c r="M6204" s="10" t="inlineStr">
        <is>
          <t>Bonus, Healthcare Plan, Travel Opportunities</t>
        </is>
      </c>
      <c r="N6204" s="11">
        <f>HYPERLINK("https://www.vietnamworks.com/kien-truc-su-quan-ly-thiet-ke-du-an-cdjt-2017106-jv","Xem chi tiết")</f>
        <v/>
      </c>
      <c r="O6204" s="10" t="n"/>
    </row>
    <row r="6205">
      <c r="B6205" s="7" t="n">
        <v>6203</v>
      </c>
      <c r="C6205" t="inlineStr">
        <is>
          <t>Giám Sát Mep (20 Triệu Đến 25 Triệu - TP HCM)</t>
        </is>
      </c>
      <c r="D6205" t="inlineStr">
        <is>
          <t>CÔNG TY TNHH KIẾN TRÚC VÀ XÂY DỰNG DORI</t>
        </is>
      </c>
      <c r="E6205" t="inlineStr">
        <is>
          <t>20tr-25tr ₫/tháng</t>
        </is>
      </c>
      <c r="F6205" t="inlineStr">
        <is>
          <t>Hồ Chí Minh</t>
        </is>
      </c>
      <c r="G6205" t="inlineStr">
        <is>
          <t>Nhân viên</t>
        </is>
      </c>
      <c r="H6205" t="inlineStr">
        <is>
          <t>02/03/2026</t>
        </is>
      </c>
      <c r="I6205" t="inlineStr">
        <is>
          <t>01/04/2026</t>
        </is>
      </c>
      <c r="J6205" t="inlineStr">
        <is>
          <t>17/03/2026</t>
        </is>
      </c>
      <c r="K6205" t="inlineStr">
        <is>
          <t>N/A</t>
        </is>
      </c>
      <c r="L6205" t="inlineStr">
        <is>
          <t>Kỹ Thuật Cơ Khí, Revit, Điện nước, Giám Sát Thi Công, Xây Dựng</t>
        </is>
      </c>
      <c r="M6205" t="inlineStr">
        <is>
          <t>Training, Others</t>
        </is>
      </c>
      <c r="N6205" s="8">
        <f>HYPERLINK("https://www.vietnamworks.com/giam-sat-mep-20-trieu-djen-25-trieu-tp-hcm-2017112-jv","Xem chi tiết")</f>
        <v/>
      </c>
    </row>
    <row r="6206">
      <c r="B6206" s="9" t="n">
        <v>6204</v>
      </c>
      <c r="C6206" s="10" t="inlineStr">
        <is>
          <t>Regional Transportation Manager (Asia)</t>
        </is>
      </c>
      <c r="D6206" s="10" t="inlineStr">
        <is>
          <t>Molex Vietnam Co., Ltd.</t>
        </is>
      </c>
      <c r="E6206" s="10" t="inlineStr">
        <is>
          <t>Thương lượng</t>
        </is>
      </c>
      <c r="F6206" s="10" t="inlineStr">
        <is>
          <t>Hưng Yên</t>
        </is>
      </c>
      <c r="G6206" s="10" t="inlineStr">
        <is>
          <t>Nhân viên</t>
        </is>
      </c>
      <c r="H6206" s="10" t="inlineStr">
        <is>
          <t>02/03/2026</t>
        </is>
      </c>
      <c r="I6206" s="10" t="inlineStr">
        <is>
          <t>01/04/2026</t>
        </is>
      </c>
      <c r="J6206" s="10" t="inlineStr">
        <is>
          <t>17/03/2026</t>
        </is>
      </c>
      <c r="K6206" s="10" t="inlineStr">
        <is>
          <t>N/A</t>
        </is>
      </c>
      <c r="L6206" s="10" t="inlineStr">
        <is>
          <t>Communication, Freight Forwarding, Proposal Analytics, Supply Chain Management, Transportation Management System</t>
        </is>
      </c>
      <c r="M6206" s="10" t="inlineStr">
        <is>
          <t>Bonus, Healthcare Plan, Paid Leave, Training, Transportation, Others</t>
        </is>
      </c>
      <c r="N6206" s="11">
        <f>HYPERLINK("https://www.vietnamworks.com/regional-transportation-manager-asia-2017116-jv","Xem chi tiết")</f>
        <v/>
      </c>
      <c r="O6206" s="10" t="n"/>
    </row>
    <row r="6207">
      <c r="B6207" s="7" t="n">
        <v>6205</v>
      </c>
      <c r="C6207" t="inlineStr">
        <is>
          <t>Product Designer</t>
        </is>
      </c>
      <c r="D6207" t="inlineStr">
        <is>
          <t>Fushan Technology Vietnam</t>
        </is>
      </c>
      <c r="E6207" t="inlineStr">
        <is>
          <t>$$ 500-1,500 /tháng</t>
        </is>
      </c>
      <c r="F6207" t="inlineStr">
        <is>
          <t>Bắc Ninh, Hà Nội, Bắc Giang</t>
        </is>
      </c>
      <c r="G6207" t="inlineStr">
        <is>
          <t>Nhân viên</t>
        </is>
      </c>
      <c r="H6207" t="inlineStr">
        <is>
          <t>02/03/2026</t>
        </is>
      </c>
      <c r="I6207" t="inlineStr">
        <is>
          <t>01/04/2026</t>
        </is>
      </c>
      <c r="J6207" t="inlineStr">
        <is>
          <t>17/03/2026</t>
        </is>
      </c>
      <c r="K6207" t="inlineStr">
        <is>
          <t>N/A</t>
        </is>
      </c>
      <c r="L6207" t="inlineStr">
        <is>
          <t>Product Design, Phát Triển Sản Phẩm, Adobe Photoshop, Adobe Illustrator</t>
        </is>
      </c>
      <c r="M6207" t="inlineStr">
        <is>
          <t>Bonus, Healthcare Plan, Paid Leave</t>
        </is>
      </c>
      <c r="N6207" s="8">
        <f>HYPERLINK("https://www.vietnamworks.com/product-designer--2017109-jv","Xem chi tiết")</f>
        <v/>
      </c>
    </row>
    <row r="6208">
      <c r="B6208" s="9" t="n">
        <v>6206</v>
      </c>
      <c r="C6208" s="10" t="inlineStr">
        <is>
          <t>3D Artist</t>
        </is>
      </c>
      <c r="D6208" s="10" t="inlineStr">
        <is>
          <t>Simpson Strong-Tie Vietnam Company Limited</t>
        </is>
      </c>
      <c r="E6208" s="10" t="inlineStr">
        <is>
          <t>Thương lượng</t>
        </is>
      </c>
      <c r="F6208" s="10" t="inlineStr">
        <is>
          <t>Hồ Chí Minh</t>
        </is>
      </c>
      <c r="G6208" s="10" t="inlineStr">
        <is>
          <t>Nhân viên</t>
        </is>
      </c>
      <c r="H6208" s="10" t="inlineStr">
        <is>
          <t>22/08/2024</t>
        </is>
      </c>
      <c r="I6208" s="10" t="inlineStr">
        <is>
          <t>02/04/2026</t>
        </is>
      </c>
      <c r="J6208" s="10" t="inlineStr">
        <is>
          <t>17/03/2026</t>
        </is>
      </c>
      <c r="K6208" s="10" t="inlineStr">
        <is>
          <t>N/A</t>
        </is>
      </c>
      <c r="L6208" s="10" t="inlineStr">
        <is>
          <t>Thiết Kế Nội Thất, Thiết Kế 3D, AutoCAD, Adobe Photoshop, 3D Studio Max</t>
        </is>
      </c>
      <c r="M6208" s="10" t="inlineStr">
        <is>
          <t>Bonus, Healthcare Plan, Paid Leave</t>
        </is>
      </c>
      <c r="N6208" s="11">
        <f>HYPERLINK("https://www.vietnamworks.com/3d-artist--1814441-jv","Xem chi tiết")</f>
        <v/>
      </c>
      <c r="O6208" s="10" t="n"/>
    </row>
    <row r="6209">
      <c r="B6209" s="7" t="n">
        <v>6207</v>
      </c>
      <c r="C6209" t="inlineStr">
        <is>
          <t>Ha Noi - Production Industrialization Quality Specialist - Woven Team</t>
        </is>
      </c>
      <c r="D6209" t="inlineStr">
        <is>
          <t>Decathlon Vietnam</t>
        </is>
      </c>
      <c r="E6209" t="inlineStr">
        <is>
          <t>Thương lượng</t>
        </is>
      </c>
      <c r="F6209" t="inlineStr">
        <is>
          <t>Hà Nội</t>
        </is>
      </c>
      <c r="G6209" t="inlineStr">
        <is>
          <t>Nhân viên</t>
        </is>
      </c>
      <c r="H6209" t="inlineStr">
        <is>
          <t>02/03/2026</t>
        </is>
      </c>
      <c r="I6209" t="inlineStr">
        <is>
          <t>01/04/2026</t>
        </is>
      </c>
      <c r="J6209" t="inlineStr">
        <is>
          <t>17/03/2026</t>
        </is>
      </c>
      <c r="K6209" t="inlineStr">
        <is>
          <t>N/A</t>
        </is>
      </c>
      <c r="L6209" t="inlineStr">
        <is>
          <t>Industrialization, Quality Auditing, Development</t>
        </is>
      </c>
      <c r="M6209" t="inlineStr">
        <is>
          <t>Bonus, Healthcare Plan, Paid Leave</t>
        </is>
      </c>
      <c r="N6209" s="8">
        <f>HYPERLINK("https://www.vietnamworks.com/ha-noi-production-industrialization-quality-specialist-woven-team-2017122-jv","Xem chi tiết")</f>
        <v/>
      </c>
    </row>
    <row r="6210">
      <c r="B6210" s="9" t="n">
        <v>6208</v>
      </c>
      <c r="C6210" s="10" t="inlineStr">
        <is>
          <t>Giám Đốc Kinh Doanh Kênh Dự Án - Ngành Hàng Điều Hòa</t>
        </is>
      </c>
      <c r="D6210" s="10" t="inlineStr">
        <is>
          <t>Công ty Cổ phần Tập đoàn Nagakawa</t>
        </is>
      </c>
      <c r="E6210" s="10" t="inlineStr">
        <is>
          <t>Thương lượng</t>
        </is>
      </c>
      <c r="F6210" s="10" t="inlineStr">
        <is>
          <t>Hà Nội</t>
        </is>
      </c>
      <c r="G6210" s="10" t="inlineStr">
        <is>
          <t>Giám Đốc và Cấp Cao Hơn</t>
        </is>
      </c>
      <c r="H6210" s="10" t="inlineStr">
        <is>
          <t>02/03/2026</t>
        </is>
      </c>
      <c r="I6210" s="10" t="inlineStr">
        <is>
          <t>01/04/2026</t>
        </is>
      </c>
      <c r="J6210" s="10" t="inlineStr">
        <is>
          <t>17/03/2026</t>
        </is>
      </c>
      <c r="K6210" s="10" t="inlineStr">
        <is>
          <t>N/A</t>
        </is>
      </c>
      <c r="L6210" s="10" t="inlineStr">
        <is>
          <t>Dự án, Kiến thức điều hòa, Hệ Thống Điều Hòa Không Khí, Kinh Doanh Dự Án, Kinh Doanh Hàng Kỹ Thuật</t>
        </is>
      </c>
      <c r="M6210" s="10" t="inlineStr">
        <is>
          <t>Healthcare Plan, Travel Opportunities, Others</t>
        </is>
      </c>
      <c r="N6210" s="11">
        <f>HYPERLINK("https://www.vietnamworks.com/giam-doc-kinh-doanh-kenh-du-an-nganh-hang-dieu-hoa--2017084-jv","Xem chi tiết")</f>
        <v/>
      </c>
      <c r="O6210" s="10" t="n"/>
    </row>
    <row r="6211">
      <c r="B6211" s="7" t="n">
        <v>6209</v>
      </c>
      <c r="C6211" t="inlineStr">
        <is>
          <t>Application Engineer</t>
        </is>
      </c>
      <c r="D6211" t="inlineStr">
        <is>
          <t>Hioki Electric Vietnam Co., Ltd.</t>
        </is>
      </c>
      <c r="E6211" t="inlineStr">
        <is>
          <t>Thương lượng</t>
        </is>
      </c>
      <c r="F6211" t="inlineStr">
        <is>
          <t>Hồ Chí Minh</t>
        </is>
      </c>
      <c r="G6211" t="inlineStr">
        <is>
          <t>Nhân viên</t>
        </is>
      </c>
      <c r="H6211" t="inlineStr">
        <is>
          <t>02/03/2026</t>
        </is>
      </c>
      <c r="I6211" t="inlineStr">
        <is>
          <t>01/04/2026</t>
        </is>
      </c>
      <c r="J6211" t="inlineStr">
        <is>
          <t>17/03/2026</t>
        </is>
      </c>
      <c r="K6211" t="inlineStr">
        <is>
          <t>N/A</t>
        </is>
      </c>
      <c r="L6211" t="inlineStr">
        <is>
          <t>Engineering, Electronics, Electrical, Application Engineering, Sales Engineering</t>
        </is>
      </c>
      <c r="M6211" t="inlineStr">
        <is>
          <t>Bonus, Healthcare Plan, Transportation</t>
        </is>
      </c>
      <c r="N6211" s="8">
        <f>HYPERLINK("https://www.vietnamworks.com/application-engineer--2017073-jv","Xem chi tiết")</f>
        <v/>
      </c>
    </row>
    <row r="6212">
      <c r="B6212" s="9" t="n">
        <v>6210</v>
      </c>
      <c r="C6212" s="10" t="inlineStr">
        <is>
          <t>Receptionist &amp; Administrative Assistant</t>
        </is>
      </c>
      <c r="D6212" s="10" t="inlineStr">
        <is>
          <t>CÔNG TY LUẬT TNHH LUTHER VIỆT NAM</t>
        </is>
      </c>
      <c r="E6212" s="10" t="inlineStr">
        <is>
          <t>$$ 500-1,000 /tháng</t>
        </is>
      </c>
      <c r="F6212" s="10" t="inlineStr">
        <is>
          <t>Hồ Chí Minh</t>
        </is>
      </c>
      <c r="G6212" s="10" t="inlineStr">
        <is>
          <t>Nhân viên</t>
        </is>
      </c>
      <c r="H6212" s="10" t="inlineStr">
        <is>
          <t>27/11/2025</t>
        </is>
      </c>
      <c r="I6212" s="10" t="inlineStr">
        <is>
          <t>02/04/2026</t>
        </is>
      </c>
      <c r="J6212" s="10" t="inlineStr">
        <is>
          <t>17/03/2026</t>
        </is>
      </c>
      <c r="K6212" s="10" t="inlineStr">
        <is>
          <t>N/A</t>
        </is>
      </c>
      <c r="L6212" s="10" t="inlineStr">
        <is>
          <t>Administrative Support, English, MS Office, Office Software, Receptionist</t>
        </is>
      </c>
      <c r="M6212" s="10" t="inlineStr">
        <is>
          <t>Bonus, Healthcare Plan, Paid Leave, Training, Others</t>
        </is>
      </c>
      <c r="N6212" s="11">
        <f>HYPERLINK("https://www.vietnamworks.com/receptionist-and-administrative-assistant-1986804-jv","Xem chi tiết")</f>
        <v/>
      </c>
      <c r="O6212" s="10" t="n"/>
    </row>
    <row r="6213">
      <c r="B6213" s="7" t="n">
        <v>6211</v>
      </c>
      <c r="C6213" t="inlineStr">
        <is>
          <t>Chuyên Viên Kinh Doanh Dự Án</t>
        </is>
      </c>
      <c r="D6213" t="inlineStr">
        <is>
          <t>Công Ty TNHH Thương Mại Và Dịch Vụ Viễn Thông Suntel Thủ Đô</t>
        </is>
      </c>
      <c r="E6213" t="inlineStr">
        <is>
          <t>15tr-20tr ₫/tháng</t>
        </is>
      </c>
      <c r="F6213" t="inlineStr">
        <is>
          <t>Hà Nội</t>
        </is>
      </c>
      <c r="G6213" t="inlineStr">
        <is>
          <t>Nhân viên</t>
        </is>
      </c>
      <c r="H6213" t="inlineStr">
        <is>
          <t>17/12/2025</t>
        </is>
      </c>
      <c r="I6213" t="inlineStr">
        <is>
          <t>02/04/2026</t>
        </is>
      </c>
      <c r="J6213" t="inlineStr">
        <is>
          <t>17/03/2026</t>
        </is>
      </c>
      <c r="K6213" t="inlineStr">
        <is>
          <t>N/A</t>
        </is>
      </c>
      <c r="L6213" t="inlineStr">
        <is>
          <t>Bán Hàng Dự Án, Giao Tiếp, Giới Thiệu Sản Phẩm, Kinh Doanh B2B, Sales</t>
        </is>
      </c>
      <c r="M6213" t="inlineStr">
        <is>
          <t>Bonus, Paid Leave, Travel Opportunities, Team Activities, Transportation, Others</t>
        </is>
      </c>
      <c r="N6213" s="8">
        <f>HYPERLINK("https://www.vietnamworks.com/chuyen-vien-kinh-doanh-du-an-1993913-jv","Xem chi tiết")</f>
        <v/>
      </c>
    </row>
    <row r="6214">
      <c r="B6214" s="9" t="n">
        <v>6212</v>
      </c>
      <c r="C6214" s="10" t="inlineStr">
        <is>
          <t>Quản Lý Phát Triển Kinh Doanh (BDM)</t>
        </is>
      </c>
      <c r="D6214" s="10" t="inlineStr">
        <is>
          <t>Công ty TNHH Sunwah Hà Nội</t>
        </is>
      </c>
      <c r="E6214" s="10" t="inlineStr">
        <is>
          <t>Từ $ 1,000 /tháng</t>
        </is>
      </c>
      <c r="F6214" s="10" t="inlineStr">
        <is>
          <t>Hà Nội</t>
        </is>
      </c>
      <c r="G6214" s="10" t="inlineStr">
        <is>
          <t>Trưởng phòng</t>
        </is>
      </c>
      <c r="H6214" s="10" t="inlineStr">
        <is>
          <t>08/01/2026</t>
        </is>
      </c>
      <c r="I6214" s="10" t="inlineStr">
        <is>
          <t>02/04/2026</t>
        </is>
      </c>
      <c r="J6214" s="10" t="inlineStr">
        <is>
          <t>17/03/2026</t>
        </is>
      </c>
      <c r="K6214" s="10" t="inlineStr">
        <is>
          <t>N/A</t>
        </is>
      </c>
      <c r="L6214" s="10" t="inlineStr">
        <is>
          <t>HSK5, Kế Hoạch Kinh Doanh, Phân Tích Thị Trường, Phát Triển Kinh Doanh, Quan Hệ Hợp Tác</t>
        </is>
      </c>
      <c r="M6214" s="10" t="inlineStr">
        <is>
          <t>Bonus, Healthcare Plan, Paid Leave, Training, Team Activities, Others</t>
        </is>
      </c>
      <c r="N6214" s="11">
        <f>HYPERLINK("https://www.vietnamworks.com/quan-ly-phat-trien-kinh-doanh-bdm-2000664-jv","Xem chi tiết")</f>
        <v/>
      </c>
      <c r="O6214" s="10" t="n"/>
    </row>
    <row r="6215">
      <c r="B6215" s="7" t="n">
        <v>6213</v>
      </c>
      <c r="C6215" t="inlineStr">
        <is>
          <t>Nhân Viên Kế Toán Nội Bộ</t>
        </is>
      </c>
      <c r="D6215" t="inlineStr">
        <is>
          <t>CÔNG TY TNHH THƯƠNG MẠI TỔNG HỢP ONE LINE</t>
        </is>
      </c>
      <c r="E6215" t="inlineStr">
        <is>
          <t>10tr-11tr ₫/tháng</t>
        </is>
      </c>
      <c r="F6215" t="inlineStr">
        <is>
          <t>Hà Nội</t>
        </is>
      </c>
      <c r="G6215" t="inlineStr">
        <is>
          <t>Nhân viên</t>
        </is>
      </c>
      <c r="H6215" t="inlineStr">
        <is>
          <t>12/01/2026</t>
        </is>
      </c>
      <c r="I6215" t="inlineStr">
        <is>
          <t>02/04/2026</t>
        </is>
      </c>
      <c r="J6215" t="inlineStr">
        <is>
          <t>17/03/2026</t>
        </is>
      </c>
      <c r="K6215" t="inlineStr">
        <is>
          <t>N/A</t>
        </is>
      </c>
      <c r="L6215" t="inlineStr">
        <is>
          <t xml:space="preserve"> Chứng Từ Kế Toán, Hạch Toán, Quản Lý Công Nợ</t>
        </is>
      </c>
      <c r="M6215" t="inlineStr">
        <is>
          <t>Bonus, Healthcare Plan, Paid Leave, Team Activities, Others</t>
        </is>
      </c>
      <c r="N6215" s="8">
        <f>HYPERLINK("https://www.vietnamworks.com/nhan-vien-ke-toan-noi-bo-2001499-jv","Xem chi tiết")</f>
        <v/>
      </c>
    </row>
    <row r="6216">
      <c r="B6216" s="9" t="n">
        <v>6214</v>
      </c>
      <c r="C6216" s="10" t="inlineStr">
        <is>
          <t>Senior Legal Staff - Hochiminh Office</t>
        </is>
      </c>
      <c r="D6216" s="10" t="inlineStr">
        <is>
          <t>CÔNG TY TNHH KẾ TOÁN VÀ THUẾ VIA</t>
        </is>
      </c>
      <c r="E6216" s="10" t="inlineStr">
        <is>
          <t>Thương lượng</t>
        </is>
      </c>
      <c r="F6216" s="10" t="inlineStr">
        <is>
          <t>Hồ Chí Minh</t>
        </is>
      </c>
      <c r="G6216" s="10" t="inlineStr">
        <is>
          <t>Nhân viên</t>
        </is>
      </c>
      <c r="H6216" s="10" t="inlineStr">
        <is>
          <t>12/01/2026</t>
        </is>
      </c>
      <c r="I6216" s="10" t="inlineStr">
        <is>
          <t>02/04/2026</t>
        </is>
      </c>
      <c r="J6216" s="10" t="inlineStr">
        <is>
          <t>17/03/2026</t>
        </is>
      </c>
      <c r="K6216" s="10" t="inlineStr">
        <is>
          <t>N/A</t>
        </is>
      </c>
      <c r="L6216" s="10" t="inlineStr">
        <is>
          <t>Legal Advise, Contract Drafting, Business English, Confidentiality, Teamwork</t>
        </is>
      </c>
      <c r="M6216" s="10" t="inlineStr">
        <is>
          <t>Bonus, Healthcare Plan, Paid Leave, Training, Team Activities</t>
        </is>
      </c>
      <c r="N6216" s="11">
        <f>HYPERLINK("https://www.vietnamworks.com/senior-legal-staff-hochiminh-office-2001385-jv","Xem chi tiết")</f>
        <v/>
      </c>
      <c r="O6216" s="10" t="n"/>
    </row>
    <row r="6217">
      <c r="B6217" s="7" t="n">
        <v>6215</v>
      </c>
      <c r="C6217" t="inlineStr">
        <is>
          <t>Global Customer Service - Fresher</t>
        </is>
      </c>
      <c r="D6217" t="inlineStr">
        <is>
          <t>KDDI Vietnam - HCM GNOC (Ho Chi Minh Global Network Operations Center)</t>
        </is>
      </c>
      <c r="E6217" t="inlineStr">
        <is>
          <t>$$ 400-500 /tháng</t>
        </is>
      </c>
      <c r="F6217" t="inlineStr">
        <is>
          <t>Hồ Chí Minh</t>
        </is>
      </c>
      <c r="G6217" t="inlineStr">
        <is>
          <t>Mới Tốt Nghiệp</t>
        </is>
      </c>
      <c r="H6217" t="inlineStr">
        <is>
          <t>12/01/2026</t>
        </is>
      </c>
      <c r="I6217" t="inlineStr">
        <is>
          <t>02/04/2026</t>
        </is>
      </c>
      <c r="J6217" t="inlineStr">
        <is>
          <t>17/03/2026</t>
        </is>
      </c>
      <c r="K6217" t="inlineStr">
        <is>
          <t>N/A</t>
        </is>
      </c>
      <c r="L6217" t="inlineStr">
        <is>
          <t>Customer Service, English, Service Quality Management, Customer Support, Chăm Sóc Khách Hàng</t>
        </is>
      </c>
      <c r="M6217" t="inlineStr">
        <is>
          <t>Bonus, Healthcare Plan, Travel Opportunities</t>
        </is>
      </c>
      <c r="N6217" s="8">
        <f>HYPERLINK("https://www.vietnamworks.com/global-customer-service-fresher-2-1-1-1-1-1-1-1-1-1-1-1--2001493-jv","Xem chi tiết")</f>
        <v/>
      </c>
    </row>
    <row r="6218">
      <c r="B6218" s="9" t="n">
        <v>6216</v>
      </c>
      <c r="C6218" s="10" t="inlineStr">
        <is>
          <t>Nhân Viên Phát Triển Mẫu - Sơn Bột Tĩnh Điện (KCN Nhơn Trạch 1)</t>
        </is>
      </c>
      <c r="D6218" s="10" t="inlineStr">
        <is>
          <t>AkzoNobel Vietnam</t>
        </is>
      </c>
      <c r="E6218" s="10" t="inlineStr">
        <is>
          <t>Thương lượng</t>
        </is>
      </c>
      <c r="F6218" s="10" t="inlineStr">
        <is>
          <t>Hồ Chí Minh</t>
        </is>
      </c>
      <c r="G6218" s="10" t="inlineStr">
        <is>
          <t>Nhân viên</t>
        </is>
      </c>
      <c r="H6218" s="10" t="inlineStr">
        <is>
          <t>12/01/2026</t>
        </is>
      </c>
      <c r="I6218" s="10" t="inlineStr">
        <is>
          <t>02/04/2026</t>
        </is>
      </c>
      <c r="J6218" s="10" t="inlineStr">
        <is>
          <t>17/03/2026</t>
        </is>
      </c>
      <c r="K6218" s="10" t="inlineStr">
        <is>
          <t>N/A</t>
        </is>
      </c>
      <c r="L6218" s="10" t="inlineStr">
        <is>
          <t>Kỹ Thuật Pha Màu, Pha Mẫu Thử Nghiệm, Phối Màu</t>
        </is>
      </c>
      <c r="M6218" s="10" t="inlineStr">
        <is>
          <t>Bonus, Healthcare Plan, Paid Leave, Canteen</t>
        </is>
      </c>
      <c r="N6218" s="11">
        <f>HYPERLINK("https://www.vietnamworks.com/nhan-vien-phat-trien-mau-son-bot-tinh-djien-kcn-nhon-trach-1-2001907-jv","Xem chi tiết")</f>
        <v/>
      </c>
      <c r="O6218" s="10" t="n"/>
    </row>
    <row r="6219">
      <c r="B6219" s="7" t="n">
        <v>6217</v>
      </c>
      <c r="C6219" t="inlineStr">
        <is>
          <t>Engineering Assistant Manager</t>
        </is>
      </c>
      <c r="D6219" t="inlineStr">
        <is>
          <t>Otsuka Nutraceutical Vietnam Co.,ltd.</t>
        </is>
      </c>
      <c r="E6219" t="inlineStr">
        <is>
          <t>Thương lượng</t>
        </is>
      </c>
      <c r="F6219" t="inlineStr">
        <is>
          <t>Bà Rịa - Vũng Tàu</t>
        </is>
      </c>
      <c r="G6219" t="inlineStr">
        <is>
          <t>Trưởng phòng</t>
        </is>
      </c>
      <c r="H6219" t="inlineStr">
        <is>
          <t>13/01/2026</t>
        </is>
      </c>
      <c r="I6219" t="inlineStr">
        <is>
          <t>02/04/2026</t>
        </is>
      </c>
      <c r="J6219" t="inlineStr">
        <is>
          <t>17/03/2026</t>
        </is>
      </c>
      <c r="K6219" t="inlineStr">
        <is>
          <t>N/A</t>
        </is>
      </c>
      <c r="L6219" t="inlineStr">
        <is>
          <t>Communication Skills, Problem-solving, Project Management, System Management, Team Management</t>
        </is>
      </c>
      <c r="M6219" t="inlineStr">
        <is>
          <t>Bonus, Healthcare Plan, Paid Leave, Laptop, Transportation, Canteen</t>
        </is>
      </c>
      <c r="N6219" s="8">
        <f>HYPERLINK("https://www.vietnamworks.com/engineering-assistant-manager-2001914-jv","Xem chi tiết")</f>
        <v/>
      </c>
    </row>
    <row r="6220">
      <c r="B6220" s="9" t="n">
        <v>6218</v>
      </c>
      <c r="C6220" s="10" t="inlineStr">
        <is>
          <t>Nhân Viên Phát Triển Mẫu - Sơn Bột Tĩnh Điện (KCN Quế Võ 1)</t>
        </is>
      </c>
      <c r="D6220" s="10" t="inlineStr">
        <is>
          <t>AkzoNobel Vietnam</t>
        </is>
      </c>
      <c r="E6220" s="10" t="inlineStr">
        <is>
          <t>Thương lượng</t>
        </is>
      </c>
      <c r="F6220" s="10" t="inlineStr">
        <is>
          <t>Bắc Ninh</t>
        </is>
      </c>
      <c r="G6220" s="10" t="inlineStr">
        <is>
          <t>Nhân viên</t>
        </is>
      </c>
      <c r="H6220" s="10" t="inlineStr">
        <is>
          <t>12/01/2026</t>
        </is>
      </c>
      <c r="I6220" s="10" t="inlineStr">
        <is>
          <t>02/04/2026</t>
        </is>
      </c>
      <c r="J6220" s="10" t="inlineStr">
        <is>
          <t>17/03/2026</t>
        </is>
      </c>
      <c r="K6220" s="10" t="inlineStr">
        <is>
          <t>N/A</t>
        </is>
      </c>
      <c r="L6220" s="10" t="inlineStr">
        <is>
          <t>Colour Matching, Hóa, Hóa Polyme, Kiểm Tra Màu Sắc, Sơn</t>
        </is>
      </c>
      <c r="M6220" s="10" t="inlineStr">
        <is>
          <t>Bonus, Healthcare Plan, Paid Leave, Canteen</t>
        </is>
      </c>
      <c r="N6220" s="11">
        <f>HYPERLINK("https://www.vietnamworks.com/nhan-vien-phat-trien-mau-son-bot-tinh-djien-kcn-que-vo-1-2001903-jv","Xem chi tiết")</f>
        <v/>
      </c>
      <c r="O6220" s="10" t="n"/>
    </row>
    <row r="6221">
      <c r="B6221" s="7" t="n">
        <v>6219</v>
      </c>
      <c r="C6221" t="inlineStr">
        <is>
          <t>Chuyên Viên Khách Hàng Doanh Nghiệp - Hà Nội (Hoàn Kiếm, Cầu Giấy), Hải Phòng</t>
        </is>
      </c>
      <c r="D6221" t="inlineStr">
        <is>
          <t>Ngân Hàng TMCP Việt Nam Thương Tín (Vietbank)</t>
        </is>
      </c>
      <c r="E6221" t="inlineStr">
        <is>
          <t>$$ 500-1,500 /tháng</t>
        </is>
      </c>
      <c r="F6221" t="inlineStr">
        <is>
          <t>Hà Nội, Hải Phòng</t>
        </is>
      </c>
      <c r="G6221" t="inlineStr">
        <is>
          <t>Nhân viên</t>
        </is>
      </c>
      <c r="H6221" t="inlineStr">
        <is>
          <t>12/01/2026</t>
        </is>
      </c>
      <c r="I6221" t="inlineStr">
        <is>
          <t>02/04/2026</t>
        </is>
      </c>
      <c r="J6221" t="inlineStr">
        <is>
          <t>17/03/2026</t>
        </is>
      </c>
      <c r="K6221" t="inlineStr">
        <is>
          <t>N/A</t>
        </is>
      </c>
      <c r="L6221" t="inlineStr">
        <is>
          <t>Tín Dụng Doanh Nghiệp, Tài Chính Ngân Hàng, Quan Hệ Khách Hàng, Giao Tiếp, Bán Hàng</t>
        </is>
      </c>
      <c r="M6221" t="inlineStr">
        <is>
          <t>Bonus, Healthcare Plan, Training</t>
        </is>
      </c>
      <c r="N6221" s="8">
        <f>HYPERLINK("https://www.vietnamworks.com/chuyen-vien-khach-hang-doanh-nghiep-ha-noi-hoan-kiem-cau-giay-hai-phong-2001681-jv","Xem chi tiết")</f>
        <v/>
      </c>
    </row>
    <row r="6222">
      <c r="B6222" s="9" t="n">
        <v>6220</v>
      </c>
      <c r="C6222" s="10" t="inlineStr">
        <is>
          <t>Chuyên Viên Khách Hàng Doanh Nghiệp - Quảng Ninh, Vĩnh Phúc, Bắc Ninh</t>
        </is>
      </c>
      <c r="D6222" s="10" t="inlineStr">
        <is>
          <t>Ngân Hàng TMCP Việt Nam Thương Tín (Vietbank)</t>
        </is>
      </c>
      <c r="E6222" s="10" t="inlineStr">
        <is>
          <t>$$ 500-1,500 /tháng</t>
        </is>
      </c>
      <c r="F6222" s="10" t="inlineStr">
        <is>
          <t>Quảng Ninh, Vĩnh Phúc, Bắc Ninh</t>
        </is>
      </c>
      <c r="G6222" s="10" t="inlineStr">
        <is>
          <t>Nhân viên</t>
        </is>
      </c>
      <c r="H6222" s="10" t="inlineStr">
        <is>
          <t>12/01/2026</t>
        </is>
      </c>
      <c r="I6222" s="10" t="inlineStr">
        <is>
          <t>02/04/2026</t>
        </is>
      </c>
      <c r="J6222" s="10" t="inlineStr">
        <is>
          <t>17/03/2026</t>
        </is>
      </c>
      <c r="K6222" s="10" t="inlineStr">
        <is>
          <t>N/A</t>
        </is>
      </c>
      <c r="L6222" s="10" t="inlineStr">
        <is>
          <t>Tín Dụng Doanh Nghiệp, Tài Chính Ngân Hàng, Quan Hệ Khách Hàng, Giao Tiếp, Bán Hàng</t>
        </is>
      </c>
      <c r="M6222" s="10" t="inlineStr">
        <is>
          <t>Bonus, Healthcare Plan, Training</t>
        </is>
      </c>
      <c r="N6222" s="11">
        <f>HYPERLINK("https://www.vietnamworks.com/chuyen-vien-khach-hang-doanh-nghiep-quang-ninh-vinh-phuc-bac-ninh--2001666-jv","Xem chi tiết")</f>
        <v/>
      </c>
      <c r="O6222" s="10" t="n"/>
    </row>
    <row r="6223">
      <c r="B6223" s="7" t="n">
        <v>6221</v>
      </c>
      <c r="C6223" t="inlineStr">
        <is>
          <t>Kế Toán Công Nợ - 3 Năm Kinh Nghiệm (Nữ)</t>
        </is>
      </c>
      <c r="D6223" t="inlineStr">
        <is>
          <t>Công Ty TNHH Bất Động Sản Smartland</t>
        </is>
      </c>
      <c r="E6223" t="inlineStr">
        <is>
          <t>$$ 700-900 /tháng</t>
        </is>
      </c>
      <c r="F6223" t="inlineStr">
        <is>
          <t>Hồ Chí Minh</t>
        </is>
      </c>
      <c r="G6223" t="inlineStr">
        <is>
          <t>Nhân viên</t>
        </is>
      </c>
      <c r="H6223" t="inlineStr">
        <is>
          <t>13/01/2026</t>
        </is>
      </c>
      <c r="I6223" t="inlineStr">
        <is>
          <t>02/04/2026</t>
        </is>
      </c>
      <c r="J6223" t="inlineStr">
        <is>
          <t>17/03/2026</t>
        </is>
      </c>
      <c r="K6223" t="inlineStr">
        <is>
          <t>N/A</t>
        </is>
      </c>
      <c r="L6223" t="inlineStr">
        <is>
          <t>Công Nợ, Excel, Kế Toán, Lưu Trữ Chứng Từ, Tài Chính</t>
        </is>
      </c>
      <c r="M6223" t="inlineStr">
        <is>
          <t>Bonus, Healthcare Plan, Team Activities</t>
        </is>
      </c>
      <c r="N6223" s="8">
        <f>HYPERLINK("https://www.vietnamworks.com/ke-toan-cong-no-3-nam-kinh-nghiem-nu-2002001-jv","Xem chi tiết")</f>
        <v/>
      </c>
    </row>
    <row r="6224">
      <c r="B6224" s="9" t="n">
        <v>6222</v>
      </c>
      <c r="C6224" s="10" t="inlineStr">
        <is>
          <t>Equipment Engineer (Kỹ Sư Máy - Thiết Bị)</t>
        </is>
      </c>
      <c r="D6224" s="10" t="inlineStr">
        <is>
          <t>Công Ty TNHH LG Display Việt Nam Hải Phòng</t>
        </is>
      </c>
      <c r="E6224" s="10" t="inlineStr">
        <is>
          <t>Thương lượng</t>
        </is>
      </c>
      <c r="F6224" s="10" t="inlineStr">
        <is>
          <t>Hải Phòng</t>
        </is>
      </c>
      <c r="G6224" s="10" t="inlineStr">
        <is>
          <t>Nhân viên</t>
        </is>
      </c>
      <c r="H6224" s="10" t="inlineStr">
        <is>
          <t>12/01/2026</t>
        </is>
      </c>
      <c r="I6224" s="10" t="inlineStr">
        <is>
          <t>02/04/2026</t>
        </is>
      </c>
      <c r="J6224" s="10" t="inlineStr">
        <is>
          <t>17/03/2026</t>
        </is>
      </c>
      <c r="K6224" s="10" t="inlineStr">
        <is>
          <t>N/A</t>
        </is>
      </c>
      <c r="L6224" s="10" t="inlineStr">
        <is>
          <t>Tiếng Hàn, Phân Tích Dữ Liệu, 5S, Equipment Management, Bảo Dưỡng</t>
        </is>
      </c>
      <c r="M6224" s="10" t="inlineStr">
        <is>
          <t>Bonus, Transportation, Others</t>
        </is>
      </c>
      <c r="N6224" s="11">
        <f>HYPERLINK("https://www.vietnamworks.com/equipment-engineer-ky-su-may-thiet-bi-2001879-jv","Xem chi tiết")</f>
        <v/>
      </c>
      <c r="O6224" s="10" t="n"/>
    </row>
    <row r="6225">
      <c r="B6225" s="7" t="n">
        <v>6223</v>
      </c>
      <c r="C6225" t="inlineStr">
        <is>
          <t>Chief Executive Officer Angkormilk (Based in Cambodia)</t>
        </is>
      </c>
      <c r="D6225" t="inlineStr">
        <is>
          <t>Công Ty Cổ Phần Sữa Việt Nam (Vinamilk)</t>
        </is>
      </c>
      <c r="E6225" t="inlineStr">
        <is>
          <t>Thương lượng</t>
        </is>
      </c>
      <c r="F6225" t="inlineStr">
        <is>
          <t>Quốc tế</t>
        </is>
      </c>
      <c r="G6225" t="inlineStr">
        <is>
          <t>Giám Đốc và Cấp Cao Hơn</t>
        </is>
      </c>
      <c r="H6225" t="inlineStr">
        <is>
          <t>14/01/2026</t>
        </is>
      </c>
      <c r="I6225" t="inlineStr">
        <is>
          <t>02/04/2026</t>
        </is>
      </c>
      <c r="J6225" t="inlineStr">
        <is>
          <t>17/03/2026</t>
        </is>
      </c>
      <c r="K6225" t="inlineStr">
        <is>
          <t>N/A</t>
        </is>
      </c>
      <c r="L6225" t="inlineStr">
        <is>
          <t>CEO, General Management, Corporate Management</t>
        </is>
      </c>
      <c r="M6225" t="inlineStr">
        <is>
          <t>Bonus, Healthcare Plan, Training</t>
        </is>
      </c>
      <c r="N6225" s="8">
        <f>HYPERLINK("https://www.vietnamworks.com/chief-executive-officer-angkormilk-based-in-cambodia-2002372-jv","Xem chi tiết")</f>
        <v/>
      </c>
    </row>
    <row r="6226">
      <c r="B6226" s="9" t="n">
        <v>6224</v>
      </c>
      <c r="C6226" s="10" t="inlineStr">
        <is>
          <t>Enterprise Sales Manager (Fintech, Payments &amp; Digital Banking)</t>
        </is>
      </c>
      <c r="D6226" s="10" t="inlineStr">
        <is>
          <t>Vietpay Corporation</t>
        </is>
      </c>
      <c r="E6226" s="10" t="inlineStr">
        <is>
          <t>Thương lượng</t>
        </is>
      </c>
      <c r="F6226" s="10" t="inlineStr">
        <is>
          <t>Hà Nội, Đà Nẵng, Hồ Chí Minh</t>
        </is>
      </c>
      <c r="G6226" s="10" t="inlineStr">
        <is>
          <t>Trưởng phòng</t>
        </is>
      </c>
      <c r="H6226" s="10" t="inlineStr">
        <is>
          <t>13/01/2026</t>
        </is>
      </c>
      <c r="I6226" s="10" t="inlineStr">
        <is>
          <t>02/04/2026</t>
        </is>
      </c>
      <c r="J6226" s="10" t="inlineStr">
        <is>
          <t>17/03/2026</t>
        </is>
      </c>
      <c r="K6226" s="10" t="inlineStr">
        <is>
          <t>N/A</t>
        </is>
      </c>
      <c r="L6226" s="10" t="inlineStr">
        <is>
          <t>Sales Channel Development, Business Development, Enterprise Development, Payments, Strategic Advisory</t>
        </is>
      </c>
      <c r="M6226" s="10" t="inlineStr">
        <is>
          <t>Bonus, Healthcare Plan, Awards, Others</t>
        </is>
      </c>
      <c r="N6226" s="11">
        <f>HYPERLINK("https://www.vietnamworks.com/enterprise-sales-manager-fintech-payments-and-digital-banking-2002308-jv","Xem chi tiết")</f>
        <v/>
      </c>
      <c r="O6226" s="10" t="n"/>
    </row>
    <row r="6227">
      <c r="B6227" s="7" t="n">
        <v>6225</v>
      </c>
      <c r="C6227" t="inlineStr">
        <is>
          <t>Cửa Hàng Trưởng (Cửa Hàng Vinamilk)</t>
        </is>
      </c>
      <c r="D6227" t="inlineStr">
        <is>
          <t>Công Ty Cổ Phần Sữa Việt Nam (Vinamilk)</t>
        </is>
      </c>
      <c r="E6227" t="inlineStr">
        <is>
          <t>Thương lượng</t>
        </is>
      </c>
      <c r="F6227" t="inlineStr">
        <is>
          <t>Hồ Chí Minh, Hà Nội, Long An</t>
        </is>
      </c>
      <c r="G6227" t="inlineStr">
        <is>
          <t>Nhân viên</t>
        </is>
      </c>
      <c r="H6227" t="inlineStr">
        <is>
          <t>12/01/2026</t>
        </is>
      </c>
      <c r="I6227" t="inlineStr">
        <is>
          <t>02/04/2026</t>
        </is>
      </c>
      <c r="J6227" t="inlineStr">
        <is>
          <t>17/03/2026</t>
        </is>
      </c>
      <c r="K6227" t="inlineStr">
        <is>
          <t>N/A</t>
        </is>
      </c>
      <c r="L6227" t="inlineStr">
        <is>
          <t>Store Operations, Store Management, Retail Chain Management, Quản Lý Cửa Hàng, Quản Lý Kênh Bán Lẻ</t>
        </is>
      </c>
      <c r="M6227" t="inlineStr">
        <is>
          <t>Bonus, Healthcare Plan, Training</t>
        </is>
      </c>
      <c r="N6227" s="8">
        <f>HYPERLINK("https://www.vietnamworks.com/cua-hang-truong-cua-hang-vinamilk--2001319-jv","Xem chi tiết")</f>
        <v/>
      </c>
    </row>
    <row r="6228">
      <c r="B6228" s="9" t="n">
        <v>6226</v>
      </c>
      <c r="C6228" s="10" t="inlineStr">
        <is>
          <t>Sales Executive (Specialty Ingredients) Up to $2000</t>
        </is>
      </c>
      <c r="D6228" s="10" t="inlineStr">
        <is>
          <t>Berli Jucker Vietnam Company</t>
        </is>
      </c>
      <c r="E6228" s="10" t="inlineStr">
        <is>
          <t>25tr-40tr ₫/tháng</t>
        </is>
      </c>
      <c r="F6228" s="10" t="inlineStr">
        <is>
          <t>Hà Nội</t>
        </is>
      </c>
      <c r="G6228" s="10" t="inlineStr">
        <is>
          <t>Nhân viên</t>
        </is>
      </c>
      <c r="H6228" s="10" t="inlineStr">
        <is>
          <t>13/01/2026</t>
        </is>
      </c>
      <c r="I6228" s="10" t="inlineStr">
        <is>
          <t>02/04/2026</t>
        </is>
      </c>
      <c r="J6228" s="10" t="inlineStr">
        <is>
          <t>17/03/2026</t>
        </is>
      </c>
      <c r="K6228" s="10" t="inlineStr">
        <is>
          <t>N/A</t>
        </is>
      </c>
      <c r="L6228" s="10" t="inlineStr">
        <is>
          <t>Electronics, Cosmetics, Food, Chemistry, Business Development</t>
        </is>
      </c>
      <c r="M6228" s="10" t="inlineStr">
        <is>
          <t>Bonus, Healthcare Plan, Awards, Laptop, Transportation, Others</t>
        </is>
      </c>
      <c r="N6228" s="11">
        <f>HYPERLINK("https://www.vietnamworks.com/sales-executive-specialty-ingredients-up-to-2000-2002149-jv","Xem chi tiết")</f>
        <v/>
      </c>
      <c r="O6228" s="10" t="n"/>
    </row>
    <row r="6229">
      <c r="B6229" s="7" t="n">
        <v>6227</v>
      </c>
      <c r="C6229" t="inlineStr">
        <is>
          <t>Office Admin &amp; Receptionist (Nhân Viên Chăm Sóc Khách Hàng Và Vận Hành Nhà Mẫu)</t>
        </is>
      </c>
      <c r="D6229" t="inlineStr">
        <is>
          <t>Công Ty Cổ Phần Tập Đoàn Masterise</t>
        </is>
      </c>
      <c r="E6229" t="inlineStr">
        <is>
          <t>12tr-15tr ₫/tháng</t>
        </is>
      </c>
      <c r="F6229" t="inlineStr">
        <is>
          <t>Hồ Chí Minh</t>
        </is>
      </c>
      <c r="G6229" t="inlineStr">
        <is>
          <t>Nhân viên</t>
        </is>
      </c>
      <c r="H6229" t="inlineStr">
        <is>
          <t>12/01/2026</t>
        </is>
      </c>
      <c r="I6229" t="inlineStr">
        <is>
          <t>02/04/2026</t>
        </is>
      </c>
      <c r="J6229" t="inlineStr">
        <is>
          <t>17/03/2026</t>
        </is>
      </c>
      <c r="K6229" t="inlineStr">
        <is>
          <t>N/A</t>
        </is>
      </c>
      <c r="L6229" t="inlineStr">
        <is>
          <t>Reception Management, Customer Service, Problem-solving, Multilingual, Communication</t>
        </is>
      </c>
      <c r="M6229" t="inlineStr">
        <is>
          <t>Bonus, Healthcare Plan, Training, Laptop, Others</t>
        </is>
      </c>
      <c r="N6229" s="8">
        <f>HYPERLINK("https://www.vietnamworks.com/office-admin-and-receptionist-nhan-vien-cham-soc-khach-hang-va-van-hanh-nha-mau-2001730-jv","Xem chi tiết")</f>
        <v/>
      </c>
    </row>
    <row r="6230">
      <c r="B6230" s="9" t="n">
        <v>6228</v>
      </c>
      <c r="C6230" s="10" t="inlineStr">
        <is>
          <t>Nhân Viên Xuất Nhập Khẩu</t>
        </is>
      </c>
      <c r="D6230" s="10" t="inlineStr">
        <is>
          <t>Puritech Vietnam Company Limited</t>
        </is>
      </c>
      <c r="E6230" s="10" t="inlineStr">
        <is>
          <t>15tr-20tr ₫/tháng</t>
        </is>
      </c>
      <c r="F6230" s="10" t="inlineStr">
        <is>
          <t>Hưng Yên</t>
        </is>
      </c>
      <c r="G6230" s="10" t="inlineStr">
        <is>
          <t>Nhân viên</t>
        </is>
      </c>
      <c r="H6230" s="10" t="inlineStr">
        <is>
          <t>13/01/2026</t>
        </is>
      </c>
      <c r="I6230" s="10" t="inlineStr">
        <is>
          <t>02/04/2026</t>
        </is>
      </c>
      <c r="J6230" s="10" t="inlineStr">
        <is>
          <t>17/03/2026</t>
        </is>
      </c>
      <c r="K6230" s="10" t="inlineStr">
        <is>
          <t>N/A</t>
        </is>
      </c>
      <c r="L6230" s="10" t="inlineStr">
        <is>
          <t>Import-Export, Supplier Development, Tờ Khai Hải Quan, Xuất nhập khẩu</t>
        </is>
      </c>
      <c r="M6230" s="10" t="inlineStr">
        <is>
          <t>Bonus, Healthcare Plan, Others</t>
        </is>
      </c>
      <c r="N6230" s="11">
        <f>HYPERLINK("https://www.vietnamworks.com/nhan-vien-xuat-nhap-khau--2002243-jv","Xem chi tiết")</f>
        <v/>
      </c>
      <c r="O6230" s="10" t="n"/>
    </row>
    <row r="6231">
      <c r="B6231" s="7" t="n">
        <v>6229</v>
      </c>
      <c r="C6231" t="inlineStr">
        <is>
          <t>Kế Toán Trưởng</t>
        </is>
      </c>
      <c r="D6231" t="inlineStr">
        <is>
          <t>RT Holdings</t>
        </is>
      </c>
      <c r="E6231" t="inlineStr">
        <is>
          <t>Thương lượng</t>
        </is>
      </c>
      <c r="F6231" t="inlineStr">
        <is>
          <t>Hồ Chí Minh</t>
        </is>
      </c>
      <c r="G6231" t="inlineStr">
        <is>
          <t>Trưởng phòng</t>
        </is>
      </c>
      <c r="H6231" t="inlineStr">
        <is>
          <t>13/01/2026</t>
        </is>
      </c>
      <c r="I6231" t="inlineStr">
        <is>
          <t>02/04/2026</t>
        </is>
      </c>
      <c r="J6231" t="inlineStr">
        <is>
          <t>17/03/2026</t>
        </is>
      </c>
      <c r="K6231" t="inlineStr">
        <is>
          <t>N/A</t>
        </is>
      </c>
      <c r="L6231" t="inlineStr">
        <is>
          <t>Tài Chính, Kiểm Toán, Kế Toán Tổng Hợp, Kế Toán, Chief Accountant Certificate</t>
        </is>
      </c>
      <c r="M6231" t="inlineStr">
        <is>
          <t>Bonus, Travel Opportunities, Canteen</t>
        </is>
      </c>
      <c r="N6231" s="8">
        <f>HYPERLINK("https://www.vietnamworks.com/ke-toan-truong--2001921-jv","Xem chi tiết")</f>
        <v/>
      </c>
    </row>
    <row r="6232">
      <c r="B6232" s="9" t="n">
        <v>6230</v>
      </c>
      <c r="C6232" s="10" t="inlineStr">
        <is>
          <t>Nhân Viên Phát Triển Địa Bàn (Product Account)</t>
        </is>
      </c>
      <c r="D6232" s="10" t="inlineStr">
        <is>
          <t>Công Ty TNHH Thiết Bị Minh Tâm (Mitalab Co., Ltd)</t>
        </is>
      </c>
      <c r="E6232" s="10" t="inlineStr">
        <is>
          <t>Thương lượng</t>
        </is>
      </c>
      <c r="F6232" s="10" t="inlineStr">
        <is>
          <t>Hà Nội, Đà Nẵng</t>
        </is>
      </c>
      <c r="G6232" s="10" t="inlineStr">
        <is>
          <t>Nhân viên</t>
        </is>
      </c>
      <c r="H6232" s="10" t="inlineStr">
        <is>
          <t>13/01/2026</t>
        </is>
      </c>
      <c r="I6232" s="10" t="inlineStr">
        <is>
          <t>02/04/2026</t>
        </is>
      </c>
      <c r="J6232" s="10" t="inlineStr">
        <is>
          <t>17/03/2026</t>
        </is>
      </c>
      <c r="K6232" s="10" t="inlineStr">
        <is>
          <t>N/A</t>
        </is>
      </c>
      <c r="L6232" s="10" t="inlineStr">
        <is>
          <t>Marketing, Product Marketing, ETC, Dược, Quản Lý Trình Dược Viên</t>
        </is>
      </c>
      <c r="M6232" s="10" t="inlineStr">
        <is>
          <t>Bonus, Training, Travel Opportunities</t>
        </is>
      </c>
      <c r="N6232" s="11">
        <f>HYPERLINK("https://www.vietnamworks.com/nhan-vien-phat-trien-dia-ban-product-account--2001980-jv","Xem chi tiết")</f>
        <v/>
      </c>
      <c r="O6232" s="10" t="n"/>
    </row>
    <row r="6233">
      <c r="B6233" s="7" t="n">
        <v>6231</v>
      </c>
      <c r="C6233" t="inlineStr">
        <is>
          <t>Cửa Hàng Trưởng (Toàn Quốc)</t>
        </is>
      </c>
      <c r="D6233" t="inlineStr">
        <is>
          <t>Công Ty Cổ Phần Sữa Việt Nam (Vinamilk)</t>
        </is>
      </c>
      <c r="E6233" t="inlineStr">
        <is>
          <t>Thương lượng</t>
        </is>
      </c>
      <c r="F6233" t="inlineStr">
        <is>
          <t>Hà Nội, Hồ Chí Minh, Thừa Thiên Huế</t>
        </is>
      </c>
      <c r="G6233" t="inlineStr">
        <is>
          <t>Nhân viên</t>
        </is>
      </c>
      <c r="H6233" t="inlineStr">
        <is>
          <t>12/01/2026</t>
        </is>
      </c>
      <c r="I6233" t="inlineStr">
        <is>
          <t>02/04/2026</t>
        </is>
      </c>
      <c r="J6233" t="inlineStr">
        <is>
          <t>17/03/2026</t>
        </is>
      </c>
      <c r="K6233" t="inlineStr">
        <is>
          <t>N/A</t>
        </is>
      </c>
      <c r="L6233" t="inlineStr">
        <is>
          <t>Store Management, Customer Service, Quản Lý Cửa Hàng, Retail Chain Management, Quản Lý Bán Lẻ</t>
        </is>
      </c>
      <c r="M6233" t="inlineStr">
        <is>
          <t>Bonus, Healthcare Plan, Training</t>
        </is>
      </c>
      <c r="N6233" s="8">
        <f>HYPERLINK("https://www.vietnamworks.com/cua-hang-truong-toan-quoc--2001321-jv","Xem chi tiết")</f>
        <v/>
      </c>
    </row>
    <row r="6234">
      <c r="B6234" s="9" t="n">
        <v>6232</v>
      </c>
      <c r="C6234" s="10" t="inlineStr">
        <is>
          <t>Channel Sales Manager (Fintech, Banking, Life Insurance Distribution)</t>
        </is>
      </c>
      <c r="D6234" s="10" t="inlineStr">
        <is>
          <t>Vietpay Corporation</t>
        </is>
      </c>
      <c r="E6234" s="10" t="inlineStr">
        <is>
          <t>Thương lượng</t>
        </is>
      </c>
      <c r="F6234" s="10" t="inlineStr">
        <is>
          <t>Hà Nội, Đà Nẵng, Hồ Chí Minh</t>
        </is>
      </c>
      <c r="G6234" s="10" t="inlineStr">
        <is>
          <t>Nhân viên</t>
        </is>
      </c>
      <c r="H6234" s="10" t="inlineStr">
        <is>
          <t>13/01/2026</t>
        </is>
      </c>
      <c r="I6234" s="10" t="inlineStr">
        <is>
          <t>02/04/2026</t>
        </is>
      </c>
      <c r="J6234" s="10" t="inlineStr">
        <is>
          <t>17/03/2026</t>
        </is>
      </c>
      <c r="K6234" s="10" t="inlineStr">
        <is>
          <t>N/A</t>
        </is>
      </c>
      <c r="L6234" s="10" t="inlineStr">
        <is>
          <t>Sale, Financial Services, Life Insurance, Sales Channel Development</t>
        </is>
      </c>
      <c r="M6234" s="10" t="inlineStr">
        <is>
          <t>Bonus, Healthcare Plan, Awards, Others</t>
        </is>
      </c>
      <c r="N6234" s="11">
        <f>HYPERLINK("https://www.vietnamworks.com/channel-sales-manager-fintech-banking-life-insurance-distribution-2002226-jv","Xem chi tiết")</f>
        <v/>
      </c>
      <c r="O6234" s="10" t="n"/>
    </row>
    <row r="6235">
      <c r="B6235" s="7" t="n">
        <v>6233</v>
      </c>
      <c r="C6235" t="inlineStr">
        <is>
          <t>Key Account Executive</t>
        </is>
      </c>
      <c r="D6235" t="inlineStr">
        <is>
          <t>Scan-Shipping Vietnam Ltd.</t>
        </is>
      </c>
      <c r="E6235" t="inlineStr">
        <is>
          <t>Thương lượng</t>
        </is>
      </c>
      <c r="F6235" t="inlineStr">
        <is>
          <t>Hồ Chí Minh</t>
        </is>
      </c>
      <c r="G6235" t="inlineStr">
        <is>
          <t>Nhân viên</t>
        </is>
      </c>
      <c r="H6235" t="inlineStr">
        <is>
          <t>14/01/2026</t>
        </is>
      </c>
      <c r="I6235" t="inlineStr">
        <is>
          <t>02/04/2026</t>
        </is>
      </c>
      <c r="J6235" t="inlineStr">
        <is>
          <t>17/03/2026</t>
        </is>
      </c>
      <c r="K6235" t="inlineStr">
        <is>
          <t>N/A</t>
        </is>
      </c>
      <c r="L6235" t="inlineStr">
        <is>
          <t>Import-Export, Air Shipments, Cargo Handling, Freight Forwarding, Sea Freight Knowledge</t>
        </is>
      </c>
      <c r="M6235" t="inlineStr">
        <is>
          <t>Bonus, Training, Others</t>
        </is>
      </c>
      <c r="N6235" s="8">
        <f>HYPERLINK("https://www.vietnamworks.com/key-account-executive-2002381-jv","Xem chi tiết")</f>
        <v/>
      </c>
    </row>
    <row r="6236">
      <c r="B6236" s="9" t="n">
        <v>6234</v>
      </c>
      <c r="C6236" s="10" t="inlineStr">
        <is>
          <t>Liner Accountant</t>
        </is>
      </c>
      <c r="D6236" s="10" t="inlineStr">
        <is>
          <t>Ben Line Vietnam</t>
        </is>
      </c>
      <c r="E6236" s="10" t="inlineStr">
        <is>
          <t>Thương lượng</t>
        </is>
      </c>
      <c r="F6236" s="10" t="inlineStr">
        <is>
          <t>Hồ Chí Minh</t>
        </is>
      </c>
      <c r="G6236" s="10" t="inlineStr">
        <is>
          <t>Nhân viên</t>
        </is>
      </c>
      <c r="H6236" s="10" t="inlineStr">
        <is>
          <t>14/01/2026</t>
        </is>
      </c>
      <c r="I6236" s="10" t="inlineStr">
        <is>
          <t>02/04/2026</t>
        </is>
      </c>
      <c r="J6236" s="10" t="inlineStr">
        <is>
          <t>17/03/2026</t>
        </is>
      </c>
      <c r="K6236" s="10" t="inlineStr">
        <is>
          <t>N/A</t>
        </is>
      </c>
      <c r="L6236" s="10" t="inlineStr">
        <is>
          <t>Accountant, Finance, SOA, Internal Accountant, General Accountant</t>
        </is>
      </c>
      <c r="M6236" s="10" t="inlineStr">
        <is>
          <t>Bonus, Paid Leave, Others</t>
        </is>
      </c>
      <c r="N6236" s="11">
        <f>HYPERLINK("https://www.vietnamworks.com/liner-accountant-2002753-jv","Xem chi tiết")</f>
        <v/>
      </c>
      <c r="O6236" s="10" t="n"/>
    </row>
    <row r="6237">
      <c r="B6237" s="7" t="n">
        <v>6235</v>
      </c>
      <c r="C6237" t="inlineStr">
        <is>
          <t>Kỹ Sư Hóa Phân Tích</t>
        </is>
      </c>
      <c r="D6237" t="inlineStr">
        <is>
          <t>Công Ty TNHH Vật Liệu Nam Châm Shin-Etsu Việt Nam</t>
        </is>
      </c>
      <c r="E6237" t="inlineStr">
        <is>
          <t>$$ 500-650 /tháng</t>
        </is>
      </c>
      <c r="F6237" t="inlineStr">
        <is>
          <t>Hải Phòng</t>
        </is>
      </c>
      <c r="G6237" t="inlineStr">
        <is>
          <t>Nhân viên</t>
        </is>
      </c>
      <c r="H6237" t="inlineStr">
        <is>
          <t>14/01/2026</t>
        </is>
      </c>
      <c r="I6237" t="inlineStr">
        <is>
          <t>02/04/2026</t>
        </is>
      </c>
      <c r="J6237" t="inlineStr">
        <is>
          <t>17/03/2026</t>
        </is>
      </c>
      <c r="K6237" t="inlineStr">
        <is>
          <t>N/A</t>
        </is>
      </c>
      <c r="L6237" t="inlineStr">
        <is>
          <t>Hóa Học, Phân Tích Hóa Học, Kỹ Thuật Hóa Phân Tích, Hóa Phân Tích, Chemical</t>
        </is>
      </c>
      <c r="M6237" t="inlineStr">
        <is>
          <t>Bonus, Healthcare Plan, Awards</t>
        </is>
      </c>
      <c r="N6237" s="8">
        <f>HYPERLINK("https://www.vietnamworks.com/ky-su-hoa-phan-tich--2002673-jv","Xem chi tiết")</f>
        <v/>
      </c>
    </row>
    <row r="6238">
      <c r="B6238" s="9" t="n">
        <v>6236</v>
      </c>
      <c r="C6238" s="10" t="inlineStr">
        <is>
          <t>[HN/HCM] Service Accountant – Accounting &amp; Tax Service</t>
        </is>
      </c>
      <c r="D6238" s="10" t="inlineStr">
        <is>
          <t>TMF Vietnam Company Limited</t>
        </is>
      </c>
      <c r="E6238" s="10" t="inlineStr">
        <is>
          <t>Thương lượng</t>
        </is>
      </c>
      <c r="F6238" s="10" t="inlineStr">
        <is>
          <t>Hồ Chí Minh</t>
        </is>
      </c>
      <c r="G6238" s="10" t="inlineStr">
        <is>
          <t>Nhân viên</t>
        </is>
      </c>
      <c r="H6238" s="10" t="inlineStr">
        <is>
          <t>14/01/2026</t>
        </is>
      </c>
      <c r="I6238" s="10" t="inlineStr">
        <is>
          <t>02/04/2026</t>
        </is>
      </c>
      <c r="J6238" s="10" t="inlineStr">
        <is>
          <t>17/03/2026</t>
        </is>
      </c>
      <c r="K6238" s="10" t="inlineStr">
        <is>
          <t>N/A</t>
        </is>
      </c>
      <c r="L6238" s="10" t="inlineStr">
        <is>
          <t>Tax Compliance, Tax Consulting, Accountant, Tax Accounting, Kế Toán Thuế</t>
        </is>
      </c>
      <c r="M6238" s="10" t="inlineStr">
        <is>
          <t>Bonus, Team Activities, Others</t>
        </is>
      </c>
      <c r="N6238" s="11">
        <f>HYPERLINK("https://www.vietnamworks.com/hn-hcm-service-accountant-accounting-tax-service--2002660-jv","Xem chi tiết")</f>
        <v/>
      </c>
      <c r="O6238" s="10" t="n"/>
    </row>
    <row r="6239">
      <c r="B6239" s="7" t="n">
        <v>6237</v>
      </c>
      <c r="C6239" t="inlineStr">
        <is>
          <t>Kiến Trúc Sư</t>
        </is>
      </c>
      <c r="D6239" t="inlineStr">
        <is>
          <t>Công ty TNHH Kiến trúc Lê Thanh Hải &amp; Cộng sự</t>
        </is>
      </c>
      <c r="E6239" t="inlineStr">
        <is>
          <t>Thương lượng</t>
        </is>
      </c>
      <c r="F6239" t="inlineStr">
        <is>
          <t>Hồ Chí Minh</t>
        </is>
      </c>
      <c r="G6239" t="inlineStr">
        <is>
          <t>Nhân viên</t>
        </is>
      </c>
      <c r="H6239" t="inlineStr">
        <is>
          <t>14/01/2026</t>
        </is>
      </c>
      <c r="I6239" t="inlineStr">
        <is>
          <t>02/04/2026</t>
        </is>
      </c>
      <c r="J6239" t="inlineStr">
        <is>
          <t>17/03/2026</t>
        </is>
      </c>
      <c r="K6239" t="inlineStr">
        <is>
          <t>N/A</t>
        </is>
      </c>
      <c r="L6239" t="inlineStr">
        <is>
          <t>Thiết Kế Kiến Trúc, Phần Mềm 3D, Revit, CAD, Kiến Trúc Sư</t>
        </is>
      </c>
      <c r="M6239" t="inlineStr">
        <is>
          <t>Bonus, Paid Leave</t>
        </is>
      </c>
      <c r="N6239" s="8">
        <f>HYPERLINK("https://www.vietnamworks.com/kien-truc-su-2002487-jv","Xem chi tiết")</f>
        <v/>
      </c>
    </row>
    <row r="6240">
      <c r="B6240" s="9" t="n">
        <v>6238</v>
      </c>
      <c r="C6240" s="10" t="inlineStr">
        <is>
          <t>Nhân Viên Khai Báo Hải Quan/ Customs Clearance Officer</t>
        </is>
      </c>
      <c r="D6240" s="10" t="inlineStr">
        <is>
          <t>Công Ty TNHH VIETCHART</t>
        </is>
      </c>
      <c r="E6240" s="10" t="inlineStr">
        <is>
          <t>Thương lượng</t>
        </is>
      </c>
      <c r="F6240" s="10" t="inlineStr">
        <is>
          <t>Hải Phòng</t>
        </is>
      </c>
      <c r="G6240" s="10" t="inlineStr">
        <is>
          <t>Nhân viên</t>
        </is>
      </c>
      <c r="H6240" s="10" t="inlineStr">
        <is>
          <t>14/01/2026</t>
        </is>
      </c>
      <c r="I6240" s="10" t="inlineStr">
        <is>
          <t>02/04/2026</t>
        </is>
      </c>
      <c r="J6240" s="10" t="inlineStr">
        <is>
          <t>17/03/2026</t>
        </is>
      </c>
      <c r="K6240" s="10" t="inlineStr">
        <is>
          <t>N/A</t>
        </is>
      </c>
      <c r="L6240" s="10" t="inlineStr">
        <is>
          <t>Khai Báo Hải Quan, Luật Hải Quan, Logistics, Giao Tiếp Tiếng Anh</t>
        </is>
      </c>
      <c r="M6240" s="10" t="inlineStr">
        <is>
          <t>Bonus, Healthcare Plan, Training, Laptop, Mobile, Others</t>
        </is>
      </c>
      <c r="N6240" s="11">
        <f>HYPERLINK("https://www.vietnamworks.com/nhan-vien-khai-bao-hai-quan-customs-clearance-officer-2002556-jv","Xem chi tiết")</f>
        <v/>
      </c>
      <c r="O6240" s="10" t="n"/>
    </row>
    <row r="6241">
      <c r="B6241" s="7" t="n">
        <v>6239</v>
      </c>
      <c r="C6241" t="inlineStr">
        <is>
          <t>[Tuyển Gấp] Trưởng Phòng Kinh Doanh Thiết Bị Công Nghiệp Trên Toàn Quốc</t>
        </is>
      </c>
      <c r="D6241" t="inlineStr">
        <is>
          <t>Bateco Vietnam., JSC</t>
        </is>
      </c>
      <c r="E6241" t="inlineStr">
        <is>
          <t>Thương lượng</t>
        </is>
      </c>
      <c r="F6241" t="inlineStr">
        <is>
          <t>Hà Nội</t>
        </is>
      </c>
      <c r="G6241" t="inlineStr">
        <is>
          <t>Trưởng phòng</t>
        </is>
      </c>
      <c r="H6241" t="inlineStr">
        <is>
          <t>14/01/2026</t>
        </is>
      </c>
      <c r="I6241" t="inlineStr">
        <is>
          <t>02/04/2026</t>
        </is>
      </c>
      <c r="J6241" t="inlineStr">
        <is>
          <t>17/03/2026</t>
        </is>
      </c>
      <c r="K6241" t="inlineStr">
        <is>
          <t>N/A</t>
        </is>
      </c>
      <c r="L6241" t="inlineStr">
        <is>
          <t>Quản Lý Kinh Doanh B2B, Phân Tích Thị Trường, Lãnh Đạo, B2B Sales Planning, Quản Lý Ngân Sách</t>
        </is>
      </c>
      <c r="M6241" t="inlineStr">
        <is>
          <t>Bonus, Healthcare Plan, Paid Leave, Training, Awards, Travel Opportunities, Team Activities, Canteen, Others</t>
        </is>
      </c>
      <c r="N6241" s="8">
        <f>HYPERLINK("https://www.vietnamworks.com/tuyen-gap-truong-phong-kinh-doanh-thiet-bi-cong-nghiep-tren-toan-quoc-2002397-jv","Xem chi tiết")</f>
        <v/>
      </c>
    </row>
    <row r="6242">
      <c r="B6242" s="9" t="n">
        <v>6240</v>
      </c>
      <c r="C6242" s="10" t="inlineStr">
        <is>
          <t>Giám Đốc Kinh Doanh Tập Đoàn (Upto 5000$)</t>
        </is>
      </c>
      <c r="D6242" s="10" t="inlineStr">
        <is>
          <t>Tập Đoàn APEC (APEC GROUP)</t>
        </is>
      </c>
      <c r="E6242" s="10" t="inlineStr">
        <is>
          <t>$$ 3,000-6,000 /tháng</t>
        </is>
      </c>
      <c r="F6242" s="10" t="inlineStr">
        <is>
          <t>Hà Nội</t>
        </is>
      </c>
      <c r="G6242" s="10" t="inlineStr">
        <is>
          <t>Giám Đốc và Cấp Cao Hơn</t>
        </is>
      </c>
      <c r="H6242" s="10" t="inlineStr">
        <is>
          <t>14/01/2026</t>
        </is>
      </c>
      <c r="I6242" s="10" t="inlineStr">
        <is>
          <t>02/04/2026</t>
        </is>
      </c>
      <c r="J6242" s="10" t="inlineStr">
        <is>
          <t>17/03/2026</t>
        </is>
      </c>
      <c r="K6242" s="10" t="inlineStr">
        <is>
          <t>N/A</t>
        </is>
      </c>
      <c r="L6242" s="10" t="inlineStr">
        <is>
          <t>Sales Operations, Bussiness Development, Real Estate Business, Kinh Doanh Chiến Lược, Real Estate Projects</t>
        </is>
      </c>
      <c r="M6242" s="10" t="inlineStr">
        <is>
          <t>Bonus, Travel Opportunities, Others</t>
        </is>
      </c>
      <c r="N6242" s="11">
        <f>HYPERLINK("https://www.vietnamworks.com/giam-doc-kinh-doanh-tap-doan-upto-5000-2002390-jv","Xem chi tiết")</f>
        <v/>
      </c>
      <c r="O6242" s="10" t="n"/>
    </row>
    <row r="6243">
      <c r="B6243" s="7" t="n">
        <v>6241</v>
      </c>
      <c r="C6243" t="inlineStr">
        <is>
          <t>Home Appliance Production &amp; Sourcing Specialist 家電製品の生産調達担当, 優遇</t>
        </is>
      </c>
      <c r="D6243" t="inlineStr">
        <is>
          <t>CÔNG TY TNHH MUJI GLOBAL SOURCING VIỆT NAM</t>
        </is>
      </c>
      <c r="E6243" t="inlineStr">
        <is>
          <t>Thương lượng</t>
        </is>
      </c>
      <c r="F6243" t="inlineStr">
        <is>
          <t>Hồ Chí Minh</t>
        </is>
      </c>
      <c r="G6243" t="inlineStr">
        <is>
          <t>Nhân viên</t>
        </is>
      </c>
      <c r="H6243" t="inlineStr">
        <is>
          <t>14/01/2026</t>
        </is>
      </c>
      <c r="I6243" t="inlineStr">
        <is>
          <t>02/04/2026</t>
        </is>
      </c>
      <c r="J6243" t="inlineStr">
        <is>
          <t>17/03/2026</t>
        </is>
      </c>
      <c r="K6243" t="inlineStr">
        <is>
          <t>N/A</t>
        </is>
      </c>
      <c r="L6243" t="inlineStr">
        <is>
          <t>Production Management, Product Quality Management, Merchandising, Home Appliances, Sourcing</t>
        </is>
      </c>
      <c r="M6243" t="inlineStr">
        <is>
          <t>Bonus, Healthcare Plan, Paid Leave, Others</t>
        </is>
      </c>
      <c r="N6243" s="8">
        <f>HYPERLINK("https://www.vietnamworks.com/home-appliance-production-and-sourcing-specialist-2002685-jv","Xem chi tiết")</f>
        <v/>
      </c>
    </row>
    <row r="6244">
      <c r="B6244" s="9" t="n">
        <v>6242</v>
      </c>
      <c r="C6244" s="10" t="inlineStr">
        <is>
          <t>Customs Solicitation Analyst</t>
        </is>
      </c>
      <c r="D6244" s="10" t="inlineStr">
        <is>
          <t>LVHA Manufacturing Company Limited</t>
        </is>
      </c>
      <c r="E6244" s="10" t="inlineStr">
        <is>
          <t>Thương lượng</t>
        </is>
      </c>
      <c r="F6244" s="10" t="inlineStr">
        <is>
          <t>Đồng Nai</t>
        </is>
      </c>
      <c r="G6244" s="10" t="inlineStr">
        <is>
          <t>Nhân viên</t>
        </is>
      </c>
      <c r="H6244" s="10" t="inlineStr">
        <is>
          <t>15/01/2026</t>
        </is>
      </c>
      <c r="I6244" s="10" t="inlineStr">
        <is>
          <t>02/04/2026</t>
        </is>
      </c>
      <c r="J6244" s="10" t="inlineStr">
        <is>
          <t>17/03/2026</t>
        </is>
      </c>
      <c r="K6244" s="10" t="inlineStr">
        <is>
          <t>N/A</t>
        </is>
      </c>
      <c r="L6244" s="10" t="inlineStr">
        <is>
          <t>Customs Regulations Knowledge, SAP-ERP, Free Trade Agreement, Excel Proficiency, English Language Proficiency</t>
        </is>
      </c>
      <c r="M6244" s="10" t="inlineStr">
        <is>
          <t>Bonus, Healthcare Plan, Laptop</t>
        </is>
      </c>
      <c r="N6244" s="11">
        <f>HYPERLINK("https://www.vietnamworks.com/customs-solicitation-analyst-2002779-jv","Xem chi tiết")</f>
        <v/>
      </c>
      <c r="O6244" s="10" t="n"/>
    </row>
    <row r="6245">
      <c r="B6245" s="7" t="n">
        <v>6243</v>
      </c>
      <c r="C6245" t="inlineStr">
        <is>
          <t>Kỹ Sư Xây Dựng (Lương Upto 25 Triệu)</t>
        </is>
      </c>
      <c r="D6245" t="inlineStr">
        <is>
          <t>Công Ty Cổ Phần Phát Triển Chăn Nuôi Hoà Phát</t>
        </is>
      </c>
      <c r="E6245" t="inlineStr">
        <is>
          <t>800-1,200 ₫/tháng</t>
        </is>
      </c>
      <c r="F6245" t="inlineStr">
        <is>
          <t>Hà Nội</t>
        </is>
      </c>
      <c r="G6245" t="inlineStr">
        <is>
          <t>Nhân viên</t>
        </is>
      </c>
      <c r="H6245" t="inlineStr">
        <is>
          <t>14/01/2026</t>
        </is>
      </c>
      <c r="I6245" t="inlineStr">
        <is>
          <t>02/04/2026</t>
        </is>
      </c>
      <c r="J6245" t="inlineStr">
        <is>
          <t>17/03/2026</t>
        </is>
      </c>
      <c r="K6245" t="inlineStr">
        <is>
          <t>N/A</t>
        </is>
      </c>
      <c r="L6245" t="inlineStr">
        <is>
          <t>Xây Dựng Dân Dụng, Civil Engineering, Xây Dựng, BIM, Tekla</t>
        </is>
      </c>
      <c r="M6245" t="inlineStr">
        <is>
          <t>Bonus, Healthcare Plan, Others</t>
        </is>
      </c>
      <c r="N6245" s="8">
        <f>HYPERLINK("https://www.vietnamworks.com/ky-su-xay-dung-luong-upto-25-trieu-2002414-jv","Xem chi tiết")</f>
        <v/>
      </c>
    </row>
    <row r="6246">
      <c r="B6246" s="9" t="n">
        <v>6244</v>
      </c>
      <c r="C6246" s="10" t="inlineStr">
        <is>
          <t>Trưởng Nhóm Kinh Doanh - Chi Nhánh Đồng Nai và Vũng Tàu</t>
        </is>
      </c>
      <c r="D6246" s="10" t="inlineStr">
        <is>
          <t>Shinhan Vietnam Finance Company Limited</t>
        </is>
      </c>
      <c r="E6246" s="10" t="inlineStr">
        <is>
          <t>Thương lượng</t>
        </is>
      </c>
      <c r="F6246" s="10" t="inlineStr">
        <is>
          <t>Đồng Nai, Bà Rịa - Vũng Tàu</t>
        </is>
      </c>
      <c r="G6246" s="10" t="inlineStr">
        <is>
          <t>Trưởng phòng</t>
        </is>
      </c>
      <c r="H6246" s="10" t="inlineStr">
        <is>
          <t>15/01/2026</t>
        </is>
      </c>
      <c r="I6246" s="10" t="inlineStr">
        <is>
          <t>02/04/2026</t>
        </is>
      </c>
      <c r="J6246" s="10" t="inlineStr">
        <is>
          <t>17/03/2026</t>
        </is>
      </c>
      <c r="K6246" s="10" t="inlineStr">
        <is>
          <t>N/A</t>
        </is>
      </c>
      <c r="L6246" s="10" t="inlineStr">
        <is>
          <t>Giao tiếp, Tài chính doanh nghiệp, ngân hàng</t>
        </is>
      </c>
      <c r="M6246" s="10" t="inlineStr">
        <is>
          <t>Bonus, Healthcare Plan, Paid Leave</t>
        </is>
      </c>
      <c r="N6246" s="11">
        <f>HYPERLINK("https://www.vietnamworks.com/truong-nhom-kinh-doanh-chi-nhanh-dong-nai-va-vung-tau--2002870-jv","Xem chi tiết")</f>
        <v/>
      </c>
      <c r="O6246" s="10" t="n"/>
    </row>
    <row r="6247">
      <c r="B6247" s="7" t="n">
        <v>6245</v>
      </c>
      <c r="C6247" t="inlineStr">
        <is>
          <t>Manager – Accounting &amp; Tax Services</t>
        </is>
      </c>
      <c r="D6247" t="inlineStr">
        <is>
          <t>TMF Vietnam Company Limited</t>
        </is>
      </c>
      <c r="E6247" t="inlineStr">
        <is>
          <t>Thương lượng</t>
        </is>
      </c>
      <c r="F6247" t="inlineStr">
        <is>
          <t>Hồ Chí Minh</t>
        </is>
      </c>
      <c r="G6247" t="inlineStr">
        <is>
          <t>Trưởng phòng</t>
        </is>
      </c>
      <c r="H6247" t="inlineStr">
        <is>
          <t>14/01/2026</t>
        </is>
      </c>
      <c r="I6247" t="inlineStr">
        <is>
          <t>02/04/2026</t>
        </is>
      </c>
      <c r="J6247" t="inlineStr">
        <is>
          <t>17/03/2026</t>
        </is>
      </c>
      <c r="K6247" t="inlineStr">
        <is>
          <t>N/A</t>
        </is>
      </c>
      <c r="L6247" t="inlineStr">
        <is>
          <t>Tax Compliance, Tax Consulting, Accountant, Tax Accounting, Kế Toán Thuế</t>
        </is>
      </c>
      <c r="M6247" t="inlineStr">
        <is>
          <t>Bonus, Team Activities, Others</t>
        </is>
      </c>
      <c r="N6247" s="8">
        <f>HYPERLINK("https://www.vietnamworks.com/manager-accounting-tax-services--2002658-jv","Xem chi tiết")</f>
        <v/>
      </c>
    </row>
    <row r="6248">
      <c r="B6248" s="9" t="n">
        <v>6246</v>
      </c>
      <c r="C6248" s="10" t="inlineStr">
        <is>
          <t>Sales Engineer (Powder Coating | Chinese Speaking)</t>
        </is>
      </c>
      <c r="D6248" s="10" t="inlineStr">
        <is>
          <t>CÔNG TY TNHH SƠN OCEAN (VIỆT NAM)</t>
        </is>
      </c>
      <c r="E6248" s="10" t="inlineStr">
        <is>
          <t>Từ 15tr ₫/tháng</t>
        </is>
      </c>
      <c r="F6248" s="10" t="inlineStr">
        <is>
          <t>Đồng Nai, Hưng Yên</t>
        </is>
      </c>
      <c r="G6248" s="10" t="inlineStr">
        <is>
          <t>Nhân viên</t>
        </is>
      </c>
      <c r="H6248" s="10" t="inlineStr">
        <is>
          <t>15/01/2026</t>
        </is>
      </c>
      <c r="I6248" s="10" t="inlineStr">
        <is>
          <t>02/04/2026</t>
        </is>
      </c>
      <c r="J6248" s="10" t="inlineStr">
        <is>
          <t>17/03/2026</t>
        </is>
      </c>
      <c r="K6248" s="10" t="inlineStr">
        <is>
          <t>N/A</t>
        </is>
      </c>
      <c r="L6248" s="10" t="inlineStr">
        <is>
          <t>Chinese Speaking, Sales experience, Procurement, Business Analysis, Quotations Processing</t>
        </is>
      </c>
      <c r="M6248" s="10" t="inlineStr">
        <is>
          <t>Bonus, Healthcare Plan, Paid Leave, Transportation</t>
        </is>
      </c>
      <c r="N6248" s="11">
        <f>HYPERLINK("https://www.vietnamworks.com/sales-engineer-powder-coating-chinese-speaking-2002880-jv","Xem chi tiết")</f>
        <v/>
      </c>
      <c r="O6248" s="10" t="n"/>
    </row>
    <row r="6249">
      <c r="B6249" s="7" t="n">
        <v>6247</v>
      </c>
      <c r="C6249" t="inlineStr">
        <is>
          <t>Furniture Merchandiser (Potential) ファーニチャーポテンシャルMD</t>
        </is>
      </c>
      <c r="D6249" t="inlineStr">
        <is>
          <t>CÔNG TY TNHH MUJI GLOBAL SOURCING VIỆT NAM</t>
        </is>
      </c>
      <c r="E6249" t="inlineStr">
        <is>
          <t>Thương lượng</t>
        </is>
      </c>
      <c r="F6249" t="inlineStr">
        <is>
          <t>Hồ Chí Minh</t>
        </is>
      </c>
      <c r="G6249" t="inlineStr">
        <is>
          <t>Nhân viên</t>
        </is>
      </c>
      <c r="H6249" t="inlineStr">
        <is>
          <t>14/01/2026</t>
        </is>
      </c>
      <c r="I6249" t="inlineStr">
        <is>
          <t>02/04/2026</t>
        </is>
      </c>
      <c r="J6249" t="inlineStr">
        <is>
          <t>17/03/2026</t>
        </is>
      </c>
      <c r="K6249" t="inlineStr">
        <is>
          <t>N/A</t>
        </is>
      </c>
      <c r="L6249" t="inlineStr">
        <is>
          <t>Production Management, Merchandising, Furniture, JLPT N2, Production Operations Management</t>
        </is>
      </c>
      <c r="M6249" t="inlineStr">
        <is>
          <t>Bonus, Healthcare Plan, Paid Leave, Others</t>
        </is>
      </c>
      <c r="N6249" s="8">
        <f>HYPERLINK("https://www.vietnamworks.com/furniture-merchandiser-potential-md-2002636-jv","Xem chi tiết")</f>
        <v/>
      </c>
    </row>
    <row r="6250">
      <c r="B6250" s="9" t="n">
        <v>6248</v>
      </c>
      <c r="C6250" s="10" t="inlineStr">
        <is>
          <t>Policy Admin Assistant Manager</t>
        </is>
      </c>
      <c r="D6250" s="10" t="inlineStr">
        <is>
          <t>BIDV MetLife</t>
        </is>
      </c>
      <c r="E6250" s="10" t="inlineStr">
        <is>
          <t>Thương lượng</t>
        </is>
      </c>
      <c r="F6250" s="10" t="inlineStr">
        <is>
          <t>Hà Nội</t>
        </is>
      </c>
      <c r="G6250" s="10" t="inlineStr">
        <is>
          <t>Nhân viên</t>
        </is>
      </c>
      <c r="H6250" s="10" t="inlineStr">
        <is>
          <t>14/01/2026</t>
        </is>
      </c>
      <c r="I6250" s="10" t="inlineStr">
        <is>
          <t>02/04/2026</t>
        </is>
      </c>
      <c r="J6250" s="10" t="inlineStr">
        <is>
          <t>17/03/2026</t>
        </is>
      </c>
      <c r="K6250" s="10" t="inlineStr">
        <is>
          <t>N/A</t>
        </is>
      </c>
      <c r="L6250" s="10" t="inlineStr">
        <is>
          <t>Policy Administration, Customer Service, Life Insurance, Policy Development, Life Insurance Claiming</t>
        </is>
      </c>
      <c r="M6250" s="10" t="inlineStr">
        <is>
          <t>Bonus, Healthcare Plan, Paid Leave</t>
        </is>
      </c>
      <c r="N6250" s="11">
        <f>HYPERLINK("https://www.vietnamworks.com/policy-admin-assistant-manager-2002566-jv","Xem chi tiết")</f>
        <v/>
      </c>
      <c r="O6250" s="10" t="n"/>
    </row>
    <row r="6251">
      <c r="B6251" s="7" t="n">
        <v>6249</v>
      </c>
      <c r="C6251" t="inlineStr">
        <is>
          <t>Phó Tổng Giám Đốc</t>
        </is>
      </c>
      <c r="D6251" t="inlineStr">
        <is>
          <t>Hệ thống Kính mắt Anna</t>
        </is>
      </c>
      <c r="E6251" t="inlineStr">
        <is>
          <t>Thương lượng</t>
        </is>
      </c>
      <c r="F6251" t="inlineStr">
        <is>
          <t>Hồ Chí Minh, Hà Nội</t>
        </is>
      </c>
      <c r="G6251" t="inlineStr">
        <is>
          <t>Giám Đốc và Cấp Cao Hơn</t>
        </is>
      </c>
      <c r="H6251" t="inlineStr">
        <is>
          <t>15/01/2026</t>
        </is>
      </c>
      <c r="I6251" t="inlineStr">
        <is>
          <t>02/04/2026</t>
        </is>
      </c>
      <c r="J6251" t="inlineStr">
        <is>
          <t>17/03/2026</t>
        </is>
      </c>
      <c r="K6251" t="inlineStr">
        <is>
          <t>N/A</t>
        </is>
      </c>
      <c r="L6251" t="inlineStr">
        <is>
          <t>Bán hàng, Chăm sóc &amp; duy trì quan hệ khách hàng, Lãnh đạo đội nhóm, Marketing &amp; Advertising Strategy, Marketing Retail</t>
        </is>
      </c>
      <c r="M6251" t="inlineStr">
        <is>
          <t>Bonus, Healthcare Plan, Team Activities, Others</t>
        </is>
      </c>
      <c r="N6251" s="8">
        <f>HYPERLINK("https://www.vietnamworks.com/pho-tong-giam-djoc-2002908-jv","Xem chi tiết")</f>
        <v/>
      </c>
    </row>
    <row r="6252">
      <c r="B6252" s="9" t="n">
        <v>6250</v>
      </c>
      <c r="C6252" s="10" t="inlineStr">
        <is>
          <t>Corporate Brand &amp; Culture Strategist</t>
        </is>
      </c>
      <c r="D6252" s="10" t="inlineStr">
        <is>
          <t>Công Ty Cổ Phần BM Windows</t>
        </is>
      </c>
      <c r="E6252" s="10" t="inlineStr">
        <is>
          <t>Thương lượng</t>
        </is>
      </c>
      <c r="F6252" s="10" t="inlineStr">
        <is>
          <t>Hồ Chí Minh</t>
        </is>
      </c>
      <c r="G6252" s="10" t="inlineStr">
        <is>
          <t>Trưởng phòng</t>
        </is>
      </c>
      <c r="H6252" s="10" t="inlineStr">
        <is>
          <t>15/01/2026</t>
        </is>
      </c>
      <c r="I6252" s="10" t="inlineStr">
        <is>
          <t>02/04/2026</t>
        </is>
      </c>
      <c r="J6252" s="10" t="inlineStr">
        <is>
          <t>17/03/2026</t>
        </is>
      </c>
      <c r="K6252" s="10" t="inlineStr">
        <is>
          <t>N/A</t>
        </is>
      </c>
      <c r="L6252" s="10" t="inlineStr">
        <is>
          <t>Brand Building, English, Internal Communications, Organizational Culture</t>
        </is>
      </c>
      <c r="M6252" s="10" t="inlineStr">
        <is>
          <t>Bonus, Healthcare Plan, Travel Opportunities, Others</t>
        </is>
      </c>
      <c r="N6252" s="11">
        <f>HYPERLINK("https://www.vietnamworks.com/corporate-brand-and-culture-strategist-2002866-jv","Xem chi tiết")</f>
        <v/>
      </c>
      <c r="O6252" s="10" t="n"/>
    </row>
    <row r="6253">
      <c r="B6253" s="7" t="n">
        <v>6251</v>
      </c>
      <c r="C6253" t="inlineStr">
        <is>
          <t>Technical Service Engineer (Powder Coating | Chinese)</t>
        </is>
      </c>
      <c r="D6253" t="inlineStr">
        <is>
          <t>CÔNG TY TNHH SƠN OCEAN (VIỆT NAM)</t>
        </is>
      </c>
      <c r="E6253" t="inlineStr">
        <is>
          <t>Từ 15tr ₫/tháng</t>
        </is>
      </c>
      <c r="F6253" t="inlineStr">
        <is>
          <t>Hồ Chí Minh, Hà Nội, Hưng Yên</t>
        </is>
      </c>
      <c r="G6253" t="inlineStr">
        <is>
          <t>Nhân viên</t>
        </is>
      </c>
      <c r="H6253" t="inlineStr">
        <is>
          <t>15/01/2026</t>
        </is>
      </c>
      <c r="I6253" t="inlineStr">
        <is>
          <t>02/04/2026</t>
        </is>
      </c>
      <c r="J6253" t="inlineStr">
        <is>
          <t>17/03/2026</t>
        </is>
      </c>
      <c r="K6253" t="inlineStr">
        <is>
          <t>N/A</t>
        </is>
      </c>
      <c r="L6253" t="inlineStr">
        <is>
          <t>Chinese Speaking, Sales experience, Familiar with Procurement Process, Coating, Technical Service</t>
        </is>
      </c>
      <c r="M6253" t="inlineStr">
        <is>
          <t>Bonus, Healthcare Plan, Paid Leave, Transportation</t>
        </is>
      </c>
      <c r="N6253" s="8">
        <f>HYPERLINK("https://www.vietnamworks.com/technical-service-engineer-powder-coating-chinese-2002873-jv","Xem chi tiết")</f>
        <v/>
      </c>
    </row>
    <row r="6254">
      <c r="B6254" s="9" t="n">
        <v>6252</v>
      </c>
      <c r="C6254" s="10" t="inlineStr">
        <is>
          <t>Talent &amp; Organizational Excellence Manager</t>
        </is>
      </c>
      <c r="D6254" s="10" t="inlineStr">
        <is>
          <t>Vietnam Suzuki Corporation</t>
        </is>
      </c>
      <c r="E6254" s="10" t="inlineStr">
        <is>
          <t>Thương lượng</t>
        </is>
      </c>
      <c r="F6254" s="10" t="inlineStr">
        <is>
          <t>Hồ Chí Minh, Đồng Nai</t>
        </is>
      </c>
      <c r="G6254" s="10" t="inlineStr">
        <is>
          <t>Trưởng phòng</t>
        </is>
      </c>
      <c r="H6254" s="10" t="inlineStr">
        <is>
          <t>15/01/2026</t>
        </is>
      </c>
      <c r="I6254" s="10" t="inlineStr">
        <is>
          <t>02/04/2026</t>
        </is>
      </c>
      <c r="J6254" s="10" t="inlineStr">
        <is>
          <t>17/03/2026</t>
        </is>
      </c>
      <c r="K6254" s="10" t="inlineStr">
        <is>
          <t>N/A</t>
        </is>
      </c>
      <c r="L6254" s="10" t="inlineStr">
        <is>
          <t>Communication, Employer Branding, Performance Management, Talent Management, Stakeholder Management</t>
        </is>
      </c>
      <c r="M6254" s="10" t="inlineStr">
        <is>
          <t>Bonus, Healthcare Plan, Team Activities, Transportation, Canteen, Others</t>
        </is>
      </c>
      <c r="N6254" s="11">
        <f>HYPERLINK("https://www.vietnamworks.com/talent-and-organizational-excellence-manager-2002881-jv","Xem chi tiết")</f>
        <v/>
      </c>
      <c r="O6254" s="10" t="n"/>
    </row>
    <row r="6255">
      <c r="B6255" s="7" t="n">
        <v>6253</v>
      </c>
      <c r="C6255" t="inlineStr">
        <is>
          <t>Nhân Viên Kinh Doanh FF (Freight Forwarder)</t>
        </is>
      </c>
      <c r="D6255" t="inlineStr">
        <is>
          <t>VICONSHIP HO CHI MINH</t>
        </is>
      </c>
      <c r="E6255" t="inlineStr">
        <is>
          <t>Thương lượng</t>
        </is>
      </c>
      <c r="F6255" t="inlineStr">
        <is>
          <t>Hồ Chí Minh</t>
        </is>
      </c>
      <c r="G6255" t="inlineStr">
        <is>
          <t>Nhân viên</t>
        </is>
      </c>
      <c r="H6255" t="inlineStr">
        <is>
          <t>15/01/2026</t>
        </is>
      </c>
      <c r="I6255" t="inlineStr">
        <is>
          <t>02/04/2026</t>
        </is>
      </c>
      <c r="J6255" t="inlineStr">
        <is>
          <t>17/03/2026</t>
        </is>
      </c>
      <c r="K6255" t="inlineStr">
        <is>
          <t>N/A</t>
        </is>
      </c>
      <c r="L6255" t="inlineStr">
        <is>
          <t>Giao Tiếp Tiếng Anh, Kinh Doanh, Sales, Thương Mại Quốc Tế</t>
        </is>
      </c>
      <c r="M6255" t="inlineStr">
        <is>
          <t>Bonus, Healthcare Plan, Team Activities, Others</t>
        </is>
      </c>
      <c r="N6255" s="8">
        <f>HYPERLINK("https://www.vietnamworks.com/nhan-vien-kinh-doanh-ff-freight-forwarder-2002927-jv","Xem chi tiết")</f>
        <v/>
      </c>
    </row>
    <row r="6256">
      <c r="B6256" s="9" t="n">
        <v>6254</v>
      </c>
      <c r="C6256" s="10" t="inlineStr">
        <is>
          <t>Business Analyst (BA)</t>
        </is>
      </c>
      <c r="D6256" s="10" t="inlineStr">
        <is>
          <t>CÔNG TY TNHH CÔNG NGHỆ CODERPUSH</t>
        </is>
      </c>
      <c r="E6256" s="10" t="inlineStr">
        <is>
          <t>30tr-50tr ₫/tháng</t>
        </is>
      </c>
      <c r="F6256" s="10" t="inlineStr">
        <is>
          <t>Hà Nội</t>
        </is>
      </c>
      <c r="G6256" s="10" t="inlineStr">
        <is>
          <t>Nhân viên</t>
        </is>
      </c>
      <c r="H6256" s="10" t="inlineStr">
        <is>
          <t>15/01/2026</t>
        </is>
      </c>
      <c r="I6256" s="10" t="inlineStr">
        <is>
          <t>02/04/2026</t>
        </is>
      </c>
      <c r="J6256" s="10" t="inlineStr">
        <is>
          <t>17/03/2026</t>
        </is>
      </c>
      <c r="K6256" s="10" t="inlineStr">
        <is>
          <t>N/A</t>
        </is>
      </c>
      <c r="L6256" s="10" t="inlineStr">
        <is>
          <t>SQL, APIs, Fintech</t>
        </is>
      </c>
      <c r="M6256" s="10" t="inlineStr">
        <is>
          <t>Bonus, Healthcare Plan, Paid Leave, Training, Laptop, Travel Opportunities</t>
        </is>
      </c>
      <c r="N6256" s="11">
        <f>HYPERLINK("https://www.vietnamworks.com/business-analyst-ba-2002915-jv","Xem chi tiết")</f>
        <v/>
      </c>
      <c r="O6256" s="10" t="n"/>
    </row>
    <row r="6257">
      <c r="B6257" s="7" t="n">
        <v>6255</v>
      </c>
      <c r="C6257" t="inlineStr">
        <is>
          <t>Nhân Viên Quản Lý &amp; Vận Hành Căn Hộ Cho Thuê</t>
        </is>
      </c>
      <c r="D6257" t="inlineStr">
        <is>
          <t>CÔNG TY CỔ PHẦN ABC TEAM</t>
        </is>
      </c>
      <c r="E6257" t="inlineStr">
        <is>
          <t>8tr-12tr ₫/tháng</t>
        </is>
      </c>
      <c r="F6257" t="inlineStr">
        <is>
          <t>Đà Nẵng</t>
        </is>
      </c>
      <c r="G6257" t="inlineStr">
        <is>
          <t>Nhân viên</t>
        </is>
      </c>
      <c r="H6257" t="inlineStr">
        <is>
          <t>15/01/2026</t>
        </is>
      </c>
      <c r="I6257" t="inlineStr">
        <is>
          <t>02/04/2026</t>
        </is>
      </c>
      <c r="J6257" t="inlineStr">
        <is>
          <t>17/03/2026</t>
        </is>
      </c>
      <c r="K6257" t="inlineStr">
        <is>
          <t>N/A</t>
        </is>
      </c>
      <c r="L6257" t="inlineStr">
        <is>
          <t>Giao Tiếp Tiếng Anh, Thành Thạo Máy Tính, Kinh nghiệm sale, Quản Lý Vận Hành, Cho Thuê Căn Hộ</t>
        </is>
      </c>
      <c r="M6257" t="inlineStr">
        <is>
          <t>Healthcare Plan, Others</t>
        </is>
      </c>
      <c r="N6257" s="8">
        <f>HYPERLINK("https://www.vietnamworks.com/nhan-vien-quan-ly-and-van-hanh-can-ho-cho-thue-2003006-jv","Xem chi tiết")</f>
        <v/>
      </c>
    </row>
    <row r="6258">
      <c r="B6258" s="9" t="n">
        <v>6256</v>
      </c>
      <c r="C6258" s="10" t="inlineStr">
        <is>
          <t>Nhân Viên Phối Giống Bò (Lao-Jagro - Công Ty Con Vinamilk)</t>
        </is>
      </c>
      <c r="D6258" s="10" t="inlineStr">
        <is>
          <t>Công Ty Cổ Phần Sữa Việt Nam (Vinamilk)</t>
        </is>
      </c>
      <c r="E6258" s="10" t="inlineStr">
        <is>
          <t>Thương lượng</t>
        </is>
      </c>
      <c r="F6258" s="10" t="inlineStr">
        <is>
          <t>Khác, Nghệ An</t>
        </is>
      </c>
      <c r="G6258" s="10" t="inlineStr">
        <is>
          <t>Mới Tốt Nghiệp</t>
        </is>
      </c>
      <c r="H6258" s="10" t="inlineStr">
        <is>
          <t>15/01/2026</t>
        </is>
      </c>
      <c r="I6258" s="10" t="inlineStr">
        <is>
          <t>02/04/2026</t>
        </is>
      </c>
      <c r="J6258" s="10" t="inlineStr">
        <is>
          <t>17/03/2026</t>
        </is>
      </c>
      <c r="K6258" s="10" t="inlineStr">
        <is>
          <t>N/A</t>
        </is>
      </c>
      <c r="L6258" s="10" t="inlineStr">
        <is>
          <t>Chăn Nuôi, Chăn nuôi Bò sữa, Công Nghệ Sinh Học, Quản Lý Trang Trại Nông Nghiệp, Thú Y</t>
        </is>
      </c>
      <c r="M6258" s="10" t="inlineStr">
        <is>
          <t>Paid Leave, Laptop, Transportation</t>
        </is>
      </c>
      <c r="N6258" s="11">
        <f>HYPERLINK("https://www.vietnamworks.com/nhan-vien-phoi-giong-bo-lao-jagro-cong-ty-con-vinamilk-2003066-jv","Xem chi tiết")</f>
        <v/>
      </c>
      <c r="O6258" s="10" t="n"/>
    </row>
    <row r="6259">
      <c r="B6259" s="7" t="n">
        <v>6257</v>
      </c>
      <c r="C6259" t="inlineStr">
        <is>
          <t>Fresher Mechanical Design Engineer (Must Have 3D Inventor)</t>
        </is>
      </c>
      <c r="D6259" t="inlineStr">
        <is>
          <t>Danieli – Industrielle Beteiligung Co., Ltd</t>
        </is>
      </c>
      <c r="E6259" t="inlineStr">
        <is>
          <t>Thương lượng</t>
        </is>
      </c>
      <c r="F6259" t="inlineStr">
        <is>
          <t>Hồ Chí Minh</t>
        </is>
      </c>
      <c r="G6259" t="inlineStr">
        <is>
          <t>Mới Tốt Nghiệp</t>
        </is>
      </c>
      <c r="H6259" t="inlineStr">
        <is>
          <t>15/01/2026</t>
        </is>
      </c>
      <c r="I6259" t="inlineStr">
        <is>
          <t>02/04/2026</t>
        </is>
      </c>
      <c r="J6259" t="inlineStr">
        <is>
          <t>17/03/2026</t>
        </is>
      </c>
      <c r="K6259" t="inlineStr">
        <is>
          <t>N/A</t>
        </is>
      </c>
      <c r="L6259" t="inlineStr">
        <is>
          <t>Auto Cad, 3D Modeling, Autodesk, Industrial Design, Mechanical Engineering</t>
        </is>
      </c>
      <c r="M6259" t="inlineStr">
        <is>
          <t>Bonus, Healthcare Plan, Paid Leave, Training, Team Activities, Transportation, Canteen</t>
        </is>
      </c>
      <c r="N6259" s="8">
        <f>HYPERLINK("https://www.vietnamworks.com/fresher-mechanical-design-engineer-must-have-3d-inventor-2003088-jv","Xem chi tiết")</f>
        <v/>
      </c>
    </row>
    <row r="6260">
      <c r="B6260" s="9" t="n">
        <v>6258</v>
      </c>
      <c r="C6260" s="10" t="inlineStr">
        <is>
          <t>Nhân Viên Rập (Pattern Staff)</t>
        </is>
      </c>
      <c r="D6260" s="10" t="inlineStr">
        <is>
          <t>Công Ty TNHH Kanaan Central Việt Nam</t>
        </is>
      </c>
      <c r="E6260" s="10" t="inlineStr">
        <is>
          <t>15tr-30tr ₫/tháng</t>
        </is>
      </c>
      <c r="F6260" s="10" t="inlineStr">
        <is>
          <t>Hồ Chí Minh</t>
        </is>
      </c>
      <c r="G6260" s="10" t="inlineStr">
        <is>
          <t>Nhân viên</t>
        </is>
      </c>
      <c r="H6260" s="10" t="inlineStr">
        <is>
          <t>16/01/2026</t>
        </is>
      </c>
      <c r="I6260" s="10" t="inlineStr">
        <is>
          <t>02/04/2026</t>
        </is>
      </c>
      <c r="J6260" s="10" t="inlineStr">
        <is>
          <t>17/03/2026</t>
        </is>
      </c>
      <c r="K6260" s="10" t="inlineStr">
        <is>
          <t>N/A</t>
        </is>
      </c>
      <c r="L6260" s="10" t="inlineStr">
        <is>
          <t>Chú Ý Đến Chi Tiết, Giải Quyết Vấn Đề, Giao Tiếp, Phần Mềm Thiết Kế 3D, Thiết Kế Rập</t>
        </is>
      </c>
      <c r="M6260" s="10" t="inlineStr">
        <is>
          <t>Bonus, Others</t>
        </is>
      </c>
      <c r="N6260" s="11">
        <f>HYPERLINK("https://www.vietnamworks.com/nhan-vien-rap-pattern-staff-2003230-jv","Xem chi tiết")</f>
        <v/>
      </c>
      <c r="O6260" s="10" t="n"/>
    </row>
    <row r="6261">
      <c r="B6261" s="7" t="n">
        <v>6259</v>
      </c>
      <c r="C6261" t="inlineStr">
        <is>
          <t>Nhân Viên Cơ Điện (Lao-Jagro - Công Ty Con Vinamilk)</t>
        </is>
      </c>
      <c r="D6261" t="inlineStr">
        <is>
          <t>Công Ty Cổ Phần Sữa Việt Nam (Vinamilk)</t>
        </is>
      </c>
      <c r="E6261" t="inlineStr">
        <is>
          <t>Thương lượng</t>
        </is>
      </c>
      <c r="F6261" t="inlineStr">
        <is>
          <t>Khác, Nghệ An</t>
        </is>
      </c>
      <c r="G6261" t="inlineStr">
        <is>
          <t>Nhân viên</t>
        </is>
      </c>
      <c r="H6261" t="inlineStr">
        <is>
          <t>15/01/2026</t>
        </is>
      </c>
      <c r="I6261" t="inlineStr">
        <is>
          <t>02/04/2026</t>
        </is>
      </c>
      <c r="J6261" t="inlineStr">
        <is>
          <t>17/03/2026</t>
        </is>
      </c>
      <c r="K6261" t="inlineStr">
        <is>
          <t>N/A</t>
        </is>
      </c>
      <c r="L6261" t="inlineStr">
        <is>
          <t>Autocad, Bảo Quản Máy Móc Thiết Bị, Kỹ Thuật Điện, Phối Hợp Công Việc, Điện Công Nghiệp</t>
        </is>
      </c>
      <c r="M6261" t="inlineStr">
        <is>
          <t>Awards, Travel Opportunities, Transportation</t>
        </is>
      </c>
      <c r="N6261" s="8">
        <f>HYPERLINK("https://www.vietnamworks.com/nhan-vien-co-djien-lao-jagro-cong-ty-con-vinamilk-2003064-jv","Xem chi tiết")</f>
        <v/>
      </c>
    </row>
    <row r="6262">
      <c r="B6262" s="9" t="n">
        <v>6260</v>
      </c>
      <c r="C6262" s="10" t="inlineStr">
        <is>
          <t>Trưởng Phòng Phát Triển Sản Phẩm &amp; Hỗ Trợ Kinh Doanh</t>
        </is>
      </c>
      <c r="D6262" s="10" t="inlineStr">
        <is>
          <t>Công Ty Chứng Khoán Yuanta Việt Nam</t>
        </is>
      </c>
      <c r="E6262" s="10" t="inlineStr">
        <is>
          <t>Thương lượng</t>
        </is>
      </c>
      <c r="F6262" s="10" t="inlineStr">
        <is>
          <t>Hồ Chí Minh</t>
        </is>
      </c>
      <c r="G6262" s="10" t="inlineStr">
        <is>
          <t>Giám Đốc và Cấp Cao Hơn</t>
        </is>
      </c>
      <c r="H6262" s="10" t="inlineStr">
        <is>
          <t>16/01/2026</t>
        </is>
      </c>
      <c r="I6262" s="10" t="inlineStr">
        <is>
          <t>02/04/2026</t>
        </is>
      </c>
      <c r="J6262" s="10" t="inlineStr">
        <is>
          <t>17/03/2026</t>
        </is>
      </c>
      <c r="K6262" s="10" t="inlineStr">
        <is>
          <t>N/A</t>
        </is>
      </c>
      <c r="L6262" s="10" t="inlineStr">
        <is>
          <t>Chứng khoán, Dịch Vụ Chứng Khoán, Phân Tích Kinh Doanh, Phát Triển Sản Phẩm, Triển Khai Sản Phẩm</t>
        </is>
      </c>
      <c r="M6262" s="10" t="inlineStr">
        <is>
          <t>Bonus, Healthcare Plan, Travel Opportunities</t>
        </is>
      </c>
      <c r="N6262" s="11">
        <f>HYPERLINK("https://www.vietnamworks.com/truong-phong-phat-trien-san-pham-and-ho-tro-kinh-doanh-2003221-jv","Xem chi tiết")</f>
        <v/>
      </c>
      <c r="O6262" s="10" t="n"/>
    </row>
    <row r="6263">
      <c r="B6263" s="7" t="n">
        <v>6261</v>
      </c>
      <c r="C6263" t="inlineStr">
        <is>
          <t xml:space="preserve">[HCM &amp; HN] Sales Logistics - USA &amp; Canada Routes </t>
        </is>
      </c>
      <c r="D6263" t="inlineStr">
        <is>
          <t>Công Ty TNHH Ezocean Logistics Vietnam</t>
        </is>
      </c>
      <c r="E6263" t="inlineStr">
        <is>
          <t>Thương lượng</t>
        </is>
      </c>
      <c r="F6263" t="inlineStr">
        <is>
          <t>Hồ Chí Minh, Hà Nội</t>
        </is>
      </c>
      <c r="G6263" t="inlineStr">
        <is>
          <t>Nhân viên</t>
        </is>
      </c>
      <c r="H6263" t="inlineStr">
        <is>
          <t>16/01/2026</t>
        </is>
      </c>
      <c r="I6263" t="inlineStr">
        <is>
          <t>02/04/2026</t>
        </is>
      </c>
      <c r="J6263" t="inlineStr">
        <is>
          <t>17/03/2026</t>
        </is>
      </c>
      <c r="K6263" t="inlineStr">
        <is>
          <t>N/A</t>
        </is>
      </c>
      <c r="L6263" t="inlineStr">
        <is>
          <t>Customer Relationship Management skills, English, Logistics Industry Knowledge, Sales Logistics</t>
        </is>
      </c>
      <c r="M6263" t="inlineStr">
        <is>
          <t>Bonus, Healthcare Plan, Others</t>
        </is>
      </c>
      <c r="N6263" s="8">
        <f>HYPERLINK("https://www.vietnamworks.com/hcm-and-hn-sales-logistics-usa-and-canada-routes-2003225-jv","Xem chi tiết")</f>
        <v/>
      </c>
    </row>
    <row r="6264">
      <c r="B6264" s="9" t="n">
        <v>6262</v>
      </c>
      <c r="C6264" s="10" t="inlineStr">
        <is>
          <t>Cán Bộ Mua Sắm và Tài Chính</t>
        </is>
      </c>
      <c r="D6264" s="10" t="inlineStr">
        <is>
          <t>Save Vietnam’S Wildlife</t>
        </is>
      </c>
      <c r="E6264" s="10" t="inlineStr">
        <is>
          <t>Thương lượng</t>
        </is>
      </c>
      <c r="F6264" s="10" t="inlineStr">
        <is>
          <t>Hà Nội</t>
        </is>
      </c>
      <c r="G6264" s="10" t="inlineStr">
        <is>
          <t>Nhân viên</t>
        </is>
      </c>
      <c r="H6264" s="10" t="inlineStr">
        <is>
          <t>15/01/2026</t>
        </is>
      </c>
      <c r="I6264" s="10" t="inlineStr">
        <is>
          <t>02/04/2026</t>
        </is>
      </c>
      <c r="J6264" s="10" t="inlineStr">
        <is>
          <t>17/03/2026</t>
        </is>
      </c>
      <c r="K6264" s="10" t="inlineStr">
        <is>
          <t>N/A</t>
        </is>
      </c>
      <c r="L6264" s="10" t="inlineStr">
        <is>
          <t>Kinh Tế, Tài Chính, Base, Vận Hành Dự Án, QuickBooks (Basic Knowledge)</t>
        </is>
      </c>
      <c r="M6264" s="10" t="inlineStr">
        <is>
          <t>Bonus, Healthcare Plan, Training, Team Activities, Others</t>
        </is>
      </c>
      <c r="N6264" s="11">
        <f>HYPERLINK("https://www.vietnamworks.com/can-bo-mua-sam-va-tai-chinh-2002987-jv","Xem chi tiết")</f>
        <v/>
      </c>
      <c r="O6264" s="10" t="n"/>
    </row>
    <row r="6265">
      <c r="B6265" s="7" t="n">
        <v>6263</v>
      </c>
      <c r="C6265" t="inlineStr">
        <is>
          <t>Giám Đốc Trung Tâm Kinh Doanh Chứng Khoán</t>
        </is>
      </c>
      <c r="D6265" t="inlineStr">
        <is>
          <t>Công Ty Chứng Khoán Yuanta Việt Nam</t>
        </is>
      </c>
      <c r="E6265" t="inlineStr">
        <is>
          <t>Thương lượng</t>
        </is>
      </c>
      <c r="F6265" t="inlineStr">
        <is>
          <t>Hà Nội</t>
        </is>
      </c>
      <c r="G6265" t="inlineStr">
        <is>
          <t>Giám Đốc và Cấp Cao Hơn</t>
        </is>
      </c>
      <c r="H6265" t="inlineStr">
        <is>
          <t>16/01/2026</t>
        </is>
      </c>
      <c r="I6265" t="inlineStr">
        <is>
          <t>02/04/2026</t>
        </is>
      </c>
      <c r="J6265" t="inlineStr">
        <is>
          <t>17/03/2026</t>
        </is>
      </c>
      <c r="K6265" t="inlineStr">
        <is>
          <t>N/A</t>
        </is>
      </c>
      <c r="L6265" t="inlineStr">
        <is>
          <t>Investment Banking, Kế Hoạch Kinh Doanh, Môi Giới Chứng Khoán, Phát triển quy mô dư nợ, Tư Vấn Khách Hàng</t>
        </is>
      </c>
      <c r="M6265" t="inlineStr">
        <is>
          <t>Bonus, Healthcare Plan, Travel Opportunities</t>
        </is>
      </c>
      <c r="N6265" s="8">
        <f>HYPERLINK("https://www.vietnamworks.com/giam-djoc-trung-tam-kinh-doanh-chung-khoan-2003217-jv","Xem chi tiết")</f>
        <v/>
      </c>
    </row>
    <row r="6266">
      <c r="B6266" s="9" t="n">
        <v>6264</v>
      </c>
      <c r="C6266" s="10" t="inlineStr">
        <is>
          <t>Trưởng Bộ Phận Khách Hàng Doanh Nghiệp Vừa và Nhỏ (SME) - Hà Nội (Bà Triệu)</t>
        </is>
      </c>
      <c r="D6266" s="10" t="inlineStr">
        <is>
          <t>Ngân Hàng TMCP Việt Nam Thương Tín (Vietbank)</t>
        </is>
      </c>
      <c r="E6266" s="10" t="inlineStr">
        <is>
          <t>$$ 1,000-1,500 /tháng</t>
        </is>
      </c>
      <c r="F6266" s="10" t="inlineStr">
        <is>
          <t>Hà Nội</t>
        </is>
      </c>
      <c r="G6266" s="10" t="inlineStr">
        <is>
          <t>Trưởng phòng</t>
        </is>
      </c>
      <c r="H6266" s="10" t="inlineStr">
        <is>
          <t>15/01/2026</t>
        </is>
      </c>
      <c r="I6266" s="10" t="inlineStr">
        <is>
          <t>02/04/2026</t>
        </is>
      </c>
      <c r="J6266" s="10" t="inlineStr">
        <is>
          <t>17/03/2026</t>
        </is>
      </c>
      <c r="K6266" s="10" t="inlineStr">
        <is>
          <t>N/A</t>
        </is>
      </c>
      <c r="L6266" s="10" t="inlineStr">
        <is>
          <t>Tín Dụng Doanh Nghiệp, Tài Chính Ngân Hàng, Quan Hệ Khách Hàng, Giao Tiếp, Bán Hàng</t>
        </is>
      </c>
      <c r="M6266" s="10" t="inlineStr">
        <is>
          <t>Bonus, Healthcare Plan, Training</t>
        </is>
      </c>
      <c r="N6266" s="11">
        <f>HYPERLINK("https://www.vietnamworks.com/truong-bo-phan-khach-hang-doanh-nghiep-vua-va-nho-sme-ha-noi-ba-trieu-2003124-jv","Xem chi tiết")</f>
        <v/>
      </c>
      <c r="O6266" s="10" t="n"/>
    </row>
    <row r="6267">
      <c r="B6267" s="7" t="n">
        <v>6265</v>
      </c>
      <c r="C6267" t="inlineStr">
        <is>
          <t>Trưởng Phòng Khách Hàng Cao Cấp Chứng Khoán (Premium Clients)</t>
        </is>
      </c>
      <c r="D6267" t="inlineStr">
        <is>
          <t>Công Ty Chứng Khoán Yuanta Việt Nam</t>
        </is>
      </c>
      <c r="E6267" t="inlineStr">
        <is>
          <t>Thương lượng</t>
        </is>
      </c>
      <c r="F6267" t="inlineStr">
        <is>
          <t>Hà Nội, Hồ Chí Minh</t>
        </is>
      </c>
      <c r="G6267" t="inlineStr">
        <is>
          <t>Trưởng phòng</t>
        </is>
      </c>
      <c r="H6267" t="inlineStr">
        <is>
          <t>16/01/2026</t>
        </is>
      </c>
      <c r="I6267" t="inlineStr">
        <is>
          <t>02/04/2026</t>
        </is>
      </c>
      <c r="J6267" t="inlineStr">
        <is>
          <t>17/03/2026</t>
        </is>
      </c>
      <c r="K6267" t="inlineStr">
        <is>
          <t>N/A</t>
        </is>
      </c>
      <c r="L6267" t="inlineStr">
        <is>
          <t>Giải Quyết Vấn Đề, Môi Giới Chứng Khoán, Quản Lý Tài Sản, Quản Trị Khách Hàng, Tư Vấn Đầu Tư</t>
        </is>
      </c>
      <c r="M6267" t="inlineStr">
        <is>
          <t>Bonus, Healthcare Plan, Travel Opportunities</t>
        </is>
      </c>
      <c r="N6267" s="8">
        <f>HYPERLINK("https://www.vietnamworks.com/truong-phong-khach-hang-cao-cap-chung-khoan-premium-clients-2003235-jv","Xem chi tiết")</f>
        <v/>
      </c>
    </row>
    <row r="6268">
      <c r="B6268" s="9" t="n">
        <v>6266</v>
      </c>
      <c r="C6268" s="10" t="inlineStr">
        <is>
          <t>Kỹ Sư Bảo Trì Bảo Dưỡng (1 Năm Kinh Nghiệm)</t>
        </is>
      </c>
      <c r="D6268" s="10" t="inlineStr">
        <is>
          <t>Công Ty TNHH Vật Liệu Nam Châm Shin-Etsu Việt Nam</t>
        </is>
      </c>
      <c r="E6268" s="10" t="inlineStr">
        <is>
          <t>11tr-14tr ₫/tháng</t>
        </is>
      </c>
      <c r="F6268" s="10" t="inlineStr">
        <is>
          <t>Hải Phòng</t>
        </is>
      </c>
      <c r="G6268" s="10" t="inlineStr">
        <is>
          <t>Nhân viên</t>
        </is>
      </c>
      <c r="H6268" s="10" t="inlineStr">
        <is>
          <t>15/01/2026</t>
        </is>
      </c>
      <c r="I6268" s="10" t="inlineStr">
        <is>
          <t>02/04/2026</t>
        </is>
      </c>
      <c r="J6268" s="10" t="inlineStr">
        <is>
          <t>17/03/2026</t>
        </is>
      </c>
      <c r="K6268" s="10" t="inlineStr">
        <is>
          <t>N/A</t>
        </is>
      </c>
      <c r="L6268" s="10" t="inlineStr">
        <is>
          <t>Kỹ Thuật, Cơ Khí, Điện, Vận Hành Máy Tàu Thủy, Bảo Trì</t>
        </is>
      </c>
      <c r="M6268" s="10" t="inlineStr">
        <is>
          <t>Bonus, Healthcare Plan, Paid Leave, Training, Awards, Others</t>
        </is>
      </c>
      <c r="N6268" s="11">
        <f>HYPERLINK("https://www.vietnamworks.com/ky-su-bao-tri-bao-duong-1-nam-kinh-nghiem-2003044-jv","Xem chi tiết")</f>
        <v/>
      </c>
      <c r="O6268" s="10" t="n"/>
    </row>
    <row r="6269">
      <c r="B6269" s="7" t="n">
        <v>6267</v>
      </c>
      <c r="C6269" t="inlineStr">
        <is>
          <t>Kỹ Sư Bảo Trì Kỹ Thuật Máy (Gia Công/ Cơ Khí/up to 18 Triệu)</t>
        </is>
      </c>
      <c r="D6269" t="inlineStr">
        <is>
          <t>Công Ty TNHH Vật Liệu Nam Châm Shin-Etsu Việt Nam</t>
        </is>
      </c>
      <c r="E6269" t="inlineStr">
        <is>
          <t>Thương lượng</t>
        </is>
      </c>
      <c r="F6269" t="inlineStr">
        <is>
          <t>Hải Phòng</t>
        </is>
      </c>
      <c r="G6269" t="inlineStr">
        <is>
          <t>Nhân viên</t>
        </is>
      </c>
      <c r="H6269" t="inlineStr">
        <is>
          <t>15/01/2026</t>
        </is>
      </c>
      <c r="I6269" t="inlineStr">
        <is>
          <t>02/04/2026</t>
        </is>
      </c>
      <c r="J6269" t="inlineStr">
        <is>
          <t>17/03/2026</t>
        </is>
      </c>
      <c r="K6269" t="inlineStr">
        <is>
          <t>N/A</t>
        </is>
      </c>
      <c r="L6269" t="inlineStr">
        <is>
          <t>Tự Động Hóa, Cơ Khí, Kỹ Thuật, Điện Tự Động Hóa, Auto Cad</t>
        </is>
      </c>
      <c r="M6269" t="inlineStr">
        <is>
          <t>Bonus, Healthcare Plan, Awards</t>
        </is>
      </c>
      <c r="N6269" s="8">
        <f>HYPERLINK("https://www.vietnamworks.com/ky-su-bao-tri-ky-thuat-may-gia-cong-co-khi-up-to-18-trieu-2003028-jv","Xem chi tiết")</f>
        <v/>
      </c>
    </row>
    <row r="6270">
      <c r="B6270" s="9" t="n">
        <v>6268</v>
      </c>
      <c r="C6270" s="10" t="inlineStr">
        <is>
          <t>Trưởng Ban Nhãn Hiệu (Brand Manager)</t>
        </is>
      </c>
      <c r="D6270" s="10" t="inlineStr">
        <is>
          <t>Công Ty Cổ Phần Sữa Việt Nam (Vinamilk)</t>
        </is>
      </c>
      <c r="E6270" s="10" t="inlineStr">
        <is>
          <t>Thương lượng</t>
        </is>
      </c>
      <c r="F6270" s="10" t="inlineStr">
        <is>
          <t>Hồ Chí Minh</t>
        </is>
      </c>
      <c r="G6270" s="10" t="inlineStr">
        <is>
          <t>Trưởng phòng</t>
        </is>
      </c>
      <c r="H6270" s="10" t="inlineStr">
        <is>
          <t>16/01/2026</t>
        </is>
      </c>
      <c r="I6270" s="10" t="inlineStr">
        <is>
          <t>02/04/2026</t>
        </is>
      </c>
      <c r="J6270" s="10" t="inlineStr">
        <is>
          <t>17/03/2026</t>
        </is>
      </c>
      <c r="K6270" s="10" t="inlineStr">
        <is>
          <t>N/A</t>
        </is>
      </c>
      <c r="L6270" s="10" t="inlineStr">
        <is>
          <t>Branding, Brand Management, FMCG, Phát Triển Thương Hiệu, Nghiên Cứu Thị Trường</t>
        </is>
      </c>
      <c r="M6270" s="10" t="inlineStr">
        <is>
          <t>Bonus, Healthcare Plan, Training</t>
        </is>
      </c>
      <c r="N6270" s="11">
        <f>HYPERLINK("https://www.vietnamworks.com/truong-ban-nhan-hieu-brand-manager-5-2-2-1-2-1-1-1-1-1-1-1-1-1-2--2003220-jv","Xem chi tiết")</f>
        <v/>
      </c>
      <c r="O6270" s="10" t="n"/>
    </row>
    <row r="6271">
      <c r="B6271" s="7" t="n">
        <v>6269</v>
      </c>
      <c r="C6271" t="inlineStr">
        <is>
          <t>Nhân viên GSD (Balo - Túi Xách)</t>
        </is>
      </c>
      <c r="D6271" t="inlineStr">
        <is>
          <t>Công Ty TNHH Kanaan Central Việt Nam</t>
        </is>
      </c>
      <c r="E6271" t="inlineStr">
        <is>
          <t>Thương lượng</t>
        </is>
      </c>
      <c r="F6271" t="inlineStr">
        <is>
          <t>Hồ Chí Minh</t>
        </is>
      </c>
      <c r="G6271" t="inlineStr">
        <is>
          <t>Nhân viên</t>
        </is>
      </c>
      <c r="H6271" t="inlineStr">
        <is>
          <t>16/01/2026</t>
        </is>
      </c>
      <c r="I6271" t="inlineStr">
        <is>
          <t>02/04/2026</t>
        </is>
      </c>
      <c r="J6271" t="inlineStr">
        <is>
          <t>17/03/2026</t>
        </is>
      </c>
      <c r="K6271" t="inlineStr">
        <is>
          <t>N/A</t>
        </is>
      </c>
      <c r="L6271" t="inlineStr">
        <is>
          <t>Costing Analysis, Data Analysis, Gsdcost Software, IT Optimization, Teamwork</t>
        </is>
      </c>
      <c r="M6271" t="inlineStr">
        <is>
          <t>Bonus, Others</t>
        </is>
      </c>
      <c r="N6271" s="8">
        <f>HYPERLINK("https://www.vietnamworks.com/nhan-vien-gsd-balo-tui-xach-2003241-jv","Xem chi tiết")</f>
        <v/>
      </c>
    </row>
    <row r="6272">
      <c r="B6272" s="9" t="n">
        <v>6270</v>
      </c>
      <c r="C6272" s="10" t="inlineStr">
        <is>
          <t>Trưởng Bộ Phận Khách Hàng Doanh Nghiệp Lớn (CIB) - Hà Nội (Bà Triệu)</t>
        </is>
      </c>
      <c r="D6272" s="10" t="inlineStr">
        <is>
          <t>Ngân Hàng TMCP Việt Nam Thương Tín (Vietbank)</t>
        </is>
      </c>
      <c r="E6272" s="10" t="inlineStr">
        <is>
          <t>$$ 1,000-2,000 /tháng</t>
        </is>
      </c>
      <c r="F6272" s="10" t="inlineStr">
        <is>
          <t>Hà Nội</t>
        </is>
      </c>
      <c r="G6272" s="10" t="inlineStr">
        <is>
          <t>Trưởng phòng</t>
        </is>
      </c>
      <c r="H6272" s="10" t="inlineStr">
        <is>
          <t>15/01/2026</t>
        </is>
      </c>
      <c r="I6272" s="10" t="inlineStr">
        <is>
          <t>02/04/2026</t>
        </is>
      </c>
      <c r="J6272" s="10" t="inlineStr">
        <is>
          <t>17/03/2026</t>
        </is>
      </c>
      <c r="K6272" s="10" t="inlineStr">
        <is>
          <t>N/A</t>
        </is>
      </c>
      <c r="L6272" s="10" t="inlineStr">
        <is>
          <t>Tín Dụng Doanh Nghiệp, Tài Chính Ngân Hàng, Quan Hệ Khách Hàng, Giao Tiếp, Bán Hàng</t>
        </is>
      </c>
      <c r="M6272" s="10" t="inlineStr">
        <is>
          <t>Bonus, Healthcare Plan, Training</t>
        </is>
      </c>
      <c r="N6272" s="11">
        <f>HYPERLINK("https://www.vietnamworks.com/truong-bo-phan-khach-hang-doanh-nghiep-lon-cib-ha-noi-ba-trieu-2003135-jv","Xem chi tiết")</f>
        <v/>
      </c>
      <c r="O6272" s="10" t="n"/>
    </row>
    <row r="6273">
      <c r="B6273" s="7" t="n">
        <v>6271</v>
      </c>
      <c r="C6273" t="inlineStr">
        <is>
          <t>Phiên Dịch Tiếng Hàn</t>
        </is>
      </c>
      <c r="D6273" t="inlineStr">
        <is>
          <t>Công Ty TNHH K&amp;p Electronics Việt Nam</t>
        </is>
      </c>
      <c r="E6273" t="inlineStr">
        <is>
          <t>Thương lượng</t>
        </is>
      </c>
      <c r="F6273" t="inlineStr">
        <is>
          <t>Hải Phòng</t>
        </is>
      </c>
      <c r="G6273" t="inlineStr">
        <is>
          <t>Nhân viên</t>
        </is>
      </c>
      <c r="H6273" t="inlineStr">
        <is>
          <t>16/01/2026</t>
        </is>
      </c>
      <c r="I6273" t="inlineStr">
        <is>
          <t>02/04/2026</t>
        </is>
      </c>
      <c r="J6273" t="inlineStr">
        <is>
          <t>17/03/2026</t>
        </is>
      </c>
      <c r="K6273" t="inlineStr">
        <is>
          <t>N/A</t>
        </is>
      </c>
      <c r="L6273" t="inlineStr">
        <is>
          <t>Tiếng Hàn, Phiên Dịch Tiếng Hàn, Phiên Dịch, Korean Language, Biên Phiên Dịch</t>
        </is>
      </c>
      <c r="M6273" t="inlineStr">
        <is>
          <t>Bonus, Awards, Travel Opportunities</t>
        </is>
      </c>
      <c r="N6273" s="8">
        <f>HYPERLINK("https://www.vietnamworks.com/phien-dich-tieng-han--2003277-jv","Xem chi tiết")</f>
        <v/>
      </c>
    </row>
    <row r="6274">
      <c r="B6274" s="9" t="n">
        <v>6272</v>
      </c>
      <c r="C6274" s="10" t="inlineStr">
        <is>
          <t>Kỹ Sư Thiết Kế PCCC (Lương Từ 20 - 35 Triệu/ Tháng)</t>
        </is>
      </c>
      <c r="D6274" s="10" t="inlineStr">
        <is>
          <t>Công Ty TNHH Đầu Tư Xây Dựng VK</t>
        </is>
      </c>
      <c r="E6274" s="10" t="inlineStr">
        <is>
          <t>20tr-35tr ₫/tháng</t>
        </is>
      </c>
      <c r="F6274" s="10" t="inlineStr">
        <is>
          <t>Hà Nội</t>
        </is>
      </c>
      <c r="G6274" s="10" t="inlineStr">
        <is>
          <t>Nhân viên</t>
        </is>
      </c>
      <c r="H6274" s="10" t="inlineStr">
        <is>
          <t>16/01/2026</t>
        </is>
      </c>
      <c r="I6274" s="10" t="inlineStr">
        <is>
          <t>02/04/2026</t>
        </is>
      </c>
      <c r="J6274" s="10" t="inlineStr">
        <is>
          <t>17/03/2026</t>
        </is>
      </c>
      <c r="K6274" s="10" t="inlineStr">
        <is>
          <t>N/A</t>
        </is>
      </c>
      <c r="L6274" s="10" t="inlineStr">
        <is>
          <t>Cơ Điện, Phòng Cháy Chữa Cháy, AutoCAD, Thiết Kế, Kiến Trúc</t>
        </is>
      </c>
      <c r="M6274" s="10" t="inlineStr">
        <is>
          <t>Bonus, Healthcare Plan</t>
        </is>
      </c>
      <c r="N6274" s="11">
        <f>HYPERLINK("https://www.vietnamworks.com/ky-su-thiet-ke-pccc-luong-tu-20-35-trieu-thang-2003321-jv","Xem chi tiết")</f>
        <v/>
      </c>
      <c r="O6274" s="10" t="n"/>
    </row>
    <row r="6275">
      <c r="B6275" s="7" t="n">
        <v>6273</v>
      </c>
      <c r="C6275" t="inlineStr">
        <is>
          <t>Warehouse Staff</t>
        </is>
      </c>
      <c r="D6275" t="inlineStr">
        <is>
          <t>Công Ty TNHH K&amp;p Electronics Việt Nam</t>
        </is>
      </c>
      <c r="E6275" t="inlineStr">
        <is>
          <t>Thương lượng</t>
        </is>
      </c>
      <c r="F6275" t="inlineStr">
        <is>
          <t>Hải Dương, Hải Phòng, Quảng Ninh</t>
        </is>
      </c>
      <c r="G6275" t="inlineStr">
        <is>
          <t>Nhân viên</t>
        </is>
      </c>
      <c r="H6275" t="inlineStr">
        <is>
          <t>16/01/2026</t>
        </is>
      </c>
      <c r="I6275" t="inlineStr">
        <is>
          <t>02/04/2026</t>
        </is>
      </c>
      <c r="J6275" t="inlineStr">
        <is>
          <t>17/03/2026</t>
        </is>
      </c>
      <c r="K6275" t="inlineStr">
        <is>
          <t>N/A</t>
        </is>
      </c>
      <c r="L6275" t="inlineStr">
        <is>
          <t>Electronic, Warehouse Operations, Electronic Manufacturing, Inventory Management, Office Software</t>
        </is>
      </c>
      <c r="M6275" t="inlineStr">
        <is>
          <t>Bonus, Healthcare Plan, Paid Leave, Awards, Travel Opportunities, Others</t>
        </is>
      </c>
      <c r="N6275" s="8">
        <f>HYPERLINK("https://www.vietnamworks.com/warehouse-staff-2003283-jv","Xem chi tiết")</f>
        <v/>
      </c>
    </row>
    <row r="6276">
      <c r="B6276" s="9" t="n">
        <v>6274</v>
      </c>
      <c r="C6276" s="10" t="inlineStr">
        <is>
          <t>Banking Staff - Branch/ TB in Hochiminh City</t>
        </is>
      </c>
      <c r="D6276" s="10" t="inlineStr">
        <is>
          <t>Public Bank Vietnam Ltd</t>
        </is>
      </c>
      <c r="E6276" s="10" t="inlineStr">
        <is>
          <t>$$ 500-765 /tháng</t>
        </is>
      </c>
      <c r="F6276" s="10" t="inlineStr">
        <is>
          <t>Hồ Chí Minh</t>
        </is>
      </c>
      <c r="G6276" s="10" t="inlineStr">
        <is>
          <t>Nhân viên</t>
        </is>
      </c>
      <c r="H6276" s="10" t="inlineStr">
        <is>
          <t>16/01/2026</t>
        </is>
      </c>
      <c r="I6276" s="10" t="inlineStr">
        <is>
          <t>02/04/2026</t>
        </is>
      </c>
      <c r="J6276" s="10" t="inlineStr">
        <is>
          <t>17/03/2026</t>
        </is>
      </c>
      <c r="K6276" s="10" t="inlineStr">
        <is>
          <t>N/A</t>
        </is>
      </c>
      <c r="L6276" s="10" t="inlineStr">
        <is>
          <t>Teller Operations, Credit Operation, Credit Admin</t>
        </is>
      </c>
      <c r="M6276" s="10" t="inlineStr">
        <is>
          <t>Bonus, Training</t>
        </is>
      </c>
      <c r="N6276" s="11">
        <f>HYPERLINK("https://www.vietnamworks.com/banking-staff-branch-tb-in-hochiminh-city--2003249-jv","Xem chi tiết")</f>
        <v/>
      </c>
      <c r="O6276" s="10" t="n"/>
    </row>
    <row r="6277">
      <c r="B6277" s="7" t="n">
        <v>6275</v>
      </c>
      <c r="C6277" t="inlineStr">
        <is>
          <t>Chuyên Viên Triển Khai Phần Mềm Kế Toán</t>
        </is>
      </c>
      <c r="D6277" t="inlineStr">
        <is>
          <t>1C Vietnam LLC</t>
        </is>
      </c>
      <c r="E6277" t="inlineStr">
        <is>
          <t>Thương lượng</t>
        </is>
      </c>
      <c r="F6277" t="inlineStr">
        <is>
          <t>Hà Nội</t>
        </is>
      </c>
      <c r="G6277" t="inlineStr">
        <is>
          <t>Nhân viên</t>
        </is>
      </c>
      <c r="H6277" t="inlineStr">
        <is>
          <t>16/01/2026</t>
        </is>
      </c>
      <c r="I6277" t="inlineStr">
        <is>
          <t>02/04/2026</t>
        </is>
      </c>
      <c r="J6277" t="inlineStr">
        <is>
          <t>17/03/2026</t>
        </is>
      </c>
      <c r="K6277" t="inlineStr">
        <is>
          <t>N/A</t>
        </is>
      </c>
      <c r="L6277" t="inlineStr">
        <is>
          <t>Kế Toán Tổng Hợp, Accounting, Phân tích dữ liệu, Triển Khai Phần Mềm, Kiểm Thử Phần Mềm</t>
        </is>
      </c>
      <c r="M6277" t="inlineStr">
        <is>
          <t>Healthcare Plan, Paid Leave, Training, Others</t>
        </is>
      </c>
      <c r="N6277" s="8">
        <f>HYPERLINK("https://www.vietnamworks.com/chuyen-vien-trien-khai-phan-mem-ke-toan-2003243-jv","Xem chi tiết")</f>
        <v/>
      </c>
    </row>
    <row r="6278">
      <c r="B6278" s="9" t="n">
        <v>6276</v>
      </c>
      <c r="C6278" s="10" t="inlineStr">
        <is>
          <t>Chuyên Viên Thiết Kế Đồ Họa</t>
        </is>
      </c>
      <c r="D6278" s="10" t="inlineStr">
        <is>
          <t>Công Ty Cổ Phần Tập Đoàn BRG</t>
        </is>
      </c>
      <c r="E6278" s="10" t="inlineStr">
        <is>
          <t>Thương lượng</t>
        </is>
      </c>
      <c r="F6278" s="10" t="inlineStr">
        <is>
          <t>Hà Nội</t>
        </is>
      </c>
      <c r="G6278" s="10" t="inlineStr">
        <is>
          <t>Nhân viên</t>
        </is>
      </c>
      <c r="H6278" s="10" t="inlineStr">
        <is>
          <t>16/01/2026</t>
        </is>
      </c>
      <c r="I6278" s="10" t="inlineStr">
        <is>
          <t>02/04/2026</t>
        </is>
      </c>
      <c r="J6278" s="10" t="inlineStr">
        <is>
          <t>17/03/2026</t>
        </is>
      </c>
      <c r="K6278" s="10" t="inlineStr">
        <is>
          <t>N/A</t>
        </is>
      </c>
      <c r="L6278" s="10" t="inlineStr">
        <is>
          <t>Adobe Photoshop, Adobe Premiere, After Effects, Communication, Illustrator</t>
        </is>
      </c>
      <c r="M6278" s="10" t="inlineStr">
        <is>
          <t>Bonus</t>
        </is>
      </c>
      <c r="N6278" s="11">
        <f>HYPERLINK("https://www.vietnamworks.com/chuyen-vien-thiet-ke-djo-hoa-2003274-jv","Xem chi tiết")</f>
        <v/>
      </c>
      <c r="O6278" s="10" t="n"/>
    </row>
    <row r="6279">
      <c r="B6279" s="7" t="n">
        <v>6277</v>
      </c>
      <c r="C6279" t="inlineStr">
        <is>
          <t>R&amp;D Engineer (Technical Regulation)</t>
        </is>
      </c>
      <c r="D6279" t="inlineStr">
        <is>
          <t>Panasonic Appliances Vietnam</t>
        </is>
      </c>
      <c r="E6279" t="inlineStr">
        <is>
          <t>Thương lượng</t>
        </is>
      </c>
      <c r="F6279" t="inlineStr">
        <is>
          <t>Hưng Yên</t>
        </is>
      </c>
      <c r="G6279" t="inlineStr">
        <is>
          <t>Nhân viên</t>
        </is>
      </c>
      <c r="H6279" t="inlineStr">
        <is>
          <t>16/01/2026</t>
        </is>
      </c>
      <c r="I6279" t="inlineStr">
        <is>
          <t>02/04/2026</t>
        </is>
      </c>
      <c r="J6279" t="inlineStr">
        <is>
          <t>17/03/2026</t>
        </is>
      </c>
      <c r="K6279" t="inlineStr">
        <is>
          <t>N/A</t>
        </is>
      </c>
      <c r="L6279" t="inlineStr">
        <is>
          <t>Electrical, Technical Standard, Product Compliance, Điện Tử</t>
        </is>
      </c>
      <c r="M6279" t="inlineStr">
        <is>
          <t>Bonus, Healthcare Plan, Transportation</t>
        </is>
      </c>
      <c r="N6279" s="8">
        <f>HYPERLINK("https://www.vietnamworks.com/r-d-engineer-technical-regulation--2003382-jv","Xem chi tiết")</f>
        <v/>
      </c>
    </row>
    <row r="6280">
      <c r="B6280" s="9" t="n">
        <v>6278</v>
      </c>
      <c r="C6280" s="10" t="inlineStr">
        <is>
          <t>Kỹ Sư Thiết Kế Kết Cấu (Lương 15 - 25 Triệu/ Tháng)</t>
        </is>
      </c>
      <c r="D6280" s="10" t="inlineStr">
        <is>
          <t>Công Ty TNHH Đầu Tư Xây Dựng VK</t>
        </is>
      </c>
      <c r="E6280" s="10" t="inlineStr">
        <is>
          <t>15tr-25tr ₫/tháng</t>
        </is>
      </c>
      <c r="F6280" s="10" t="inlineStr">
        <is>
          <t>Hà Nội</t>
        </is>
      </c>
      <c r="G6280" s="10" t="inlineStr">
        <is>
          <t>Nhân viên</t>
        </is>
      </c>
      <c r="H6280" s="10" t="inlineStr">
        <is>
          <t>16/01/2026</t>
        </is>
      </c>
      <c r="I6280" s="10" t="inlineStr">
        <is>
          <t>02/04/2026</t>
        </is>
      </c>
      <c r="J6280" s="10" t="inlineStr">
        <is>
          <t>17/03/2026</t>
        </is>
      </c>
      <c r="K6280" s="10" t="inlineStr">
        <is>
          <t>N/A</t>
        </is>
      </c>
      <c r="L6280" s="10" t="inlineStr">
        <is>
          <t>Kết Cấu Công Trình, Nghiệm Thu Công Trình, Etabs, SAP, Thiết Kế Kết Cấu</t>
        </is>
      </c>
      <c r="M6280" s="10" t="inlineStr">
        <is>
          <t>Bonus, Healthcare Plan, Training</t>
        </is>
      </c>
      <c r="N6280" s="11">
        <f>HYPERLINK("https://www.vietnamworks.com/ky-su-thiet-ke-ket-cau-luong-15-25-trieu-thang-2003305-jv","Xem chi tiết")</f>
        <v/>
      </c>
      <c r="O6280" s="10" t="n"/>
    </row>
    <row r="6281">
      <c r="B6281" s="7" t="n">
        <v>6279</v>
      </c>
      <c r="C6281" t="inlineStr">
        <is>
          <t>Merchandiser</t>
        </is>
      </c>
      <c r="D6281" t="inlineStr">
        <is>
          <t>Oktava Viet Nam</t>
        </is>
      </c>
      <c r="E6281" t="inlineStr">
        <is>
          <t>Thương lượng</t>
        </is>
      </c>
      <c r="F6281" t="inlineStr">
        <is>
          <t>Hồ Chí Minh</t>
        </is>
      </c>
      <c r="G6281" t="inlineStr">
        <is>
          <t>Nhân viên</t>
        </is>
      </c>
      <c r="H6281" t="inlineStr">
        <is>
          <t>15/01/2026</t>
        </is>
      </c>
      <c r="I6281" t="inlineStr">
        <is>
          <t>02/04/2026</t>
        </is>
      </c>
      <c r="J6281" t="inlineStr">
        <is>
          <t>17/03/2026</t>
        </is>
      </c>
      <c r="K6281" t="inlineStr">
        <is>
          <t>N/A</t>
        </is>
      </c>
      <c r="L6281" t="inlineStr">
        <is>
          <t>English, Digital Planning, Plan Management, Textile Industry Knowledge</t>
        </is>
      </c>
      <c r="M6281" t="inlineStr">
        <is>
          <t>Bonus, Healthcare Plan, Team Activities, Others</t>
        </is>
      </c>
      <c r="N6281" s="8">
        <f>HYPERLINK("https://www.vietnamworks.com/merchandiser-2003185-jv","Xem chi tiết")</f>
        <v/>
      </c>
    </row>
    <row r="6282">
      <c r="B6282" s="9" t="n">
        <v>6280</v>
      </c>
      <c r="C6282" s="10" t="inlineStr">
        <is>
          <t>Tuyển Nữ - Nhân Viên Kế Toán Lương Upto 13 Triệu/tháng</t>
        </is>
      </c>
      <c r="D6282" s="10" t="inlineStr">
        <is>
          <t>Công Ty TNHH Sinfonia Microtec (Việt Nam)</t>
        </is>
      </c>
      <c r="E6282" s="10" t="inlineStr">
        <is>
          <t>Tới 13tr ₫/tháng</t>
        </is>
      </c>
      <c r="F6282" s="10" t="inlineStr">
        <is>
          <t>Hà Nam, Ninh Bình</t>
        </is>
      </c>
      <c r="G6282" s="10" t="inlineStr">
        <is>
          <t>Nhân viên</t>
        </is>
      </c>
      <c r="H6282" s="10" t="inlineStr">
        <is>
          <t>16/01/2026</t>
        </is>
      </c>
      <c r="I6282" s="10" t="inlineStr">
        <is>
          <t>18/03/2026</t>
        </is>
      </c>
      <c r="J6282" s="10" t="inlineStr">
        <is>
          <t>17/03/2026</t>
        </is>
      </c>
      <c r="K6282" s="10" t="inlineStr">
        <is>
          <t>N/A</t>
        </is>
      </c>
      <c r="L6282" s="10" t="inlineStr">
        <is>
          <t>Kế Toán Tổng Hợp, Kế Toán Giá Thành, Tài Chính, Kế Toán, Nhân viên Văn Phòng</t>
        </is>
      </c>
      <c r="M6282" s="10" t="inlineStr">
        <is>
          <t>Bonus, Healthcare Plan, Library, Laptop, Team Activities, Others</t>
        </is>
      </c>
      <c r="N6282" s="11">
        <f>HYPERLINK("https://www.vietnamworks.com/tuyen-nu-nhan-vien-ke-toan-luong-upto-13-trieu-thang-2003393-jv","Xem chi tiết")</f>
        <v/>
      </c>
      <c r="O6282" s="10" t="n"/>
    </row>
    <row r="6283">
      <c r="B6283" s="7" t="n">
        <v>6281</v>
      </c>
      <c r="C6283" t="inlineStr">
        <is>
          <t>Data Analyst</t>
        </is>
      </c>
      <c r="D6283" t="inlineStr">
        <is>
          <t>TurnKey FBA</t>
        </is>
      </c>
      <c r="E6283" t="inlineStr">
        <is>
          <t>8tr-13tr ₫/tháng</t>
        </is>
      </c>
      <c r="F6283" t="inlineStr">
        <is>
          <t>Hà Nội</t>
        </is>
      </c>
      <c r="G6283" t="inlineStr">
        <is>
          <t>Mới Tốt Nghiệp</t>
        </is>
      </c>
      <c r="H6283" t="inlineStr">
        <is>
          <t>16/01/2026</t>
        </is>
      </c>
      <c r="I6283" t="inlineStr">
        <is>
          <t>02/04/2026</t>
        </is>
      </c>
      <c r="J6283" t="inlineStr">
        <is>
          <t>17/03/2026</t>
        </is>
      </c>
      <c r="K6283" t="inlineStr">
        <is>
          <t>N/A</t>
        </is>
      </c>
      <c r="L6283" t="inlineStr">
        <is>
          <t>Data Analysis, Google Sheets, Google Drive, Nghiên Cứu và Phân Tích Dữ Liệu</t>
        </is>
      </c>
      <c r="M6283" t="inlineStr">
        <is>
          <t>Healthcare Plan, Paid Leave, Laptop, Team Activities, Transportation, Canteen, Vouchers</t>
        </is>
      </c>
      <c r="N6283" s="8">
        <f>HYPERLINK("https://www.vietnamworks.com/data-analyst--2003322-jv","Xem chi tiết")</f>
        <v/>
      </c>
    </row>
    <row r="6284">
      <c r="B6284" s="9" t="n">
        <v>6282</v>
      </c>
      <c r="C6284" s="10" t="inlineStr">
        <is>
          <t>Giám Đốc Nhân Sự (Human Resources Director)</t>
        </is>
      </c>
      <c r="D6284" s="10" t="inlineStr">
        <is>
          <t>Công ty Cổ phần Dược phẩm trung ương CPC1</t>
        </is>
      </c>
      <c r="E6284" s="10" t="inlineStr">
        <is>
          <t>Thương lượng</t>
        </is>
      </c>
      <c r="F6284" s="10" t="inlineStr">
        <is>
          <t>Hà Nội</t>
        </is>
      </c>
      <c r="G6284" s="10" t="inlineStr">
        <is>
          <t>Giám Đốc và Cấp Cao Hơn</t>
        </is>
      </c>
      <c r="H6284" s="10" t="inlineStr">
        <is>
          <t>16/01/2026</t>
        </is>
      </c>
      <c r="I6284" s="10" t="inlineStr">
        <is>
          <t>02/04/2026</t>
        </is>
      </c>
      <c r="J6284" s="10" t="inlineStr">
        <is>
          <t>17/03/2026</t>
        </is>
      </c>
      <c r="K6284" s="10" t="inlineStr">
        <is>
          <t>N/A</t>
        </is>
      </c>
      <c r="L6284" s="10" t="inlineStr">
        <is>
          <t>Quản Trị Nhân Sự, Hợp Đồng Lao Động, Quản Lý Hiệu Suất, Tiếng Anh Căn Bản, HR</t>
        </is>
      </c>
      <c r="M6284" s="10" t="inlineStr">
        <is>
          <t>Bonus, Healthcare Plan, Training, Canteen</t>
        </is>
      </c>
      <c r="N6284" s="11">
        <f>HYPERLINK("https://www.vietnamworks.com/giam-doc-nhan-su-human-resources-director--2003328-jv","Xem chi tiết")</f>
        <v/>
      </c>
      <c r="O6284" s="10" t="n"/>
    </row>
    <row r="6285">
      <c r="B6285" s="7" t="n">
        <v>6283</v>
      </c>
      <c r="C6285" t="inlineStr">
        <is>
          <t>Procurement Executive/chuyên Viên Mua Sắm - Mảng MEPF</t>
        </is>
      </c>
      <c r="D6285" t="inlineStr">
        <is>
          <t>Tổng Công Ty Phát Triển Đô Thị Kinh Bắc (KBC)</t>
        </is>
      </c>
      <c r="E6285" t="inlineStr">
        <is>
          <t>Thương lượng</t>
        </is>
      </c>
      <c r="F6285" t="inlineStr">
        <is>
          <t>Hà Nội</t>
        </is>
      </c>
      <c r="G6285" t="inlineStr">
        <is>
          <t>Nhân viên</t>
        </is>
      </c>
      <c r="H6285" t="inlineStr">
        <is>
          <t>16/01/2026</t>
        </is>
      </c>
      <c r="I6285" t="inlineStr">
        <is>
          <t>02/04/2026</t>
        </is>
      </c>
      <c r="J6285" t="inlineStr">
        <is>
          <t>17/03/2026</t>
        </is>
      </c>
      <c r="K6285" t="inlineStr">
        <is>
          <t>N/A</t>
        </is>
      </c>
      <c r="L6285" t="inlineStr">
        <is>
          <t>Cost Control, Contract Management, Procurement, Quantity Surveyor Management, Analytical Skills</t>
        </is>
      </c>
      <c r="M6285" t="inlineStr">
        <is>
          <t>Bonus, Healthcare Plan, Travel Opportunities</t>
        </is>
      </c>
      <c r="N6285" s="8">
        <f>HYPERLINK("https://www.vietnamworks.com/procurement-executivechuyen-vien-mua-sam-mang-mepf-2003416-jv","Xem chi tiết")</f>
        <v/>
      </c>
    </row>
    <row r="6286">
      <c r="B6286" s="9" t="n">
        <v>6284</v>
      </c>
      <c r="C6286" s="10" t="inlineStr">
        <is>
          <t>Pre-Due Team Leader (Trưởng Nhóm Nhắc Phí)</t>
        </is>
      </c>
      <c r="D6286" s="10" t="inlineStr">
        <is>
          <t>Shinhan Vietnam Finance Company Limited</t>
        </is>
      </c>
      <c r="E6286" s="10" t="inlineStr">
        <is>
          <t>$$ 600-1,000 /tháng</t>
        </is>
      </c>
      <c r="F6286" s="10" t="inlineStr">
        <is>
          <t>Hồ Chí Minh</t>
        </is>
      </c>
      <c r="G6286" s="10" t="inlineStr">
        <is>
          <t>Nhân viên</t>
        </is>
      </c>
      <c r="H6286" s="10" t="inlineStr">
        <is>
          <t>16/01/2026</t>
        </is>
      </c>
      <c r="I6286" s="10" t="inlineStr">
        <is>
          <t>02/04/2026</t>
        </is>
      </c>
      <c r="J6286" s="10" t="inlineStr">
        <is>
          <t>17/03/2026</t>
        </is>
      </c>
      <c r="K6286" s="10" t="inlineStr">
        <is>
          <t>N/A</t>
        </is>
      </c>
      <c r="L6286" s="10" t="inlineStr">
        <is>
          <t>Team Management, Reporting, Debt Collection, Customer Service Knowledge, Call Center Management</t>
        </is>
      </c>
      <c r="M6286" s="10" t="inlineStr">
        <is>
          <t>Bonus, Healthcare Plan, Paid Leave</t>
        </is>
      </c>
      <c r="N6286" s="11">
        <f>HYPERLINK("https://www.vietnamworks.com/pre-due-team-leader-truong-nhom-nhac-phi--2003342-jv","Xem chi tiết")</f>
        <v/>
      </c>
      <c r="O6286" s="10" t="n"/>
    </row>
    <row r="6287">
      <c r="B6287" s="7" t="n">
        <v>6285</v>
      </c>
      <c r="C6287" t="inlineStr">
        <is>
          <t>Equipment Operation Engineer (NVH Engineer)</t>
        </is>
      </c>
      <c r="D6287" t="inlineStr">
        <is>
          <t>VietSol Co .Ltd</t>
        </is>
      </c>
      <c r="E6287" t="inlineStr">
        <is>
          <t>Thương lượng</t>
        </is>
      </c>
      <c r="F6287" t="inlineStr">
        <is>
          <t>Hải Phòng</t>
        </is>
      </c>
      <c r="G6287" t="inlineStr">
        <is>
          <t>Nhân viên</t>
        </is>
      </c>
      <c r="H6287" t="inlineStr">
        <is>
          <t>16/01/2026</t>
        </is>
      </c>
      <c r="I6287" t="inlineStr">
        <is>
          <t>02/04/2026</t>
        </is>
      </c>
      <c r="J6287" t="inlineStr">
        <is>
          <t>17/03/2026</t>
        </is>
      </c>
      <c r="K6287" t="inlineStr">
        <is>
          <t>N/A</t>
        </is>
      </c>
      <c r="L6287" t="inlineStr">
        <is>
          <t>SCADA System, Simcenter Systems, Data Analysis, Labview Programming, MATLAB</t>
        </is>
      </c>
      <c r="M6287" t="inlineStr">
        <is>
          <t>Bonus, Healthcare Plan, Paid Leave, Training, Team Activities, Transportation, Canteen, Others</t>
        </is>
      </c>
      <c r="N6287" s="8">
        <f>HYPERLINK("https://www.vietnamworks.com/equipment-operation-engineer-nvh-engineer-2003350-jv","Xem chi tiết")</f>
        <v/>
      </c>
    </row>
    <row r="6288">
      <c r="B6288" s="9" t="n">
        <v>6286</v>
      </c>
      <c r="C6288" s="10" t="inlineStr">
        <is>
          <t>Phó Phòng Kỹ Thuật Bảo Trì (Có Xe Đưa Đón Từ Hà Nội)</t>
        </is>
      </c>
      <c r="D6288" s="10" t="inlineStr">
        <is>
          <t>Công Ty TNHH Tessellation Hòa Bình</t>
        </is>
      </c>
      <c r="E6288" s="10" t="inlineStr">
        <is>
          <t>Thương lượng</t>
        </is>
      </c>
      <c r="F6288" s="10" t="inlineStr">
        <is>
          <t>Phú Thọ, Hà Nội, Hòa Bình</t>
        </is>
      </c>
      <c r="G6288" s="10" t="inlineStr">
        <is>
          <t>Nhân viên</t>
        </is>
      </c>
      <c r="H6288" s="10" t="inlineStr">
        <is>
          <t>16/01/2026</t>
        </is>
      </c>
      <c r="I6288" s="10" t="inlineStr">
        <is>
          <t>02/04/2026</t>
        </is>
      </c>
      <c r="J6288" s="10" t="inlineStr">
        <is>
          <t>17/03/2026</t>
        </is>
      </c>
      <c r="K6288" s="10" t="inlineStr">
        <is>
          <t>N/A</t>
        </is>
      </c>
      <c r="L6288" s="10" t="inlineStr">
        <is>
          <t>Bảo Dưỡng, Bảo Trì, ISO, May Mặc, Quản Lý Thiết Bị</t>
        </is>
      </c>
      <c r="M6288" s="10" t="inlineStr">
        <is>
          <t>Bonus, Healthcare Plan, Paid Leave, Training, Laptop, Transportation, Canteen, Kindergarten</t>
        </is>
      </c>
      <c r="N6288" s="11">
        <f>HYPERLINK("https://www.vietnamworks.com/pho-phong-ky-thuat-bao-tri-co-xe-dua-don-tu-ha-noi-2003308-jv","Xem chi tiết")</f>
        <v/>
      </c>
      <c r="O6288" s="10" t="n"/>
    </row>
    <row r="6289">
      <c r="B6289" s="7" t="n">
        <v>6287</v>
      </c>
      <c r="C6289" t="inlineStr">
        <is>
          <t>Nhân Viên Sửa Chữa Điện Tử, Điện Lạnh - Lương Upto 600 USD</t>
        </is>
      </c>
      <c r="D6289" t="inlineStr">
        <is>
          <t>Techno Vietnam Industries Co., Ltd.</t>
        </is>
      </c>
      <c r="E6289" t="inlineStr">
        <is>
          <t>$$ 350-600 /tháng</t>
        </is>
      </c>
      <c r="F6289" t="inlineStr">
        <is>
          <t>Hà Nội</t>
        </is>
      </c>
      <c r="G6289" t="inlineStr">
        <is>
          <t>Nhân viên</t>
        </is>
      </c>
      <c r="H6289" t="inlineStr">
        <is>
          <t>16/01/2026</t>
        </is>
      </c>
      <c r="I6289" t="inlineStr">
        <is>
          <t>02/04/2026</t>
        </is>
      </c>
      <c r="J6289" t="inlineStr">
        <is>
          <t>17/03/2026</t>
        </is>
      </c>
      <c r="K6289" t="inlineStr">
        <is>
          <t>N/A</t>
        </is>
      </c>
      <c r="L6289" t="inlineStr">
        <is>
          <t>Sửa Chữa Điện Tử, Sửa Chữa Điện Lạnh, Sửa Chữa Bảo Trì Thiết Bị, Tư Vấn Kỹ Thuật, Điện Lạnh</t>
        </is>
      </c>
      <c r="M6289" t="inlineStr">
        <is>
          <t>Bonus, Healthcare Plan, Travel Opportunities</t>
        </is>
      </c>
      <c r="N6289" s="8">
        <f>HYPERLINK("https://www.vietnamworks.com/nhan-vien-sua-chua-dien-tu-dien-lanh-luong-upto-600-usd-2003368-jv","Xem chi tiết")</f>
        <v/>
      </c>
    </row>
    <row r="6290">
      <c r="B6290" s="9" t="n">
        <v>6288</v>
      </c>
      <c r="C6290" s="10" t="inlineStr">
        <is>
          <t>Kỹ Sư QS Lĩnh Vực Nhà Xưởng Công Nghiệp (Lương 22 -28 Triệu/ Tháng)</t>
        </is>
      </c>
      <c r="D6290" s="10" t="inlineStr">
        <is>
          <t>Công Ty TNHH Đầu Tư Xây Dựng VK</t>
        </is>
      </c>
      <c r="E6290" s="10" t="inlineStr">
        <is>
          <t>22tr-28tr ₫/tháng</t>
        </is>
      </c>
      <c r="F6290" s="10" t="inlineStr">
        <is>
          <t>Hà Nội</t>
        </is>
      </c>
      <c r="G6290" s="10" t="inlineStr">
        <is>
          <t>Nhân viên</t>
        </is>
      </c>
      <c r="H6290" s="10" t="inlineStr">
        <is>
          <t>16/01/2026</t>
        </is>
      </c>
      <c r="I6290" s="10" t="inlineStr">
        <is>
          <t>02/04/2026</t>
        </is>
      </c>
      <c r="J6290" s="10" t="inlineStr">
        <is>
          <t>17/03/2026</t>
        </is>
      </c>
      <c r="K6290" s="10" t="inlineStr">
        <is>
          <t>N/A</t>
        </is>
      </c>
      <c r="L6290" s="10" t="inlineStr">
        <is>
          <t>Bóc Tách Khối Lượng, Lập Dự Toán, Quản Lý Chi Phí, Hồ Sơ Mời Thầu, Thanh Quyết Toán</t>
        </is>
      </c>
      <c r="M6290" s="10" t="inlineStr">
        <is>
          <t>Bonus, Healthcare Plan, Team Activities, Others</t>
        </is>
      </c>
      <c r="N6290" s="11">
        <f>HYPERLINK("https://www.vietnamworks.com/ky-su-qs-linh-vuc-nha-xuong-cong-nghiep-luong-22-28-trieu-thang-2003326-jv","Xem chi tiết")</f>
        <v/>
      </c>
      <c r="O6290" s="10" t="n"/>
    </row>
    <row r="6291">
      <c r="B6291" s="7" t="n">
        <v>6289</v>
      </c>
      <c r="C6291" t="inlineStr">
        <is>
          <t>Nhân Viên Kỹ Thuật (Service Engineer) - Lương 400-800 USD</t>
        </is>
      </c>
      <c r="D6291" t="inlineStr">
        <is>
          <t>Techno Vietnam Industries Co., Ltd.</t>
        </is>
      </c>
      <c r="E6291" t="inlineStr">
        <is>
          <t>$$ 400-800 /tháng</t>
        </is>
      </c>
      <c r="F6291" t="inlineStr">
        <is>
          <t>Hà Nội</t>
        </is>
      </c>
      <c r="G6291" t="inlineStr">
        <is>
          <t>Nhân viên</t>
        </is>
      </c>
      <c r="H6291" t="inlineStr">
        <is>
          <t>16/01/2026</t>
        </is>
      </c>
      <c r="I6291" t="inlineStr">
        <is>
          <t>02/04/2026</t>
        </is>
      </c>
      <c r="J6291" t="inlineStr">
        <is>
          <t>17/03/2026</t>
        </is>
      </c>
      <c r="K6291" t="inlineStr">
        <is>
          <t>N/A</t>
        </is>
      </c>
      <c r="L6291" t="inlineStr">
        <is>
          <t>Cơ Điện Tử, Tư Vấn Kỹ Thuật, Điện + Điện tử, Điện Lạnh, Tiếng anh cơ bản</t>
        </is>
      </c>
      <c r="M6291" t="inlineStr">
        <is>
          <t>Bonus, Healthcare Plan, Travel Opportunities</t>
        </is>
      </c>
      <c r="N6291" s="8">
        <f>HYPERLINK("https://www.vietnamworks.com/nhan-vien-ky-thuat-service-engineer-luong-400-800-usd--2003357-jv","Xem chi tiết")</f>
        <v/>
      </c>
    </row>
    <row r="6292">
      <c r="B6292" s="9" t="n">
        <v>6290</v>
      </c>
      <c r="C6292" s="10" t="inlineStr">
        <is>
          <t>(JP 215) Kỹ Sư Thiết Kế Máy Tùy Chỉnh Theo Yêu Cầu (Lên Ý Tưởng, Kết Cấu, Chọn Linh Kiện) Đi Nhật Miễn Phí</t>
        </is>
      </c>
      <c r="D6292" s="10" t="inlineStr">
        <is>
          <t>Công Ty TNHH R Techno Việt Nam</t>
        </is>
      </c>
      <c r="E6292" s="10" t="inlineStr">
        <is>
          <t>¥ 350,000-480,000 /tháng</t>
        </is>
      </c>
      <c r="F6292" s="10" t="inlineStr">
        <is>
          <t>Quốc tế</t>
        </is>
      </c>
      <c r="G6292" s="10" t="inlineStr">
        <is>
          <t>Nhân viên</t>
        </is>
      </c>
      <c r="H6292" s="10" t="inlineStr">
        <is>
          <t>16/01/2026</t>
        </is>
      </c>
      <c r="I6292" s="10" t="inlineStr">
        <is>
          <t>02/04/2026</t>
        </is>
      </c>
      <c r="J6292" s="10" t="inlineStr">
        <is>
          <t>17/03/2026</t>
        </is>
      </c>
      <c r="K6292" s="10" t="inlineStr">
        <is>
          <t>N/A</t>
        </is>
      </c>
      <c r="L6292" s="10" t="inlineStr">
        <is>
          <t>Làm Việc Nhóm, Phân Tích Yêu Cầu, Thiết Kế Cơ Khí, Tiếng Nhật N3, Triển Khai Mô Hình 3D</t>
        </is>
      </c>
      <c r="M6292" s="10" t="inlineStr">
        <is>
          <t>Healthcare Plan, Paid Leave, Training, Others</t>
        </is>
      </c>
      <c r="N6292" s="11">
        <f>HYPERLINK("https://www.vietnamworks.com/-jp-215-ky-su-thiet-ke-may-tuy-chinh-theo-yeu-cau-len-y-tuong-ket-cau-chon-linh-kien-dji-nhat-mien-phi-2003396-jv","Xem chi tiết")</f>
        <v/>
      </c>
      <c r="O6292" s="10" t="n"/>
    </row>
    <row r="6293">
      <c r="B6293" s="7" t="n">
        <v>6291</v>
      </c>
      <c r="C6293" t="inlineStr">
        <is>
          <t>Chuyên Viên Tuyển Dụng</t>
        </is>
      </c>
      <c r="D6293" t="inlineStr">
        <is>
          <t>CÔNG TY CỔ PHẦN ĐẦU TƯ VÀ XÂY DỰNG SGC</t>
        </is>
      </c>
      <c r="E6293" t="inlineStr">
        <is>
          <t>Thương lượng</t>
        </is>
      </c>
      <c r="F6293" t="inlineStr">
        <is>
          <t>Hà Nội</t>
        </is>
      </c>
      <c r="G6293" t="inlineStr">
        <is>
          <t>Nhân viên</t>
        </is>
      </c>
      <c r="H6293" t="inlineStr">
        <is>
          <t>16/02/2026</t>
        </is>
      </c>
      <c r="I6293" t="inlineStr">
        <is>
          <t>02/04/2026</t>
        </is>
      </c>
      <c r="J6293" t="inlineStr">
        <is>
          <t>17/03/2026</t>
        </is>
      </c>
      <c r="K6293" t="inlineStr">
        <is>
          <t>N/A</t>
        </is>
      </c>
      <c r="L6293" t="inlineStr">
        <is>
          <t>Tuyển Dụng Nhân Sự, Tuyển Dụng, Talent Acquisition, Recruitment, Nhân Sự</t>
        </is>
      </c>
      <c r="M6293" t="inlineStr">
        <is>
          <t>Bonus, Training, Awards</t>
        </is>
      </c>
      <c r="N6293" s="8">
        <f>HYPERLINK("https://www.vietnamworks.com/chuyen-vien-tuyen-dung--2012145-jv","Xem chi tiết")</f>
        <v/>
      </c>
    </row>
    <row r="6294">
      <c r="B6294" s="9" t="n">
        <v>6292</v>
      </c>
      <c r="C6294" s="10" t="inlineStr">
        <is>
          <t>Tuyển Gấp - Phó Phòng Quản Lý Sản Xuất QC ( Lương Thỏa Thuận)</t>
        </is>
      </c>
      <c r="D6294" s="10" t="inlineStr">
        <is>
          <t>Trung Tâm Toán Số 1 Nhật Bản Gakken Classroom</t>
        </is>
      </c>
      <c r="E6294" s="10" t="inlineStr">
        <is>
          <t>460-650 ₫/tháng</t>
        </is>
      </c>
      <c r="F6294" s="10" t="inlineStr">
        <is>
          <t>Bắc Ninh, Hà Nội, Hưng Yên</t>
        </is>
      </c>
      <c r="G6294" s="10" t="inlineStr">
        <is>
          <t>Nhân viên</t>
        </is>
      </c>
      <c r="H6294" s="10" t="inlineStr">
        <is>
          <t>16/02/2026</t>
        </is>
      </c>
      <c r="I6294" s="10" t="inlineStr">
        <is>
          <t>02/04/2026</t>
        </is>
      </c>
      <c r="J6294" s="10" t="inlineStr">
        <is>
          <t>17/03/2026</t>
        </is>
      </c>
      <c r="K6294" s="10" t="inlineStr">
        <is>
          <t>N/A</t>
        </is>
      </c>
      <c r="L6294" s="10" t="inlineStr">
        <is>
          <t>Kiểm Soát Chất Lượng, Tiếng Nhật N3, Quản Lý Sản Xuất, Kế Hoạch Sản Xuất</t>
        </is>
      </c>
      <c r="M6294" s="10" t="inlineStr">
        <is>
          <t>Bonus, Healthcare Plan, Travel Opportunities</t>
        </is>
      </c>
      <c r="N6294" s="11">
        <f>HYPERLINK("https://www.vietnamworks.com/tuyen-gap-pho-phong-quan-ly-san-xuat-qc-luong-thoa-thuan-2012155-jv","Xem chi tiết")</f>
        <v/>
      </c>
      <c r="O6294" s="10" t="n"/>
    </row>
    <row r="6295">
      <c r="B6295" s="7" t="n">
        <v>6293</v>
      </c>
      <c r="C6295" t="inlineStr">
        <is>
          <t>Nhân Viên Kinh Doanh Quốc Tế - Làm Việc Tại Hà Nội( Lương Khởi Điểm 15Tr -18Tr +% Doanh Thu)</t>
        </is>
      </c>
      <c r="D6295" t="inlineStr">
        <is>
          <t>Công Ty Cổ Phần Us Masterbatch</t>
        </is>
      </c>
      <c r="E6295" t="inlineStr">
        <is>
          <t>Từ 15tr ₫/tháng</t>
        </is>
      </c>
      <c r="F6295" t="inlineStr">
        <is>
          <t>Hà Nội</t>
        </is>
      </c>
      <c r="G6295" t="inlineStr">
        <is>
          <t>Nhân viên</t>
        </is>
      </c>
      <c r="H6295" t="inlineStr">
        <is>
          <t>16/01/2026</t>
        </is>
      </c>
      <c r="I6295" t="inlineStr">
        <is>
          <t>02/04/2026</t>
        </is>
      </c>
      <c r="J6295" t="inlineStr">
        <is>
          <t>17/03/2026</t>
        </is>
      </c>
      <c r="K6295" t="inlineStr">
        <is>
          <t>N/A</t>
        </is>
      </c>
      <c r="L6295" t="inlineStr">
        <is>
          <t>Tiếng Trung, B2B, Tiếng Anh, Phát Triển Khách Hàng, Kinh Doanh Quốc Tế</t>
        </is>
      </c>
      <c r="M6295" t="inlineStr">
        <is>
          <t>Bonus, Healthcare Plan, Others</t>
        </is>
      </c>
      <c r="N6295" s="8">
        <f>HYPERLINK("https://www.vietnamworks.com/nhan-vien-kinh-doanh-quoc-te-lam-viec-tai-ha-noi-luong-khoi-diem-15tr-18tr-doanh-thu-2003596-jv","Xem chi tiết")</f>
        <v/>
      </c>
    </row>
    <row r="6296">
      <c r="B6296" s="9" t="n">
        <v>6294</v>
      </c>
      <c r="C6296" s="10" t="inlineStr">
        <is>
          <t>Nhân Viên Kinh Doanh - Tiếng Trung (Không Yêu Cầu Kinh Nghiệm)</t>
        </is>
      </c>
      <c r="D6296" s="10" t="inlineStr">
        <is>
          <t>CÔNG TY TNHH VIETNAM INVESTMENT CONSULTING</t>
        </is>
      </c>
      <c r="E6296" s="10" t="inlineStr">
        <is>
          <t>12tr-18tr ₫/tháng</t>
        </is>
      </c>
      <c r="F6296" s="10" t="inlineStr">
        <is>
          <t>Hà Nội</t>
        </is>
      </c>
      <c r="G6296" s="10" t="inlineStr">
        <is>
          <t>Mới Tốt Nghiệp</t>
        </is>
      </c>
      <c r="H6296" s="10" t="inlineStr">
        <is>
          <t>16/01/2026</t>
        </is>
      </c>
      <c r="I6296" s="10" t="inlineStr">
        <is>
          <t>02/04/2026</t>
        </is>
      </c>
      <c r="J6296" s="10" t="inlineStr">
        <is>
          <t>17/03/2026</t>
        </is>
      </c>
      <c r="K6296" s="10" t="inlineStr">
        <is>
          <t>N/A</t>
        </is>
      </c>
      <c r="L6296" s="10" t="inlineStr">
        <is>
          <t>Tiếng Trung, Kinh Doanh, Tìm Kiếm Khách Hàng, Chăm Sóc Khách Hàng, Phiên Dịch</t>
        </is>
      </c>
      <c r="M6296" s="10" t="inlineStr">
        <is>
          <t>Bonus, Healthcare Plan, Training, Team Activities, Others</t>
        </is>
      </c>
      <c r="N6296" s="11">
        <f>HYPERLINK("https://www.vietnamworks.com/nhan-vien-kinh-doanh-tieng-trung-khong-yeu-cau-kinh-nghiem--2003457-jv","Xem chi tiết")</f>
        <v/>
      </c>
      <c r="O6296" s="10" t="n"/>
    </row>
    <row r="6297">
      <c r="B6297" s="7" t="n">
        <v>6295</v>
      </c>
      <c r="C6297" t="inlineStr">
        <is>
          <t>Nhân Viên Tư Vấn Du Học</t>
        </is>
      </c>
      <c r="D6297" t="inlineStr">
        <is>
          <t>CÔNG TY CỔ PHẦN THE INCEPTION</t>
        </is>
      </c>
      <c r="E6297" t="inlineStr">
        <is>
          <t>12tr-20tr ₫/tháng</t>
        </is>
      </c>
      <c r="F6297" t="inlineStr">
        <is>
          <t>Hà Nội</t>
        </is>
      </c>
      <c r="G6297" t="inlineStr">
        <is>
          <t>Nhân viên</t>
        </is>
      </c>
      <c r="H6297" t="inlineStr">
        <is>
          <t>16/01/2026</t>
        </is>
      </c>
      <c r="I6297" t="inlineStr">
        <is>
          <t>02/04/2026</t>
        </is>
      </c>
      <c r="J6297" t="inlineStr">
        <is>
          <t>17/03/2026</t>
        </is>
      </c>
      <c r="K6297" t="inlineStr">
        <is>
          <t>N/A</t>
        </is>
      </c>
      <c r="L6297" t="inlineStr">
        <is>
          <t>Dịch Vụ Khách Hàng, Giáo Dục, Giao Tiếp, Quản Lý Hồ Sơ, Tư Vấn Du Học</t>
        </is>
      </c>
      <c r="M6297" t="inlineStr">
        <is>
          <t>Bonus, Healthcare Plan, Paid Leave, Team Activities, Others</t>
        </is>
      </c>
      <c r="N6297" s="8">
        <f>HYPERLINK("https://www.vietnamworks.com/nhan-vien-tu-van-du-hoc-2003576-jv","Xem chi tiết")</f>
        <v/>
      </c>
    </row>
    <row r="6298">
      <c r="B6298" s="9" t="n">
        <v>6296</v>
      </c>
      <c r="C6298" s="10" t="inlineStr">
        <is>
          <t>Trưởng Phòng Kinh Doanh</t>
        </is>
      </c>
      <c r="D6298" s="10" t="inlineStr">
        <is>
          <t>Công ty CP máy công trình Phúc Long</t>
        </is>
      </c>
      <c r="E6298" s="10" t="inlineStr">
        <is>
          <t>Thương lượng</t>
        </is>
      </c>
      <c r="F6298" s="10" t="inlineStr">
        <is>
          <t>Hồ Chí Minh, Hà Nội</t>
        </is>
      </c>
      <c r="G6298" s="10" t="inlineStr">
        <is>
          <t>Trưởng phòng</t>
        </is>
      </c>
      <c r="H6298" s="10" t="inlineStr">
        <is>
          <t>16/01/2026</t>
        </is>
      </c>
      <c r="I6298" s="10" t="inlineStr">
        <is>
          <t>02/04/2026</t>
        </is>
      </c>
      <c r="J6298" s="10" t="inlineStr">
        <is>
          <t>17/03/2026</t>
        </is>
      </c>
      <c r="K6298" s="10" t="inlineStr">
        <is>
          <t>N/A</t>
        </is>
      </c>
      <c r="L6298" s="10" t="inlineStr">
        <is>
          <t>Chiến Lược Kinh Doanh, Kinh Doanh, Phát Triển Thị Trường, Quản Lý Bán Hàng, Quản trị Kinh doanh</t>
        </is>
      </c>
      <c r="M6298" s="10" t="inlineStr">
        <is>
          <t>Paid Leave, Training, Team Activities</t>
        </is>
      </c>
      <c r="N6298" s="11">
        <f>HYPERLINK("https://www.vietnamworks.com/truong-phong-kinh-doanh-2003489-jv","Xem chi tiết")</f>
        <v/>
      </c>
      <c r="O6298" s="10" t="n"/>
    </row>
    <row r="6299">
      <c r="B6299" s="7" t="n">
        <v>6297</v>
      </c>
      <c r="C6299" t="inlineStr">
        <is>
          <t>Nhân Viên Thiết Kế (Nội Thất Văn Phòng)</t>
        </is>
      </c>
      <c r="D6299" t="inlineStr">
        <is>
          <t>ADP - Công ty CP Nội thất cơ bản</t>
        </is>
      </c>
      <c r="E6299" t="inlineStr">
        <is>
          <t>$$ 600-1,000 /tháng</t>
        </is>
      </c>
      <c r="F6299" t="inlineStr">
        <is>
          <t>Hồ Chí Minh, Hà Nội</t>
        </is>
      </c>
      <c r="G6299" t="inlineStr">
        <is>
          <t>Nhân viên</t>
        </is>
      </c>
      <c r="H6299" t="inlineStr">
        <is>
          <t>16/02/2026</t>
        </is>
      </c>
      <c r="I6299" t="inlineStr">
        <is>
          <t>02/04/2026</t>
        </is>
      </c>
      <c r="J6299" t="inlineStr">
        <is>
          <t>17/03/2026</t>
        </is>
      </c>
      <c r="K6299" t="inlineStr">
        <is>
          <t>N/A</t>
        </is>
      </c>
      <c r="L6299" t="inlineStr">
        <is>
          <t>Thiết Kế Kiến Trúc Nội Thất, Concept Design, Layout Design, Interior Design, GG Workspace</t>
        </is>
      </c>
      <c r="M6299" t="inlineStr">
        <is>
          <t>Bonus, Healthcare Plan, Awards</t>
        </is>
      </c>
      <c r="N6299" s="8">
        <f>HYPERLINK("https://www.vietnamworks.com/nhan-vien-thiet-ke-noi-that-van-phong--2012158-jv","Xem chi tiết")</f>
        <v/>
      </c>
    </row>
    <row r="6300">
      <c r="B6300" s="9" t="n">
        <v>6298</v>
      </c>
      <c r="C6300" s="10" t="inlineStr">
        <is>
          <t>Nhân Viên Kinh Doanh Nội Địa (Lương Khởi Điểm Upto 18Tr++++ % Doanh Thu)</t>
        </is>
      </c>
      <c r="D6300" s="10" t="inlineStr">
        <is>
          <t>Công Ty Cổ Phần Us Masterbatch</t>
        </is>
      </c>
      <c r="E6300" s="10" t="inlineStr">
        <is>
          <t>Từ 15tr ₫/tháng</t>
        </is>
      </c>
      <c r="F6300" s="10" t="inlineStr">
        <is>
          <t>Hà Nội, Hồ Chí Minh</t>
        </is>
      </c>
      <c r="G6300" s="10" t="inlineStr">
        <is>
          <t>Nhân viên</t>
        </is>
      </c>
      <c r="H6300" s="10" t="inlineStr">
        <is>
          <t>16/01/2026</t>
        </is>
      </c>
      <c r="I6300" s="10" t="inlineStr">
        <is>
          <t>02/04/2026</t>
        </is>
      </c>
      <c r="J6300" s="10" t="inlineStr">
        <is>
          <t>17/03/2026</t>
        </is>
      </c>
      <c r="K6300" s="10" t="inlineStr">
        <is>
          <t>N/A</t>
        </is>
      </c>
      <c r="L6300" s="10" t="inlineStr">
        <is>
          <t>Export Import, Phát Triển Thị Trường, Business Management, Bán Hạt Nhựa, Xuất Nhập Khẩu</t>
        </is>
      </c>
      <c r="M6300" s="10" t="inlineStr">
        <is>
          <t>Bonus, Healthcare Plan, Others</t>
        </is>
      </c>
      <c r="N6300" s="11">
        <f>HYPERLINK("https://www.vietnamworks.com/nhan-vien-kinh-doanh-noi-dia-luong-khoi-diem-upto-18tr-doanh-thu-2003597-jv","Xem chi tiết")</f>
        <v/>
      </c>
      <c r="O6300" s="10" t="n"/>
    </row>
    <row r="6301">
      <c r="B6301" s="7" t="n">
        <v>6299</v>
      </c>
      <c r="C6301" t="inlineStr">
        <is>
          <t>Kế Toán Doanh Thu Và Công Nợ Phải Thu</t>
        </is>
      </c>
      <c r="D6301" t="inlineStr">
        <is>
          <t>Công Ty Cổ Phần Tập Đoàn Masterise</t>
        </is>
      </c>
      <c r="E6301" t="inlineStr">
        <is>
          <t>Thương lượng</t>
        </is>
      </c>
      <c r="F6301" t="inlineStr">
        <is>
          <t>Hà Nội</t>
        </is>
      </c>
      <c r="G6301" t="inlineStr">
        <is>
          <t>Nhân viên</t>
        </is>
      </c>
      <c r="H6301" t="inlineStr">
        <is>
          <t>16/01/2026</t>
        </is>
      </c>
      <c r="I6301" t="inlineStr">
        <is>
          <t>02/04/2026</t>
        </is>
      </c>
      <c r="J6301" t="inlineStr">
        <is>
          <t>17/03/2026</t>
        </is>
      </c>
      <c r="K6301" t="inlineStr">
        <is>
          <t>N/A</t>
        </is>
      </c>
      <c r="L6301" t="inlineStr">
        <is>
          <t>N/A</t>
        </is>
      </c>
      <c r="M6301" t="inlineStr">
        <is>
          <t>Bonus, Healthcare Plan, Laptop</t>
        </is>
      </c>
      <c r="N6301" s="8">
        <f>HYPERLINK("https://www.vietnamworks.com/ke-toan-doanh-thu-va-cong-no-phai-thu-2003448-jv","Xem chi tiết")</f>
        <v/>
      </c>
    </row>
    <row r="6302">
      <c r="B6302" s="9" t="n">
        <v>6300</v>
      </c>
      <c r="C6302" s="10" t="inlineStr">
        <is>
          <t>CRM and Automation Specialist</t>
        </is>
      </c>
      <c r="D6302" s="10" t="inlineStr">
        <is>
          <t>Rodd &amp; Gunn New Zealand Limited</t>
        </is>
      </c>
      <c r="E6302" s="10" t="inlineStr">
        <is>
          <t>Thương lượng</t>
        </is>
      </c>
      <c r="F6302" s="10" t="inlineStr">
        <is>
          <t>Hồ Chí Minh</t>
        </is>
      </c>
      <c r="G6302" s="10" t="inlineStr">
        <is>
          <t>Nhân viên</t>
        </is>
      </c>
      <c r="H6302" s="10" t="inlineStr">
        <is>
          <t>16/02/2026</t>
        </is>
      </c>
      <c r="I6302" s="10" t="inlineStr">
        <is>
          <t>02/04/2026</t>
        </is>
      </c>
      <c r="J6302" s="10" t="inlineStr">
        <is>
          <t>17/03/2026</t>
        </is>
      </c>
      <c r="K6302" s="10" t="inlineStr">
        <is>
          <t>N/A</t>
        </is>
      </c>
      <c r="L6302" s="10" t="inlineStr">
        <is>
          <t>Email Marketing, Email Automations, Salesforce CRM, Digital Marketing, Data Analysis</t>
        </is>
      </c>
      <c r="M6302" s="10" t="inlineStr">
        <is>
          <t>Bonus, Training, Laptop</t>
        </is>
      </c>
      <c r="N6302" s="11">
        <f>HYPERLINK("https://www.vietnamworks.com/crm-and-automation-specialist-2012149-jv","Xem chi tiết")</f>
        <v/>
      </c>
      <c r="O6302" s="10" t="n"/>
    </row>
    <row r="6303">
      <c r="B6303" s="7" t="n">
        <v>6301</v>
      </c>
      <c r="C6303" t="inlineStr">
        <is>
          <t>ESG Manager</t>
        </is>
      </c>
      <c r="D6303" t="inlineStr">
        <is>
          <t>Phenikaa Group</t>
        </is>
      </c>
      <c r="E6303" t="inlineStr">
        <is>
          <t>$$ 2,000-3,000 /tháng</t>
        </is>
      </c>
      <c r="F6303" t="inlineStr">
        <is>
          <t>Hà Nội</t>
        </is>
      </c>
      <c r="G6303" t="inlineStr">
        <is>
          <t>Trưởng phòng</t>
        </is>
      </c>
      <c r="H6303" t="inlineStr">
        <is>
          <t>16/02/2026</t>
        </is>
      </c>
      <c r="I6303" t="inlineStr">
        <is>
          <t>02/04/2026</t>
        </is>
      </c>
      <c r="J6303" t="inlineStr">
        <is>
          <t>17/03/2026</t>
        </is>
      </c>
      <c r="K6303" t="inlineStr">
        <is>
          <t>N/A</t>
        </is>
      </c>
      <c r="L6303" t="inlineStr">
        <is>
          <t>ESG, HSE, CSR, Sustainability Management, Corporate Sustainability</t>
        </is>
      </c>
      <c r="M6303" t="inlineStr">
        <is>
          <t>Bonus, Healthcare Plan, Training</t>
        </is>
      </c>
      <c r="N6303" s="8">
        <f>HYPERLINK("https://www.vietnamworks.com/esg-manager--2012151-jv","Xem chi tiết")</f>
        <v/>
      </c>
    </row>
    <row r="6304">
      <c r="B6304" s="9" t="n">
        <v>6302</v>
      </c>
      <c r="C6304" s="10" t="inlineStr">
        <is>
          <t>Thực Tập Sinh Marketing - Marketing Intern</t>
        </is>
      </c>
      <c r="D6304" s="10" t="inlineStr">
        <is>
          <t>Công Ty TNHH Influx</t>
        </is>
      </c>
      <c r="E6304" s="10" t="inlineStr">
        <is>
          <t>$$ 100-150 /tháng</t>
        </is>
      </c>
      <c r="F6304" s="10" t="inlineStr">
        <is>
          <t>Hồ Chí Minh</t>
        </is>
      </c>
      <c r="G6304" s="10" t="inlineStr">
        <is>
          <t>Thực tập sinh/Sinh viên</t>
        </is>
      </c>
      <c r="H6304" s="10" t="inlineStr">
        <is>
          <t>27/02/2026</t>
        </is>
      </c>
      <c r="I6304" s="10" t="inlineStr">
        <is>
          <t>02/04/2026</t>
        </is>
      </c>
      <c r="J6304" s="10" t="inlineStr">
        <is>
          <t>17/03/2026</t>
        </is>
      </c>
      <c r="K6304" s="10" t="inlineStr">
        <is>
          <t>N/A</t>
        </is>
      </c>
      <c r="L6304" s="10" t="inlineStr">
        <is>
          <t>Digital Marketing, Truyền Thông, Content Marketing, Marketing, Tiếp Thị Nội Dung</t>
        </is>
      </c>
      <c r="M6304" s="10" t="inlineStr">
        <is>
          <t>Bonus, Travel Opportunities, Others</t>
        </is>
      </c>
      <c r="N6304" s="11">
        <f>HYPERLINK("https://www.vietnamworks.com/thuc-tap-sinh-marketing-marketing-intern--2015776-jv","Xem chi tiết")</f>
        <v/>
      </c>
      <c r="O6304" s="10" t="n"/>
    </row>
    <row r="6305">
      <c r="B6305" s="7" t="n">
        <v>6303</v>
      </c>
      <c r="C6305" t="inlineStr">
        <is>
          <t>Kỹ Sư Cơ Điện M&amp;E</t>
        </is>
      </c>
      <c r="D6305" t="inlineStr">
        <is>
          <t>Công ty TNHH MSG Việt Nam</t>
        </is>
      </c>
      <c r="E6305" t="inlineStr">
        <is>
          <t>15tr-30tr ₫/tháng</t>
        </is>
      </c>
      <c r="F6305" t="inlineStr">
        <is>
          <t>Hà Nội</t>
        </is>
      </c>
      <c r="G6305" t="inlineStr">
        <is>
          <t>Nhân viên</t>
        </is>
      </c>
      <c r="H6305" t="inlineStr">
        <is>
          <t>27/02/2026</t>
        </is>
      </c>
      <c r="I6305" t="inlineStr">
        <is>
          <t>02/04/2026</t>
        </is>
      </c>
      <c r="J6305" t="inlineStr">
        <is>
          <t>17/03/2026</t>
        </is>
      </c>
      <c r="K6305" t="inlineStr">
        <is>
          <t>N/A</t>
        </is>
      </c>
      <c r="L6305" t="inlineStr">
        <is>
          <t>Bóc Tách Khối Lượng, Lập Dự Toán, Thành Thạo Excel, Trung Thực, Đọc Hiểu Bản Vẽ Kỹ Thuật</t>
        </is>
      </c>
      <c r="M6305" t="inlineStr">
        <is>
          <t>Bonus, Healthcare Plan, Paid Leave, Others</t>
        </is>
      </c>
      <c r="N6305" s="8">
        <f>HYPERLINK("https://www.vietnamworks.com/ky-su-co-djien-mande-2015640-jv","Xem chi tiết")</f>
        <v/>
      </c>
    </row>
    <row r="6306">
      <c r="B6306" s="9" t="n">
        <v>6304</v>
      </c>
      <c r="C6306" s="10" t="inlineStr">
        <is>
          <t>Chuyên Viên Kiểm Toán Nội Bộ - Phòng Kiểm Toán Nội Bộ</t>
        </is>
      </c>
      <c r="D6306" s="10" t="inlineStr">
        <is>
          <t>Ngân hàng TMCP Đông Nam Á (SeABank)</t>
        </is>
      </c>
      <c r="E6306" s="10" t="inlineStr">
        <is>
          <t>Thương lượng</t>
        </is>
      </c>
      <c r="F6306" s="10" t="inlineStr">
        <is>
          <t>Hà Nội</t>
        </is>
      </c>
      <c r="G6306" s="10" t="inlineStr">
        <is>
          <t>Nhân viên</t>
        </is>
      </c>
      <c r="H6306" s="10" t="inlineStr">
        <is>
          <t>16/01/2026</t>
        </is>
      </c>
      <c r="I6306" s="10" t="inlineStr">
        <is>
          <t>02/04/2026</t>
        </is>
      </c>
      <c r="J6306" s="10" t="inlineStr">
        <is>
          <t>17/03/2026</t>
        </is>
      </c>
      <c r="K6306" s="10" t="inlineStr">
        <is>
          <t>N/A</t>
        </is>
      </c>
      <c r="L6306" s="10" t="inlineStr">
        <is>
          <t>Giám Sát Tuân Thủ, Kiểm Toán Nội Bộ, Lập Báo Cáo Kiểm Toán, Quản Trị Rủi Ro, Tiếng Anh</t>
        </is>
      </c>
      <c r="M6306" s="10" t="inlineStr">
        <is>
          <t>Bonus, Healthcare Plan, Training, Travel Opportunities, Others</t>
        </is>
      </c>
      <c r="N6306" s="11">
        <f>HYPERLINK("https://www.vietnamworks.com/chuyen-vien-kiem-toan-noi-bo-phong-kiem-toan-noi-bo--2003551-jv","Xem chi tiết")</f>
        <v/>
      </c>
      <c r="O6306" s="10" t="n"/>
    </row>
    <row r="6307">
      <c r="B6307" s="7" t="n">
        <v>6305</v>
      </c>
      <c r="C6307" t="inlineStr">
        <is>
          <t>Chuyên Viên Quản Lý Sản Phẩm Bất Động Sản</t>
        </is>
      </c>
      <c r="D6307" t="inlineStr">
        <is>
          <t>Công ty Cổ phần Bất động sản NEWX</t>
        </is>
      </c>
      <c r="E6307" t="inlineStr">
        <is>
          <t>Từ 25tr ₫/tháng</t>
        </is>
      </c>
      <c r="F6307" t="inlineStr">
        <is>
          <t>Hà Nội</t>
        </is>
      </c>
      <c r="G6307" t="inlineStr">
        <is>
          <t>Nhân viên</t>
        </is>
      </c>
      <c r="H6307" t="inlineStr">
        <is>
          <t>16/01/2026</t>
        </is>
      </c>
      <c r="I6307" t="inlineStr">
        <is>
          <t>02/04/2026</t>
        </is>
      </c>
      <c r="J6307" t="inlineStr">
        <is>
          <t>17/03/2026</t>
        </is>
      </c>
      <c r="K6307" t="inlineStr">
        <is>
          <t>N/A</t>
        </is>
      </c>
      <c r="L6307" t="inlineStr">
        <is>
          <t>Phân Tích Chiến Lược Giá, Bất Động Sản, Hỗ Trợ Kinh Doanh, Nghiên Cứu Thị Trường, Phân Tích Dữ Liệu</t>
        </is>
      </c>
      <c r="M6307" t="inlineStr">
        <is>
          <t>Bonus, Healthcare Plan, Paid Leave, Training, Vouchers, Others</t>
        </is>
      </c>
      <c r="N6307" s="8">
        <f>HYPERLINK("https://www.vietnamworks.com/chuyen-vien-quan-ly-san-pham-bat-dong-san-2003598-jv","Xem chi tiết")</f>
        <v/>
      </c>
    </row>
    <row r="6308">
      <c r="B6308" s="9" t="n">
        <v>6306</v>
      </c>
      <c r="C6308" s="10" t="inlineStr">
        <is>
          <t>Nhân Viên Kỹ Thuật</t>
        </is>
      </c>
      <c r="D6308" s="10" t="inlineStr">
        <is>
          <t>Công Ty Cổ Phần Quản Lý Và Khai Thác Tài Sản Dầu Khí (PSA)</t>
        </is>
      </c>
      <c r="E6308" s="10" t="inlineStr">
        <is>
          <t>Thương lượng</t>
        </is>
      </c>
      <c r="F6308" s="10" t="inlineStr">
        <is>
          <t>Hà Nội, Hải Phòng, Ninh Bình</t>
        </is>
      </c>
      <c r="G6308" s="10" t="inlineStr">
        <is>
          <t>Nhân viên</t>
        </is>
      </c>
      <c r="H6308" s="10" t="inlineStr">
        <is>
          <t>16/01/2026</t>
        </is>
      </c>
      <c r="I6308" s="10" t="inlineStr">
        <is>
          <t>02/04/2026</t>
        </is>
      </c>
      <c r="J6308" s="10" t="inlineStr">
        <is>
          <t>17/03/2026</t>
        </is>
      </c>
      <c r="K6308" s="10" t="inlineStr">
        <is>
          <t>N/A</t>
        </is>
      </c>
      <c r="L6308" s="10" t="inlineStr">
        <is>
          <t>Vận Hành Hệ Thống, Bảo Trì Thiết Bị Tin Học, Tư Vấn Kỹ Thuật, Điện Lạnh, Bảo Trì Định Kỳ</t>
        </is>
      </c>
      <c r="M6308" s="10" t="inlineStr">
        <is>
          <t>Bonus, Healthcare Plan, Others</t>
        </is>
      </c>
      <c r="N6308" s="11">
        <f>HYPERLINK("https://www.vietnamworks.com/nhan-vien-ky-thuat-2003568-jv","Xem chi tiết")</f>
        <v/>
      </c>
      <c r="O6308" s="10" t="n"/>
    </row>
    <row r="6309">
      <c r="B6309" s="7" t="n">
        <v>6307</v>
      </c>
      <c r="C6309" t="inlineStr">
        <is>
          <t>Sales Executive/ Nhân Viên Kinh Doanh</t>
        </is>
      </c>
      <c r="D6309" t="inlineStr">
        <is>
          <t>Công Ty United Vision</t>
        </is>
      </c>
      <c r="E6309" t="inlineStr">
        <is>
          <t>$$ 400-1,000 /tháng</t>
        </is>
      </c>
      <c r="F6309" t="inlineStr">
        <is>
          <t>Hồ Chí Minh, Hà Nội, Đà Nẵng</t>
        </is>
      </c>
      <c r="G6309" t="inlineStr">
        <is>
          <t>Nhân viên</t>
        </is>
      </c>
      <c r="H6309" t="inlineStr">
        <is>
          <t>27/02/2026</t>
        </is>
      </c>
      <c r="I6309" t="inlineStr">
        <is>
          <t>02/04/2026</t>
        </is>
      </c>
      <c r="J6309" t="inlineStr">
        <is>
          <t>17/03/2026</t>
        </is>
      </c>
      <c r="K6309" t="inlineStr">
        <is>
          <t>N/A</t>
        </is>
      </c>
      <c r="L6309" t="inlineStr">
        <is>
          <t>Chăm Sóc Khách Hàng, Tư Vấn, B2B Sales, Bán hàng, F&amp;B</t>
        </is>
      </c>
      <c r="M6309" t="inlineStr">
        <is>
          <t>Bonus, Healthcare Plan, Awards</t>
        </is>
      </c>
      <c r="N6309" s="8">
        <f>HYPERLINK("https://www.vietnamworks.com/sales-executive-nhan-vien-kinh-doanh--2015556-jv","Xem chi tiết")</f>
        <v/>
      </c>
    </row>
    <row r="6310">
      <c r="B6310" s="9" t="n">
        <v>6308</v>
      </c>
      <c r="C6310" s="10" t="inlineStr">
        <is>
          <t>Chuyên Viên Điều Phối Vận Tải</t>
        </is>
      </c>
      <c r="D6310" s="10" t="inlineStr">
        <is>
          <t>Công ty TNHH QTL Logistics</t>
        </is>
      </c>
      <c r="E6310" s="10" t="inlineStr">
        <is>
          <t>Thương lượng</t>
        </is>
      </c>
      <c r="F6310" s="10" t="inlineStr">
        <is>
          <t>Hồ Chí Minh</t>
        </is>
      </c>
      <c r="G6310" s="10" t="inlineStr">
        <is>
          <t>Nhân viên</t>
        </is>
      </c>
      <c r="H6310" s="10" t="inlineStr">
        <is>
          <t>16/01/2026</t>
        </is>
      </c>
      <c r="I6310" s="10" t="inlineStr">
        <is>
          <t>02/04/2026</t>
        </is>
      </c>
      <c r="J6310" s="10" t="inlineStr">
        <is>
          <t>17/03/2026</t>
        </is>
      </c>
      <c r="K6310" s="10" t="inlineStr">
        <is>
          <t>N/A</t>
        </is>
      </c>
      <c r="L6310" s="10" t="inlineStr">
        <is>
          <t>Transportation, Logistics, Điều Phối Vận Tải, Vận Tải, Trucking</t>
        </is>
      </c>
      <c r="M6310" s="10" t="inlineStr">
        <is>
          <t>Bonus</t>
        </is>
      </c>
      <c r="N6310" s="11">
        <f>HYPERLINK("https://www.vietnamworks.com/chuyen-vien-dieu-phoi-van-tai--2003451-jv","Xem chi tiết")</f>
        <v/>
      </c>
      <c r="O6310" s="10" t="n"/>
    </row>
    <row r="6311">
      <c r="B6311" s="7" t="n">
        <v>6309</v>
      </c>
      <c r="C6311" t="inlineStr">
        <is>
          <t>Chuyên Viên IT</t>
        </is>
      </c>
      <c r="D6311" t="inlineStr">
        <is>
          <t>Phenikaa Group</t>
        </is>
      </c>
      <c r="E6311" t="inlineStr">
        <is>
          <t>$$ 700-1,000 /tháng</t>
        </is>
      </c>
      <c r="F6311" t="inlineStr">
        <is>
          <t>Hà Nội</t>
        </is>
      </c>
      <c r="G6311" t="inlineStr">
        <is>
          <t>Nhân viên</t>
        </is>
      </c>
      <c r="H6311" t="inlineStr">
        <is>
          <t>16/02/2026</t>
        </is>
      </c>
      <c r="I6311" t="inlineStr">
        <is>
          <t>02/04/2026</t>
        </is>
      </c>
      <c r="J6311" t="inlineStr">
        <is>
          <t>17/03/2026</t>
        </is>
      </c>
      <c r="K6311" t="inlineStr">
        <is>
          <t>N/A</t>
        </is>
      </c>
      <c r="L6311" t="inlineStr">
        <is>
          <t>An Toàn Thông Tin, IT System Administration, IT Security, Quản Trị Hệ Thống, Bảo Mật Hệ Thống</t>
        </is>
      </c>
      <c r="M6311" t="inlineStr">
        <is>
          <t>Bonus, Healthcare Plan, Training</t>
        </is>
      </c>
      <c r="N6311" s="8">
        <f>HYPERLINK("https://www.vietnamworks.com/chuyen-vien-it--2012152-jv","Xem chi tiết")</f>
        <v/>
      </c>
    </row>
    <row r="6312">
      <c r="B6312" s="9" t="n">
        <v>6310</v>
      </c>
      <c r="C6312" s="10" t="inlineStr">
        <is>
          <t>Field Service Engineer</t>
        </is>
      </c>
      <c r="D6312" s="10" t="inlineStr">
        <is>
          <t>CÔNG TY TNHH RAY VINA</t>
        </is>
      </c>
      <c r="E6312" s="10" t="inlineStr">
        <is>
          <t>Thương lượng</t>
        </is>
      </c>
      <c r="F6312" s="10" t="inlineStr">
        <is>
          <t>Hồ Chí Minh</t>
        </is>
      </c>
      <c r="G6312" s="10" t="inlineStr">
        <is>
          <t>Nhân viên</t>
        </is>
      </c>
      <c r="H6312" s="10" t="inlineStr">
        <is>
          <t>02/03/2026</t>
        </is>
      </c>
      <c r="I6312" s="10" t="inlineStr">
        <is>
          <t>02/04/2026</t>
        </is>
      </c>
      <c r="J6312" s="10" t="inlineStr">
        <is>
          <t>17/03/2026</t>
        </is>
      </c>
      <c r="K6312" s="10" t="inlineStr">
        <is>
          <t>N/A</t>
        </is>
      </c>
      <c r="L6312" s="10" t="inlineStr">
        <is>
          <t>Technical Support, Biomedical Engineering, Field Services, Korean, Medical Device</t>
        </is>
      </c>
      <c r="M6312" s="10" t="inlineStr">
        <is>
          <t>Bonus</t>
        </is>
      </c>
      <c r="N6312" s="11">
        <f>HYPERLINK("https://www.vietnamworks.com/field-service-engineer-2016741-jv","Xem chi tiết")</f>
        <v/>
      </c>
      <c r="O6312" s="10" t="n"/>
    </row>
    <row r="6313">
      <c r="B6313" s="7" t="n">
        <v>6311</v>
      </c>
      <c r="C6313" t="inlineStr">
        <is>
          <t>Chuyên Gia Hỗ Trợ Cho Thuê (Leasing)</t>
        </is>
      </c>
      <c r="D6313" t="inlineStr">
        <is>
          <t>Công Ty Cổ Phần Tập Đoàn Masterise</t>
        </is>
      </c>
      <c r="E6313" t="inlineStr">
        <is>
          <t>Thương lượng</t>
        </is>
      </c>
      <c r="F6313" t="inlineStr">
        <is>
          <t>Hồ Chí Minh</t>
        </is>
      </c>
      <c r="G6313" t="inlineStr">
        <is>
          <t>Nhân viên</t>
        </is>
      </c>
      <c r="H6313" t="inlineStr">
        <is>
          <t>16/01/2026</t>
        </is>
      </c>
      <c r="I6313" t="inlineStr">
        <is>
          <t>02/04/2026</t>
        </is>
      </c>
      <c r="J6313" t="inlineStr">
        <is>
          <t>17/03/2026</t>
        </is>
      </c>
      <c r="K6313" t="inlineStr">
        <is>
          <t>N/A</t>
        </is>
      </c>
      <c r="L6313" t="inlineStr">
        <is>
          <t>Chăm Sóc Khách Hàng, Giao Tiếp, Kỹ Thuật, Quản Lý Vận Hành, Quản Trị Kinh Doanh</t>
        </is>
      </c>
      <c r="M6313" t="inlineStr">
        <is>
          <t>Bonus, Healthcare Plan, Laptop</t>
        </is>
      </c>
      <c r="N6313" s="8">
        <f>HYPERLINK("https://www.vietnamworks.com/chuyen-gia-ho-tro-cho-thue-leasing-2003439-jv","Xem chi tiết")</f>
        <v/>
      </c>
    </row>
    <row r="6314">
      <c r="B6314" s="9" t="n">
        <v>6312</v>
      </c>
      <c r="C6314" s="10" t="inlineStr">
        <is>
          <t>Air Freight Operations Assistant Manager</t>
        </is>
      </c>
      <c r="D6314" s="10" t="inlineStr">
        <is>
          <t>Công Ty TNHH US Com Logistics</t>
        </is>
      </c>
      <c r="E6314" s="10" t="inlineStr">
        <is>
          <t>23tr-32tr ₫/tháng</t>
        </is>
      </c>
      <c r="F6314" s="10" t="inlineStr">
        <is>
          <t>Hồ Chí Minh</t>
        </is>
      </c>
      <c r="G6314" s="10" t="inlineStr">
        <is>
          <t>Nhân viên</t>
        </is>
      </c>
      <c r="H6314" s="10" t="inlineStr">
        <is>
          <t>02/03/2026</t>
        </is>
      </c>
      <c r="I6314" s="10" t="inlineStr">
        <is>
          <t>02/04/2026</t>
        </is>
      </c>
      <c r="J6314" s="10" t="inlineStr">
        <is>
          <t>17/03/2026</t>
        </is>
      </c>
      <c r="K6314" s="10" t="inlineStr">
        <is>
          <t>N/A</t>
        </is>
      </c>
      <c r="L6314" s="10" t="inlineStr">
        <is>
          <t>Air Cargo, Freight Forwarding, Air Freight Operations, Logistics operations, Import Export</t>
        </is>
      </c>
      <c r="M6314" s="10" t="inlineStr">
        <is>
          <t>Bonus, Healthcare Plan, Others</t>
        </is>
      </c>
      <c r="N6314" s="11">
        <f>HYPERLINK("https://www.vietnamworks.com/air-freight-operations-assistant-manager-2016999-jv","Xem chi tiết")</f>
        <v/>
      </c>
      <c r="O6314" s="10" t="n"/>
    </row>
    <row r="6315">
      <c r="B6315" s="7" t="n">
        <v>6313</v>
      </c>
      <c r="C6315" t="inlineStr">
        <is>
          <t>Chuyên Viên Xuất Nhập Khẩu</t>
        </is>
      </c>
      <c r="D6315" t="inlineStr">
        <is>
          <t>Công Ty TNHH Science &amp; Beauty</t>
        </is>
      </c>
      <c r="E6315" t="inlineStr">
        <is>
          <t>$$ 450-600 /tháng</t>
        </is>
      </c>
      <c r="F6315" t="inlineStr">
        <is>
          <t>Hồ Chí Minh</t>
        </is>
      </c>
      <c r="G6315" t="inlineStr">
        <is>
          <t>Nhân viên</t>
        </is>
      </c>
      <c r="H6315" t="inlineStr">
        <is>
          <t>02/03/2026</t>
        </is>
      </c>
      <c r="I6315" t="inlineStr">
        <is>
          <t>02/04/2026</t>
        </is>
      </c>
      <c r="J6315" t="inlineStr">
        <is>
          <t>17/03/2026</t>
        </is>
      </c>
      <c r="K6315" t="inlineStr">
        <is>
          <t>N/A</t>
        </is>
      </c>
      <c r="L6315" t="inlineStr">
        <is>
          <t>Xuất Nhập Khẩu, Chứng Từ Xuất Nhập Khẩu, Import-Export</t>
        </is>
      </c>
      <c r="M6315" t="inlineStr">
        <is>
          <t>Bonus, Healthcare Plan, Others</t>
        </is>
      </c>
      <c r="N6315" s="8">
        <f>HYPERLINK("https://www.vietnamworks.com/chuyen-vien-xuat-nhap-khau--2016496-jv","Xem chi tiết")</f>
        <v/>
      </c>
    </row>
    <row r="6316">
      <c r="B6316" s="9" t="n">
        <v>6314</v>
      </c>
      <c r="C6316" s="10" t="inlineStr">
        <is>
          <t>Kỹ Sư R&amp;D Hóa Vật Liệu (Silica)</t>
        </is>
      </c>
      <c r="D6316" s="10" t="inlineStr">
        <is>
          <t>CÔNG TY CỔ PHẦN CÔNG NGHỆ NANO BSB</t>
        </is>
      </c>
      <c r="E6316" s="10" t="inlineStr">
        <is>
          <t>Thương lượng</t>
        </is>
      </c>
      <c r="F6316" s="10" t="inlineStr">
        <is>
          <t>Cần Thơ</t>
        </is>
      </c>
      <c r="G6316" s="10" t="inlineStr">
        <is>
          <t>Nhân viên</t>
        </is>
      </c>
      <c r="H6316" s="10" t="inlineStr">
        <is>
          <t>02/03/2026</t>
        </is>
      </c>
      <c r="I6316" s="10" t="inlineStr">
        <is>
          <t>02/04/2026</t>
        </is>
      </c>
      <c r="J6316" s="10" t="inlineStr">
        <is>
          <t>17/03/2026</t>
        </is>
      </c>
      <c r="K6316" s="10" t="inlineStr">
        <is>
          <t>N/A</t>
        </is>
      </c>
      <c r="L6316" s="10" t="inlineStr">
        <is>
          <t>Phát Triển Sản Phẩm, Công Nghệ Hóa Học, Công Nghệ Sơn, Nghiên Cứu Sản Phẩm, Thử Nghiệm Sản Phẩm</t>
        </is>
      </c>
      <c r="M6316" s="10" t="inlineStr">
        <is>
          <t>Healthcare Plan</t>
        </is>
      </c>
      <c r="N6316" s="11">
        <f>HYPERLINK("https://www.vietnamworks.com/ky-su-r-d-hoa-vat-lieu-silica-2017002-jv","Xem chi tiết")</f>
        <v/>
      </c>
      <c r="O6316" s="10" t="n"/>
    </row>
    <row r="6317">
      <c r="B6317" s="7" t="n">
        <v>6315</v>
      </c>
      <c r="C6317" t="inlineStr">
        <is>
          <t>Junior Customer Success (Operations)</t>
        </is>
      </c>
      <c r="D6317" t="inlineStr">
        <is>
          <t>CÔNG TY TNHH ADVANCE VN</t>
        </is>
      </c>
      <c r="E6317" t="inlineStr">
        <is>
          <t>9tr-13tr ₫/tháng</t>
        </is>
      </c>
      <c r="F6317" t="inlineStr">
        <is>
          <t>Hồ Chí Minh</t>
        </is>
      </c>
      <c r="G6317" t="inlineStr">
        <is>
          <t>Mới Tốt Nghiệp</t>
        </is>
      </c>
      <c r="H6317" t="inlineStr">
        <is>
          <t>02/03/2026</t>
        </is>
      </c>
      <c r="I6317" t="inlineStr">
        <is>
          <t>02/04/2026</t>
        </is>
      </c>
      <c r="J6317" t="inlineStr">
        <is>
          <t>17/03/2026</t>
        </is>
      </c>
      <c r="K6317" t="inlineStr">
        <is>
          <t>N/A</t>
        </is>
      </c>
      <c r="L6317" t="inlineStr">
        <is>
          <t>Credit Application, Executing, Data Entry, Operations Coordinating, Communication</t>
        </is>
      </c>
      <c r="M6317" t="inlineStr">
        <is>
          <t>Bonus, Healthcare Plan, Paid Leave, Training, Team Activities, Vouchers, Others</t>
        </is>
      </c>
      <c r="N6317" s="8">
        <f>HYPERLINK("https://www.vietnamworks.com/junior-customer-success-operations-2016967-jv","Xem chi tiết")</f>
        <v/>
      </c>
    </row>
    <row r="6318">
      <c r="B6318" s="9" t="n">
        <v>6316</v>
      </c>
      <c r="C6318" s="10" t="inlineStr">
        <is>
          <t>Head of Funding &amp; Investor Relations</t>
        </is>
      </c>
      <c r="D6318" s="10" t="inlineStr">
        <is>
          <t>CÔNG TY TNHH ADVANCE VN</t>
        </is>
      </c>
      <c r="E6318" s="10" t="inlineStr">
        <is>
          <t>Thương lượng</t>
        </is>
      </c>
      <c r="F6318" s="10" t="inlineStr">
        <is>
          <t>Hồ Chí Minh</t>
        </is>
      </c>
      <c r="G6318" s="10" t="inlineStr">
        <is>
          <t>Giám Đốc và Cấp Cao Hơn</t>
        </is>
      </c>
      <c r="H6318" s="10" t="inlineStr">
        <is>
          <t>02/03/2026</t>
        </is>
      </c>
      <c r="I6318" s="10" t="inlineStr">
        <is>
          <t>02/04/2026</t>
        </is>
      </c>
      <c r="J6318" s="10" t="inlineStr">
        <is>
          <t>17/03/2026</t>
        </is>
      </c>
      <c r="K6318" s="10" t="inlineStr">
        <is>
          <t>N/A</t>
        </is>
      </c>
      <c r="L6318" s="10" t="inlineStr">
        <is>
          <t>Fundraising, Financial Modeling, Financial structure, Payment Negotiation, Investor Relations</t>
        </is>
      </c>
      <c r="M6318" s="10" t="inlineStr">
        <is>
          <t>Bonus, Healthcare Plan, Paid Leave, Training, Team Activities, Others</t>
        </is>
      </c>
      <c r="N6318" s="11">
        <f>HYPERLINK("https://www.vietnamworks.com/head-of-funding-and-investor-relations-2016944-jv","Xem chi tiết")</f>
        <v/>
      </c>
      <c r="O6318" s="10" t="n"/>
    </row>
    <row r="6319">
      <c r="B6319" s="7" t="n">
        <v>6317</v>
      </c>
      <c r="C6319" t="inlineStr">
        <is>
          <t>Regional Quality Director</t>
        </is>
      </c>
      <c r="D6319" t="inlineStr">
        <is>
          <t>L&amp;E International Paper Packaging Viet Nam Co. LTD.</t>
        </is>
      </c>
      <c r="E6319" t="inlineStr">
        <is>
          <t>Thương lượng</t>
        </is>
      </c>
      <c r="F6319" t="inlineStr">
        <is>
          <t>Hồ Chí Minh</t>
        </is>
      </c>
      <c r="G6319" t="inlineStr">
        <is>
          <t>Giám Đốc và Cấp Cao Hơn</t>
        </is>
      </c>
      <c r="H6319" t="inlineStr">
        <is>
          <t>02/03/2026</t>
        </is>
      </c>
      <c r="I6319" t="inlineStr">
        <is>
          <t>02/04/2026</t>
        </is>
      </c>
      <c r="J6319" t="inlineStr">
        <is>
          <t>17/03/2026</t>
        </is>
      </c>
      <c r="K6319" t="inlineStr">
        <is>
          <t>N/A</t>
        </is>
      </c>
      <c r="L6319" t="inlineStr">
        <is>
          <t>Quality, Chinese, English, Internal Audit, ISO 9000</t>
        </is>
      </c>
      <c r="M6319" t="inlineStr">
        <is>
          <t>Bonus, Healthcare Plan, Paid Leave</t>
        </is>
      </c>
      <c r="N6319" s="8">
        <f>HYPERLINK("https://www.vietnamworks.com/regional-quality-director-2017016-jv","Xem chi tiết")</f>
        <v/>
      </c>
    </row>
    <row r="6320">
      <c r="B6320" s="9" t="n">
        <v>6318</v>
      </c>
      <c r="C6320" s="10" t="inlineStr">
        <is>
          <t>Sales Manager (Hồ Chí Minh &amp; Hà Nội)</t>
        </is>
      </c>
      <c r="D6320" s="10" t="inlineStr">
        <is>
          <t>Công Ty Cổ Phần Prowtech International Vina</t>
        </is>
      </c>
      <c r="E6320" s="10" t="inlineStr">
        <is>
          <t>Thương lượng</t>
        </is>
      </c>
      <c r="F6320" s="10" t="inlineStr">
        <is>
          <t>Hồ Chí Minh, Hà Nội</t>
        </is>
      </c>
      <c r="G6320" s="10" t="inlineStr">
        <is>
          <t>Trưởng phòng</t>
        </is>
      </c>
      <c r="H6320" s="10" t="inlineStr">
        <is>
          <t>02/03/2026</t>
        </is>
      </c>
      <c r="I6320" s="10" t="inlineStr">
        <is>
          <t>02/04/2026</t>
        </is>
      </c>
      <c r="J6320" s="10" t="inlineStr">
        <is>
          <t>17/03/2026</t>
        </is>
      </c>
      <c r="K6320" s="10" t="inlineStr">
        <is>
          <t>N/A</t>
        </is>
      </c>
      <c r="L6320" s="10" t="inlineStr">
        <is>
          <t>Account Management, Kinh Doanh, OOH Marketing, Phát Triển Kinh Doanh, Quảng Cáo</t>
        </is>
      </c>
      <c r="M6320" s="10" t="inlineStr">
        <is>
          <t>Bonus, Healthcare Plan, Training, Laptop, Travel Opportunities, Team Activities, Others</t>
        </is>
      </c>
      <c r="N6320" s="11">
        <f>HYPERLINK("https://www.vietnamworks.com/sales-manager-ho-chi-minh-and-ha-noi-2017075-jv","Xem chi tiết")</f>
        <v/>
      </c>
      <c r="O6320" s="10" t="n"/>
    </row>
    <row r="6321">
      <c r="B6321" s="7" t="n">
        <v>6319</v>
      </c>
      <c r="C6321" t="inlineStr">
        <is>
          <t>Trợ Lý Ban quản lý dự án (Phát triển dự án)</t>
        </is>
      </c>
      <c r="D6321" t="inlineStr">
        <is>
          <t>CÔNG TY TNHH PACIFIC THĂNG LONG</t>
        </is>
      </c>
      <c r="E6321" t="inlineStr">
        <is>
          <t>Thương lượng</t>
        </is>
      </c>
      <c r="F6321" t="inlineStr">
        <is>
          <t>Quảng Ninh</t>
        </is>
      </c>
      <c r="G6321" t="inlineStr">
        <is>
          <t>Nhân viên</t>
        </is>
      </c>
      <c r="H6321" t="inlineStr">
        <is>
          <t>02/03/2026</t>
        </is>
      </c>
      <c r="I6321" t="inlineStr">
        <is>
          <t>02/04/2026</t>
        </is>
      </c>
      <c r="J6321" t="inlineStr">
        <is>
          <t>17/03/2026</t>
        </is>
      </c>
      <c r="K6321" t="inlineStr">
        <is>
          <t>N/A</t>
        </is>
      </c>
      <c r="L6321" t="inlineStr">
        <is>
          <t>Lập Kế Hoạch, Lưu Trữ Hồ Sơ, MS Office, Phát Triển Dự Án, Quản Lý Đội Nhóm</t>
        </is>
      </c>
      <c r="M6321" t="inlineStr">
        <is>
          <t>Bonus, Healthcare Plan, Paid Leave, Training, Laptop</t>
        </is>
      </c>
      <c r="N6321" s="8">
        <f>HYPERLINK("https://www.vietnamworks.com/tro-ly-ban-quan-ly-du-an-phat-trien-du-an-2017078-jv","Xem chi tiết")</f>
        <v/>
      </c>
    </row>
    <row r="6322">
      <c r="B6322" s="9" t="n">
        <v>6320</v>
      </c>
      <c r="C6322" s="10" t="inlineStr">
        <is>
          <t>Technical Sales Manager (Adhesive / Chemical Industry)</t>
        </is>
      </c>
      <c r="D6322" s="10" t="inlineStr">
        <is>
          <t>Công Ty TNHH Jowat Việt Nam</t>
        </is>
      </c>
      <c r="E6322" s="10" t="inlineStr">
        <is>
          <t>$$ 40tr-45tr /tháng</t>
        </is>
      </c>
      <c r="F6322" s="10" t="inlineStr">
        <is>
          <t>Hồ Chí Minh</t>
        </is>
      </c>
      <c r="G6322" s="10" t="inlineStr">
        <is>
          <t>Trưởng phòng</t>
        </is>
      </c>
      <c r="H6322" s="10" t="inlineStr">
        <is>
          <t>02/03/2026</t>
        </is>
      </c>
      <c r="I6322" s="10" t="inlineStr">
        <is>
          <t>02/04/2026</t>
        </is>
      </c>
      <c r="J6322" s="10" t="inlineStr">
        <is>
          <t>17/03/2026</t>
        </is>
      </c>
      <c r="K6322" s="10" t="inlineStr">
        <is>
          <t>N/A</t>
        </is>
      </c>
      <c r="L6322" s="10" t="inlineStr">
        <is>
          <t>Technical Sales, B2B Sales, Printing and Packaging, Industrial Sales, Adhesive Bonding</t>
        </is>
      </c>
      <c r="M6322" s="10" t="inlineStr">
        <is>
          <t>Bonus, Healthcare Plan, Training</t>
        </is>
      </c>
      <c r="N6322" s="11">
        <f>HYPERLINK("https://www.vietnamworks.com/technical-sales-manager-adhesive-chemical-industry-2016977-jv","Xem chi tiết")</f>
        <v/>
      </c>
      <c r="O6322" s="10" t="n"/>
    </row>
    <row r="6323">
      <c r="B6323" s="7" t="n">
        <v>6321</v>
      </c>
      <c r="C6323" t="inlineStr">
        <is>
          <t>Ocean Freight Customer Service</t>
        </is>
      </c>
      <c r="D6323" t="inlineStr">
        <is>
          <t>Công Ty TNHH JNB Logistics</t>
        </is>
      </c>
      <c r="E6323" t="inlineStr">
        <is>
          <t>Thương lượng</t>
        </is>
      </c>
      <c r="F6323" t="inlineStr">
        <is>
          <t>Hà Nội</t>
        </is>
      </c>
      <c r="G6323" t="inlineStr">
        <is>
          <t>Nhân viên</t>
        </is>
      </c>
      <c r="H6323" t="inlineStr">
        <is>
          <t>02/03/2026</t>
        </is>
      </c>
      <c r="I6323" t="inlineStr">
        <is>
          <t>02/04/2026</t>
        </is>
      </c>
      <c r="J6323" t="inlineStr">
        <is>
          <t>17/03/2026</t>
        </is>
      </c>
      <c r="K6323" t="inlineStr">
        <is>
          <t>N/A</t>
        </is>
      </c>
      <c r="L6323" t="inlineStr">
        <is>
          <t>Freight Forwarding, English, Customer Service, Ocean Freight, Enquiry Management</t>
        </is>
      </c>
      <c r="M6323" t="inlineStr">
        <is>
          <t>Bonus, Healthcare Plan, Training</t>
        </is>
      </c>
      <c r="N6323" s="8">
        <f>HYPERLINK("https://www.vietnamworks.com/ocean-freight-customer-service--2017098-jv","Xem chi tiết")</f>
        <v/>
      </c>
    </row>
    <row r="6324">
      <c r="B6324" s="9" t="n">
        <v>6322</v>
      </c>
      <c r="C6324" s="10" t="inlineStr">
        <is>
          <t>Kế Toán Tổng Hợp</t>
        </is>
      </c>
      <c r="D6324" s="10" t="inlineStr">
        <is>
          <t>Công ty Cổ phần Bạch Đằng Holdings</t>
        </is>
      </c>
      <c r="E6324" s="10" t="inlineStr">
        <is>
          <t>15tr-17tr ₫/tháng</t>
        </is>
      </c>
      <c r="F6324" s="10" t="inlineStr">
        <is>
          <t>Hải Phòng</t>
        </is>
      </c>
      <c r="G6324" s="10" t="inlineStr">
        <is>
          <t>Nhân viên</t>
        </is>
      </c>
      <c r="H6324" s="10" t="inlineStr">
        <is>
          <t>03/03/2026</t>
        </is>
      </c>
      <c r="I6324" s="10" t="inlineStr">
        <is>
          <t>02/04/2026</t>
        </is>
      </c>
      <c r="J6324" s="10" t="inlineStr">
        <is>
          <t>17/03/2026</t>
        </is>
      </c>
      <c r="K6324" s="10" t="inlineStr">
        <is>
          <t>N/A</t>
        </is>
      </c>
      <c r="L6324" s="10" t="inlineStr">
        <is>
          <t>Kế Toán Tổng Hợp, Tài Chính, Hạch Toán, Lập Báo Cáo Thuế, Theo Dõi Công Nợ</t>
        </is>
      </c>
      <c r="M6324" s="10" t="inlineStr">
        <is>
          <t>Bonus, Healthcare Plan, Others</t>
        </is>
      </c>
      <c r="N6324" s="11">
        <f>HYPERLINK("https://www.vietnamworks.com/ke-toan-tong-hop-2017130-jv","Xem chi tiết")</f>
        <v/>
      </c>
      <c r="O6324" s="10" t="n"/>
    </row>
    <row r="6325">
      <c r="B6325" s="7" t="n">
        <v>6323</v>
      </c>
      <c r="C6325" t="inlineStr">
        <is>
          <t>Nhân Viên Kinh Doanh (Sale) Tiếng Trung</t>
        </is>
      </c>
      <c r="D6325" t="inlineStr">
        <is>
          <t>Công ty Cổ phần Bạch Đằng Holdings</t>
        </is>
      </c>
      <c r="E6325" t="inlineStr">
        <is>
          <t>Thương lượng</t>
        </is>
      </c>
      <c r="F6325" t="inlineStr">
        <is>
          <t>Hải Phòng</t>
        </is>
      </c>
      <c r="G6325" t="inlineStr">
        <is>
          <t>Mới Tốt Nghiệp</t>
        </is>
      </c>
      <c r="H6325" t="inlineStr">
        <is>
          <t>03/03/2026</t>
        </is>
      </c>
      <c r="I6325" t="inlineStr">
        <is>
          <t>02/04/2026</t>
        </is>
      </c>
      <c r="J6325" t="inlineStr">
        <is>
          <t>17/03/2026</t>
        </is>
      </c>
      <c r="K6325" t="inlineStr">
        <is>
          <t>N/A</t>
        </is>
      </c>
      <c r="L6325" t="inlineStr">
        <is>
          <t>Kinh Doanh, Tiếng Trung, Giao Tiếp, Đàm Phán, Tư Vấn</t>
        </is>
      </c>
      <c r="M6325" t="inlineStr">
        <is>
          <t>Bonus, Training, Others</t>
        </is>
      </c>
      <c r="N6325" s="8">
        <f>HYPERLINK("https://www.vietnamworks.com/nhan-vien-kinh-doanh-sale-tieng-trung-2017131-jv","Xem chi tiết")</f>
        <v/>
      </c>
    </row>
    <row r="6326">
      <c r="B6326" s="9" t="n">
        <v>6324</v>
      </c>
      <c r="C6326" s="10" t="inlineStr">
        <is>
          <t>Chuyên Gia Cao Cấp Tuân Thủ và Đảm Bảo (Techcom Life)</t>
        </is>
      </c>
      <c r="D6326" s="10" t="inlineStr">
        <is>
          <t>Techcombank</t>
        </is>
      </c>
      <c r="E6326" s="10" t="inlineStr">
        <is>
          <t>Thương lượng</t>
        </is>
      </c>
      <c r="F6326" s="10" t="inlineStr">
        <is>
          <t>Hà Nội</t>
        </is>
      </c>
      <c r="G6326" s="10" t="inlineStr">
        <is>
          <t>Nhân viên</t>
        </is>
      </c>
      <c r="H6326" s="10" t="inlineStr">
        <is>
          <t>02/03/2026</t>
        </is>
      </c>
      <c r="I6326" s="10" t="inlineStr">
        <is>
          <t>02/04/2026</t>
        </is>
      </c>
      <c r="J6326" s="10" t="inlineStr">
        <is>
          <t>17/03/2026</t>
        </is>
      </c>
      <c r="K6326" s="10" t="inlineStr">
        <is>
          <t>N/A</t>
        </is>
      </c>
      <c r="L6326" s="10" t="inlineStr">
        <is>
          <t>AML, CDD, Kiểm Soát Nội Bộ, Operational Risk, Quản Trị Doanh Nghiệp</t>
        </is>
      </c>
      <c r="M6326" s="10" t="inlineStr">
        <is>
          <t>Bonus, Training, Others</t>
        </is>
      </c>
      <c r="N6326" s="11">
        <f>HYPERLINK("https://www.vietnamworks.com/chuyen-gia-cao-cap-tuan-thu-va-djam-bao-techcom-life-2017103-jv","Xem chi tiết")</f>
        <v/>
      </c>
      <c r="O6326" s="10" t="n"/>
    </row>
    <row r="6327">
      <c r="B6327" s="7" t="n">
        <v>6325</v>
      </c>
      <c r="C6327" t="inlineStr">
        <is>
          <t>Risk Senior in Business Consulting Service (For Non-Financial Service Organization) - Hanoi Office</t>
        </is>
      </c>
      <c r="D6327" t="inlineStr">
        <is>
          <t>Ernst &amp; Young Vietnam Limited (EY Vietnam)</t>
        </is>
      </c>
      <c r="E6327" t="inlineStr">
        <is>
          <t>Thương lượng</t>
        </is>
      </c>
      <c r="F6327" t="inlineStr">
        <is>
          <t>Hà Nội</t>
        </is>
      </c>
      <c r="G6327" t="inlineStr">
        <is>
          <t>Nhân viên</t>
        </is>
      </c>
      <c r="H6327" t="inlineStr">
        <is>
          <t>03/03/2026</t>
        </is>
      </c>
      <c r="I6327" t="inlineStr">
        <is>
          <t>02/04/2026</t>
        </is>
      </c>
      <c r="J6327" t="inlineStr">
        <is>
          <t>17/03/2026</t>
        </is>
      </c>
      <c r="K6327" t="inlineStr">
        <is>
          <t>N/A</t>
        </is>
      </c>
      <c r="L6327" t="inlineStr">
        <is>
          <t>Auditing, Compliance Advisory, Internal Control, Risk Management</t>
        </is>
      </c>
      <c r="M6327" t="inlineStr">
        <is>
          <t>Training, Others</t>
        </is>
      </c>
      <c r="N6327" s="8">
        <f>HYPERLINK("https://www.vietnamworks.com/risk-senior-in-business-consulting-service-for-non-financial-service-organization-hanoi-office-2017124-jv","Xem chi tiết")</f>
        <v/>
      </c>
    </row>
    <row r="6328">
      <c r="B6328" s="9" t="n">
        <v>6326</v>
      </c>
      <c r="C6328" s="10" t="inlineStr">
        <is>
          <t>FOB Garment Merchandiser (Mỹ Đình - Hà Nội)</t>
        </is>
      </c>
      <c r="D6328" s="10" t="inlineStr">
        <is>
          <t>Tp Inc. - Hanoi Business Center</t>
        </is>
      </c>
      <c r="E6328" s="10" t="inlineStr">
        <is>
          <t>Thương lượng</t>
        </is>
      </c>
      <c r="F6328" s="10" t="inlineStr">
        <is>
          <t>Hà Nội</t>
        </is>
      </c>
      <c r="G6328" s="10" t="inlineStr">
        <is>
          <t>Nhân viên</t>
        </is>
      </c>
      <c r="H6328" s="10" t="inlineStr">
        <is>
          <t>03/03/2026</t>
        </is>
      </c>
      <c r="I6328" s="10" t="inlineStr">
        <is>
          <t>02/04/2026</t>
        </is>
      </c>
      <c r="J6328" s="10" t="inlineStr">
        <is>
          <t>17/03/2026</t>
        </is>
      </c>
      <c r="K6328" s="10" t="inlineStr">
        <is>
          <t>N/A</t>
        </is>
      </c>
      <c r="L6328" s="10" t="inlineStr">
        <is>
          <t>Garment, Apparel, Quản Lý Đơn Hàng May Mặc, Sample Development, Merchandise Garment</t>
        </is>
      </c>
      <c r="M6328" s="10" t="inlineStr">
        <is>
          <t>Bonus, Training, Team Activities</t>
        </is>
      </c>
      <c r="N6328" s="11">
        <f>HYPERLINK("https://www.vietnamworks.com/fob-garment-merchandiser-my-dinh-ha-noi--2017128-jv","Xem chi tiết")</f>
        <v/>
      </c>
      <c r="O6328" s="10" t="n"/>
    </row>
    <row r="6329">
      <c r="B6329" s="7" t="n">
        <v>6327</v>
      </c>
      <c r="C6329" t="inlineStr">
        <is>
          <t>Nhân Viên Kiểm Thử Phần Mềm (Software Tester)</t>
        </is>
      </c>
      <c r="D6329" t="inlineStr">
        <is>
          <t>Vietnamworks' Client</t>
        </is>
      </c>
      <c r="E6329" t="inlineStr">
        <is>
          <t>Thương lượng</t>
        </is>
      </c>
      <c r="F6329" t="inlineStr">
        <is>
          <t>Hà Nội</t>
        </is>
      </c>
      <c r="G6329" t="inlineStr">
        <is>
          <t>Mới Tốt Nghiệp</t>
        </is>
      </c>
      <c r="H6329" t="inlineStr">
        <is>
          <t>03/03/2026</t>
        </is>
      </c>
      <c r="I6329" t="inlineStr">
        <is>
          <t>02/04/2026</t>
        </is>
      </c>
      <c r="J6329" t="inlineStr">
        <is>
          <t>17/03/2026</t>
        </is>
      </c>
      <c r="K6329" t="inlineStr">
        <is>
          <t>N/A</t>
        </is>
      </c>
      <c r="L6329" t="inlineStr">
        <is>
          <t>Agile, MySQL, Testing, Test Cases, SQL</t>
        </is>
      </c>
      <c r="M6329" t="inlineStr">
        <is>
          <t>Bonus, Training, Travel Opportunities</t>
        </is>
      </c>
      <c r="N6329" s="8">
        <f>HYPERLINK("https://www.vietnamworks.com/nhan-vien-kiem-thu-phan-mem-software-tester--2017138-jv","Xem chi tiết")</f>
        <v/>
      </c>
    </row>
    <row r="6330">
      <c r="B6330" s="9" t="n">
        <v>6328</v>
      </c>
      <c r="C6330" s="10" t="inlineStr">
        <is>
          <t>Kỹ Sư Đổi Mới Sáng Tạo/innovation Engineer (Team Mới/new Team)</t>
        </is>
      </c>
      <c r="D6330" s="10" t="inlineStr">
        <is>
          <t>Hoya Glass Disk Vietnam</t>
        </is>
      </c>
      <c r="E6330" s="10" t="inlineStr">
        <is>
          <t>Thương lượng</t>
        </is>
      </c>
      <c r="F6330" s="10" t="inlineStr">
        <is>
          <t>Hưng Yên</t>
        </is>
      </c>
      <c r="G6330" s="10" t="inlineStr">
        <is>
          <t>Nhân viên</t>
        </is>
      </c>
      <c r="H6330" s="10" t="inlineStr">
        <is>
          <t>03/03/2026</t>
        </is>
      </c>
      <c r="I6330" s="10" t="inlineStr">
        <is>
          <t>02/04/2026</t>
        </is>
      </c>
      <c r="J6330" s="10" t="inlineStr">
        <is>
          <t>17/03/2026</t>
        </is>
      </c>
      <c r="K6330" s="10" t="inlineStr">
        <is>
          <t>N/A</t>
        </is>
      </c>
      <c r="L6330" s="10" t="inlineStr">
        <is>
          <t>Mechatronic, Chemistry, Material Research, Analytical Chemistry</t>
        </is>
      </c>
      <c r="M6330" s="10" t="inlineStr">
        <is>
          <t>Bonus, Healthcare Plan, Paid Leave</t>
        </is>
      </c>
      <c r="N6330" s="11">
        <f>HYPERLINK("https://www.vietnamworks.com/ky-su-doi-moi-sang-tao-innovation-engineer-team-moi-new-team-2017129-jv","Xem chi tiết")</f>
        <v/>
      </c>
      <c r="O6330" s="10" t="n"/>
    </row>
    <row r="6331">
      <c r="B6331" s="7" t="n">
        <v>6329</v>
      </c>
      <c r="C6331" t="inlineStr">
        <is>
          <t>Chuyên Viên Tư Vấn Sản Phẩm Kênh Nhà Thuốc Tại Cần Thơ, Hồ Chí Minh</t>
        </is>
      </c>
      <c r="D6331" t="inlineStr">
        <is>
          <t>URGO Việt Nam</t>
        </is>
      </c>
      <c r="E6331" t="inlineStr">
        <is>
          <t>Thương lượng</t>
        </is>
      </c>
      <c r="F6331" t="inlineStr">
        <is>
          <t>Cần Thơ, Hồ Chí Minh</t>
        </is>
      </c>
      <c r="G6331" t="inlineStr">
        <is>
          <t>Nhân viên</t>
        </is>
      </c>
      <c r="H6331" t="inlineStr">
        <is>
          <t>03/03/2026</t>
        </is>
      </c>
      <c r="I6331" t="inlineStr">
        <is>
          <t>02/04/2026</t>
        </is>
      </c>
      <c r="J6331" t="inlineStr">
        <is>
          <t>17/03/2026</t>
        </is>
      </c>
      <c r="K6331" t="inlineStr">
        <is>
          <t>N/A</t>
        </is>
      </c>
      <c r="L6331" t="inlineStr">
        <is>
          <t>Tìm Kiếm Khách Hàng, Phát Triển Kinh Doanh, Bán Hàng Dược Phẩm</t>
        </is>
      </c>
      <c r="M6331" t="inlineStr">
        <is>
          <t>Bonus, Healthcare Plan, Training</t>
        </is>
      </c>
      <c r="N6331" s="8">
        <f>HYPERLINK("https://www.vietnamworks.com/chuyen-vien-tu-van-san-pham-kenh-nha-thuoc-tai-can-tho-ho-chi-minh-2017136-jv","Xem chi tiết")</f>
        <v/>
      </c>
    </row>
    <row r="6332">
      <c r="B6332" s="9" t="n">
        <v>6330</v>
      </c>
      <c r="C6332" s="10" t="inlineStr">
        <is>
          <t>Nhân Viên Phân Tích Nghiệp Vụ Sản Phẩm - BA</t>
        </is>
      </c>
      <c r="D6332" s="10" t="inlineStr">
        <is>
          <t>Công Ty TNHH Thiết Bị Minh Tâm (Mitalab Co., Ltd)</t>
        </is>
      </c>
      <c r="E6332" s="10" t="inlineStr">
        <is>
          <t>Thương lượng</t>
        </is>
      </c>
      <c r="F6332" s="10" t="inlineStr">
        <is>
          <t>Hà Nội</t>
        </is>
      </c>
      <c r="G6332" s="10" t="inlineStr">
        <is>
          <t>Mới Tốt Nghiệp</t>
        </is>
      </c>
      <c r="H6332" s="10" t="inlineStr">
        <is>
          <t>03/03/2026</t>
        </is>
      </c>
      <c r="I6332" s="10" t="inlineStr">
        <is>
          <t>02/04/2026</t>
        </is>
      </c>
      <c r="J6332" s="10" t="inlineStr">
        <is>
          <t>17/03/2026</t>
        </is>
      </c>
      <c r="K6332" s="10" t="inlineStr">
        <is>
          <t>N/A</t>
        </is>
      </c>
      <c r="L6332" s="10" t="inlineStr">
        <is>
          <t>Data Analysis, Business Analysis, Phân Tích Nghiệp Vụ, Y Tế, SRS Document Writing</t>
        </is>
      </c>
      <c r="M6332" s="10" t="inlineStr">
        <is>
          <t>Bonus, Training, Travel Opportunities</t>
        </is>
      </c>
      <c r="N6332" s="11">
        <f>HYPERLINK("https://www.vietnamworks.com/nhan-vien-phan-tich-nghiep-vu-san-pham-ba-2017140-jv","Xem chi tiết")</f>
        <v/>
      </c>
      <c r="O6332" s="10" t="n"/>
    </row>
    <row r="6333">
      <c r="B6333" s="7" t="n">
        <v>6331</v>
      </c>
      <c r="C6333" t="inlineStr">
        <is>
          <t>Kế Toán Tổng Hợp</t>
        </is>
      </c>
      <c r="D6333" t="inlineStr">
        <is>
          <t>Công ty TNHH Thương mại và Xuất nhập khẩu Vihaba</t>
        </is>
      </c>
      <c r="E6333" t="inlineStr">
        <is>
          <t>$$ 500-700 /tháng</t>
        </is>
      </c>
      <c r="F6333" t="inlineStr">
        <is>
          <t>Hà Nội</t>
        </is>
      </c>
      <c r="G6333" t="inlineStr">
        <is>
          <t>Nhân viên</t>
        </is>
      </c>
      <c r="H6333" t="inlineStr">
        <is>
          <t>03/03/2026</t>
        </is>
      </c>
      <c r="I6333" t="inlineStr">
        <is>
          <t>02/04/2026</t>
        </is>
      </c>
      <c r="J6333" t="inlineStr">
        <is>
          <t>17/03/2026</t>
        </is>
      </c>
      <c r="K6333" t="inlineStr">
        <is>
          <t>N/A</t>
        </is>
      </c>
      <c r="L6333" t="inlineStr">
        <is>
          <t>Tài Chính, Kế Toán Tổng Hợp, Kế Toán</t>
        </is>
      </c>
      <c r="M6333" t="inlineStr">
        <is>
          <t>Bonus, Paid Leave, Training</t>
        </is>
      </c>
      <c r="N6333" s="8">
        <f>HYPERLINK("https://www.vietnamworks.com/ke-toan-tong-hop--2017152-jv","Xem chi tiết")</f>
        <v/>
      </c>
    </row>
    <row r="6334">
      <c r="B6334" s="9" t="n">
        <v>6332</v>
      </c>
      <c r="C6334" s="10" t="inlineStr">
        <is>
          <t>Senior Business Development – Contract Logistics (Chinese Speaking)</t>
        </is>
      </c>
      <c r="D6334" s="10" t="inlineStr">
        <is>
          <t>Công Ty TNHH LF Logistics (Việt Nam)</t>
        </is>
      </c>
      <c r="E6334" s="10" t="inlineStr">
        <is>
          <t>Thương lượng</t>
        </is>
      </c>
      <c r="F6334" s="10" t="inlineStr">
        <is>
          <t>Hà Nội</t>
        </is>
      </c>
      <c r="G6334" s="10" t="inlineStr">
        <is>
          <t>Nhân viên</t>
        </is>
      </c>
      <c r="H6334" s="10" t="inlineStr">
        <is>
          <t>03/03/2026</t>
        </is>
      </c>
      <c r="I6334" s="10" t="inlineStr">
        <is>
          <t>02/04/2026</t>
        </is>
      </c>
      <c r="J6334" s="10" t="inlineStr">
        <is>
          <t>17/03/2026</t>
        </is>
      </c>
      <c r="K6334" s="10" t="inlineStr">
        <is>
          <t>N/A</t>
        </is>
      </c>
      <c r="L6334" s="10" t="inlineStr">
        <is>
          <t>Sales Development, Sales Management, Business Development, Logistics, SCM</t>
        </is>
      </c>
      <c r="M6334" s="10" t="inlineStr">
        <is>
          <t>Bonus, Healthcare Plan, Paid Leave</t>
        </is>
      </c>
      <c r="N6334" s="11">
        <f>HYPERLINK("https://www.vietnamworks.com/senior-business-development-contract-logistics-chinese-speaking-2017143-jv","Xem chi tiết")</f>
        <v/>
      </c>
      <c r="O6334" s="10" t="n"/>
    </row>
    <row r="6335">
      <c r="B6335" s="7" t="n">
        <v>6333</v>
      </c>
      <c r="C6335" t="inlineStr">
        <is>
          <t>Credit Officer (Corporate Credit)</t>
        </is>
      </c>
      <c r="D6335" t="inlineStr">
        <is>
          <t>Bangkok Bank Public Company Limited, Ho Chi Minh City Branch</t>
        </is>
      </c>
      <c r="E6335" t="inlineStr">
        <is>
          <t>Thương lượng</t>
        </is>
      </c>
      <c r="F6335" t="inlineStr">
        <is>
          <t>Hà Nội</t>
        </is>
      </c>
      <c r="G6335" t="inlineStr">
        <is>
          <t>Nhân viên</t>
        </is>
      </c>
      <c r="H6335" t="inlineStr">
        <is>
          <t>03/03/2026</t>
        </is>
      </c>
      <c r="I6335" t="inlineStr">
        <is>
          <t>02/04/2026</t>
        </is>
      </c>
      <c r="J6335" t="inlineStr">
        <is>
          <t>17/03/2026</t>
        </is>
      </c>
      <c r="K6335" t="inlineStr">
        <is>
          <t>N/A</t>
        </is>
      </c>
      <c r="L6335" t="inlineStr">
        <is>
          <t>Finance, Credit Application, Marketing, Digital Marketing, Tiếp thị</t>
        </is>
      </c>
      <c r="M6335" t="inlineStr">
        <is>
          <t>Bonus, Healthcare Plan, Team Activities</t>
        </is>
      </c>
      <c r="N6335" s="8">
        <f>HYPERLINK("https://www.vietnamworks.com/credit-officer-corporate-credit-2017156-jv","Xem chi tiết")</f>
        <v/>
      </c>
    </row>
    <row r="6336">
      <c r="B6336" s="9" t="n">
        <v>6334</v>
      </c>
      <c r="C6336" s="10" t="inlineStr">
        <is>
          <t>Chuyên Viên Quản Lý Hạ Tầng Trung Tâm Dữ Liệu - IT Infrastructure Management - Khối Công Nghệ Thông Tin (HO26.61)</t>
        </is>
      </c>
      <c r="D6336" s="10" t="inlineStr">
        <is>
          <t>NGÂN HÀNG TMCP QUÂN ĐỘI – MBBANK</t>
        </is>
      </c>
      <c r="E6336" s="10" t="inlineStr">
        <is>
          <t>Thương lượng</t>
        </is>
      </c>
      <c r="F6336" s="10" t="inlineStr">
        <is>
          <t>Hà Nội</t>
        </is>
      </c>
      <c r="G6336" s="10" t="inlineStr">
        <is>
          <t>Nhân viên</t>
        </is>
      </c>
      <c r="H6336" s="10" t="inlineStr">
        <is>
          <t>03/03/2026</t>
        </is>
      </c>
      <c r="I6336" s="10" t="inlineStr">
        <is>
          <t>02/04/2026</t>
        </is>
      </c>
      <c r="J6336" s="10" t="inlineStr">
        <is>
          <t>17/03/2026</t>
        </is>
      </c>
      <c r="K6336" s="10" t="inlineStr">
        <is>
          <t>N/A</t>
        </is>
      </c>
      <c r="L6336" s="10" t="inlineStr">
        <is>
          <t>Cơ Sở Dữ Liệu, Công Nghệ Thông Tin, Nghiên Cứu Công Nghệ Mới, Quản Lý Hệ Thống Hạ Tầng, Quản Lý Dữ Liệu</t>
        </is>
      </c>
      <c r="M6336" s="10" t="inlineStr">
        <is>
          <t>Bonus, Healthcare Plan, Paid Leave, Training, Awards, Team Activities, Others</t>
        </is>
      </c>
      <c r="N6336" s="11">
        <f>HYPERLINK("https://www.vietnamworks.com/chuyen-vien-quan-ly-ha-tang-trung-tam-du-lieu-it-infrastructure-management-khoi-cong-nghe-thong-tin-ho26-61-2017141-jv","Xem chi tiết")</f>
        <v/>
      </c>
      <c r="O6336" s="10" t="n"/>
    </row>
    <row r="6337">
      <c r="B6337" s="7" t="n">
        <v>6335</v>
      </c>
      <c r="C6337" t="inlineStr">
        <is>
          <t>BI - Data Analyst</t>
        </is>
      </c>
      <c r="D6337" t="inlineStr">
        <is>
          <t>Công Ty TNHH LEGO Manufacturing Việt Nam</t>
        </is>
      </c>
      <c r="E6337" t="inlineStr">
        <is>
          <t>Thương lượng</t>
        </is>
      </c>
      <c r="F6337" t="inlineStr">
        <is>
          <t>Hồ Chí Minh</t>
        </is>
      </c>
      <c r="G6337" t="inlineStr">
        <is>
          <t>Nhân viên</t>
        </is>
      </c>
      <c r="H6337" t="inlineStr">
        <is>
          <t>03/03/2026</t>
        </is>
      </c>
      <c r="I6337" t="inlineStr">
        <is>
          <t>02/04/2026</t>
        </is>
      </c>
      <c r="J6337" t="inlineStr">
        <is>
          <t>17/03/2026</t>
        </is>
      </c>
      <c r="K6337" t="inlineStr">
        <is>
          <t>N/A</t>
        </is>
      </c>
      <c r="L6337" t="inlineStr">
        <is>
          <t>Data Analytics, BI Tools</t>
        </is>
      </c>
      <c r="M6337" t="inlineStr">
        <is>
          <t>Bonus, Healthcare Plan, Paid Leave</t>
        </is>
      </c>
      <c r="N6337" s="8">
        <f>HYPERLINK("https://www.vietnamworks.com/bi-data-analyst--2017145-jv","Xem chi tiết")</f>
        <v/>
      </c>
    </row>
    <row r="6338">
      <c r="B6338" s="9" t="n">
        <v>6336</v>
      </c>
      <c r="C6338" s="10" t="inlineStr">
        <is>
          <t>Chuyên Viên Quản Trị Hệ Thống</t>
        </is>
      </c>
      <c r="D6338" s="10" t="inlineStr">
        <is>
          <t>Công Ty Cổ Phần May Sài Gòn 3</t>
        </is>
      </c>
      <c r="E6338" s="10" t="inlineStr">
        <is>
          <t>18tr-22tr ₫/tháng</t>
        </is>
      </c>
      <c r="F6338" s="10" t="inlineStr">
        <is>
          <t>Hồ Chí Minh</t>
        </is>
      </c>
      <c r="G6338" s="10" t="inlineStr">
        <is>
          <t>Nhân viên</t>
        </is>
      </c>
      <c r="H6338" s="10" t="inlineStr">
        <is>
          <t>03/03/2026</t>
        </is>
      </c>
      <c r="I6338" s="10" t="inlineStr">
        <is>
          <t>02/04/2026</t>
        </is>
      </c>
      <c r="J6338" s="10" t="inlineStr">
        <is>
          <t>17/03/2026</t>
        </is>
      </c>
      <c r="K6338" s="10" t="inlineStr">
        <is>
          <t>N/A</t>
        </is>
      </c>
      <c r="L6338" s="10" t="inlineStr">
        <is>
          <t>Compliance, GRS, Internal Audit, ISO Standards, QA QC</t>
        </is>
      </c>
      <c r="M6338" s="10" t="inlineStr">
        <is>
          <t>Healthcare Plan, Team Activities, Others</t>
        </is>
      </c>
      <c r="N6338" s="11">
        <f>HYPERLINK("https://www.vietnamworks.com/chuyen-vien-quan-tri-he-thong-2017153-jv","Xem chi tiết")</f>
        <v/>
      </c>
      <c r="O6338" s="10" t="n"/>
    </row>
    <row r="6339">
      <c r="B6339" s="7" t="n">
        <v>6337</v>
      </c>
      <c r="C6339" t="inlineStr">
        <is>
          <t>Assistant Manager of Logistics Department</t>
        </is>
      </c>
      <c r="D6339" t="inlineStr">
        <is>
          <t>Công Ty TNHH Takahata Precision Việt Nam</t>
        </is>
      </c>
      <c r="E6339" t="inlineStr">
        <is>
          <t>Thương lượng</t>
        </is>
      </c>
      <c r="F6339" t="inlineStr">
        <is>
          <t>Hải Phòng</t>
        </is>
      </c>
      <c r="G6339" t="inlineStr">
        <is>
          <t>Trưởng phòng</t>
        </is>
      </c>
      <c r="H6339" t="inlineStr">
        <is>
          <t>03/03/2026</t>
        </is>
      </c>
      <c r="I6339" t="inlineStr">
        <is>
          <t>02/04/2026</t>
        </is>
      </c>
      <c r="J6339" t="inlineStr">
        <is>
          <t>17/03/2026</t>
        </is>
      </c>
      <c r="K6339" t="inlineStr">
        <is>
          <t>N/A</t>
        </is>
      </c>
      <c r="L6339" t="inlineStr">
        <is>
          <t>Import-Export Documents, Logistics Management System, Production, Managemment Reporting</t>
        </is>
      </c>
      <c r="M6339" t="inlineStr">
        <is>
          <t>Bonus, Training, Others</t>
        </is>
      </c>
      <c r="N6339" s="8">
        <f>HYPERLINK("https://www.vietnamworks.com/assistant-manager-of-logistics-department-1-1--2017151-jv","Xem chi tiết")</f>
        <v/>
      </c>
    </row>
    <row r="6340">
      <c r="B6340" s="9" t="n">
        <v>6338</v>
      </c>
      <c r="C6340" s="10" t="inlineStr">
        <is>
          <t>Maintenance Planner</t>
        </is>
      </c>
      <c r="D6340" s="10" t="inlineStr">
        <is>
          <t>Công Ty TNHH LEGO Manufacturing Việt Nam</t>
        </is>
      </c>
      <c r="E6340" s="10" t="inlineStr">
        <is>
          <t>Thương lượng</t>
        </is>
      </c>
      <c r="F6340" s="10" t="inlineStr">
        <is>
          <t>Hồ Chí Minh</t>
        </is>
      </c>
      <c r="G6340" s="10" t="inlineStr">
        <is>
          <t>Mới Tốt Nghiệp</t>
        </is>
      </c>
      <c r="H6340" s="10" t="inlineStr">
        <is>
          <t>03/03/2026</t>
        </is>
      </c>
      <c r="I6340" s="10" t="inlineStr">
        <is>
          <t>02/04/2026</t>
        </is>
      </c>
      <c r="J6340" s="10" t="inlineStr">
        <is>
          <t>17/03/2026</t>
        </is>
      </c>
      <c r="K6340" s="10" t="inlineStr">
        <is>
          <t>N/A</t>
        </is>
      </c>
      <c r="L6340" s="10" t="inlineStr">
        <is>
          <t>Maintenance Planning, Cost Management</t>
        </is>
      </c>
      <c r="M6340" s="10" t="inlineStr">
        <is>
          <t>Bonus, Healthcare Plan, Paid Leave</t>
        </is>
      </c>
      <c r="N6340" s="11">
        <f>HYPERLINK("https://www.vietnamworks.com/maintenance-planner--2017149-jv","Xem chi tiết")</f>
        <v/>
      </c>
      <c r="O6340" s="10" t="n"/>
    </row>
    <row r="6341">
      <c r="B6341" s="7" t="n">
        <v>6339</v>
      </c>
      <c r="C6341" t="inlineStr">
        <is>
          <t>Chuyên Viên Quản Trị Mạng Kết Nối (All Level) - Network Administrator - Khối Công Nghệ Thông Tin (HO26.62)</t>
        </is>
      </c>
      <c r="D6341" t="inlineStr">
        <is>
          <t>NGÂN HÀNG TMCP QUÂN ĐỘI – MBBANK</t>
        </is>
      </c>
      <c r="E6341" t="inlineStr">
        <is>
          <t>Thương lượng</t>
        </is>
      </c>
      <c r="F6341" t="inlineStr">
        <is>
          <t>Hà Nội</t>
        </is>
      </c>
      <c r="G6341" t="inlineStr">
        <is>
          <t>Nhân viên</t>
        </is>
      </c>
      <c r="H6341" t="inlineStr">
        <is>
          <t>03/03/2026</t>
        </is>
      </c>
      <c r="I6341" t="inlineStr">
        <is>
          <t>02/04/2026</t>
        </is>
      </c>
      <c r="J6341" t="inlineStr">
        <is>
          <t>17/03/2026</t>
        </is>
      </c>
      <c r="K6341" t="inlineStr">
        <is>
          <t>N/A</t>
        </is>
      </c>
      <c r="L6341" t="inlineStr">
        <is>
          <t>Cisco, Juniper, PCI DSS, CCNA, Network Administration</t>
        </is>
      </c>
      <c r="M6341" t="inlineStr">
        <is>
          <t>Bonus, Healthcare Plan, Paid Leave, Training, Awards, Team Activities, Others</t>
        </is>
      </c>
      <c r="N6341" s="8">
        <f>HYPERLINK("https://www.vietnamworks.com/chuyen-vien-quan-tri-mang-ket-noi-all-level-network-administrator-khoi-cong-nghe-thong-tin-ho26-62-2017144-jv","Xem chi tiết")</f>
        <v/>
      </c>
    </row>
    <row r="6342">
      <c r="B6342" s="9" t="n">
        <v>6340</v>
      </c>
      <c r="C6342" s="10" t="inlineStr">
        <is>
          <t>Sales Tiếng Trung Khối Văn Phòng</t>
        </is>
      </c>
      <c r="D6342" s="10" t="inlineStr">
        <is>
          <t>Công ty Cổ phần Xây dựng Hợp Lực</t>
        </is>
      </c>
      <c r="E6342" s="10" t="inlineStr">
        <is>
          <t>800-1,000 ₫/tháng</t>
        </is>
      </c>
      <c r="F6342" s="10" t="inlineStr">
        <is>
          <t>Hà Nội</t>
        </is>
      </c>
      <c r="G6342" s="10" t="inlineStr">
        <is>
          <t>Mới Tốt Nghiệp</t>
        </is>
      </c>
      <c r="H6342" s="10" t="inlineStr">
        <is>
          <t>03/03/2026</t>
        </is>
      </c>
      <c r="I6342" s="10" t="inlineStr">
        <is>
          <t>02/04/2026</t>
        </is>
      </c>
      <c r="J6342" s="10" t="inlineStr">
        <is>
          <t>17/03/2026</t>
        </is>
      </c>
      <c r="K6342" s="10" t="inlineStr">
        <is>
          <t>N/A</t>
        </is>
      </c>
      <c r="L6342" s="10" t="inlineStr">
        <is>
          <t>Phiên Dịch, Tiếng Trung, HSK 5, Quan Hệ Khách Hàng, Kinh Doanh</t>
        </is>
      </c>
      <c r="M6342" s="10" t="inlineStr">
        <is>
          <t>Healthcare Plan, Awards, Others</t>
        </is>
      </c>
      <c r="N6342" s="11">
        <f>HYPERLINK("https://www.vietnamworks.com/sales-tieng-trung-khoi-van-phong--2017160-jv","Xem chi tiết")</f>
        <v/>
      </c>
      <c r="O6342" s="10" t="n"/>
    </row>
    <row r="6343">
      <c r="B6343" s="7" t="n">
        <v>6341</v>
      </c>
      <c r="C6343" t="inlineStr">
        <is>
          <t xml:space="preserve">Engineering Maintenance Technician </t>
        </is>
      </c>
      <c r="D6343" t="inlineStr">
        <is>
          <t>Công Ty TNHH Sản Xuất First Solar Việt Nam</t>
        </is>
      </c>
      <c r="E6343" t="inlineStr">
        <is>
          <t>Thương lượng</t>
        </is>
      </c>
      <c r="F6343" t="inlineStr">
        <is>
          <t>Hồ Chí Minh</t>
        </is>
      </c>
      <c r="G6343" t="inlineStr">
        <is>
          <t>Nhân viên</t>
        </is>
      </c>
      <c r="H6343" t="inlineStr">
        <is>
          <t>03/03/2026</t>
        </is>
      </c>
      <c r="I6343" t="inlineStr">
        <is>
          <t>02/04/2026</t>
        </is>
      </c>
      <c r="J6343" t="inlineStr">
        <is>
          <t>17/03/2026</t>
        </is>
      </c>
      <c r="K6343" t="inlineStr">
        <is>
          <t>N/A</t>
        </is>
      </c>
      <c r="L6343" t="inlineStr">
        <is>
          <t>Communication Skills, Electrical Knowledge, Mechanical, Troubleshooting, Robot Programming</t>
        </is>
      </c>
      <c r="M6343" t="inlineStr">
        <is>
          <t>Bonus, Transportation, Canteen</t>
        </is>
      </c>
      <c r="N6343" s="8">
        <f>HYPERLINK("https://www.vietnamworks.com/engineering-maintenance-technician-2017157-jv","Xem chi tiết")</f>
        <v/>
      </c>
    </row>
    <row r="6344">
      <c r="B6344" s="9" t="n">
        <v>6342</v>
      </c>
      <c r="C6344" s="10" t="inlineStr">
        <is>
          <t>Nhân Viên Truyền Thông Doanh Nghiệp</t>
        </is>
      </c>
      <c r="D6344" s="10" t="inlineStr">
        <is>
          <t>Sunjin Vina Co., Ltd</t>
        </is>
      </c>
      <c r="E6344" s="10" t="inlineStr">
        <is>
          <t>$$ 500-700 /tháng</t>
        </is>
      </c>
      <c r="F6344" s="10" t="inlineStr">
        <is>
          <t>Hồ Chí Minh</t>
        </is>
      </c>
      <c r="G6344" s="10" t="inlineStr">
        <is>
          <t>Nhân viên</t>
        </is>
      </c>
      <c r="H6344" s="10" t="inlineStr">
        <is>
          <t>03/03/2026</t>
        </is>
      </c>
      <c r="I6344" s="10" t="inlineStr">
        <is>
          <t>02/04/2026</t>
        </is>
      </c>
      <c r="J6344" s="10" t="inlineStr">
        <is>
          <t>17/03/2026</t>
        </is>
      </c>
      <c r="K6344" s="10" t="inlineStr">
        <is>
          <t>N/A</t>
        </is>
      </c>
      <c r="L6344" s="10" t="inlineStr">
        <is>
          <t>Public Relation Management, Internal Communications, Photoshop, Photoshop AI, Photoshop Illustrator</t>
        </is>
      </c>
      <c r="M6344" s="10" t="inlineStr">
        <is>
          <t>Laptop, Transportation, Others</t>
        </is>
      </c>
      <c r="N6344" s="11">
        <f>HYPERLINK("https://www.vietnamworks.com/nhan-vien-truyen-thong-doanh-nghiep--2017163-jv","Xem chi tiết")</f>
        <v/>
      </c>
      <c r="O6344" s="10" t="n"/>
    </row>
    <row r="6345">
      <c r="B6345" s="7" t="n">
        <v>6343</v>
      </c>
      <c r="C6345" t="inlineStr">
        <is>
          <t>Office Manager (CSR &amp; General Services)</t>
        </is>
      </c>
      <c r="D6345" t="inlineStr">
        <is>
          <t>Givaudan Vietnam Company Limited</t>
        </is>
      </c>
      <c r="E6345" t="inlineStr">
        <is>
          <t>Thương lượng</t>
        </is>
      </c>
      <c r="F6345" t="inlineStr">
        <is>
          <t>Bình Dương</t>
        </is>
      </c>
      <c r="G6345" t="inlineStr">
        <is>
          <t>Trưởng phòng</t>
        </is>
      </c>
      <c r="H6345" t="inlineStr">
        <is>
          <t>03/03/2026</t>
        </is>
      </c>
      <c r="I6345" t="inlineStr">
        <is>
          <t>02/04/2026</t>
        </is>
      </c>
      <c r="J6345" t="inlineStr">
        <is>
          <t>17/03/2026</t>
        </is>
      </c>
      <c r="K6345" t="inlineStr">
        <is>
          <t>N/A</t>
        </is>
      </c>
      <c r="L6345" t="inlineStr">
        <is>
          <t>Strategic Planning, Vendor Management, Stakeholder Management, Continuous Improvement, People Management</t>
        </is>
      </c>
      <c r="M6345" t="inlineStr">
        <is>
          <t>Bonus, Paid Leave, Team Activities</t>
        </is>
      </c>
      <c r="N6345" s="8">
        <f>HYPERLINK("https://www.vietnamworks.com/office-manager-csr-and-general-services-2017158-jv","Xem chi tiết")</f>
        <v/>
      </c>
    </row>
    <row r="6346">
      <c r="B6346" s="9" t="n">
        <v>6344</v>
      </c>
      <c r="C6346" s="10" t="inlineStr">
        <is>
          <t>IE (Industrial Engineer)</t>
        </is>
      </c>
      <c r="D6346" s="10" t="inlineStr">
        <is>
          <t>Yakjin Ho Chi Minh Company Limited</t>
        </is>
      </c>
      <c r="E6346" s="10" t="inlineStr">
        <is>
          <t>Thương lượng</t>
        </is>
      </c>
      <c r="F6346" s="10" t="inlineStr">
        <is>
          <t>Hồ Chí Minh</t>
        </is>
      </c>
      <c r="G6346" s="10" t="inlineStr">
        <is>
          <t>Nhân viên</t>
        </is>
      </c>
      <c r="H6346" s="10" t="inlineStr">
        <is>
          <t>03/03/2026</t>
        </is>
      </c>
      <c r="I6346" s="10" t="inlineStr">
        <is>
          <t>02/04/2026</t>
        </is>
      </c>
      <c r="J6346" s="10" t="inlineStr">
        <is>
          <t>17/03/2026</t>
        </is>
      </c>
      <c r="K6346" s="10" t="inlineStr">
        <is>
          <t>N/A</t>
        </is>
      </c>
      <c r="L6346" s="10" t="inlineStr">
        <is>
          <t>Industrial Engineering, GSD Practitioner, Garment Manufacturing</t>
        </is>
      </c>
      <c r="M6346" s="10" t="inlineStr">
        <is>
          <t>Bonus, Canteen</t>
        </is>
      </c>
      <c r="N6346" s="11">
        <f>HYPERLINK("https://www.vietnamworks.com/ie-industrial-engineer--2017164-jv","Xem chi tiết")</f>
        <v/>
      </c>
      <c r="O6346" s="10" t="n"/>
    </row>
    <row r="6347">
      <c r="B6347" s="7" t="n">
        <v>6345</v>
      </c>
      <c r="C6347" t="inlineStr">
        <is>
          <t>Customer Service Executive</t>
        </is>
      </c>
      <c r="D6347" t="inlineStr">
        <is>
          <t>Uniexport CO., LTD</t>
        </is>
      </c>
      <c r="E6347" t="inlineStr">
        <is>
          <t>Thương lượng</t>
        </is>
      </c>
      <c r="F6347" t="inlineStr">
        <is>
          <t>Hồ Chí Minh</t>
        </is>
      </c>
      <c r="G6347" t="inlineStr">
        <is>
          <t>Nhân viên</t>
        </is>
      </c>
      <c r="H6347" t="inlineStr">
        <is>
          <t>03/03/2026</t>
        </is>
      </c>
      <c r="I6347" t="inlineStr">
        <is>
          <t>02/04/2026</t>
        </is>
      </c>
      <c r="J6347" t="inlineStr">
        <is>
          <t>17/03/2026</t>
        </is>
      </c>
      <c r="K6347" t="inlineStr">
        <is>
          <t>N/A</t>
        </is>
      </c>
      <c r="L6347" t="inlineStr">
        <is>
          <t>Communication, Customer Service, Logistics, Negotiation, Problem-solving</t>
        </is>
      </c>
      <c r="M6347" t="inlineStr">
        <is>
          <t>Bonus, Healthcare Plan, Paid Leave, Training, Team Activities, Others</t>
        </is>
      </c>
      <c r="N6347" s="8">
        <f>HYPERLINK("https://www.vietnamworks.com/customer-service-executive-2017172-jv","Xem chi tiết")</f>
        <v/>
      </c>
    </row>
    <row r="6348">
      <c r="B6348" s="9" t="n">
        <v>6346</v>
      </c>
      <c r="C6348" s="10" t="inlineStr">
        <is>
          <t>SAP Systems Analyst</t>
        </is>
      </c>
      <c r="D6348" s="10" t="inlineStr">
        <is>
          <t>CÔNG TY TNHH AJAX SYSTEMS VIỆT NAM</t>
        </is>
      </c>
      <c r="E6348" s="10" t="inlineStr">
        <is>
          <t>Thương lượng</t>
        </is>
      </c>
      <c r="F6348" s="10" t="inlineStr">
        <is>
          <t>Hải Dương, Hưng Yên, Hà Nội</t>
        </is>
      </c>
      <c r="G6348" s="10" t="inlineStr">
        <is>
          <t>Nhân viên</t>
        </is>
      </c>
      <c r="H6348" s="10" t="inlineStr">
        <is>
          <t>03/03/2026</t>
        </is>
      </c>
      <c r="I6348" s="10" t="inlineStr">
        <is>
          <t>02/04/2026</t>
        </is>
      </c>
      <c r="J6348" s="10" t="inlineStr">
        <is>
          <t>17/03/2026</t>
        </is>
      </c>
      <c r="K6348" s="10" t="inlineStr">
        <is>
          <t>N/A</t>
        </is>
      </c>
      <c r="L6348" s="10" t="inlineStr">
        <is>
          <t>SAP Application, SAP Utilization, SAP Analytics Cloud, Sap Module Development, SAP Client Based</t>
        </is>
      </c>
      <c r="M6348" s="10" t="inlineStr">
        <is>
          <t>Bonus, Laptop, Transportation</t>
        </is>
      </c>
      <c r="N6348" s="11">
        <f>HYPERLINK("https://www.vietnamworks.com/sap-systems-analyst--2017168-jv","Xem chi tiết")</f>
        <v/>
      </c>
      <c r="O6348" s="10" t="n"/>
    </row>
    <row r="6349">
      <c r="B6349" s="7" t="n">
        <v>6347</v>
      </c>
      <c r="C6349" t="inlineStr">
        <is>
          <t>Lãnh Đạo Ban Nhân Sự</t>
        </is>
      </c>
      <c r="D6349" t="inlineStr">
        <is>
          <t>Công Ty Cổ Phần Tập Đoàn Hòa Phát</t>
        </is>
      </c>
      <c r="E6349" t="inlineStr">
        <is>
          <t>Thương lượng</t>
        </is>
      </c>
      <c r="F6349" t="inlineStr">
        <is>
          <t>Hà Nội</t>
        </is>
      </c>
      <c r="G6349" t="inlineStr">
        <is>
          <t>Trưởng phòng</t>
        </is>
      </c>
      <c r="H6349" t="inlineStr">
        <is>
          <t>03/03/2026</t>
        </is>
      </c>
      <c r="I6349" t="inlineStr">
        <is>
          <t>02/04/2026</t>
        </is>
      </c>
      <c r="J6349" t="inlineStr">
        <is>
          <t>17/03/2026</t>
        </is>
      </c>
      <c r="K6349" t="inlineStr">
        <is>
          <t>N/A</t>
        </is>
      </c>
      <c r="L6349" t="inlineStr">
        <is>
          <t>Nhân Sự, Quản Trị Nhân Sự, Luật Lao Động, Hành Chính Nhân Sự, Quản Trị Kinh Doanh</t>
        </is>
      </c>
      <c r="M6349" t="inlineStr">
        <is>
          <t>Bonus, Healthcare Plan, Canteen</t>
        </is>
      </c>
      <c r="N6349" s="8">
        <f>HYPERLINK("https://www.vietnamworks.com/lanh-dao-ban-nhan-su-2017165-jv","Xem chi tiết")</f>
        <v/>
      </c>
    </row>
    <row r="6350">
      <c r="B6350" s="9" t="n">
        <v>6348</v>
      </c>
      <c r="C6350" s="10" t="inlineStr">
        <is>
          <t>Nhân Viên MES (IT)</t>
        </is>
      </c>
      <c r="D6350" s="10" t="inlineStr">
        <is>
          <t>CÔNG TY TNHH JCV CORP</t>
        </is>
      </c>
      <c r="E6350" s="10" t="inlineStr">
        <is>
          <t>Thương lượng</t>
        </is>
      </c>
      <c r="F6350" s="10" t="inlineStr">
        <is>
          <t>Hải Phòng</t>
        </is>
      </c>
      <c r="G6350" s="10" t="inlineStr">
        <is>
          <t>Nhân viên</t>
        </is>
      </c>
      <c r="H6350" s="10" t="inlineStr">
        <is>
          <t>03/03/2026</t>
        </is>
      </c>
      <c r="I6350" s="10" t="inlineStr">
        <is>
          <t>02/04/2026</t>
        </is>
      </c>
      <c r="J6350" s="10" t="inlineStr">
        <is>
          <t>17/03/2026</t>
        </is>
      </c>
      <c r="K6350" s="10" t="inlineStr">
        <is>
          <t>N/A</t>
        </is>
      </c>
      <c r="L6350" s="10" t="inlineStr">
        <is>
          <t>Hệ Thống MES, Phân Tích Dữ Liệu, Quản Trị Hệ Thống ERP, Giám Sát Hệ Thống, Kiểm Soát Tồn Kho</t>
        </is>
      </c>
      <c r="M6350" s="10" t="inlineStr">
        <is>
          <t>Bonus, Healthcare Plan, Paid Leave</t>
        </is>
      </c>
      <c r="N6350" s="11">
        <f>HYPERLINK("https://www.vietnamworks.com/nhan-vien-mes-it-2017179-jv","Xem chi tiết")</f>
        <v/>
      </c>
      <c r="O6350" s="10" t="n"/>
    </row>
    <row r="6351">
      <c r="B6351" s="7" t="n">
        <v>6349</v>
      </c>
      <c r="C6351" t="inlineStr">
        <is>
          <t>Account Support Executive (FCM Travel Solutions Vietnam)</t>
        </is>
      </c>
      <c r="D6351" t="inlineStr">
        <is>
          <t>Công ty TNHH Du lịch - Thương mại Tân Đông Dương</t>
        </is>
      </c>
      <c r="E6351" t="inlineStr">
        <is>
          <t>Thương lượng</t>
        </is>
      </c>
      <c r="F6351" t="inlineStr">
        <is>
          <t>Hồ Chí Minh</t>
        </is>
      </c>
      <c r="G6351" t="inlineStr">
        <is>
          <t>Mới Tốt Nghiệp</t>
        </is>
      </c>
      <c r="H6351" t="inlineStr">
        <is>
          <t>03/03/2026</t>
        </is>
      </c>
      <c r="I6351" t="inlineStr">
        <is>
          <t>02/04/2026</t>
        </is>
      </c>
      <c r="J6351" t="inlineStr">
        <is>
          <t>17/03/2026</t>
        </is>
      </c>
      <c r="K6351" t="inlineStr">
        <is>
          <t>N/A</t>
        </is>
      </c>
      <c r="L6351" t="inlineStr">
        <is>
          <t>Finance, General Accounting, Abcsys</t>
        </is>
      </c>
      <c r="M6351" t="inlineStr">
        <is>
          <t>Bonus, Healthcare Plan, Training</t>
        </is>
      </c>
      <c r="N6351" s="8">
        <f>HYPERLINK("https://www.vietnamworks.com/account-support-executive-fcm-travel-solutions-vietnam-1--2017186-jv","Xem chi tiết")</f>
        <v/>
      </c>
    </row>
    <row r="6352">
      <c r="B6352" s="9" t="n">
        <v>6350</v>
      </c>
      <c r="C6352" s="10" t="inlineStr">
        <is>
          <t>Nhân Viên Phụ Trách Truyền Thông Và Marketing</t>
        </is>
      </c>
      <c r="D6352" s="10" t="inlineStr">
        <is>
          <t>Công Ty TNHH Thủ Công Mỹ Nghệ Và Nội Thất Ngọc Sơn</t>
        </is>
      </c>
      <c r="E6352" s="10" t="inlineStr">
        <is>
          <t>Thương lượng</t>
        </is>
      </c>
      <c r="F6352" s="10" t="inlineStr">
        <is>
          <t>Hà Nội</t>
        </is>
      </c>
      <c r="G6352" s="10" t="inlineStr">
        <is>
          <t>Nhân viên</t>
        </is>
      </c>
      <c r="H6352" s="10" t="inlineStr">
        <is>
          <t>03/03/2026</t>
        </is>
      </c>
      <c r="I6352" s="10" t="inlineStr">
        <is>
          <t>02/04/2026</t>
        </is>
      </c>
      <c r="J6352" s="10" t="inlineStr">
        <is>
          <t>17/03/2026</t>
        </is>
      </c>
      <c r="K6352" s="10" t="inlineStr">
        <is>
          <t>N/A</t>
        </is>
      </c>
      <c r="L6352" s="10" t="inlineStr">
        <is>
          <t>Giao Tiếp, Marketing Development, Quan Hệ Công Chúng, Truyền Thông, Truyền Thông Báo Chí</t>
        </is>
      </c>
      <c r="M6352" s="10" t="inlineStr">
        <is>
          <t>Bonus, Healthcare Plan, Training, Travel Opportunities, Team Activities, Transportation</t>
        </is>
      </c>
      <c r="N6352" s="11">
        <f>HYPERLINK("https://www.vietnamworks.com/nhan-vien-phu-trach-truyen-thong-va-marketing-2017182-jv","Xem chi tiết")</f>
        <v/>
      </c>
      <c r="O6352" s="10" t="n"/>
    </row>
    <row r="6353">
      <c r="B6353" s="7" t="n">
        <v>6351</v>
      </c>
      <c r="C6353" t="inlineStr">
        <is>
          <t>Chuyên Viên Cao Cấp Phụ Trách Năng Suất Lao Động - Senior Workforce Productivity Specialist - Retail Banking - Khối Khách Hàng Cá Nhân (HO26.63)</t>
        </is>
      </c>
      <c r="D6353" t="inlineStr">
        <is>
          <t>NGÂN HÀNG TMCP QUÂN ĐỘI – MBBANK</t>
        </is>
      </c>
      <c r="E6353" t="inlineStr">
        <is>
          <t>Thương lượng</t>
        </is>
      </c>
      <c r="F6353" t="inlineStr">
        <is>
          <t>Hà Nội</t>
        </is>
      </c>
      <c r="G6353" t="inlineStr">
        <is>
          <t>Giám Đốc và Cấp Cao Hơn</t>
        </is>
      </c>
      <c r="H6353" t="inlineStr">
        <is>
          <t>03/03/2026</t>
        </is>
      </c>
      <c r="I6353" t="inlineStr">
        <is>
          <t>02/04/2026</t>
        </is>
      </c>
      <c r="J6353" t="inlineStr">
        <is>
          <t>17/03/2026</t>
        </is>
      </c>
      <c r="K6353" t="inlineStr">
        <is>
          <t>N/A</t>
        </is>
      </c>
      <c r="L6353" t="inlineStr">
        <is>
          <t>Business Development, Retail banking, Business Planning, Workforce Analytics, KPI Management</t>
        </is>
      </c>
      <c r="M6353" t="inlineStr">
        <is>
          <t>Bonus, Healthcare Plan, Paid Leave, Training, Awards, Team Activities, Others</t>
        </is>
      </c>
      <c r="N6353" s="8">
        <f>HYPERLINK("https://www.vietnamworks.com/chuyen-vien-cao-cap-phu-trach-nang-suat-lao-djong-senior-workforce-productivity-specialist-retail-banking-khoi-khach-hang-ca-nhan-ho26-63-2017180-jv","Xem chi tiết")</f>
        <v/>
      </c>
    </row>
    <row r="6354">
      <c r="B6354" s="9" t="n">
        <v>6352</v>
      </c>
      <c r="C6354" s="10" t="inlineStr">
        <is>
          <t>Risk Manager in Business Consulting Service (For Non-Financial Service Organization) - Hanoi Office</t>
        </is>
      </c>
      <c r="D6354" s="10" t="inlineStr">
        <is>
          <t>Ernst &amp; Young Vietnam Limited (EY Vietnam)</t>
        </is>
      </c>
      <c r="E6354" s="10" t="inlineStr">
        <is>
          <t>Thương lượng</t>
        </is>
      </c>
      <c r="F6354" s="10" t="inlineStr">
        <is>
          <t>Hà Nội</t>
        </is>
      </c>
      <c r="G6354" s="10" t="inlineStr">
        <is>
          <t>Trưởng phòng</t>
        </is>
      </c>
      <c r="H6354" s="10" t="inlineStr">
        <is>
          <t>03/03/2026</t>
        </is>
      </c>
      <c r="I6354" s="10" t="inlineStr">
        <is>
          <t>02/04/2026</t>
        </is>
      </c>
      <c r="J6354" s="10" t="inlineStr">
        <is>
          <t>17/03/2026</t>
        </is>
      </c>
      <c r="K6354" s="10" t="inlineStr">
        <is>
          <t>N/A</t>
        </is>
      </c>
      <c r="L6354" s="10" t="inlineStr">
        <is>
          <t>Business Development &amp; Client Relations, Internal Audit, Internal Control, Risk Management, Strategy Consulting</t>
        </is>
      </c>
      <c r="M6354" s="10" t="inlineStr">
        <is>
          <t>Training, Others</t>
        </is>
      </c>
      <c r="N6354" s="11">
        <f>HYPERLINK("https://www.vietnamworks.com/risk-manager-in-business-consulting-service-for-non-financial-service-organization-hanoi-office-2017173-jv","Xem chi tiết")</f>
        <v/>
      </c>
      <c r="O6354" s="10" t="n"/>
    </row>
    <row r="6355">
      <c r="B6355" s="7" t="n">
        <v>6353</v>
      </c>
      <c r="C6355" t="inlineStr">
        <is>
          <t>Chuyên Viên Kế Toán Bán Hàng - Nợ Phải Thu</t>
        </is>
      </c>
      <c r="D6355" t="inlineStr">
        <is>
          <t>Công Ty Cổ Phần Sữa Việt Nam (Vinamilk)</t>
        </is>
      </c>
      <c r="E6355" t="inlineStr">
        <is>
          <t>Thương lượng</t>
        </is>
      </c>
      <c r="F6355" t="inlineStr">
        <is>
          <t>Hồ Chí Minh</t>
        </is>
      </c>
      <c r="G6355" t="inlineStr">
        <is>
          <t>Nhân viên</t>
        </is>
      </c>
      <c r="H6355" t="inlineStr">
        <is>
          <t>03/03/2026</t>
        </is>
      </c>
      <c r="I6355" t="inlineStr">
        <is>
          <t>02/04/2026</t>
        </is>
      </c>
      <c r="J6355" t="inlineStr">
        <is>
          <t>17/03/2026</t>
        </is>
      </c>
      <c r="K6355" t="inlineStr">
        <is>
          <t>N/A</t>
        </is>
      </c>
      <c r="L6355" t="inlineStr">
        <is>
          <t>Kế Toán Công Nợ, Kế Toán Tài Chính, FMCG, Dairy Science, Account Receivable</t>
        </is>
      </c>
      <c r="M6355" t="inlineStr">
        <is>
          <t>Bonus, Healthcare Plan, Training</t>
        </is>
      </c>
      <c r="N6355" s="8">
        <f>HYPERLINK("https://www.vietnamworks.com/chuyen-vien-ke-toan-ban-hang-no-phai-thu-1-1-1-1-1-1--2017171-jv","Xem chi tiết")</f>
        <v/>
      </c>
    </row>
    <row r="6356">
      <c r="B6356" s="9" t="n">
        <v>6354</v>
      </c>
      <c r="C6356" s="10" t="inlineStr">
        <is>
          <t>Nhân Viên QC Phòng Nghiên Cứu và Phát Triển</t>
        </is>
      </c>
      <c r="D6356" s="10" t="inlineStr">
        <is>
          <t>Công Ty TNHH Komlife Việt Nam</t>
        </is>
      </c>
      <c r="E6356" s="10" t="inlineStr">
        <is>
          <t>8tr-12tr ₫/tháng</t>
        </is>
      </c>
      <c r="F6356" s="10" t="inlineStr">
        <is>
          <t>Hưng Yên, Bắc Ninh, Hà Nội</t>
        </is>
      </c>
      <c r="G6356" s="10" t="inlineStr">
        <is>
          <t>Nhân viên</t>
        </is>
      </c>
      <c r="H6356" s="10" t="inlineStr">
        <is>
          <t>03/03/2026</t>
        </is>
      </c>
      <c r="I6356" s="10" t="inlineStr">
        <is>
          <t>02/04/2026</t>
        </is>
      </c>
      <c r="J6356" s="10" t="inlineStr">
        <is>
          <t>17/03/2026</t>
        </is>
      </c>
      <c r="K6356" s="10" t="inlineStr">
        <is>
          <t>N/A</t>
        </is>
      </c>
      <c r="L6356" s="10" t="inlineStr">
        <is>
          <t>Kiểm Tra Chất Lượng, Quản lý chất lượng, Soạn Báo Cáo, Quản Lý Vấn Đề, trách nhiệm cao</t>
        </is>
      </c>
      <c r="M6356" s="10" t="inlineStr">
        <is>
          <t>Bonus, Healthcare Plan, Paid Leave</t>
        </is>
      </c>
      <c r="N6356" s="11">
        <f>HYPERLINK("https://www.vietnamworks.com/nhan-vien-qc-phong-nghien-cuu-va-phat-trien-2017175-jv","Xem chi tiết")</f>
        <v/>
      </c>
      <c r="O6356" s="10" t="n"/>
    </row>
    <row r="6357">
      <c r="B6357" s="7" t="n">
        <v>6355</v>
      </c>
      <c r="C6357" t="inlineStr">
        <is>
          <t>Legal Specialist</t>
        </is>
      </c>
      <c r="D6357" t="inlineStr">
        <is>
          <t>CÔNG TY TNHH DE HEUS</t>
        </is>
      </c>
      <c r="E6357" t="inlineStr">
        <is>
          <t>Thương lượng</t>
        </is>
      </c>
      <c r="F6357" t="inlineStr">
        <is>
          <t>Hồ Chí Minh</t>
        </is>
      </c>
      <c r="G6357" t="inlineStr">
        <is>
          <t>Nhân viên</t>
        </is>
      </c>
      <c r="H6357" t="inlineStr">
        <is>
          <t>03/03/2026</t>
        </is>
      </c>
      <c r="I6357" t="inlineStr">
        <is>
          <t>02/04/2026</t>
        </is>
      </c>
      <c r="J6357" t="inlineStr">
        <is>
          <t>17/03/2026</t>
        </is>
      </c>
      <c r="K6357" t="inlineStr">
        <is>
          <t>N/A</t>
        </is>
      </c>
      <c r="L6357" t="inlineStr">
        <is>
          <t>Contract Review</t>
        </is>
      </c>
      <c r="M6357" t="inlineStr">
        <is>
          <t>Bonus, Healthcare Plan, Training</t>
        </is>
      </c>
      <c r="N6357" s="8">
        <f>HYPERLINK("https://www.vietnamworks.com/legal-specialist-2017167-jv","Xem chi tiết")</f>
        <v/>
      </c>
    </row>
    <row r="6358">
      <c r="B6358" s="9" t="n">
        <v>6356</v>
      </c>
      <c r="C6358" s="10" t="inlineStr">
        <is>
          <t>Trưởng Phòng Khoa Học Công Nghệ &amp; Hợp Tác Quốc Tế</t>
        </is>
      </c>
      <c r="D6358" s="10" t="inlineStr">
        <is>
          <t>FPT Corporation</t>
        </is>
      </c>
      <c r="E6358" s="10" t="inlineStr">
        <is>
          <t>Thương lượng</t>
        </is>
      </c>
      <c r="F6358" s="10" t="inlineStr">
        <is>
          <t>Hà Nội</t>
        </is>
      </c>
      <c r="G6358" s="10" t="inlineStr">
        <is>
          <t>Trưởng phòng</t>
        </is>
      </c>
      <c r="H6358" s="10" t="inlineStr">
        <is>
          <t>03/03/2026</t>
        </is>
      </c>
      <c r="I6358" s="10" t="inlineStr">
        <is>
          <t>02/04/2026</t>
        </is>
      </c>
      <c r="J6358" s="10" t="inlineStr">
        <is>
          <t>17/03/2026</t>
        </is>
      </c>
      <c r="K6358" s="10" t="inlineStr">
        <is>
          <t>N/A</t>
        </is>
      </c>
      <c r="L6358" s="10" t="inlineStr">
        <is>
          <t>AI Research, Cyber Security, Hợp Tác Quốc Tế, Khoa Học Dữ Liệu, Strategic partnerships</t>
        </is>
      </c>
      <c r="M6358" s="10" t="inlineStr">
        <is>
          <t>Healthcare Plan, Paid Leave, Others</t>
        </is>
      </c>
      <c r="N6358" s="11">
        <f>HYPERLINK("https://www.vietnamworks.com/truong-phong-khoa-hoc-cong-nghe-and-hop-tac-quoc-te-2017174-jv","Xem chi tiết")</f>
        <v/>
      </c>
      <c r="O6358" s="10" t="n"/>
    </row>
    <row r="6359">
      <c r="B6359" s="7" t="n">
        <v>6357</v>
      </c>
      <c r="C6359" t="inlineStr">
        <is>
          <t>Chuyên Viên Kế Toán Nợ Phải Trả</t>
        </is>
      </c>
      <c r="D6359" t="inlineStr">
        <is>
          <t>Công Ty Cổ Phần Sữa Việt Nam (Vinamilk)</t>
        </is>
      </c>
      <c r="E6359" t="inlineStr">
        <is>
          <t>Thương lượng</t>
        </is>
      </c>
      <c r="F6359" t="inlineStr">
        <is>
          <t>Hồ Chí Minh</t>
        </is>
      </c>
      <c r="G6359" t="inlineStr">
        <is>
          <t>Nhân viên</t>
        </is>
      </c>
      <c r="H6359" t="inlineStr">
        <is>
          <t>03/03/2026</t>
        </is>
      </c>
      <c r="I6359" t="inlineStr">
        <is>
          <t>02/04/2026</t>
        </is>
      </c>
      <c r="J6359" t="inlineStr">
        <is>
          <t>17/03/2026</t>
        </is>
      </c>
      <c r="K6359" t="inlineStr">
        <is>
          <t>N/A</t>
        </is>
      </c>
      <c r="L6359" t="inlineStr">
        <is>
          <t>Accounts Payable, Kế Toán, Tài Chính, FMCG</t>
        </is>
      </c>
      <c r="M6359" t="inlineStr">
        <is>
          <t>Bonus, Healthcare Plan, Training</t>
        </is>
      </c>
      <c r="N6359" s="8">
        <f>HYPERLINK("https://www.vietnamworks.com/chuyen-vien-ke-toan-no-phai-tra--2017169-jv","Xem chi tiết")</f>
        <v/>
      </c>
    </row>
    <row r="6360">
      <c r="B6360" s="9" t="n">
        <v>6358</v>
      </c>
      <c r="C6360" s="10" t="inlineStr">
        <is>
          <t>Nhân Viên Kế Toán Tổng Hợp</t>
        </is>
      </c>
      <c r="D6360" s="10" t="inlineStr">
        <is>
          <t>Công Ty TNHH Thủ Công Mỹ Nghệ Và Nội Thất Ngọc Sơn</t>
        </is>
      </c>
      <c r="E6360" s="10" t="inlineStr">
        <is>
          <t>Thương lượng</t>
        </is>
      </c>
      <c r="F6360" s="10" t="inlineStr">
        <is>
          <t>Hà Nội</t>
        </is>
      </c>
      <c r="G6360" s="10" t="inlineStr">
        <is>
          <t>Nhân viên</t>
        </is>
      </c>
      <c r="H6360" s="10" t="inlineStr">
        <is>
          <t>03/03/2026</t>
        </is>
      </c>
      <c r="I6360" s="10" t="inlineStr">
        <is>
          <t>02/04/2026</t>
        </is>
      </c>
      <c r="J6360" s="10" t="inlineStr">
        <is>
          <t>17/03/2026</t>
        </is>
      </c>
      <c r="K6360" s="10" t="inlineStr">
        <is>
          <t>N/A</t>
        </is>
      </c>
      <c r="L6360" s="10" t="inlineStr">
        <is>
          <t>Kế Toán Tổng Hợp, Office Support, PowerPoint, Nghiệp Vụ Kế Toán, Theo Dõi Công Nợ</t>
        </is>
      </c>
      <c r="M6360" s="10" t="inlineStr">
        <is>
          <t>Bonus, Healthcare Plan, Training, Travel Opportunities, Team Activities, Transportation</t>
        </is>
      </c>
      <c r="N6360" s="11">
        <f>HYPERLINK("https://www.vietnamworks.com/nhan-vien-ke-toan-tong-hop-2017176-jv","Xem chi tiết")</f>
        <v/>
      </c>
      <c r="O6360" s="10" t="n"/>
    </row>
    <row r="6361">
      <c r="B6361" s="7" t="n">
        <v>6359</v>
      </c>
      <c r="C6361" t="inlineStr">
        <is>
          <t>Quality Assurance Specialist</t>
        </is>
      </c>
      <c r="D6361" t="inlineStr">
        <is>
          <t>Bayer Vietnam Limited (Bvl)</t>
        </is>
      </c>
      <c r="E6361" t="inlineStr">
        <is>
          <t>Thương lượng</t>
        </is>
      </c>
      <c r="F6361" t="inlineStr">
        <is>
          <t>Hồ Chí Minh</t>
        </is>
      </c>
      <c r="G6361" t="inlineStr">
        <is>
          <t>Nhân viên</t>
        </is>
      </c>
      <c r="H6361" t="inlineStr">
        <is>
          <t>03/03/2026</t>
        </is>
      </c>
      <c r="I6361" t="inlineStr">
        <is>
          <t>02/04/2026</t>
        </is>
      </c>
      <c r="J6361" t="inlineStr">
        <is>
          <t>17/03/2026</t>
        </is>
      </c>
      <c r="K6361" t="inlineStr">
        <is>
          <t>N/A</t>
        </is>
      </c>
      <c r="L6361" t="inlineStr">
        <is>
          <t>Quality Management, English, ISO 9001, Quality Assurance, Quality Inspection</t>
        </is>
      </c>
      <c r="M6361" t="inlineStr">
        <is>
          <t>Bonus</t>
        </is>
      </c>
      <c r="N6361" s="8">
        <f>HYPERLINK("https://www.vietnamworks.com/quality-assurance-specialist-2017198-jv","Xem chi tiết")</f>
        <v/>
      </c>
    </row>
    <row r="6362">
      <c r="B6362" s="9" t="n">
        <v>6360</v>
      </c>
      <c r="C6362" s="10" t="inlineStr">
        <is>
          <t>International Sales Manager (Based in Viet Nam)</t>
        </is>
      </c>
      <c r="D6362" s="10" t="inlineStr">
        <is>
          <t>Công Ty TNHH Gardenline International (VN)</t>
        </is>
      </c>
      <c r="E6362" s="10" t="inlineStr">
        <is>
          <t>Thương lượng</t>
        </is>
      </c>
      <c r="F6362" s="10" t="inlineStr">
        <is>
          <t>Hồ Chí Minh</t>
        </is>
      </c>
      <c r="G6362" s="10" t="inlineStr">
        <is>
          <t>Giám Đốc và Cấp Cao Hơn</t>
        </is>
      </c>
      <c r="H6362" s="10" t="inlineStr">
        <is>
          <t>03/03/2026</t>
        </is>
      </c>
      <c r="I6362" s="10" t="inlineStr">
        <is>
          <t>02/04/2026</t>
        </is>
      </c>
      <c r="J6362" s="10" t="inlineStr">
        <is>
          <t>17/03/2026</t>
        </is>
      </c>
      <c r="K6362" s="10" t="inlineStr">
        <is>
          <t>N/A</t>
        </is>
      </c>
      <c r="L6362" s="10" t="inlineStr">
        <is>
          <t>English, Business Administration, Order Processing, Outdoor Furniture, International sale</t>
        </is>
      </c>
      <c r="M6362" s="10" t="inlineStr">
        <is>
          <t>Bonus, Healthcare Plan, Others</t>
        </is>
      </c>
      <c r="N6362" s="11">
        <f>HYPERLINK("https://www.vietnamworks.com/international-sales-manager-based-in-viet-nam-2017189-jv","Xem chi tiết")</f>
        <v/>
      </c>
      <c r="O6362" s="10" t="n"/>
    </row>
    <row r="6363">
      <c r="B6363" s="7" t="n">
        <v>6361</v>
      </c>
      <c r="C6363" t="inlineStr">
        <is>
          <t>Chuyên Viên Tư Vấn Bất Động Sản Cao Cấp Masterise</t>
        </is>
      </c>
      <c r="D6363" t="inlineStr">
        <is>
          <t>One Mount</t>
        </is>
      </c>
      <c r="E6363" t="inlineStr">
        <is>
          <t>50tr-100tr ₫/tháng</t>
        </is>
      </c>
      <c r="F6363" t="inlineStr">
        <is>
          <t>Hồ Chí Minh</t>
        </is>
      </c>
      <c r="G6363" t="inlineStr">
        <is>
          <t>Nhân viên</t>
        </is>
      </c>
      <c r="H6363" t="inlineStr">
        <is>
          <t>03/03/2026</t>
        </is>
      </c>
      <c r="I6363" t="inlineStr">
        <is>
          <t>02/04/2026</t>
        </is>
      </c>
      <c r="J6363" t="inlineStr">
        <is>
          <t>17/03/2026</t>
        </is>
      </c>
      <c r="K6363" t="inlineStr">
        <is>
          <t>N/A</t>
        </is>
      </c>
      <c r="L6363" t="inlineStr">
        <is>
          <t>Bất Động Sản, Kỹ năng làm việc nhóm, Tư Vấn Khách Hàng, Đàm Phán</t>
        </is>
      </c>
      <c r="M6363" t="inlineStr">
        <is>
          <t>Bonus, Healthcare Plan, Training, Awards, Laptop, Others</t>
        </is>
      </c>
      <c r="N6363" s="8">
        <f>HYPERLINK("https://www.vietnamworks.com/chuyen-vien-tu-van-bat-djong-san-cao-cap-masterise-2017192-jv","Xem chi tiết")</f>
        <v/>
      </c>
    </row>
    <row r="6364">
      <c r="B6364" s="9" t="n">
        <v>6362</v>
      </c>
      <c r="C6364" s="10" t="inlineStr">
        <is>
          <t>Nhân Viên Kinh Doanh (Thu Nhập Trung Bình 200-700Tr/năm)</t>
        </is>
      </c>
      <c r="D6364" s="10" t="inlineStr">
        <is>
          <t>CÔNG TY CỔ PHẦN VẬT TƯ CÔNG NGHIỆP Á CHÂU</t>
        </is>
      </c>
      <c r="E6364" s="10" t="inlineStr">
        <is>
          <t>200tr-700tr ₫/năm</t>
        </is>
      </c>
      <c r="F6364" s="10" t="inlineStr">
        <is>
          <t>Hà Nội</t>
        </is>
      </c>
      <c r="G6364" s="10" t="inlineStr">
        <is>
          <t>Nhân viên</t>
        </is>
      </c>
      <c r="H6364" s="10" t="inlineStr">
        <is>
          <t>03/03/2026</t>
        </is>
      </c>
      <c r="I6364" s="10" t="inlineStr">
        <is>
          <t>02/04/2026</t>
        </is>
      </c>
      <c r="J6364" s="10" t="inlineStr">
        <is>
          <t>17/03/2026</t>
        </is>
      </c>
      <c r="K6364" s="10" t="inlineStr">
        <is>
          <t>N/A</t>
        </is>
      </c>
      <c r="L6364" s="10" t="inlineStr">
        <is>
          <t>Tiếng Anh, Tìm Kiếm Khách Hàng, Kinh Doanh Kỹ Thuật, Thiết Bị Công Nghiệp</t>
        </is>
      </c>
      <c r="M6364" s="10" t="inlineStr">
        <is>
          <t>Bonus, Healthcare Plan, Awards</t>
        </is>
      </c>
      <c r="N6364" s="11">
        <f>HYPERLINK("https://www.vietnamworks.com/nhan-vien-kinh-doanh-thu-nhap-trung-binh-200-700tr-nam--2017178-jv","Xem chi tiết")</f>
        <v/>
      </c>
      <c r="O6364" s="10" t="n"/>
    </row>
    <row r="6365">
      <c r="B6365" s="7" t="n">
        <v>6363</v>
      </c>
      <c r="C6365" t="inlineStr">
        <is>
          <t>Maintenance Technician- KCN Loc An, Long Thanh, Dong Nai Site</t>
        </is>
      </c>
      <c r="D6365" t="inlineStr">
        <is>
          <t>MSD</t>
        </is>
      </c>
      <c r="E6365" t="inlineStr">
        <is>
          <t>Thương lượng</t>
        </is>
      </c>
      <c r="F6365" t="inlineStr">
        <is>
          <t>Đồng Nai</t>
        </is>
      </c>
      <c r="G6365" t="inlineStr">
        <is>
          <t>Nhân viên</t>
        </is>
      </c>
      <c r="H6365" t="inlineStr">
        <is>
          <t>03/03/2026</t>
        </is>
      </c>
      <c r="I6365" t="inlineStr">
        <is>
          <t>02/04/2026</t>
        </is>
      </c>
      <c r="J6365" t="inlineStr">
        <is>
          <t>17/03/2026</t>
        </is>
      </c>
      <c r="K6365" t="inlineStr">
        <is>
          <t>N/A</t>
        </is>
      </c>
      <c r="L6365" t="inlineStr">
        <is>
          <t>Automation System Design, Creative Mindset, Electrical Systems, Maintenance Management, Troubleshooting</t>
        </is>
      </c>
      <c r="M6365" t="inlineStr">
        <is>
          <t>Bonus, Healthcare Plan, Paid Leave, Canteen</t>
        </is>
      </c>
      <c r="N6365" s="8">
        <f>HYPERLINK("https://www.vietnamworks.com/maintenance-technician-kcn-loc-an-long-thanh-dong-nai-site-2017190-jv","Xem chi tiết")</f>
        <v/>
      </c>
    </row>
    <row r="6366">
      <c r="B6366" s="9" t="n">
        <v>6364</v>
      </c>
      <c r="C6366" s="10" t="inlineStr">
        <is>
          <t>Trợ Lý Giám Đốc</t>
        </is>
      </c>
      <c r="D6366" s="10" t="inlineStr">
        <is>
          <t>Công Ty TNHH Komlife Việt Nam</t>
        </is>
      </c>
      <c r="E6366" s="10" t="inlineStr">
        <is>
          <t>9tr-12tr ₫/tháng</t>
        </is>
      </c>
      <c r="F6366" s="10" t="inlineStr">
        <is>
          <t>Hưng Yên, Hà Nội, Bắc Ninh</t>
        </is>
      </c>
      <c r="G6366" s="10" t="inlineStr">
        <is>
          <t>Nhân viên</t>
        </is>
      </c>
      <c r="H6366" s="10" t="inlineStr">
        <is>
          <t>03/03/2026</t>
        </is>
      </c>
      <c r="I6366" s="10" t="inlineStr">
        <is>
          <t>02/04/2026</t>
        </is>
      </c>
      <c r="J6366" s="10" t="inlineStr">
        <is>
          <t>17/03/2026</t>
        </is>
      </c>
      <c r="K6366" s="10" t="inlineStr">
        <is>
          <t>N/A</t>
        </is>
      </c>
      <c r="L6366" s="10" t="inlineStr">
        <is>
          <t>Kế Toán, Quản Trị, Lập Báo Cáo, Điều Phối, năng động</t>
        </is>
      </c>
      <c r="M6366" s="10" t="inlineStr">
        <is>
          <t>Bonus, Healthcare Plan, Paid Leave</t>
        </is>
      </c>
      <c r="N6366" s="11">
        <f>HYPERLINK("https://www.vietnamworks.com/tro-ly-giam-doc--2017187-jv","Xem chi tiết")</f>
        <v/>
      </c>
      <c r="O6366" s="10" t="n"/>
    </row>
    <row r="6367">
      <c r="B6367" s="7" t="n">
        <v>6365</v>
      </c>
      <c r="C6367" t="inlineStr">
        <is>
          <t>General Accountant (Female | 0–3 Years Experience)</t>
        </is>
      </c>
      <c r="D6367" t="inlineStr">
        <is>
          <t>Công Ty TNHH Kỹ Thuật Và Xây Dựng Kovis</t>
        </is>
      </c>
      <c r="E6367" t="inlineStr">
        <is>
          <t>10tr-17tr ₫/tháng</t>
        </is>
      </c>
      <c r="F6367" t="inlineStr">
        <is>
          <t>Hồ Chí Minh</t>
        </is>
      </c>
      <c r="G6367" t="inlineStr">
        <is>
          <t>Nhân viên</t>
        </is>
      </c>
      <c r="H6367" t="inlineStr">
        <is>
          <t>03/03/2026</t>
        </is>
      </c>
      <c r="I6367" t="inlineStr">
        <is>
          <t>02/04/2026</t>
        </is>
      </c>
      <c r="J6367" t="inlineStr">
        <is>
          <t>17/03/2026</t>
        </is>
      </c>
      <c r="K6367" t="inlineStr">
        <is>
          <t>N/A</t>
        </is>
      </c>
      <c r="L6367" t="inlineStr">
        <is>
          <t>Accounting Standards, Accounting Transactions, Bookkeeping, Financial Statements</t>
        </is>
      </c>
      <c r="M6367" t="inlineStr">
        <is>
          <t>Bonus, Paid Leave, Others</t>
        </is>
      </c>
      <c r="N6367" s="8">
        <f>HYPERLINK("https://www.vietnamworks.com/general-accountant-female-0-3-years-experience-2017194-jv","Xem chi tiết")</f>
        <v/>
      </c>
    </row>
    <row r="6368">
      <c r="B6368" s="9" t="n">
        <v>6366</v>
      </c>
      <c r="C6368" s="10" t="inlineStr">
        <is>
          <t>Phó Phòng Tổ Chức Thi (Quản Lý Dữ Liệu)</t>
        </is>
      </c>
      <c r="D6368" s="10" t="inlineStr">
        <is>
          <t>IIG VIỆT NAM</t>
        </is>
      </c>
      <c r="E6368" s="10" t="inlineStr">
        <is>
          <t>Tới $ 1,500 /tháng</t>
        </is>
      </c>
      <c r="F6368" s="10" t="inlineStr">
        <is>
          <t>Hà Nội</t>
        </is>
      </c>
      <c r="G6368" s="10" t="inlineStr">
        <is>
          <t>Trưởng phòng</t>
        </is>
      </c>
      <c r="H6368" s="10" t="inlineStr">
        <is>
          <t>03/03/2026</t>
        </is>
      </c>
      <c r="I6368" s="10" t="inlineStr">
        <is>
          <t>02/04/2026</t>
        </is>
      </c>
      <c r="J6368" s="10" t="inlineStr">
        <is>
          <t>17/03/2026</t>
        </is>
      </c>
      <c r="K6368" s="10" t="inlineStr">
        <is>
          <t>N/A</t>
        </is>
      </c>
      <c r="L6368" s="10" t="inlineStr">
        <is>
          <t>Quản Lý Dữ Liệu, Quản Trị Rủi Ro, Bảo Mật Thông Tin, PowerBI, Power Query</t>
        </is>
      </c>
      <c r="M6368" s="10" t="inlineStr">
        <is>
          <t>Bonus, Healthcare Plan, Paid Leave</t>
        </is>
      </c>
      <c r="N6368" s="11">
        <f>HYPERLINK("https://www.vietnamworks.com/pho-phong-to-chuc-thi-quan-ly-du-lieu-2017195-jv","Xem chi tiết")</f>
        <v/>
      </c>
      <c r="O6368" s="10" t="n"/>
    </row>
    <row r="6369">
      <c r="B6369" s="7" t="n">
        <v>6367</v>
      </c>
      <c r="C6369" t="inlineStr">
        <is>
          <t>Nữ Nhân Viên Xuất Nhập Khẩu - Phỏng Vấn Đi Làm Ngay</t>
        </is>
      </c>
      <c r="D6369" t="inlineStr">
        <is>
          <t>CÔNG TY TNHH VIETSUN GREEN</t>
        </is>
      </c>
      <c r="E6369" t="inlineStr">
        <is>
          <t>15tr-25tr ₫/tháng</t>
        </is>
      </c>
      <c r="F6369" t="inlineStr">
        <is>
          <t>Hồ Chí Minh</t>
        </is>
      </c>
      <c r="G6369" t="inlineStr">
        <is>
          <t>Nhân viên</t>
        </is>
      </c>
      <c r="H6369" t="inlineStr">
        <is>
          <t>03/03/2026</t>
        </is>
      </c>
      <c r="I6369" t="inlineStr">
        <is>
          <t>02/04/2026</t>
        </is>
      </c>
      <c r="J6369" t="inlineStr">
        <is>
          <t>17/03/2026</t>
        </is>
      </c>
      <c r="K6369" t="inlineStr">
        <is>
          <t>N/A</t>
        </is>
      </c>
      <c r="L6369" t="inlineStr">
        <is>
          <t>Xuất Nhập Khẩu, Chứng Từ Thanh Toán, English, Nghiệp Vụ Ngoại Thương, Theo Dõi Đơn Hàng</t>
        </is>
      </c>
      <c r="M6369" t="inlineStr">
        <is>
          <t>Bonus, Healthcare Plan, Paid Leave, Travel Opportunities, Team Activities</t>
        </is>
      </c>
      <c r="N6369" s="8">
        <f>HYPERLINK("https://www.vietnamworks.com/nu-nhan-vien-xuat-nhap-khau-phong-van-dji-lam-ngay-2017201-jv","Xem chi tiết")</f>
        <v/>
      </c>
    </row>
    <row r="6370">
      <c r="B6370" s="9" t="n">
        <v>6368</v>
      </c>
      <c r="C6370" s="10" t="inlineStr">
        <is>
          <t>Product Designer (UX/UI - Junior)</t>
        </is>
      </c>
      <c r="D6370" s="10" t="inlineStr">
        <is>
          <t>Giftee Tech Vietnam</t>
        </is>
      </c>
      <c r="E6370" s="10" t="inlineStr">
        <is>
          <t>$$ 800-1,000 /tháng</t>
        </is>
      </c>
      <c r="F6370" s="10" t="inlineStr">
        <is>
          <t>Hồ Chí Minh</t>
        </is>
      </c>
      <c r="G6370" s="10" t="inlineStr">
        <is>
          <t>Nhân viên</t>
        </is>
      </c>
      <c r="H6370" s="10" t="inlineStr">
        <is>
          <t>03/03/2026</t>
        </is>
      </c>
      <c r="I6370" s="10" t="inlineStr">
        <is>
          <t>02/04/2026</t>
        </is>
      </c>
      <c r="J6370" s="10" t="inlineStr">
        <is>
          <t>17/03/2026</t>
        </is>
      </c>
      <c r="K6370" s="10" t="inlineStr">
        <is>
          <t>N/A</t>
        </is>
      </c>
      <c r="L6370" s="10" t="inlineStr">
        <is>
          <t>UXUI Design, Product Designer, Web App Design, Product Research, English</t>
        </is>
      </c>
      <c r="M6370" s="10" t="inlineStr">
        <is>
          <t>Bonus, Healthcare Plan, Laptop</t>
        </is>
      </c>
      <c r="N6370" s="11">
        <f>HYPERLINK("https://www.vietnamworks.com/product-designer-ux-ui-junior-2017215-jv","Xem chi tiết")</f>
        <v/>
      </c>
      <c r="O6370" s="10" t="n"/>
    </row>
    <row r="6371">
      <c r="B6371" s="7" t="n">
        <v>6369</v>
      </c>
      <c r="C6371" t="inlineStr">
        <is>
          <t>Kỹ Sư Xây Dựng Thu Nhập Từ 25 Triệu ++</t>
        </is>
      </c>
      <c r="D6371" t="inlineStr">
        <is>
          <t>Công Ty TNHH Kiến Trúc Nội Thất Duy Tân</t>
        </is>
      </c>
      <c r="E6371" t="inlineStr">
        <is>
          <t>15tr-25tr ₫/tháng</t>
        </is>
      </c>
      <c r="F6371" t="inlineStr">
        <is>
          <t>Hà Nội, Thanh Hóa, Trà Vinh</t>
        </is>
      </c>
      <c r="G6371" t="inlineStr">
        <is>
          <t>Nhân viên</t>
        </is>
      </c>
      <c r="H6371" t="inlineStr">
        <is>
          <t>03/03/2026</t>
        </is>
      </c>
      <c r="I6371" t="inlineStr">
        <is>
          <t>02/04/2026</t>
        </is>
      </c>
      <c r="J6371" t="inlineStr">
        <is>
          <t>17/03/2026</t>
        </is>
      </c>
      <c r="K6371" t="inlineStr">
        <is>
          <t>N/A</t>
        </is>
      </c>
      <c r="L6371" t="inlineStr">
        <is>
          <t>Quản Lý QS, Auto Cad, Đọc Hiểu Bản Vẽ, Giám Sát Hiện Trường, Lập Tiến Độ Thi Công</t>
        </is>
      </c>
      <c r="M6371" t="inlineStr">
        <is>
          <t>Bonus, Healthcare Plan, Paid Leave</t>
        </is>
      </c>
      <c r="N6371" s="8">
        <f>HYPERLINK("https://www.vietnamworks.com/ky-su-xay-dung-thu-nhap-tu-25-trieu-2017209-jv","Xem chi tiết")</f>
        <v/>
      </c>
    </row>
    <row r="6372">
      <c r="B6372" s="9" t="n">
        <v>6370</v>
      </c>
      <c r="C6372" s="10" t="inlineStr">
        <is>
          <t>Thiết Kế Kiến Trúc, Nội Thất Thu Nhập 20 Triệu ++</t>
        </is>
      </c>
      <c r="D6372" s="10" t="inlineStr">
        <is>
          <t>Công Ty TNHH Kiến Trúc Nội Thất Duy Tân</t>
        </is>
      </c>
      <c r="E6372" s="10" t="inlineStr">
        <is>
          <t>15tr-20tr ₫/tháng</t>
        </is>
      </c>
      <c r="F6372" s="10" t="inlineStr">
        <is>
          <t>Hà Nội</t>
        </is>
      </c>
      <c r="G6372" s="10" t="inlineStr">
        <is>
          <t>Nhân viên</t>
        </is>
      </c>
      <c r="H6372" s="10" t="inlineStr">
        <is>
          <t>03/03/2026</t>
        </is>
      </c>
      <c r="I6372" s="10" t="inlineStr">
        <is>
          <t>02/04/2026</t>
        </is>
      </c>
      <c r="J6372" s="10" t="inlineStr">
        <is>
          <t>17/03/2026</t>
        </is>
      </c>
      <c r="K6372" s="10" t="inlineStr">
        <is>
          <t>N/A</t>
        </is>
      </c>
      <c r="L6372" s="10" t="inlineStr">
        <is>
          <t>Thiết Kế Nội Thất, AutoCAD, 3D Max, Tư Vấn Thiết Kế, Thiết Kế Kiến Trúc</t>
        </is>
      </c>
      <c r="M6372" s="10" t="inlineStr">
        <is>
          <t>Bonus, Healthcare Plan, Paid Leave, Others</t>
        </is>
      </c>
      <c r="N6372" s="11">
        <f>HYPERLINK("https://www.vietnamworks.com/thiet-ke-kien-truc-noi-that-thu-nhap-20-trieu-2017202-jv","Xem chi tiết")</f>
        <v/>
      </c>
      <c r="O6372" s="10" t="n"/>
    </row>
    <row r="6373">
      <c r="B6373" s="7" t="n">
        <v>6371</v>
      </c>
      <c r="C6373" t="inlineStr">
        <is>
          <t>Kế Toán Tổng Hợp</t>
        </is>
      </c>
      <c r="D6373" t="inlineStr">
        <is>
          <t>Công ty TNHH Casso</t>
        </is>
      </c>
      <c r="E6373" t="inlineStr">
        <is>
          <t>10tr-16tr ₫/tháng</t>
        </is>
      </c>
      <c r="F6373" t="inlineStr">
        <is>
          <t>Hồ Chí Minh</t>
        </is>
      </c>
      <c r="G6373" t="inlineStr">
        <is>
          <t>Nhân viên</t>
        </is>
      </c>
      <c r="H6373" t="inlineStr">
        <is>
          <t>03/03/2026</t>
        </is>
      </c>
      <c r="I6373" t="inlineStr">
        <is>
          <t>02/04/2026</t>
        </is>
      </c>
      <c r="J6373" t="inlineStr">
        <is>
          <t>17/03/2026</t>
        </is>
      </c>
      <c r="K6373" t="inlineStr">
        <is>
          <t>N/A</t>
        </is>
      </c>
      <c r="L6373" t="inlineStr">
        <is>
          <t>Phân Tích Số Liệu, Quản Lý Chi Phí, Cẩn thận</t>
        </is>
      </c>
      <c r="M6373" t="inlineStr">
        <is>
          <t>Bonus, Healthcare Plan, Paid Leave, Training, Travel Opportunities, Others</t>
        </is>
      </c>
      <c r="N6373" s="8">
        <f>HYPERLINK("https://www.vietnamworks.com/ke-toan-tong-hop-2017210-jv","Xem chi tiết")</f>
        <v/>
      </c>
    </row>
    <row r="6374">
      <c r="B6374" s="9" t="n">
        <v>6372</v>
      </c>
      <c r="C6374" s="10" t="inlineStr">
        <is>
          <t>Pricing Executive</t>
        </is>
      </c>
      <c r="D6374" s="10" t="inlineStr">
        <is>
          <t>Uniexport CO., LTD</t>
        </is>
      </c>
      <c r="E6374" s="10" t="inlineStr">
        <is>
          <t>Thương lượng</t>
        </is>
      </c>
      <c r="F6374" s="10" t="inlineStr">
        <is>
          <t>Hồ Chí Minh</t>
        </is>
      </c>
      <c r="G6374" s="10" t="inlineStr">
        <is>
          <t>Nhân viên</t>
        </is>
      </c>
      <c r="H6374" s="10" t="inlineStr">
        <is>
          <t>03/03/2026</t>
        </is>
      </c>
      <c r="I6374" s="10" t="inlineStr">
        <is>
          <t>02/04/2026</t>
        </is>
      </c>
      <c r="J6374" s="10" t="inlineStr">
        <is>
          <t>17/03/2026</t>
        </is>
      </c>
      <c r="K6374" s="10" t="inlineStr">
        <is>
          <t>N/A</t>
        </is>
      </c>
      <c r="L6374" s="10" t="inlineStr">
        <is>
          <t>Freight Forwarding, Logistics Management, MS Office, Price Negotiation, Problem-solving</t>
        </is>
      </c>
      <c r="M6374" s="10" t="inlineStr">
        <is>
          <t>Bonus, Healthcare Plan, Paid Leave, Training, Team Activities, Others</t>
        </is>
      </c>
      <c r="N6374" s="11">
        <f>HYPERLINK("https://www.vietnamworks.com/pricing-executive-2017207-jv","Xem chi tiết")</f>
        <v/>
      </c>
      <c r="O6374" s="10" t="n"/>
    </row>
    <row r="6375">
      <c r="B6375" s="7" t="n">
        <v>6373</v>
      </c>
      <c r="C6375" t="inlineStr">
        <is>
          <t>Trình Dược Viên ETC (Ưu Tiên Nam)</t>
        </is>
      </c>
      <c r="D6375" t="inlineStr">
        <is>
          <t>VietnamWorks Client</t>
        </is>
      </c>
      <c r="E6375" t="inlineStr">
        <is>
          <t>Thương lượng</t>
        </is>
      </c>
      <c r="F6375" t="inlineStr">
        <is>
          <t>Hồ Chí Minh</t>
        </is>
      </c>
      <c r="G6375" t="inlineStr">
        <is>
          <t>Nhân viên</t>
        </is>
      </c>
      <c r="H6375" t="inlineStr">
        <is>
          <t>03/03/2026</t>
        </is>
      </c>
      <c r="I6375" t="inlineStr">
        <is>
          <t>02/04/2026</t>
        </is>
      </c>
      <c r="J6375" t="inlineStr">
        <is>
          <t>17/03/2026</t>
        </is>
      </c>
      <c r="K6375" t="inlineStr">
        <is>
          <t>N/A</t>
        </is>
      </c>
      <c r="L6375" t="inlineStr">
        <is>
          <t>Dược Phẩm, Chuyên Môn Dược, ETC, Chăm Sóc Khách Hàng, Quản Lý Doanh Số</t>
        </is>
      </c>
      <c r="M6375" t="inlineStr">
        <is>
          <t>Bonus, Healthcare Plan, Paid Leave</t>
        </is>
      </c>
      <c r="N6375" s="8">
        <f>HYPERLINK("https://www.vietnamworks.com/trinh-duoc-vien-etc-uu-tien-nam--2017213-jv","Xem chi tiết")</f>
        <v/>
      </c>
    </row>
    <row r="6376">
      <c r="B6376" s="9" t="n">
        <v>6374</v>
      </c>
      <c r="C6376" s="10" t="inlineStr">
        <is>
          <t>Trưởng Phòng Kế Toán Hành Chính</t>
        </is>
      </c>
      <c r="D6376" s="10" t="inlineStr">
        <is>
          <t>Bảo hiểm VietinBank (VBI)</t>
        </is>
      </c>
      <c r="E6376" s="10" t="inlineStr">
        <is>
          <t>Thương lượng</t>
        </is>
      </c>
      <c r="F6376" s="10" t="inlineStr">
        <is>
          <t>Hải Dương, An Giang</t>
        </is>
      </c>
      <c r="G6376" s="10" t="inlineStr">
        <is>
          <t>Trưởng phòng</t>
        </is>
      </c>
      <c r="H6376" s="10" t="inlineStr">
        <is>
          <t>03/03/2026</t>
        </is>
      </c>
      <c r="I6376" s="10" t="inlineStr">
        <is>
          <t>02/04/2026</t>
        </is>
      </c>
      <c r="J6376" s="10" t="inlineStr">
        <is>
          <t>17/03/2026</t>
        </is>
      </c>
      <c r="K6376" s="10" t="inlineStr">
        <is>
          <t>N/A</t>
        </is>
      </c>
      <c r="L6376" s="10" t="inlineStr">
        <is>
          <t>Kế Toán Tổng Hợp, Tài Chính, Quản Lý, Giải Quyết Vấn Đề, Nghiệp Vụ Kế Toán</t>
        </is>
      </c>
      <c r="M6376" s="10" t="inlineStr">
        <is>
          <t>Bonus, Paid Leave, Travel Opportunities</t>
        </is>
      </c>
      <c r="N6376" s="11">
        <f>HYPERLINK("https://www.vietnamworks.com/truong-phong-ke-toan-hanh-chinh-2017199-jv","Xem chi tiết")</f>
        <v/>
      </c>
      <c r="O6376" s="10" t="n"/>
    </row>
    <row r="6377">
      <c r="B6377" s="7" t="n">
        <v>6375</v>
      </c>
      <c r="C6377" t="inlineStr">
        <is>
          <t>Pre-Sales Engineer (Networking)</t>
        </is>
      </c>
      <c r="D6377" t="inlineStr">
        <is>
          <t>Công Ty TNHH Advantech Việt Nam Technology</t>
        </is>
      </c>
      <c r="E6377" t="inlineStr">
        <is>
          <t>Thương lượng</t>
        </is>
      </c>
      <c r="F6377" t="inlineStr">
        <is>
          <t>Hà Nội</t>
        </is>
      </c>
      <c r="G6377" t="inlineStr">
        <is>
          <t>Nhân viên</t>
        </is>
      </c>
      <c r="H6377" t="inlineStr">
        <is>
          <t>03/03/2026</t>
        </is>
      </c>
      <c r="I6377" t="inlineStr">
        <is>
          <t>02/04/2026</t>
        </is>
      </c>
      <c r="J6377" t="inlineStr">
        <is>
          <t>17/03/2026</t>
        </is>
      </c>
      <c r="K6377" t="inlineStr">
        <is>
          <t>N/A</t>
        </is>
      </c>
      <c r="L6377" t="inlineStr">
        <is>
          <t>IT Infrastructure, Router Configuration, Switching System, TCP/IP, VPN Gateway</t>
        </is>
      </c>
      <c r="M6377" t="inlineStr">
        <is>
          <t>Bonus, Healthcare Plan, Training, Laptop, Travel Opportunities</t>
        </is>
      </c>
      <c r="N6377" s="8">
        <f>HYPERLINK("https://www.vietnamworks.com/pre-sales-engineer-networking-2017230-jv","Xem chi tiết")</f>
        <v/>
      </c>
    </row>
    <row r="6378">
      <c r="B6378" s="9" t="n">
        <v>6376</v>
      </c>
      <c r="C6378" s="10" t="inlineStr">
        <is>
          <t>Maintenance Reliability Technician</t>
        </is>
      </c>
      <c r="D6378" s="10" t="inlineStr">
        <is>
          <t>Vietnam Agribusiness Limited (VAL)</t>
        </is>
      </c>
      <c r="E6378" s="10" t="inlineStr">
        <is>
          <t>Thương lượng</t>
        </is>
      </c>
      <c r="F6378" s="10" t="inlineStr">
        <is>
          <t>Bà Rịa - Vũng Tàu</t>
        </is>
      </c>
      <c r="G6378" s="10" t="inlineStr">
        <is>
          <t>Nhân viên</t>
        </is>
      </c>
      <c r="H6378" s="10" t="inlineStr">
        <is>
          <t>03/03/2026</t>
        </is>
      </c>
      <c r="I6378" s="10" t="inlineStr">
        <is>
          <t>02/04/2026</t>
        </is>
      </c>
      <c r="J6378" s="10" t="inlineStr">
        <is>
          <t>17/03/2026</t>
        </is>
      </c>
      <c r="K6378" s="10" t="inlineStr">
        <is>
          <t>N/A</t>
        </is>
      </c>
      <c r="L6378" s="10" t="inlineStr">
        <is>
          <t>Maintenance, Mechanical Maintenance, Reliability Engineering, Ultrasonic Testing, Vibration Testing</t>
        </is>
      </c>
      <c r="M6378" s="10" t="inlineStr">
        <is>
          <t>Bonus, Healthcare Plan, Paid Leave, Training, Team Activities, Others</t>
        </is>
      </c>
      <c r="N6378" s="11">
        <f>HYPERLINK("https://www.vietnamworks.com/maintenance-reliability-technician-2017233-jv","Xem chi tiết")</f>
        <v/>
      </c>
      <c r="O6378" s="10" t="n"/>
    </row>
    <row r="6379">
      <c r="B6379" s="7" t="n">
        <v>6377</v>
      </c>
      <c r="C6379" t="inlineStr">
        <is>
          <t>Reporting And Valuation Actuary Specialist</t>
        </is>
      </c>
      <c r="D6379" t="inlineStr">
        <is>
          <t>Fubon Life Insurance (Vietnam) Co., Ltd</t>
        </is>
      </c>
      <c r="E6379" t="inlineStr">
        <is>
          <t>Thương lượng</t>
        </is>
      </c>
      <c r="F6379" t="inlineStr">
        <is>
          <t>Hà Nội</t>
        </is>
      </c>
      <c r="G6379" t="inlineStr">
        <is>
          <t>Nhân viên</t>
        </is>
      </c>
      <c r="H6379" t="inlineStr">
        <is>
          <t>03/03/2026</t>
        </is>
      </c>
      <c r="I6379" t="inlineStr">
        <is>
          <t>02/04/2026</t>
        </is>
      </c>
      <c r="J6379" t="inlineStr">
        <is>
          <t>17/03/2026</t>
        </is>
      </c>
      <c r="K6379" t="inlineStr">
        <is>
          <t>N/A</t>
        </is>
      </c>
      <c r="L6379" t="inlineStr">
        <is>
          <t>Mathematical Thinking, Finance Development, Analytical Skills, Actuary Knowledge, Communication Skills</t>
        </is>
      </c>
      <c r="M6379" t="inlineStr">
        <is>
          <t>Healthcare Plan, Paid Leave, Training</t>
        </is>
      </c>
      <c r="N6379" s="8">
        <f>HYPERLINK("https://www.vietnamworks.com/reporting-and-valuation-actuary-specialist-2017232-jv","Xem chi tiết")</f>
        <v/>
      </c>
    </row>
    <row r="6380">
      <c r="B6380" s="9" t="n">
        <v>6378</v>
      </c>
      <c r="C6380" s="10" t="inlineStr">
        <is>
          <t>Phó Phòng Kỹ Thuật Sản Xuất</t>
        </is>
      </c>
      <c r="D6380" s="10" t="inlineStr">
        <is>
          <t>Công Ty TNHH Công Nghiệp KYB Việt Nam</t>
        </is>
      </c>
      <c r="E6380" s="10" t="inlineStr">
        <is>
          <t>Thương lượng</t>
        </is>
      </c>
      <c r="F6380" s="10" t="inlineStr">
        <is>
          <t>Hà Nội</t>
        </is>
      </c>
      <c r="G6380" s="10" t="inlineStr">
        <is>
          <t>Nhân viên</t>
        </is>
      </c>
      <c r="H6380" s="10" t="inlineStr">
        <is>
          <t>03/03/2026</t>
        </is>
      </c>
      <c r="I6380" s="10" t="inlineStr">
        <is>
          <t>02/04/2026</t>
        </is>
      </c>
      <c r="J6380" s="10" t="inlineStr">
        <is>
          <t>17/03/2026</t>
        </is>
      </c>
      <c r="K6380" s="10" t="inlineStr">
        <is>
          <t>N/A</t>
        </is>
      </c>
      <c r="L6380" s="10" t="inlineStr">
        <is>
          <t>Bảo Trì Máy, Bảo Trì Sửa Chữa Máy, PLC Omron, Sửa Chữa Thiết Bị, Tự Động Hóa</t>
        </is>
      </c>
      <c r="M6380" s="10" t="inlineStr">
        <is>
          <t>Bonus, Healthcare Plan, Team Activities, Canteen, Others</t>
        </is>
      </c>
      <c r="N6380" s="11">
        <f>HYPERLINK("https://www.vietnamworks.com/pho-phong-ky-thuat-san-xuat-2017225-jv","Xem chi tiết")</f>
        <v/>
      </c>
      <c r="O6380" s="10" t="n"/>
    </row>
    <row r="6381">
      <c r="B6381" s="7" t="n">
        <v>6379</v>
      </c>
      <c r="C6381" t="inlineStr">
        <is>
          <t>Kế Toán Tổng Hợp</t>
        </is>
      </c>
      <c r="D6381" t="inlineStr">
        <is>
          <t>CÔNG TY TNHH KIN LIVING MANAGEMENT</t>
        </is>
      </c>
      <c r="E6381" t="inlineStr">
        <is>
          <t>Thương lượng</t>
        </is>
      </c>
      <c r="F6381" t="inlineStr">
        <is>
          <t>Hồ Chí Minh</t>
        </is>
      </c>
      <c r="G6381" t="inlineStr">
        <is>
          <t>Nhân viên</t>
        </is>
      </c>
      <c r="H6381" t="inlineStr">
        <is>
          <t>03/03/2026</t>
        </is>
      </c>
      <c r="I6381" t="inlineStr">
        <is>
          <t>02/04/2026</t>
        </is>
      </c>
      <c r="J6381" t="inlineStr">
        <is>
          <t>17/03/2026</t>
        </is>
      </c>
      <c r="K6381" t="inlineStr">
        <is>
          <t>N/A</t>
        </is>
      </c>
      <c r="L6381" t="inlineStr">
        <is>
          <t>Tài Chính, Kiểm Toán, Kế Toán Tổng Hợp, Kế Toán, Báo Cáo Tài Chính</t>
        </is>
      </c>
      <c r="M6381" t="inlineStr">
        <is>
          <t>Paid Leave, Others</t>
        </is>
      </c>
      <c r="N6381" s="8">
        <f>HYPERLINK("https://www.vietnamworks.com/ke-toan-tong-hop--2017219-jv","Xem chi tiết")</f>
        <v/>
      </c>
    </row>
    <row r="6382">
      <c r="B6382" s="9" t="n">
        <v>6380</v>
      </c>
      <c r="C6382" s="10" t="inlineStr">
        <is>
          <t>Chuyên Viên Marketing / Lương Thưởng Hấp Dẫn</t>
        </is>
      </c>
      <c r="D6382" s="10" t="inlineStr">
        <is>
          <t>Công Ty Cổ Phần Đầu Tư Và Xây Dựng PG</t>
        </is>
      </c>
      <c r="E6382" s="10" t="inlineStr">
        <is>
          <t>Thương lượng</t>
        </is>
      </c>
      <c r="F6382" s="10" t="inlineStr">
        <is>
          <t>Hải Phòng</t>
        </is>
      </c>
      <c r="G6382" s="10" t="inlineStr">
        <is>
          <t>Nhân viên</t>
        </is>
      </c>
      <c r="H6382" s="10" t="inlineStr">
        <is>
          <t>03/03/2026</t>
        </is>
      </c>
      <c r="I6382" s="10" t="inlineStr">
        <is>
          <t>02/04/2026</t>
        </is>
      </c>
      <c r="J6382" s="10" t="inlineStr">
        <is>
          <t>17/03/2026</t>
        </is>
      </c>
      <c r="K6382" s="10" t="inlineStr">
        <is>
          <t>N/A</t>
        </is>
      </c>
      <c r="L6382" s="10" t="inlineStr">
        <is>
          <t>Digital Marketing, Content Writing, Event Management, Brand Development, Marketing</t>
        </is>
      </c>
      <c r="M6382" s="10" t="inlineStr">
        <is>
          <t>Bonus, Healthcare Plan, Travel Opportunities</t>
        </is>
      </c>
      <c r="N6382" s="11">
        <f>HYPERLINK("https://www.vietnamworks.com/chuyen-vien-marketing-luong-thuong-hap-dan-2017226-jv","Xem chi tiết")</f>
        <v/>
      </c>
      <c r="O6382" s="10" t="n"/>
    </row>
    <row r="6383">
      <c r="B6383" s="7" t="n">
        <v>6381</v>
      </c>
      <c r="C6383" t="inlineStr">
        <is>
          <t>Kế Toán Tổng Hợp</t>
        </is>
      </c>
      <c r="D6383" t="inlineStr">
        <is>
          <t>Công Ty Cổ Phần Thương Mại Dịch Vụ Mai Việt Anh</t>
        </is>
      </c>
      <c r="E6383" t="inlineStr">
        <is>
          <t>15tr-16tr ₫/tháng</t>
        </is>
      </c>
      <c r="F6383" t="inlineStr">
        <is>
          <t>Hồ Chí Minh</t>
        </is>
      </c>
      <c r="G6383" t="inlineStr">
        <is>
          <t>Nhân viên</t>
        </is>
      </c>
      <c r="H6383" t="inlineStr">
        <is>
          <t>03/03/2026</t>
        </is>
      </c>
      <c r="I6383" t="inlineStr">
        <is>
          <t>02/04/2026</t>
        </is>
      </c>
      <c r="J6383" t="inlineStr">
        <is>
          <t>17/03/2026</t>
        </is>
      </c>
      <c r="K6383" t="inlineStr">
        <is>
          <t>N/A</t>
        </is>
      </c>
      <c r="L6383" t="inlineStr">
        <is>
          <t>Tài Chính, Kiểm Toán, Misa, Fast Accounting, Kế Toán Tổng Hợp</t>
        </is>
      </c>
      <c r="M6383" t="inlineStr">
        <is>
          <t>Healthcare Plan, Team Activities, Others</t>
        </is>
      </c>
      <c r="N6383" s="8">
        <f>HYPERLINK("https://www.vietnamworks.com/ke-toan-tong-hop-2017234-jv","Xem chi tiết")</f>
        <v/>
      </c>
    </row>
    <row r="6384">
      <c r="B6384" s="9" t="n">
        <v>6382</v>
      </c>
      <c r="C6384" s="10" t="inlineStr">
        <is>
          <t>Kỹ Sư Điện - Tự Động Hóa</t>
        </is>
      </c>
      <c r="D6384" s="10" t="inlineStr">
        <is>
          <t>Công ty TNHH Tungaloy Friction Material Việt Nam</t>
        </is>
      </c>
      <c r="E6384" s="10" t="inlineStr">
        <is>
          <t>Từ 10.1tr ₫/tháng</t>
        </is>
      </c>
      <c r="F6384" s="10" t="inlineStr">
        <is>
          <t>Phú Thọ</t>
        </is>
      </c>
      <c r="G6384" s="10" t="inlineStr">
        <is>
          <t>Nhân viên</t>
        </is>
      </c>
      <c r="H6384" s="10" t="inlineStr">
        <is>
          <t>03/03/2026</t>
        </is>
      </c>
      <c r="I6384" s="10" t="inlineStr">
        <is>
          <t>02/04/2026</t>
        </is>
      </c>
      <c r="J6384" s="10" t="inlineStr">
        <is>
          <t>17/03/2026</t>
        </is>
      </c>
      <c r="K6384" s="10" t="inlineStr">
        <is>
          <t>N/A</t>
        </is>
      </c>
      <c r="L6384" s="10" t="inlineStr">
        <is>
          <t>AutoCAD, Bảo Dưỡng Máy Móc, PLC, Điện, Tự Động Hóa</t>
        </is>
      </c>
      <c r="M6384" s="10" t="inlineStr">
        <is>
          <t>Bonus, Healthcare Plan, Others</t>
        </is>
      </c>
      <c r="N6384" s="11">
        <f>HYPERLINK("https://www.vietnamworks.com/ky-su-dien-tu-dong-hoa--2017222-jv","Xem chi tiết")</f>
        <v/>
      </c>
      <c r="O6384" s="10" t="n"/>
    </row>
    <row r="6385">
      <c r="B6385" s="7" t="n">
        <v>6383</v>
      </c>
      <c r="C6385" t="inlineStr">
        <is>
          <t>Thư Ký Tổng Giám Đốc</t>
        </is>
      </c>
      <c r="D6385" t="inlineStr">
        <is>
          <t>CÔNG TY TNHH TẬP ĐOÀN ĐẦU TƯ VÀ XÂY DỰNG TÂN ĐÔNG HIỆP</t>
        </is>
      </c>
      <c r="E6385" t="inlineStr">
        <is>
          <t>$$ 600-800 /tháng</t>
        </is>
      </c>
      <c r="F6385" t="inlineStr">
        <is>
          <t>Hồ Chí Minh</t>
        </is>
      </c>
      <c r="G6385" t="inlineStr">
        <is>
          <t>Nhân viên</t>
        </is>
      </c>
      <c r="H6385" t="inlineStr">
        <is>
          <t>03/03/2026</t>
        </is>
      </c>
      <c r="I6385" t="inlineStr">
        <is>
          <t>02/04/2026</t>
        </is>
      </c>
      <c r="J6385" t="inlineStr">
        <is>
          <t>17/03/2026</t>
        </is>
      </c>
      <c r="K6385" t="inlineStr">
        <is>
          <t>N/A</t>
        </is>
      </c>
      <c r="L6385" t="inlineStr">
        <is>
          <t>Nghiệp Vụ Thư Ký, Secretary Administration, Trợ lý Giám Đốc, thư ký, Admin, Quản Lý Công Việc</t>
        </is>
      </c>
      <c r="M6385" t="inlineStr">
        <is>
          <t>Bonus, Healthcare Plan, Others</t>
        </is>
      </c>
      <c r="N6385" s="8">
        <f>HYPERLINK("https://www.vietnamworks.com/thu-ky-tong-giam-doc--2017211-jv","Xem chi tiết")</f>
        <v/>
      </c>
    </row>
    <row r="6386">
      <c r="B6386" s="9" t="n">
        <v>6384</v>
      </c>
      <c r="C6386" s="10" t="inlineStr">
        <is>
          <t>Apparels Sourcing Operations Sr. Manager (Sr. Manager Merchandising)</t>
        </is>
      </c>
      <c r="D6386" s="10" t="inlineStr">
        <is>
          <t>adidas Sourcing LTD.</t>
        </is>
      </c>
      <c r="E6386" s="10" t="inlineStr">
        <is>
          <t>Thương lượng</t>
        </is>
      </c>
      <c r="F6386" s="10" t="inlineStr">
        <is>
          <t>Hồ Chí Minh</t>
        </is>
      </c>
      <c r="G6386" s="10" t="inlineStr">
        <is>
          <t>Trưởng phòng</t>
        </is>
      </c>
      <c r="H6386" s="10" t="inlineStr">
        <is>
          <t>03/03/2026</t>
        </is>
      </c>
      <c r="I6386" s="10" t="inlineStr">
        <is>
          <t>02/04/2026</t>
        </is>
      </c>
      <c r="J6386" s="10" t="inlineStr">
        <is>
          <t>17/03/2026</t>
        </is>
      </c>
      <c r="K6386" s="10" t="inlineStr">
        <is>
          <t>N/A</t>
        </is>
      </c>
      <c r="L6386" s="10" t="inlineStr">
        <is>
          <t>Textile Engineering, Textile Merchandising, Textile Quality Assurance, Apparel Merchandising, Apparel Manufacturing</t>
        </is>
      </c>
      <c r="M6386" s="10" t="inlineStr">
        <is>
          <t>Healthcare Plan, Paid Leave, Training</t>
        </is>
      </c>
      <c r="N6386" s="11">
        <f>HYPERLINK("https://www.vietnamworks.com/apparels-sourcing-operations-sr-manager-sr-manager-merchandising-2017227-jv","Xem chi tiết")</f>
        <v/>
      </c>
      <c r="O6386" s="10" t="n"/>
    </row>
    <row r="6387">
      <c r="B6387" s="7" t="n">
        <v>6385</v>
      </c>
      <c r="C6387" t="inlineStr">
        <is>
          <t>Trợ Lý Hành Chính - Thu Mua (Tiếng Trung)</t>
        </is>
      </c>
      <c r="D6387" t="inlineStr">
        <is>
          <t>CÔNG TY TNHH CÔNG NGHỆ ASIAFORT FU BANG</t>
        </is>
      </c>
      <c r="E6387" t="inlineStr">
        <is>
          <t>14tr-15tr ₫/tháng</t>
        </is>
      </c>
      <c r="F6387" t="inlineStr">
        <is>
          <t>Hồ Chí Minh</t>
        </is>
      </c>
      <c r="G6387" t="inlineStr">
        <is>
          <t>Mới Tốt Nghiệp</t>
        </is>
      </c>
      <c r="H6387" t="inlineStr">
        <is>
          <t>03/03/2026</t>
        </is>
      </c>
      <c r="I6387" t="inlineStr">
        <is>
          <t>02/04/2026</t>
        </is>
      </c>
      <c r="J6387" t="inlineStr">
        <is>
          <t>17/03/2026</t>
        </is>
      </c>
      <c r="K6387" t="inlineStr">
        <is>
          <t>N/A</t>
        </is>
      </c>
      <c r="L6387" t="inlineStr">
        <is>
          <t>Thu Mua, Tìm Kiếm Nhà Cung Cấp, Quản Lý Kho, Sourcing</t>
        </is>
      </c>
      <c r="M6387" t="inlineStr">
        <is>
          <t>Bonus, Healthcare Plan, Paid Leave</t>
        </is>
      </c>
      <c r="N6387" s="8">
        <f>HYPERLINK("https://www.vietnamworks.com/tro-ly-hanh-chinh-thu-mua-tieng-trung-2017224-jv","Xem chi tiết")</f>
        <v/>
      </c>
    </row>
    <row r="6388">
      <c r="B6388" s="9" t="n">
        <v>6386</v>
      </c>
      <c r="C6388" s="10" t="inlineStr">
        <is>
          <t>Junior Product Manager</t>
        </is>
      </c>
      <c r="D6388" s="10" t="inlineStr">
        <is>
          <t>Igarment (Vietnam) Co., Ltd.</t>
        </is>
      </c>
      <c r="E6388" s="10" t="inlineStr">
        <is>
          <t>Thương lượng</t>
        </is>
      </c>
      <c r="F6388" s="10" t="inlineStr">
        <is>
          <t>Hồ Chí Minh</t>
        </is>
      </c>
      <c r="G6388" s="10" t="inlineStr">
        <is>
          <t>Trưởng phòng</t>
        </is>
      </c>
      <c r="H6388" s="10" t="inlineStr">
        <is>
          <t>03/03/2026</t>
        </is>
      </c>
      <c r="I6388" s="10" t="inlineStr">
        <is>
          <t>02/04/2026</t>
        </is>
      </c>
      <c r="J6388" s="10" t="inlineStr">
        <is>
          <t>17/03/2026</t>
        </is>
      </c>
      <c r="K6388" s="10" t="inlineStr">
        <is>
          <t>N/A</t>
        </is>
      </c>
      <c r="L6388" s="10" t="inlineStr">
        <is>
          <t>Project Management, Product Management, Business Analysis, Brand Research, UI Design</t>
        </is>
      </c>
      <c r="M6388" s="10" t="inlineStr">
        <is>
          <t>Bonus</t>
        </is>
      </c>
      <c r="N6388" s="11">
        <f>HYPERLINK("https://www.vietnamworks.com/junior-product-manager--2017229-jv","Xem chi tiết")</f>
        <v/>
      </c>
      <c r="O6388" s="10" t="n"/>
    </row>
    <row r="6389">
      <c r="B6389" s="7" t="n">
        <v>6387</v>
      </c>
      <c r="C6389" t="inlineStr">
        <is>
          <t>General Accounting Senior Executive</t>
        </is>
      </c>
      <c r="D6389" t="inlineStr">
        <is>
          <t>Vietjet Air</t>
        </is>
      </c>
      <c r="E6389" t="inlineStr">
        <is>
          <t>Thương lượng</t>
        </is>
      </c>
      <c r="F6389" t="inlineStr">
        <is>
          <t>Hà Nội, Hồ Chí Minh</t>
        </is>
      </c>
      <c r="G6389" t="inlineStr">
        <is>
          <t>Trưởng phòng</t>
        </is>
      </c>
      <c r="H6389" t="inlineStr">
        <is>
          <t>03/03/2026</t>
        </is>
      </c>
      <c r="I6389" t="inlineStr">
        <is>
          <t>02/04/2026</t>
        </is>
      </c>
      <c r="J6389" t="inlineStr">
        <is>
          <t>17/03/2026</t>
        </is>
      </c>
      <c r="K6389" t="inlineStr">
        <is>
          <t>N/A</t>
        </is>
      </c>
      <c r="L6389" t="inlineStr">
        <is>
          <t>Accounting, Finance, Tax Accounting, General Accounting, Finance &amp; Accounting</t>
        </is>
      </c>
      <c r="M6389" t="inlineStr">
        <is>
          <t>Bonus, Healthcare Plan, Training, Travel Opportunities</t>
        </is>
      </c>
      <c r="N6389" s="8">
        <f>HYPERLINK("https://www.vietnamworks.com/general-accounting-senior-executive-2017228-jv","Xem chi tiết")</f>
        <v/>
      </c>
    </row>
    <row r="6390">
      <c r="B6390" s="9" t="n">
        <v>6388</v>
      </c>
      <c r="C6390" s="10" t="inlineStr">
        <is>
          <t>Trình Dược Viên (TDV) - Làm Việc Tại HCM (Kênh Bệnh Viện ETC)</t>
        </is>
      </c>
      <c r="D6390" s="10" t="inlineStr">
        <is>
          <t>CÔNG TY CỔ PHẦN I.E.I</t>
        </is>
      </c>
      <c r="E6390" s="10" t="inlineStr">
        <is>
          <t>15tr-35tr ₫/tháng</t>
        </is>
      </c>
      <c r="F6390" s="10" t="inlineStr">
        <is>
          <t>Hồ Chí Minh, Đà Nẵng</t>
        </is>
      </c>
      <c r="G6390" s="10" t="inlineStr">
        <is>
          <t>Mới Tốt Nghiệp</t>
        </is>
      </c>
      <c r="H6390" s="10" t="inlineStr">
        <is>
          <t>03/03/2026</t>
        </is>
      </c>
      <c r="I6390" s="10" t="inlineStr">
        <is>
          <t>02/04/2026</t>
        </is>
      </c>
      <c r="J6390" s="10" t="inlineStr">
        <is>
          <t>17/03/2026</t>
        </is>
      </c>
      <c r="K6390" s="10" t="inlineStr">
        <is>
          <t>N/A</t>
        </is>
      </c>
      <c r="L6390" s="10" t="inlineStr">
        <is>
          <t>Dược Phẩm, Marketing Development, Phân Phối Dược Phẩm, Trình Dược Viên Kênh ETC, Pharmaceutical Representative</t>
        </is>
      </c>
      <c r="M6390" s="10" t="inlineStr">
        <is>
          <t>Bonus, Healthcare Plan, Paid Leave, Travel Opportunities, Others</t>
        </is>
      </c>
      <c r="N6390" s="11">
        <f>HYPERLINK("https://www.vietnamworks.com/trinh-duoc-vien-tdv-lam-viec-tai-hcm-kenh-benh-vien-etc-2017217-jv","Xem chi tiết")</f>
        <v/>
      </c>
      <c r="O6390" s="10" t="n"/>
    </row>
    <row r="6391">
      <c r="B6391" s="7" t="n">
        <v>6389</v>
      </c>
      <c r="C6391" t="inlineStr">
        <is>
          <t>Nhân Viên Phòng Cung Ứng Có Kinh Nghiệm- Sales Admin</t>
        </is>
      </c>
      <c r="D6391" t="inlineStr">
        <is>
          <t>Công Ty Cổ Phần Đầu Tư Công Nghệ Hoàng Minh</t>
        </is>
      </c>
      <c r="E6391" t="inlineStr">
        <is>
          <t>Thương lượng</t>
        </is>
      </c>
      <c r="F6391" t="inlineStr">
        <is>
          <t>Hà Nội</t>
        </is>
      </c>
      <c r="G6391" t="inlineStr">
        <is>
          <t>Nhân viên</t>
        </is>
      </c>
      <c r="H6391" t="inlineStr">
        <is>
          <t>03/03/2026</t>
        </is>
      </c>
      <c r="I6391" t="inlineStr">
        <is>
          <t>02/04/2026</t>
        </is>
      </c>
      <c r="J6391" t="inlineStr">
        <is>
          <t>17/03/2026</t>
        </is>
      </c>
      <c r="K6391" t="inlineStr">
        <is>
          <t>N/A</t>
        </is>
      </c>
      <c r="L6391" t="inlineStr">
        <is>
          <t>Chứng Từ Xuất Nhập Khẩu, Lập Hồ Dự Thầu, Liên Hệ Nhà Cung Cấp, Quản Lý Hóa Đơn, Soạn Thảo Hợp Đồng</t>
        </is>
      </c>
      <c r="M6391" t="inlineStr">
        <is>
          <t>Bonus, Training, Laptop, Travel Opportunities, Team Activities, Others</t>
        </is>
      </c>
      <c r="N6391" s="8">
        <f>HYPERLINK("https://www.vietnamworks.com/nhan-vien-phong-cung-ung-co-kinh-nghiem-sales-admin-2017197-jv","Xem chi tiết")</f>
        <v/>
      </c>
    </row>
    <row r="6392">
      <c r="B6392" s="9" t="n">
        <v>6390</v>
      </c>
      <c r="C6392" s="10" t="inlineStr">
        <is>
          <t>Thư Ký Giám Đốc</t>
        </is>
      </c>
      <c r="D6392" s="10" t="inlineStr">
        <is>
          <t>Công Ty Cổ Phần Thương Mại Dịch Vụ Mai Việt Anh</t>
        </is>
      </c>
      <c r="E6392" s="10" t="inlineStr">
        <is>
          <t>10tr-12tr ₫/tháng</t>
        </is>
      </c>
      <c r="F6392" s="10" t="inlineStr">
        <is>
          <t>Hồ Chí Minh</t>
        </is>
      </c>
      <c r="G6392" s="10" t="inlineStr">
        <is>
          <t>Nhân viên</t>
        </is>
      </c>
      <c r="H6392" s="10" t="inlineStr">
        <is>
          <t>03/03/2026</t>
        </is>
      </c>
      <c r="I6392" s="10" t="inlineStr">
        <is>
          <t>02/04/2026</t>
        </is>
      </c>
      <c r="J6392" s="10" t="inlineStr">
        <is>
          <t>17/03/2026</t>
        </is>
      </c>
      <c r="K6392" s="10" t="inlineStr">
        <is>
          <t>N/A</t>
        </is>
      </c>
      <c r="L6392" s="10" t="inlineStr">
        <is>
          <t>Hành Chính, Admin Task, Nghiệp Vụ Thư Ký, Quản Lý Sản Phẩm, Chăm sóc</t>
        </is>
      </c>
      <c r="M6392" s="10" t="inlineStr">
        <is>
          <t>Bonus, Healthcare Plan, Travel Opportunities, Team Activities, Others</t>
        </is>
      </c>
      <c r="N6392" s="11">
        <f>HYPERLINK("https://www.vietnamworks.com/thu-ky-giam-djoc-2017239-jv","Xem chi tiết")</f>
        <v/>
      </c>
      <c r="O6392" s="10" t="n"/>
    </row>
    <row r="6393">
      <c r="B6393" s="7" t="n">
        <v>6391</v>
      </c>
      <c r="C6393" t="inlineStr">
        <is>
          <t>Giám Đốc Ban Truyền Thông Thương Hiệu - BV Group (Thu Nhập và Đãi Ngộ Hấp Dẫn)</t>
        </is>
      </c>
      <c r="D6393" t="inlineStr">
        <is>
          <t>Công Ty CP Tập Đoàn Bách Việt</t>
        </is>
      </c>
      <c r="E6393" t="inlineStr">
        <is>
          <t>Thương lượng</t>
        </is>
      </c>
      <c r="F6393" t="inlineStr">
        <is>
          <t>Hà Nội</t>
        </is>
      </c>
      <c r="G6393" t="inlineStr">
        <is>
          <t>Giám Đốc và Cấp Cao Hơn</t>
        </is>
      </c>
      <c r="H6393" t="inlineStr">
        <is>
          <t>03/03/2026</t>
        </is>
      </c>
      <c r="I6393" t="inlineStr">
        <is>
          <t>02/04/2026</t>
        </is>
      </c>
      <c r="J6393" t="inlineStr">
        <is>
          <t>17/03/2026</t>
        </is>
      </c>
      <c r="K6393" t="inlineStr">
        <is>
          <t>N/A</t>
        </is>
      </c>
      <c r="L6393" t="inlineStr">
        <is>
          <t>Marketing Management, Truyền Thông Thương Hiệu, Chiến Lược Thương Hiệu, Đối Ngoại, Branding</t>
        </is>
      </c>
      <c r="M6393" t="inlineStr">
        <is>
          <t>Bonus, Healthcare Plan, Training, Others</t>
        </is>
      </c>
      <c r="N6393" s="8">
        <f>HYPERLINK("https://www.vietnamworks.com/giam-djoc-ban-truyen-thong-thuong-hieu-bv-group-thu-nhap-va-djai-ngo-hap-dan-2017244-jv","Xem chi tiết")</f>
        <v/>
      </c>
    </row>
    <row r="6394">
      <c r="B6394" s="9" t="n">
        <v>6392</v>
      </c>
      <c r="C6394" s="10" t="inlineStr">
        <is>
          <t>KAM – Key Account Manager</t>
        </is>
      </c>
      <c r="D6394" s="10" t="inlineStr">
        <is>
          <t>CÔNG TY CỔ PHẦN MỸ PHẨM B HAPPY</t>
        </is>
      </c>
      <c r="E6394" s="10" t="inlineStr">
        <is>
          <t>20tr-30tr ₫/tháng</t>
        </is>
      </c>
      <c r="F6394" s="10" t="inlineStr">
        <is>
          <t>Hồ Chí Minh</t>
        </is>
      </c>
      <c r="G6394" s="10" t="inlineStr">
        <is>
          <t>Nhân viên</t>
        </is>
      </c>
      <c r="H6394" s="10" t="inlineStr">
        <is>
          <t>03/03/2026</t>
        </is>
      </c>
      <c r="I6394" s="10" t="inlineStr">
        <is>
          <t>02/04/2026</t>
        </is>
      </c>
      <c r="J6394" s="10" t="inlineStr">
        <is>
          <t>17/03/2026</t>
        </is>
      </c>
      <c r="K6394" s="10" t="inlineStr">
        <is>
          <t>N/A</t>
        </is>
      </c>
      <c r="L6394" s="10" t="inlineStr">
        <is>
          <t>Kinh Doanh Mỹ Phẩm, Quản Lý Kênh Bán Lẻ, Phát Triển Kênh Phân Phối, Quản Lý Doanh Số, Quản Lý Đội Ngũ Kinh Doanh</t>
        </is>
      </c>
      <c r="M6394" s="10" t="inlineStr">
        <is>
          <t>Bonus, Healthcare Plan, Awards, Others</t>
        </is>
      </c>
      <c r="N6394" s="11">
        <f>HYPERLINK("https://www.vietnamworks.com/kam-key-account-manager--2017243-jv","Xem chi tiết")</f>
        <v/>
      </c>
      <c r="O6394" s="10" t="n"/>
    </row>
    <row r="6395">
      <c r="B6395" s="7" t="n">
        <v>6393</v>
      </c>
      <c r="C6395" t="inlineStr">
        <is>
          <t>Digital Marketing (Lương Từ 15Tr+) - Làm Việc Tại Gò Vấp</t>
        </is>
      </c>
      <c r="D6395" t="inlineStr">
        <is>
          <t>CÔNG TY CỔ PHẦN NBIYAN</t>
        </is>
      </c>
      <c r="E6395" t="inlineStr">
        <is>
          <t>Từ 12,000 ₫/tháng</t>
        </is>
      </c>
      <c r="F6395" t="inlineStr">
        <is>
          <t>Hồ Chí Minh</t>
        </is>
      </c>
      <c r="G6395" t="inlineStr">
        <is>
          <t>Nhân viên</t>
        </is>
      </c>
      <c r="H6395" t="inlineStr">
        <is>
          <t>03/03/2026</t>
        </is>
      </c>
      <c r="I6395" t="inlineStr">
        <is>
          <t>02/04/2026</t>
        </is>
      </c>
      <c r="J6395" t="inlineStr">
        <is>
          <t>17/03/2026</t>
        </is>
      </c>
      <c r="K6395" t="inlineStr">
        <is>
          <t>N/A</t>
        </is>
      </c>
      <c r="L6395" t="inlineStr">
        <is>
          <t>Performance Marketing, Facebook Ads, Google Ads, Tiktok Ads, SEO</t>
        </is>
      </c>
      <c r="M6395" t="inlineStr">
        <is>
          <t>Bonus</t>
        </is>
      </c>
      <c r="N6395" s="8">
        <f>HYPERLINK("https://www.vietnamworks.com/digital-marketing-luong-tu-15tr-lam-viec-tai-go-vap-2017259-jv","Xem chi tiết")</f>
        <v/>
      </c>
    </row>
    <row r="6396">
      <c r="B6396" s="9" t="n">
        <v>6394</v>
      </c>
      <c r="C6396" s="10" t="inlineStr">
        <is>
          <t>Chuyên viên Thiết kế Nội thất (Senior Concept)</t>
        </is>
      </c>
      <c r="D6396" s="10" t="inlineStr">
        <is>
          <t>Công Ty CP Thiết Kế &amp; Xây Dựng Dbplus</t>
        </is>
      </c>
      <c r="E6396" s="10" t="inlineStr">
        <is>
          <t>15tr-30tr ₫/tháng</t>
        </is>
      </c>
      <c r="F6396" s="10" t="inlineStr">
        <is>
          <t>Hồ Chí Minh</t>
        </is>
      </c>
      <c r="G6396" s="10" t="inlineStr">
        <is>
          <t>Nhân viên</t>
        </is>
      </c>
      <c r="H6396" s="10" t="inlineStr">
        <is>
          <t>03/03/2026</t>
        </is>
      </c>
      <c r="I6396" s="10" t="inlineStr">
        <is>
          <t>02/04/2026</t>
        </is>
      </c>
      <c r="J6396" s="10" t="inlineStr">
        <is>
          <t>17/03/2026</t>
        </is>
      </c>
      <c r="K6396" s="10" t="inlineStr">
        <is>
          <t>N/A</t>
        </is>
      </c>
      <c r="L6396" s="10" t="inlineStr">
        <is>
          <t>Concept Ideas, Conceptual Design, Interior Design, Layout Drawing</t>
        </is>
      </c>
      <c r="M6396" s="10" t="inlineStr">
        <is>
          <t>Bonus, Healthcare Plan, Paid Leave, Training, Awards, Travel Opportunities</t>
        </is>
      </c>
      <c r="N6396" s="11">
        <f>HYPERLINK("https://www.vietnamworks.com/chuyen-vien-thiet-ke-noi-that-senior-concept-2017236-jv","Xem chi tiết")</f>
        <v/>
      </c>
      <c r="O6396" s="10" t="n"/>
    </row>
    <row r="6397">
      <c r="B6397" s="7" t="n">
        <v>6395</v>
      </c>
      <c r="C6397" t="inlineStr">
        <is>
          <t>Warehouse Supervisor</t>
        </is>
      </c>
      <c r="D6397" t="inlineStr">
        <is>
          <t>Công Ty TNHH Yusen Logistics (Việt Nam)</t>
        </is>
      </c>
      <c r="E6397" t="inlineStr">
        <is>
          <t>Thương lượng</t>
        </is>
      </c>
      <c r="F6397" t="inlineStr">
        <is>
          <t>Hưng Yên</t>
        </is>
      </c>
      <c r="G6397" t="inlineStr">
        <is>
          <t>Trưởng phòng</t>
        </is>
      </c>
      <c r="H6397" t="inlineStr">
        <is>
          <t>03/03/2026</t>
        </is>
      </c>
      <c r="I6397" t="inlineStr">
        <is>
          <t>02/04/2026</t>
        </is>
      </c>
      <c r="J6397" t="inlineStr">
        <is>
          <t>17/03/2026</t>
        </is>
      </c>
      <c r="K6397" t="inlineStr">
        <is>
          <t>N/A</t>
        </is>
      </c>
      <c r="L6397" t="inlineStr">
        <is>
          <t>Logistics, Warehouse Management, Giám Sát Kho, Quản Lý Kho, Kho Vận</t>
        </is>
      </c>
      <c r="M6397" t="inlineStr">
        <is>
          <t>Bonus, Healthcare Plan, Paid Leave, Transportation, Canteen</t>
        </is>
      </c>
      <c r="N6397" s="8">
        <f>HYPERLINK("https://www.vietnamworks.com/warehouse-supervisor-2017251-jv","Xem chi tiết")</f>
        <v/>
      </c>
    </row>
    <row r="6398">
      <c r="B6398" s="9" t="n">
        <v>6396</v>
      </c>
      <c r="C6398" s="10" t="inlineStr">
        <is>
          <t>Conceptual Interior Designer (with 3D Skills)</t>
        </is>
      </c>
      <c r="D6398" s="10" t="inlineStr">
        <is>
          <t>Cty TNHH Kingsmen Việt Nam</t>
        </is>
      </c>
      <c r="E6398" s="10" t="inlineStr">
        <is>
          <t>Thương lượng</t>
        </is>
      </c>
      <c r="F6398" s="10" t="inlineStr">
        <is>
          <t>Hồ Chí Minh</t>
        </is>
      </c>
      <c r="G6398" s="10" t="inlineStr">
        <is>
          <t>Nhân viên</t>
        </is>
      </c>
      <c r="H6398" s="10" t="inlineStr">
        <is>
          <t>03/03/2026</t>
        </is>
      </c>
      <c r="I6398" s="10" t="inlineStr">
        <is>
          <t>02/04/2026</t>
        </is>
      </c>
      <c r="J6398" s="10" t="inlineStr">
        <is>
          <t>17/03/2026</t>
        </is>
      </c>
      <c r="K6398" s="10" t="inlineStr">
        <is>
          <t>N/A</t>
        </is>
      </c>
      <c r="L6398" s="10" t="inlineStr">
        <is>
          <t>Interior Design, 3D Visualization, AutoCAD, 3DSMAX, English Communication</t>
        </is>
      </c>
      <c r="M6398" s="10" t="inlineStr">
        <is>
          <t>Bonus, Healthcare Plan, Training, Travel Opportunities, Others</t>
        </is>
      </c>
      <c r="N6398" s="11">
        <f>HYPERLINK("https://www.vietnamworks.com/conceptual-interior-designer-with-3d-skills-2017245-jv","Xem chi tiết")</f>
        <v/>
      </c>
      <c r="O6398" s="10" t="n"/>
    </row>
    <row r="6399">
      <c r="B6399" s="7" t="n">
        <v>6397</v>
      </c>
      <c r="C6399" t="inlineStr">
        <is>
          <t>Kỹ Sư Điện, Tự Động Hóa (Ngành Ô Tô)</t>
        </is>
      </c>
      <c r="D6399" t="inlineStr">
        <is>
          <t>CÔNG TY CỔ PHẦN TẬP ĐOÀN Ô TÔ HIỆP HÒA</t>
        </is>
      </c>
      <c r="E6399" t="inlineStr">
        <is>
          <t>Thương lượng</t>
        </is>
      </c>
      <c r="F6399" t="inlineStr">
        <is>
          <t>Hà Nội, Hưng Yên</t>
        </is>
      </c>
      <c r="G6399" t="inlineStr">
        <is>
          <t>Nhân viên</t>
        </is>
      </c>
      <c r="H6399" t="inlineStr">
        <is>
          <t>03/03/2026</t>
        </is>
      </c>
      <c r="I6399" t="inlineStr">
        <is>
          <t>02/04/2026</t>
        </is>
      </c>
      <c r="J6399" t="inlineStr">
        <is>
          <t>17/03/2026</t>
        </is>
      </c>
      <c r="K6399" t="inlineStr">
        <is>
          <t>N/A</t>
        </is>
      </c>
      <c r="L6399" t="inlineStr">
        <is>
          <t>Thiết Kế Hệ Thống Điện, Lập Trình PLC, Giải quyết vấn đề, Cơ Điện Tử, Tự Động Hóa</t>
        </is>
      </c>
      <c r="M6399" t="inlineStr">
        <is>
          <t>Bonus, Healthcare Plan, Training, Team Activities, Others</t>
        </is>
      </c>
      <c r="N6399" s="8">
        <f>HYPERLINK("https://www.vietnamworks.com/ky-su-djien-tu-djong-hoa-nganh-o-to-2017254-jv","Xem chi tiết")</f>
        <v/>
      </c>
    </row>
    <row r="6400">
      <c r="B6400" s="9" t="n">
        <v>6398</v>
      </c>
      <c r="C6400" s="10" t="inlineStr">
        <is>
          <t>Trưởng Phòng Mua Hàng</t>
        </is>
      </c>
      <c r="D6400" s="10" t="inlineStr">
        <is>
          <t>Công Ty TNHH Công Nghiệp KYB Việt Nam</t>
        </is>
      </c>
      <c r="E6400" s="10" t="inlineStr">
        <is>
          <t>Thương lượng</t>
        </is>
      </c>
      <c r="F6400" s="10" t="inlineStr">
        <is>
          <t>Hà Nội</t>
        </is>
      </c>
      <c r="G6400" s="10" t="inlineStr">
        <is>
          <t>Trưởng phòng</t>
        </is>
      </c>
      <c r="H6400" s="10" t="inlineStr">
        <is>
          <t>03/03/2026</t>
        </is>
      </c>
      <c r="I6400" s="10" t="inlineStr">
        <is>
          <t>02/04/2026</t>
        </is>
      </c>
      <c r="J6400" s="10" t="inlineStr">
        <is>
          <t>17/03/2026</t>
        </is>
      </c>
      <c r="K6400" s="10" t="inlineStr">
        <is>
          <t>N/A</t>
        </is>
      </c>
      <c r="L6400" s="10" t="inlineStr">
        <is>
          <t>Mua Hàng, Tiếng Anh, Tiếng Nhật N3, Xuất Nhập Khẩu, Đàm Phán</t>
        </is>
      </c>
      <c r="M6400" s="10" t="inlineStr">
        <is>
          <t>Bonus, Healthcare Plan, Team Activities, Canteen, Others</t>
        </is>
      </c>
      <c r="N6400" s="11">
        <f>HYPERLINK("https://www.vietnamworks.com/truong-phong-mua-hang-2017235-jv","Xem chi tiết")</f>
        <v/>
      </c>
      <c r="O6400" s="10" t="n"/>
    </row>
    <row r="6401">
      <c r="B6401" s="7" t="n">
        <v>6399</v>
      </c>
      <c r="C6401" t="inlineStr">
        <is>
          <t>Chuyên Viên Tư Vấn Giải Pháp Hạ Tầng CNTT (Presales) – Level 1 / 2 / 3</t>
        </is>
      </c>
      <c r="D6401" t="inlineStr">
        <is>
          <t>Công Ty TNHH Tổng Công Ty Công Nghệ &amp; Giải Pháp CMC (CMC TS)</t>
        </is>
      </c>
      <c r="E6401" t="inlineStr">
        <is>
          <t>$$ 700-2,000 /tháng</t>
        </is>
      </c>
      <c r="F6401" t="inlineStr">
        <is>
          <t>Hồ Chí Minh, Hà Nội</t>
        </is>
      </c>
      <c r="G6401" t="inlineStr">
        <is>
          <t>Nhân viên</t>
        </is>
      </c>
      <c r="H6401" t="inlineStr">
        <is>
          <t>03/03/2026</t>
        </is>
      </c>
      <c r="I6401" t="inlineStr">
        <is>
          <t>02/04/2026</t>
        </is>
      </c>
      <c r="J6401" t="inlineStr">
        <is>
          <t>17/03/2026</t>
        </is>
      </c>
      <c r="K6401" t="inlineStr">
        <is>
          <t>N/A</t>
        </is>
      </c>
      <c r="L6401" t="inlineStr">
        <is>
          <t>IT Presale, Network Security, Software Solution Architecture, System Engineer, Technical Consulting</t>
        </is>
      </c>
      <c r="M6401" t="inlineStr">
        <is>
          <t>Bonus, Healthcare Plan, Paid Leave</t>
        </is>
      </c>
      <c r="N6401" s="8">
        <f>HYPERLINK("https://www.vietnamworks.com/chuyen-vien-tu-van-giai-phap-ha-tang-cntt-presales-level-1-2-3-2017240-jv","Xem chi tiết")</f>
        <v/>
      </c>
    </row>
    <row r="6402">
      <c r="B6402" s="9" t="n">
        <v>6400</v>
      </c>
      <c r="C6402" s="10" t="inlineStr">
        <is>
          <t>Conceptual Interior Designer Senior Level</t>
        </is>
      </c>
      <c r="D6402" s="10" t="inlineStr">
        <is>
          <t>Cty TNHH Kingsmen Việt Nam</t>
        </is>
      </c>
      <c r="E6402" s="10" t="inlineStr">
        <is>
          <t>Thương lượng</t>
        </is>
      </c>
      <c r="F6402" s="10" t="inlineStr">
        <is>
          <t>Hồ Chí Minh</t>
        </is>
      </c>
      <c r="G6402" s="10" t="inlineStr">
        <is>
          <t>Nhân viên</t>
        </is>
      </c>
      <c r="H6402" s="10" t="inlineStr">
        <is>
          <t>03/03/2026</t>
        </is>
      </c>
      <c r="I6402" s="10" t="inlineStr">
        <is>
          <t>02/04/2026</t>
        </is>
      </c>
      <c r="J6402" s="10" t="inlineStr">
        <is>
          <t>17/03/2026</t>
        </is>
      </c>
      <c r="K6402" s="10" t="inlineStr">
        <is>
          <t>N/A</t>
        </is>
      </c>
      <c r="L6402" s="10" t="inlineStr">
        <is>
          <t>Interior Design, 3D Visualization, AutoCAD, Photoshop, Team Work</t>
        </is>
      </c>
      <c r="M6402" s="10" t="inlineStr">
        <is>
          <t>Bonus, Healthcare Plan, Training, Travel Opportunities, Others</t>
        </is>
      </c>
      <c r="N6402" s="11">
        <f>HYPERLINK("https://www.vietnamworks.com/conceptual-interior-designer-senior-level-2017250-jv","Xem chi tiết")</f>
        <v/>
      </c>
      <c r="O6402" s="10" t="n"/>
    </row>
    <row r="6403">
      <c r="B6403" s="7" t="n">
        <v>6401</v>
      </c>
      <c r="C6403" t="inlineStr">
        <is>
          <t>Admissions Officer (Open to Junior &amp; Senior Levels)</t>
        </is>
      </c>
      <c r="D6403" t="inlineStr">
        <is>
          <t>EMASI Van Phuc - EMASI International Bilingual Schools</t>
        </is>
      </c>
      <c r="E6403" t="inlineStr">
        <is>
          <t>Thương lượng</t>
        </is>
      </c>
      <c r="F6403" t="inlineStr">
        <is>
          <t>Hồ Chí Minh</t>
        </is>
      </c>
      <c r="G6403" t="inlineStr">
        <is>
          <t>Nhân viên</t>
        </is>
      </c>
      <c r="H6403" t="inlineStr">
        <is>
          <t>03/03/2026</t>
        </is>
      </c>
      <c r="I6403" t="inlineStr">
        <is>
          <t>02/04/2026</t>
        </is>
      </c>
      <c r="J6403" t="inlineStr">
        <is>
          <t>17/03/2026</t>
        </is>
      </c>
      <c r="K6403" t="inlineStr">
        <is>
          <t>N/A</t>
        </is>
      </c>
      <c r="L6403" t="inlineStr">
        <is>
          <t>Customer Service, Communication Skills, Admissions Process, Sales Planning, Student Recruiting</t>
        </is>
      </c>
      <c r="M6403" t="inlineStr">
        <is>
          <t>Healthcare Plan, Paid Leave, Training, Canteen</t>
        </is>
      </c>
      <c r="N6403" s="8">
        <f>HYPERLINK("https://www.vietnamworks.com/admissions-officer-open-to-junior-senior-levels-2017247-jv","Xem chi tiết")</f>
        <v/>
      </c>
    </row>
    <row r="6404">
      <c r="B6404" s="9" t="n">
        <v>6402</v>
      </c>
      <c r="C6404" s="10" t="inlineStr">
        <is>
          <t>Chuyên Viên Tiền Lương Chính Sách</t>
        </is>
      </c>
      <c r="D6404" s="10" t="inlineStr">
        <is>
          <t>Tập Đoàn Dệt May Việt Nam</t>
        </is>
      </c>
      <c r="E6404" s="10" t="inlineStr">
        <is>
          <t>Thương lượng</t>
        </is>
      </c>
      <c r="F6404" s="10" t="inlineStr">
        <is>
          <t>Hà Nội</t>
        </is>
      </c>
      <c r="G6404" s="10" t="inlineStr">
        <is>
          <t>Nhân viên</t>
        </is>
      </c>
      <c r="H6404" s="10" t="inlineStr">
        <is>
          <t>03/03/2026</t>
        </is>
      </c>
      <c r="I6404" s="10" t="inlineStr">
        <is>
          <t>02/04/2026</t>
        </is>
      </c>
      <c r="J6404" s="10" t="inlineStr">
        <is>
          <t>17/03/2026</t>
        </is>
      </c>
      <c r="K6404" s="10" t="inlineStr">
        <is>
          <t>N/A</t>
        </is>
      </c>
      <c r="L6404" s="10" t="inlineStr">
        <is>
          <t>Quản Trị Nhân Lực, Hợp Đồng Lao Động, Luật Lao Động, Quản Lý Lương, Quản Lý Phúc Lợi</t>
        </is>
      </c>
      <c r="M6404" s="10" t="inlineStr">
        <is>
          <t>Bonus, Healthcare Plan, Training, Travel Opportunities, Others</t>
        </is>
      </c>
      <c r="N6404" s="11">
        <f>HYPERLINK("https://www.vietnamworks.com/chuyen-vien-tien-luong-chinh-sach-2017242-jv","Xem chi tiết")</f>
        <v/>
      </c>
      <c r="O6404" s="10" t="n"/>
    </row>
    <row r="6405">
      <c r="B6405" s="7" t="n">
        <v>6403</v>
      </c>
      <c r="C6405" t="inlineStr">
        <is>
          <t>Chuyên Viên Kiểm Soát Chất Lượng Định Giá - Trung Tâm Định Giá</t>
        </is>
      </c>
      <c r="D6405" t="inlineStr">
        <is>
          <t>Ngân Hàng TMCP Việt Nam Thương Tín (Vietbank)</t>
        </is>
      </c>
      <c r="E6405" t="inlineStr">
        <is>
          <t>Thương lượng</t>
        </is>
      </c>
      <c r="F6405" t="inlineStr">
        <is>
          <t>Hồ Chí Minh</t>
        </is>
      </c>
      <c r="G6405" t="inlineStr">
        <is>
          <t>Nhân viên</t>
        </is>
      </c>
      <c r="H6405" t="inlineStr">
        <is>
          <t>03/03/2026</t>
        </is>
      </c>
      <c r="I6405" t="inlineStr">
        <is>
          <t>02/04/2026</t>
        </is>
      </c>
      <c r="J6405" t="inlineStr">
        <is>
          <t>17/03/2026</t>
        </is>
      </c>
      <c r="K6405" t="inlineStr">
        <is>
          <t>N/A</t>
        </is>
      </c>
      <c r="L6405" t="inlineStr">
        <is>
          <t>Ngân hàng, Thẩm Định Giá, Kế Toán, Kiểm toán</t>
        </is>
      </c>
      <c r="M6405" t="inlineStr">
        <is>
          <t>Bonus, Healthcare Plan, Training</t>
        </is>
      </c>
      <c r="N6405" s="8">
        <f>HYPERLINK("https://www.vietnamworks.com/chuyen-vien-kiem-soat-chat-luong-dinh-gia-trung-tam-dinh-gia--2017238-jv","Xem chi tiết")</f>
        <v/>
      </c>
    </row>
    <row r="6406">
      <c r="B6406" s="9" t="n">
        <v>6404</v>
      </c>
      <c r="C6406" s="10" t="inlineStr">
        <is>
          <t>Trưởng Phòng Pháp Chế</t>
        </is>
      </c>
      <c r="D6406" s="10" t="inlineStr">
        <is>
          <t>Tổng Công Ty Phát Triển Đô Thị Kinh Bắc (KBC)</t>
        </is>
      </c>
      <c r="E6406" s="10" t="inlineStr">
        <is>
          <t>Thương lượng</t>
        </is>
      </c>
      <c r="F6406" s="10" t="inlineStr">
        <is>
          <t>Hà Nội, Hưng Yên</t>
        </is>
      </c>
      <c r="G6406" s="10" t="inlineStr">
        <is>
          <t>Trưởng phòng</t>
        </is>
      </c>
      <c r="H6406" s="10" t="inlineStr">
        <is>
          <t>03/03/2026</t>
        </is>
      </c>
      <c r="I6406" s="10" t="inlineStr">
        <is>
          <t>02/04/2026</t>
        </is>
      </c>
      <c r="J6406" s="10" t="inlineStr">
        <is>
          <t>17/03/2026</t>
        </is>
      </c>
      <c r="K6406" s="10" t="inlineStr">
        <is>
          <t>N/A</t>
        </is>
      </c>
      <c r="L6406" s="10" t="inlineStr">
        <is>
          <t>Pháp Lý, Luật Đầu Tư, Luật Doanh Nghiệp, Thương Lượng Hợp Đồng, Tư Vấn Pháp Lý</t>
        </is>
      </c>
      <c r="M6406" s="10" t="inlineStr">
        <is>
          <t>Bonus, Healthcare Plan, Travel Opportunities</t>
        </is>
      </c>
      <c r="N6406" s="11">
        <f>HYPERLINK("https://www.vietnamworks.com/truong-phong-phap-che-2017246-jv","Xem chi tiết")</f>
        <v/>
      </c>
      <c r="O6406" s="10" t="n"/>
    </row>
    <row r="6407">
      <c r="B6407" s="7" t="n">
        <v>6405</v>
      </c>
      <c r="C6407" t="inlineStr">
        <is>
          <t>Senior Procurement Officer</t>
        </is>
      </c>
      <c r="D6407" t="inlineStr">
        <is>
          <t>Chi Nhánh Công Ty TNHH Thủy Tinh Malaya - Việt Nam</t>
        </is>
      </c>
      <c r="E6407" t="inlineStr">
        <is>
          <t>Thương lượng</t>
        </is>
      </c>
      <c r="F6407" t="inlineStr">
        <is>
          <t>Bà Rịa - Vũng Tàu</t>
        </is>
      </c>
      <c r="G6407" t="inlineStr">
        <is>
          <t>Nhân viên</t>
        </is>
      </c>
      <c r="H6407" t="inlineStr">
        <is>
          <t>03/03/2026</t>
        </is>
      </c>
      <c r="I6407" t="inlineStr">
        <is>
          <t>02/04/2026</t>
        </is>
      </c>
      <c r="J6407" t="inlineStr">
        <is>
          <t>17/03/2026</t>
        </is>
      </c>
      <c r="K6407" t="inlineStr">
        <is>
          <t>N/A</t>
        </is>
      </c>
      <c r="L6407" t="inlineStr">
        <is>
          <t>Cost Control, ERP System, Problem Solving, Procurement, Supply Chain Management</t>
        </is>
      </c>
      <c r="M6407" t="inlineStr">
        <is>
          <t>Bonus, Healthcare Plan, Paid Leave, Training, Laptop, Transportation</t>
        </is>
      </c>
      <c r="N6407" s="8">
        <f>HYPERLINK("https://www.vietnamworks.com/senior-procurement-officer-2017249-jv","Xem chi tiết")</f>
        <v/>
      </c>
    </row>
    <row r="6408">
      <c r="B6408" s="9" t="n">
        <v>6406</v>
      </c>
      <c r="C6408" s="10" t="inlineStr">
        <is>
          <t>Nhân Viên Tư Vấn Bất Động Sản CĐT Phú Mỹ Hưng</t>
        </is>
      </c>
      <c r="D6408" s="10" t="inlineStr">
        <is>
          <t>Công Ty TNHH Phát Triển Phú Mỹ Hưng</t>
        </is>
      </c>
      <c r="E6408" s="10" t="inlineStr">
        <is>
          <t>Thương lượng</t>
        </is>
      </c>
      <c r="F6408" s="10" t="inlineStr">
        <is>
          <t>Hồ Chí Minh, Hà Nội, Bình Dương</t>
        </is>
      </c>
      <c r="G6408" s="10" t="inlineStr">
        <is>
          <t>Nhân viên</t>
        </is>
      </c>
      <c r="H6408" s="10" t="inlineStr">
        <is>
          <t>03/03/2026</t>
        </is>
      </c>
      <c r="I6408" s="10" t="inlineStr">
        <is>
          <t>02/04/2026</t>
        </is>
      </c>
      <c r="J6408" s="10" t="inlineStr">
        <is>
          <t>17/03/2026</t>
        </is>
      </c>
      <c r="K6408" s="10" t="inlineStr">
        <is>
          <t>N/A</t>
        </is>
      </c>
      <c r="L6408" s="10" t="inlineStr">
        <is>
          <t>Kinh Doanh Bất Động Sản, Kinh Doanh, Chăm Sóc Khách Hàng, Bất Động Sản, Bán Hàng</t>
        </is>
      </c>
      <c r="M6408" s="10" t="inlineStr">
        <is>
          <t>Healthcare Plan, Paid Leave, Training</t>
        </is>
      </c>
      <c r="N6408" s="11">
        <f>HYPERLINK("https://www.vietnamworks.com/nhan-vien-tu-van-bat-dong-san-cdt-phu-my-hung--2017252-jv","Xem chi tiết")</f>
        <v/>
      </c>
      <c r="O6408" s="10" t="n"/>
    </row>
    <row r="6409">
      <c r="B6409" s="7" t="n">
        <v>6407</v>
      </c>
      <c r="C6409" t="inlineStr">
        <is>
          <t>Nhân Viên Kế Toán</t>
        </is>
      </c>
      <c r="D6409" t="inlineStr">
        <is>
          <t>Công Ty Cổ Phần Vận Tải Quốc Tế Protraco</t>
        </is>
      </c>
      <c r="E6409" t="inlineStr">
        <is>
          <t>7tr-8tr ₫/tháng</t>
        </is>
      </c>
      <c r="F6409" t="inlineStr">
        <is>
          <t>Hà Nội</t>
        </is>
      </c>
      <c r="G6409" t="inlineStr">
        <is>
          <t>Nhân viên</t>
        </is>
      </c>
      <c r="H6409" t="inlineStr">
        <is>
          <t>03/03/2026</t>
        </is>
      </c>
      <c r="I6409" t="inlineStr">
        <is>
          <t>02/04/2026</t>
        </is>
      </c>
      <c r="J6409" t="inlineStr">
        <is>
          <t>17/03/2026</t>
        </is>
      </c>
      <c r="K6409" t="inlineStr">
        <is>
          <t>N/A</t>
        </is>
      </c>
      <c r="L6409" t="inlineStr">
        <is>
          <t>Tài Chính Kế Toán, Phần mềm kế toán, Tỉ Mỉ Cẩn Trọng, Sử dụng vi tính Văn Phòng, Trung Thực- Có Trách Nhiệm</t>
        </is>
      </c>
      <c r="M6409" t="inlineStr">
        <is>
          <t>Bonus, Healthcare Plan, Training, Team Activities, Others</t>
        </is>
      </c>
      <c r="N6409" s="8">
        <f>HYPERLINK("https://www.vietnamworks.com/nhan-vien-ke-toan-2017258-jv","Xem chi tiết")</f>
        <v/>
      </c>
    </row>
    <row r="6410">
      <c r="B6410" s="9" t="n">
        <v>6408</v>
      </c>
      <c r="C6410" s="10" t="inlineStr">
        <is>
          <t>Fund Accounting Associate Bootcamp</t>
        </is>
      </c>
      <c r="D6410" s="10" t="inlineStr">
        <is>
          <t>First Trust ACPA Vietnam CO., LTD</t>
        </is>
      </c>
      <c r="E6410" s="10" t="inlineStr">
        <is>
          <t>Thương lượng</t>
        </is>
      </c>
      <c r="F6410" s="10" t="inlineStr">
        <is>
          <t>Hà Nội</t>
        </is>
      </c>
      <c r="G6410" s="10" t="inlineStr">
        <is>
          <t>Mới Tốt Nghiệp</t>
        </is>
      </c>
      <c r="H6410" s="10" t="inlineStr">
        <is>
          <t>03/03/2026</t>
        </is>
      </c>
      <c r="I6410" s="10" t="inlineStr">
        <is>
          <t>02/04/2026</t>
        </is>
      </c>
      <c r="J6410" s="10" t="inlineStr">
        <is>
          <t>17/03/2026</t>
        </is>
      </c>
      <c r="K6410" s="10" t="inlineStr">
        <is>
          <t>N/A</t>
        </is>
      </c>
      <c r="L6410" s="10" t="inlineStr">
        <is>
          <t>Data Calculation, Financial Statement, Fund Accounting, Interpersonal Skills, Regulatory Compliance</t>
        </is>
      </c>
      <c r="M6410" s="10" t="inlineStr">
        <is>
          <t>Training, Others</t>
        </is>
      </c>
      <c r="N6410" s="11">
        <f>HYPERLINK("https://www.vietnamworks.com/fund-accounting-associate-bootcamp-2017261-jv","Xem chi tiết")</f>
        <v/>
      </c>
      <c r="O6410" s="10" t="n"/>
    </row>
    <row r="6411">
      <c r="B6411" s="7" t="n">
        <v>6409</v>
      </c>
      <c r="C6411" t="inlineStr">
        <is>
          <t>Sales Engineer (HN)</t>
        </is>
      </c>
      <c r="D6411" t="inlineStr">
        <is>
          <t>Autonics Vina</t>
        </is>
      </c>
      <c r="E6411" t="inlineStr">
        <is>
          <t>Thương lượng</t>
        </is>
      </c>
      <c r="F6411" t="inlineStr">
        <is>
          <t>Hà Nội</t>
        </is>
      </c>
      <c r="G6411" t="inlineStr">
        <is>
          <t>Nhân viên</t>
        </is>
      </c>
      <c r="H6411" t="inlineStr">
        <is>
          <t>03/03/2026</t>
        </is>
      </c>
      <c r="I6411" t="inlineStr">
        <is>
          <t>02/04/2026</t>
        </is>
      </c>
      <c r="J6411" t="inlineStr">
        <is>
          <t>17/03/2026</t>
        </is>
      </c>
      <c r="K6411" t="inlineStr">
        <is>
          <t>N/A</t>
        </is>
      </c>
      <c r="L6411" t="inlineStr">
        <is>
          <t>Technical Sales, Automation Equipment, Sales Management, Customer Development, Communication Skills</t>
        </is>
      </c>
      <c r="M6411" t="inlineStr">
        <is>
          <t>Bonus, Healthcare Plan, Training, Team Activities, Others</t>
        </is>
      </c>
      <c r="N6411" s="8">
        <f>HYPERLINK("https://www.vietnamworks.com/sales-engineer-hn-2017263-jv","Xem chi tiết")</f>
        <v/>
      </c>
    </row>
    <row r="6412">
      <c r="B6412" s="9" t="n">
        <v>6410</v>
      </c>
      <c r="C6412" s="10" t="inlineStr">
        <is>
          <t>Graphic Designer E-Commerce</t>
        </is>
      </c>
      <c r="D6412" s="10" t="inlineStr">
        <is>
          <t>CÔNG TY TNHH LEAFLINE VIETNAM</t>
        </is>
      </c>
      <c r="E6412" s="10" t="inlineStr">
        <is>
          <t>20tr-25tr ₫/tháng</t>
        </is>
      </c>
      <c r="F6412" s="10" t="inlineStr">
        <is>
          <t>Hồ Chí Minh</t>
        </is>
      </c>
      <c r="G6412" s="10" t="inlineStr">
        <is>
          <t>Nhân viên</t>
        </is>
      </c>
      <c r="H6412" s="10" t="inlineStr">
        <is>
          <t>03/03/2026</t>
        </is>
      </c>
      <c r="I6412" s="10" t="inlineStr">
        <is>
          <t>02/04/2026</t>
        </is>
      </c>
      <c r="J6412" s="10" t="inlineStr">
        <is>
          <t>17/03/2026</t>
        </is>
      </c>
      <c r="K6412" s="10" t="inlineStr">
        <is>
          <t>N/A</t>
        </is>
      </c>
      <c r="L6412" s="10" t="inlineStr">
        <is>
          <t>Figma, Photoshop, illustrator, Video Editing, UX Design</t>
        </is>
      </c>
      <c r="M6412" s="10" t="inlineStr">
        <is>
          <t>Bonus, Paid Leave, Travel Opportunities</t>
        </is>
      </c>
      <c r="N6412" s="11">
        <f>HYPERLINK("https://www.vietnamworks.com/graphic-designer-e-commerce-2017260-jv","Xem chi tiết")</f>
        <v/>
      </c>
      <c r="O6412" s="10" t="n"/>
    </row>
    <row r="6413">
      <c r="B6413" s="7" t="n">
        <v>6411</v>
      </c>
      <c r="C6413" t="inlineStr">
        <is>
          <t>[HCM] Sales Support (Chinese required)</t>
        </is>
      </c>
      <c r="D6413" t="inlineStr">
        <is>
          <t>Công Ty TNHH Ezocean Logistics Vietnam</t>
        </is>
      </c>
      <c r="E6413" t="inlineStr">
        <is>
          <t>Thương lượng</t>
        </is>
      </c>
      <c r="F6413" t="inlineStr">
        <is>
          <t>Hồ Chí Minh</t>
        </is>
      </c>
      <c r="G6413" t="inlineStr">
        <is>
          <t>Nhân viên</t>
        </is>
      </c>
      <c r="H6413" t="inlineStr">
        <is>
          <t>03/03/2026</t>
        </is>
      </c>
      <c r="I6413" t="inlineStr">
        <is>
          <t>02/04/2026</t>
        </is>
      </c>
      <c r="J6413" t="inlineStr">
        <is>
          <t>17/03/2026</t>
        </is>
      </c>
      <c r="K6413" t="inlineStr">
        <is>
          <t>N/A</t>
        </is>
      </c>
      <c r="L6413" t="inlineStr">
        <is>
          <t>Chinese, Logistics, Air freight, Sales Admin, Supporting sales staff</t>
        </is>
      </c>
      <c r="M6413" t="inlineStr">
        <is>
          <t>Bonus, Healthcare Plan, Others</t>
        </is>
      </c>
      <c r="N6413" s="8">
        <f>HYPERLINK("https://www.vietnamworks.com/hcm-sales-support-chinese-required-2017264-jv","Xem chi tiết")</f>
        <v/>
      </c>
    </row>
    <row r="6414">
      <c r="B6414" s="9" t="n">
        <v>6412</v>
      </c>
      <c r="C6414" s="10" t="inlineStr">
        <is>
          <t>Intermediate SMSF Accountant - Australia SMSF &amp; Taxation Services</t>
        </is>
      </c>
      <c r="D6414" s="10" t="inlineStr">
        <is>
          <t>PBIS Australia SMSF &amp; Taxation HR Resources</t>
        </is>
      </c>
      <c r="E6414" s="10" t="inlineStr">
        <is>
          <t>$$ 700-1,100 /tháng</t>
        </is>
      </c>
      <c r="F6414" s="10" t="inlineStr">
        <is>
          <t>Hồ Chí Minh</t>
        </is>
      </c>
      <c r="G6414" s="10" t="inlineStr">
        <is>
          <t>Nhân viên</t>
        </is>
      </c>
      <c r="H6414" s="10" t="inlineStr">
        <is>
          <t>03/03/2026</t>
        </is>
      </c>
      <c r="I6414" s="10" t="inlineStr">
        <is>
          <t>02/04/2026</t>
        </is>
      </c>
      <c r="J6414" s="10" t="inlineStr">
        <is>
          <t>17/03/2026</t>
        </is>
      </c>
      <c r="K6414" s="10" t="inlineStr">
        <is>
          <t>N/A</t>
        </is>
      </c>
      <c r="L6414" s="10" t="inlineStr">
        <is>
          <t>Tài Chính, Australian Tax, Kế Toán Thuế, Tax Accounting, SMSF Accounting: Conversion / BGL 360</t>
        </is>
      </c>
      <c r="M6414" s="10" t="inlineStr">
        <is>
          <t>Bonus, Training, Team Activities</t>
        </is>
      </c>
      <c r="N6414" s="11">
        <f>HYPERLINK("https://www.vietnamworks.com/intermediate-smsf-accountant-australia-smsf-taxation-services-2017268-jv","Xem chi tiết")</f>
        <v/>
      </c>
      <c r="O6414" s="10" t="n"/>
    </row>
    <row r="6415">
      <c r="B6415" s="7" t="n">
        <v>6413</v>
      </c>
      <c r="C6415" t="inlineStr">
        <is>
          <t>Nhân Viên Kinh Doanh Logistics/ Sales Executive</t>
        </is>
      </c>
      <c r="D6415" t="inlineStr">
        <is>
          <t>Công Ty Cổ Phần Vận Tải Quốc Tế Protraco</t>
        </is>
      </c>
      <c r="E6415" t="inlineStr">
        <is>
          <t>20tr-50tr ₫/tháng</t>
        </is>
      </c>
      <c r="F6415" t="inlineStr">
        <is>
          <t>Hải Phòng, Hà Nội</t>
        </is>
      </c>
      <c r="G6415" t="inlineStr">
        <is>
          <t>Mới Tốt Nghiệp</t>
        </is>
      </c>
      <c r="H6415" t="inlineStr">
        <is>
          <t>03/03/2026</t>
        </is>
      </c>
      <c r="I6415" t="inlineStr">
        <is>
          <t>02/04/2026</t>
        </is>
      </c>
      <c r="J6415" t="inlineStr">
        <is>
          <t>17/03/2026</t>
        </is>
      </c>
      <c r="K6415" t="inlineStr">
        <is>
          <t>N/A</t>
        </is>
      </c>
      <c r="L6415" t="inlineStr">
        <is>
          <t>Tư Vấn Khách Hàng, Quản Lý Đơn Hàng, Logistics, Logistics Sales, Kinh Doanh Xuất Nhập Khẩu</t>
        </is>
      </c>
      <c r="M6415" t="inlineStr">
        <is>
          <t>Bonus, Team Activities, Others</t>
        </is>
      </c>
      <c r="N6415" s="8">
        <f>HYPERLINK("https://www.vietnamworks.com/nhan-vien-kinh-doanh-logistics-sales-executive--2017257-jv","Xem chi tiết")</f>
        <v/>
      </c>
    </row>
    <row r="6416">
      <c r="B6416" s="9" t="n">
        <v>6414</v>
      </c>
      <c r="C6416" s="10" t="inlineStr">
        <is>
          <t>Trưởng Phòng Tài Chính Kinh Doanh</t>
        </is>
      </c>
      <c r="D6416" s="10" t="inlineStr">
        <is>
          <t>BIM Group</t>
        </is>
      </c>
      <c r="E6416" s="10" t="inlineStr">
        <is>
          <t>Thương lượng</t>
        </is>
      </c>
      <c r="F6416" s="10" t="inlineStr">
        <is>
          <t>Hà Nội</t>
        </is>
      </c>
      <c r="G6416" s="10" t="inlineStr">
        <is>
          <t>Trưởng phòng</t>
        </is>
      </c>
      <c r="H6416" s="10" t="inlineStr">
        <is>
          <t>03/03/2026</t>
        </is>
      </c>
      <c r="I6416" s="10" t="inlineStr">
        <is>
          <t>02/04/2026</t>
        </is>
      </c>
      <c r="J6416" s="10" t="inlineStr">
        <is>
          <t>17/03/2026</t>
        </is>
      </c>
      <c r="K6416" s="10" t="inlineStr">
        <is>
          <t>N/A</t>
        </is>
      </c>
      <c r="L6416" s="10" t="inlineStr">
        <is>
          <t>Excel, Giải Quyết Vấn Đề, Kiểm Toán, Kinh Tế, Tài Chính Kế Toán</t>
        </is>
      </c>
      <c r="M6416" s="10" t="inlineStr">
        <is>
          <t>Bonus, Healthcare Plan, Paid Leave, Travel Opportunities, Team Activities, Others</t>
        </is>
      </c>
      <c r="N6416" s="11">
        <f>HYPERLINK("https://www.vietnamworks.com/truong-phong-tai-chinh-kinh-doanh-2017267-jv","Xem chi tiết")</f>
        <v/>
      </c>
      <c r="O6416" s="10" t="n"/>
    </row>
    <row r="6417">
      <c r="B6417" s="7" t="n">
        <v>6415</v>
      </c>
      <c r="C6417" t="inlineStr">
        <is>
          <t>[HO HN] Chuyên Gia Dịch Vụ Khách Hàng</t>
        </is>
      </c>
      <c r="D6417" t="inlineStr">
        <is>
          <t>ABBank - Ngân Hàng TMCP An Bình</t>
        </is>
      </c>
      <c r="E6417" t="inlineStr">
        <is>
          <t>Thương lượng</t>
        </is>
      </c>
      <c r="F6417" t="inlineStr">
        <is>
          <t>Hà Nội</t>
        </is>
      </c>
      <c r="G6417" t="inlineStr">
        <is>
          <t>Nhân viên</t>
        </is>
      </c>
      <c r="H6417" t="inlineStr">
        <is>
          <t>03/03/2026</t>
        </is>
      </c>
      <c r="I6417" t="inlineStr">
        <is>
          <t>02/04/2026</t>
        </is>
      </c>
      <c r="J6417" t="inlineStr">
        <is>
          <t>17/03/2026</t>
        </is>
      </c>
      <c r="K6417" t="inlineStr">
        <is>
          <t>N/A</t>
        </is>
      </c>
      <c r="L6417" t="inlineStr">
        <is>
          <t>Cấp Tín Dụng, Kiểm Soát Hồ Sơ Tín Dụng, Lưu Trữ Hồ Sơ, Quản Lý Kho Quỹ, Tài Chính Ngân Hàng</t>
        </is>
      </c>
      <c r="M6417" t="inlineStr">
        <is>
          <t>Bonus, Healthcare Plan, Paid Leave, Training, Laptop, Travel Opportunities, Others</t>
        </is>
      </c>
      <c r="N6417" s="8">
        <f>HYPERLINK("https://www.vietnamworks.com/ho-hn-chuyen-gia-dich-vu-khach-hang-2017275-jv","Xem chi tiết")</f>
        <v/>
      </c>
    </row>
    <row r="6418">
      <c r="B6418" s="9" t="n">
        <v>6416</v>
      </c>
      <c r="C6418" s="10" t="inlineStr">
        <is>
          <t>Sales Manager (Real Estate) - Living Global - 4D022</t>
        </is>
      </c>
      <c r="D6418" s="10" t="inlineStr">
        <is>
          <t>Tập đoàn ROX (ROX Group)</t>
        </is>
      </c>
      <c r="E6418" s="10" t="inlineStr">
        <is>
          <t>$$ 1,000-1,800 /tháng</t>
        </is>
      </c>
      <c r="F6418" s="10" t="inlineStr">
        <is>
          <t>Hà Nội, Hồ Chí Minh</t>
        </is>
      </c>
      <c r="G6418" s="10" t="inlineStr">
        <is>
          <t>Nhân viên</t>
        </is>
      </c>
      <c r="H6418" s="10" t="inlineStr">
        <is>
          <t>03/03/2026</t>
        </is>
      </c>
      <c r="I6418" s="10" t="inlineStr">
        <is>
          <t>02/04/2026</t>
        </is>
      </c>
      <c r="J6418" s="10" t="inlineStr">
        <is>
          <t>17/03/2026</t>
        </is>
      </c>
      <c r="K6418" s="10" t="inlineStr">
        <is>
          <t>N/A</t>
        </is>
      </c>
      <c r="L6418" s="10" t="inlineStr">
        <is>
          <t>Tiếng Anh lưu loát, Tiếng Nga Cơ Bản, Bất Động Sản, Tư Vấn Bất Động Sản</t>
        </is>
      </c>
      <c r="M6418" s="10" t="inlineStr">
        <is>
          <t>Bonus, Healthcare Plan, Paid Leave</t>
        </is>
      </c>
      <c r="N6418" s="11">
        <f>HYPERLINK("https://www.vietnamworks.com/sales-manager-real-estate-living-global-4d022-2017265-jv","Xem chi tiết")</f>
        <v/>
      </c>
      <c r="O6418" s="10" t="n"/>
    </row>
    <row r="6419">
      <c r="B6419" s="7" t="n">
        <v>6417</v>
      </c>
      <c r="C6419" t="inlineStr">
        <is>
          <t>Predue Team Head (Early Collection)</t>
        </is>
      </c>
      <c r="D6419" t="inlineStr">
        <is>
          <t>Shinhan Vietnam Finance Company Limited</t>
        </is>
      </c>
      <c r="E6419" t="inlineStr">
        <is>
          <t>Thương lượng</t>
        </is>
      </c>
      <c r="F6419" t="inlineStr">
        <is>
          <t>Hồ Chí Minh</t>
        </is>
      </c>
      <c r="G6419" t="inlineStr">
        <is>
          <t>Trưởng phòng</t>
        </is>
      </c>
      <c r="H6419" t="inlineStr">
        <is>
          <t>03/03/2026</t>
        </is>
      </c>
      <c r="I6419" t="inlineStr">
        <is>
          <t>02/04/2026</t>
        </is>
      </c>
      <c r="J6419" t="inlineStr">
        <is>
          <t>17/03/2026</t>
        </is>
      </c>
      <c r="K6419" t="inlineStr">
        <is>
          <t>N/A</t>
        </is>
      </c>
      <c r="L6419" t="inlineStr">
        <is>
          <t>Debt Collection, Leadership, Customer Service Management, Call Center Management, Management Knowledge</t>
        </is>
      </c>
      <c r="M6419" t="inlineStr">
        <is>
          <t>Bonus, Healthcare Plan, Paid Leave</t>
        </is>
      </c>
      <c r="N6419" s="8">
        <f>HYPERLINK("https://www.vietnamworks.com/predue-team-head-early-collection--2017256-jv","Xem chi tiết")</f>
        <v/>
      </c>
    </row>
    <row r="6420">
      <c r="B6420" s="9" t="n">
        <v>6418</v>
      </c>
      <c r="C6420" s="10" t="inlineStr">
        <is>
          <t>Nhân Viên Kinh Doanh Kênh Modern Trade (Off-Trade)</t>
        </is>
      </c>
      <c r="D6420" s="10" t="inlineStr">
        <is>
          <t>Công Ty Cổ Phần Nước Giải Khát Rooster</t>
        </is>
      </c>
      <c r="E6420" s="10" t="inlineStr">
        <is>
          <t>Thương lượng</t>
        </is>
      </c>
      <c r="F6420" s="10" t="inlineStr">
        <is>
          <t>Hồ Chí Minh</t>
        </is>
      </c>
      <c r="G6420" s="10" t="inlineStr">
        <is>
          <t>Nhân viên</t>
        </is>
      </c>
      <c r="H6420" s="10" t="inlineStr">
        <is>
          <t>03/03/2026</t>
        </is>
      </c>
      <c r="I6420" s="10" t="inlineStr">
        <is>
          <t>02/04/2026</t>
        </is>
      </c>
      <c r="J6420" s="10" t="inlineStr">
        <is>
          <t>17/03/2026</t>
        </is>
      </c>
      <c r="K6420" s="10" t="inlineStr">
        <is>
          <t>N/A</t>
        </is>
      </c>
      <c r="L6420" s="10" t="inlineStr">
        <is>
          <t>Kinh Doanh, Modern Trade, Sales, Quản Lý Doanh Số, Phát Triển Khách Hàng</t>
        </is>
      </c>
      <c r="M6420" s="10" t="inlineStr">
        <is>
          <t>Bonus</t>
        </is>
      </c>
      <c r="N6420" s="11">
        <f>HYPERLINK("https://www.vietnamworks.com/nhan-vien-kinh-doanh-kenh-modern-trade-off-trade-2017272-jv","Xem chi tiết")</f>
        <v/>
      </c>
      <c r="O6420" s="10" t="n"/>
    </row>
    <row r="6421">
      <c r="B6421" s="7" t="n">
        <v>6419</v>
      </c>
      <c r="C6421" t="inlineStr">
        <is>
          <t>Chuyên Gia Phát Triển Sản Phẩm Số KHCN (Product Owner)</t>
        </is>
      </c>
      <c r="D6421" t="inlineStr">
        <is>
          <t>ABBank - Ngân Hàng TMCP An Bình</t>
        </is>
      </c>
      <c r="E6421" t="inlineStr">
        <is>
          <t>Thương lượng</t>
        </is>
      </c>
      <c r="F6421" t="inlineStr">
        <is>
          <t>Hà Nội</t>
        </is>
      </c>
      <c r="G6421" t="inlineStr">
        <is>
          <t>Nhân viên</t>
        </is>
      </c>
      <c r="H6421" t="inlineStr">
        <is>
          <t>03/03/2026</t>
        </is>
      </c>
      <c r="I6421" t="inlineStr">
        <is>
          <t>02/04/2026</t>
        </is>
      </c>
      <c r="J6421" t="inlineStr">
        <is>
          <t>17/03/2026</t>
        </is>
      </c>
      <c r="K6421" t="inlineStr">
        <is>
          <t>N/A</t>
        </is>
      </c>
      <c r="L6421" t="inlineStr">
        <is>
          <t>Agile, Kiểm Thử, Nghiên Cứu Thị Trường, Phát Triển Sản Phẩm, Tư Vấn Giải Pháp</t>
        </is>
      </c>
      <c r="M6421" t="inlineStr">
        <is>
          <t>Bonus, Healthcare Plan, Paid Leave, Training, Laptop, Travel Opportunities, Others</t>
        </is>
      </c>
      <c r="N6421" s="8">
        <f>HYPERLINK("https://www.vietnamworks.com/chuyen-gia-phat-trien-san-pham-so-khcn-product-owner-2017274-jv","Xem chi tiết")</f>
        <v/>
      </c>
    </row>
    <row r="6422">
      <c r="B6422" s="9" t="n">
        <v>6420</v>
      </c>
      <c r="C6422" s="10" t="inlineStr">
        <is>
          <t>Giám Sát Kinh Doanh - Khu Vực Long An</t>
        </is>
      </c>
      <c r="D6422" s="10" t="inlineStr">
        <is>
          <t>Shinhan Vietnam Finance Company Limited</t>
        </is>
      </c>
      <c r="E6422" s="10" t="inlineStr">
        <is>
          <t>Thương lượng</t>
        </is>
      </c>
      <c r="F6422" s="10" t="inlineStr">
        <is>
          <t>Long An</t>
        </is>
      </c>
      <c r="G6422" s="10" t="inlineStr">
        <is>
          <t>Trưởng phòng</t>
        </is>
      </c>
      <c r="H6422" s="10" t="inlineStr">
        <is>
          <t>03/03/2026</t>
        </is>
      </c>
      <c r="I6422" s="10" t="inlineStr">
        <is>
          <t>02/04/2026</t>
        </is>
      </c>
      <c r="J6422" s="10" t="inlineStr">
        <is>
          <t>17/03/2026</t>
        </is>
      </c>
      <c r="K6422" s="10" t="inlineStr">
        <is>
          <t>N/A</t>
        </is>
      </c>
      <c r="L6422" s="10" t="inlineStr">
        <is>
          <t>Giao Tiếp Thuyết Phục, Quản Lý Chỉ Số KPI, Sales Supervisor, Tài Chính, Telesales Marketing</t>
        </is>
      </c>
      <c r="M6422" s="10" t="inlineStr">
        <is>
          <t>Bonus, Healthcare Plan, Laptop, Travel Opportunities</t>
        </is>
      </c>
      <c r="N6422" s="11">
        <f>HYPERLINK("https://www.vietnamworks.com/giam-sat-kinh-doanh-khu-vuc-long-an-2017255-jv","Xem chi tiết")</f>
        <v/>
      </c>
      <c r="O6422" s="10" t="n"/>
    </row>
    <row r="6423">
      <c r="B6423" s="7" t="n">
        <v>6421</v>
      </c>
      <c r="C6423" t="inlineStr">
        <is>
          <t>Chuyên Viên Kiểm Toán Nội Bộ (Internal Audit Officer)</t>
        </is>
      </c>
      <c r="D6423" t="inlineStr">
        <is>
          <t>Công Ty Cổ Phần Chứng Khoán Guotai Junan (Việt Nam)</t>
        </is>
      </c>
      <c r="E6423" t="inlineStr">
        <is>
          <t>Thương lượng</t>
        </is>
      </c>
      <c r="F6423" t="inlineStr">
        <is>
          <t>Hà Nội</t>
        </is>
      </c>
      <c r="G6423" t="inlineStr">
        <is>
          <t>Nhân viên</t>
        </is>
      </c>
      <c r="H6423" t="inlineStr">
        <is>
          <t>03/03/2026</t>
        </is>
      </c>
      <c r="I6423" t="inlineStr">
        <is>
          <t>02/04/2026</t>
        </is>
      </c>
      <c r="J6423" t="inlineStr">
        <is>
          <t>17/03/2026</t>
        </is>
      </c>
      <c r="K6423" t="inlineStr">
        <is>
          <t>N/A</t>
        </is>
      </c>
      <c r="L6423" t="inlineStr">
        <is>
          <t>Legal Analysis, Dispute Settlement, Contract Management, Analytical Thinking, Accounting &amp; Auditing</t>
        </is>
      </c>
      <c r="M6423" t="inlineStr">
        <is>
          <t>Bonus, Training, Awards, Team Activities</t>
        </is>
      </c>
      <c r="N6423" s="8">
        <f>HYPERLINK("https://www.vietnamworks.com/chuyen-vien-kiem-toan-noi-bo-internal-audit-officer-2017269-jv","Xem chi tiết")</f>
        <v/>
      </c>
    </row>
    <row r="6424">
      <c r="B6424" s="9" t="n">
        <v>6422</v>
      </c>
      <c r="C6424" s="10" t="inlineStr">
        <is>
          <t>Business Development - Furniture Field</t>
        </is>
      </c>
      <c r="D6424" s="10" t="inlineStr">
        <is>
          <t>Công Ty TNHH TM &amp; DV Nội Thất TND</t>
        </is>
      </c>
      <c r="E6424" s="10" t="inlineStr">
        <is>
          <t>Từ 20tr ₫/tháng</t>
        </is>
      </c>
      <c r="F6424" s="10" t="inlineStr">
        <is>
          <t>Hồ Chí Minh, Hà Nội</t>
        </is>
      </c>
      <c r="G6424" s="10" t="inlineStr">
        <is>
          <t>Nhân viên</t>
        </is>
      </c>
      <c r="H6424" s="10" t="inlineStr">
        <is>
          <t>03/03/2026</t>
        </is>
      </c>
      <c r="I6424" s="10" t="inlineStr">
        <is>
          <t>18/03/2026</t>
        </is>
      </c>
      <c r="J6424" s="10" t="inlineStr">
        <is>
          <t>17/03/2026</t>
        </is>
      </c>
      <c r="K6424" s="10" t="inlineStr">
        <is>
          <t>N/A</t>
        </is>
      </c>
      <c r="L6424" s="10" t="inlineStr">
        <is>
          <t>Business Development, Sales, Sales Executive, Kinh Doanh, Sales B2B</t>
        </is>
      </c>
      <c r="M6424" s="10" t="inlineStr">
        <is>
          <t>Bonus, Healthcare Plan, Training, Team Activities</t>
        </is>
      </c>
      <c r="N6424" s="11">
        <f>HYPERLINK("https://www.vietnamworks.com/business-development-furniture-field-2017273-jv","Xem chi tiết")</f>
        <v/>
      </c>
      <c r="O6424" s="10" t="n"/>
    </row>
    <row r="6425">
      <c r="B6425" s="7" t="n">
        <v>6423</v>
      </c>
      <c r="C6425" t="inlineStr">
        <is>
          <t>Field Application Engineer</t>
        </is>
      </c>
      <c r="D6425" t="inlineStr">
        <is>
          <t>Weikeng Technology Pte Ltd</t>
        </is>
      </c>
      <c r="E6425" t="inlineStr">
        <is>
          <t>Thương lượng</t>
        </is>
      </c>
      <c r="F6425" t="inlineStr">
        <is>
          <t>Hồ Chí Minh</t>
        </is>
      </c>
      <c r="G6425" t="inlineStr">
        <is>
          <t>Nhân viên</t>
        </is>
      </c>
      <c r="H6425" t="inlineStr">
        <is>
          <t>03/03/2026</t>
        </is>
      </c>
      <c r="I6425" t="inlineStr">
        <is>
          <t>02/04/2026</t>
        </is>
      </c>
      <c r="J6425" t="inlineStr">
        <is>
          <t>17/03/2026</t>
        </is>
      </c>
      <c r="K6425" t="inlineStr">
        <is>
          <t>N/A</t>
        </is>
      </c>
      <c r="L6425" t="inlineStr">
        <is>
          <t>Presentation Report, Communication And Problem-Solving Skills, Analog Circuits, MCU Design, Power Electronics Design</t>
        </is>
      </c>
      <c r="M6425" t="inlineStr">
        <is>
          <t>Paid Leave</t>
        </is>
      </c>
      <c r="N6425" s="8">
        <f>HYPERLINK("https://www.vietnamworks.com/field-application-engineer--2017300-jv","Xem chi tiết")</f>
        <v/>
      </c>
    </row>
    <row r="6426">
      <c r="B6426" s="9" t="n">
        <v>6424</v>
      </c>
      <c r="C6426" s="10" t="inlineStr">
        <is>
          <t>Chuyên Viên Chính Kế Toán Nội Bộ - Sbsi - 4G012 - Sbsib</t>
        </is>
      </c>
      <c r="D6426" s="10" t="inlineStr">
        <is>
          <t>Công Ty Cổ Phần Chứng Khoán Stanley Brothers</t>
        </is>
      </c>
      <c r="E6426" s="10" t="inlineStr">
        <is>
          <t>Thương lượng</t>
        </is>
      </c>
      <c r="F6426" s="10" t="inlineStr">
        <is>
          <t>Hà Nội</t>
        </is>
      </c>
      <c r="G6426" s="10" t="inlineStr">
        <is>
          <t>Nhân viên</t>
        </is>
      </c>
      <c r="H6426" s="10" t="inlineStr">
        <is>
          <t>03/03/2026</t>
        </is>
      </c>
      <c r="I6426" s="10" t="inlineStr">
        <is>
          <t>02/04/2026</t>
        </is>
      </c>
      <c r="J6426" s="10" t="inlineStr">
        <is>
          <t>17/03/2026</t>
        </is>
      </c>
      <c r="K6426" s="10" t="inlineStr">
        <is>
          <t>N/A</t>
        </is>
      </c>
      <c r="L6426" s="10" t="inlineStr">
        <is>
          <t>Kế Toán, Thuế, Tài Chính</t>
        </is>
      </c>
      <c r="M6426" s="10" t="inlineStr">
        <is>
          <t>Others</t>
        </is>
      </c>
      <c r="N6426" s="11">
        <f>HYPERLINK("https://www.vietnamworks.com/chuyen-vien-chinh-ke-toan-noi-bo-sbsi-4g012-sbsib-2017296-jv","Xem chi tiết")</f>
        <v/>
      </c>
      <c r="O6426" s="10" t="n"/>
    </row>
    <row r="6427">
      <c r="B6427" s="7" t="n">
        <v>6425</v>
      </c>
      <c r="C6427" t="inlineStr">
        <is>
          <t>Quản Đốc Phân Xưởng (Nhà Máy Bắc Ninh)</t>
        </is>
      </c>
      <c r="D6427" t="inlineStr">
        <is>
          <t>Công Ty Cổ Phần Quốc Tế Sơn Hà</t>
        </is>
      </c>
      <c r="E6427" t="inlineStr">
        <is>
          <t>$$ 800-1,500 /tháng</t>
        </is>
      </c>
      <c r="F6427" t="inlineStr">
        <is>
          <t>Bắc Ninh</t>
        </is>
      </c>
      <c r="G6427" t="inlineStr">
        <is>
          <t>Trưởng phòng</t>
        </is>
      </c>
      <c r="H6427" t="inlineStr">
        <is>
          <t>03/03/2026</t>
        </is>
      </c>
      <c r="I6427" t="inlineStr">
        <is>
          <t>02/04/2026</t>
        </is>
      </c>
      <c r="J6427" t="inlineStr">
        <is>
          <t>17/03/2026</t>
        </is>
      </c>
      <c r="K6427" t="inlineStr">
        <is>
          <t>N/A</t>
        </is>
      </c>
      <c r="L6427" t="inlineStr">
        <is>
          <t>Quản Lý Sản Xuất, Quản Lý Phân Xưởng, Điều Hành, Quản Lý Dây Chuyền Sản Xuất</t>
        </is>
      </c>
      <c r="M6427" t="inlineStr">
        <is>
          <t>Bonus, Healthcare Plan, Laptop</t>
        </is>
      </c>
      <c r="N6427" s="8">
        <f>HYPERLINK("https://www.vietnamworks.com/quan-doc-phan-xuong-nha-may-bac-ninh-2017276-jv","Xem chi tiết")</f>
        <v/>
      </c>
    </row>
    <row r="6428">
      <c r="B6428" s="9" t="n">
        <v>6426</v>
      </c>
      <c r="C6428" s="10" t="inlineStr">
        <is>
          <t>Performance Marketing Manager (Up-To $10,000)</t>
        </is>
      </c>
      <c r="D6428" s="10" t="inlineStr">
        <is>
          <t>Crossian Việt Nam</t>
        </is>
      </c>
      <c r="E6428" s="10" t="inlineStr">
        <is>
          <t>Tới $ 10,000 /tháng</t>
        </is>
      </c>
      <c r="F6428" s="10" t="inlineStr">
        <is>
          <t>Hà Nội, Hồ Chí Minh</t>
        </is>
      </c>
      <c r="G6428" s="10" t="inlineStr">
        <is>
          <t>Trưởng phòng</t>
        </is>
      </c>
      <c r="H6428" s="10" t="inlineStr">
        <is>
          <t>03/03/2026</t>
        </is>
      </c>
      <c r="I6428" s="10" t="inlineStr">
        <is>
          <t>02/04/2026</t>
        </is>
      </c>
      <c r="J6428" s="10" t="inlineStr">
        <is>
          <t>17/03/2026</t>
        </is>
      </c>
      <c r="K6428" s="10" t="inlineStr">
        <is>
          <t>N/A</t>
        </is>
      </c>
      <c r="L6428" s="10" t="inlineStr">
        <is>
          <t>Project Management, Performance Marketing, Business Intelligence, BI Tools, Data Analysis</t>
        </is>
      </c>
      <c r="M6428" s="10" t="inlineStr">
        <is>
          <t>Bonus, Healthcare Plan, Training</t>
        </is>
      </c>
      <c r="N6428" s="11">
        <f>HYPERLINK("https://www.vietnamworks.com/performance-marketing-manager-up-to-10-000--2017289-jv","Xem chi tiết")</f>
        <v/>
      </c>
      <c r="O6428" s="10" t="n"/>
    </row>
    <row r="6429">
      <c r="B6429" s="7" t="n">
        <v>6427</v>
      </c>
      <c r="C6429" t="inlineStr">
        <is>
          <t>Implementation Consultant (Business analysis, project coordination)</t>
        </is>
      </c>
      <c r="D6429" t="inlineStr">
        <is>
          <t>Truecommerce Vietnam Company, Limited</t>
        </is>
      </c>
      <c r="E6429" t="inlineStr">
        <is>
          <t>$$ 550-800 /tháng</t>
        </is>
      </c>
      <c r="F6429" t="inlineStr">
        <is>
          <t>Hồ Chí Minh</t>
        </is>
      </c>
      <c r="G6429" t="inlineStr">
        <is>
          <t>Nhân viên</t>
        </is>
      </c>
      <c r="H6429" t="inlineStr">
        <is>
          <t>03/03/2026</t>
        </is>
      </c>
      <c r="I6429" t="inlineStr">
        <is>
          <t>02/04/2026</t>
        </is>
      </c>
      <c r="J6429" t="inlineStr">
        <is>
          <t>17/03/2026</t>
        </is>
      </c>
      <c r="K6429" t="inlineStr">
        <is>
          <t>N/A</t>
        </is>
      </c>
      <c r="L6429" t="inlineStr">
        <is>
          <t>Business Analysis, ERP Business Analysis, IT Business Analyst, Systems Implementation</t>
        </is>
      </c>
      <c r="M6429" t="inlineStr">
        <is>
          <t>Healthcare Plan, Paid Leave, Training, Awards, Laptop</t>
        </is>
      </c>
      <c r="N6429" s="8">
        <f>HYPERLINK("https://www.vietnamworks.com/implementation-consultant-business-analysis-project-coordination-2017285-jv","Xem chi tiết")</f>
        <v/>
      </c>
    </row>
    <row r="6430">
      <c r="B6430" s="9" t="n">
        <v>6428</v>
      </c>
      <c r="C6430" s="10" t="inlineStr">
        <is>
          <t>GIÁM ĐỐC KINH DOANH TOÀN QUỐC ( NGÀNH GẠCH MEN)</t>
        </is>
      </c>
      <c r="D6430" s="10" t="inlineStr">
        <is>
          <t>Công ty Cổ phần Gạch Men Ý Mỹ</t>
        </is>
      </c>
      <c r="E6430" s="10" t="inlineStr">
        <is>
          <t>Thương lượng</t>
        </is>
      </c>
      <c r="F6430" s="10" t="inlineStr">
        <is>
          <t>Hồ Chí Minh</t>
        </is>
      </c>
      <c r="G6430" s="10" t="inlineStr">
        <is>
          <t>Giám Đốc và Cấp Cao Hơn</t>
        </is>
      </c>
      <c r="H6430" s="10" t="inlineStr">
        <is>
          <t>03/03/2026</t>
        </is>
      </c>
      <c r="I6430" s="10" t="inlineStr">
        <is>
          <t>02/04/2026</t>
        </is>
      </c>
      <c r="J6430" s="10" t="inlineStr">
        <is>
          <t>17/03/2026</t>
        </is>
      </c>
      <c r="K6430" s="10" t="inlineStr">
        <is>
          <t>N/A</t>
        </is>
      </c>
      <c r="L6430" s="10" t="inlineStr">
        <is>
          <t>Kỹ năng bán hàng, Kỹ Năng Lãnh Đạo Đội Nhóm, Kỹ năng quan sát và phân tích vấn đề, Kỹ Năng Thương Thảo Tốt, Kỹ năng trình bày tốt</t>
        </is>
      </c>
      <c r="M6430" s="10" t="inlineStr">
        <is>
          <t>Bonus</t>
        </is>
      </c>
      <c r="N6430" s="11">
        <f>HYPERLINK("https://www.vietnamworks.com/giam-djoc-kinh-doanh-toan-quoc-nganh-gach-men-2017301-jv","Xem chi tiết")</f>
        <v/>
      </c>
      <c r="O6430" s="10" t="n"/>
    </row>
    <row r="6431">
      <c r="B6431" s="7" t="n">
        <v>6429</v>
      </c>
      <c r="C6431" t="inlineStr">
        <is>
          <t>Footwear Developer</t>
        </is>
      </c>
      <c r="D6431" t="inlineStr">
        <is>
          <t>VF Asia Ltd.</t>
        </is>
      </c>
      <c r="E6431" t="inlineStr">
        <is>
          <t>Thương lượng</t>
        </is>
      </c>
      <c r="F6431" t="inlineStr">
        <is>
          <t>Thanh Hóa</t>
        </is>
      </c>
      <c r="G6431" t="inlineStr">
        <is>
          <t>Nhân viên</t>
        </is>
      </c>
      <c r="H6431" t="inlineStr">
        <is>
          <t>03/03/2026</t>
        </is>
      </c>
      <c r="I6431" t="inlineStr">
        <is>
          <t>02/04/2026</t>
        </is>
      </c>
      <c r="J6431" t="inlineStr">
        <is>
          <t>17/03/2026</t>
        </is>
      </c>
      <c r="K6431" t="inlineStr">
        <is>
          <t>N/A</t>
        </is>
      </c>
      <c r="L6431" t="inlineStr">
        <is>
          <t>Footwear Design, Phát Triển Sản Phẩm, Footwear Development, Footwear Merchandise, Sourcing Materials</t>
        </is>
      </c>
      <c r="M6431" t="inlineStr">
        <is>
          <t>Bonus, Others</t>
        </is>
      </c>
      <c r="N6431" s="8">
        <f>HYPERLINK("https://www.vietnamworks.com/footwear-developer-2017304-jv","Xem chi tiết")</f>
        <v/>
      </c>
    </row>
    <row r="6432">
      <c r="B6432" s="9" t="n">
        <v>6430</v>
      </c>
      <c r="C6432" s="10" t="inlineStr">
        <is>
          <t>Nhân Viên Định Mức (Consumption Staff)</t>
        </is>
      </c>
      <c r="D6432" s="10" t="inlineStr">
        <is>
          <t>Công Ty TNHH Kanaan Central Việt Nam</t>
        </is>
      </c>
      <c r="E6432" s="10" t="inlineStr">
        <is>
          <t>Thương lượng</t>
        </is>
      </c>
      <c r="F6432" s="10" t="inlineStr">
        <is>
          <t>Hồ Chí Minh</t>
        </is>
      </c>
      <c r="G6432" s="10" t="inlineStr">
        <is>
          <t>Nhân viên</t>
        </is>
      </c>
      <c r="H6432" s="10" t="inlineStr">
        <is>
          <t>03/03/2026</t>
        </is>
      </c>
      <c r="I6432" s="10" t="inlineStr">
        <is>
          <t>02/04/2026</t>
        </is>
      </c>
      <c r="J6432" s="10" t="inlineStr">
        <is>
          <t>17/03/2026</t>
        </is>
      </c>
      <c r="K6432" s="10" t="inlineStr">
        <is>
          <t>N/A</t>
        </is>
      </c>
      <c r="L6432" s="10" t="inlineStr">
        <is>
          <t>Giải Quyết Vấn Đề, Giao Tiếp, Làm Việc Nhóm, Lập Kế Hoạch, Lưu Trình Sản Xuất</t>
        </is>
      </c>
      <c r="M6432" s="10" t="inlineStr">
        <is>
          <t>Bonus, Others</t>
        </is>
      </c>
      <c r="N6432" s="11">
        <f>HYPERLINK("https://www.vietnamworks.com/nhan-vien-djinh-muc-consumption-staff-2017287-jv","Xem chi tiết")</f>
        <v/>
      </c>
      <c r="O6432" s="10" t="n"/>
    </row>
    <row r="6433">
      <c r="B6433" s="7" t="n">
        <v>6431</v>
      </c>
      <c r="C6433" t="inlineStr">
        <is>
          <t>Legal Counsel, Patent, Global e-Commerce Platform (Up to USD 4,000)</t>
        </is>
      </c>
      <c r="D6433" t="inlineStr">
        <is>
          <t>Crossian Việt Nam</t>
        </is>
      </c>
      <c r="E6433" t="inlineStr">
        <is>
          <t>Tới $ 4,000 /tháng</t>
        </is>
      </c>
      <c r="F6433" t="inlineStr">
        <is>
          <t>Hà Nội, Hồ Chí Minh</t>
        </is>
      </c>
      <c r="G6433" t="inlineStr">
        <is>
          <t>Nhân viên</t>
        </is>
      </c>
      <c r="H6433" t="inlineStr">
        <is>
          <t>03/03/2026</t>
        </is>
      </c>
      <c r="I6433" t="inlineStr">
        <is>
          <t>02/04/2026</t>
        </is>
      </c>
      <c r="J6433" t="inlineStr">
        <is>
          <t>17/03/2026</t>
        </is>
      </c>
      <c r="K6433" t="inlineStr">
        <is>
          <t>N/A</t>
        </is>
      </c>
      <c r="L6433" t="inlineStr">
        <is>
          <t>English, Contract Law, Law, Legal Consulting</t>
        </is>
      </c>
      <c r="M6433" t="inlineStr">
        <is>
          <t>Bonus, Healthcare Plan, Paid Leave, Training, Team Activities</t>
        </is>
      </c>
      <c r="N6433" s="8">
        <f>HYPERLINK("https://www.vietnamworks.com/legal-counsel-patent-global-e-commerce-platform-up-to-usd-4000-2017294-jv","Xem chi tiết")</f>
        <v/>
      </c>
    </row>
    <row r="6434">
      <c r="B6434" s="9" t="n">
        <v>6432</v>
      </c>
      <c r="C6434" s="10" t="inlineStr">
        <is>
          <t>Furniture QA Inspector (HCM / Long An / Hai Phong)</t>
        </is>
      </c>
      <c r="D6434" s="10" t="inlineStr">
        <is>
          <t>William E. Connor &amp; Associates Ltd - Resident Representative Office In Vietnam</t>
        </is>
      </c>
      <c r="E6434" s="10" t="inlineStr">
        <is>
          <t>Thương lượng</t>
        </is>
      </c>
      <c r="F6434" s="10" t="inlineStr">
        <is>
          <t>Long An, Hồ Chí Minh, Hải Phòng</t>
        </is>
      </c>
      <c r="G6434" s="10" t="inlineStr">
        <is>
          <t>Nhân viên</t>
        </is>
      </c>
      <c r="H6434" s="10" t="inlineStr">
        <is>
          <t>03/03/2026</t>
        </is>
      </c>
      <c r="I6434" s="10" t="inlineStr">
        <is>
          <t>02/04/2026</t>
        </is>
      </c>
      <c r="J6434" s="10" t="inlineStr">
        <is>
          <t>17/03/2026</t>
        </is>
      </c>
      <c r="K6434" s="10" t="inlineStr">
        <is>
          <t>N/A</t>
        </is>
      </c>
      <c r="L6434" s="10" t="inlineStr">
        <is>
          <t>Quality Assurance, Product Management, Furniture, English Communication</t>
        </is>
      </c>
      <c r="M6434" s="10" t="inlineStr">
        <is>
          <t>Bonus, Healthcare Plan, Training</t>
        </is>
      </c>
      <c r="N6434" s="11">
        <f>HYPERLINK("https://www.vietnamworks.com/furniture-qa-inspector-hcm-long-an-hai-phong-2017303-jv","Xem chi tiết")</f>
        <v/>
      </c>
      <c r="O6434" s="10" t="n"/>
    </row>
    <row r="6435">
      <c r="B6435" s="7" t="n">
        <v>6433</v>
      </c>
      <c r="C6435" t="inlineStr">
        <is>
          <t>Trưởng Khoa Dược - Vinmec Riverside</t>
        </is>
      </c>
      <c r="D6435" t="inlineStr">
        <is>
          <t>Công Ty CP Bệnh Viện Đa Khoa Quốc Tế Vinmec</t>
        </is>
      </c>
      <c r="E6435" t="inlineStr">
        <is>
          <t>Thương lượng</t>
        </is>
      </c>
      <c r="F6435" t="inlineStr">
        <is>
          <t>Hà Nội</t>
        </is>
      </c>
      <c r="G6435" t="inlineStr">
        <is>
          <t>Trưởng phòng</t>
        </is>
      </c>
      <c r="H6435" t="inlineStr">
        <is>
          <t>03/03/2026</t>
        </is>
      </c>
      <c r="I6435" t="inlineStr">
        <is>
          <t>02/04/2026</t>
        </is>
      </c>
      <c r="J6435" t="inlineStr">
        <is>
          <t>17/03/2026</t>
        </is>
      </c>
      <c r="K6435" t="inlineStr">
        <is>
          <t>N/A</t>
        </is>
      </c>
      <c r="L6435" t="inlineStr">
        <is>
          <t>Dược, Quản Lý, Quản Trị, Vận Hành</t>
        </is>
      </c>
      <c r="M6435" t="inlineStr">
        <is>
          <t>Bonus</t>
        </is>
      </c>
      <c r="N6435" s="8">
        <f>HYPERLINK("https://www.vietnamworks.com/truong-khoa-duoc-vinmec-riverside-2017281-jv","Xem chi tiết")</f>
        <v/>
      </c>
    </row>
    <row r="6436">
      <c r="B6436" s="9" t="n">
        <v>6434</v>
      </c>
      <c r="C6436" s="10" t="inlineStr">
        <is>
          <t>Quality Inspector</t>
        </is>
      </c>
      <c r="D6436" s="10" t="inlineStr">
        <is>
          <t>Metasource</t>
        </is>
      </c>
      <c r="E6436" s="10" t="inlineStr">
        <is>
          <t>Thương lượng</t>
        </is>
      </c>
      <c r="F6436" s="10" t="inlineStr">
        <is>
          <t>Tiền Giang</t>
        </is>
      </c>
      <c r="G6436" s="10" t="inlineStr">
        <is>
          <t>Nhân viên</t>
        </is>
      </c>
      <c r="H6436" s="10" t="inlineStr">
        <is>
          <t>03/03/2026</t>
        </is>
      </c>
      <c r="I6436" s="10" t="inlineStr">
        <is>
          <t>02/04/2026</t>
        </is>
      </c>
      <c r="J6436" s="10" t="inlineStr">
        <is>
          <t>17/03/2026</t>
        </is>
      </c>
      <c r="K6436" s="10" t="inlineStr">
        <is>
          <t>N/A</t>
        </is>
      </c>
      <c r="L6436" s="10" t="inlineStr">
        <is>
          <t>Logical Thinking, Problem-solving, Production Process, Quality Control, Quality Inspection</t>
        </is>
      </c>
      <c r="M6436" s="10" t="inlineStr">
        <is>
          <t>Paid Leave, Training, Others</t>
        </is>
      </c>
      <c r="N6436" s="11">
        <f>HYPERLINK("https://www.vietnamworks.com/quality-inspector-2017290-jv","Xem chi tiết")</f>
        <v/>
      </c>
      <c r="O6436" s="10" t="n"/>
    </row>
    <row r="6437">
      <c r="B6437" s="7" t="n">
        <v>6435</v>
      </c>
      <c r="C6437" t="inlineStr">
        <is>
          <t>Chuyên Viên Kinh Tế Hợp Đồng - QS (Khối Thí Nghiệm/ Kiểm Định)</t>
        </is>
      </c>
      <c r="D6437" t="inlineStr">
        <is>
          <t>Công Ty Cổ Phần Tập Đoàn Masterise</t>
        </is>
      </c>
      <c r="E6437" t="inlineStr">
        <is>
          <t>Thương lượng</t>
        </is>
      </c>
      <c r="F6437" t="inlineStr">
        <is>
          <t>Bắc Ninh</t>
        </is>
      </c>
      <c r="G6437" t="inlineStr">
        <is>
          <t>Nhân viên</t>
        </is>
      </c>
      <c r="H6437" t="inlineStr">
        <is>
          <t>03/03/2026</t>
        </is>
      </c>
      <c r="I6437" t="inlineStr">
        <is>
          <t>02/04/2026</t>
        </is>
      </c>
      <c r="J6437" t="inlineStr">
        <is>
          <t>17/03/2026</t>
        </is>
      </c>
      <c r="K6437" t="inlineStr">
        <is>
          <t>N/A</t>
        </is>
      </c>
      <c r="L6437" t="inlineStr">
        <is>
          <t>Phân Tích Thí Nghiệm, Kinh Tế Xây Dựng, Soạn Thảo Hợp Đồng, Kiểm Soát Hồ Sơ Thanh Toán, Dự Toán Chi Phí</t>
        </is>
      </c>
      <c r="M6437" t="inlineStr">
        <is>
          <t>Bonus, Healthcare Plan, Laptop</t>
        </is>
      </c>
      <c r="N6437" s="8">
        <f>HYPERLINK("https://www.vietnamworks.com/chuyen-vien-kinh-te-hop-dong-qs-khoi-thi-nghiem-kiem-dinh-2017291-jv","Xem chi tiết")</f>
        <v/>
      </c>
    </row>
    <row r="6438">
      <c r="B6438" s="9" t="n">
        <v>6436</v>
      </c>
      <c r="C6438" s="10" t="inlineStr">
        <is>
          <t>Tele Collection Supervisor (Credit Card)</t>
        </is>
      </c>
      <c r="D6438" s="10" t="inlineStr">
        <is>
          <t>Shinhan Vietnam Finance Company Limited</t>
        </is>
      </c>
      <c r="E6438" s="10" t="inlineStr">
        <is>
          <t>Thương lượng</t>
        </is>
      </c>
      <c r="F6438" s="10" t="inlineStr">
        <is>
          <t>Hồ Chí Minh</t>
        </is>
      </c>
      <c r="G6438" s="10" t="inlineStr">
        <is>
          <t>Trưởng phòng</t>
        </is>
      </c>
      <c r="H6438" s="10" t="inlineStr">
        <is>
          <t>03/03/2026</t>
        </is>
      </c>
      <c r="I6438" s="10" t="inlineStr">
        <is>
          <t>02/04/2026</t>
        </is>
      </c>
      <c r="J6438" s="10" t="inlineStr">
        <is>
          <t>17/03/2026</t>
        </is>
      </c>
      <c r="K6438" s="10" t="inlineStr">
        <is>
          <t>N/A</t>
        </is>
      </c>
      <c r="L6438" s="10" t="inlineStr">
        <is>
          <t>Team Supervision, Collection Strategy, Management</t>
        </is>
      </c>
      <c r="M6438" s="10" t="inlineStr">
        <is>
          <t>Bonus, Healthcare Plan, Paid Leave</t>
        </is>
      </c>
      <c r="N6438" s="11">
        <f>HYPERLINK("https://www.vietnamworks.com/tele-collection-supervisor-credit-card-2017279-jv","Xem chi tiết")</f>
        <v/>
      </c>
      <c r="O6438" s="10" t="n"/>
    </row>
    <row r="6439">
      <c r="B6439" s="7" t="n">
        <v>6437</v>
      </c>
      <c r="C6439" t="inlineStr">
        <is>
          <t>Marketing Nhà Hàng Onjeong</t>
        </is>
      </c>
      <c r="D6439" t="inlineStr">
        <is>
          <t>Công ty TNHH IC FOOD SONLA</t>
        </is>
      </c>
      <c r="E6439" t="inlineStr">
        <is>
          <t>Thương lượng</t>
        </is>
      </c>
      <c r="F6439" t="inlineStr">
        <is>
          <t>Hà Nội</t>
        </is>
      </c>
      <c r="G6439" t="inlineStr">
        <is>
          <t>Nhân viên</t>
        </is>
      </c>
      <c r="H6439" t="inlineStr">
        <is>
          <t>03/03/2026</t>
        </is>
      </c>
      <c r="I6439" t="inlineStr">
        <is>
          <t>02/04/2026</t>
        </is>
      </c>
      <c r="J6439" t="inlineStr">
        <is>
          <t>17/03/2026</t>
        </is>
      </c>
      <c r="K6439" t="inlineStr">
        <is>
          <t>N/A</t>
        </is>
      </c>
      <c r="L6439" t="inlineStr">
        <is>
          <t>Quản Lý Nhà Hàng, Truyền Thông Thương Hiệu, Quản Lý Nội Dung, Tổ Chức Sự Kiện, Quảng Cáo</t>
        </is>
      </c>
      <c r="M6439" t="inlineStr">
        <is>
          <t>Bonus, Healthcare Plan, Awards</t>
        </is>
      </c>
      <c r="N6439" s="8">
        <f>HYPERLINK("https://www.vietnamworks.com/marketing-nha-hang-onjeong-2017292-jv","Xem chi tiết")</f>
        <v/>
      </c>
    </row>
    <row r="6440">
      <c r="B6440" s="9" t="n">
        <v>6438</v>
      </c>
      <c r="C6440" s="10" t="inlineStr">
        <is>
          <t>Legal Counsel, Intellectual Property (Trademark, Copyright, Patent), Global e-Commerce Platform (Up to USD 4,000)</t>
        </is>
      </c>
      <c r="D6440" s="10" t="inlineStr">
        <is>
          <t>Crossian Việt Nam</t>
        </is>
      </c>
      <c r="E6440" s="10" t="inlineStr">
        <is>
          <t>Tới $ 4,000 /tháng</t>
        </is>
      </c>
      <c r="F6440" s="10" t="inlineStr">
        <is>
          <t>Hà Nội, Hồ Chí Minh</t>
        </is>
      </c>
      <c r="G6440" s="10" t="inlineStr">
        <is>
          <t>Nhân viên</t>
        </is>
      </c>
      <c r="H6440" s="10" t="inlineStr">
        <is>
          <t>03/03/2026</t>
        </is>
      </c>
      <c r="I6440" s="10" t="inlineStr">
        <is>
          <t>02/04/2026</t>
        </is>
      </c>
      <c r="J6440" s="10" t="inlineStr">
        <is>
          <t>17/03/2026</t>
        </is>
      </c>
      <c r="K6440" s="10" t="inlineStr">
        <is>
          <t>N/A</t>
        </is>
      </c>
      <c r="L6440" s="10" t="inlineStr">
        <is>
          <t>English, Contract Law, Legal Counseling, US Intellectual Property Law</t>
        </is>
      </c>
      <c r="M6440" s="10" t="inlineStr">
        <is>
          <t>Bonus, Healthcare Plan, Paid Leave, Training, Team Activities</t>
        </is>
      </c>
      <c r="N6440" s="11">
        <f>HYPERLINK("https://www.vietnamworks.com/legal-counsel-intellectual-property-trademark-copyright-patent-global-e-commerce-platform-up-to-usd-4000-2017293-jv","Xem chi tiết")</f>
        <v/>
      </c>
      <c r="O6440" s="10" t="n"/>
    </row>
    <row r="6441">
      <c r="B6441" s="7" t="n">
        <v>6439</v>
      </c>
      <c r="C6441" t="inlineStr">
        <is>
          <t>Trưởng Phòng Phát Triển Hệ Thống</t>
        </is>
      </c>
      <c r="D6441" t="inlineStr">
        <is>
          <t>Công Ty Cổ Phần Thực Phẩm Hữu Nghị</t>
        </is>
      </c>
      <c r="E6441" t="inlineStr">
        <is>
          <t>$$ 1,200-2,000 /tháng</t>
        </is>
      </c>
      <c r="F6441" t="inlineStr">
        <is>
          <t>Hà Nội</t>
        </is>
      </c>
      <c r="G6441" t="inlineStr">
        <is>
          <t>Trưởng phòng</t>
        </is>
      </c>
      <c r="H6441" t="inlineStr">
        <is>
          <t>03/03/2026</t>
        </is>
      </c>
      <c r="I6441" t="inlineStr">
        <is>
          <t>02/04/2026</t>
        </is>
      </c>
      <c r="J6441" t="inlineStr">
        <is>
          <t>17/03/2026</t>
        </is>
      </c>
      <c r="K6441" t="inlineStr">
        <is>
          <t>N/A</t>
        </is>
      </c>
      <c r="L6441" t="inlineStr">
        <is>
          <t>Phát Triển Hệ Thống, FMCG, Quản Lý Đội Nhóm, MCP, ASO</t>
        </is>
      </c>
      <c r="M6441" t="inlineStr">
        <is>
          <t>Bonus, Transportation, Canteen</t>
        </is>
      </c>
      <c r="N6441" s="8">
        <f>HYPERLINK("https://www.vietnamworks.com/truong-phong-phat-trien-he-thong--2017283-jv","Xem chi tiết")</f>
        <v/>
      </c>
    </row>
    <row r="6442">
      <c r="B6442" s="9" t="n">
        <v>6440</v>
      </c>
      <c r="C6442" s="10" t="inlineStr">
        <is>
          <t>Quản Đốc Nhà Máy (Factory Manager)</t>
        </is>
      </c>
      <c r="D6442" s="10" t="inlineStr">
        <is>
          <t>Công ty TNHH IC FOOD SONLA</t>
        </is>
      </c>
      <c r="E6442" s="10" t="inlineStr">
        <is>
          <t>Thương lượng</t>
        </is>
      </c>
      <c r="F6442" s="10" t="inlineStr">
        <is>
          <t>Sơn La</t>
        </is>
      </c>
      <c r="G6442" s="10" t="inlineStr">
        <is>
          <t>Trưởng phòng</t>
        </is>
      </c>
      <c r="H6442" s="10" t="inlineStr">
        <is>
          <t>03/03/2026</t>
        </is>
      </c>
      <c r="I6442" s="10" t="inlineStr">
        <is>
          <t>02/04/2026</t>
        </is>
      </c>
      <c r="J6442" s="10" t="inlineStr">
        <is>
          <t>17/03/2026</t>
        </is>
      </c>
      <c r="K6442" s="10" t="inlineStr">
        <is>
          <t>N/A</t>
        </is>
      </c>
      <c r="L6442" s="10" t="inlineStr">
        <is>
          <t>Quản Lý Sản Xuất, Công Nghệ Thực Phẩm, Quản Lý Chi Phí, Chế Biến Nông Sản, Kiểm Soát Chất Lượng</t>
        </is>
      </c>
      <c r="M6442" s="10" t="inlineStr">
        <is>
          <t>Bonus, Healthcare Plan, Canteen</t>
        </is>
      </c>
      <c r="N6442" s="11">
        <f>HYPERLINK("https://www.vietnamworks.com/quan-doc-nha-may-factory-manager-2017298-jv","Xem chi tiết")</f>
        <v/>
      </c>
      <c r="O6442" s="10" t="n"/>
    </row>
    <row r="6443">
      <c r="B6443" s="7" t="n">
        <v>6441</v>
      </c>
      <c r="C6443" t="inlineStr">
        <is>
          <t>Senior Associate - IT Risk Assurance Services</t>
        </is>
      </c>
      <c r="D6443" t="inlineStr">
        <is>
          <t>PwC (Vietnam) Ltd.</t>
        </is>
      </c>
      <c r="E6443" t="inlineStr">
        <is>
          <t>Thương lượng</t>
        </is>
      </c>
      <c r="F6443" t="inlineStr">
        <is>
          <t>Hồ Chí Minh, Hà Nội</t>
        </is>
      </c>
      <c r="G6443" t="inlineStr">
        <is>
          <t>Nhân viên</t>
        </is>
      </c>
      <c r="H6443" t="inlineStr">
        <is>
          <t>03/03/2026</t>
        </is>
      </c>
      <c r="I6443" t="inlineStr">
        <is>
          <t>02/04/2026</t>
        </is>
      </c>
      <c r="J6443" t="inlineStr">
        <is>
          <t>17/03/2026</t>
        </is>
      </c>
      <c r="K6443" t="inlineStr">
        <is>
          <t>N/A</t>
        </is>
      </c>
      <c r="L6443" t="inlineStr">
        <is>
          <t>IT Quality Assurance, IT Risk Management</t>
        </is>
      </c>
      <c r="M6443" t="inlineStr">
        <is>
          <t>Bonus, Training</t>
        </is>
      </c>
      <c r="N6443" s="8">
        <f>HYPERLINK("https://www.vietnamworks.com/senior-associate-it-risk-assurance-services-2017305-jv","Xem chi tiết")</f>
        <v/>
      </c>
    </row>
    <row r="6444">
      <c r="B6444" s="9" t="n">
        <v>6442</v>
      </c>
      <c r="C6444" s="10" t="inlineStr">
        <is>
          <t>Trưởng Bộ Phận/ Chuyên Viên Thanh Toán và Đối Soát (Reconciliation and Settlement)</t>
        </is>
      </c>
      <c r="D6444" s="10" t="inlineStr">
        <is>
          <t>Cake by VPBank</t>
        </is>
      </c>
      <c r="E6444" s="10" t="inlineStr">
        <is>
          <t>Thương lượng</t>
        </is>
      </c>
      <c r="F6444" s="10" t="inlineStr">
        <is>
          <t>Hà Nội</t>
        </is>
      </c>
      <c r="G6444" s="10" t="inlineStr">
        <is>
          <t>Nhân viên</t>
        </is>
      </c>
      <c r="H6444" s="10" t="inlineStr">
        <is>
          <t>03/03/2026</t>
        </is>
      </c>
      <c r="I6444" s="10" t="inlineStr">
        <is>
          <t>02/04/2026</t>
        </is>
      </c>
      <c r="J6444" s="10" t="inlineStr">
        <is>
          <t>17/03/2026</t>
        </is>
      </c>
      <c r="K6444" s="10" t="inlineStr">
        <is>
          <t>N/A</t>
        </is>
      </c>
      <c r="L6444" s="10" t="inlineStr">
        <is>
          <t>Accountant, Reconciling, Settlement Analysis, Bank Reconciliation</t>
        </is>
      </c>
      <c r="M6444" s="10" t="inlineStr">
        <is>
          <t>Bonus, Healthcare Plan, Others</t>
        </is>
      </c>
      <c r="N6444" s="11">
        <f>HYPERLINK("https://www.vietnamworks.com/truong-bo-phan-chuyen-vien-thanh-toan-va-doi-soat-reconciliation-and-settlement-2017277-jv","Xem chi tiết")</f>
        <v/>
      </c>
      <c r="O6444" s="10" t="n"/>
    </row>
    <row r="6445">
      <c r="B6445" s="7" t="n">
        <v>6443</v>
      </c>
      <c r="C6445" t="inlineStr">
        <is>
          <t>Golf Sales Coordinator</t>
        </is>
      </c>
      <c r="D6445" t="inlineStr">
        <is>
          <t>The Grand Ho Tram</t>
        </is>
      </c>
      <c r="E6445" t="inlineStr">
        <is>
          <t>$$ 500-500 /tháng</t>
        </is>
      </c>
      <c r="F6445" t="inlineStr">
        <is>
          <t>Bà Rịa - Vũng Tàu</t>
        </is>
      </c>
      <c r="G6445" t="inlineStr">
        <is>
          <t>Nhân viên</t>
        </is>
      </c>
      <c r="H6445" t="inlineStr">
        <is>
          <t>03/03/2026</t>
        </is>
      </c>
      <c r="I6445" t="inlineStr">
        <is>
          <t>02/04/2026</t>
        </is>
      </c>
      <c r="J6445" t="inlineStr">
        <is>
          <t>17/03/2026</t>
        </is>
      </c>
      <c r="K6445" t="inlineStr">
        <is>
          <t>N/A</t>
        </is>
      </c>
      <c r="L6445" t="inlineStr">
        <is>
          <t>Sales, Customer Relations, Marketing, Customer Service, Golf</t>
        </is>
      </c>
      <c r="M6445" t="inlineStr">
        <is>
          <t>Healthcare Plan, Transportation, Canteen</t>
        </is>
      </c>
      <c r="N6445" s="8">
        <f>HYPERLINK("https://www.vietnamworks.com/golf-sales-coordinator-2017306-jv","Xem chi tiết")</f>
        <v/>
      </c>
    </row>
    <row r="6446">
      <c r="B6446" s="9" t="n">
        <v>6444</v>
      </c>
      <c r="C6446" s="10" t="inlineStr">
        <is>
          <t>Field Coordinator - Điều Phối Viên Dự Án</t>
        </is>
      </c>
      <c r="D6446" s="10" t="inlineStr">
        <is>
          <t>CÔNG TY TNHH GREEN CARBON JAPAN VIETNAM</t>
        </is>
      </c>
      <c r="E6446" s="10" t="inlineStr">
        <is>
          <t>$$ 500-700 /tháng</t>
        </is>
      </c>
      <c r="F6446" s="10" t="inlineStr">
        <is>
          <t>Ninh Bình, Hải Phòng, Hưng Yên</t>
        </is>
      </c>
      <c r="G6446" s="10" t="inlineStr">
        <is>
          <t>Nhân viên</t>
        </is>
      </c>
      <c r="H6446" s="10" t="inlineStr">
        <is>
          <t>03/03/2026</t>
        </is>
      </c>
      <c r="I6446" s="10" t="inlineStr">
        <is>
          <t>02/04/2026</t>
        </is>
      </c>
      <c r="J6446" s="10" t="inlineStr">
        <is>
          <t>17/03/2026</t>
        </is>
      </c>
      <c r="K6446" s="10" t="inlineStr">
        <is>
          <t>N/A</t>
        </is>
      </c>
      <c r="L6446" s="10" t="inlineStr">
        <is>
          <t>Project Coordination, Data Analysis, Report Writing, Agricultural Science, Communication</t>
        </is>
      </c>
      <c r="M6446" s="10" t="inlineStr">
        <is>
          <t>Bonus, Healthcare Plan, Paid Leave, Others</t>
        </is>
      </c>
      <c r="N6446" s="11">
        <f>HYPERLINK("https://www.vietnamworks.com/field-coordinator-dieu-phoi-vien-du-an-2017310-jv","Xem chi tiết")</f>
        <v/>
      </c>
      <c r="O6446" s="10" t="n"/>
    </row>
    <row r="6447">
      <c r="B6447" s="7" t="n">
        <v>6445</v>
      </c>
      <c r="C6447" t="inlineStr">
        <is>
          <t>Tổ Trưởng Kho – Warehouse Leader</t>
        </is>
      </c>
      <c r="D6447" t="inlineStr">
        <is>
          <t>CÔNG TY CỔ PHẦN CHẾ BIẾN THỰC PHẨM HOÀNG SƠN</t>
        </is>
      </c>
      <c r="E6447" t="inlineStr">
        <is>
          <t>12tr-15tr ₫/tháng</t>
        </is>
      </c>
      <c r="F6447" t="inlineStr">
        <is>
          <t>Bình Dương</t>
        </is>
      </c>
      <c r="G6447" t="inlineStr">
        <is>
          <t>Nhân viên</t>
        </is>
      </c>
      <c r="H6447" t="inlineStr">
        <is>
          <t>03/03/2026</t>
        </is>
      </c>
      <c r="I6447" t="inlineStr">
        <is>
          <t>02/04/2026</t>
        </is>
      </c>
      <c r="J6447" t="inlineStr">
        <is>
          <t>17/03/2026</t>
        </is>
      </c>
      <c r="K6447" t="inlineStr">
        <is>
          <t>N/A</t>
        </is>
      </c>
      <c r="L6447" t="inlineStr">
        <is>
          <t>Báo Cáo Tồn Kho, Bố Trí Nhân Sự, Kiểm Kê Hàng Tồn</t>
        </is>
      </c>
      <c r="M6447" t="inlineStr">
        <is>
          <t>Healthcare Plan, Others</t>
        </is>
      </c>
      <c r="N6447" s="8">
        <f>HYPERLINK("https://www.vietnamworks.com/to-truong-kho-warehouse-leader-2017334-jv","Xem chi tiết")</f>
        <v/>
      </c>
    </row>
    <row r="6448">
      <c r="B6448" s="9" t="n">
        <v>6446</v>
      </c>
      <c r="C6448" s="10" t="inlineStr">
        <is>
          <t>Senior Developer</t>
        </is>
      </c>
      <c r="D6448" s="10" t="inlineStr">
        <is>
          <t>AA Corporation</t>
        </is>
      </c>
      <c r="E6448" s="10" t="inlineStr">
        <is>
          <t>Thương lượng</t>
        </is>
      </c>
      <c r="F6448" s="10" t="inlineStr">
        <is>
          <t>Hồ Chí Minh</t>
        </is>
      </c>
      <c r="G6448" s="10" t="inlineStr">
        <is>
          <t>Nhân viên</t>
        </is>
      </c>
      <c r="H6448" s="10" t="inlineStr">
        <is>
          <t>03/03/2026</t>
        </is>
      </c>
      <c r="I6448" s="10" t="inlineStr">
        <is>
          <t>02/04/2026</t>
        </is>
      </c>
      <c r="J6448" s="10" t="inlineStr">
        <is>
          <t>17/03/2026</t>
        </is>
      </c>
      <c r="K6448" s="10" t="inlineStr">
        <is>
          <t>N/A</t>
        </is>
      </c>
      <c r="L6448" s="10" t="inlineStr">
        <is>
          <t>Agile Scrum, Express.JS, GrapQL, Node.js, RESTful API</t>
        </is>
      </c>
      <c r="M6448" s="10" t="inlineStr">
        <is>
          <t>Bonus, Training, Others</t>
        </is>
      </c>
      <c r="N6448" s="11">
        <f>HYPERLINK("https://www.vietnamworks.com/senior-developer-2017319-jv","Xem chi tiết")</f>
        <v/>
      </c>
      <c r="O6448" s="10" t="n"/>
    </row>
    <row r="6449">
      <c r="B6449" s="7" t="n">
        <v>6447</v>
      </c>
      <c r="C6449" t="inlineStr">
        <is>
          <t>Quản Lý Thẩm Định Tín Dụng Doanh Nghiệp / Credit Management (Tiếng Trung Lưu Loát)</t>
        </is>
      </c>
      <c r="D6449" t="inlineStr">
        <is>
          <t>CÔNG TY TNHH THƯƠNG MẠI TÀI NGUYÊN THIÊN NHIÊN VIỆT NAM</t>
        </is>
      </c>
      <c r="E6449" t="inlineStr">
        <is>
          <t>Thương lượng</t>
        </is>
      </c>
      <c r="F6449" t="inlineStr">
        <is>
          <t>Hồ Chí Minh</t>
        </is>
      </c>
      <c r="G6449" t="inlineStr">
        <is>
          <t>Nhân viên</t>
        </is>
      </c>
      <c r="H6449" t="inlineStr">
        <is>
          <t>03/03/2026</t>
        </is>
      </c>
      <c r="I6449" t="inlineStr">
        <is>
          <t>02/04/2026</t>
        </is>
      </c>
      <c r="J6449" t="inlineStr">
        <is>
          <t>17/03/2026</t>
        </is>
      </c>
      <c r="K6449" t="inlineStr">
        <is>
          <t>N/A</t>
        </is>
      </c>
      <c r="L6449" t="inlineStr">
        <is>
          <t>Credit Analyst, Tín Dụng Ngân Hàng, Relationship Management, Chinese</t>
        </is>
      </c>
      <c r="M6449" t="inlineStr">
        <is>
          <t>Bonus, Healthcare Plan, Training, Laptop, Travel Opportunities, Others</t>
        </is>
      </c>
      <c r="N6449" s="8">
        <f>HYPERLINK("https://www.vietnamworks.com/quan-ly-tham-djinh-tin-dung-doanh-nghiep-credit-management-tieng-trung-luu-loat-2017309-jv","Xem chi tiết")</f>
        <v/>
      </c>
    </row>
    <row r="6450">
      <c r="B6450" s="9" t="n">
        <v>6448</v>
      </c>
      <c r="C6450" s="10" t="inlineStr">
        <is>
          <t>Account Executive (Influencer Marketing)</t>
        </is>
      </c>
      <c r="D6450" s="10" t="inlineStr">
        <is>
          <t>Công Ty Cổ Phần Metub Việt Nam</t>
        </is>
      </c>
      <c r="E6450" s="10" t="inlineStr">
        <is>
          <t>Thương lượng</t>
        </is>
      </c>
      <c r="F6450" s="10" t="inlineStr">
        <is>
          <t>Hà Nội</t>
        </is>
      </c>
      <c r="G6450" s="10" t="inlineStr">
        <is>
          <t>Nhân viên</t>
        </is>
      </c>
      <c r="H6450" s="10" t="inlineStr">
        <is>
          <t>03/03/2026</t>
        </is>
      </c>
      <c r="I6450" s="10" t="inlineStr">
        <is>
          <t>02/04/2026</t>
        </is>
      </c>
      <c r="J6450" s="10" t="inlineStr">
        <is>
          <t>17/03/2026</t>
        </is>
      </c>
      <c r="K6450" s="10" t="inlineStr">
        <is>
          <t>N/A</t>
        </is>
      </c>
      <c r="L6450" s="10" t="inlineStr">
        <is>
          <t>Time Management, Client Service Management, Digital Marketing, Content</t>
        </is>
      </c>
      <c r="M6450" s="10" t="inlineStr">
        <is>
          <t>Bonus, Others</t>
        </is>
      </c>
      <c r="N6450" s="11">
        <f>HYPERLINK("https://www.vietnamworks.com/account-executive-influencer-marketing--2017311-jv","Xem chi tiết")</f>
        <v/>
      </c>
      <c r="O6450" s="10" t="n"/>
    </row>
    <row r="6451">
      <c r="B6451" s="7" t="n">
        <v>6449</v>
      </c>
      <c r="C6451" t="inlineStr">
        <is>
          <t>Key Account Executive (Livestream)</t>
        </is>
      </c>
      <c r="D6451" t="inlineStr">
        <is>
          <t>Công Ty TNHH Onpoint</t>
        </is>
      </c>
      <c r="E6451" t="inlineStr">
        <is>
          <t>Thương lượng</t>
        </is>
      </c>
      <c r="F6451" t="inlineStr">
        <is>
          <t>Hồ Chí Minh</t>
        </is>
      </c>
      <c r="G6451" t="inlineStr">
        <is>
          <t>Nhân viên</t>
        </is>
      </c>
      <c r="H6451" t="inlineStr">
        <is>
          <t>03/03/2026</t>
        </is>
      </c>
      <c r="I6451" t="inlineStr">
        <is>
          <t>02/04/2026</t>
        </is>
      </c>
      <c r="J6451" t="inlineStr">
        <is>
          <t>17/03/2026</t>
        </is>
      </c>
      <c r="K6451" t="inlineStr">
        <is>
          <t>N/A</t>
        </is>
      </c>
      <c r="L6451" t="inlineStr">
        <is>
          <t>Data Analysis, Livestream, Negotiation, Project magement, Task Coordination</t>
        </is>
      </c>
      <c r="M6451" t="inlineStr">
        <is>
          <t>Bonus, Healthcare Plan, Paid Leave, Laptop, Others</t>
        </is>
      </c>
      <c r="N6451" s="8">
        <f>HYPERLINK("https://www.vietnamworks.com/key-account-executive-livestream-2017307-jv","Xem chi tiết")</f>
        <v/>
      </c>
    </row>
    <row r="6452">
      <c r="B6452" s="9" t="n">
        <v>6450</v>
      </c>
      <c r="C6452" s="10" t="inlineStr">
        <is>
          <t>Admin Khối Nhà Máy</t>
        </is>
      </c>
      <c r="D6452" s="10" t="inlineStr">
        <is>
          <t>CÔNG TY CỔ PHẦN CHẾ BIẾN THỰC PHẨM HOÀNG SƠN</t>
        </is>
      </c>
      <c r="E6452" s="10" t="inlineStr">
        <is>
          <t>8tr-10tr ₫/tháng</t>
        </is>
      </c>
      <c r="F6452" s="10" t="inlineStr">
        <is>
          <t>Bình Dương</t>
        </is>
      </c>
      <c r="G6452" s="10" t="inlineStr">
        <is>
          <t>Nhân viên</t>
        </is>
      </c>
      <c r="H6452" s="10" t="inlineStr">
        <is>
          <t>03/03/2026</t>
        </is>
      </c>
      <c r="I6452" s="10" t="inlineStr">
        <is>
          <t>02/04/2026</t>
        </is>
      </c>
      <c r="J6452" s="10" t="inlineStr">
        <is>
          <t>17/03/2026</t>
        </is>
      </c>
      <c r="K6452" s="10" t="inlineStr">
        <is>
          <t>N/A</t>
        </is>
      </c>
      <c r="L6452" s="10" t="inlineStr">
        <is>
          <t>Admin, Hành Chính, Kỹ năng giao tiếp, Làm Việc Nhóm</t>
        </is>
      </c>
      <c r="M6452" s="10" t="inlineStr">
        <is>
          <t>Healthcare Plan, Paid Leave, Training, Laptop, Transportation, Canteen, Others</t>
        </is>
      </c>
      <c r="N6452" s="11">
        <f>HYPERLINK("https://www.vietnamworks.com/admin-khoi-nha-may-2017336-jv","Xem chi tiết")</f>
        <v/>
      </c>
      <c r="O6452" s="10" t="n"/>
    </row>
    <row r="6453">
      <c r="B6453" s="7" t="n">
        <v>6451</v>
      </c>
      <c r="C6453" t="inlineStr">
        <is>
          <t>Tuyển Chuyên Viên Sản Phẩm (Product Specialist) TBYT Tại Hà Nội</t>
        </is>
      </c>
      <c r="D6453" t="inlineStr">
        <is>
          <t>Công Ty Cổ Phần Đầu Tư Và Công Nghệ Bắc Hà</t>
        </is>
      </c>
      <c r="E6453" t="inlineStr">
        <is>
          <t>10tr-30tr ₫/tháng</t>
        </is>
      </c>
      <c r="F6453" t="inlineStr">
        <is>
          <t>Hà Nội</t>
        </is>
      </c>
      <c r="G6453" t="inlineStr">
        <is>
          <t>Nhân viên</t>
        </is>
      </c>
      <c r="H6453" t="inlineStr">
        <is>
          <t>03/03/2026</t>
        </is>
      </c>
      <c r="I6453" t="inlineStr">
        <is>
          <t>02/04/2026</t>
        </is>
      </c>
      <c r="J6453" t="inlineStr">
        <is>
          <t>17/03/2026</t>
        </is>
      </c>
      <c r="K6453" t="inlineStr">
        <is>
          <t>N/A</t>
        </is>
      </c>
      <c r="L6453" t="inlineStr">
        <is>
          <t>Thiết Bị Y Tế, Biomedical Engineering, Kỹ Thuật Y Sinh, Làm Hồ Sơ Thầu, Technical Consulting</t>
        </is>
      </c>
      <c r="M6453" t="inlineStr">
        <is>
          <t>Bonus, Healthcare Plan, Team Activities, Others</t>
        </is>
      </c>
      <c r="N6453" s="8">
        <f>HYPERLINK("https://www.vietnamworks.com/tuyen-chuyen-vien-san-pham-product-specialist-tbyt-tai-ha-noi-2017312-jv","Xem chi tiết")</f>
        <v/>
      </c>
    </row>
    <row r="6454">
      <c r="B6454" s="9" t="n">
        <v>6452</v>
      </c>
      <c r="C6454" s="10" t="inlineStr">
        <is>
          <t>Trưởng Phòng Dự Án Thiết Bị Y Tế Tại Hà Nội</t>
        </is>
      </c>
      <c r="D6454" s="10" t="inlineStr">
        <is>
          <t>Công Ty Cổ Phần Đầu Tư Và Công Nghệ Bắc Hà</t>
        </is>
      </c>
      <c r="E6454" s="10" t="inlineStr">
        <is>
          <t>20tr-40tr ₫/tháng</t>
        </is>
      </c>
      <c r="F6454" s="10" t="inlineStr">
        <is>
          <t>Hà Nội</t>
        </is>
      </c>
      <c r="G6454" s="10" t="inlineStr">
        <is>
          <t>Trưởng phòng</t>
        </is>
      </c>
      <c r="H6454" s="10" t="inlineStr">
        <is>
          <t>03/03/2026</t>
        </is>
      </c>
      <c r="I6454" s="10" t="inlineStr">
        <is>
          <t>02/04/2026</t>
        </is>
      </c>
      <c r="J6454" s="10" t="inlineStr">
        <is>
          <t>17/03/2026</t>
        </is>
      </c>
      <c r="K6454" s="10" t="inlineStr">
        <is>
          <t>N/A</t>
        </is>
      </c>
      <c r="L6454" s="10" t="inlineStr">
        <is>
          <t>Thiết Bị Y Tế, Biomedical Engineering, Kỹ Thuật Y Sinh, Project Management, Quản Lý Đấu Thầu</t>
        </is>
      </c>
      <c r="M6454" s="10" t="inlineStr">
        <is>
          <t>Bonus, Healthcare Plan, Team Activities, Others</t>
        </is>
      </c>
      <c r="N6454" s="11">
        <f>HYPERLINK("https://www.vietnamworks.com/truong-phong-du-an-thiet-bi-y-te-tai-ha-noi-2017308-jv","Xem chi tiết")</f>
        <v/>
      </c>
      <c r="O6454" s="10" t="n"/>
    </row>
    <row r="6455">
      <c r="B6455" s="7" t="n">
        <v>6453</v>
      </c>
      <c r="C6455" t="inlineStr">
        <is>
          <t>Hành Chính, Kế Toán Kiêm Mua Hàng (Có Xe Đưa Đón Từ Hà Nội)</t>
        </is>
      </c>
      <c r="D6455" t="inlineStr">
        <is>
          <t>CÔNG TY TNHH DELTEC VIỆT NAM</t>
        </is>
      </c>
      <c r="E6455" t="inlineStr">
        <is>
          <t>Từ $ 15tr /tháng</t>
        </is>
      </c>
      <c r="F6455" t="inlineStr">
        <is>
          <t>Ninh Bình, Hà Nam, Hà Nội</t>
        </is>
      </c>
      <c r="G6455" t="inlineStr">
        <is>
          <t>Nhân viên</t>
        </is>
      </c>
      <c r="H6455" t="inlineStr">
        <is>
          <t>03/03/2026</t>
        </is>
      </c>
      <c r="I6455" t="inlineStr">
        <is>
          <t>02/04/2026</t>
        </is>
      </c>
      <c r="J6455" t="inlineStr">
        <is>
          <t>17/03/2026</t>
        </is>
      </c>
      <c r="K6455" t="inlineStr">
        <is>
          <t>N/A</t>
        </is>
      </c>
      <c r="L6455" t="inlineStr">
        <is>
          <t>Hạch Toán, Mua Hàng, Quản Lý Nhân Sự, Quản Lý Tài Sản, Tìm Kiếm Nhà Cung Cấp</t>
        </is>
      </c>
      <c r="M6455" t="inlineStr">
        <is>
          <t>Bonus, Healthcare Plan, Team Activities</t>
        </is>
      </c>
      <c r="N6455" s="8">
        <f>HYPERLINK("https://www.vietnamworks.com/hanh-chinh-ke-toan-kiem-mua-hang-co-xe-djua-djon-tu-ha-noi-2017324-jv","Xem chi tiết")</f>
        <v/>
      </c>
    </row>
    <row r="6456">
      <c r="B6456" s="9" t="n">
        <v>6454</v>
      </c>
      <c r="C6456" s="10" t="inlineStr">
        <is>
          <t>Quản Lý Dự Án (Salary Upto 35 Triệu/ Tháng)</t>
        </is>
      </c>
      <c r="D6456" s="10" t="inlineStr">
        <is>
          <t>Công Ty TNHH Hòa Quần</t>
        </is>
      </c>
      <c r="E6456" s="10" t="inlineStr">
        <is>
          <t>25tr-35tr ₫/tháng</t>
        </is>
      </c>
      <c r="F6456" s="10" t="inlineStr">
        <is>
          <t>Hà Nội</t>
        </is>
      </c>
      <c r="G6456" s="10" t="inlineStr">
        <is>
          <t>Nhân viên</t>
        </is>
      </c>
      <c r="H6456" s="10" t="inlineStr">
        <is>
          <t>03/03/2026</t>
        </is>
      </c>
      <c r="I6456" s="10" t="inlineStr">
        <is>
          <t>02/04/2026</t>
        </is>
      </c>
      <c r="J6456" s="10" t="inlineStr">
        <is>
          <t>17/03/2026</t>
        </is>
      </c>
      <c r="K6456" s="10" t="inlineStr">
        <is>
          <t>N/A</t>
        </is>
      </c>
      <c r="L6456" s="10" t="inlineStr">
        <is>
          <t>AutoCAD, Lumion, Project magement, Quản Lý Dự Án</t>
        </is>
      </c>
      <c r="M6456" s="10" t="inlineStr">
        <is>
          <t>Bonus, Healthcare Plan, Paid Leave, Team Activities</t>
        </is>
      </c>
      <c r="N6456" s="11">
        <f>HYPERLINK("https://www.vietnamworks.com/quan-ly-du-an-salary-upto-35-trieu-thang-2017326-jv","Xem chi tiết")</f>
        <v/>
      </c>
      <c r="O6456" s="10" t="n"/>
    </row>
    <row r="6457">
      <c r="B6457" s="7" t="n">
        <v>6455</v>
      </c>
      <c r="C6457" t="inlineStr">
        <is>
          <t>Partner Executive (Quản Lý Đối Tác Kênh Youtube)</t>
        </is>
      </c>
      <c r="D6457" t="inlineStr">
        <is>
          <t>Công Ty Cổ Phần Metub Việt Nam</t>
        </is>
      </c>
      <c r="E6457" t="inlineStr">
        <is>
          <t>Thương lượng</t>
        </is>
      </c>
      <c r="F6457" t="inlineStr">
        <is>
          <t>Hồ Chí Minh, Hà Nội</t>
        </is>
      </c>
      <c r="G6457" t="inlineStr">
        <is>
          <t>Nhân viên</t>
        </is>
      </c>
      <c r="H6457" t="inlineStr">
        <is>
          <t>03/03/2026</t>
        </is>
      </c>
      <c r="I6457" t="inlineStr">
        <is>
          <t>02/04/2026</t>
        </is>
      </c>
      <c r="J6457" t="inlineStr">
        <is>
          <t>17/03/2026</t>
        </is>
      </c>
      <c r="K6457" t="inlineStr">
        <is>
          <t>N/A</t>
        </is>
      </c>
      <c r="L6457" t="inlineStr">
        <is>
          <t>Communication and negotiation skills, Time Management, Proactive Learning</t>
        </is>
      </c>
      <c r="M6457" t="inlineStr">
        <is>
          <t>Bonus, Others</t>
        </is>
      </c>
      <c r="N6457" s="8">
        <f>HYPERLINK("https://www.vietnamworks.com/partner-executive-quan-ly-doi-tac-kenh-youtube-2017333-jv","Xem chi tiết")</f>
        <v/>
      </c>
    </row>
    <row r="6458">
      <c r="B6458" s="9" t="n">
        <v>6456</v>
      </c>
      <c r="C6458" s="10" t="inlineStr">
        <is>
          <t>MD Staff</t>
        </is>
      </c>
      <c r="D6458" s="10" t="inlineStr">
        <is>
          <t>Instanta Vietnam</t>
        </is>
      </c>
      <c r="E6458" s="10" t="inlineStr">
        <is>
          <t>Thương lượng</t>
        </is>
      </c>
      <c r="F6458" s="10" t="inlineStr">
        <is>
          <t>Hải Phòng</t>
        </is>
      </c>
      <c r="G6458" s="10" t="inlineStr">
        <is>
          <t>Mới Tốt Nghiệp</t>
        </is>
      </c>
      <c r="H6458" s="10" t="inlineStr">
        <is>
          <t>03/03/2026</t>
        </is>
      </c>
      <c r="I6458" s="10" t="inlineStr">
        <is>
          <t>02/04/2026</t>
        </is>
      </c>
      <c r="J6458" s="10" t="inlineStr">
        <is>
          <t>17/03/2026</t>
        </is>
      </c>
      <c r="K6458" s="10" t="inlineStr">
        <is>
          <t>N/A</t>
        </is>
      </c>
      <c r="L6458" s="10" t="inlineStr">
        <is>
          <t>Bảo Trì, Quản Lý Phụ Tùng, Quản Lý Tồn Kho, SOP, Tiếng Anh</t>
        </is>
      </c>
      <c r="M6458" s="10" t="inlineStr">
        <is>
          <t>Bonus, Healthcare Plan, Awards</t>
        </is>
      </c>
      <c r="N6458" s="11">
        <f>HYPERLINK("https://www.vietnamworks.com/md-staff--2017332-jv","Xem chi tiết")</f>
        <v/>
      </c>
      <c r="O6458" s="10" t="n"/>
    </row>
    <row r="6459">
      <c r="B6459" s="7" t="n">
        <v>6457</v>
      </c>
      <c r="C6459" t="inlineStr">
        <is>
          <t>Phụ Trách Kinh Doanh Thiết Bị Y Tế Tại Hà Nội, Đà Nẵng, TP. HCM, Cần Thơ.</t>
        </is>
      </c>
      <c r="D6459" t="inlineStr">
        <is>
          <t>Công Ty Cổ Phần Đầu Tư Và Công Nghệ Bắc Hà</t>
        </is>
      </c>
      <c r="E6459" t="inlineStr">
        <is>
          <t>Thương lượng</t>
        </is>
      </c>
      <c r="F6459" t="inlineStr">
        <is>
          <t>Cần Thơ, Đà Nẵng, Hồ Chí Minh</t>
        </is>
      </c>
      <c r="G6459" t="inlineStr">
        <is>
          <t>Nhân viên</t>
        </is>
      </c>
      <c r="H6459" t="inlineStr">
        <is>
          <t>03/03/2026</t>
        </is>
      </c>
      <c r="I6459" t="inlineStr">
        <is>
          <t>02/04/2026</t>
        </is>
      </c>
      <c r="J6459" t="inlineStr">
        <is>
          <t>17/03/2026</t>
        </is>
      </c>
      <c r="K6459" t="inlineStr">
        <is>
          <t>N/A</t>
        </is>
      </c>
      <c r="L6459" t="inlineStr">
        <is>
          <t>Thiết Bị Y Tế, B2B Sales, Kinh Doanh Y Tế, Kỹ Thuật Y Sinh, Đấu Thầu</t>
        </is>
      </c>
      <c r="M6459" t="inlineStr">
        <is>
          <t>Bonus, Healthcare Plan, Team Activities, Others</t>
        </is>
      </c>
      <c r="N6459" s="8">
        <f>HYPERLINK("https://www.vietnamworks.com/phu-trach-kinh-doanh-thiet-bi-y-te-tai-ha-noi-dja-nang-tp-hcm-can-tho-2017316-jv","Xem chi tiết")</f>
        <v/>
      </c>
    </row>
    <row r="6460">
      <c r="B6460" s="9" t="n">
        <v>6458</v>
      </c>
      <c r="C6460" s="10" t="inlineStr">
        <is>
          <t>Senior Legal Counsel</t>
        </is>
      </c>
      <c r="D6460" s="10" t="inlineStr">
        <is>
          <t>Công Ty Cổ Phần DatVietVAC Group Holdings</t>
        </is>
      </c>
      <c r="E6460" s="10" t="inlineStr">
        <is>
          <t>Thương lượng</t>
        </is>
      </c>
      <c r="F6460" s="10" t="inlineStr">
        <is>
          <t>Hồ Chí Minh</t>
        </is>
      </c>
      <c r="G6460" s="10" t="inlineStr">
        <is>
          <t>Nhân viên</t>
        </is>
      </c>
      <c r="H6460" s="10" t="inlineStr">
        <is>
          <t>03/03/2026</t>
        </is>
      </c>
      <c r="I6460" s="10" t="inlineStr">
        <is>
          <t>02/04/2026</t>
        </is>
      </c>
      <c r="J6460" s="10" t="inlineStr">
        <is>
          <t>17/03/2026</t>
        </is>
      </c>
      <c r="K6460" s="10" t="inlineStr">
        <is>
          <t>N/A</t>
        </is>
      </c>
      <c r="L6460" s="10" t="inlineStr">
        <is>
          <t>Pháp Lý, Pháp Chế, Legal, Legal Consulting, Legal Counsel &amp; Compliance</t>
        </is>
      </c>
      <c r="M6460" s="10" t="inlineStr">
        <is>
          <t>Bonus, Healthcare Plan, Paid Leave</t>
        </is>
      </c>
      <c r="N6460" s="11">
        <f>HYPERLINK("https://www.vietnamworks.com/senior-legal-counsel--2017317-jv","Xem chi tiết")</f>
        <v/>
      </c>
      <c r="O6460" s="10" t="n"/>
    </row>
    <row r="6461">
      <c r="B6461" s="7" t="n">
        <v>6459</v>
      </c>
      <c r="C6461" t="inlineStr">
        <is>
          <t>Operational Risk Specialist</t>
        </is>
      </c>
      <c r="D6461" t="inlineStr">
        <is>
          <t>Home Credit Vietnam - Explore Your Dream Team</t>
        </is>
      </c>
      <c r="E6461" t="inlineStr">
        <is>
          <t>Thương lượng</t>
        </is>
      </c>
      <c r="F6461" t="inlineStr">
        <is>
          <t>Hồ Chí Minh</t>
        </is>
      </c>
      <c r="G6461" t="inlineStr">
        <is>
          <t>Nhân viên</t>
        </is>
      </c>
      <c r="H6461" t="inlineStr">
        <is>
          <t>03/03/2026</t>
        </is>
      </c>
      <c r="I6461" t="inlineStr">
        <is>
          <t>02/04/2026</t>
        </is>
      </c>
      <c r="J6461" t="inlineStr">
        <is>
          <t>17/03/2026</t>
        </is>
      </c>
      <c r="K6461" t="inlineStr">
        <is>
          <t>N/A</t>
        </is>
      </c>
      <c r="L6461" t="inlineStr">
        <is>
          <t>Risk Management, Operational Risks Management, Audit, Compliance, Process optimization</t>
        </is>
      </c>
      <c r="M6461" t="inlineStr">
        <is>
          <t>Bonus, Healthcare Plan, Paid Leave</t>
        </is>
      </c>
      <c r="N6461" s="8">
        <f>HYPERLINK("https://www.vietnamworks.com/operational-risk-specialist--2017325-jv","Xem chi tiết")</f>
        <v/>
      </c>
    </row>
    <row r="6462">
      <c r="B6462" s="9" t="n">
        <v>6460</v>
      </c>
      <c r="C6462" s="10" t="inlineStr">
        <is>
          <t>Country Tax Manager</t>
        </is>
      </c>
      <c r="D6462" s="10" t="inlineStr">
        <is>
          <t>Japfa Comfeed Vietnam Ltd</t>
        </is>
      </c>
      <c r="E6462" s="10" t="inlineStr">
        <is>
          <t>Thương lượng</t>
        </is>
      </c>
      <c r="F6462" s="10" t="inlineStr">
        <is>
          <t>Hồ Chí Minh, Vĩnh Phúc</t>
        </is>
      </c>
      <c r="G6462" s="10" t="inlineStr">
        <is>
          <t>Trưởng phòng</t>
        </is>
      </c>
      <c r="H6462" s="10" t="inlineStr">
        <is>
          <t>03/03/2026</t>
        </is>
      </c>
      <c r="I6462" s="10" t="inlineStr">
        <is>
          <t>02/04/2026</t>
        </is>
      </c>
      <c r="J6462" s="10" t="inlineStr">
        <is>
          <t>17/03/2026</t>
        </is>
      </c>
      <c r="K6462" s="10" t="inlineStr">
        <is>
          <t>N/A</t>
        </is>
      </c>
      <c r="L6462" s="10" t="inlineStr">
        <is>
          <t>Vietnam Tax Law, International Tax Law, VAS &amp; IFRS knowledge, Tax Consulting, Communication Skills</t>
        </is>
      </c>
      <c r="M6462" s="10" t="inlineStr">
        <is>
          <t>Healthcare Plan, Transportation</t>
        </is>
      </c>
      <c r="N6462" s="11">
        <f>HYPERLINK("https://www.vietnamworks.com/country-tax-manager-2017328-jv","Xem chi tiết")</f>
        <v/>
      </c>
      <c r="O6462" s="10" t="n"/>
    </row>
    <row r="6463">
      <c r="B6463" s="7" t="n">
        <v>6461</v>
      </c>
      <c r="C6463" t="inlineStr">
        <is>
          <t>Trưởng Phòng Bán Hàng Nước Ngoài - Đại Lý</t>
        </is>
      </c>
      <c r="D6463" t="inlineStr">
        <is>
          <t>Oristar Corporation - Công Ty Cổ Phần Oristar</t>
        </is>
      </c>
      <c r="E6463" t="inlineStr">
        <is>
          <t>Thương lượng</t>
        </is>
      </c>
      <c r="F6463" t="inlineStr">
        <is>
          <t>Hà Nội, Hồ Chí Minh</t>
        </is>
      </c>
      <c r="G6463" t="inlineStr">
        <is>
          <t>Trưởng phòng</t>
        </is>
      </c>
      <c r="H6463" t="inlineStr">
        <is>
          <t>03/03/2026</t>
        </is>
      </c>
      <c r="I6463" t="inlineStr">
        <is>
          <t>02/04/2026</t>
        </is>
      </c>
      <c r="J6463" t="inlineStr">
        <is>
          <t>17/03/2026</t>
        </is>
      </c>
      <c r="K6463" t="inlineStr">
        <is>
          <t>N/A</t>
        </is>
      </c>
      <c r="L6463" t="inlineStr">
        <is>
          <t>Quản Lý Đơn Hàng, Chăm Sóc Khách Hàng, ERP, Kinh Doanh Quốc Tế, Đàm Phán</t>
        </is>
      </c>
      <c r="M6463" t="inlineStr">
        <is>
          <t>Bonus, Healthcare Plan, Team Activities</t>
        </is>
      </c>
      <c r="N6463" s="8">
        <f>HYPERLINK("https://www.vietnamworks.com/truong-phong-ban-hang-nuoc-ngoai-djai-ly-2017322-jv","Xem chi tiết")</f>
        <v/>
      </c>
    </row>
    <row r="6464">
      <c r="B6464" s="9" t="n">
        <v>6462</v>
      </c>
      <c r="C6464" s="10" t="inlineStr">
        <is>
          <t>HR Specialist – Recruitment &amp; Training</t>
        </is>
      </c>
      <c r="D6464" s="10" t="inlineStr">
        <is>
          <t>NSG Vietnam Glass Industries Limited</t>
        </is>
      </c>
      <c r="E6464" s="10" t="inlineStr">
        <is>
          <t>Thương lượng</t>
        </is>
      </c>
      <c r="F6464" s="10" t="inlineStr">
        <is>
          <t>Hồ Chí Minh</t>
        </is>
      </c>
      <c r="G6464" s="10" t="inlineStr">
        <is>
          <t>Nhân viên</t>
        </is>
      </c>
      <c r="H6464" s="10" t="inlineStr">
        <is>
          <t>03/03/2026</t>
        </is>
      </c>
      <c r="I6464" s="10" t="inlineStr">
        <is>
          <t>02/04/2026</t>
        </is>
      </c>
      <c r="J6464" s="10" t="inlineStr">
        <is>
          <t>17/03/2026</t>
        </is>
      </c>
      <c r="K6464" s="10" t="inlineStr">
        <is>
          <t>N/A</t>
        </is>
      </c>
      <c r="L6464" s="10" t="inlineStr">
        <is>
          <t>Recruitment, Training Development, Labor Management, Compliance, Communication</t>
        </is>
      </c>
      <c r="M6464" s="10" t="inlineStr">
        <is>
          <t>Healthcare Plan, Transportation, Canteen</t>
        </is>
      </c>
      <c r="N6464" s="11">
        <f>HYPERLINK("https://www.vietnamworks.com/hr-specialist-recruitment-and-training-2017315-jv","Xem chi tiết")</f>
        <v/>
      </c>
      <c r="O6464" s="10" t="n"/>
    </row>
    <row r="6465">
      <c r="B6465" s="7" t="n">
        <v>6463</v>
      </c>
      <c r="C6465" t="inlineStr">
        <is>
          <t>Assistant Facility Manager - Trợ lý quản lý Cơ sở vật chất</t>
        </is>
      </c>
      <c r="D6465" t="inlineStr">
        <is>
          <t>Fitness &amp; Lifestyle GROUP (Flg) Vietnam</t>
        </is>
      </c>
      <c r="E6465" t="inlineStr">
        <is>
          <t>16tr-20tr ₫/tháng</t>
        </is>
      </c>
      <c r="F6465" t="inlineStr">
        <is>
          <t>Hà Nội</t>
        </is>
      </c>
      <c r="G6465" t="inlineStr">
        <is>
          <t>Nhân viên</t>
        </is>
      </c>
      <c r="H6465" t="inlineStr">
        <is>
          <t>03/03/2026</t>
        </is>
      </c>
      <c r="I6465" t="inlineStr">
        <is>
          <t>02/04/2026</t>
        </is>
      </c>
      <c r="J6465" t="inlineStr">
        <is>
          <t>17/03/2026</t>
        </is>
      </c>
      <c r="K6465" t="inlineStr">
        <is>
          <t>N/A</t>
        </is>
      </c>
      <c r="L6465" t="inlineStr">
        <is>
          <t>Budget Management, Communication, Facilities Management, Project Management</t>
        </is>
      </c>
      <c r="M6465" t="inlineStr">
        <is>
          <t>Healthcare Plan, Paid Leave, Training, Vouchers</t>
        </is>
      </c>
      <c r="N6465" s="8">
        <f>HYPERLINK("https://www.vietnamworks.com/assistant-facility-manager-tro-ly-quan-ly-co-so-vat-chat-2017323-jv","Xem chi tiết")</f>
        <v/>
      </c>
    </row>
    <row r="6466">
      <c r="B6466" s="9" t="n">
        <v>6464</v>
      </c>
      <c r="C6466" s="10" t="inlineStr">
        <is>
          <t>Account Manager (Sales)</t>
        </is>
      </c>
      <c r="D6466" s="10" t="inlineStr">
        <is>
          <t>Công Ty United Vision</t>
        </is>
      </c>
      <c r="E6466" s="10" t="inlineStr">
        <is>
          <t>Thương lượng</t>
        </is>
      </c>
      <c r="F6466" s="10" t="inlineStr">
        <is>
          <t>Hồ Chí Minh, Đà Nẵng, Hà Nội</t>
        </is>
      </c>
      <c r="G6466" s="10" t="inlineStr">
        <is>
          <t>Trưởng phòng</t>
        </is>
      </c>
      <c r="H6466" s="10" t="inlineStr">
        <is>
          <t>03/03/2026</t>
        </is>
      </c>
      <c r="I6466" s="10" t="inlineStr">
        <is>
          <t>02/04/2026</t>
        </is>
      </c>
      <c r="J6466" s="10" t="inlineStr">
        <is>
          <t>17/03/2026</t>
        </is>
      </c>
      <c r="K6466" s="10" t="inlineStr">
        <is>
          <t>N/A</t>
        </is>
      </c>
      <c r="L6466" s="10" t="inlineStr">
        <is>
          <t>B2B Sales, F&amp;B, Nghiên Cứu Thị Trường, Phát Triển Khách Hàng, Quản Lý Khách Hàng</t>
        </is>
      </c>
      <c r="M6466" s="10" t="inlineStr">
        <is>
          <t>Bonus, Healthcare Plan, Training</t>
        </is>
      </c>
      <c r="N6466" s="11">
        <f>HYPERLINK("https://www.vietnamworks.com/account-manager-sales--2017337-jv","Xem chi tiết")</f>
        <v/>
      </c>
      <c r="O6466" s="10" t="n"/>
    </row>
    <row r="6467">
      <c r="B6467" s="7" t="n">
        <v>6465</v>
      </c>
      <c r="C6467" t="inlineStr">
        <is>
          <t>Nhân Viên Kinh Doanh Gang Thép/钢材销售员 (Tiếng Trung)</t>
        </is>
      </c>
      <c r="D6467" t="inlineStr">
        <is>
          <t>Công Ty TNHH Chainvalue (Việt Nam)</t>
        </is>
      </c>
      <c r="E6467" t="inlineStr">
        <is>
          <t>$$ 500-1,000 /tháng</t>
        </is>
      </c>
      <c r="F6467" t="inlineStr">
        <is>
          <t>Hồ Chí Minh</t>
        </is>
      </c>
      <c r="G6467" t="inlineStr">
        <is>
          <t>Nhân viên</t>
        </is>
      </c>
      <c r="H6467" t="inlineStr">
        <is>
          <t>03/03/2026</t>
        </is>
      </c>
      <c r="I6467" t="inlineStr">
        <is>
          <t>02/04/2026</t>
        </is>
      </c>
      <c r="J6467" t="inlineStr">
        <is>
          <t>17/03/2026</t>
        </is>
      </c>
      <c r="K6467" t="inlineStr">
        <is>
          <t>N/A</t>
        </is>
      </c>
      <c r="L6467" t="inlineStr">
        <is>
          <t>Sales experience, Customer Relation, Communication Skills, Kinh Doanh Sắt Thép, Knowledge of steel products</t>
        </is>
      </c>
      <c r="M6467" t="inlineStr">
        <is>
          <t>Bonus, Healthcare Plan, Training, Travel Opportunities, Others</t>
        </is>
      </c>
      <c r="N6467" s="8">
        <f>HYPERLINK("https://www.vietnamworks.com/nhan-vien-kinh-doanh-gang-thep-tieng-trung-2017340-jv","Xem chi tiết")</f>
        <v/>
      </c>
    </row>
    <row r="6468">
      <c r="B6468" s="9" t="n">
        <v>6466</v>
      </c>
      <c r="C6468" s="10" t="inlineStr">
        <is>
          <t>Trưởng Phòng Nhân Sự (HR Manager)</t>
        </is>
      </c>
      <c r="D6468" s="10" t="inlineStr">
        <is>
          <t>CÔNG TY TNHH DỊCH VỤ BẢO AN T&amp;T VIỆT NAM</t>
        </is>
      </c>
      <c r="E6468" s="10" t="inlineStr">
        <is>
          <t>20tr-25tr ₫/tháng</t>
        </is>
      </c>
      <c r="F6468" s="10" t="inlineStr">
        <is>
          <t>Hà Nội</t>
        </is>
      </c>
      <c r="G6468" s="10" t="inlineStr">
        <is>
          <t>Trưởng phòng</t>
        </is>
      </c>
      <c r="H6468" s="10" t="inlineStr">
        <is>
          <t>03/03/2026</t>
        </is>
      </c>
      <c r="I6468" s="10" t="inlineStr">
        <is>
          <t>02/04/2026</t>
        </is>
      </c>
      <c r="J6468" s="10" t="inlineStr">
        <is>
          <t>17/03/2026</t>
        </is>
      </c>
      <c r="K6468" s="10" t="inlineStr">
        <is>
          <t>N/A</t>
        </is>
      </c>
      <c r="L6468" s="10" t="inlineStr">
        <is>
          <t>Quản Lý Nhân Sự, Tuyển Dụng, Nhân Sự, Đào Tạo, Hành Chính Nhân Sự</t>
        </is>
      </c>
      <c r="M6468" s="10" t="inlineStr">
        <is>
          <t>Bonus, Awards, Travel Opportunities</t>
        </is>
      </c>
      <c r="N6468" s="11">
        <f>HYPERLINK("https://www.vietnamworks.com/truong-phong-nhan-su-hr-manager--2017338-jv","Xem chi tiết")</f>
        <v/>
      </c>
      <c r="O6468" s="10" t="n"/>
    </row>
    <row r="6469">
      <c r="B6469" s="7" t="n">
        <v>6467</v>
      </c>
      <c r="C6469" t="inlineStr">
        <is>
          <t>Trưởng Phòng Quản Lý Chuỗi Cung Ứng</t>
        </is>
      </c>
      <c r="D6469" t="inlineStr">
        <is>
          <t>Oristar Corporation - Công Ty Cổ Phần Oristar</t>
        </is>
      </c>
      <c r="E6469" t="inlineStr">
        <is>
          <t>Thương lượng</t>
        </is>
      </c>
      <c r="F6469" t="inlineStr">
        <is>
          <t>Hà Nội</t>
        </is>
      </c>
      <c r="G6469" t="inlineStr">
        <is>
          <t>Trưởng phòng</t>
        </is>
      </c>
      <c r="H6469" t="inlineStr">
        <is>
          <t>03/03/2026</t>
        </is>
      </c>
      <c r="I6469" t="inlineStr">
        <is>
          <t>02/04/2026</t>
        </is>
      </c>
      <c r="J6469" t="inlineStr">
        <is>
          <t>17/03/2026</t>
        </is>
      </c>
      <c r="K6469" t="inlineStr">
        <is>
          <t>N/A</t>
        </is>
      </c>
      <c r="L6469" t="inlineStr">
        <is>
          <t>ERP, Incoterms, Inventory Optimization, Quản Lý Chuỗi Cung Ứng, Tiếng Anh</t>
        </is>
      </c>
      <c r="M6469" t="inlineStr">
        <is>
          <t>Bonus, Healthcare Plan, Team Activities</t>
        </is>
      </c>
      <c r="N6469" s="8">
        <f>HYPERLINK("https://www.vietnamworks.com/truong-phong-quan-ly-chuoi-cung-ung-2017335-jv","Xem chi tiết")</f>
        <v/>
      </c>
    </row>
    <row r="6470">
      <c r="B6470" s="9" t="n">
        <v>6468</v>
      </c>
      <c r="C6470" s="10" t="inlineStr">
        <is>
          <t>Nhân Viên Kinh Doanh [Ngành Hàng Kỹ Thuật] / Sales Engineer</t>
        </is>
      </c>
      <c r="D6470" s="10" t="inlineStr">
        <is>
          <t>Công ty TNHH Công nghệ và Kỹ thuật Hoàng Ngân</t>
        </is>
      </c>
      <c r="E6470" s="10" t="inlineStr">
        <is>
          <t>$$ 560-1,174 /tháng</t>
        </is>
      </c>
      <c r="F6470" s="10" t="inlineStr">
        <is>
          <t>Hà Nội, Hồ Chí Minh</t>
        </is>
      </c>
      <c r="G6470" s="10" t="inlineStr">
        <is>
          <t>Nhân viên</t>
        </is>
      </c>
      <c r="H6470" s="10" t="inlineStr">
        <is>
          <t>03/03/2026</t>
        </is>
      </c>
      <c r="I6470" s="10" t="inlineStr">
        <is>
          <t>02/04/2026</t>
        </is>
      </c>
      <c r="J6470" s="10" t="inlineStr">
        <is>
          <t>17/03/2026</t>
        </is>
      </c>
      <c r="K6470" s="10" t="inlineStr">
        <is>
          <t>N/A</t>
        </is>
      </c>
      <c r="L6470" s="10" t="inlineStr">
        <is>
          <t>CRM, Giao Tiếp, Kinh Doanh, Kỹ Thuật, Tự Động Hóa</t>
        </is>
      </c>
      <c r="M6470" s="10" t="inlineStr">
        <is>
          <t>Bonus, Healthcare Plan, Paid Leave, Training, Awards, Laptop, Mobile, Travel Opportunities, Team Activities, Others</t>
        </is>
      </c>
      <c r="N6470" s="11">
        <f>HYPERLINK("https://www.vietnamworks.com/nhan-vien-kinh-doanh-nganh-hang-ky-thuat-sales-engineer-2017341-jv","Xem chi tiết")</f>
        <v/>
      </c>
      <c r="O6470" s="10" t="n"/>
    </row>
    <row r="6471">
      <c r="B6471" s="7" t="n">
        <v>6469</v>
      </c>
      <c r="C6471" t="inlineStr">
        <is>
          <t>E-Commerce Executive</t>
        </is>
      </c>
      <c r="D6471" t="inlineStr">
        <is>
          <t>Công ty TNHH Asia Target</t>
        </is>
      </c>
      <c r="E6471" t="inlineStr">
        <is>
          <t>12tr-26tr ₫/tháng</t>
        </is>
      </c>
      <c r="F6471" t="inlineStr">
        <is>
          <t>Hồ Chí Minh</t>
        </is>
      </c>
      <c r="G6471" t="inlineStr">
        <is>
          <t>Mới Tốt Nghiệp</t>
        </is>
      </c>
      <c r="H6471" t="inlineStr">
        <is>
          <t>03/03/2026</t>
        </is>
      </c>
      <c r="I6471" t="inlineStr">
        <is>
          <t>02/04/2026</t>
        </is>
      </c>
      <c r="J6471" t="inlineStr">
        <is>
          <t>17/03/2026</t>
        </is>
      </c>
      <c r="K6471" t="inlineStr">
        <is>
          <t>N/A</t>
        </is>
      </c>
      <c r="L6471" t="inlineStr">
        <is>
          <t>Collaboration, Communication, Customer Interaction, E-Commerce Logistics, Market Analysis</t>
        </is>
      </c>
      <c r="M6471" t="inlineStr">
        <is>
          <t>Bonus</t>
        </is>
      </c>
      <c r="N6471" s="8">
        <f>HYPERLINK("https://www.vietnamworks.com/e-commerce-executive-2017342-jv","Xem chi tiết")</f>
        <v/>
      </c>
    </row>
    <row r="6472">
      <c r="B6472" s="9" t="n">
        <v>6470</v>
      </c>
      <c r="C6472" s="10" t="inlineStr">
        <is>
          <t>Sales Logistics - Nhân Viên Kinh Doanh Logistics (Xuất Khẩu)</t>
        </is>
      </c>
      <c r="D6472" s="10" t="inlineStr">
        <is>
          <t>Công Ty TNHH Chainvalue (Việt Nam)</t>
        </is>
      </c>
      <c r="E6472" s="10" t="inlineStr">
        <is>
          <t>$$ 500-1,000 /tháng</t>
        </is>
      </c>
      <c r="F6472" s="10" t="inlineStr">
        <is>
          <t>Hồ Chí Minh</t>
        </is>
      </c>
      <c r="G6472" s="10" t="inlineStr">
        <is>
          <t>Nhân viên</t>
        </is>
      </c>
      <c r="H6472" s="10" t="inlineStr">
        <is>
          <t>03/03/2026</t>
        </is>
      </c>
      <c r="I6472" s="10" t="inlineStr">
        <is>
          <t>02/04/2026</t>
        </is>
      </c>
      <c r="J6472" s="10" t="inlineStr">
        <is>
          <t>17/03/2026</t>
        </is>
      </c>
      <c r="K6472" s="10" t="inlineStr">
        <is>
          <t>N/A</t>
        </is>
      </c>
      <c r="L6472" s="10" t="inlineStr">
        <is>
          <t>Supply Chain Management, Business Development, Customer Development, Logistics Industry Knowledge, Sales xuất khẩu</t>
        </is>
      </c>
      <c r="M6472" s="10" t="inlineStr">
        <is>
          <t>Bonus, Healthcare Plan, Training, Travel Opportunities, Others</t>
        </is>
      </c>
      <c r="N6472" s="11">
        <f>HYPERLINK("https://www.vietnamworks.com/sales-logistics-nhan-vien-kinh-doanh-logistics-xuat-khau-2017344-jv","Xem chi tiết")</f>
        <v/>
      </c>
      <c r="O6472" s="10" t="n"/>
    </row>
    <row r="6473">
      <c r="B6473" s="7" t="n">
        <v>6471</v>
      </c>
      <c r="C6473" t="inlineStr">
        <is>
          <t>Sale Admin</t>
        </is>
      </c>
      <c r="D6473" t="inlineStr">
        <is>
          <t>Công Ty Cổ Phần Thiên Trường</t>
        </is>
      </c>
      <c r="E6473" t="inlineStr">
        <is>
          <t>Từ 12tr ₫/tháng</t>
        </is>
      </c>
      <c r="F6473" t="inlineStr">
        <is>
          <t>Hà Nội</t>
        </is>
      </c>
      <c r="G6473" t="inlineStr">
        <is>
          <t>Mới Tốt Nghiệp</t>
        </is>
      </c>
      <c r="H6473" t="inlineStr">
        <is>
          <t>03/03/2026</t>
        </is>
      </c>
      <c r="I6473" t="inlineStr">
        <is>
          <t>02/04/2026</t>
        </is>
      </c>
      <c r="J6473" t="inlineStr">
        <is>
          <t>17/03/2026</t>
        </is>
      </c>
      <c r="K6473" t="inlineStr">
        <is>
          <t>N/A</t>
        </is>
      </c>
      <c r="L6473" t="inlineStr">
        <is>
          <t>Hỗ Trợ Kinh Doanh, Quản Lý Dữ Liệu, Sales Admin, Tin Học Văn Phòng, Xử Lý Công Việc</t>
        </is>
      </c>
      <c r="M6473" t="inlineStr">
        <is>
          <t>Bonus, Paid Leave, Training, Canteen, Others</t>
        </is>
      </c>
      <c r="N6473" s="8">
        <f>HYPERLINK("https://www.vietnamworks.com/sale-admin-2017343-jv","Xem chi tiết")</f>
        <v/>
      </c>
    </row>
    <row r="6474">
      <c r="B6474" s="9" t="n">
        <v>6472</v>
      </c>
      <c r="C6474" s="10" t="inlineStr">
        <is>
          <t>Dự Án – Thầu</t>
        </is>
      </c>
      <c r="D6474" s="10" t="inlineStr">
        <is>
          <t>Công Ty Cổ Phần Thiên Trường</t>
        </is>
      </c>
      <c r="E6474" s="10" t="inlineStr">
        <is>
          <t>Thương lượng</t>
        </is>
      </c>
      <c r="F6474" s="10" t="inlineStr">
        <is>
          <t>Hà Nội</t>
        </is>
      </c>
      <c r="G6474" s="10" t="inlineStr">
        <is>
          <t>Nhân viên</t>
        </is>
      </c>
      <c r="H6474" s="10" t="inlineStr">
        <is>
          <t>03/03/2026</t>
        </is>
      </c>
      <c r="I6474" s="10" t="inlineStr">
        <is>
          <t>02/04/2026</t>
        </is>
      </c>
      <c r="J6474" s="10" t="inlineStr">
        <is>
          <t>17/03/2026</t>
        </is>
      </c>
      <c r="K6474" s="10" t="inlineStr">
        <is>
          <t>N/A</t>
        </is>
      </c>
      <c r="L6474" s="10" t="inlineStr">
        <is>
          <t>Báo Giá, Quản Lý Dự Án, Thiết Bị Y Tế, Vật Tư Y tế, Đấu Thầu</t>
        </is>
      </c>
      <c r="M6474" s="10" t="inlineStr">
        <is>
          <t>Bonus, Training, Mobile, Canteen, Others</t>
        </is>
      </c>
      <c r="N6474" s="11">
        <f>HYPERLINK("https://www.vietnamworks.com/du-an-thau-2017350-jv","Xem chi tiết")</f>
        <v/>
      </c>
      <c r="O6474" s="10" t="n"/>
    </row>
    <row r="6475">
      <c r="B6475" s="7" t="n">
        <v>6473</v>
      </c>
      <c r="C6475" t="inlineStr">
        <is>
          <t>Nhân Viên Kinh Doanh - Mức Lương Từ 20-30 Triệu (Gross)</t>
        </is>
      </c>
      <c r="D6475" t="inlineStr">
        <is>
          <t>YAMAMOTO TRADING (VIETNAM) CO., LTD</t>
        </is>
      </c>
      <c r="E6475" t="inlineStr">
        <is>
          <t>20tr-30tr ₫/tháng</t>
        </is>
      </c>
      <c r="F6475" t="inlineStr">
        <is>
          <t>Hồ Chí Minh</t>
        </is>
      </c>
      <c r="G6475" t="inlineStr">
        <is>
          <t>Nhân viên</t>
        </is>
      </c>
      <c r="H6475" t="inlineStr">
        <is>
          <t>03/03/2026</t>
        </is>
      </c>
      <c r="I6475" t="inlineStr">
        <is>
          <t>02/04/2026</t>
        </is>
      </c>
      <c r="J6475" t="inlineStr">
        <is>
          <t>17/03/2026</t>
        </is>
      </c>
      <c r="K6475" t="inlineStr">
        <is>
          <t>N/A</t>
        </is>
      </c>
      <c r="L6475" t="inlineStr">
        <is>
          <t>Phát Triển Khách Hàng, Kinh Doanh Hóa Chất, Tìm Kiếm Khách Hàng, Tư Vấn Kỹ Thuật, Bán Hàng Hóa Chất</t>
        </is>
      </c>
      <c r="M6475" t="inlineStr">
        <is>
          <t>Bonus, Healthcare Plan, Others</t>
        </is>
      </c>
      <c r="N6475" s="8">
        <f>HYPERLINK("https://www.vietnamworks.com/nhan-vien-kinh-doanh-muc-luong-tu-20-30-trieu-gross-2017348-jv","Xem chi tiết")</f>
        <v/>
      </c>
    </row>
    <row r="6476">
      <c r="B6476" s="9" t="n">
        <v>6474</v>
      </c>
      <c r="C6476" s="10" t="inlineStr">
        <is>
          <t>Customer Service Staff (Temporary 8 Months)</t>
        </is>
      </c>
      <c r="D6476" s="10" t="inlineStr">
        <is>
          <t>Inabata Vietnam Co., Ltd</t>
        </is>
      </c>
      <c r="E6476" s="10" t="inlineStr">
        <is>
          <t>Thương lượng</t>
        </is>
      </c>
      <c r="F6476" s="10" t="inlineStr">
        <is>
          <t>Hà Nội</t>
        </is>
      </c>
      <c r="G6476" s="10" t="inlineStr">
        <is>
          <t>Nhân viên</t>
        </is>
      </c>
      <c r="H6476" s="10" t="inlineStr">
        <is>
          <t>03/03/2026</t>
        </is>
      </c>
      <c r="I6476" s="10" t="inlineStr">
        <is>
          <t>02/04/2026</t>
        </is>
      </c>
      <c r="J6476" s="10" t="inlineStr">
        <is>
          <t>17/03/2026</t>
        </is>
      </c>
      <c r="K6476" s="10" t="inlineStr">
        <is>
          <t>N/A</t>
        </is>
      </c>
      <c r="L6476" s="10" t="inlineStr">
        <is>
          <t>communication, Import-Export, Incoterm, Logistics, Negotiation</t>
        </is>
      </c>
      <c r="M6476" s="10" t="inlineStr">
        <is>
          <t>Paid Leave, Travel Opportunities, Transportation</t>
        </is>
      </c>
      <c r="N6476" s="11">
        <f>HYPERLINK("https://www.vietnamworks.com/customer-service-staff-temporary-8-months--2017349-jv","Xem chi tiết")</f>
        <v/>
      </c>
      <c r="O6476" s="10" t="n"/>
    </row>
    <row r="6477">
      <c r="B6477" s="7" t="n">
        <v>6475</v>
      </c>
      <c r="C6477" t="inlineStr">
        <is>
          <t>Nhân Viên Kinh Doanh (mức Lương Từ 15tr Trở Lên, Có Thỏa Thuận)</t>
        </is>
      </c>
      <c r="D6477" t="inlineStr">
        <is>
          <t>Công Ty Cổ Phần Thiên Trường</t>
        </is>
      </c>
      <c r="E6477" t="inlineStr">
        <is>
          <t>Từ 15tr ₫/tháng</t>
        </is>
      </c>
      <c r="F6477" t="inlineStr">
        <is>
          <t>Hà Nội</t>
        </is>
      </c>
      <c r="G6477" t="inlineStr">
        <is>
          <t>Nhân viên</t>
        </is>
      </c>
      <c r="H6477" t="inlineStr">
        <is>
          <t>03/03/2026</t>
        </is>
      </c>
      <c r="I6477" t="inlineStr">
        <is>
          <t>02/04/2026</t>
        </is>
      </c>
      <c r="J6477" t="inlineStr">
        <is>
          <t>17/03/2026</t>
        </is>
      </c>
      <c r="K6477" t="inlineStr">
        <is>
          <t>N/A</t>
        </is>
      </c>
      <c r="L6477" t="inlineStr">
        <is>
          <t>Chăm Sóc Sức Khỏe, Kinh Doanh Thiết Bị Y Tế, Sales, Sales Planning, Y Tế</t>
        </is>
      </c>
      <c r="M6477" t="inlineStr">
        <is>
          <t>Bonus, Training, Mobile, Canteen, Others</t>
        </is>
      </c>
      <c r="N6477" s="8">
        <f>HYPERLINK("https://www.vietnamworks.com/nhan-vien-kinh-doanh-muc-luong-tu-15tr-tro-len-co-thoa-thuan-2017347-jv","Xem chi tiết")</f>
        <v/>
      </c>
    </row>
    <row r="6478">
      <c r="B6478" s="9" t="n">
        <v>6476</v>
      </c>
      <c r="C6478" s="10" t="inlineStr">
        <is>
          <t>Nhân Viên Kỹ Thuật Thiết Bị An Ninh</t>
        </is>
      </c>
      <c r="D6478" s="10" t="inlineStr">
        <is>
          <t>Pvagroup JSC</t>
        </is>
      </c>
      <c r="E6478" s="10" t="inlineStr">
        <is>
          <t>$$ 700-1,300 /tháng</t>
        </is>
      </c>
      <c r="F6478" s="10" t="inlineStr">
        <is>
          <t>Hà Nội</t>
        </is>
      </c>
      <c r="G6478" s="10" t="inlineStr">
        <is>
          <t>Nhân viên</t>
        </is>
      </c>
      <c r="H6478" s="10" t="inlineStr">
        <is>
          <t>03/03/2026</t>
        </is>
      </c>
      <c r="I6478" s="10" t="inlineStr">
        <is>
          <t>02/04/2026</t>
        </is>
      </c>
      <c r="J6478" s="10" t="inlineStr">
        <is>
          <t>17/03/2026</t>
        </is>
      </c>
      <c r="K6478" s="10" t="inlineStr">
        <is>
          <t>N/A</t>
        </is>
      </c>
      <c r="L6478" s="10" t="inlineStr">
        <is>
          <t>An Ninh Mạng, Công Nghệ Thông Tin, Khoa Học Máy Tính, Thiết Bị An Ninh Giám Sát, Điện Tử Viễn Thông</t>
        </is>
      </c>
      <c r="M6478" s="10" t="inlineStr">
        <is>
          <t>Bonus, Awards, Travel Opportunities</t>
        </is>
      </c>
      <c r="N6478" s="11">
        <f>HYPERLINK("https://www.vietnamworks.com/nhan-vien-ky-thuat-thiet-bi-an-ninh--2017358-jv","Xem chi tiết")</f>
        <v/>
      </c>
      <c r="O6478" s="10" t="n"/>
    </row>
    <row r="6479">
      <c r="B6479" s="7" t="n">
        <v>6477</v>
      </c>
      <c r="C6479" t="inlineStr">
        <is>
          <t>Chuyên Viên Điều Hành Tour Tiếng Anh/ Tiếng Trung / Tour Operations Staff (English / Chinese Speaking)</t>
        </is>
      </c>
      <c r="D6479" t="inlineStr">
        <is>
          <t>Công ty cổ phần phát triển du lịch Lily</t>
        </is>
      </c>
      <c r="E6479" t="inlineStr">
        <is>
          <t>13tr-20tr ₫/tháng</t>
        </is>
      </c>
      <c r="F6479" t="inlineStr">
        <is>
          <t>Hà Nội</t>
        </is>
      </c>
      <c r="G6479" t="inlineStr">
        <is>
          <t>Nhân viên</t>
        </is>
      </c>
      <c r="H6479" t="inlineStr">
        <is>
          <t>03/03/2026</t>
        </is>
      </c>
      <c r="I6479" t="inlineStr">
        <is>
          <t>02/04/2026</t>
        </is>
      </c>
      <c r="J6479" t="inlineStr">
        <is>
          <t>17/03/2026</t>
        </is>
      </c>
      <c r="K6479" t="inlineStr">
        <is>
          <t>N/A</t>
        </is>
      </c>
      <c r="L6479" t="inlineStr">
        <is>
          <t>Chinese Speaking, Customer Care, English Speaking, Inbound Tour, Outbound Tour</t>
        </is>
      </c>
      <c r="M6479" t="inlineStr">
        <is>
          <t>Bonus, Healthcare Plan, Team Activities</t>
        </is>
      </c>
      <c r="N6479" s="8">
        <f>HYPERLINK("https://www.vietnamworks.com/chuyen-vien-djieu-hanh-tour-tieng-anh-tieng-trung-tour-operations-staff-english-chinese-speaking-2017367-jv","Xem chi tiết")</f>
        <v/>
      </c>
    </row>
    <row r="6480">
      <c r="B6480" s="9" t="n">
        <v>6478</v>
      </c>
      <c r="C6480" s="10" t="inlineStr">
        <is>
          <t>Operation Engineer</t>
        </is>
      </c>
      <c r="D6480" s="10" t="inlineStr">
        <is>
          <t>AJINOMOTO VIETNAM COMPANY</t>
        </is>
      </c>
      <c r="E6480" s="10" t="inlineStr">
        <is>
          <t>Thương lượng</t>
        </is>
      </c>
      <c r="F6480" s="10" t="inlineStr">
        <is>
          <t>Đồng Nai</t>
        </is>
      </c>
      <c r="G6480" s="10" t="inlineStr">
        <is>
          <t>Nhân viên</t>
        </is>
      </c>
      <c r="H6480" s="10" t="inlineStr">
        <is>
          <t>03/03/2026</t>
        </is>
      </c>
      <c r="I6480" s="10" t="inlineStr">
        <is>
          <t>02/04/2026</t>
        </is>
      </c>
      <c r="J6480" s="10" t="inlineStr">
        <is>
          <t>17/03/2026</t>
        </is>
      </c>
      <c r="K6480" s="10" t="inlineStr">
        <is>
          <t>N/A</t>
        </is>
      </c>
      <c r="L6480" s="10" t="inlineStr">
        <is>
          <t>Automation, DCS Operation, Electrical Engineering, Food Technology, Process Control</t>
        </is>
      </c>
      <c r="M6480" s="10" t="inlineStr">
        <is>
          <t>Bonus, Healthcare Plan, Training, Transportation, Canteen, Others</t>
        </is>
      </c>
      <c r="N6480" s="11">
        <f>HYPERLINK("https://www.vietnamworks.com/operation-engineer-2017377-jv","Xem chi tiết")</f>
        <v/>
      </c>
      <c r="O6480" s="10" t="n"/>
    </row>
    <row r="6481">
      <c r="B6481" s="7" t="n">
        <v>6479</v>
      </c>
      <c r="C6481" t="inlineStr">
        <is>
          <t>Accountant</t>
        </is>
      </c>
      <c r="D6481" t="inlineStr">
        <is>
          <t>Metasource</t>
        </is>
      </c>
      <c r="E6481" t="inlineStr">
        <is>
          <t>Thương lượng</t>
        </is>
      </c>
      <c r="F6481" t="inlineStr">
        <is>
          <t>Hồ Chí Minh</t>
        </is>
      </c>
      <c r="G6481" t="inlineStr">
        <is>
          <t>Nhân viên</t>
        </is>
      </c>
      <c r="H6481" t="inlineStr">
        <is>
          <t>03/03/2026</t>
        </is>
      </c>
      <c r="I6481" t="inlineStr">
        <is>
          <t>02/04/2026</t>
        </is>
      </c>
      <c r="J6481" t="inlineStr">
        <is>
          <t>17/03/2026</t>
        </is>
      </c>
      <c r="K6481" t="inlineStr">
        <is>
          <t>N/A</t>
        </is>
      </c>
      <c r="L6481" t="inlineStr">
        <is>
          <t>Accounting, Tax accounting (VAT, PIT, CIT), F&amp;B industry experience, General Accountant, English Skill</t>
        </is>
      </c>
      <c r="M6481" t="inlineStr">
        <is>
          <t>Bonus, Healthcare Plan, Laptop, Team Activities, Others</t>
        </is>
      </c>
      <c r="N6481" s="8">
        <f>HYPERLINK("https://www.vietnamworks.com/accountant-2017372-jv","Xem chi tiết")</f>
        <v/>
      </c>
    </row>
    <row r="6482">
      <c r="B6482" s="9" t="n">
        <v>6480</v>
      </c>
      <c r="C6482" s="10" t="inlineStr">
        <is>
          <t>AP Cum AR Accountant</t>
        </is>
      </c>
      <c r="D6482" s="10" t="inlineStr">
        <is>
          <t>Bel</t>
        </is>
      </c>
      <c r="E6482" s="10" t="inlineStr">
        <is>
          <t>$$ 500-1,000 /tháng</t>
        </is>
      </c>
      <c r="F6482" s="10" t="inlineStr">
        <is>
          <t>Hồ Chí Minh</t>
        </is>
      </c>
      <c r="G6482" s="10" t="inlineStr">
        <is>
          <t>Nhân viên</t>
        </is>
      </c>
      <c r="H6482" s="10" t="inlineStr">
        <is>
          <t>03/03/2026</t>
        </is>
      </c>
      <c r="I6482" s="10" t="inlineStr">
        <is>
          <t>02/04/2026</t>
        </is>
      </c>
      <c r="J6482" s="10" t="inlineStr">
        <is>
          <t>17/03/2026</t>
        </is>
      </c>
      <c r="K6482" s="10" t="inlineStr">
        <is>
          <t>N/A</t>
        </is>
      </c>
      <c r="L6482" s="10" t="inlineStr">
        <is>
          <t>Financial Accounting, SAP, Internal Control, Accounting Transactions, Invoice Control</t>
        </is>
      </c>
      <c r="M6482" s="10" t="inlineStr">
        <is>
          <t>Others</t>
        </is>
      </c>
      <c r="N6482" s="11">
        <f>HYPERLINK("https://www.vietnamworks.com/ap-cum-ar-accountant-2017368-jv","Xem chi tiết")</f>
        <v/>
      </c>
      <c r="O6482" s="10" t="n"/>
    </row>
    <row r="6483">
      <c r="B6483" s="7" t="n">
        <v>6481</v>
      </c>
      <c r="C6483" t="inlineStr">
        <is>
          <t>Customer Quality Engineer</t>
        </is>
      </c>
      <c r="D6483" t="inlineStr">
        <is>
          <t>Công Ty TNHH Premo Việt Nam</t>
        </is>
      </c>
      <c r="E6483" t="inlineStr">
        <is>
          <t>Thương lượng</t>
        </is>
      </c>
      <c r="F6483" t="inlineStr">
        <is>
          <t>Đà Nẵng</t>
        </is>
      </c>
      <c r="G6483" t="inlineStr">
        <is>
          <t>Nhân viên</t>
        </is>
      </c>
      <c r="H6483" t="inlineStr">
        <is>
          <t>03/03/2026</t>
        </is>
      </c>
      <c r="I6483" t="inlineStr">
        <is>
          <t>02/04/2026</t>
        </is>
      </c>
      <c r="J6483" t="inlineStr">
        <is>
          <t>17/03/2026</t>
        </is>
      </c>
      <c r="K6483" t="inlineStr">
        <is>
          <t>N/A</t>
        </is>
      </c>
      <c r="L6483" t="inlineStr">
        <is>
          <t>Communication, Customer Management, Data Analysis, Problem-solving, Quality System</t>
        </is>
      </c>
      <c r="M6483" t="inlineStr">
        <is>
          <t>Healthcare Plan, Paid Leave, Training, Team Activities, Transportation, Others</t>
        </is>
      </c>
      <c r="N6483" s="8">
        <f>HYPERLINK("https://www.vietnamworks.com/customer-quality-engineer-2017369-jv","Xem chi tiết")</f>
        <v/>
      </c>
    </row>
    <row r="6484">
      <c r="B6484" s="9" t="n">
        <v>6482</v>
      </c>
      <c r="C6484" s="10" t="inlineStr">
        <is>
          <t>HR &amp; Admin Manager</t>
        </is>
      </c>
      <c r="D6484" s="10" t="inlineStr">
        <is>
          <t>Vietnamworks' Client</t>
        </is>
      </c>
      <c r="E6484" s="10" t="inlineStr">
        <is>
          <t>Thương lượng</t>
        </is>
      </c>
      <c r="F6484" s="10" t="inlineStr">
        <is>
          <t>Hồ Chí Minh</t>
        </is>
      </c>
      <c r="G6484" s="10" t="inlineStr">
        <is>
          <t>Trưởng phòng</t>
        </is>
      </c>
      <c r="H6484" s="10" t="inlineStr">
        <is>
          <t>03/03/2026</t>
        </is>
      </c>
      <c r="I6484" s="10" t="inlineStr">
        <is>
          <t>02/04/2026</t>
        </is>
      </c>
      <c r="J6484" s="10" t="inlineStr">
        <is>
          <t>17/03/2026</t>
        </is>
      </c>
      <c r="K6484" s="10" t="inlineStr">
        <is>
          <t>N/A</t>
        </is>
      </c>
      <c r="L6484" s="10" t="inlineStr">
        <is>
          <t>Human Resources, Administration, C&amp;B, Office Administration, Management Knowledge</t>
        </is>
      </c>
      <c r="M6484" s="10" t="inlineStr">
        <is>
          <t>Bonus, Healthcare Plan, Training</t>
        </is>
      </c>
      <c r="N6484" s="11">
        <f>HYPERLINK("https://www.vietnamworks.com/hr-admin-manager-177--2017366-jv","Xem chi tiết")</f>
        <v/>
      </c>
      <c r="O6484" s="10" t="n"/>
    </row>
    <row r="6485">
      <c r="B6485" s="7" t="n">
        <v>6483</v>
      </c>
      <c r="C6485" t="inlineStr">
        <is>
          <t>Airfreight Customer Service</t>
        </is>
      </c>
      <c r="D6485" t="inlineStr">
        <is>
          <t>Flynow Air Service</t>
        </is>
      </c>
      <c r="E6485" t="inlineStr">
        <is>
          <t>15tr-20tr ₫/tháng</t>
        </is>
      </c>
      <c r="F6485" t="inlineStr">
        <is>
          <t>Hồ Chí Minh</t>
        </is>
      </c>
      <c r="G6485" t="inlineStr">
        <is>
          <t>Nhân viên</t>
        </is>
      </c>
      <c r="H6485" t="inlineStr">
        <is>
          <t>03/03/2026</t>
        </is>
      </c>
      <c r="I6485" t="inlineStr">
        <is>
          <t>02/04/2026</t>
        </is>
      </c>
      <c r="J6485" t="inlineStr">
        <is>
          <t>17/03/2026</t>
        </is>
      </c>
      <c r="K6485" t="inlineStr">
        <is>
          <t>N/A</t>
        </is>
      </c>
      <c r="L6485" t="inlineStr">
        <is>
          <t>Analytical Skills, Communication Skills, Interpersonal Skills, Logistics</t>
        </is>
      </c>
      <c r="M6485" t="inlineStr">
        <is>
          <t>Bonus, Travel Opportunities, Others</t>
        </is>
      </c>
      <c r="N6485" s="8">
        <f>HYPERLINK("https://www.vietnamworks.com/airfreight-customer-service-2017381-jv","Xem chi tiết")</f>
        <v/>
      </c>
    </row>
    <row r="6486">
      <c r="B6486" s="9" t="n">
        <v>6484</v>
      </c>
      <c r="C6486" s="10" t="inlineStr">
        <is>
          <t>Chuyên Viên Kinh Doanh Quốc Tế (Yêu Cầu Tiếng Trung)</t>
        </is>
      </c>
      <c r="D6486" s="10" t="inlineStr">
        <is>
          <t>Công Ty TNHH Chainvalue (Việt Nam)</t>
        </is>
      </c>
      <c r="E6486" s="10" t="inlineStr">
        <is>
          <t>$$ 500-1,000 /tháng</t>
        </is>
      </c>
      <c r="F6486" s="10" t="inlineStr">
        <is>
          <t>Hồ Chí Minh</t>
        </is>
      </c>
      <c r="G6486" s="10" t="inlineStr">
        <is>
          <t>Mới Tốt Nghiệp</t>
        </is>
      </c>
      <c r="H6486" s="10" t="inlineStr">
        <is>
          <t>03/03/2026</t>
        </is>
      </c>
      <c r="I6486" s="10" t="inlineStr">
        <is>
          <t>02/04/2026</t>
        </is>
      </c>
      <c r="J6486" s="10" t="inlineStr">
        <is>
          <t>17/03/2026</t>
        </is>
      </c>
      <c r="K6486" s="10" t="inlineStr">
        <is>
          <t>N/A</t>
        </is>
      </c>
      <c r="L6486" s="10" t="inlineStr">
        <is>
          <t>Tiếng Trung, Tiếng Anh, Thương Mại Quốc Tế, Xuất Nhập Khẩu Hàng Hóa</t>
        </is>
      </c>
      <c r="M6486" s="10" t="inlineStr">
        <is>
          <t>Bonus, Healthcare Plan, Training, Travel Opportunities, Others</t>
        </is>
      </c>
      <c r="N6486" s="11">
        <f>HYPERLINK("https://www.vietnamworks.com/chuyen-vien-kinh-doanh-quoc-te-yeu-cau-tieng-trung-2017339-jv","Xem chi tiết")</f>
        <v/>
      </c>
      <c r="O6486" s="10" t="n"/>
    </row>
    <row r="6487">
      <c r="B6487" s="7" t="n">
        <v>6485</v>
      </c>
      <c r="C6487" t="inlineStr">
        <is>
          <t>Nhân Viên Quản Lý Chất Lượng (Có Xe Đưa Đón Hà Nội, Hải Dương - Hưng Yên)</t>
        </is>
      </c>
      <c r="D6487" t="inlineStr">
        <is>
          <t>Công Ty TNHH Tanaka Precision Việt Nam</t>
        </is>
      </c>
      <c r="E6487" t="inlineStr">
        <is>
          <t>Thương lượng</t>
        </is>
      </c>
      <c r="F6487" t="inlineStr">
        <is>
          <t>Hải Dương, Hà Nội, Hưng Yên</t>
        </is>
      </c>
      <c r="G6487" t="inlineStr">
        <is>
          <t>Nhân viên</t>
        </is>
      </c>
      <c r="H6487" t="inlineStr">
        <is>
          <t>03/03/2026</t>
        </is>
      </c>
      <c r="I6487" t="inlineStr">
        <is>
          <t>02/04/2026</t>
        </is>
      </c>
      <c r="J6487" t="inlineStr">
        <is>
          <t>17/03/2026</t>
        </is>
      </c>
      <c r="K6487" t="inlineStr">
        <is>
          <t>N/A</t>
        </is>
      </c>
      <c r="L6487" t="inlineStr">
        <is>
          <t>Cơ Khí, Quản lý chất lượng, Kiểm Tra Chất Lượng, Tự Động Hóa, Theo Dõi Hàng Mẫu</t>
        </is>
      </c>
      <c r="M6487" t="inlineStr">
        <is>
          <t>Bonus, Travel Opportunities, Transportation</t>
        </is>
      </c>
      <c r="N6487" s="8">
        <f>HYPERLINK("https://www.vietnamworks.com/nhan-vien-quan-ly-chat-luong-co-xe-dua-don-ha-noi-hai-duong-hung-yen-2017364-jv","Xem chi tiết")</f>
        <v/>
      </c>
    </row>
    <row r="6488">
      <c r="B6488" s="9" t="n">
        <v>6486</v>
      </c>
      <c r="C6488" s="10" t="inlineStr">
        <is>
          <t>Automation &amp; Control Specialist/ (Ngành Công Nghiệp Ô Tô)</t>
        </is>
      </c>
      <c r="D6488" s="10" t="inlineStr">
        <is>
          <t>FORD VIETNAM LIMITED</t>
        </is>
      </c>
      <c r="E6488" s="10" t="inlineStr">
        <is>
          <t>Thương lượng</t>
        </is>
      </c>
      <c r="F6488" s="10" t="inlineStr">
        <is>
          <t>Hải Dương</t>
        </is>
      </c>
      <c r="G6488" s="10" t="inlineStr">
        <is>
          <t>Nhân viên</t>
        </is>
      </c>
      <c r="H6488" s="10" t="inlineStr">
        <is>
          <t>03/03/2026</t>
        </is>
      </c>
      <c r="I6488" s="10" t="inlineStr">
        <is>
          <t>02/04/2026</t>
        </is>
      </c>
      <c r="J6488" s="10" t="inlineStr">
        <is>
          <t>17/03/2026</t>
        </is>
      </c>
      <c r="K6488" s="10" t="inlineStr">
        <is>
          <t>N/A</t>
        </is>
      </c>
      <c r="L6488" s="10" t="inlineStr">
        <is>
          <t>Industrial Electronics, PLC Programming, Rockwell Automation Expertise, Automation, Ô Tô &amp; Công Nghệ</t>
        </is>
      </c>
      <c r="M6488" s="10" t="inlineStr">
        <is>
          <t>Bonus, Healthcare Plan, Laptop</t>
        </is>
      </c>
      <c r="N6488" s="11">
        <f>HYPERLINK("https://www.vietnamworks.com/automation-and-control-specialist-nganh-cong-nghiep-o-to-2017375-jv","Xem chi tiết")</f>
        <v/>
      </c>
      <c r="O6488" s="10" t="n"/>
    </row>
    <row r="6489">
      <c r="B6489" s="7" t="n">
        <v>6487</v>
      </c>
      <c r="C6489" t="inlineStr">
        <is>
          <t>Trưởng Phòng Marketing</t>
        </is>
      </c>
      <c r="D6489" t="inlineStr">
        <is>
          <t>Tập Đoàn Nam Cường</t>
        </is>
      </c>
      <c r="E6489" t="inlineStr">
        <is>
          <t>Thương lượng</t>
        </is>
      </c>
      <c r="F6489" t="inlineStr">
        <is>
          <t>Hà Nội</t>
        </is>
      </c>
      <c r="G6489" t="inlineStr">
        <is>
          <t>Trưởng phòng</t>
        </is>
      </c>
      <c r="H6489" t="inlineStr">
        <is>
          <t>03/03/2026</t>
        </is>
      </c>
      <c r="I6489" t="inlineStr">
        <is>
          <t>02/04/2026</t>
        </is>
      </c>
      <c r="J6489" t="inlineStr">
        <is>
          <t>17/03/2026</t>
        </is>
      </c>
      <c r="K6489" t="inlineStr">
        <is>
          <t>N/A</t>
        </is>
      </c>
      <c r="L6489" t="inlineStr">
        <is>
          <t>Marketing Strategy, Brand Management, Market Research, Event Management, Communication</t>
        </is>
      </c>
      <c r="M6489" t="inlineStr">
        <is>
          <t>Bonus, Training, Travel Opportunities, Transportation, Others</t>
        </is>
      </c>
      <c r="N6489" s="8">
        <f>HYPERLINK("https://www.vietnamworks.com/truong-phong-marketing-2017386-jv","Xem chi tiết")</f>
        <v/>
      </c>
    </row>
    <row r="6490">
      <c r="B6490" s="9" t="n">
        <v>6488</v>
      </c>
      <c r="C6490" s="10" t="inlineStr">
        <is>
          <t>Giám Đốc Tài Chính</t>
        </is>
      </c>
      <c r="D6490" s="10" t="inlineStr">
        <is>
          <t>Công Ty Cổ Phần Tập đoàn Sơn Phúc</t>
        </is>
      </c>
      <c r="E6490" s="10" t="inlineStr">
        <is>
          <t>Thương lượng</t>
        </is>
      </c>
      <c r="F6490" s="10" t="inlineStr">
        <is>
          <t>Hà Nội</t>
        </is>
      </c>
      <c r="G6490" s="10" t="inlineStr">
        <is>
          <t>Giám Đốc và Cấp Cao Hơn</t>
        </is>
      </c>
      <c r="H6490" s="10" t="inlineStr">
        <is>
          <t>03/03/2026</t>
        </is>
      </c>
      <c r="I6490" s="10" t="inlineStr">
        <is>
          <t>02/04/2026</t>
        </is>
      </c>
      <c r="J6490" s="10" t="inlineStr">
        <is>
          <t>17/03/2026</t>
        </is>
      </c>
      <c r="K6490" s="10" t="inlineStr">
        <is>
          <t>N/A</t>
        </is>
      </c>
      <c r="L6490" s="10" t="inlineStr">
        <is>
          <t>Quản Lý Tài Chính, Phân Tích Tài Chính, Lãnh Đạo, Kế Hoạch Tài Chính, Quản Lý Nguồn Vốn</t>
        </is>
      </c>
      <c r="M6490" s="10" t="inlineStr">
        <is>
          <t>Bonus, Healthcare Plan, Paid Leave, Travel Opportunities, Others</t>
        </is>
      </c>
      <c r="N6490" s="11">
        <f>HYPERLINK("https://www.vietnamworks.com/giam-djoc-tai-chinh-2017387-jv","Xem chi tiết")</f>
        <v/>
      </c>
      <c r="O6490" s="10" t="n"/>
    </row>
    <row r="6491">
      <c r="B6491" s="7" t="n">
        <v>6489</v>
      </c>
      <c r="C6491" t="inlineStr">
        <is>
          <t>PE Staff (New Equipment Development)</t>
        </is>
      </c>
      <c r="D6491" t="inlineStr">
        <is>
          <t>Panasonic Appliances Vietnam</t>
        </is>
      </c>
      <c r="E6491" t="inlineStr">
        <is>
          <t>Thương lượng</t>
        </is>
      </c>
      <c r="F6491" t="inlineStr">
        <is>
          <t>Hưng Yên</t>
        </is>
      </c>
      <c r="G6491" t="inlineStr">
        <is>
          <t>Nhân viên</t>
        </is>
      </c>
      <c r="H6491" t="inlineStr">
        <is>
          <t>03/03/2026</t>
        </is>
      </c>
      <c r="I6491" t="inlineStr">
        <is>
          <t>02/04/2026</t>
        </is>
      </c>
      <c r="J6491" t="inlineStr">
        <is>
          <t>17/03/2026</t>
        </is>
      </c>
      <c r="K6491" t="inlineStr">
        <is>
          <t>N/A</t>
        </is>
      </c>
      <c r="L6491" t="inlineStr">
        <is>
          <t>PE, PLC, Mechanical Engineering, Mechanical Drawing, Automation</t>
        </is>
      </c>
      <c r="M6491" t="inlineStr">
        <is>
          <t>Bonus, Healthcare Plan, Transportation</t>
        </is>
      </c>
      <c r="N6491" s="8">
        <f>HYPERLINK("https://www.vietnamworks.com/pe-staff-new-equipment-development--2017382-jv","Xem chi tiết")</f>
        <v/>
      </c>
    </row>
    <row r="6492">
      <c r="B6492" s="9" t="n">
        <v>6490</v>
      </c>
      <c r="C6492" s="10" t="inlineStr">
        <is>
          <t>Sales Supervisor – Medical Equipment</t>
        </is>
      </c>
      <c r="D6492" s="10" t="inlineStr">
        <is>
          <t>Charles Wembley (S.e.a) CO., Pte. LTD.</t>
        </is>
      </c>
      <c r="E6492" s="10" t="inlineStr">
        <is>
          <t>Thương lượng</t>
        </is>
      </c>
      <c r="F6492" s="10" t="inlineStr">
        <is>
          <t>Hà Nội</t>
        </is>
      </c>
      <c r="G6492" s="10" t="inlineStr">
        <is>
          <t>Nhân viên</t>
        </is>
      </c>
      <c r="H6492" s="10" t="inlineStr">
        <is>
          <t>03/03/2026</t>
        </is>
      </c>
      <c r="I6492" s="10" t="inlineStr">
        <is>
          <t>02/04/2026</t>
        </is>
      </c>
      <c r="J6492" s="10" t="inlineStr">
        <is>
          <t>17/03/2026</t>
        </is>
      </c>
      <c r="K6492" s="10" t="inlineStr">
        <is>
          <t>N/A</t>
        </is>
      </c>
      <c r="L6492" s="10" t="inlineStr">
        <is>
          <t>Điện Tử Y Sinh, Kỹ Thuật, Thiết Bị Y Tế, Tìm Kiếm Khách Hàng, Tư Vấn Sản Phẩm</t>
        </is>
      </c>
      <c r="M6492" s="10" t="inlineStr">
        <is>
          <t>Bonus, Training, Canteen, Others</t>
        </is>
      </c>
      <c r="N6492" s="11">
        <f>HYPERLINK("https://www.vietnamworks.com/sales-supervisor-medical-equipment-2017361-jv","Xem chi tiết")</f>
        <v/>
      </c>
      <c r="O6492" s="10" t="n"/>
    </row>
    <row r="6493">
      <c r="B6493" s="7" t="n">
        <v>6491</v>
      </c>
      <c r="C6493" t="inlineStr">
        <is>
          <t>Phó Phòng Kế Toán</t>
        </is>
      </c>
      <c r="D6493" t="inlineStr">
        <is>
          <t>Công Ty Cổ Phần Thiên Trường</t>
        </is>
      </c>
      <c r="E6493" t="inlineStr">
        <is>
          <t>Thương lượng</t>
        </is>
      </c>
      <c r="F6493" t="inlineStr">
        <is>
          <t>Hà Nội</t>
        </is>
      </c>
      <c r="G6493" t="inlineStr">
        <is>
          <t>Trưởng phòng</t>
        </is>
      </c>
      <c r="H6493" t="inlineStr">
        <is>
          <t>03/03/2026</t>
        </is>
      </c>
      <c r="I6493" t="inlineStr">
        <is>
          <t>02/04/2026</t>
        </is>
      </c>
      <c r="J6493" t="inlineStr">
        <is>
          <t>17/03/2026</t>
        </is>
      </c>
      <c r="K6493" t="inlineStr">
        <is>
          <t>N/A</t>
        </is>
      </c>
      <c r="L6493" t="inlineStr">
        <is>
          <t>Báo Cáo Tài Chính, Bravo Software, Luật Quản Lý Thuế, Nghiệp Vụ Kế Toán, Quản Lý Hồ Sơ</t>
        </is>
      </c>
      <c r="M6493" t="inlineStr">
        <is>
          <t>Others</t>
        </is>
      </c>
      <c r="N6493" s="8">
        <f>HYPERLINK("https://www.vietnamworks.com/pho-phong-ke-toan-2017353-jv","Xem chi tiết")</f>
        <v/>
      </c>
    </row>
    <row r="6494">
      <c r="B6494" s="9" t="n">
        <v>6492</v>
      </c>
      <c r="C6494" s="10" t="inlineStr">
        <is>
          <t>Leader IT</t>
        </is>
      </c>
      <c r="D6494" s="10" t="inlineStr">
        <is>
          <t>Nidec Instruments (Hanoi) Corporation</t>
        </is>
      </c>
      <c r="E6494" s="10" t="inlineStr">
        <is>
          <t>Thương lượng</t>
        </is>
      </c>
      <c r="F6494" s="10" t="inlineStr">
        <is>
          <t>Hà Nội</t>
        </is>
      </c>
      <c r="G6494" s="10" t="inlineStr">
        <is>
          <t>Nhân viên</t>
        </is>
      </c>
      <c r="H6494" s="10" t="inlineStr">
        <is>
          <t>03/03/2026</t>
        </is>
      </c>
      <c r="I6494" s="10" t="inlineStr">
        <is>
          <t>02/04/2026</t>
        </is>
      </c>
      <c r="J6494" s="10" t="inlineStr">
        <is>
          <t>17/03/2026</t>
        </is>
      </c>
      <c r="K6494" s="10" t="inlineStr">
        <is>
          <t>N/A</t>
        </is>
      </c>
      <c r="L6494" s="10" t="inlineStr">
        <is>
          <t>IT Phần Mềm, IT System Administration, Công Nghệ Thông Tin, Quản Lý Phần Mềm, IT Helpdesk</t>
        </is>
      </c>
      <c r="M6494" s="10" t="inlineStr">
        <is>
          <t>Bonus, Healthcare Plan, Travel Opportunities</t>
        </is>
      </c>
      <c r="N6494" s="11">
        <f>HYPERLINK("https://www.vietnamworks.com/leader-it--2017371-jv","Xem chi tiết")</f>
        <v/>
      </c>
      <c r="O6494" s="10" t="n"/>
    </row>
    <row r="6495">
      <c r="B6495" s="7" t="n">
        <v>6493</v>
      </c>
      <c r="C6495" t="inlineStr">
        <is>
          <t>Senior Specialist Corporate Finance</t>
        </is>
      </c>
      <c r="D6495" t="inlineStr">
        <is>
          <t>Công Ty Cổ Phần Tập Đoàn Masterise</t>
        </is>
      </c>
      <c r="E6495" t="inlineStr">
        <is>
          <t>Thương lượng</t>
        </is>
      </c>
      <c r="F6495" t="inlineStr">
        <is>
          <t>Hà Nội</t>
        </is>
      </c>
      <c r="G6495" t="inlineStr">
        <is>
          <t>Nhân viên</t>
        </is>
      </c>
      <c r="H6495" t="inlineStr">
        <is>
          <t>03/03/2026</t>
        </is>
      </c>
      <c r="I6495" t="inlineStr">
        <is>
          <t>02/04/2026</t>
        </is>
      </c>
      <c r="J6495" t="inlineStr">
        <is>
          <t>17/03/2026</t>
        </is>
      </c>
      <c r="K6495" t="inlineStr">
        <is>
          <t>N/A</t>
        </is>
      </c>
      <c r="L6495" t="inlineStr">
        <is>
          <t>Corporate Finance, Budget Management, Reporting, Finance Analyst, SQL</t>
        </is>
      </c>
      <c r="M6495" t="inlineStr">
        <is>
          <t>Bonus, Healthcare Plan, Laptop</t>
        </is>
      </c>
      <c r="N6495" s="8">
        <f>HYPERLINK("https://www.vietnamworks.com/senior-specialist-corporate-finance--2017384-jv","Xem chi tiết")</f>
        <v/>
      </c>
    </row>
    <row r="6496">
      <c r="B6496" s="9" t="n">
        <v>6494</v>
      </c>
      <c r="C6496" s="10" t="inlineStr">
        <is>
          <t>Finished Goods Planner</t>
        </is>
      </c>
      <c r="D6496" s="10" t="inlineStr">
        <is>
          <t>Givaudan Vietnam Company Limited</t>
        </is>
      </c>
      <c r="E6496" s="10" t="inlineStr">
        <is>
          <t>Thương lượng</t>
        </is>
      </c>
      <c r="F6496" s="10" t="inlineStr">
        <is>
          <t>Bình Dương</t>
        </is>
      </c>
      <c r="G6496" s="10" t="inlineStr">
        <is>
          <t>Trưởng phòng</t>
        </is>
      </c>
      <c r="H6496" s="10" t="inlineStr">
        <is>
          <t>03/03/2026</t>
        </is>
      </c>
      <c r="I6496" s="10" t="inlineStr">
        <is>
          <t>02/04/2026</t>
        </is>
      </c>
      <c r="J6496" s="10" t="inlineStr">
        <is>
          <t>17/03/2026</t>
        </is>
      </c>
      <c r="K6496" s="10" t="inlineStr">
        <is>
          <t>N/A</t>
        </is>
      </c>
      <c r="L6496" s="10" t="inlineStr">
        <is>
          <t>Analytical Skills, Inventory Planning, MRP, Production Schedule, SAP ERP</t>
        </is>
      </c>
      <c r="M6496" s="10" t="inlineStr">
        <is>
          <t>Bonus, Paid Leave, Team Activities</t>
        </is>
      </c>
      <c r="N6496" s="11">
        <f>HYPERLINK("https://www.vietnamworks.com/finished-goods-planner-2017383-jv","Xem chi tiết")</f>
        <v/>
      </c>
      <c r="O6496" s="10" t="n"/>
    </row>
    <row r="6497">
      <c r="B6497" s="7" t="n">
        <v>6495</v>
      </c>
      <c r="C6497" t="inlineStr">
        <is>
          <t>Sales Agency Manager - Real Estate Residential Development</t>
        </is>
      </c>
      <c r="D6497" t="inlineStr">
        <is>
          <t>Sai Gon Nam Phu Real Estate Corporation</t>
        </is>
      </c>
      <c r="E6497" t="inlineStr">
        <is>
          <t>30tr-35tr ₫/tháng</t>
        </is>
      </c>
      <c r="F6497" t="inlineStr">
        <is>
          <t>Hồ Chí Minh</t>
        </is>
      </c>
      <c r="G6497" t="inlineStr">
        <is>
          <t>Trưởng phòng</t>
        </is>
      </c>
      <c r="H6497" t="inlineStr">
        <is>
          <t>03/03/2026</t>
        </is>
      </c>
      <c r="I6497" t="inlineStr">
        <is>
          <t>02/04/2026</t>
        </is>
      </c>
      <c r="J6497" t="inlineStr">
        <is>
          <t>17/03/2026</t>
        </is>
      </c>
      <c r="K6497" t="inlineStr">
        <is>
          <t>N/A</t>
        </is>
      </c>
      <c r="L6497" t="inlineStr">
        <is>
          <t>Real Estate, Sales Strategy, Sales Management, Business Development, Bất Động Sản</t>
        </is>
      </c>
      <c r="M6497" t="inlineStr">
        <is>
          <t>Bonus, Healthcare Plan, Travel Opportunities</t>
        </is>
      </c>
      <c r="N6497" s="8">
        <f>HYPERLINK("https://www.vietnamworks.com/sales-agency-manager-real-estate-residential-development-2017385-jv","Xem chi tiết")</f>
        <v/>
      </c>
    </row>
    <row r="6498">
      <c r="B6498" s="9" t="n">
        <v>6496</v>
      </c>
      <c r="C6498" s="10" t="inlineStr">
        <is>
          <t>[Tuyển Gấp] Phó Tổng Giám Đốc Kinh Doanh</t>
        </is>
      </c>
      <c r="D6498" s="10" t="inlineStr">
        <is>
          <t>Công Ty Cổ Phần Tập đoàn Sơn Phúc</t>
        </is>
      </c>
      <c r="E6498" s="10" t="inlineStr">
        <is>
          <t>Thương lượng</t>
        </is>
      </c>
      <c r="F6498" s="10" t="inlineStr">
        <is>
          <t>Hà Nội</t>
        </is>
      </c>
      <c r="G6498" s="10" t="inlineStr">
        <is>
          <t>Giám Đốc và Cấp Cao Hơn</t>
        </is>
      </c>
      <c r="H6498" s="10" t="inlineStr">
        <is>
          <t>03/03/2026</t>
        </is>
      </c>
      <c r="I6498" s="10" t="inlineStr">
        <is>
          <t>02/04/2026</t>
        </is>
      </c>
      <c r="J6498" s="10" t="inlineStr">
        <is>
          <t>17/03/2026</t>
        </is>
      </c>
      <c r="K6498" s="10" t="inlineStr">
        <is>
          <t>N/A</t>
        </is>
      </c>
      <c r="L6498" s="10" t="inlineStr">
        <is>
          <t>Kinh Doanh, Luật, Quản Trị Kinh Doanh, Kinh Tế, Lãnh Đạo</t>
        </is>
      </c>
      <c r="M6498" s="10" t="inlineStr">
        <is>
          <t>Bonus, Healthcare Plan, Paid Leave, Travel Opportunities, Others</t>
        </is>
      </c>
      <c r="N6498" s="11">
        <f>HYPERLINK("https://www.vietnamworks.com/tuyen-gap-pho-tong-giam-djoc-kinh-doanh-2017356-jv","Xem chi tiết")</f>
        <v/>
      </c>
      <c r="O6498" s="10" t="n"/>
    </row>
    <row r="6499">
      <c r="B6499" s="7" t="n">
        <v>6497</v>
      </c>
      <c r="C6499" t="inlineStr">
        <is>
          <t>HRBP Expert</t>
        </is>
      </c>
      <c r="D6499" t="inlineStr">
        <is>
          <t>Công Ty TNHH Dịch Vụ Vận Tải Sinh Thái Vinbus</t>
        </is>
      </c>
      <c r="E6499" t="inlineStr">
        <is>
          <t>$$ 1,200-2,500 /tháng</t>
        </is>
      </c>
      <c r="F6499" t="inlineStr">
        <is>
          <t>Hồ Chí Minh</t>
        </is>
      </c>
      <c r="G6499" t="inlineStr">
        <is>
          <t>Nhân viên</t>
        </is>
      </c>
      <c r="H6499" t="inlineStr">
        <is>
          <t>03/03/2026</t>
        </is>
      </c>
      <c r="I6499" t="inlineStr">
        <is>
          <t>02/04/2026</t>
        </is>
      </c>
      <c r="J6499" t="inlineStr">
        <is>
          <t>17/03/2026</t>
        </is>
      </c>
      <c r="K6499" t="inlineStr">
        <is>
          <t>N/A</t>
        </is>
      </c>
      <c r="L6499" t="inlineStr">
        <is>
          <t>HRBP, Logistic, Law, Business Administration, Human Resources</t>
        </is>
      </c>
      <c r="M6499" t="inlineStr">
        <is>
          <t>Healthcare Plan, Training, Laptop</t>
        </is>
      </c>
      <c r="N6499" s="8">
        <f>HYPERLINK("https://www.vietnamworks.com/hrbp-expert--2017390-jv","Xem chi tiết")</f>
        <v/>
      </c>
    </row>
    <row r="6500">
      <c r="B6500" s="9" t="n">
        <v>6498</v>
      </c>
      <c r="C6500" s="10" t="inlineStr">
        <is>
          <t>Nhân Viên Khai Báo Hải Quan (Tại Hà Nội - 1-3 Năm Kinh Nghiệm)</t>
        </is>
      </c>
      <c r="D6500" s="10" t="inlineStr">
        <is>
          <t>CÔNG TY TNHH TIẾP VẬN THT</t>
        </is>
      </c>
      <c r="E6500" s="10" t="inlineStr">
        <is>
          <t>Thương lượng</t>
        </is>
      </c>
      <c r="F6500" s="10" t="inlineStr">
        <is>
          <t>Hà Nội</t>
        </is>
      </c>
      <c r="G6500" s="10" t="inlineStr">
        <is>
          <t>Nhân viên</t>
        </is>
      </c>
      <c r="H6500" s="10" t="inlineStr">
        <is>
          <t>03/03/2026</t>
        </is>
      </c>
      <c r="I6500" s="10" t="inlineStr">
        <is>
          <t>02/04/2026</t>
        </is>
      </c>
      <c r="J6500" s="10" t="inlineStr">
        <is>
          <t>17/03/2026</t>
        </is>
      </c>
      <c r="K6500" s="10" t="inlineStr">
        <is>
          <t>N/A</t>
        </is>
      </c>
      <c r="L6500" s="10" t="inlineStr">
        <is>
          <t>Khai Báo Hải Quan, Chứng Từ Hải Quan, Xuất Nhập Khẩu, VNACCS, Kiểm Tra Chứng Từ</t>
        </is>
      </c>
      <c r="M6500" s="10" t="inlineStr">
        <is>
          <t>Bonus, Healthcare Plan, Others</t>
        </is>
      </c>
      <c r="N6500" s="11">
        <f>HYPERLINK("https://www.vietnamworks.com/nhan-vien-khai-bao-hai-quan-tai-ha-noi-1-3-nam-kinh-nghiem-2017402-jv","Xem chi tiết")</f>
        <v/>
      </c>
      <c r="O6500" s="10" t="n"/>
    </row>
    <row r="6501">
      <c r="B6501" s="7" t="n">
        <v>6499</v>
      </c>
      <c r="C6501" t="inlineStr">
        <is>
          <t>Finance Executive</t>
        </is>
      </c>
      <c r="D6501" t="inlineStr">
        <is>
          <t>Setiabecamex Joint Stock Company</t>
        </is>
      </c>
      <c r="E6501" t="inlineStr">
        <is>
          <t>10tr-15tr ₫/tháng</t>
        </is>
      </c>
      <c r="F6501" t="inlineStr">
        <is>
          <t>Hồ Chí Minh</t>
        </is>
      </c>
      <c r="G6501" t="inlineStr">
        <is>
          <t>Nhân viên</t>
        </is>
      </c>
      <c r="H6501" t="inlineStr">
        <is>
          <t>03/03/2026</t>
        </is>
      </c>
      <c r="I6501" t="inlineStr">
        <is>
          <t>02/04/2026</t>
        </is>
      </c>
      <c r="J6501" t="inlineStr">
        <is>
          <t>17/03/2026</t>
        </is>
      </c>
      <c r="K6501" t="inlineStr">
        <is>
          <t>N/A</t>
        </is>
      </c>
      <c r="L6501" t="inlineStr">
        <is>
          <t>Communication Skills, Computerized System, Interpersonal Skills, Problem Solving, Control Expense Skill</t>
        </is>
      </c>
      <c r="M6501" t="inlineStr">
        <is>
          <t>Healthcare Plan, Transportation, Canteen, Others</t>
        </is>
      </c>
      <c r="N6501" s="8">
        <f>HYPERLINK("https://www.vietnamworks.com/finance-executive-2017393-jv","Xem chi tiết")</f>
        <v/>
      </c>
    </row>
    <row r="6502">
      <c r="B6502" s="9" t="n">
        <v>6500</v>
      </c>
      <c r="C6502" s="10" t="inlineStr">
        <is>
          <t>Trưởng Nhóm Kế Toán</t>
        </is>
      </c>
      <c r="D6502" s="10" t="inlineStr">
        <is>
          <t>Công Ty Cổ Phần Quốc Tế Sơn Hà</t>
        </is>
      </c>
      <c r="E6502" s="10" t="inlineStr">
        <is>
          <t>12tr-14tr ₫/tháng</t>
        </is>
      </c>
      <c r="F6502" s="10" t="inlineStr">
        <is>
          <t>Nghệ An</t>
        </is>
      </c>
      <c r="G6502" s="10" t="inlineStr">
        <is>
          <t>Nhân viên</t>
        </is>
      </c>
      <c r="H6502" s="10" t="inlineStr">
        <is>
          <t>03/03/2026</t>
        </is>
      </c>
      <c r="I6502" s="10" t="inlineStr">
        <is>
          <t>02/04/2026</t>
        </is>
      </c>
      <c r="J6502" s="10" t="inlineStr">
        <is>
          <t>17/03/2026</t>
        </is>
      </c>
      <c r="K6502" s="10" t="inlineStr">
        <is>
          <t>N/A</t>
        </is>
      </c>
      <c r="L6502" s="10" t="inlineStr">
        <is>
          <t>Kế Toán, Kế Toán Kiểm Soát, Quản Lý Công Nợ, Kế Toán Tổng Hợp, Kế Toán Trưởng</t>
        </is>
      </c>
      <c r="M6502" s="10" t="inlineStr">
        <is>
          <t>Healthcare Plan, Transportation, Canteen, Others</t>
        </is>
      </c>
      <c r="N6502" s="11">
        <f>HYPERLINK("https://www.vietnamworks.com/truong-nhom-ke-toan-2017398-jv","Xem chi tiết")</f>
        <v/>
      </c>
      <c r="O6502" s="10" t="n"/>
    </row>
    <row r="6503">
      <c r="B6503" s="7" t="n">
        <v>6501</v>
      </c>
      <c r="C6503" t="inlineStr">
        <is>
          <t>Kế Toán Thanh Toán</t>
        </is>
      </c>
      <c r="D6503" t="inlineStr">
        <is>
          <t>Công Ty Cổ Phần Quốc Tế Sơn Hà</t>
        </is>
      </c>
      <c r="E6503" t="inlineStr">
        <is>
          <t>8tr-10tr ₫/tháng</t>
        </is>
      </c>
      <c r="F6503" t="inlineStr">
        <is>
          <t>Nghệ An</t>
        </is>
      </c>
      <c r="G6503" t="inlineStr">
        <is>
          <t>Nhân viên</t>
        </is>
      </c>
      <c r="H6503" t="inlineStr">
        <is>
          <t>03/03/2026</t>
        </is>
      </c>
      <c r="I6503" t="inlineStr">
        <is>
          <t>02/04/2026</t>
        </is>
      </c>
      <c r="J6503" t="inlineStr">
        <is>
          <t>17/03/2026</t>
        </is>
      </c>
      <c r="K6503" t="inlineStr">
        <is>
          <t>N/A</t>
        </is>
      </c>
      <c r="L6503" t="inlineStr">
        <is>
          <t>Kế Toán, Kế Toán Kho, Kế Toán Xuất Nhập Kho, Quản Lý Công Nợ, Tính Giá Thành</t>
        </is>
      </c>
      <c r="M6503" t="inlineStr">
        <is>
          <t>Healthcare Plan, Transportation, Canteen, Others</t>
        </is>
      </c>
      <c r="N6503" s="8">
        <f>HYPERLINK("https://www.vietnamworks.com/ke-toan-thanh-toan-2017396-jv","Xem chi tiết")</f>
        <v/>
      </c>
    </row>
    <row r="6504">
      <c r="B6504" s="9" t="n">
        <v>6502</v>
      </c>
      <c r="C6504" s="10" t="inlineStr">
        <is>
          <t>Chuyên Viên Kiểm Soát Tuân Thủ &amp; Thanh Tra</t>
        </is>
      </c>
      <c r="D6504" s="10" t="inlineStr">
        <is>
          <t>Công Ty Cổ Phần Quốc Tế Sơn Hà</t>
        </is>
      </c>
      <c r="E6504" s="10" t="inlineStr">
        <is>
          <t>$$ 500-1,000 /tháng</t>
        </is>
      </c>
      <c r="F6504" s="10" t="inlineStr">
        <is>
          <t>Hà Nội</t>
        </is>
      </c>
      <c r="G6504" s="10" t="inlineStr">
        <is>
          <t>Nhân viên</t>
        </is>
      </c>
      <c r="H6504" s="10" t="inlineStr">
        <is>
          <t>03/03/2026</t>
        </is>
      </c>
      <c r="I6504" s="10" t="inlineStr">
        <is>
          <t>02/04/2026</t>
        </is>
      </c>
      <c r="J6504" s="10" t="inlineStr">
        <is>
          <t>17/03/2026</t>
        </is>
      </c>
      <c r="K6504" s="10" t="inlineStr">
        <is>
          <t>N/A</t>
        </is>
      </c>
      <c r="L6504" s="10" t="inlineStr">
        <is>
          <t>Giám Sát Tuân Thủ, Kiểm Soát Nội Bộ, Kiểm toán, Luật, Quản Trị Rủi Ro</t>
        </is>
      </c>
      <c r="M6504" s="10" t="inlineStr">
        <is>
          <t>Bonus</t>
        </is>
      </c>
      <c r="N6504" s="11">
        <f>HYPERLINK("https://www.vietnamworks.com/chuyen-vien-kiem-soat-tuan-thu-thanh-tra-2017406-jv","Xem chi tiết")</f>
        <v/>
      </c>
      <c r="O6504" s="10" t="n"/>
    </row>
    <row r="6505">
      <c r="B6505" s="7" t="n">
        <v>6503</v>
      </c>
      <c r="C6505" t="inlineStr">
        <is>
          <t>Nhân Viên Kế Toán (Ngành Xuất Nhập Khẩu)</t>
        </is>
      </c>
      <c r="D6505" t="inlineStr">
        <is>
          <t>CÔNG TY TNHH TIẾP VẬN THT</t>
        </is>
      </c>
      <c r="E6505" t="inlineStr">
        <is>
          <t>Thương lượng</t>
        </is>
      </c>
      <c r="F6505" t="inlineStr">
        <is>
          <t>Hà Nội</t>
        </is>
      </c>
      <c r="G6505" t="inlineStr">
        <is>
          <t>Nhân viên</t>
        </is>
      </c>
      <c r="H6505" t="inlineStr">
        <is>
          <t>03/03/2026</t>
        </is>
      </c>
      <c r="I6505" t="inlineStr">
        <is>
          <t>02/04/2026</t>
        </is>
      </c>
      <c r="J6505" t="inlineStr">
        <is>
          <t>17/03/2026</t>
        </is>
      </c>
      <c r="K6505" t="inlineStr">
        <is>
          <t>N/A</t>
        </is>
      </c>
      <c r="L6505" t="inlineStr">
        <is>
          <t>Xuất Nhập Khẩu, Kế Toán, Phần Mềm Kế Toán, Tài Chính, Đối Chiếu Chứng Từ</t>
        </is>
      </c>
      <c r="M6505" t="inlineStr">
        <is>
          <t>Bonus, Healthcare Plan, Others</t>
        </is>
      </c>
      <c r="N6505" s="8">
        <f>HYPERLINK("https://www.vietnamworks.com/nhan-vien-ke-toan-nganh-xuat-nhap-khau-2017403-jv","Xem chi tiết")</f>
        <v/>
      </c>
    </row>
    <row r="6506">
      <c r="B6506" s="9" t="n">
        <v>6504</v>
      </c>
      <c r="C6506" s="10" t="inlineStr">
        <is>
          <t>Genenral Accountant</t>
        </is>
      </c>
      <c r="D6506" s="10" t="inlineStr">
        <is>
          <t>Dentium Vietnam</t>
        </is>
      </c>
      <c r="E6506" s="10" t="inlineStr">
        <is>
          <t>Thương lượng</t>
        </is>
      </c>
      <c r="F6506" s="10" t="inlineStr">
        <is>
          <t>Hà Nội</t>
        </is>
      </c>
      <c r="G6506" s="10" t="inlineStr">
        <is>
          <t>Nhân viên</t>
        </is>
      </c>
      <c r="H6506" s="10" t="inlineStr">
        <is>
          <t>03/03/2026</t>
        </is>
      </c>
      <c r="I6506" s="10" t="inlineStr">
        <is>
          <t>02/04/2026</t>
        </is>
      </c>
      <c r="J6506" s="10" t="inlineStr">
        <is>
          <t>17/03/2026</t>
        </is>
      </c>
      <c r="K6506" s="10" t="inlineStr">
        <is>
          <t>N/A</t>
        </is>
      </c>
      <c r="L6506" s="10" t="inlineStr">
        <is>
          <t>Accounting Management, Contract Management, Financial Analysis, Tax Reporting, Team Management</t>
        </is>
      </c>
      <c r="M6506" s="10" t="inlineStr">
        <is>
          <t>Bonus</t>
        </is>
      </c>
      <c r="N6506" s="11">
        <f>HYPERLINK("https://www.vietnamworks.com/genenral-accountant-2017410-jv","Xem chi tiết")</f>
        <v/>
      </c>
      <c r="O6506" s="10" t="n"/>
    </row>
    <row r="6507">
      <c r="B6507" s="7" t="n">
        <v>6505</v>
      </c>
      <c r="C6507" t="inlineStr">
        <is>
          <t>Fertilizer Sales Executive</t>
        </is>
      </c>
      <c r="D6507" t="inlineStr">
        <is>
          <t>The Representative of Kolon GLOBAL Corp in HCMC</t>
        </is>
      </c>
      <c r="E6507" t="inlineStr">
        <is>
          <t>Thương lượng</t>
        </is>
      </c>
      <c r="F6507" t="inlineStr">
        <is>
          <t>Hồ Chí Minh</t>
        </is>
      </c>
      <c r="G6507" t="inlineStr">
        <is>
          <t>Nhân viên</t>
        </is>
      </c>
      <c r="H6507" t="inlineStr">
        <is>
          <t>03/03/2026</t>
        </is>
      </c>
      <c r="I6507" t="inlineStr">
        <is>
          <t>02/04/2026</t>
        </is>
      </c>
      <c r="J6507" t="inlineStr">
        <is>
          <t>17/03/2026</t>
        </is>
      </c>
      <c r="K6507" t="inlineStr">
        <is>
          <t>N/A</t>
        </is>
      </c>
      <c r="L6507" t="inlineStr">
        <is>
          <t>Bán Hàng, English, B2C Sales, Fertilizer, Marketing</t>
        </is>
      </c>
      <c r="M6507" t="inlineStr">
        <is>
          <t>Bonus, Healthcare Plan, Others</t>
        </is>
      </c>
      <c r="N6507" s="8">
        <f>HYPERLINK("https://www.vietnamworks.com/fertilizer-sales-executive-2017412-jv","Xem chi tiết")</f>
        <v/>
      </c>
    </row>
    <row r="6508">
      <c r="B6508" s="9" t="n">
        <v>6506</v>
      </c>
      <c r="C6508" s="10" t="inlineStr">
        <is>
          <t>Chuyên Viên Thu Mua</t>
        </is>
      </c>
      <c r="D6508" s="10" t="inlineStr">
        <is>
          <t>Hyperion</t>
        </is>
      </c>
      <c r="E6508" s="10" t="inlineStr">
        <is>
          <t>$$ 550-800 /tháng</t>
        </is>
      </c>
      <c r="F6508" s="10" t="inlineStr">
        <is>
          <t>Hồ Chí Minh</t>
        </is>
      </c>
      <c r="G6508" s="10" t="inlineStr">
        <is>
          <t>Nhân viên</t>
        </is>
      </c>
      <c r="H6508" s="10" t="inlineStr">
        <is>
          <t>03/03/2026</t>
        </is>
      </c>
      <c r="I6508" s="10" t="inlineStr">
        <is>
          <t>02/04/2026</t>
        </is>
      </c>
      <c r="J6508" s="10" t="inlineStr">
        <is>
          <t>17/03/2026</t>
        </is>
      </c>
      <c r="K6508" s="10" t="inlineStr">
        <is>
          <t>N/A</t>
        </is>
      </c>
      <c r="L6508" s="10" t="inlineStr">
        <is>
          <t>Import/Export Documentation, Mua Hàng, Thủ Tục Hải Quan</t>
        </is>
      </c>
      <c r="M6508" s="10" t="inlineStr">
        <is>
          <t>Healthcare Plan, Laptop, Travel Opportunities</t>
        </is>
      </c>
      <c r="N6508" s="11">
        <f>HYPERLINK("https://www.vietnamworks.com/chuyen-vien-thu-mua-2017363-jv","Xem chi tiết")</f>
        <v/>
      </c>
      <c r="O6508" s="10" t="n"/>
    </row>
    <row r="6509">
      <c r="B6509" s="7" t="n">
        <v>6507</v>
      </c>
      <c r="C6509" t="inlineStr">
        <is>
          <t>Quality Manager (Working in Ha Tinh Plant)</t>
        </is>
      </c>
      <c r="D6509" t="inlineStr">
        <is>
          <t>VINFAST TRADING AND PRODUCTION JSC</t>
        </is>
      </c>
      <c r="E6509" t="inlineStr">
        <is>
          <t>Thương lượng</t>
        </is>
      </c>
      <c r="F6509" t="inlineStr">
        <is>
          <t>Hà Tĩnh, Nghệ An</t>
        </is>
      </c>
      <c r="G6509" t="inlineStr">
        <is>
          <t>Trưởng phòng</t>
        </is>
      </c>
      <c r="H6509" t="inlineStr">
        <is>
          <t>03/03/2026</t>
        </is>
      </c>
      <c r="I6509" t="inlineStr">
        <is>
          <t>02/04/2026</t>
        </is>
      </c>
      <c r="J6509" t="inlineStr">
        <is>
          <t>17/03/2026</t>
        </is>
      </c>
      <c r="K6509" t="inlineStr">
        <is>
          <t>N/A</t>
        </is>
      </c>
      <c r="L6509" t="inlineStr">
        <is>
          <t>Quality Management, Quality Assurance, Quality Control, Quality System Management, Quality Assurance Automobile</t>
        </is>
      </c>
      <c r="M6509" t="inlineStr">
        <is>
          <t>Bonus, Healthcare Plan, Others</t>
        </is>
      </c>
      <c r="N6509" s="8">
        <f>HYPERLINK("https://www.vietnamworks.com/quality-manager-working-in-ha-tinh-plant-2017409-jv","Xem chi tiết")</f>
        <v/>
      </c>
    </row>
    <row r="6510">
      <c r="B6510" s="9" t="n">
        <v>6508</v>
      </c>
      <c r="C6510" s="10" t="inlineStr">
        <is>
          <t>Nhân Viên Marketing/ PS</t>
        </is>
      </c>
      <c r="D6510" s="10" t="inlineStr">
        <is>
          <t>Công Ty Cổ Phần Thiết Bị Xét Nghiệm Y Khoa PT (PT Lab)</t>
        </is>
      </c>
      <c r="E6510" s="10" t="inlineStr">
        <is>
          <t>Thương lượng</t>
        </is>
      </c>
      <c r="F6510" s="10" t="inlineStr">
        <is>
          <t>Hồ Chí Minh</t>
        </is>
      </c>
      <c r="G6510" s="10" t="inlineStr">
        <is>
          <t>Nhân viên</t>
        </is>
      </c>
      <c r="H6510" s="10" t="inlineStr">
        <is>
          <t>03/03/2026</t>
        </is>
      </c>
      <c r="I6510" s="10" t="inlineStr">
        <is>
          <t>02/04/2026</t>
        </is>
      </c>
      <c r="J6510" s="10" t="inlineStr">
        <is>
          <t>17/03/2026</t>
        </is>
      </c>
      <c r="K6510" s="10" t="inlineStr">
        <is>
          <t>N/A</t>
        </is>
      </c>
      <c r="L6510" s="10" t="inlineStr">
        <is>
          <t>English, Proposal Preparation, Y Khoa, Kinh Doanh Thiết Bị Y Tế, Thiết Bị Y Tế</t>
        </is>
      </c>
      <c r="M6510" s="10" t="inlineStr">
        <is>
          <t>Others</t>
        </is>
      </c>
      <c r="N6510" s="11">
        <f>HYPERLINK("https://www.vietnamworks.com/nhan-vien-marketing-ps-2017391-jv","Xem chi tiết")</f>
        <v/>
      </c>
      <c r="O6510" s="10" t="n"/>
    </row>
    <row r="6511">
      <c r="B6511" s="7" t="n">
        <v>6509</v>
      </c>
      <c r="C6511" t="inlineStr">
        <is>
          <t>Manufacturing Engineer (Production)</t>
        </is>
      </c>
      <c r="D6511" t="inlineStr">
        <is>
          <t>HONEYWELL (VIETNAM) COMPANY LIMITED</t>
        </is>
      </c>
      <c r="E6511" t="inlineStr">
        <is>
          <t>Thương lượng</t>
        </is>
      </c>
      <c r="F6511" t="inlineStr">
        <is>
          <t>Hải Phòng, Hà Nội</t>
        </is>
      </c>
      <c r="G6511" t="inlineStr">
        <is>
          <t>Nhân viên</t>
        </is>
      </c>
      <c r="H6511" t="inlineStr">
        <is>
          <t>03/03/2026</t>
        </is>
      </c>
      <c r="I6511" t="inlineStr">
        <is>
          <t>02/04/2026</t>
        </is>
      </c>
      <c r="J6511" t="inlineStr">
        <is>
          <t>17/03/2026</t>
        </is>
      </c>
      <c r="K6511" t="inlineStr">
        <is>
          <t>N/A</t>
        </is>
      </c>
      <c r="L6511" t="inlineStr">
        <is>
          <t>Lean Manufacturing, Manufacturing Engineering, Production Engineer, Six Sigma</t>
        </is>
      </c>
      <c r="M6511" t="inlineStr">
        <is>
          <t>Healthcare Plan, Laptop</t>
        </is>
      </c>
      <c r="N6511" s="8">
        <f>HYPERLINK("https://www.vietnamworks.com/manufacturing-engineer-production-2017405-jv","Xem chi tiết")</f>
        <v/>
      </c>
    </row>
    <row r="6512">
      <c r="B6512" s="9" t="n">
        <v>6510</v>
      </c>
      <c r="C6512" s="10" t="inlineStr">
        <is>
          <t>Back-end Developer</t>
        </is>
      </c>
      <c r="D6512" s="10" t="inlineStr">
        <is>
          <t>Sonat Game</t>
        </is>
      </c>
      <c r="E6512" s="10" t="inlineStr">
        <is>
          <t>$$ 500-1,000 /tháng</t>
        </is>
      </c>
      <c r="F6512" s="10" t="inlineStr">
        <is>
          <t>Hà Nội</t>
        </is>
      </c>
      <c r="G6512" s="10" t="inlineStr">
        <is>
          <t>Nhân viên</t>
        </is>
      </c>
      <c r="H6512" s="10" t="inlineStr">
        <is>
          <t>03/03/2026</t>
        </is>
      </c>
      <c r="I6512" s="10" t="inlineStr">
        <is>
          <t>02/04/2026</t>
        </is>
      </c>
      <c r="J6512" s="10" t="inlineStr">
        <is>
          <t>17/03/2026</t>
        </is>
      </c>
      <c r="K6512" s="10" t="inlineStr">
        <is>
          <t>N/A</t>
        </is>
      </c>
      <c r="L6512" s="10" t="inlineStr">
        <is>
          <t>Database Development, Database Software, Golang, Linux, Teamwork</t>
        </is>
      </c>
      <c r="M6512" s="10" t="inlineStr">
        <is>
          <t>Bonus, Healthcare Plan, Others</t>
        </is>
      </c>
      <c r="N6512" s="11">
        <f>HYPERLINK("https://www.vietnamworks.com/back-end-developer-2017400-jv","Xem chi tiết")</f>
        <v/>
      </c>
      <c r="O6512" s="10" t="n"/>
    </row>
    <row r="6513">
      <c r="B6513" s="7" t="n">
        <v>6511</v>
      </c>
      <c r="C6513" t="inlineStr">
        <is>
          <t>Finance Planning &amp; Analysis Manager (BU SEA)</t>
        </is>
      </c>
      <c r="D6513" t="inlineStr">
        <is>
          <t>Anheuser- Busch Inbev (AB Inbev)</t>
        </is>
      </c>
      <c r="E6513" t="inlineStr">
        <is>
          <t>Thương lượng</t>
        </is>
      </c>
      <c r="F6513" t="inlineStr">
        <is>
          <t>Hồ Chí Minh</t>
        </is>
      </c>
      <c r="G6513" t="inlineStr">
        <is>
          <t>Trưởng phòng</t>
        </is>
      </c>
      <c r="H6513" t="inlineStr">
        <is>
          <t>03/03/2026</t>
        </is>
      </c>
      <c r="I6513" t="inlineStr">
        <is>
          <t>02/04/2026</t>
        </is>
      </c>
      <c r="J6513" t="inlineStr">
        <is>
          <t>17/03/2026</t>
        </is>
      </c>
      <c r="K6513" t="inlineStr">
        <is>
          <t>N/A</t>
        </is>
      </c>
      <c r="L6513" t="inlineStr">
        <is>
          <t>Budgeting, Data Analysis, Financial Planning, Performance Management, Strategic Thinking</t>
        </is>
      </c>
      <c r="M6513" t="inlineStr">
        <is>
          <t>Bonus, Healthcare Plan, Paid Leave, Training, Vouchers</t>
        </is>
      </c>
      <c r="N6513" s="8">
        <f>HYPERLINK("https://www.vietnamworks.com/finance-planning-and-analysis-manager-bu-sea-2017397-jv","Xem chi tiết")</f>
        <v/>
      </c>
    </row>
    <row r="6514">
      <c r="B6514" s="9" t="n">
        <v>6512</v>
      </c>
      <c r="C6514" s="10" t="inlineStr">
        <is>
          <t>Kế Toán Tổng Hợp - Lương Cao - Nhận Việc Ngay</t>
        </is>
      </c>
      <c r="D6514" s="10" t="inlineStr">
        <is>
          <t>KIMM GROUP</t>
        </is>
      </c>
      <c r="E6514" s="10" t="inlineStr">
        <is>
          <t>14tr-20tr ₫/tháng</t>
        </is>
      </c>
      <c r="F6514" s="10" t="inlineStr">
        <is>
          <t>Hồ Chí Minh</t>
        </is>
      </c>
      <c r="G6514" s="10" t="inlineStr">
        <is>
          <t>Nhân viên</t>
        </is>
      </c>
      <c r="H6514" s="10" t="inlineStr">
        <is>
          <t>03/03/2026</t>
        </is>
      </c>
      <c r="I6514" s="10" t="inlineStr">
        <is>
          <t>02/04/2026</t>
        </is>
      </c>
      <c r="J6514" s="10" t="inlineStr">
        <is>
          <t>17/03/2026</t>
        </is>
      </c>
      <c r="K6514" s="10" t="inlineStr">
        <is>
          <t>N/A</t>
        </is>
      </c>
      <c r="L6514" s="10" t="inlineStr">
        <is>
          <t>Kê Khai Thuế, Lập Báo Cáo Tài Chính, Lưu Trữ Chứng Từ, Quyết Toán Thuế, Tư Vấn Tài Chính</t>
        </is>
      </c>
      <c r="M6514" s="10" t="inlineStr">
        <is>
          <t>Bonus, Healthcare Plan, Paid Leave, Others</t>
        </is>
      </c>
      <c r="N6514" s="11">
        <f>HYPERLINK("https://www.vietnamworks.com/ke-toan-tong-hop-luong-cao-nhan-viec-ngay-2017357-jv","Xem chi tiết")</f>
        <v/>
      </c>
      <c r="O6514" s="10" t="n"/>
    </row>
    <row r="6515">
      <c r="B6515" s="7" t="n">
        <v>6513</v>
      </c>
      <c r="C6515" t="inlineStr">
        <is>
          <t>Finance &amp; Accounting Manager</t>
        </is>
      </c>
      <c r="D6515" t="inlineStr">
        <is>
          <t>Watsons (Viet Nam) Limited</t>
        </is>
      </c>
      <c r="E6515" t="inlineStr">
        <is>
          <t>Thương lượng</t>
        </is>
      </c>
      <c r="F6515" t="inlineStr">
        <is>
          <t>Hồ Chí Minh</t>
        </is>
      </c>
      <c r="G6515" t="inlineStr">
        <is>
          <t>Trưởng phòng</t>
        </is>
      </c>
      <c r="H6515" t="inlineStr">
        <is>
          <t>03/03/2026</t>
        </is>
      </c>
      <c r="I6515" t="inlineStr">
        <is>
          <t>02/04/2026</t>
        </is>
      </c>
      <c r="J6515" t="inlineStr">
        <is>
          <t>17/03/2026</t>
        </is>
      </c>
      <c r="K6515" t="inlineStr">
        <is>
          <t>N/A</t>
        </is>
      </c>
      <c r="L6515" t="inlineStr">
        <is>
          <t>Accounting, Cash Management, Communication, Finance, Financial Analysis</t>
        </is>
      </c>
      <c r="M6515" t="inlineStr">
        <is>
          <t>Bonus</t>
        </is>
      </c>
      <c r="N6515" s="8">
        <f>HYPERLINK("https://www.vietnamworks.com/finance-and-accounting-manager-2017411-jv","Xem chi tiết")</f>
        <v/>
      </c>
    </row>
    <row r="6516">
      <c r="B6516" s="9" t="n">
        <v>6514</v>
      </c>
      <c r="C6516" s="10" t="inlineStr">
        <is>
          <t>Phó Phòng Digital Marketing</t>
        </is>
      </c>
      <c r="D6516" s="10" t="inlineStr">
        <is>
          <t>RT Holdings</t>
        </is>
      </c>
      <c r="E6516" s="10" t="inlineStr">
        <is>
          <t>Thương lượng</t>
        </is>
      </c>
      <c r="F6516" s="10" t="inlineStr">
        <is>
          <t>Hồ Chí Minh</t>
        </is>
      </c>
      <c r="G6516" s="10" t="inlineStr">
        <is>
          <t>Nhân viên</t>
        </is>
      </c>
      <c r="H6516" s="10" t="inlineStr">
        <is>
          <t>03/03/2026</t>
        </is>
      </c>
      <c r="I6516" s="10" t="inlineStr">
        <is>
          <t>02/04/2026</t>
        </is>
      </c>
      <c r="J6516" s="10" t="inlineStr">
        <is>
          <t>17/03/2026</t>
        </is>
      </c>
      <c r="K6516" s="10" t="inlineStr">
        <is>
          <t>N/A</t>
        </is>
      </c>
      <c r="L6516" s="10" t="inlineStr">
        <is>
          <t>Digital, Digital Strategy, Digital Marketing, Giáo Dục Đào Tạo, Strategic Marketing Management</t>
        </is>
      </c>
      <c r="M6516" s="10" t="inlineStr">
        <is>
          <t>Bonus, Travel Opportunities, Canteen</t>
        </is>
      </c>
      <c r="N6516" s="11">
        <f>HYPERLINK("https://www.vietnamworks.com/pho-phong-digital-marketing--2017389-jv","Xem chi tiết")</f>
        <v/>
      </c>
      <c r="O6516" s="10" t="n"/>
    </row>
    <row r="6517">
      <c r="B6517" s="7" t="n">
        <v>6515</v>
      </c>
      <c r="C6517" t="inlineStr">
        <is>
          <t>Technical Manager (Working in Ha Tinh)</t>
        </is>
      </c>
      <c r="D6517" t="inlineStr">
        <is>
          <t>VINFAST TRADING AND PRODUCTION JSC</t>
        </is>
      </c>
      <c r="E6517" t="inlineStr">
        <is>
          <t>Thương lượng</t>
        </is>
      </c>
      <c r="F6517" t="inlineStr">
        <is>
          <t>Hà Tĩnh, Nghệ An</t>
        </is>
      </c>
      <c r="G6517" t="inlineStr">
        <is>
          <t>Trưởng phòng</t>
        </is>
      </c>
      <c r="H6517" t="inlineStr">
        <is>
          <t>03/03/2026</t>
        </is>
      </c>
      <c r="I6517" t="inlineStr">
        <is>
          <t>02/04/2026</t>
        </is>
      </c>
      <c r="J6517" t="inlineStr">
        <is>
          <t>17/03/2026</t>
        </is>
      </c>
      <c r="K6517" t="inlineStr">
        <is>
          <t>N/A</t>
        </is>
      </c>
      <c r="L6517" t="inlineStr">
        <is>
          <t>Welding Engineering, Welding Technology, Welding Procedure Qualification, Engineering, Automotive Part</t>
        </is>
      </c>
      <c r="M6517" t="inlineStr">
        <is>
          <t>Bonus, Healthcare Plan, Others</t>
        </is>
      </c>
      <c r="N6517" s="8">
        <f>HYPERLINK("https://www.vietnamworks.com/technical-manager-working-in-ha-tinh-2017414-jv","Xem chi tiết")</f>
        <v/>
      </c>
    </row>
    <row r="6518">
      <c r="B6518" s="9" t="n">
        <v>6516</v>
      </c>
      <c r="C6518" s="10" t="inlineStr">
        <is>
          <t>Chief Accountant</t>
        </is>
      </c>
      <c r="D6518" s="10" t="inlineStr">
        <is>
          <t>Doyoe Ambition Trading Co.,Ltd</t>
        </is>
      </c>
      <c r="E6518" s="10" t="inlineStr">
        <is>
          <t>25tr-35tr ₫/tháng</t>
        </is>
      </c>
      <c r="F6518" s="10" t="inlineStr">
        <is>
          <t>Hồ Chí Minh</t>
        </is>
      </c>
      <c r="G6518" s="10" t="inlineStr">
        <is>
          <t>Nhân viên</t>
        </is>
      </c>
      <c r="H6518" s="10" t="inlineStr">
        <is>
          <t>03/03/2026</t>
        </is>
      </c>
      <c r="I6518" s="10" t="inlineStr">
        <is>
          <t>02/04/2026</t>
        </is>
      </c>
      <c r="J6518" s="10" t="inlineStr">
        <is>
          <t>17/03/2026</t>
        </is>
      </c>
      <c r="K6518" s="10" t="inlineStr">
        <is>
          <t>N/A</t>
        </is>
      </c>
      <c r="L6518" s="10" t="inlineStr">
        <is>
          <t>Báo Cáo Tài Chính, Kiểm Soát Nội Bộ, Lập Kế Hoạch Tài Chính, Quyết Toán Thuế, Tax Optimization</t>
        </is>
      </c>
      <c r="M6518" s="10" t="inlineStr">
        <is>
          <t>Bonus, Team Activities, Others</t>
        </is>
      </c>
      <c r="N6518" s="11">
        <f>HYPERLINK("https://www.vietnamworks.com/chief-accountant-2017413-jv","Xem chi tiết")</f>
        <v/>
      </c>
      <c r="O6518" s="10" t="n"/>
    </row>
    <row r="6519">
      <c r="B6519" s="7" t="n">
        <v>6517</v>
      </c>
      <c r="C6519" t="inlineStr">
        <is>
          <t>Graphic Designer - Motion Team (Full-Time)</t>
        </is>
      </c>
      <c r="D6519" t="inlineStr">
        <is>
          <t>SNOW VIỆT NAM</t>
        </is>
      </c>
      <c r="E6519" t="inlineStr">
        <is>
          <t>Thương lượng</t>
        </is>
      </c>
      <c r="F6519" t="inlineStr">
        <is>
          <t>Hồ Chí Minh</t>
        </is>
      </c>
      <c r="G6519" t="inlineStr">
        <is>
          <t>Nhân viên</t>
        </is>
      </c>
      <c r="H6519" t="inlineStr">
        <is>
          <t>03/03/2026</t>
        </is>
      </c>
      <c r="I6519" t="inlineStr">
        <is>
          <t>02/04/2026</t>
        </is>
      </c>
      <c r="J6519" t="inlineStr">
        <is>
          <t>17/03/2026</t>
        </is>
      </c>
      <c r="K6519" t="inlineStr">
        <is>
          <t>N/A</t>
        </is>
      </c>
      <c r="L6519" t="inlineStr">
        <is>
          <t>Adobe Photoshop, Adobe Illustrator, Graphic Design, ESS Tools, Thiết Kế Đồ Họa</t>
        </is>
      </c>
      <c r="M6519" t="inlineStr">
        <is>
          <t>Bonus, Healthcare Plan, Paid Leave, Training, Others</t>
        </is>
      </c>
      <c r="N6519" s="8">
        <f>HYPERLINK("https://www.vietnamworks.com/graphic-designer-motion-team-full-time-2017416-jv","Xem chi tiết")</f>
        <v/>
      </c>
    </row>
    <row r="6520">
      <c r="B6520" s="9" t="n">
        <v>6518</v>
      </c>
      <c r="C6520" s="10" t="inlineStr">
        <is>
          <t>Legal Executive/Manager</t>
        </is>
      </c>
      <c r="D6520" s="10" t="inlineStr">
        <is>
          <t>CÔNG TY TNHH MIGAO AGRI-NUTRITION TECHNOLOGY(VIỆT NAM)</t>
        </is>
      </c>
      <c r="E6520" s="10" t="inlineStr">
        <is>
          <t>Thương lượng</t>
        </is>
      </c>
      <c r="F6520" s="10" t="inlineStr">
        <is>
          <t>Hồ Chí Minh</t>
        </is>
      </c>
      <c r="G6520" s="10" t="inlineStr">
        <is>
          <t>Nhân viên</t>
        </is>
      </c>
      <c r="H6520" s="10" t="inlineStr">
        <is>
          <t>03/03/2026</t>
        </is>
      </c>
      <c r="I6520" s="10" t="inlineStr">
        <is>
          <t>02/04/2026</t>
        </is>
      </c>
      <c r="J6520" s="10" t="inlineStr">
        <is>
          <t>17/03/2026</t>
        </is>
      </c>
      <c r="K6520" s="10" t="inlineStr">
        <is>
          <t>N/A</t>
        </is>
      </c>
      <c r="L6520" s="10" t="inlineStr">
        <is>
          <t>Communication Skills, Compliance, Construction Document Review, Contract Negotiation, Legal Research</t>
        </is>
      </c>
      <c r="M6520" s="10" t="inlineStr">
        <is>
          <t>Healthcare Plan, Others</t>
        </is>
      </c>
      <c r="N6520" s="11">
        <f>HYPERLINK("https://www.vietnamworks.com/legal-executivemanager-2017417-jv","Xem chi tiết")</f>
        <v/>
      </c>
      <c r="O6520" s="10" t="n"/>
    </row>
    <row r="6521">
      <c r="B6521" s="7" t="n">
        <v>6519</v>
      </c>
      <c r="C6521" t="inlineStr">
        <is>
          <t>Chuyên Viên Lao Động Tiền Lương (HSK 4, Lương Lên Tới 25 Triệu/ Tháng)</t>
        </is>
      </c>
      <c r="D6521" t="inlineStr">
        <is>
          <t>CÔNG TY TNHH CREDIBLE VIỆT NAM</t>
        </is>
      </c>
      <c r="E6521" t="inlineStr">
        <is>
          <t>18tr-25tr ₫/tháng</t>
        </is>
      </c>
      <c r="F6521" t="inlineStr">
        <is>
          <t>Hải Dương, Hải Phòng</t>
        </is>
      </c>
      <c r="G6521" t="inlineStr">
        <is>
          <t>Nhân viên</t>
        </is>
      </c>
      <c r="H6521" t="inlineStr">
        <is>
          <t>03/03/2026</t>
        </is>
      </c>
      <c r="I6521" t="inlineStr">
        <is>
          <t>02/04/2026</t>
        </is>
      </c>
      <c r="J6521" t="inlineStr">
        <is>
          <t>17/03/2026</t>
        </is>
      </c>
      <c r="K6521" t="inlineStr">
        <is>
          <t>N/A</t>
        </is>
      </c>
      <c r="L6521" t="inlineStr">
        <is>
          <t>C&amp;B, Chấm Công, Hệ Thống Tiền Lương, HSK 4, Quản Lý Tiền Lương</t>
        </is>
      </c>
      <c r="M6521" t="inlineStr">
        <is>
          <t>Bonus, Others</t>
        </is>
      </c>
      <c r="N6521" s="8">
        <f>HYPERLINK("https://www.vietnamworks.com/chuyen-vien-lao-djong-tien-luong-hsk-4-luong-len-toi-25-trieu-thang-2017423-jv","Xem chi tiết")</f>
        <v/>
      </c>
    </row>
    <row r="6522">
      <c r="B6522" s="9" t="n">
        <v>6520</v>
      </c>
      <c r="C6522" s="10" t="inlineStr">
        <is>
          <t>Nhân Viên Kỹ Thuật (Lương Lên Tới 25 Triệu/ Tháng)</t>
        </is>
      </c>
      <c r="D6522" s="10" t="inlineStr">
        <is>
          <t>CÔNG TY TNHH CREDIBLE VIỆT NAM</t>
        </is>
      </c>
      <c r="E6522" s="10" t="inlineStr">
        <is>
          <t>20tr-25tr ₫/tháng</t>
        </is>
      </c>
      <c r="F6522" s="10" t="inlineStr">
        <is>
          <t>Hải Dương, Hải Phòng</t>
        </is>
      </c>
      <c r="G6522" s="10" t="inlineStr">
        <is>
          <t>Nhân viên</t>
        </is>
      </c>
      <c r="H6522" s="10" t="inlineStr">
        <is>
          <t>03/03/2026</t>
        </is>
      </c>
      <c r="I6522" s="10" t="inlineStr">
        <is>
          <t>02/04/2026</t>
        </is>
      </c>
      <c r="J6522" s="10" t="inlineStr">
        <is>
          <t>17/03/2026</t>
        </is>
      </c>
      <c r="K6522" s="10" t="inlineStr">
        <is>
          <t>N/A</t>
        </is>
      </c>
      <c r="L6522" s="10" t="inlineStr">
        <is>
          <t>Bảo Dưỡng, Bảo Trì, HSK 4, Tự Động Hóa, Tự Động Hóa Công Nghiệp</t>
        </is>
      </c>
      <c r="M6522" s="10" t="inlineStr">
        <is>
          <t>Bonus, Others</t>
        </is>
      </c>
      <c r="N6522" s="11">
        <f>HYPERLINK("https://www.vietnamworks.com/nhan-vien-ky-thuat-luong-len-toi-25-trieu-thang-2017425-jv","Xem chi tiết")</f>
        <v/>
      </c>
      <c r="O6522" s="10" t="n"/>
    </row>
    <row r="6523">
      <c r="B6523" s="7" t="n">
        <v>6521</v>
      </c>
      <c r="C6523" t="inlineStr">
        <is>
          <t>Head of Escooter Technical Department (Working in Ha Tinh)</t>
        </is>
      </c>
      <c r="D6523" t="inlineStr">
        <is>
          <t>VINFAST TRADING AND PRODUCTION JSC</t>
        </is>
      </c>
      <c r="E6523" t="inlineStr">
        <is>
          <t>Thương lượng</t>
        </is>
      </c>
      <c r="F6523" t="inlineStr">
        <is>
          <t>Nghệ An, Hà Tĩnh</t>
        </is>
      </c>
      <c r="G6523" t="inlineStr">
        <is>
          <t>Trưởng phòng</t>
        </is>
      </c>
      <c r="H6523" t="inlineStr">
        <is>
          <t>03/03/2026</t>
        </is>
      </c>
      <c r="I6523" t="inlineStr">
        <is>
          <t>02/04/2026</t>
        </is>
      </c>
      <c r="J6523" t="inlineStr">
        <is>
          <t>17/03/2026</t>
        </is>
      </c>
      <c r="K6523" t="inlineStr">
        <is>
          <t>N/A</t>
        </is>
      </c>
      <c r="L6523" t="inlineStr">
        <is>
          <t>Engineering tools knowledge, Technical, Manufacturing Engineering, Manufacturing Technology, Engineering Product</t>
        </is>
      </c>
      <c r="M6523" t="inlineStr">
        <is>
          <t>Bonus, Healthcare Plan, Others</t>
        </is>
      </c>
      <c r="N6523" s="8">
        <f>HYPERLINK("https://www.vietnamworks.com/head-of-escooter-technical-department-working-in-ha-tinh-2017419-jv","Xem chi tiết")</f>
        <v/>
      </c>
    </row>
    <row r="6524">
      <c r="B6524" s="9" t="n">
        <v>6522</v>
      </c>
      <c r="C6524" s="10" t="inlineStr">
        <is>
          <t>MFG Japanese Interpreter (Phiên Dịch Tiếng Nhật Khối Nhà Máy)</t>
        </is>
      </c>
      <c r="D6524" s="10" t="inlineStr">
        <is>
          <t>Ascenx Technologies (Vietnam)</t>
        </is>
      </c>
      <c r="E6524" s="10" t="inlineStr">
        <is>
          <t>Thương lượng</t>
        </is>
      </c>
      <c r="F6524" s="10" t="inlineStr">
        <is>
          <t>Hồ Chí Minh</t>
        </is>
      </c>
      <c r="G6524" s="10" t="inlineStr">
        <is>
          <t>Nhân viên</t>
        </is>
      </c>
      <c r="H6524" s="10" t="inlineStr">
        <is>
          <t>03/03/2026</t>
        </is>
      </c>
      <c r="I6524" s="10" t="inlineStr">
        <is>
          <t>02/04/2026</t>
        </is>
      </c>
      <c r="J6524" s="10" t="inlineStr">
        <is>
          <t>17/03/2026</t>
        </is>
      </c>
      <c r="K6524" s="10" t="inlineStr">
        <is>
          <t>N/A</t>
        </is>
      </c>
      <c r="L6524" s="10" t="inlineStr">
        <is>
          <t>Communication Skills, Japanese Reading, Manage ERP Software, Technical Document Translation</t>
        </is>
      </c>
      <c r="M6524" s="10" t="inlineStr">
        <is>
          <t>Bonus, Healthcare Plan, Paid Leave, Training, Travel Opportunities</t>
        </is>
      </c>
      <c r="N6524" s="11">
        <f>HYPERLINK("https://www.vietnamworks.com/mfg-japanese-interpreter-phien-dich-tieng-nhat-khoi-nha-may-2017427-jv","Xem chi tiết")</f>
        <v/>
      </c>
      <c r="O6524" s="10" t="n"/>
    </row>
    <row r="6525">
      <c r="B6525" s="7" t="n">
        <v>6523</v>
      </c>
      <c r="C6525" t="inlineStr">
        <is>
          <t>Associate - Software QA Analyst</t>
        </is>
      </c>
      <c r="D6525" t="inlineStr">
        <is>
          <t>PwC (Vietnam) Ltd.</t>
        </is>
      </c>
      <c r="E6525" t="inlineStr">
        <is>
          <t>Thương lượng</t>
        </is>
      </c>
      <c r="F6525" t="inlineStr">
        <is>
          <t>Hồ Chí Minh</t>
        </is>
      </c>
      <c r="G6525" t="inlineStr">
        <is>
          <t>Nhân viên</t>
        </is>
      </c>
      <c r="H6525" t="inlineStr">
        <is>
          <t>03/03/2026</t>
        </is>
      </c>
      <c r="I6525" t="inlineStr">
        <is>
          <t>02/04/2026</t>
        </is>
      </c>
      <c r="J6525" t="inlineStr">
        <is>
          <t>17/03/2026</t>
        </is>
      </c>
      <c r="K6525" t="inlineStr">
        <is>
          <t>N/A</t>
        </is>
      </c>
      <c r="L6525" t="inlineStr">
        <is>
          <t>Software Quality Assurance</t>
        </is>
      </c>
      <c r="M6525" t="inlineStr">
        <is>
          <t>Bonus, Training</t>
        </is>
      </c>
      <c r="N6525" s="8">
        <f>HYPERLINK("https://www.vietnamworks.com/associate-software-qa-analyst-2017421-jv","Xem chi tiết")</f>
        <v/>
      </c>
    </row>
    <row r="6526">
      <c r="B6526" s="9" t="n">
        <v>6524</v>
      </c>
      <c r="C6526" s="10" t="inlineStr">
        <is>
          <t>Chuyên Viên Kế Toán</t>
        </is>
      </c>
      <c r="D6526" s="10" t="inlineStr">
        <is>
          <t>Công Ty TNHH Thương Mại Và Vận Tải Thái Tân</t>
        </is>
      </c>
      <c r="E6526" s="10" t="inlineStr">
        <is>
          <t>14tr-17tr ₫/tháng</t>
        </is>
      </c>
      <c r="F6526" s="10" t="inlineStr">
        <is>
          <t>Hà Nội</t>
        </is>
      </c>
      <c r="G6526" s="10" t="inlineStr">
        <is>
          <t>Nhân viên</t>
        </is>
      </c>
      <c r="H6526" s="10" t="inlineStr">
        <is>
          <t>03/03/2026</t>
        </is>
      </c>
      <c r="I6526" s="10" t="inlineStr">
        <is>
          <t>02/04/2026</t>
        </is>
      </c>
      <c r="J6526" s="10" t="inlineStr">
        <is>
          <t>17/03/2026</t>
        </is>
      </c>
      <c r="K6526" s="10" t="inlineStr">
        <is>
          <t>N/A</t>
        </is>
      </c>
      <c r="L6526" s="10" t="inlineStr">
        <is>
          <t>ERP, Kế Toán Công Nợ, Kế Toán Kho, Kế Toán Tổng Hợp, Phần Mềm Kế Toán</t>
        </is>
      </c>
      <c r="M6526" s="10" t="inlineStr">
        <is>
          <t>Bonus</t>
        </is>
      </c>
      <c r="N6526" s="11">
        <f>HYPERLINK("https://www.vietnamworks.com/chuyen-vien-ke-toan-2017415-jv","Xem chi tiết")</f>
        <v/>
      </c>
      <c r="O6526" s="10" t="n"/>
    </row>
    <row r="6527">
      <c r="B6527" s="7" t="n">
        <v>6525</v>
      </c>
      <c r="C6527" t="inlineStr">
        <is>
          <t>Nhân Viên Marketing (Yêu Cầu Tiếng Hàn)</t>
        </is>
      </c>
      <c r="D6527" t="inlineStr">
        <is>
          <t>DENTIUM VIỆT NAM - Chi nhánh Công Ty TNHH BMS VINA tại Hồ Chí Minh</t>
        </is>
      </c>
      <c r="E6527" t="inlineStr">
        <is>
          <t>Thương lượng</t>
        </is>
      </c>
      <c r="F6527" t="inlineStr">
        <is>
          <t>Hồ Chí Minh</t>
        </is>
      </c>
      <c r="G6527" t="inlineStr">
        <is>
          <t>Mới Tốt Nghiệp</t>
        </is>
      </c>
      <c r="H6527" t="inlineStr">
        <is>
          <t>03/03/2026</t>
        </is>
      </c>
      <c r="I6527" t="inlineStr">
        <is>
          <t>02/04/2026</t>
        </is>
      </c>
      <c r="J6527" t="inlineStr">
        <is>
          <t>17/03/2026</t>
        </is>
      </c>
      <c r="K6527" t="inlineStr">
        <is>
          <t>N/A</t>
        </is>
      </c>
      <c r="L6527" t="inlineStr">
        <is>
          <t>Event Marketing, Marketing Planning, Tổ Chức Sự Kiện, Topik 4, Truyền Thông</t>
        </is>
      </c>
      <c r="M6527" t="inlineStr">
        <is>
          <t>Bonus, Others</t>
        </is>
      </c>
      <c r="N6527" s="8">
        <f>HYPERLINK("https://www.vietnamworks.com/nhan-vien-marketing-yeu-cau-tieng-han-2017437-jv","Xem chi tiết")</f>
        <v/>
      </c>
    </row>
    <row r="6528">
      <c r="B6528" s="9" t="n">
        <v>6526</v>
      </c>
      <c r="C6528" s="10" t="inlineStr">
        <is>
          <t>[Seojin Vina] - Nhân Viên R&amp;D</t>
        </is>
      </c>
      <c r="D6528" s="10" t="inlineStr">
        <is>
          <t>Công ty TNHH Seojin Auto</t>
        </is>
      </c>
      <c r="E6528" s="10" t="inlineStr">
        <is>
          <t>10tr-20tr ₫/tháng</t>
        </is>
      </c>
      <c r="F6528" s="10" t="inlineStr">
        <is>
          <t>Bắc Ninh, Hà Nội</t>
        </is>
      </c>
      <c r="G6528" s="10" t="inlineStr">
        <is>
          <t>Nhân viên</t>
        </is>
      </c>
      <c r="H6528" s="10" t="inlineStr">
        <is>
          <t>03/03/2026</t>
        </is>
      </c>
      <c r="I6528" s="10" t="inlineStr">
        <is>
          <t>02/04/2026</t>
        </is>
      </c>
      <c r="J6528" s="10" t="inlineStr">
        <is>
          <t>17/03/2026</t>
        </is>
      </c>
      <c r="K6528" s="10" t="inlineStr">
        <is>
          <t>N/A</t>
        </is>
      </c>
      <c r="L6528" s="10" t="inlineStr">
        <is>
          <t>Thiết Kế 2D, 3D, Cơ Khí, Đọc Hiểu Bản Vẽ</t>
        </is>
      </c>
      <c r="M6528" s="10" t="inlineStr">
        <is>
          <t>Bonus, Transportation, Canteen</t>
        </is>
      </c>
      <c r="N6528" s="11">
        <f>HYPERLINK("https://www.vietnamworks.com/seojin-vina-nhan-vien-randd-2017424-jv","Xem chi tiết")</f>
        <v/>
      </c>
      <c r="O6528" s="10" t="n"/>
    </row>
    <row r="6529">
      <c r="B6529" s="7" t="n">
        <v>6527</v>
      </c>
      <c r="C6529" t="inlineStr">
        <is>
          <t>Kỹ Sư Xây Dựng / Shop-Drawing Engineer (Specialize in Rebar &amp; Steel) - Không Yêu Cầu Kinh Nghiệm</t>
        </is>
      </c>
      <c r="D6529" t="inlineStr">
        <is>
          <t>Công Ty TNHH CARAZ VINA</t>
        </is>
      </c>
      <c r="E6529" t="inlineStr">
        <is>
          <t>Thương lượng</t>
        </is>
      </c>
      <c r="F6529" t="inlineStr">
        <is>
          <t>Hồ Chí Minh</t>
        </is>
      </c>
      <c r="G6529" t="inlineStr">
        <is>
          <t>Nhân viên</t>
        </is>
      </c>
      <c r="H6529" t="inlineStr">
        <is>
          <t>03/03/2026</t>
        </is>
      </c>
      <c r="I6529" t="inlineStr">
        <is>
          <t>02/04/2026</t>
        </is>
      </c>
      <c r="J6529" t="inlineStr">
        <is>
          <t>17/03/2026</t>
        </is>
      </c>
      <c r="K6529" t="inlineStr">
        <is>
          <t>N/A</t>
        </is>
      </c>
      <c r="L6529" t="inlineStr">
        <is>
          <t>Shop Drawing, Tekla Structures, Xây Dựng, Auto CAD, Triển Khai Bản Vẽ</t>
        </is>
      </c>
      <c r="M6529" t="inlineStr">
        <is>
          <t>Bonus, Healthcare Plan, Paid Leave, Travel Opportunities, Transportation, Vouchers, Others</t>
        </is>
      </c>
      <c r="N6529" s="8">
        <f>HYPERLINK("https://www.vietnamworks.com/ky-su-xay-dung-shop-drawing-engineer-specialize-in-rebar-and-steel-khong-yeu-cau-kinh-nghiem-2017426-jv","Xem chi tiết")</f>
        <v/>
      </c>
    </row>
    <row r="6530">
      <c r="B6530" s="9" t="n">
        <v>6528</v>
      </c>
      <c r="C6530" s="10" t="inlineStr">
        <is>
          <t>IT Executive</t>
        </is>
      </c>
      <c r="D6530" s="10" t="inlineStr">
        <is>
          <t>Logisteed Vietnam Co., Ltd.</t>
        </is>
      </c>
      <c r="E6530" s="10" t="inlineStr">
        <is>
          <t>Thương lượng</t>
        </is>
      </c>
      <c r="F6530" s="10" t="inlineStr">
        <is>
          <t>Hồ Chí Minh</t>
        </is>
      </c>
      <c r="G6530" s="10" t="inlineStr">
        <is>
          <t>Nhân viên</t>
        </is>
      </c>
      <c r="H6530" s="10" t="inlineStr">
        <is>
          <t>03/03/2026</t>
        </is>
      </c>
      <c r="I6530" s="10" t="inlineStr">
        <is>
          <t>02/04/2026</t>
        </is>
      </c>
      <c r="J6530" s="10" t="inlineStr">
        <is>
          <t>17/03/2026</t>
        </is>
      </c>
      <c r="K6530" s="10" t="inlineStr">
        <is>
          <t>N/A</t>
        </is>
      </c>
      <c r="L6530" s="10" t="inlineStr">
        <is>
          <t>Technical Support, Network Management, Budget Management, Asset Management</t>
        </is>
      </c>
      <c r="M6530" s="10" t="inlineStr">
        <is>
          <t>Bonus, Healthcare Plan, Paid Leave</t>
        </is>
      </c>
      <c r="N6530" s="11">
        <f>HYPERLINK("https://www.vietnamworks.com/it-executive-2017432-jv","Xem chi tiết")</f>
        <v/>
      </c>
      <c r="O6530" s="10" t="n"/>
    </row>
    <row r="6531">
      <c r="B6531" s="7" t="n">
        <v>6529</v>
      </c>
      <c r="C6531" t="inlineStr">
        <is>
          <t>Strategic Marketing Manager</t>
        </is>
      </c>
      <c r="D6531" t="inlineStr">
        <is>
          <t>CÔNG TY CỔ PHẦN OPEN HEALTHCARE VIỆT NAM</t>
        </is>
      </c>
      <c r="E6531" t="inlineStr">
        <is>
          <t>Thương lượng</t>
        </is>
      </c>
      <c r="F6531" t="inlineStr">
        <is>
          <t>Hà Nội</t>
        </is>
      </c>
      <c r="G6531" t="inlineStr">
        <is>
          <t>Trưởng phòng</t>
        </is>
      </c>
      <c r="H6531" t="inlineStr">
        <is>
          <t>03/03/2026</t>
        </is>
      </c>
      <c r="I6531" t="inlineStr">
        <is>
          <t>02/04/2026</t>
        </is>
      </c>
      <c r="J6531" t="inlineStr">
        <is>
          <t>17/03/2026</t>
        </is>
      </c>
      <c r="K6531" t="inlineStr">
        <is>
          <t>N/A</t>
        </is>
      </c>
      <c r="L6531" t="inlineStr">
        <is>
          <t>Markeing planing, Marketing Strategic Planning, Digital Marketing &amp; Ad Optimization</t>
        </is>
      </c>
      <c r="M6531" t="inlineStr">
        <is>
          <t>Bonus, Healthcare Plan, Paid Leave, Training, Team Activities</t>
        </is>
      </c>
      <c r="N6531" s="8">
        <f>HYPERLINK("https://www.vietnamworks.com/strategic-marketing-manager--2017441-jv","Xem chi tiết")</f>
        <v/>
      </c>
    </row>
    <row r="6532">
      <c r="B6532" s="9" t="n">
        <v>6530</v>
      </c>
      <c r="C6532" s="10" t="inlineStr">
        <is>
          <t>Kế Toán Kho / Nhân Viên Kho (Thu Nhập Upto 15 Triệu)</t>
        </is>
      </c>
      <c r="D6532" s="10" t="inlineStr">
        <is>
          <t>Dentium Vietnam</t>
        </is>
      </c>
      <c r="E6532" s="10" t="inlineStr">
        <is>
          <t>Tới 15tr ₫/tháng</t>
        </is>
      </c>
      <c r="F6532" s="10" t="inlineStr">
        <is>
          <t>Hà Nội</t>
        </is>
      </c>
      <c r="G6532" s="10" t="inlineStr">
        <is>
          <t>Nhân viên</t>
        </is>
      </c>
      <c r="H6532" s="10" t="inlineStr">
        <is>
          <t>03/03/2026</t>
        </is>
      </c>
      <c r="I6532" s="10" t="inlineStr">
        <is>
          <t>02/04/2026</t>
        </is>
      </c>
      <c r="J6532" s="10" t="inlineStr">
        <is>
          <t>17/03/2026</t>
        </is>
      </c>
      <c r="K6532" s="10" t="inlineStr">
        <is>
          <t>N/A</t>
        </is>
      </c>
      <c r="L6532" s="10" t="inlineStr">
        <is>
          <t>Kế Toán, Quản Lý Kho, Quản trị tồn kho, Kiểm kê &amp; đối chiếu sổ sách, thủ kho</t>
        </is>
      </c>
      <c r="M6532" s="10" t="inlineStr">
        <is>
          <t>Bonus, Healthcare Plan, Travel Opportunities, Others</t>
        </is>
      </c>
      <c r="N6532" s="11">
        <f>HYPERLINK("https://www.vietnamworks.com/ke-toan-kho-nhan-vien-kho-thu-nhap-upto-15-trieu-2017439-jv","Xem chi tiết")</f>
        <v/>
      </c>
      <c r="O6532" s="10" t="n"/>
    </row>
    <row r="6533">
      <c r="B6533" s="7" t="n">
        <v>6531</v>
      </c>
      <c r="C6533" t="inlineStr">
        <is>
          <t>Student Success Officer Asia</t>
        </is>
      </c>
      <c r="D6533" t="inlineStr">
        <is>
          <t>Công ty TNHH Nisai Việt Nam</t>
        </is>
      </c>
      <c r="E6533" t="inlineStr">
        <is>
          <t>10tr-12tr ₫/tháng</t>
        </is>
      </c>
      <c r="F6533" t="inlineStr">
        <is>
          <t>Hà Nội</t>
        </is>
      </c>
      <c r="G6533" t="inlineStr">
        <is>
          <t>Nhân viên</t>
        </is>
      </c>
      <c r="H6533" t="inlineStr">
        <is>
          <t>03/03/2026</t>
        </is>
      </c>
      <c r="I6533" t="inlineStr">
        <is>
          <t>02/04/2026</t>
        </is>
      </c>
      <c r="J6533" t="inlineStr">
        <is>
          <t>17/03/2026</t>
        </is>
      </c>
      <c r="K6533" t="inlineStr">
        <is>
          <t>N/A</t>
        </is>
      </c>
      <c r="L6533" t="inlineStr">
        <is>
          <t>Microsoft Office, Relationship Building, Customer Mindset, Event Support, Student Support</t>
        </is>
      </c>
      <c r="M6533" t="inlineStr">
        <is>
          <t>Bonus, Healthcare Plan, Paid Leave, Training</t>
        </is>
      </c>
      <c r="N6533" s="8">
        <f>HYPERLINK("https://www.vietnamworks.com/student-success-officer-asia-2017433-jv","Xem chi tiết")</f>
        <v/>
      </c>
    </row>
    <row r="6534">
      <c r="B6534" s="9" t="n">
        <v>6532</v>
      </c>
      <c r="C6534" s="10" t="inlineStr">
        <is>
          <t>Kế Toán Trưởng</t>
        </is>
      </c>
      <c r="D6534" s="10" t="inlineStr">
        <is>
          <t>Công Ty TNHH Công Nghệ Thông Minh Icomteck</t>
        </is>
      </c>
      <c r="E6534" s="10" t="inlineStr">
        <is>
          <t>Thương lượng</t>
        </is>
      </c>
      <c r="F6534" s="10" t="inlineStr">
        <is>
          <t>Hà Nội</t>
        </is>
      </c>
      <c r="G6534" s="10" t="inlineStr">
        <is>
          <t>Trưởng phòng</t>
        </is>
      </c>
      <c r="H6534" s="10" t="inlineStr">
        <is>
          <t>03/03/2026</t>
        </is>
      </c>
      <c r="I6534" s="10" t="inlineStr">
        <is>
          <t>02/04/2026</t>
        </is>
      </c>
      <c r="J6534" s="10" t="inlineStr">
        <is>
          <t>17/03/2026</t>
        </is>
      </c>
      <c r="K6534" s="10" t="inlineStr">
        <is>
          <t>N/A</t>
        </is>
      </c>
      <c r="L6534" s="10" t="inlineStr">
        <is>
          <t>Tài Chính, Chief Accountant, Tư vấn dịch vụ thuế, kế toán trưởng</t>
        </is>
      </c>
      <c r="M6534" s="10" t="inlineStr">
        <is>
          <t>Bonus, Healthcare Plan, Others</t>
        </is>
      </c>
      <c r="N6534" s="11">
        <f>HYPERLINK("https://www.vietnamworks.com/ke-toan-truong--2017430-jv","Xem chi tiết")</f>
        <v/>
      </c>
      <c r="O6534" s="10" t="n"/>
    </row>
    <row r="6535">
      <c r="B6535" s="7" t="n">
        <v>6533</v>
      </c>
      <c r="C6535" t="inlineStr">
        <is>
          <t>Chuyên Viên Quản Lý Dự Án Đầu Tư Xây Dựng (Lương Từ 20Tr/tháng)</t>
        </is>
      </c>
      <c r="D6535" t="inlineStr">
        <is>
          <t>Công ty Cổ phần Đầu tư, Phát triển Nhà và Hạ tầng - TKV</t>
        </is>
      </c>
      <c r="E6535" t="inlineStr">
        <is>
          <t>Từ 20tr ₫/tháng</t>
        </is>
      </c>
      <c r="F6535" t="inlineStr">
        <is>
          <t>Hà Nội</t>
        </is>
      </c>
      <c r="G6535" t="inlineStr">
        <is>
          <t>Nhân viên</t>
        </is>
      </c>
      <c r="H6535" t="inlineStr">
        <is>
          <t>03/03/2026</t>
        </is>
      </c>
      <c r="I6535" t="inlineStr">
        <is>
          <t>02/04/2026</t>
        </is>
      </c>
      <c r="J6535" t="inlineStr">
        <is>
          <t>17/03/2026</t>
        </is>
      </c>
      <c r="K6535" t="inlineStr">
        <is>
          <t>N/A</t>
        </is>
      </c>
      <c r="L6535" t="inlineStr">
        <is>
          <t>Quản Lý Dự Án, Nghiệm Thu, Làm Hồ Sơ Thanh Quyết Toán, Quản Lý Nhà Thầu, Quản Lý Tiến Độ</t>
        </is>
      </c>
      <c r="M6535" t="inlineStr">
        <is>
          <t>Healthcare Plan, Paid Leave, Travel Opportunities</t>
        </is>
      </c>
      <c r="N6535" s="8">
        <f>HYPERLINK("https://www.vietnamworks.com/chuyen-vien-quan-ly-du-an-djau-tu-xay-dung-luong-tu-20trthang-2017446-jv","Xem chi tiết")</f>
        <v/>
      </c>
    </row>
    <row r="6536">
      <c r="B6536" s="9" t="n">
        <v>6534</v>
      </c>
      <c r="C6536" s="10" t="inlineStr">
        <is>
          <t>Production Manager - Ceramics</t>
        </is>
      </c>
      <c r="D6536" s="10" t="inlineStr">
        <is>
          <t>VIETNAM HOUSEWARES CORP</t>
        </is>
      </c>
      <c r="E6536" s="10" t="inlineStr">
        <is>
          <t>Thương lượng</t>
        </is>
      </c>
      <c r="F6536" s="10" t="inlineStr">
        <is>
          <t>Vĩnh Long</t>
        </is>
      </c>
      <c r="G6536" s="10" t="inlineStr">
        <is>
          <t>Trưởng phòng</t>
        </is>
      </c>
      <c r="H6536" s="10" t="inlineStr">
        <is>
          <t>03/03/2026</t>
        </is>
      </c>
      <c r="I6536" s="10" t="inlineStr">
        <is>
          <t>02/04/2026</t>
        </is>
      </c>
      <c r="J6536" s="10" t="inlineStr">
        <is>
          <t>17/03/2026</t>
        </is>
      </c>
      <c r="K6536" s="10" t="inlineStr">
        <is>
          <t>N/A</t>
        </is>
      </c>
      <c r="L6536" s="10" t="inlineStr">
        <is>
          <t>Kiểm Soát Tồn Kho, Quản lý chất lượng, Quản Lý Sản Xuất, Tối Ưu Chi Phí, Vận Hành Nhà Máy</t>
        </is>
      </c>
      <c r="M6536" s="10" t="inlineStr">
        <is>
          <t>Healthcare Plan, Paid Leave, Training, Awards</t>
        </is>
      </c>
      <c r="N6536" s="11">
        <f>HYPERLINK("https://www.vietnamworks.com/production-manager-ceramics-2017435-jv","Xem chi tiết")</f>
        <v/>
      </c>
      <c r="O6536" s="10" t="n"/>
    </row>
    <row r="6537">
      <c r="B6537" s="7" t="n">
        <v>6535</v>
      </c>
      <c r="C6537" t="inlineStr">
        <is>
          <t>Internal Accountant</t>
        </is>
      </c>
      <c r="D6537" t="inlineStr">
        <is>
          <t>TIGER Logistics &amp; Trading Co., Ltd</t>
        </is>
      </c>
      <c r="E6537" t="inlineStr">
        <is>
          <t>Từ 10tr ₫/tháng</t>
        </is>
      </c>
      <c r="F6537" t="inlineStr">
        <is>
          <t>Hà Nội</t>
        </is>
      </c>
      <c r="G6537" t="inlineStr">
        <is>
          <t>Nhân viên</t>
        </is>
      </c>
      <c r="H6537" t="inlineStr">
        <is>
          <t>03/03/2026</t>
        </is>
      </c>
      <c r="I6537" t="inlineStr">
        <is>
          <t>02/04/2026</t>
        </is>
      </c>
      <c r="J6537" t="inlineStr">
        <is>
          <t>17/03/2026</t>
        </is>
      </c>
      <c r="K6537" t="inlineStr">
        <is>
          <t>N/A</t>
        </is>
      </c>
      <c r="L6537" t="inlineStr">
        <is>
          <t>Tài Chính, Kế Toán Tổng Hợp, Kế Toán Nội Bộ, Kế Toán, Hạch Toán</t>
        </is>
      </c>
      <c r="M6537" t="inlineStr">
        <is>
          <t>Bonus, Healthcare Plan, Team Activities</t>
        </is>
      </c>
      <c r="N6537" s="8">
        <f>HYPERLINK("https://www.vietnamworks.com/internal-accountant--2017450-jv","Xem chi tiết")</f>
        <v/>
      </c>
    </row>
    <row r="6538">
      <c r="B6538" s="9" t="n">
        <v>6536</v>
      </c>
      <c r="C6538" s="10" t="inlineStr">
        <is>
          <t>Chuyên viên tuyển dụng</t>
        </is>
      </c>
      <c r="D6538" s="10" t="inlineStr">
        <is>
          <t>Công Ty Cổ Phần Thép Nam Kim</t>
        </is>
      </c>
      <c r="E6538" s="10" t="inlineStr">
        <is>
          <t>13tr-16tr ₫/tháng</t>
        </is>
      </c>
      <c r="F6538" s="10" t="inlineStr">
        <is>
          <t>Bình Dương</t>
        </is>
      </c>
      <c r="G6538" s="10" t="inlineStr">
        <is>
          <t>Nhân viên</t>
        </is>
      </c>
      <c r="H6538" s="10" t="inlineStr">
        <is>
          <t>03/03/2026</t>
        </is>
      </c>
      <c r="I6538" s="10" t="inlineStr">
        <is>
          <t>02/04/2026</t>
        </is>
      </c>
      <c r="J6538" s="10" t="inlineStr">
        <is>
          <t>17/03/2026</t>
        </is>
      </c>
      <c r="K6538" s="10" t="inlineStr">
        <is>
          <t>N/A</t>
        </is>
      </c>
      <c r="L6538" s="10" t="inlineStr">
        <is>
          <t>Quản Trị Nhân Lực, Tuyển Dụng, Ứng Dụng Công Nghệ Số, Đào Tạo</t>
        </is>
      </c>
      <c r="M6538" s="10" t="inlineStr">
        <is>
          <t>Bonus, Training, Team Activities, Transportation, Others</t>
        </is>
      </c>
      <c r="N6538" s="11">
        <f>HYPERLINK("https://www.vietnamworks.com/chuyen-vien-tuyen-dung-2017443-jv","Xem chi tiết")</f>
        <v/>
      </c>
      <c r="O6538" s="10" t="n"/>
    </row>
    <row r="6539">
      <c r="B6539" s="7" t="n">
        <v>6537</v>
      </c>
      <c r="C6539" t="inlineStr">
        <is>
          <t>Trợ Lý Kinh Doanh (Thành thạo Tiếng Anh)</t>
        </is>
      </c>
      <c r="D6539" t="inlineStr">
        <is>
          <t>Công Ty TNHH YKK Việt Nam - Chi nhánh Hà Nam</t>
        </is>
      </c>
      <c r="E6539" t="inlineStr">
        <is>
          <t>Thương lượng</t>
        </is>
      </c>
      <c r="F6539" t="inlineStr">
        <is>
          <t>Hà Nội</t>
        </is>
      </c>
      <c r="G6539" t="inlineStr">
        <is>
          <t>Nhân viên</t>
        </is>
      </c>
      <c r="H6539" t="inlineStr">
        <is>
          <t>03/03/2026</t>
        </is>
      </c>
      <c r="I6539" t="inlineStr">
        <is>
          <t>02/04/2026</t>
        </is>
      </c>
      <c r="J6539" t="inlineStr">
        <is>
          <t>17/03/2026</t>
        </is>
      </c>
      <c r="K6539" t="inlineStr">
        <is>
          <t>N/A</t>
        </is>
      </c>
      <c r="L6539" t="inlineStr">
        <is>
          <t>Kinh Doanh, Chăm Sóc Khách Hàng, Follow Up Schedule, Theo Dõi Đơn Hàng, Hỗ Trợ Kinh Doanh</t>
        </is>
      </c>
      <c r="M6539" t="inlineStr">
        <is>
          <t>Bonus, Healthcare Plan, Travel Opportunities</t>
        </is>
      </c>
      <c r="N6539" s="8">
        <f>HYPERLINK("https://www.vietnamworks.com/tro-ly-kinh-doanh-thanh-thao-tieng-anh-2017438-jv","Xem chi tiết")</f>
        <v/>
      </c>
    </row>
    <row r="6540">
      <c r="B6540" s="9" t="n">
        <v>6538</v>
      </c>
      <c r="C6540" s="10" t="inlineStr">
        <is>
          <t>Senior IE Expert (Working in Hai Phong)</t>
        </is>
      </c>
      <c r="D6540" s="10" t="inlineStr">
        <is>
          <t>VINFAST TRADING AND PRODUCTION JSC</t>
        </is>
      </c>
      <c r="E6540" s="10" t="inlineStr">
        <is>
          <t>Thương lượng</t>
        </is>
      </c>
      <c r="F6540" s="10" t="inlineStr">
        <is>
          <t>Hải Phòng</t>
        </is>
      </c>
      <c r="G6540" s="10" t="inlineStr">
        <is>
          <t>Trưởng phòng</t>
        </is>
      </c>
      <c r="H6540" s="10" t="inlineStr">
        <is>
          <t>03/03/2026</t>
        </is>
      </c>
      <c r="I6540" s="10" t="inlineStr">
        <is>
          <t>02/04/2026</t>
        </is>
      </c>
      <c r="J6540" s="10" t="inlineStr">
        <is>
          <t>17/03/2026</t>
        </is>
      </c>
      <c r="K6540" s="10" t="inlineStr">
        <is>
          <t>N/A</t>
        </is>
      </c>
      <c r="L6540" s="10" t="inlineStr">
        <is>
          <t>Lean Production, Continuous improvements, Industrial Engineering, TPM activities, Cost Optimization</t>
        </is>
      </c>
      <c r="M6540" s="10" t="inlineStr">
        <is>
          <t>Bonus, Healthcare Plan, Others</t>
        </is>
      </c>
      <c r="N6540" s="11">
        <f>HYPERLINK("https://www.vietnamworks.com/senior-ie-expert-working-in-hai-phong--2017442-jv","Xem chi tiết")</f>
        <v/>
      </c>
      <c r="O6540" s="10" t="n"/>
    </row>
    <row r="6541">
      <c r="B6541" s="7" t="n">
        <v>6539</v>
      </c>
      <c r="C6541" t="inlineStr">
        <is>
          <t>Nhân Viên Kỹ Thuật Cơ Điện</t>
        </is>
      </c>
      <c r="D6541" t="inlineStr">
        <is>
          <t>Công Ty Cổ Phần Kem Tràng Tiền</t>
        </is>
      </c>
      <c r="E6541" t="inlineStr">
        <is>
          <t>13tr-15tr ₫/tháng</t>
        </is>
      </c>
      <c r="F6541" t="inlineStr">
        <is>
          <t>Hà Nội</t>
        </is>
      </c>
      <c r="G6541" t="inlineStr">
        <is>
          <t>Nhân viên</t>
        </is>
      </c>
      <c r="H6541" t="inlineStr">
        <is>
          <t>03/03/2026</t>
        </is>
      </c>
      <c r="I6541" t="inlineStr">
        <is>
          <t>02/04/2026</t>
        </is>
      </c>
      <c r="J6541" t="inlineStr">
        <is>
          <t>17/03/2026</t>
        </is>
      </c>
      <c r="K6541" t="inlineStr">
        <is>
          <t>N/A</t>
        </is>
      </c>
      <c r="L6541" t="inlineStr">
        <is>
          <t>Bảo Trì, Cơ Điện, Triển Khai Hệ Thống, Vận Hành Máy Móc, Xử Lý Sự Cố</t>
        </is>
      </c>
      <c r="M6541" t="inlineStr">
        <is>
          <t>Bonus, Healthcare Plan, Training, Travel Opportunities</t>
        </is>
      </c>
      <c r="N6541" s="8">
        <f>HYPERLINK("https://www.vietnamworks.com/nhan-vien-ky-thuat-co-djien-2017448-jv","Xem chi tiết")</f>
        <v/>
      </c>
    </row>
    <row r="6542">
      <c r="B6542" s="9" t="n">
        <v>6540</v>
      </c>
      <c r="C6542" s="10" t="inlineStr">
        <is>
          <t>Electrical Engineer</t>
        </is>
      </c>
      <c r="D6542" s="10" t="inlineStr">
        <is>
          <t>Công Ty TNHH Phát Triển Phú Mỹ Hưng</t>
        </is>
      </c>
      <c r="E6542" s="10" t="inlineStr">
        <is>
          <t>Thương lượng</t>
        </is>
      </c>
      <c r="F6542" s="10" t="inlineStr">
        <is>
          <t>Hồ Chí Minh</t>
        </is>
      </c>
      <c r="G6542" s="10" t="inlineStr">
        <is>
          <t>Nhân viên</t>
        </is>
      </c>
      <c r="H6542" s="10" t="inlineStr">
        <is>
          <t>03/03/2026</t>
        </is>
      </c>
      <c r="I6542" s="10" t="inlineStr">
        <is>
          <t>02/04/2026</t>
        </is>
      </c>
      <c r="J6542" s="10" t="inlineStr">
        <is>
          <t>17/03/2026</t>
        </is>
      </c>
      <c r="K6542" s="10" t="inlineStr">
        <is>
          <t>N/A</t>
        </is>
      </c>
      <c r="L6542" s="10" t="inlineStr">
        <is>
          <t>Điện, Kỹ sử điện, Xây Dựng, MEP Engineering, Construction</t>
        </is>
      </c>
      <c r="M6542" s="10" t="inlineStr">
        <is>
          <t>Healthcare Plan, Paid Leave, Training</t>
        </is>
      </c>
      <c r="N6542" s="11">
        <f>HYPERLINK("https://www.vietnamworks.com/electrical-engineer--2017456-jv","Xem chi tiết")</f>
        <v/>
      </c>
      <c r="O6542" s="10" t="n"/>
    </row>
    <row r="6543">
      <c r="B6543" s="7" t="n">
        <v>6541</v>
      </c>
      <c r="C6543" t="inlineStr">
        <is>
          <t>Quản Lý Nhà Hàng (Restaurant Manager)</t>
        </is>
      </c>
      <c r="D6543" t="inlineStr">
        <is>
          <t>CÔNG TY CỔ PHẦN THƯƠNG MẠI VÀ DU LỊCH QUỐC TẾ Á CHÂU</t>
        </is>
      </c>
      <c r="E6543" t="inlineStr">
        <is>
          <t>18tr-25tr ₫/tháng</t>
        </is>
      </c>
      <c r="F6543" t="inlineStr">
        <is>
          <t>Hà Nội</t>
        </is>
      </c>
      <c r="G6543" t="inlineStr">
        <is>
          <t>Trưởng phòng</t>
        </is>
      </c>
      <c r="H6543" t="inlineStr">
        <is>
          <t>03/03/2026</t>
        </is>
      </c>
      <c r="I6543" t="inlineStr">
        <is>
          <t>02/04/2026</t>
        </is>
      </c>
      <c r="J6543" t="inlineStr">
        <is>
          <t>17/03/2026</t>
        </is>
      </c>
      <c r="K6543" t="inlineStr">
        <is>
          <t>N/A</t>
        </is>
      </c>
      <c r="L6543" t="inlineStr">
        <is>
          <t>Giải Quyết Vấn Đề, Giám Sát Nhà Hàng, Quản Lý Nhà Hàng, Tiếng Anh, Đào Tạo Nhân Sự</t>
        </is>
      </c>
      <c r="M6543" t="inlineStr">
        <is>
          <t>Bonus, Healthcare Plan, Canteen, Others</t>
        </is>
      </c>
      <c r="N6543" s="8">
        <f>HYPERLINK("https://www.vietnamworks.com/quan-ly-nha-hang-restaurant-manager-2017454-jv","Xem chi tiết")</f>
        <v/>
      </c>
    </row>
    <row r="6544">
      <c r="B6544" s="9" t="n">
        <v>6542</v>
      </c>
      <c r="C6544" s="10" t="inlineStr">
        <is>
          <t>Production Team Leader</t>
        </is>
      </c>
      <c r="D6544" s="10" t="inlineStr">
        <is>
          <t>Công Ty TNHH Kỹ Thuật Red &amp; Blue</t>
        </is>
      </c>
      <c r="E6544" s="10" t="inlineStr">
        <is>
          <t>24tr-30tr ₫/tháng</t>
        </is>
      </c>
      <c r="F6544" s="10" t="inlineStr">
        <is>
          <t>Hồ Chí Minh</t>
        </is>
      </c>
      <c r="G6544" s="10" t="inlineStr">
        <is>
          <t>Nhân viên</t>
        </is>
      </c>
      <c r="H6544" s="10" t="inlineStr">
        <is>
          <t>03/03/2026</t>
        </is>
      </c>
      <c r="I6544" s="10" t="inlineStr">
        <is>
          <t>02/04/2026</t>
        </is>
      </c>
      <c r="J6544" s="10" t="inlineStr">
        <is>
          <t>17/03/2026</t>
        </is>
      </c>
      <c r="K6544" s="10" t="inlineStr">
        <is>
          <t>N/A</t>
        </is>
      </c>
      <c r="L6544" s="10" t="inlineStr">
        <is>
          <t>Automation, Electrical Engineering, Electronic, Mechatronic, Production Management</t>
        </is>
      </c>
      <c r="M6544" s="10" t="inlineStr">
        <is>
          <t>Bonus, Healthcare Plan, Team Activities, Others</t>
        </is>
      </c>
      <c r="N6544" s="11">
        <f>HYPERLINK("https://www.vietnamworks.com/production-team-leader-2017457-jv","Xem chi tiết")</f>
        <v/>
      </c>
      <c r="O6544" s="10" t="n"/>
    </row>
    <row r="6545">
      <c r="B6545" s="7" t="n">
        <v>6543</v>
      </c>
      <c r="C6545" t="inlineStr">
        <is>
          <t>Chuyên Viên Thiết Kế Nội Thất 3D (Lương Lên Tới 28 Triệu/tháng)</t>
        </is>
      </c>
      <c r="D6545" t="inlineStr">
        <is>
          <t>Công Ty Cổ Phần Tầm Nhìn Quốc Tế Aladdin</t>
        </is>
      </c>
      <c r="E6545" t="inlineStr">
        <is>
          <t>20tr-28tr ₫/tháng</t>
        </is>
      </c>
      <c r="F6545" t="inlineStr">
        <is>
          <t>Hà Nội</t>
        </is>
      </c>
      <c r="G6545" t="inlineStr">
        <is>
          <t>Nhân viên</t>
        </is>
      </c>
      <c r="H6545" t="inlineStr">
        <is>
          <t>03/03/2026</t>
        </is>
      </c>
      <c r="I6545" t="inlineStr">
        <is>
          <t>02/04/2026</t>
        </is>
      </c>
      <c r="J6545" t="inlineStr">
        <is>
          <t>17/03/2026</t>
        </is>
      </c>
      <c r="K6545" t="inlineStr">
        <is>
          <t>N/A</t>
        </is>
      </c>
      <c r="L6545" t="inlineStr">
        <is>
          <t>Thiết Kế Nội Thất, 3D Max, F&amp;B Business, Xây Dựng, Revit</t>
        </is>
      </c>
      <c r="M6545" t="inlineStr">
        <is>
          <t>Bonus, Healthcare Plan, Travel Opportunities</t>
        </is>
      </c>
      <c r="N6545" s="8">
        <f>HYPERLINK("https://www.vietnamworks.com/chuyen-vien-thiet-ke-noi-that-3d-luong-len-toi-28-trieu-thang--2017453-jv","Xem chi tiết")</f>
        <v/>
      </c>
    </row>
    <row r="6546">
      <c r="B6546" s="9" t="n">
        <v>6544</v>
      </c>
      <c r="C6546" s="10" t="inlineStr">
        <is>
          <t>Business Analyst (Japanese - Upto 60M)</t>
        </is>
      </c>
      <c r="D6546" s="10" t="inlineStr">
        <is>
          <t>Công Ty Cổ Phần Công Nghệ VMO Holdings</t>
        </is>
      </c>
      <c r="E6546" s="10" t="inlineStr">
        <is>
          <t>$$ 1,000-2,500 /tháng</t>
        </is>
      </c>
      <c r="F6546" s="10" t="inlineStr">
        <is>
          <t>Hà Nội</t>
        </is>
      </c>
      <c r="G6546" s="10" t="inlineStr">
        <is>
          <t>Nhân viên</t>
        </is>
      </c>
      <c r="H6546" s="10" t="inlineStr">
        <is>
          <t>03/03/2026</t>
        </is>
      </c>
      <c r="I6546" s="10" t="inlineStr">
        <is>
          <t>02/04/2026</t>
        </is>
      </c>
      <c r="J6546" s="10" t="inlineStr">
        <is>
          <t>17/03/2026</t>
        </is>
      </c>
      <c r="K6546" s="10" t="inlineStr">
        <is>
          <t>N/A</t>
        </is>
      </c>
      <c r="L6546" s="10" t="inlineStr">
        <is>
          <t>IT Business Analyst, Japanese</t>
        </is>
      </c>
      <c r="M6546" s="10" t="inlineStr">
        <is>
          <t>Bonus, Healthcare Plan, Paid Leave</t>
        </is>
      </c>
      <c r="N6546" s="11">
        <f>HYPERLINK("https://www.vietnamworks.com/business-analyst-japanese-upto-60m-2017451-jv","Xem chi tiết")</f>
        <v/>
      </c>
      <c r="O6546" s="10" t="n"/>
    </row>
    <row r="6547">
      <c r="B6547" s="7" t="n">
        <v>6545</v>
      </c>
      <c r="C6547" t="inlineStr">
        <is>
          <t>Trưởng Nhóm Quản Lý Chất Lượng QC/QA</t>
        </is>
      </c>
      <c r="D6547" t="inlineStr">
        <is>
          <t>CÔNG TY TNHH SX TM DIHAFO</t>
        </is>
      </c>
      <c r="E6547" t="inlineStr">
        <is>
          <t>Thương lượng</t>
        </is>
      </c>
      <c r="F6547" t="inlineStr">
        <is>
          <t>Bình Dương</t>
        </is>
      </c>
      <c r="G6547" t="inlineStr">
        <is>
          <t>Nhân viên</t>
        </is>
      </c>
      <c r="H6547" t="inlineStr">
        <is>
          <t>03/03/2026</t>
        </is>
      </c>
      <c r="I6547" t="inlineStr">
        <is>
          <t>02/04/2026</t>
        </is>
      </c>
      <c r="J6547" t="inlineStr">
        <is>
          <t>17/03/2026</t>
        </is>
      </c>
      <c r="K6547" t="inlineStr">
        <is>
          <t>N/A</t>
        </is>
      </c>
      <c r="L6547" t="inlineStr">
        <is>
          <t>Quản lý chất lượng, Kiểm Tra Chất Lượng, Tiêu Chuẩn ISO, HACCP, Giao Tiếp</t>
        </is>
      </c>
      <c r="M6547" t="inlineStr">
        <is>
          <t>Bonus, Healthcare Plan, Laptop, Travel Opportunities, Others</t>
        </is>
      </c>
      <c r="N6547" s="8">
        <f>HYPERLINK("https://www.vietnamworks.com/truong-nhom-quan-ly-chat-luong-qcqa-2017461-jv","Xem chi tiết")</f>
        <v/>
      </c>
    </row>
    <row r="6548">
      <c r="B6548" s="9" t="n">
        <v>6546</v>
      </c>
      <c r="C6548" s="10" t="inlineStr">
        <is>
          <t>Kế Toán Nội Bộ</t>
        </is>
      </c>
      <c r="D6548" s="10" t="inlineStr">
        <is>
          <t>CÔNG TY CỔ PHẦN THƯƠNG MẠI VÀ DU LỊCH QUỐC TẾ Á CHÂU</t>
        </is>
      </c>
      <c r="E6548" s="10" t="inlineStr">
        <is>
          <t>Thương lượng</t>
        </is>
      </c>
      <c r="F6548" s="10" t="inlineStr">
        <is>
          <t>Hà Nội</t>
        </is>
      </c>
      <c r="G6548" s="10" t="inlineStr">
        <is>
          <t>Nhân viên</t>
        </is>
      </c>
      <c r="H6548" s="10" t="inlineStr">
        <is>
          <t>03/03/2026</t>
        </is>
      </c>
      <c r="I6548" s="10" t="inlineStr">
        <is>
          <t>02/04/2026</t>
        </is>
      </c>
      <c r="J6548" s="10" t="inlineStr">
        <is>
          <t>17/03/2026</t>
        </is>
      </c>
      <c r="K6548" s="10" t="inlineStr">
        <is>
          <t>N/A</t>
        </is>
      </c>
      <c r="L6548" s="10" t="inlineStr">
        <is>
          <t>Báo Cáo Tài Chính, Giao Tiếp, Hạch Toán, Kế Toán, Quản Lý Công Nợ</t>
        </is>
      </c>
      <c r="M6548" s="10" t="inlineStr">
        <is>
          <t>Bonus, Healthcare Plan, Canteen, Others</t>
        </is>
      </c>
      <c r="N6548" s="11">
        <f>HYPERLINK("https://www.vietnamworks.com/ke-toan-noi-bo-2017463-jv","Xem chi tiết")</f>
        <v/>
      </c>
      <c r="O6548" s="10" t="n"/>
    </row>
    <row r="6549">
      <c r="B6549" s="7" t="n">
        <v>6547</v>
      </c>
      <c r="C6549" t="inlineStr">
        <is>
          <t>Business Development Partner (At Least 3 Years Of Experience In B2B Sales)</t>
        </is>
      </c>
      <c r="D6549" t="inlineStr">
        <is>
          <t>Công ty tư vấn và đào tạo A&amp;P Việt Nam</t>
        </is>
      </c>
      <c r="E6549" t="inlineStr">
        <is>
          <t>15tr-17tr ₫/tháng</t>
        </is>
      </c>
      <c r="F6549" t="inlineStr">
        <is>
          <t>Hồ Chí Minh</t>
        </is>
      </c>
      <c r="G6549" t="inlineStr">
        <is>
          <t>Nhân viên</t>
        </is>
      </c>
      <c r="H6549" t="inlineStr">
        <is>
          <t>03/03/2026</t>
        </is>
      </c>
      <c r="I6549" t="inlineStr">
        <is>
          <t>02/04/2026</t>
        </is>
      </c>
      <c r="J6549" t="inlineStr">
        <is>
          <t>17/03/2026</t>
        </is>
      </c>
      <c r="K6549" t="inlineStr">
        <is>
          <t>N/A</t>
        </is>
      </c>
      <c r="L6549" t="inlineStr">
        <is>
          <t>Business Development, MS Office, Communication Skills, Customer Support, English</t>
        </is>
      </c>
      <c r="M6549" t="inlineStr">
        <is>
          <t>Bonus, Healthcare Plan, Paid Leave, Others</t>
        </is>
      </c>
      <c r="N6549" s="8">
        <f>HYPERLINK("https://www.vietnamworks.com/business-development-partner-at-least-3-years-of-experience-in-b2b-sales-2017458-jv","Xem chi tiết")</f>
        <v/>
      </c>
    </row>
    <row r="6550">
      <c r="B6550" s="9" t="n">
        <v>6548</v>
      </c>
      <c r="C6550" s="10" t="inlineStr">
        <is>
          <t>Nhân Viên Thủ Kho</t>
        </is>
      </c>
      <c r="D6550" s="10" t="inlineStr">
        <is>
          <t>Công Ty TNHH Kỹ Thuật Red &amp; Blue</t>
        </is>
      </c>
      <c r="E6550" s="10" t="inlineStr">
        <is>
          <t>10tr-13tr ₫/tháng</t>
        </is>
      </c>
      <c r="F6550" s="10" t="inlineStr">
        <is>
          <t>Hồ Chí Minh</t>
        </is>
      </c>
      <c r="G6550" s="10" t="inlineStr">
        <is>
          <t>Nhân viên</t>
        </is>
      </c>
      <c r="H6550" s="10" t="inlineStr">
        <is>
          <t>03/03/2026</t>
        </is>
      </c>
      <c r="I6550" s="10" t="inlineStr">
        <is>
          <t>02/04/2026</t>
        </is>
      </c>
      <c r="J6550" s="10" t="inlineStr">
        <is>
          <t>17/03/2026</t>
        </is>
      </c>
      <c r="K6550" s="10" t="inlineStr">
        <is>
          <t>N/A</t>
        </is>
      </c>
      <c r="L6550" s="10" t="inlineStr">
        <is>
          <t>Logistic, Thương Mại Quốc Tế, Quản Lý Kho, Mua Hàng, Chuỗi Cung Ứng</t>
        </is>
      </c>
      <c r="M6550" s="10" t="inlineStr">
        <is>
          <t>Bonus, Healthcare Plan, Team Activities, Others</t>
        </is>
      </c>
      <c r="N6550" s="11">
        <f>HYPERLINK("https://www.vietnamworks.com/nhan-vien-thu-kho-2017464-jv","Xem chi tiết")</f>
        <v/>
      </c>
      <c r="O6550" s="10" t="n"/>
    </row>
    <row r="6551">
      <c r="B6551" s="7" t="n">
        <v>6549</v>
      </c>
      <c r="C6551" t="inlineStr">
        <is>
          <t>Trưởng Bộ Phận Hàng Biển</t>
        </is>
      </c>
      <c r="D6551" t="inlineStr">
        <is>
          <t>CÔNG TY TNHH CTS INTERNATIONAL LOGISTICS (VIỆT NAM)</t>
        </is>
      </c>
      <c r="E6551" t="inlineStr">
        <is>
          <t>Thương lượng</t>
        </is>
      </c>
      <c r="F6551" t="inlineStr">
        <is>
          <t>Hồ Chí Minh, Hải Phòng</t>
        </is>
      </c>
      <c r="G6551" t="inlineStr">
        <is>
          <t>Trưởng phòng</t>
        </is>
      </c>
      <c r="H6551" t="inlineStr">
        <is>
          <t>03/03/2026</t>
        </is>
      </c>
      <c r="I6551" t="inlineStr">
        <is>
          <t>02/04/2026</t>
        </is>
      </c>
      <c r="J6551" t="inlineStr">
        <is>
          <t>17/03/2026</t>
        </is>
      </c>
      <c r="K6551" t="inlineStr">
        <is>
          <t>N/A</t>
        </is>
      </c>
      <c r="L6551" t="inlineStr">
        <is>
          <t>Logistics Management, Team Management, Tiếng Trung, Vận Tải Biển, XNK Đường Biển</t>
        </is>
      </c>
      <c r="M6551" t="inlineStr">
        <is>
          <t>Bonus, Healthcare Plan, Others</t>
        </is>
      </c>
      <c r="N6551" s="8">
        <f>HYPERLINK("https://www.vietnamworks.com/truong-bo-phan-hang-bien-2017465-jv","Xem chi tiết")</f>
        <v/>
      </c>
    </row>
    <row r="6552">
      <c r="B6552" s="9" t="n">
        <v>6550</v>
      </c>
      <c r="C6552" s="10" t="inlineStr">
        <is>
          <t>Landtour Sales Us/ Japan/ Middle East Destination (DMC)</t>
        </is>
      </c>
      <c r="D6552" s="10" t="inlineStr">
        <is>
          <t>The Representative Office of Hiseas International GmbH In Vietnam</t>
        </is>
      </c>
      <c r="E6552" s="10" t="inlineStr">
        <is>
          <t>$$ 600-1,100 /tháng</t>
        </is>
      </c>
      <c r="F6552" s="10" t="inlineStr">
        <is>
          <t>Hồ Chí Minh</t>
        </is>
      </c>
      <c r="G6552" s="10" t="inlineStr">
        <is>
          <t>Nhân viên</t>
        </is>
      </c>
      <c r="H6552" s="10" t="inlineStr">
        <is>
          <t>03/03/2026</t>
        </is>
      </c>
      <c r="I6552" s="10" t="inlineStr">
        <is>
          <t>02/04/2026</t>
        </is>
      </c>
      <c r="J6552" s="10" t="inlineStr">
        <is>
          <t>17/03/2026</t>
        </is>
      </c>
      <c r="K6552" s="10" t="inlineStr">
        <is>
          <t>N/A</t>
        </is>
      </c>
      <c r="L6552" s="10" t="inlineStr">
        <is>
          <t>Tour Sales, Business Development, Quotation Preparation, Relationship Maintaining, Negotiation Skills</t>
        </is>
      </c>
      <c r="M6552" s="10" t="inlineStr">
        <is>
          <t>Healthcare Plan, Paid Leave, Travel Opportunities</t>
        </is>
      </c>
      <c r="N6552" s="11">
        <f>HYPERLINK("https://www.vietnamworks.com/landtour-sales-us-japan-middle-east-destination-dmc-2017459-jv","Xem chi tiết")</f>
        <v/>
      </c>
      <c r="O6552" s="10" t="n"/>
    </row>
    <row r="6553">
      <c r="B6553" s="7" t="n">
        <v>6551</v>
      </c>
      <c r="C6553" t="inlineStr">
        <is>
          <t>Seafood Quality Control Inspector / Foreign Company (Welcome Fresher)</t>
        </is>
      </c>
      <c r="D6553" t="inlineStr">
        <is>
          <t>OFCO Group</t>
        </is>
      </c>
      <c r="E6553" t="inlineStr">
        <is>
          <t>Thương lượng</t>
        </is>
      </c>
      <c r="F6553" t="inlineStr">
        <is>
          <t>Hồ Chí Minh</t>
        </is>
      </c>
      <c r="G6553" t="inlineStr">
        <is>
          <t>Mới Tốt Nghiệp</t>
        </is>
      </c>
      <c r="H6553" t="inlineStr">
        <is>
          <t>03/03/2026</t>
        </is>
      </c>
      <c r="I6553" t="inlineStr">
        <is>
          <t>02/04/2026</t>
        </is>
      </c>
      <c r="J6553" t="inlineStr">
        <is>
          <t>17/03/2026</t>
        </is>
      </c>
      <c r="K6553" t="inlineStr">
        <is>
          <t>N/A</t>
        </is>
      </c>
      <c r="L6553" t="inlineStr">
        <is>
          <t>QC, Quality Inspection, Fish Processing, Food Inspection, QC Inspection</t>
        </is>
      </c>
      <c r="M6553" t="inlineStr">
        <is>
          <t>Healthcare Plan, Training, Travel Opportunities</t>
        </is>
      </c>
      <c r="N6553" s="8">
        <f>HYPERLINK("https://www.vietnamworks.com/seafood-quality-control-inspector-foreign-company-welcome-fresher--2017462-jv","Xem chi tiết")</f>
        <v/>
      </c>
    </row>
    <row r="6554">
      <c r="B6554" s="9" t="n">
        <v>6552</v>
      </c>
      <c r="C6554" s="10" t="inlineStr">
        <is>
          <t>Sales Admin - Hỗ Trợ Kinh Doanh - Logistics</t>
        </is>
      </c>
      <c r="D6554" s="10" t="inlineStr">
        <is>
          <t>JW CORPORATION CO.,LTD</t>
        </is>
      </c>
      <c r="E6554" s="10" t="inlineStr">
        <is>
          <t>10tr-18tr ₫/tháng</t>
        </is>
      </c>
      <c r="F6554" s="10" t="inlineStr">
        <is>
          <t>Hồ Chí Minh</t>
        </is>
      </c>
      <c r="G6554" s="10" t="inlineStr">
        <is>
          <t>Nhân viên</t>
        </is>
      </c>
      <c r="H6554" s="10" t="inlineStr">
        <is>
          <t>03/03/2026</t>
        </is>
      </c>
      <c r="I6554" s="10" t="inlineStr">
        <is>
          <t>02/04/2026</t>
        </is>
      </c>
      <c r="J6554" s="10" t="inlineStr">
        <is>
          <t>17/03/2026</t>
        </is>
      </c>
      <c r="K6554" s="10" t="inlineStr">
        <is>
          <t>N/A</t>
        </is>
      </c>
      <c r="L6554" s="10" t="inlineStr">
        <is>
          <t>Chịu Áp Lực Công Việc, Tiếng Anh Tốt, Tinh Thần Làm Việc Chuyên Nghiệp, Xuất Nhập Khẩu &amp; Logistics, Điều Phối Vận Chuyển</t>
        </is>
      </c>
      <c r="M6554" s="10" t="inlineStr">
        <is>
          <t>Paid Leave</t>
        </is>
      </c>
      <c r="N6554" s="11">
        <f>HYPERLINK("https://www.vietnamworks.com/sales-admin-ho-tro-kinh-doanh-logistics-2017476-jv","Xem chi tiết")</f>
        <v/>
      </c>
      <c r="O6554" s="10" t="n"/>
    </row>
    <row r="6555">
      <c r="B6555" s="7" t="n">
        <v>6553</v>
      </c>
      <c r="C6555" t="inlineStr">
        <is>
          <t>Kỹ Sư Thi Công Ngành Môi Trường</t>
        </is>
      </c>
      <c r="D6555" t="inlineStr">
        <is>
          <t>Công Ty Cổ Phần Dịch Vụ Kỹ Thuật Thịnh Vượng</t>
        </is>
      </c>
      <c r="E6555" t="inlineStr">
        <is>
          <t>Từ 11tr ₫/tháng</t>
        </is>
      </c>
      <c r="F6555" t="inlineStr">
        <is>
          <t>Hồ Chí Minh</t>
        </is>
      </c>
      <c r="G6555" t="inlineStr">
        <is>
          <t>Nhân viên</t>
        </is>
      </c>
      <c r="H6555" t="inlineStr">
        <is>
          <t>03/03/2026</t>
        </is>
      </c>
      <c r="I6555" t="inlineStr">
        <is>
          <t>02/04/2026</t>
        </is>
      </c>
      <c r="J6555" t="inlineStr">
        <is>
          <t>17/03/2026</t>
        </is>
      </c>
      <c r="K6555" t="inlineStr">
        <is>
          <t>N/A</t>
        </is>
      </c>
      <c r="L6555" t="inlineStr">
        <is>
          <t>Kỹ Thuật Môi Trường, AutoCAD, Cấp Thoát Nước, Lập Kế Hoạch Thi Công Dự Án, Xử Lý Nước Thải</t>
        </is>
      </c>
      <c r="M6555" t="inlineStr">
        <is>
          <t>Bonus, Healthcare Plan, Training, Travel Opportunities, Others</t>
        </is>
      </c>
      <c r="N6555" s="8">
        <f>HYPERLINK("https://www.vietnamworks.com/ky-su-thi-cong-nganh-moi-truong-2017473-jv","Xem chi tiết")</f>
        <v/>
      </c>
    </row>
    <row r="6556">
      <c r="B6556" s="9" t="n">
        <v>6554</v>
      </c>
      <c r="C6556" s="10" t="inlineStr">
        <is>
          <t>Nhân Viên Sales</t>
        </is>
      </c>
      <c r="D6556" s="10" t="inlineStr">
        <is>
          <t>CÔNG TY CỔ PHẦN THƯƠNG MẠI VÀ DU LỊCH QUỐC TẾ Á CHÂU</t>
        </is>
      </c>
      <c r="E6556" s="10" t="inlineStr">
        <is>
          <t>10tr-12tr ₫/tháng</t>
        </is>
      </c>
      <c r="F6556" s="10" t="inlineStr">
        <is>
          <t>Hà Nội</t>
        </is>
      </c>
      <c r="G6556" s="10" t="inlineStr">
        <is>
          <t>Nhân viên</t>
        </is>
      </c>
      <c r="H6556" s="10" t="inlineStr">
        <is>
          <t>03/03/2026</t>
        </is>
      </c>
      <c r="I6556" s="10" t="inlineStr">
        <is>
          <t>02/04/2026</t>
        </is>
      </c>
      <c r="J6556" s="10" t="inlineStr">
        <is>
          <t>17/03/2026</t>
        </is>
      </c>
      <c r="K6556" s="10" t="inlineStr">
        <is>
          <t>N/A</t>
        </is>
      </c>
      <c r="L6556" s="10" t="inlineStr">
        <is>
          <t>Booking Management, Customer Service, Du Lịch Lữ Hành, Kinh Doanh, Sales</t>
        </is>
      </c>
      <c r="M6556" s="10" t="inlineStr">
        <is>
          <t>Bonus, Healthcare Plan, Canteen, Others</t>
        </is>
      </c>
      <c r="N6556" s="11">
        <f>HYPERLINK("https://www.vietnamworks.com/nhan-vien-sales-2017466-jv","Xem chi tiết")</f>
        <v/>
      </c>
      <c r="O6556" s="10" t="n"/>
    </row>
    <row r="6557">
      <c r="B6557" s="7" t="n">
        <v>6555</v>
      </c>
      <c r="C6557" t="inlineStr">
        <is>
          <t>Maintenance Manager (Trưởng Bộ Phận Bảo Trì)</t>
        </is>
      </c>
      <c r="D6557" t="inlineStr">
        <is>
          <t>Vietnamworks' Client</t>
        </is>
      </c>
      <c r="E6557" t="inlineStr">
        <is>
          <t>Thương lượng</t>
        </is>
      </c>
      <c r="F6557" t="inlineStr">
        <is>
          <t>Long An</t>
        </is>
      </c>
      <c r="G6557" t="inlineStr">
        <is>
          <t>Trưởng phòng</t>
        </is>
      </c>
      <c r="H6557" t="inlineStr">
        <is>
          <t>03/03/2026</t>
        </is>
      </c>
      <c r="I6557" t="inlineStr">
        <is>
          <t>02/04/2026</t>
        </is>
      </c>
      <c r="J6557" t="inlineStr">
        <is>
          <t>17/03/2026</t>
        </is>
      </c>
      <c r="K6557" t="inlineStr">
        <is>
          <t>N/A</t>
        </is>
      </c>
      <c r="L6557" t="inlineStr">
        <is>
          <t>Quản Lý Bảo Trì, Sửa Chữa Máy Móc, Quản Lý Nhân Sự, Kỹ Thuật Điện, Giám Sát Kỹ Thuật</t>
        </is>
      </c>
      <c r="M6557" t="inlineStr">
        <is>
          <t>Team Activities, Others</t>
        </is>
      </c>
      <c r="N6557" s="8">
        <f>HYPERLINK("https://www.vietnamworks.com/maintenance-manager-truong-bo-phan-bao-tri-2017474-jv","Xem chi tiết")</f>
        <v/>
      </c>
    </row>
    <row r="6558">
      <c r="B6558" s="9" t="n">
        <v>6556</v>
      </c>
      <c r="C6558" s="10" t="inlineStr">
        <is>
          <t>[Peru] IT Engineer (~$2000) - Quyền Lợi Hấp Dẫn</t>
        </is>
      </c>
      <c r="D6558" s="10" t="inlineStr">
        <is>
          <t>Viettel Peru S.A</t>
        </is>
      </c>
      <c r="E6558" s="10" t="inlineStr">
        <is>
          <t>$$ 1,000-2,000 /tháng</t>
        </is>
      </c>
      <c r="F6558" s="10" t="inlineStr">
        <is>
          <t>Quốc tế</t>
        </is>
      </c>
      <c r="G6558" s="10" t="inlineStr">
        <is>
          <t>Mới Tốt Nghiệp</t>
        </is>
      </c>
      <c r="H6558" s="10" t="inlineStr">
        <is>
          <t>03/03/2026</t>
        </is>
      </c>
      <c r="I6558" s="10" t="inlineStr">
        <is>
          <t>02/04/2026</t>
        </is>
      </c>
      <c r="J6558" s="10" t="inlineStr">
        <is>
          <t>17/03/2026</t>
        </is>
      </c>
      <c r="K6558" s="10" t="inlineStr">
        <is>
          <t>N/A</t>
        </is>
      </c>
      <c r="L6558" s="10" t="inlineStr">
        <is>
          <t>Java System, Python Programming, API Integration, Network, Database Technology</t>
        </is>
      </c>
      <c r="M6558" s="10" t="inlineStr">
        <is>
          <t>Bonus, Healthcare Plan, Laptop, Team Activities, Others</t>
        </is>
      </c>
      <c r="N6558" s="11">
        <f>HYPERLINK("https://www.vietnamworks.com/peru-it-engineer-dollar2000-quyen-loi-hap-dan-2017477-jv","Xem chi tiết")</f>
        <v/>
      </c>
      <c r="O6558" s="10" t="n"/>
    </row>
    <row r="6559">
      <c r="B6559" s="7" t="n">
        <v>6557</v>
      </c>
      <c r="C6559" t="inlineStr">
        <is>
          <t>QA Manager</t>
        </is>
      </c>
      <c r="D6559" t="inlineStr">
        <is>
          <t>ROCKWOOL VIETNAM COMPANY LIMITED</t>
        </is>
      </c>
      <c r="E6559" t="inlineStr">
        <is>
          <t>Thương lượng</t>
        </is>
      </c>
      <c r="F6559" t="inlineStr">
        <is>
          <t>Long An</t>
        </is>
      </c>
      <c r="G6559" t="inlineStr">
        <is>
          <t>Trưởng phòng</t>
        </is>
      </c>
      <c r="H6559" t="inlineStr">
        <is>
          <t>03/03/2026</t>
        </is>
      </c>
      <c r="I6559" t="inlineStr">
        <is>
          <t>02/04/2026</t>
        </is>
      </c>
      <c r="J6559" t="inlineStr">
        <is>
          <t>17/03/2026</t>
        </is>
      </c>
      <c r="K6559" t="inlineStr">
        <is>
          <t>N/A</t>
        </is>
      </c>
      <c r="L6559" t="inlineStr">
        <is>
          <t>Communication Skills, Data Analysis, ISO9001 standards, Process Improvement, Quality Management System</t>
        </is>
      </c>
      <c r="M6559" t="inlineStr">
        <is>
          <t>Bonus, Healthcare Plan, Paid Leave, Training, Laptop, Travel Opportunities</t>
        </is>
      </c>
      <c r="N6559" s="8">
        <f>HYPERLINK("https://www.vietnamworks.com/qa-manager-2017472-jv","Xem chi tiết")</f>
        <v/>
      </c>
    </row>
    <row r="6560">
      <c r="B6560" s="9" t="n">
        <v>6558</v>
      </c>
      <c r="C6560" s="10" t="inlineStr">
        <is>
          <t>Kỹ Thuật Viên</t>
        </is>
      </c>
      <c r="D6560" s="10" t="inlineStr">
        <is>
          <t>Công Ty TNHH Kỹ Thuật Red &amp; Blue</t>
        </is>
      </c>
      <c r="E6560" s="10" t="inlineStr">
        <is>
          <t>9tr-11tr ₫/tháng</t>
        </is>
      </c>
      <c r="F6560" s="10" t="inlineStr">
        <is>
          <t>Hồ Chí Minh</t>
        </is>
      </c>
      <c r="G6560" s="10" t="inlineStr">
        <is>
          <t>Nhân viên</t>
        </is>
      </c>
      <c r="H6560" s="10" t="inlineStr">
        <is>
          <t>03/03/2026</t>
        </is>
      </c>
      <c r="I6560" s="10" t="inlineStr">
        <is>
          <t>02/04/2026</t>
        </is>
      </c>
      <c r="J6560" s="10" t="inlineStr">
        <is>
          <t>17/03/2026</t>
        </is>
      </c>
      <c r="K6560" s="10" t="inlineStr">
        <is>
          <t>N/A</t>
        </is>
      </c>
      <c r="L6560" s="10" t="inlineStr">
        <is>
          <t>Bảo Trì Kỹ Thuật, Lắp Đặt, Sửa Chữa, Kỹ Thuật, Bảo Trì</t>
        </is>
      </c>
      <c r="M6560" s="10" t="inlineStr">
        <is>
          <t>Others</t>
        </is>
      </c>
      <c r="N6560" s="11">
        <f>HYPERLINK("https://www.vietnamworks.com/ky-thuat-vien-2017478-jv","Xem chi tiết")</f>
        <v/>
      </c>
      <c r="O6560" s="10" t="n"/>
    </row>
    <row r="6561">
      <c r="B6561" s="7" t="n">
        <v>6559</v>
      </c>
      <c r="C6561" t="inlineStr">
        <is>
          <t>Trợ Lý Kinh Doanh</t>
        </is>
      </c>
      <c r="D6561" t="inlineStr">
        <is>
          <t>CÔNG TY TNHH CTS INTERNATIONAL LOGISTICS (VIỆT NAM)</t>
        </is>
      </c>
      <c r="E6561" t="inlineStr">
        <is>
          <t>10tr-15tr ₫/tháng</t>
        </is>
      </c>
      <c r="F6561" t="inlineStr">
        <is>
          <t>Hồ Chí Minh</t>
        </is>
      </c>
      <c r="G6561" t="inlineStr">
        <is>
          <t>Nhân viên</t>
        </is>
      </c>
      <c r="H6561" t="inlineStr">
        <is>
          <t>03/03/2026</t>
        </is>
      </c>
      <c r="I6561" t="inlineStr">
        <is>
          <t>02/04/2026</t>
        </is>
      </c>
      <c r="J6561" t="inlineStr">
        <is>
          <t>17/03/2026</t>
        </is>
      </c>
      <c r="K6561" t="inlineStr">
        <is>
          <t>N/A</t>
        </is>
      </c>
      <c r="L6561" t="inlineStr">
        <is>
          <t>Tiếng Trung, Vận Tải Biển, Chăm Sóc Khách Hàng, Giao Tiếp, Global Logistics</t>
        </is>
      </c>
      <c r="M6561" t="inlineStr">
        <is>
          <t>Bonus, Healthcare Plan, Others</t>
        </is>
      </c>
      <c r="N6561" s="8">
        <f>HYPERLINK("https://www.vietnamworks.com/tro-ly-kinh-doanh--2017480-jv","Xem chi tiết")</f>
        <v/>
      </c>
    </row>
    <row r="6562">
      <c r="B6562" s="9" t="n">
        <v>6560</v>
      </c>
      <c r="C6562" s="10" t="inlineStr">
        <is>
          <t>Nhân Viên Chăm Sóc Khách Hàng Hàng Biển</t>
        </is>
      </c>
      <c r="D6562" s="10" t="inlineStr">
        <is>
          <t>CÔNG TY TNHH CTS INTERNATIONAL LOGISTICS (VIỆT NAM)</t>
        </is>
      </c>
      <c r="E6562" s="10" t="inlineStr">
        <is>
          <t>12tr-15tr ₫/tháng</t>
        </is>
      </c>
      <c r="F6562" s="10" t="inlineStr">
        <is>
          <t>Hồ Chí Minh</t>
        </is>
      </c>
      <c r="G6562" s="10" t="inlineStr">
        <is>
          <t>Mới Tốt Nghiệp</t>
        </is>
      </c>
      <c r="H6562" s="10" t="inlineStr">
        <is>
          <t>03/03/2026</t>
        </is>
      </c>
      <c r="I6562" s="10" t="inlineStr">
        <is>
          <t>02/04/2026</t>
        </is>
      </c>
      <c r="J6562" s="10" t="inlineStr">
        <is>
          <t>17/03/2026</t>
        </is>
      </c>
      <c r="K6562" s="10" t="inlineStr">
        <is>
          <t>N/A</t>
        </is>
      </c>
      <c r="L6562" s="10" t="inlineStr">
        <is>
          <t>Tiếng Trung, Vận Tải Biển, XNK Đường Biển, Hỗ Trợ Khách Hàng, Logistics</t>
        </is>
      </c>
      <c r="M6562" s="10" t="inlineStr">
        <is>
          <t>Bonus, Healthcare Plan, Others</t>
        </is>
      </c>
      <c r="N6562" s="11">
        <f>HYPERLINK("https://www.vietnamworks.com/nhan-vien-cham-soc-khach-hang-hang-bien-2017481-jv","Xem chi tiết")</f>
        <v/>
      </c>
      <c r="O6562" s="10" t="n"/>
    </row>
    <row r="6563">
      <c r="B6563" s="7" t="n">
        <v>6561</v>
      </c>
      <c r="C6563" t="inlineStr">
        <is>
          <t>Java Senior - Techlead English</t>
        </is>
      </c>
      <c r="D6563" t="inlineStr">
        <is>
          <t>Vietnamworks' Client</t>
        </is>
      </c>
      <c r="E6563" t="inlineStr">
        <is>
          <t>$$ 2,000-2,300 /tháng</t>
        </is>
      </c>
      <c r="F6563" t="inlineStr">
        <is>
          <t>Hà Nội</t>
        </is>
      </c>
      <c r="G6563" t="inlineStr">
        <is>
          <t>Nhân viên</t>
        </is>
      </c>
      <c r="H6563" t="inlineStr">
        <is>
          <t>03/03/2026</t>
        </is>
      </c>
      <c r="I6563" t="inlineStr">
        <is>
          <t>02/04/2026</t>
        </is>
      </c>
      <c r="J6563" t="inlineStr">
        <is>
          <t>17/03/2026</t>
        </is>
      </c>
      <c r="K6563" t="inlineStr">
        <is>
          <t>N/A</t>
        </is>
      </c>
      <c r="L6563" t="inlineStr">
        <is>
          <t>Java, English</t>
        </is>
      </c>
      <c r="M6563" t="inlineStr">
        <is>
          <t>Bonus, Healthcare Plan, Paid Leave</t>
        </is>
      </c>
      <c r="N6563" s="8">
        <f>HYPERLINK("https://www.vietnamworks.com/java-senior-techlead-english-2017484-jv","Xem chi tiết")</f>
        <v/>
      </c>
    </row>
    <row r="6564">
      <c r="B6564" s="9" t="n">
        <v>6562</v>
      </c>
      <c r="C6564" s="10" t="inlineStr">
        <is>
          <t>Process Validation Engineer</t>
        </is>
      </c>
      <c r="D6564" s="10" t="inlineStr">
        <is>
          <t>Công Ty TNHH Premo Việt Nam</t>
        </is>
      </c>
      <c r="E6564" s="10" t="inlineStr">
        <is>
          <t>Thương lượng</t>
        </is>
      </c>
      <c r="F6564" s="10" t="inlineStr">
        <is>
          <t>Quảng Nam</t>
        </is>
      </c>
      <c r="G6564" s="10" t="inlineStr">
        <is>
          <t>Nhân viên</t>
        </is>
      </c>
      <c r="H6564" s="10" t="inlineStr">
        <is>
          <t>03/03/2026</t>
        </is>
      </c>
      <c r="I6564" s="10" t="inlineStr">
        <is>
          <t>02/04/2026</t>
        </is>
      </c>
      <c r="J6564" s="10" t="inlineStr">
        <is>
          <t>17/03/2026</t>
        </is>
      </c>
      <c r="K6564" s="10" t="inlineStr">
        <is>
          <t>N/A</t>
        </is>
      </c>
      <c r="L6564" s="10" t="inlineStr">
        <is>
          <t>Electrical Design, Lean Manufacturing, Mechanical Drawing, Problem Solving, Process Validation</t>
        </is>
      </c>
      <c r="M6564" s="10" t="inlineStr">
        <is>
          <t>Healthcare Plan, Paid Leave, Training, Team Activities, Transportation, Others</t>
        </is>
      </c>
      <c r="N6564" s="11">
        <f>HYPERLINK("https://www.vietnamworks.com/process-validation-engineer-2017488-jv","Xem chi tiết")</f>
        <v/>
      </c>
      <c r="O6564" s="10" t="n"/>
    </row>
    <row r="6565">
      <c r="B6565" s="7" t="n">
        <v>6563</v>
      </c>
      <c r="C6565" t="inlineStr">
        <is>
          <t>Key Account Manager (Sales, Offshore, English)</t>
        </is>
      </c>
      <c r="D6565" t="inlineStr">
        <is>
          <t>CÔNG TY TNHH ĐẦU TƯ BEYOND COMPASS</t>
        </is>
      </c>
      <c r="E6565" t="inlineStr">
        <is>
          <t>$$ 500-1,000 /tháng</t>
        </is>
      </c>
      <c r="F6565" t="inlineStr">
        <is>
          <t>Hồ Chí Minh</t>
        </is>
      </c>
      <c r="G6565" t="inlineStr">
        <is>
          <t>Nhân viên</t>
        </is>
      </c>
      <c r="H6565" t="inlineStr">
        <is>
          <t>03/03/2026</t>
        </is>
      </c>
      <c r="I6565" t="inlineStr">
        <is>
          <t>02/04/2026</t>
        </is>
      </c>
      <c r="J6565" t="inlineStr">
        <is>
          <t>17/03/2026</t>
        </is>
      </c>
      <c r="K6565" t="inlineStr">
        <is>
          <t>N/A</t>
        </is>
      </c>
      <c r="L6565" t="inlineStr">
        <is>
          <t>English, Key Account Management, Sales, Offshore, Legal</t>
        </is>
      </c>
      <c r="M6565" t="inlineStr">
        <is>
          <t>Bonus, Training, Others</t>
        </is>
      </c>
      <c r="N6565" s="8">
        <f>HYPERLINK("https://www.vietnamworks.com/key-account-manager-sales-offshore-english--2017485-jv","Xem chi tiết")</f>
        <v/>
      </c>
    </row>
    <row r="6566">
      <c r="B6566" s="9" t="n">
        <v>6564</v>
      </c>
      <c r="C6566" s="10" t="inlineStr">
        <is>
          <t>Phó Phòng Hành Chính - Nhân Sự</t>
        </is>
      </c>
      <c r="D6566" s="10" t="inlineStr">
        <is>
          <t>Công Ty TNHH Spica Elastic Việt Nam</t>
        </is>
      </c>
      <c r="E6566" s="10" t="inlineStr">
        <is>
          <t>Thương lượng</t>
        </is>
      </c>
      <c r="F6566" s="10" t="inlineStr">
        <is>
          <t>Bắc Ninh</t>
        </is>
      </c>
      <c r="G6566" s="10" t="inlineStr">
        <is>
          <t>Trưởng phòng</t>
        </is>
      </c>
      <c r="H6566" s="10" t="inlineStr">
        <is>
          <t>03/03/2026</t>
        </is>
      </c>
      <c r="I6566" s="10" t="inlineStr">
        <is>
          <t>02/04/2026</t>
        </is>
      </c>
      <c r="J6566" s="10" t="inlineStr">
        <is>
          <t>17/03/2026</t>
        </is>
      </c>
      <c r="K6566" s="10" t="inlineStr">
        <is>
          <t>N/A</t>
        </is>
      </c>
      <c r="L6566" s="10" t="inlineStr">
        <is>
          <t>Recruitment Planning, Talent Management, Staff Management, Communication Skills, Organizational skills</t>
        </is>
      </c>
      <c r="M6566" s="10" t="inlineStr">
        <is>
          <t>Bonus, Healthcare Plan, Team Activities</t>
        </is>
      </c>
      <c r="N6566" s="11">
        <f>HYPERLINK("https://www.vietnamworks.com/pho-phong-hanh-chinh-nhan-su-2017493-jv","Xem chi tiết")</f>
        <v/>
      </c>
      <c r="O6566" s="10" t="n"/>
    </row>
    <row r="6567">
      <c r="B6567" s="7" t="n">
        <v>6565</v>
      </c>
      <c r="C6567" t="inlineStr">
        <is>
          <t>Distribution Compliance Executive</t>
        </is>
      </c>
      <c r="D6567" t="inlineStr">
        <is>
          <t>BIDV MetLife</t>
        </is>
      </c>
      <c r="E6567" t="inlineStr">
        <is>
          <t>Thương lượng</t>
        </is>
      </c>
      <c r="F6567" t="inlineStr">
        <is>
          <t>Hà Nội</t>
        </is>
      </c>
      <c r="G6567" t="inlineStr">
        <is>
          <t>Nhân viên</t>
        </is>
      </c>
      <c r="H6567" t="inlineStr">
        <is>
          <t>03/03/2026</t>
        </is>
      </c>
      <c r="I6567" t="inlineStr">
        <is>
          <t>02/04/2026</t>
        </is>
      </c>
      <c r="J6567" t="inlineStr">
        <is>
          <t>17/03/2026</t>
        </is>
      </c>
      <c r="K6567" t="inlineStr">
        <is>
          <t>N/A</t>
        </is>
      </c>
      <c r="L6567" t="inlineStr">
        <is>
          <t>Compliance Training, Analytical Skills, reporting skills, Communication Skills, Problem-solving</t>
        </is>
      </c>
      <c r="M6567" t="inlineStr">
        <is>
          <t>Bonus, Healthcare Plan, Paid Leave</t>
        </is>
      </c>
      <c r="N6567" s="8">
        <f>HYPERLINK("https://www.vietnamworks.com/distribution-compliance-executive-2017486-jv","Xem chi tiết")</f>
        <v/>
      </c>
    </row>
    <row r="6568">
      <c r="B6568" s="9" t="n">
        <v>6566</v>
      </c>
      <c r="C6568" s="10" t="inlineStr">
        <is>
          <t>Nhân Viên Chăm Sóc Khách Hàng Tiếng Nhật - Nghỉ Thứ 7, CN + Phụ Cấp Nhà Ở</t>
        </is>
      </c>
      <c r="D6568" s="10" t="inlineStr">
        <is>
          <t>Công Ty CP Thương Mại Và Tư Vấn Bất Động Sản Đại Lợi ( Property Plus)</t>
        </is>
      </c>
      <c r="E6568" s="10" t="inlineStr">
        <is>
          <t>10tr-12tr ₫/tháng</t>
        </is>
      </c>
      <c r="F6568" s="10" t="inlineStr">
        <is>
          <t>Hà Nội</t>
        </is>
      </c>
      <c r="G6568" s="10" t="inlineStr">
        <is>
          <t>Nhân viên</t>
        </is>
      </c>
      <c r="H6568" s="10" t="inlineStr">
        <is>
          <t>03/03/2026</t>
        </is>
      </c>
      <c r="I6568" s="10" t="inlineStr">
        <is>
          <t>02/04/2026</t>
        </is>
      </c>
      <c r="J6568" s="10" t="inlineStr">
        <is>
          <t>17/03/2026</t>
        </is>
      </c>
      <c r="K6568" s="10" t="inlineStr">
        <is>
          <t>N/A</t>
        </is>
      </c>
      <c r="L6568" s="10" t="inlineStr">
        <is>
          <t>Tiếng Nhật N2, Quản Lý Vấn Đề, Chăm Sóc Khách Hàng, Customer Care, Dịch Vụ Khách Hàng</t>
        </is>
      </c>
      <c r="M6568" s="10" t="inlineStr">
        <is>
          <t>Healthcare Plan, Training, Others</t>
        </is>
      </c>
      <c r="N6568" s="11">
        <f>HYPERLINK("https://www.vietnamworks.com/nhan-vien-cham-soc-khach-hang-tieng-nhat-nghi-thu-7-cn-phu-cap-nha-o-2017494-jv","Xem chi tiết")</f>
        <v/>
      </c>
      <c r="O6568" s="10" t="n"/>
    </row>
    <row r="6569">
      <c r="B6569" s="7" t="n">
        <v>6567</v>
      </c>
      <c r="C6569" t="inlineStr">
        <is>
          <t>Litigation Associate</t>
        </is>
      </c>
      <c r="D6569" t="inlineStr">
        <is>
          <t>Công Ty Luật TNHH Dentons Luật Việt</t>
        </is>
      </c>
      <c r="E6569" t="inlineStr">
        <is>
          <t>Thương lượng</t>
        </is>
      </c>
      <c r="F6569" t="inlineStr">
        <is>
          <t>Hồ Chí Minh</t>
        </is>
      </c>
      <c r="G6569" t="inlineStr">
        <is>
          <t>Nhân viên</t>
        </is>
      </c>
      <c r="H6569" t="inlineStr">
        <is>
          <t>03/03/2026</t>
        </is>
      </c>
      <c r="I6569" t="inlineStr">
        <is>
          <t>02/04/2026</t>
        </is>
      </c>
      <c r="J6569" t="inlineStr">
        <is>
          <t>17/03/2026</t>
        </is>
      </c>
      <c r="K6569" t="inlineStr">
        <is>
          <t>N/A</t>
        </is>
      </c>
      <c r="L6569" t="inlineStr">
        <is>
          <t>Legal Research, Client Representation, Drafting Documents, Dispute Settlement, Analytical Skills</t>
        </is>
      </c>
      <c r="M6569" t="inlineStr">
        <is>
          <t>Bonus, Healthcare Plan, Paid Leave, Training, Others</t>
        </is>
      </c>
      <c r="N6569" s="8">
        <f>HYPERLINK("https://www.vietnamworks.com/litigation-associate-2017489-jv","Xem chi tiết")</f>
        <v/>
      </c>
    </row>
    <row r="6570">
      <c r="B6570" s="9" t="n">
        <v>6568</v>
      </c>
      <c r="C6570" s="10" t="inlineStr">
        <is>
          <t>Customer Service Staff (Chinese Be Advance)</t>
        </is>
      </c>
      <c r="D6570" s="10" t="inlineStr">
        <is>
          <t>CÔNG TY TNHH COSCO SHIPPING LINES (VIỆT NAM)</t>
        </is>
      </c>
      <c r="E6570" s="10" t="inlineStr">
        <is>
          <t>Thương lượng</t>
        </is>
      </c>
      <c r="F6570" s="10" t="inlineStr">
        <is>
          <t>Hồ Chí Minh, Hải Phòng</t>
        </is>
      </c>
      <c r="G6570" s="10" t="inlineStr">
        <is>
          <t>Nhân viên</t>
        </is>
      </c>
      <c r="H6570" s="10" t="inlineStr">
        <is>
          <t>03/03/2026</t>
        </is>
      </c>
      <c r="I6570" s="10" t="inlineStr">
        <is>
          <t>02/04/2026</t>
        </is>
      </c>
      <c r="J6570" s="10" t="inlineStr">
        <is>
          <t>17/03/2026</t>
        </is>
      </c>
      <c r="K6570" s="10" t="inlineStr">
        <is>
          <t>N/A</t>
        </is>
      </c>
      <c r="L6570" s="10" t="inlineStr">
        <is>
          <t>Customer Service, Cargo Booking, English Communication, HSK 5, Shipping Line</t>
        </is>
      </c>
      <c r="M6570" s="10" t="inlineStr">
        <is>
          <t>Bonus, Healthcare Plan, Others</t>
        </is>
      </c>
      <c r="N6570" s="11">
        <f>HYPERLINK("https://www.vietnamworks.com/customer-service-staff-chinese-be-advance-2017492-jv","Xem chi tiết")</f>
        <v/>
      </c>
      <c r="O6570" s="10" t="n"/>
    </row>
    <row r="6571">
      <c r="B6571" s="7" t="n">
        <v>6569</v>
      </c>
      <c r="C6571" t="inlineStr">
        <is>
          <t>Kỹ Sư Giải Pháp (Network Solution Engineer)</t>
        </is>
      </c>
      <c r="D6571" t="inlineStr">
        <is>
          <t>Công Ty Cổ Phần Netnam</t>
        </is>
      </c>
      <c r="E6571" t="inlineStr">
        <is>
          <t>Tới $ 1,000 /tháng</t>
        </is>
      </c>
      <c r="F6571" t="inlineStr">
        <is>
          <t>Hà Nội</t>
        </is>
      </c>
      <c r="G6571" t="inlineStr">
        <is>
          <t>Nhân viên</t>
        </is>
      </c>
      <c r="H6571" t="inlineStr">
        <is>
          <t>03/03/2026</t>
        </is>
      </c>
      <c r="I6571" t="inlineStr">
        <is>
          <t>02/04/2026</t>
        </is>
      </c>
      <c r="J6571" t="inlineStr">
        <is>
          <t>17/03/2026</t>
        </is>
      </c>
      <c r="K6571" t="inlineStr">
        <is>
          <t>N/A</t>
        </is>
      </c>
      <c r="L6571" t="inlineStr">
        <is>
          <t>Cloud, Hệ Thống Mạng, Network Solutions, Switching System, Troubleshooting</t>
        </is>
      </c>
      <c r="M6571" t="inlineStr">
        <is>
          <t>Bonus, Healthcare Plan, Travel Opportunities, Team Activities, Others</t>
        </is>
      </c>
      <c r="N6571" s="8">
        <f>HYPERLINK("https://www.vietnamworks.com/ky-su-giai-phap-network-solution-engineer-2017501-jv","Xem chi tiết")</f>
        <v/>
      </c>
    </row>
    <row r="6572">
      <c r="B6572" s="9" t="n">
        <v>6570</v>
      </c>
      <c r="C6572" s="10" t="inlineStr">
        <is>
          <t>Chuyên Viên Vận Hành – Khai Báo Hải Quan</t>
        </is>
      </c>
      <c r="D6572" s="10" t="inlineStr">
        <is>
          <t>CÔNG TY TNHH PIL LOGISTICS VIỆT NAM</t>
        </is>
      </c>
      <c r="E6572" s="10" t="inlineStr">
        <is>
          <t>Thương lượng</t>
        </is>
      </c>
      <c r="F6572" s="10" t="inlineStr">
        <is>
          <t>Hồ Chí Minh</t>
        </is>
      </c>
      <c r="G6572" s="10" t="inlineStr">
        <is>
          <t>Nhân viên</t>
        </is>
      </c>
      <c r="H6572" s="10" t="inlineStr">
        <is>
          <t>03/03/2026</t>
        </is>
      </c>
      <c r="I6572" s="10" t="inlineStr">
        <is>
          <t>02/04/2026</t>
        </is>
      </c>
      <c r="J6572" s="10" t="inlineStr">
        <is>
          <t>17/03/2026</t>
        </is>
      </c>
      <c r="K6572" s="10" t="inlineStr">
        <is>
          <t>N/A</t>
        </is>
      </c>
      <c r="L6572" s="10" t="inlineStr">
        <is>
          <t>Shipping Management, Custom Clearance, Import &amp; Export, Khai Báo Hải Quan, Supply Chain Management</t>
        </is>
      </c>
      <c r="M6572" s="10" t="inlineStr">
        <is>
          <t>Bonus, Healthcare Plan, Paid Leave, Training, Others</t>
        </is>
      </c>
      <c r="N6572" s="11">
        <f>HYPERLINK("https://www.vietnamworks.com/chuyen-vien-van-hanh-khai-bao-hai-quan-2017491-jv","Xem chi tiết")</f>
        <v/>
      </c>
      <c r="O6572" s="10" t="n"/>
    </row>
    <row r="6573">
      <c r="B6573" s="7" t="n">
        <v>6571</v>
      </c>
      <c r="C6573" t="inlineStr">
        <is>
          <t>Sales Engineer (Electrical / Marine Equipment)</t>
        </is>
      </c>
      <c r="D6573" t="inlineStr">
        <is>
          <t>Công Ty TNHH Allied Eparts Việt Nam</t>
        </is>
      </c>
      <c r="E6573" t="inlineStr">
        <is>
          <t>Từ 12tr ₫/tháng</t>
        </is>
      </c>
      <c r="F6573" t="inlineStr">
        <is>
          <t>Hồ Chí Minh</t>
        </is>
      </c>
      <c r="G6573" t="inlineStr">
        <is>
          <t>Nhân viên</t>
        </is>
      </c>
      <c r="H6573" t="inlineStr">
        <is>
          <t>03/03/2026</t>
        </is>
      </c>
      <c r="I6573" t="inlineStr">
        <is>
          <t>02/04/2026</t>
        </is>
      </c>
      <c r="J6573" t="inlineStr">
        <is>
          <t>17/03/2026</t>
        </is>
      </c>
      <c r="K6573" t="inlineStr">
        <is>
          <t>N/A</t>
        </is>
      </c>
      <c r="L6573" t="inlineStr">
        <is>
          <t>Sales Engineering, Technical Sales, Electrical Systems, Technical Consulting, Marine equipment</t>
        </is>
      </c>
      <c r="M6573" t="inlineStr">
        <is>
          <t>Bonus, Healthcare Plan, Paid Leave, Training, Others</t>
        </is>
      </c>
      <c r="N6573" s="8">
        <f>HYPERLINK("https://www.vietnamworks.com/sales-engineer-electrical-marine-equipment-2017502-jv","Xem chi tiết")</f>
        <v/>
      </c>
    </row>
    <row r="6574">
      <c r="B6574" s="9" t="n">
        <v>6572</v>
      </c>
      <c r="C6574" s="10" t="inlineStr">
        <is>
          <t>Nhân Viên Kế Toán</t>
        </is>
      </c>
      <c r="D6574" s="10" t="inlineStr">
        <is>
          <t>One Smart Star Vietnam</t>
        </is>
      </c>
      <c r="E6574" s="10" t="inlineStr">
        <is>
          <t>10tr-15tr ₫/tháng</t>
        </is>
      </c>
      <c r="F6574" s="10" t="inlineStr">
        <is>
          <t>Hà Nội</t>
        </is>
      </c>
      <c r="G6574" s="10" t="inlineStr">
        <is>
          <t>Nhân viên</t>
        </is>
      </c>
      <c r="H6574" s="10" t="inlineStr">
        <is>
          <t>03/03/2026</t>
        </is>
      </c>
      <c r="I6574" s="10" t="inlineStr">
        <is>
          <t>02/04/2026</t>
        </is>
      </c>
      <c r="J6574" s="10" t="inlineStr">
        <is>
          <t>17/03/2026</t>
        </is>
      </c>
      <c r="K6574" s="10" t="inlineStr">
        <is>
          <t>N/A</t>
        </is>
      </c>
      <c r="L6574" s="10" t="inlineStr">
        <is>
          <t>Kế Toán Tổng Hợp, Lập Báo Cáo Doanh Thu, Quản Lý Hóa Đơn, Kê Khai Thuế, Excel</t>
        </is>
      </c>
      <c r="M6574" s="10" t="inlineStr">
        <is>
          <t>Bonus, Healthcare Plan, Team Activities</t>
        </is>
      </c>
      <c r="N6574" s="11">
        <f>HYPERLINK("https://www.vietnamworks.com/nhan-vien-ke-toan--2017503-jv","Xem chi tiết")</f>
        <v/>
      </c>
      <c r="O6574" s="10" t="n"/>
    </row>
    <row r="6575">
      <c r="B6575" s="7" t="n">
        <v>6573</v>
      </c>
      <c r="C6575" t="inlineStr">
        <is>
          <t>Senior Officer Technology Risk Management</t>
        </is>
      </c>
      <c r="D6575" t="inlineStr">
        <is>
          <t>Techcombank</t>
        </is>
      </c>
      <c r="E6575" t="inlineStr">
        <is>
          <t>$$ 2,500-3,500 /tháng</t>
        </is>
      </c>
      <c r="F6575" t="inlineStr">
        <is>
          <t>Hà Nội</t>
        </is>
      </c>
      <c r="G6575" t="inlineStr">
        <is>
          <t>Nhân viên</t>
        </is>
      </c>
      <c r="H6575" t="inlineStr">
        <is>
          <t>03/03/2026</t>
        </is>
      </c>
      <c r="I6575" t="inlineStr">
        <is>
          <t>02/04/2026</t>
        </is>
      </c>
      <c r="J6575" t="inlineStr">
        <is>
          <t>17/03/2026</t>
        </is>
      </c>
      <c r="K6575" t="inlineStr">
        <is>
          <t>N/A</t>
        </is>
      </c>
      <c r="L6575" t="inlineStr">
        <is>
          <t>Banking, Information security, Information System, IT Risk Management, IT Audit</t>
        </is>
      </c>
      <c r="M6575" t="inlineStr">
        <is>
          <t>Bonus, Healthcare Plan, Paid Leave</t>
        </is>
      </c>
      <c r="N6575" s="8">
        <f>HYPERLINK("https://www.vietnamworks.com/senior-officer-technology-risk-management-2017499-jv","Xem chi tiết")</f>
        <v/>
      </c>
    </row>
    <row r="6576">
      <c r="B6576" s="9" t="n">
        <v>6574</v>
      </c>
      <c r="C6576" s="10" t="inlineStr">
        <is>
          <t>Export Documentation Staff</t>
        </is>
      </c>
      <c r="D6576" s="10" t="inlineStr">
        <is>
          <t>CÔNG TY TNHH COSCO SHIPPING LINES (VIỆT NAM)</t>
        </is>
      </c>
      <c r="E6576" s="10" t="inlineStr">
        <is>
          <t>Thương lượng</t>
        </is>
      </c>
      <c r="F6576" s="10" t="inlineStr">
        <is>
          <t>Hồ Chí Minh</t>
        </is>
      </c>
      <c r="G6576" s="10" t="inlineStr">
        <is>
          <t>Nhân viên</t>
        </is>
      </c>
      <c r="H6576" s="10" t="inlineStr">
        <is>
          <t>03/03/2026</t>
        </is>
      </c>
      <c r="I6576" s="10" t="inlineStr">
        <is>
          <t>02/04/2026</t>
        </is>
      </c>
      <c r="J6576" s="10" t="inlineStr">
        <is>
          <t>17/03/2026</t>
        </is>
      </c>
      <c r="K6576" s="10" t="inlineStr">
        <is>
          <t>N/A</t>
        </is>
      </c>
      <c r="L6576" s="10" t="inlineStr">
        <is>
          <t>Chinese, English, Shipping Line, Handling documents, Export</t>
        </is>
      </c>
      <c r="M6576" s="10" t="inlineStr">
        <is>
          <t>Bonus, Healthcare Plan, Others</t>
        </is>
      </c>
      <c r="N6576" s="11">
        <f>HYPERLINK("https://www.vietnamworks.com/export-documentation-staff-2017504-jv","Xem chi tiết")</f>
        <v/>
      </c>
      <c r="O6576" s="10" t="n"/>
    </row>
    <row r="6577">
      <c r="B6577" s="7" t="n">
        <v>6575</v>
      </c>
      <c r="C6577" t="inlineStr">
        <is>
          <t>Chuyên Viên Cao Cấp Kiểm Toán Nội Bộ</t>
        </is>
      </c>
      <c r="D6577" t="inlineStr">
        <is>
          <t>CÔNG TY TNHH LEGACY VOYAGES VIỆT NAM</t>
        </is>
      </c>
      <c r="E6577" t="inlineStr">
        <is>
          <t>Thương lượng</t>
        </is>
      </c>
      <c r="F6577" t="inlineStr">
        <is>
          <t>Hà Nội</t>
        </is>
      </c>
      <c r="G6577" t="inlineStr">
        <is>
          <t>Nhân viên</t>
        </is>
      </c>
      <c r="H6577" t="inlineStr">
        <is>
          <t>03/03/2026</t>
        </is>
      </c>
      <c r="I6577" t="inlineStr">
        <is>
          <t>02/04/2026</t>
        </is>
      </c>
      <c r="J6577" t="inlineStr">
        <is>
          <t>17/03/2026</t>
        </is>
      </c>
      <c r="K6577" t="inlineStr">
        <is>
          <t>N/A</t>
        </is>
      </c>
      <c r="L6577" t="inlineStr">
        <is>
          <t>Risk Management, Internal Audit, Compliance Auditing, Audit, Analytical Thinking</t>
        </is>
      </c>
      <c r="M6577" t="inlineStr">
        <is>
          <t>Bonus, Paid Leave, Travel Opportunities</t>
        </is>
      </c>
      <c r="N6577" s="8">
        <f>HYPERLINK("https://www.vietnamworks.com/chuyen-vien-cao-cap-kiem-toan-noi-bo--2017498-jv","Xem chi tiết")</f>
        <v/>
      </c>
    </row>
    <row r="6578">
      <c r="B6578" s="9" t="n">
        <v>6576</v>
      </c>
      <c r="C6578" s="10" t="inlineStr">
        <is>
          <t>Giám Đốc Phòng Kinh Doanh</t>
        </is>
      </c>
      <c r="D6578" s="10" t="inlineStr">
        <is>
          <t>Ngân Hàng TMCP Quốc Tế Việt Nam (VIB)</t>
        </is>
      </c>
      <c r="E6578" s="10" t="inlineStr">
        <is>
          <t>$$ 1,000-2,000 /tháng</t>
        </is>
      </c>
      <c r="F6578" s="10" t="inlineStr">
        <is>
          <t>Vĩnh Phúc, Hà Nội</t>
        </is>
      </c>
      <c r="G6578" s="10" t="inlineStr">
        <is>
          <t>Trưởng phòng</t>
        </is>
      </c>
      <c r="H6578" s="10" t="inlineStr">
        <is>
          <t>03/03/2026</t>
        </is>
      </c>
      <c r="I6578" s="10" t="inlineStr">
        <is>
          <t>02/04/2026</t>
        </is>
      </c>
      <c r="J6578" s="10" t="inlineStr">
        <is>
          <t>17/03/2026</t>
        </is>
      </c>
      <c r="K6578" s="10" t="inlineStr">
        <is>
          <t>N/A</t>
        </is>
      </c>
      <c r="L6578" s="10" t="inlineStr">
        <is>
          <t>Tài Chính Ngân Hàng, Quản Lý, Kinh Doanh, Cho Vay Tín Dụng, Bảo Hiểm</t>
        </is>
      </c>
      <c r="M6578" s="10" t="inlineStr">
        <is>
          <t>Bonus, Awards, Laptop</t>
        </is>
      </c>
      <c r="N6578" s="11">
        <f>HYPERLINK("https://www.vietnamworks.com/giam-doc-phong-kinh-doanh--2017487-jv","Xem chi tiết")</f>
        <v/>
      </c>
      <c r="O6578" s="10" t="n"/>
    </row>
    <row r="6579">
      <c r="B6579" s="7" t="n">
        <v>6577</v>
      </c>
      <c r="C6579" t="inlineStr">
        <is>
          <t>Expert Technology Risk Management</t>
        </is>
      </c>
      <c r="D6579" t="inlineStr">
        <is>
          <t>Techcombank</t>
        </is>
      </c>
      <c r="E6579" t="inlineStr">
        <is>
          <t>$$ 2,500-3,500 /tháng</t>
        </is>
      </c>
      <c r="F6579" t="inlineStr">
        <is>
          <t>Hà Nội</t>
        </is>
      </c>
      <c r="G6579" t="inlineStr">
        <is>
          <t>Nhân viên</t>
        </is>
      </c>
      <c r="H6579" t="inlineStr">
        <is>
          <t>03/03/2026</t>
        </is>
      </c>
      <c r="I6579" t="inlineStr">
        <is>
          <t>02/04/2026</t>
        </is>
      </c>
      <c r="J6579" t="inlineStr">
        <is>
          <t>17/03/2026</t>
        </is>
      </c>
      <c r="K6579" t="inlineStr">
        <is>
          <t>N/A</t>
        </is>
      </c>
      <c r="L6579" t="inlineStr">
        <is>
          <t>Banking, Information security, Information System, IT Risk Management, Information Technology</t>
        </is>
      </c>
      <c r="M6579" t="inlineStr">
        <is>
          <t>Bonus, Healthcare Plan, Paid Leave</t>
        </is>
      </c>
      <c r="N6579" s="8">
        <f>HYPERLINK("https://www.vietnamworks.com/expert-technology-risk-management-2017507-jv","Xem chi tiết")</f>
        <v/>
      </c>
    </row>
    <row r="6580">
      <c r="B6580" s="9" t="n">
        <v>6578</v>
      </c>
      <c r="C6580" s="10" t="inlineStr">
        <is>
          <t>Nhân Viên Tư Vấn Khóa Học Online/ Telesales/ Online Sales (Data Có Sẵn, Thử Việc Nhận Full Lương) - Phú Nhuận, Bình Thạnh, Gò Vấp</t>
        </is>
      </c>
      <c r="D6580" s="10" t="inlineStr">
        <is>
          <t>VUS - The English Center</t>
        </is>
      </c>
      <c r="E6580" s="10" t="inlineStr">
        <is>
          <t>$$ 350-800 /tháng</t>
        </is>
      </c>
      <c r="F6580" s="10" t="inlineStr">
        <is>
          <t>Hồ Chí Minh</t>
        </is>
      </c>
      <c r="G6580" s="10" t="inlineStr">
        <is>
          <t>Nhân viên</t>
        </is>
      </c>
      <c r="H6580" s="10" t="inlineStr">
        <is>
          <t>03/03/2026</t>
        </is>
      </c>
      <c r="I6580" s="10" t="inlineStr">
        <is>
          <t>02/04/2026</t>
        </is>
      </c>
      <c r="J6580" s="10" t="inlineStr">
        <is>
          <t>17/03/2026</t>
        </is>
      </c>
      <c r="K6580" s="10" t="inlineStr">
        <is>
          <t>N/A</t>
        </is>
      </c>
      <c r="L6580" s="10" t="inlineStr">
        <is>
          <t>Telesales, Customer Service, Sales, Telesales &amp; Call Center Management, Online Sales &amp; Customer Support</t>
        </is>
      </c>
      <c r="M6580" s="10" t="inlineStr">
        <is>
          <t>Bonus, Healthcare Plan, Training, Awards, Laptop, Team Activities, Vouchers, Others</t>
        </is>
      </c>
      <c r="N6580" s="11">
        <f>HYPERLINK("https://www.vietnamworks.com/nhan-vien-tu-van-khoa-hoc-online-telesales-online-sales-data-co-san-thu-viec-nhan-full-luong-phu-nhuan-binh-thanh-go-vap-2017490-jv","Xem chi tiết")</f>
        <v/>
      </c>
      <c r="O6580" s="10" t="n"/>
    </row>
    <row r="6581">
      <c r="B6581" s="7" t="n">
        <v>6579</v>
      </c>
      <c r="C6581" t="inlineStr">
        <is>
          <t>Business Development Executive</t>
        </is>
      </c>
      <c r="D6581" t="inlineStr">
        <is>
          <t>Odyssey Resources (Vietnam) Limited.</t>
        </is>
      </c>
      <c r="E6581" t="inlineStr">
        <is>
          <t>Thương lượng</t>
        </is>
      </c>
      <c r="F6581" t="inlineStr">
        <is>
          <t>Hồ Chí Minh</t>
        </is>
      </c>
      <c r="G6581" t="inlineStr">
        <is>
          <t>Nhân viên</t>
        </is>
      </c>
      <c r="H6581" t="inlineStr">
        <is>
          <t>03/03/2026</t>
        </is>
      </c>
      <c r="I6581" t="inlineStr">
        <is>
          <t>02/04/2026</t>
        </is>
      </c>
      <c r="J6581" t="inlineStr">
        <is>
          <t>17/03/2026</t>
        </is>
      </c>
      <c r="K6581" t="inlineStr">
        <is>
          <t>N/A</t>
        </is>
      </c>
      <c r="L6581" t="inlineStr">
        <is>
          <t>Partnership Development, Professional Communication, English proficiency</t>
        </is>
      </c>
      <c r="M6581" t="inlineStr">
        <is>
          <t>Paid Leave, Team Activities</t>
        </is>
      </c>
      <c r="N6581" s="8">
        <f>HYPERLINK("https://www.vietnamworks.com/business-development-executive--2017506-jv","Xem chi tiết")</f>
        <v/>
      </c>
    </row>
    <row r="6582">
      <c r="B6582" s="9" t="n">
        <v>6580</v>
      </c>
      <c r="C6582" s="10" t="inlineStr">
        <is>
          <t>Export &amp; Import Document - Haiphong (Freight Forwarding)</t>
        </is>
      </c>
      <c r="D6582" s="10" t="inlineStr">
        <is>
          <t>Ecu Worldwide Vietnam</t>
        </is>
      </c>
      <c r="E6582" s="10" t="inlineStr">
        <is>
          <t>Thương lượng</t>
        </is>
      </c>
      <c r="F6582" s="10" t="inlineStr">
        <is>
          <t>Hải Phòng</t>
        </is>
      </c>
      <c r="G6582" s="10" t="inlineStr">
        <is>
          <t>Nhân viên</t>
        </is>
      </c>
      <c r="H6582" s="10" t="inlineStr">
        <is>
          <t>03/03/2026</t>
        </is>
      </c>
      <c r="I6582" s="10" t="inlineStr">
        <is>
          <t>02/04/2026</t>
        </is>
      </c>
      <c r="J6582" s="10" t="inlineStr">
        <is>
          <t>17/03/2026</t>
        </is>
      </c>
      <c r="K6582" s="10" t="inlineStr">
        <is>
          <t>N/A</t>
        </is>
      </c>
      <c r="L6582" s="10" t="inlineStr">
        <is>
          <t>International Business, Logistics, Economics, Foreign Trade, Export &amp; Import Documentation</t>
        </is>
      </c>
      <c r="M6582" s="10" t="inlineStr">
        <is>
          <t>Bonus, Healthcare Plan, Training</t>
        </is>
      </c>
      <c r="N6582" s="11">
        <f>HYPERLINK("https://www.vietnamworks.com/export-and-import-document-haiphong-freight-forwarding-2017511-jv","Xem chi tiết")</f>
        <v/>
      </c>
      <c r="O6582" s="10" t="n"/>
    </row>
    <row r="6583">
      <c r="B6583" s="7" t="n">
        <v>6581</v>
      </c>
      <c r="C6583" t="inlineStr">
        <is>
          <t>Senior Structural Engineer</t>
        </is>
      </c>
      <c r="D6583" t="inlineStr">
        <is>
          <t>Aurecon Vietnam</t>
        </is>
      </c>
      <c r="E6583" t="inlineStr">
        <is>
          <t>Thương lượng</t>
        </is>
      </c>
      <c r="F6583" t="inlineStr">
        <is>
          <t>Hồ Chí Minh</t>
        </is>
      </c>
      <c r="G6583" t="inlineStr">
        <is>
          <t>Nhân viên</t>
        </is>
      </c>
      <c r="H6583" t="inlineStr">
        <is>
          <t>03/03/2026</t>
        </is>
      </c>
      <c r="I6583" t="inlineStr">
        <is>
          <t>02/04/2026</t>
        </is>
      </c>
      <c r="J6583" t="inlineStr">
        <is>
          <t>17/03/2026</t>
        </is>
      </c>
      <c r="K6583" t="inlineStr">
        <is>
          <t>N/A</t>
        </is>
      </c>
      <c r="L6583" t="inlineStr">
        <is>
          <t>Structural Engineering, Project Management, Structural Analysis, English Communication, Etabs</t>
        </is>
      </c>
      <c r="M6583" t="inlineStr">
        <is>
          <t>Bonus, Healthcare Plan, Paid Leave, Training, Others</t>
        </is>
      </c>
      <c r="N6583" s="8">
        <f>HYPERLINK("https://www.vietnamworks.com/senior-structural-engineer-2017516-jv","Xem chi tiết")</f>
        <v/>
      </c>
    </row>
    <row r="6584">
      <c r="B6584" s="9" t="n">
        <v>6582</v>
      </c>
      <c r="C6584" s="10" t="inlineStr">
        <is>
          <t>Chuyên Viên Lập Kế Hoạch - Sự Kiện Tài Chính (Financial Event Planner)</t>
        </is>
      </c>
      <c r="D6584" s="10" t="inlineStr">
        <is>
          <t>CÔNG TY TNHH WANTONG TECHNOLOGY</t>
        </is>
      </c>
      <c r="E6584" s="10" t="inlineStr">
        <is>
          <t>Thương lượng</t>
        </is>
      </c>
      <c r="F6584" s="10" t="inlineStr">
        <is>
          <t>Hồ Chí Minh</t>
        </is>
      </c>
      <c r="G6584" s="10" t="inlineStr">
        <is>
          <t>Nhân viên</t>
        </is>
      </c>
      <c r="H6584" s="10" t="inlineStr">
        <is>
          <t>03/03/2026</t>
        </is>
      </c>
      <c r="I6584" s="10" t="inlineStr">
        <is>
          <t>02/04/2026</t>
        </is>
      </c>
      <c r="J6584" s="10" t="inlineStr">
        <is>
          <t>17/03/2026</t>
        </is>
      </c>
      <c r="K6584" s="10" t="inlineStr">
        <is>
          <t>N/A</t>
        </is>
      </c>
      <c r="L6584" s="10" t="inlineStr">
        <is>
          <t>Giải Quyết Vấn Đề, Giao Tiếp, Làm Việc Nhóm, Lập Kế Hoạch Tài Chính, Tổ Chức Sự Kiện</t>
        </is>
      </c>
      <c r="M6584" s="10" t="inlineStr">
        <is>
          <t>Bonus, Training, Others</t>
        </is>
      </c>
      <c r="N6584" s="11">
        <f>HYPERLINK("https://www.vietnamworks.com/chuyen-vien-lap-ke-hoach-su-kien-tai-chinh-financial-event-planner-2017515-jv","Xem chi tiết")</f>
        <v/>
      </c>
      <c r="O6584" s="10" t="n"/>
    </row>
    <row r="6585">
      <c r="B6585" s="7" t="n">
        <v>6583</v>
      </c>
      <c r="C6585" t="inlineStr">
        <is>
          <t>Operation Staff</t>
        </is>
      </c>
      <c r="D6585" t="inlineStr">
        <is>
          <t>CÔNG TY TNHH COSCO SHIPPING LINES (VIỆT NAM)</t>
        </is>
      </c>
      <c r="E6585" t="inlineStr">
        <is>
          <t>Thương lượng</t>
        </is>
      </c>
      <c r="F6585" t="inlineStr">
        <is>
          <t>Hải Phòng</t>
        </is>
      </c>
      <c r="G6585" t="inlineStr">
        <is>
          <t>Nhân viên</t>
        </is>
      </c>
      <c r="H6585" t="inlineStr">
        <is>
          <t>03/03/2026</t>
        </is>
      </c>
      <c r="I6585" t="inlineStr">
        <is>
          <t>02/04/2026</t>
        </is>
      </c>
      <c r="J6585" t="inlineStr">
        <is>
          <t>17/03/2026</t>
        </is>
      </c>
      <c r="K6585" t="inlineStr">
        <is>
          <t>N/A</t>
        </is>
      </c>
      <c r="L6585" t="inlineStr">
        <is>
          <t>Shipping Lines, English Communication, Import/Export Documentation, Vessel Operations, VNSW</t>
        </is>
      </c>
      <c r="M6585" t="inlineStr">
        <is>
          <t>Bonus, Healthcare Plan, Others</t>
        </is>
      </c>
      <c r="N6585" s="8">
        <f>HYPERLINK("https://www.vietnamworks.com/operation-staff-2017512-jv","Xem chi tiết")</f>
        <v/>
      </c>
    </row>
    <row r="6586">
      <c r="B6586" s="9" t="n">
        <v>6584</v>
      </c>
      <c r="C6586" s="10" t="inlineStr">
        <is>
          <t>Nhân Viên Hành Chính Nhân Sự Tổng Hợp</t>
        </is>
      </c>
      <c r="D6586" s="10" t="inlineStr">
        <is>
          <t>Slimcase</t>
        </is>
      </c>
      <c r="E6586" s="10" t="inlineStr">
        <is>
          <t>13tr-16tr ₫/tháng</t>
        </is>
      </c>
      <c r="F6586" s="10" t="inlineStr">
        <is>
          <t>Hồ Chí Minh</t>
        </is>
      </c>
      <c r="G6586" s="10" t="inlineStr">
        <is>
          <t>Nhân viên</t>
        </is>
      </c>
      <c r="H6586" s="10" t="inlineStr">
        <is>
          <t>03/03/2026</t>
        </is>
      </c>
      <c r="I6586" s="10" t="inlineStr">
        <is>
          <t>02/04/2026</t>
        </is>
      </c>
      <c r="J6586" s="10" t="inlineStr">
        <is>
          <t>17/03/2026</t>
        </is>
      </c>
      <c r="K6586" s="10" t="inlineStr">
        <is>
          <t>N/A</t>
        </is>
      </c>
      <c r="L6586" s="10" t="inlineStr">
        <is>
          <t>Tuyển Dụng, Nhân Sự, Hành Chính Nhân Sự, Hành Chính, C&amp;B</t>
        </is>
      </c>
      <c r="M6586" s="10" t="inlineStr">
        <is>
          <t>Bonus, Healthcare Plan, Team Activities</t>
        </is>
      </c>
      <c r="N6586" s="11">
        <f>HYPERLINK("https://www.vietnamworks.com/nhan-vien-hanh-chinh-nhan-su-tong-hop--2017523-jv","Xem chi tiết")</f>
        <v/>
      </c>
      <c r="O6586" s="10" t="n"/>
    </row>
    <row r="6587">
      <c r="B6587" s="7" t="n">
        <v>6585</v>
      </c>
      <c r="C6587" t="inlineStr">
        <is>
          <t>Tecnhnical Support Manager</t>
        </is>
      </c>
      <c r="D6587" t="inlineStr">
        <is>
          <t>Công ty TNHH Tozen Corporation Việt Nam</t>
        </is>
      </c>
      <c r="E6587" t="inlineStr">
        <is>
          <t>Thương lượng</t>
        </is>
      </c>
      <c r="F6587" t="inlineStr">
        <is>
          <t>Hà Nội</t>
        </is>
      </c>
      <c r="G6587" t="inlineStr">
        <is>
          <t>Trưởng phòng</t>
        </is>
      </c>
      <c r="H6587" t="inlineStr">
        <is>
          <t>03/03/2026</t>
        </is>
      </c>
      <c r="I6587" t="inlineStr">
        <is>
          <t>02/04/2026</t>
        </is>
      </c>
      <c r="J6587" t="inlineStr">
        <is>
          <t>17/03/2026</t>
        </is>
      </c>
      <c r="K6587" t="inlineStr">
        <is>
          <t>N/A</t>
        </is>
      </c>
      <c r="L6587" t="inlineStr">
        <is>
          <t>Building Management, Building Technology, Mechanical Engineering, Technical Maintenance, Technical Management</t>
        </is>
      </c>
      <c r="M6587" t="inlineStr">
        <is>
          <t>Bonus, Healthcare Plan, Others</t>
        </is>
      </c>
      <c r="N6587" s="8">
        <f>HYPERLINK("https://www.vietnamworks.com/tecnhnical-support-manager-2017524-jv","Xem chi tiết")</f>
        <v/>
      </c>
    </row>
    <row r="6588">
      <c r="B6588" s="9" t="n">
        <v>6586</v>
      </c>
      <c r="C6588" s="10" t="inlineStr">
        <is>
          <t>Phó Phòng Kinh Doanh F&amp;B (Thu Nhập 30 - 45 Triệu/tháng)</t>
        </is>
      </c>
      <c r="D6588" s="10" t="inlineStr">
        <is>
          <t>Công Ty Cổ Phần Đầu Tư Long Biên</t>
        </is>
      </c>
      <c r="E6588" s="10" t="inlineStr">
        <is>
          <t>30tr-45tr ₫/tháng</t>
        </is>
      </c>
      <c r="F6588" s="10" t="inlineStr">
        <is>
          <t>Hà Nội</t>
        </is>
      </c>
      <c r="G6588" s="10" t="inlineStr">
        <is>
          <t>Trưởng phòng</t>
        </is>
      </c>
      <c r="H6588" s="10" t="inlineStr">
        <is>
          <t>03/03/2026</t>
        </is>
      </c>
      <c r="I6588" s="10" t="inlineStr">
        <is>
          <t>02/04/2026</t>
        </is>
      </c>
      <c r="J6588" s="10" t="inlineStr">
        <is>
          <t>17/03/2026</t>
        </is>
      </c>
      <c r="K6588" s="10" t="inlineStr">
        <is>
          <t>N/A</t>
        </is>
      </c>
      <c r="L6588" s="10" t="inlineStr">
        <is>
          <t>Quản Lý Kinh Doanh, Kinh Doanh, Phân Tích Chiến Lược, Phát Triển Dự Án, Chính Trực</t>
        </is>
      </c>
      <c r="M6588" s="10" t="inlineStr">
        <is>
          <t>Bonus, Healthcare Plan, Training, Canteen, Others</t>
        </is>
      </c>
      <c r="N6588" s="11">
        <f>HYPERLINK("https://www.vietnamworks.com/pho-phong-kinh-doanh-f-b-thu-nhap-30-45-trieu-thang-2017526-jv","Xem chi tiết")</f>
        <v/>
      </c>
      <c r="O6588" s="10" t="n"/>
    </row>
    <row r="6589">
      <c r="B6589" s="7" t="n">
        <v>6587</v>
      </c>
      <c r="C6589" t="inlineStr">
        <is>
          <t>Nhân Viên Vận Hành Máy (Nhà Máy Sản Xuất Bia) - Thu Nhập Upto 20Tr/ Tháng</t>
        </is>
      </c>
      <c r="D6589" t="inlineStr">
        <is>
          <t>CÔNG TY CỔ PHẦN THỰC PHẨM VÀ ĐỒ UỐNG THỦ ĐÔ</t>
        </is>
      </c>
      <c r="E6589" t="inlineStr">
        <is>
          <t>9tr-20tr ₫/tháng</t>
        </is>
      </c>
      <c r="F6589" t="inlineStr">
        <is>
          <t>Hà Nội</t>
        </is>
      </c>
      <c r="G6589" t="inlineStr">
        <is>
          <t>Mới Tốt Nghiệp</t>
        </is>
      </c>
      <c r="H6589" t="inlineStr">
        <is>
          <t>03/03/2026</t>
        </is>
      </c>
      <c r="I6589" t="inlineStr">
        <is>
          <t>02/04/2026</t>
        </is>
      </c>
      <c r="J6589" t="inlineStr">
        <is>
          <t>17/03/2026</t>
        </is>
      </c>
      <c r="K6589" t="inlineStr">
        <is>
          <t>N/A</t>
        </is>
      </c>
      <c r="L6589" t="inlineStr">
        <is>
          <t>Vận Hành Máy Móc, Kiểm Tra Bo Mạch Điện Tử, An Toàn Lao Động, 5S, Cơ Điện</t>
        </is>
      </c>
      <c r="M6589" t="inlineStr">
        <is>
          <t>Bonus, Healthcare Plan, Others</t>
        </is>
      </c>
      <c r="N6589" s="8">
        <f>HYPERLINK("https://www.vietnamworks.com/nhan-vien-van-hanh-may-nha-may-san-xuat-bia-thu-nhap-upto-20tr-thang-2017528-jv","Xem chi tiết")</f>
        <v/>
      </c>
    </row>
    <row r="6590">
      <c r="B6590" s="9" t="n">
        <v>6588</v>
      </c>
      <c r="C6590" s="10" t="inlineStr">
        <is>
          <t>Nhân Viên Phòng Xuất Nhập Khẩu (Import-Export Staff)</t>
        </is>
      </c>
      <c r="D6590" s="10" t="inlineStr">
        <is>
          <t>Dorco Vina Co., Ltd</t>
        </is>
      </c>
      <c r="E6590" s="10" t="inlineStr">
        <is>
          <t>9.7tr-11tr ₫/tháng</t>
        </is>
      </c>
      <c r="F6590" s="10" t="inlineStr">
        <is>
          <t>Hưng Yên</t>
        </is>
      </c>
      <c r="G6590" s="10" t="inlineStr">
        <is>
          <t>Mới Tốt Nghiệp</t>
        </is>
      </c>
      <c r="H6590" s="10" t="inlineStr">
        <is>
          <t>03/03/2026</t>
        </is>
      </c>
      <c r="I6590" s="10" t="inlineStr">
        <is>
          <t>02/04/2026</t>
        </is>
      </c>
      <c r="J6590" s="10" t="inlineStr">
        <is>
          <t>17/03/2026</t>
        </is>
      </c>
      <c r="K6590" s="10" t="inlineStr">
        <is>
          <t>N/A</t>
        </is>
      </c>
      <c r="L6590" s="10" t="inlineStr">
        <is>
          <t>Làm Việc Nhóm, Phần mềm văn phòng, Quản Lý Thời Gian, Tiếng Anh Căn Bản, Xuất Nhập Khẩu</t>
        </is>
      </c>
      <c r="M6590" s="10" t="inlineStr">
        <is>
          <t>Bonus, Healthcare Plan, Paid Leave, Canteen, Others</t>
        </is>
      </c>
      <c r="N6590" s="11">
        <f>HYPERLINK("https://www.vietnamworks.com/nhan-vien-phong-xuat-nhap-khau-import-export-staff-2017510-jv","Xem chi tiết")</f>
        <v/>
      </c>
      <c r="O6590" s="10" t="n"/>
    </row>
    <row r="6591">
      <c r="B6591" s="7" t="n">
        <v>6589</v>
      </c>
      <c r="C6591" t="inlineStr">
        <is>
          <t>Giám Đốc Ban Quản Lý Tòa Nhà</t>
        </is>
      </c>
      <c r="D6591" t="inlineStr">
        <is>
          <t>Công Ty Cổ Phần Quản Lý Và Khai Thác Tài Sản Dầu Khí (PSA)</t>
        </is>
      </c>
      <c r="E6591" t="inlineStr">
        <is>
          <t>Thương lượng</t>
        </is>
      </c>
      <c r="F6591" t="inlineStr">
        <is>
          <t>Hải Phòng</t>
        </is>
      </c>
      <c r="G6591" t="inlineStr">
        <is>
          <t>Trưởng phòng</t>
        </is>
      </c>
      <c r="H6591" t="inlineStr">
        <is>
          <t>03/03/2026</t>
        </is>
      </c>
      <c r="I6591" t="inlineStr">
        <is>
          <t>02/04/2026</t>
        </is>
      </c>
      <c r="J6591" t="inlineStr">
        <is>
          <t>17/03/2026</t>
        </is>
      </c>
      <c r="K6591" t="inlineStr">
        <is>
          <t>N/A</t>
        </is>
      </c>
      <c r="L6591" t="inlineStr">
        <is>
          <t>Đàm Phán, Quản Lý Kỹ Thuật, Quản Lý Nhân Sự, Quản Lý Vận Hành Tòa Nhà, Sửa Chữa Thiết Bị</t>
        </is>
      </c>
      <c r="M6591" t="inlineStr">
        <is>
          <t>Bonus, Healthcare Plan, Paid Leave, Training, Others</t>
        </is>
      </c>
      <c r="N6591" s="8">
        <f>HYPERLINK("https://www.vietnamworks.com/giam-djoc-ban-quan-ly-toa-nha-2017514-jv","Xem chi tiết")</f>
        <v/>
      </c>
    </row>
    <row r="6592">
      <c r="B6592" s="9" t="n">
        <v>6590</v>
      </c>
      <c r="C6592" s="10" t="inlineStr">
        <is>
          <t>Kỹ Sư An Ninh Thông Tin</t>
        </is>
      </c>
      <c r="D6592" s="10" t="inlineStr">
        <is>
          <t>Công Ty Cổ Phần Netnam</t>
        </is>
      </c>
      <c r="E6592" s="10" t="inlineStr">
        <is>
          <t>Thương lượng</t>
        </is>
      </c>
      <c r="F6592" s="10" t="inlineStr">
        <is>
          <t>Hà Nội</t>
        </is>
      </c>
      <c r="G6592" s="10" t="inlineStr">
        <is>
          <t>Nhân viên</t>
        </is>
      </c>
      <c r="H6592" s="10" t="inlineStr">
        <is>
          <t>03/03/2026</t>
        </is>
      </c>
      <c r="I6592" s="10" t="inlineStr">
        <is>
          <t>02/04/2026</t>
        </is>
      </c>
      <c r="J6592" s="10" t="inlineStr">
        <is>
          <t>17/03/2026</t>
        </is>
      </c>
      <c r="K6592" s="10" t="inlineStr">
        <is>
          <t>N/A</t>
        </is>
      </c>
      <c r="L6592" s="10" t="inlineStr">
        <is>
          <t>An Ninh Thông Tin, Công Nghệ Thông Tin, An Toàn Thông Tin, Xử Lý Sự Cố, Firewall</t>
        </is>
      </c>
      <c r="M6592" s="10" t="inlineStr">
        <is>
          <t>Bonus, Healthcare Plan, Travel Opportunities</t>
        </is>
      </c>
      <c r="N6592" s="11">
        <f>HYPERLINK("https://www.vietnamworks.com/ky-su-an-ninh-thong-tin--2017508-jv","Xem chi tiết")</f>
        <v/>
      </c>
      <c r="O6592" s="10" t="n"/>
    </row>
    <row r="6593">
      <c r="B6593" s="7" t="n">
        <v>6591</v>
      </c>
      <c r="C6593" t="inlineStr">
        <is>
          <t>Kế Toán Tổng Hợp | General Accountant</t>
        </is>
      </c>
      <c r="D6593" t="inlineStr">
        <is>
          <t>CÔNG TY CỔ PHẦN TẬP ĐOÀN ĐK VẠN THỊNH</t>
        </is>
      </c>
      <c r="E6593" t="inlineStr">
        <is>
          <t>10tr-15tr ₫/tháng</t>
        </is>
      </c>
      <c r="F6593" t="inlineStr">
        <is>
          <t>Hồ Chí Minh</t>
        </is>
      </c>
      <c r="G6593" t="inlineStr">
        <is>
          <t>Nhân viên</t>
        </is>
      </c>
      <c r="H6593" t="inlineStr">
        <is>
          <t>03/03/2026</t>
        </is>
      </c>
      <c r="I6593" t="inlineStr">
        <is>
          <t>02/04/2026</t>
        </is>
      </c>
      <c r="J6593" t="inlineStr">
        <is>
          <t>17/03/2026</t>
        </is>
      </c>
      <c r="K6593" t="inlineStr">
        <is>
          <t>N/A</t>
        </is>
      </c>
      <c r="L6593" t="inlineStr">
        <is>
          <t>Kế Toán Thuế, Báo Cáo Tài Chính, Hạch Toán, Khai Báo Thuế, Quyết Toán Thuế</t>
        </is>
      </c>
      <c r="M6593" t="inlineStr">
        <is>
          <t>Healthcare Plan, Awards, Travel Opportunities, Others</t>
        </is>
      </c>
      <c r="N6593" s="8">
        <f>HYPERLINK("https://www.vietnamworks.com/ke-toan-tong-hop-or-general-accountant-2017513-jv","Xem chi tiết")</f>
        <v/>
      </c>
    </row>
    <row r="6594">
      <c r="B6594" s="9" t="n">
        <v>6592</v>
      </c>
      <c r="C6594" s="10" t="inlineStr">
        <is>
          <t>Trưởng Phòng Marketing</t>
        </is>
      </c>
      <c r="D6594" s="10" t="inlineStr">
        <is>
          <t>Công ty TNHH Cmath Education</t>
        </is>
      </c>
      <c r="E6594" s="10" t="inlineStr">
        <is>
          <t>15tr-40tr ₫/tháng</t>
        </is>
      </c>
      <c r="F6594" s="10" t="inlineStr">
        <is>
          <t>Hà Nội</t>
        </is>
      </c>
      <c r="G6594" s="10" t="inlineStr">
        <is>
          <t>Trưởng phòng</t>
        </is>
      </c>
      <c r="H6594" s="10" t="inlineStr">
        <is>
          <t>03/03/2026</t>
        </is>
      </c>
      <c r="I6594" s="10" t="inlineStr">
        <is>
          <t>02/04/2026</t>
        </is>
      </c>
      <c r="J6594" s="10" t="inlineStr">
        <is>
          <t>17/03/2026</t>
        </is>
      </c>
      <c r="K6594" s="10" t="inlineStr">
        <is>
          <t>N/A</t>
        </is>
      </c>
      <c r="L6594" s="10" t="inlineStr">
        <is>
          <t>Marketing Strategy, Brand Management, Digital Marketing, Data Analysis, Team Management</t>
        </is>
      </c>
      <c r="M6594" s="10" t="inlineStr">
        <is>
          <t>Bonus, Healthcare Plan, Team Activities, Others</t>
        </is>
      </c>
      <c r="N6594" s="11">
        <f>HYPERLINK("https://www.vietnamworks.com/truong-phong-marketing-2017518-jv","Xem chi tiết")</f>
        <v/>
      </c>
      <c r="O6594" s="10" t="n"/>
    </row>
    <row r="6595">
      <c r="B6595" s="7" t="n">
        <v>6593</v>
      </c>
      <c r="C6595" t="inlineStr">
        <is>
          <t>Kế Toán Trưởng (Có Kinh Nghiệm Sàn Thương Mại Điện Tử) - Lương Upto 25-35 Triệu</t>
        </is>
      </c>
      <c r="D6595" t="inlineStr">
        <is>
          <t>CÔNG TY CỔ PHẦN THE FAMIDOC VIỆT NAM</t>
        </is>
      </c>
      <c r="E6595" t="inlineStr">
        <is>
          <t>25tr-35tr ₫/tháng</t>
        </is>
      </c>
      <c r="F6595" t="inlineStr">
        <is>
          <t>Hà Nội</t>
        </is>
      </c>
      <c r="G6595" t="inlineStr">
        <is>
          <t>Nhân viên</t>
        </is>
      </c>
      <c r="H6595" t="inlineStr">
        <is>
          <t>03/03/2026</t>
        </is>
      </c>
      <c r="I6595" t="inlineStr">
        <is>
          <t>02/04/2026</t>
        </is>
      </c>
      <c r="J6595" t="inlineStr">
        <is>
          <t>17/03/2026</t>
        </is>
      </c>
      <c r="K6595" t="inlineStr">
        <is>
          <t>N/A</t>
        </is>
      </c>
      <c r="L6595" t="inlineStr">
        <is>
          <t>Quản Lý Dòng Tiền, Kiểm Soát Nội Bộ, Kế Toán, Tài Chính, Tư Duy Hệ Thống</t>
        </is>
      </c>
      <c r="M6595" t="inlineStr">
        <is>
          <t>Bonus, Healthcare Plan, Paid Leave, Training, Others</t>
        </is>
      </c>
      <c r="N6595" s="8">
        <f>HYPERLINK("https://www.vietnamworks.com/ke-toan-truong-co-kinh-nghiem-san-thuong-mai-dien-tu-luong-upto-25-35-trieu-2017517-jv","Xem chi tiết")</f>
        <v/>
      </c>
    </row>
    <row r="6596">
      <c r="B6596" s="9" t="n">
        <v>6594</v>
      </c>
      <c r="C6596" s="10" t="inlineStr">
        <is>
          <t>Vice Manager, Infrastructure</t>
        </is>
      </c>
      <c r="D6596" s="10" t="inlineStr">
        <is>
          <t>Công Ty TNHH Phát Triển Phú Mỹ Hưng</t>
        </is>
      </c>
      <c r="E6596" s="10" t="inlineStr">
        <is>
          <t>$$ 1,300-1,500 /tháng</t>
        </is>
      </c>
      <c r="F6596" s="10" t="inlineStr">
        <is>
          <t>Hà Nội, Hòa Bình</t>
        </is>
      </c>
      <c r="G6596" s="10" t="inlineStr">
        <is>
          <t>Trưởng phòng</t>
        </is>
      </c>
      <c r="H6596" s="10" t="inlineStr">
        <is>
          <t>03/03/2026</t>
        </is>
      </c>
      <c r="I6596" s="10" t="inlineStr">
        <is>
          <t>02/04/2026</t>
        </is>
      </c>
      <c r="J6596" s="10" t="inlineStr">
        <is>
          <t>17/03/2026</t>
        </is>
      </c>
      <c r="K6596" s="10" t="inlineStr">
        <is>
          <t>N/A</t>
        </is>
      </c>
      <c r="L6596" s="10" t="inlineStr">
        <is>
          <t>Infrastructure, Hạ Tầng Xây Dựng, Kỹ Thuật Cơ Sở Hạ Tầng, Hạ Tầng Kết Cấu, Xây Dựng Đường Bộ</t>
        </is>
      </c>
      <c r="M6596" s="10" t="inlineStr">
        <is>
          <t>Healthcare Plan, Paid Leave, Training</t>
        </is>
      </c>
      <c r="N6596" s="11">
        <f>HYPERLINK("https://www.vietnamworks.com/vice-manager-infrastructure-2017521-jv","Xem chi tiết")</f>
        <v/>
      </c>
      <c r="O6596" s="10" t="n"/>
    </row>
    <row r="6597">
      <c r="B6597" s="7" t="n">
        <v>6595</v>
      </c>
      <c r="C6597" t="inlineStr">
        <is>
          <t>Nhân Viên PM Chỉnh Lý, Số Hóa Văn Bản</t>
        </is>
      </c>
      <c r="D6597" t="inlineStr">
        <is>
          <t>Viettel Customer Service</t>
        </is>
      </c>
      <c r="E6597" t="inlineStr">
        <is>
          <t>Thương lượng</t>
        </is>
      </c>
      <c r="F6597" t="inlineStr">
        <is>
          <t>Hà Nội, Hồ Chí Minh</t>
        </is>
      </c>
      <c r="G6597" t="inlineStr">
        <is>
          <t>Nhân viên</t>
        </is>
      </c>
      <c r="H6597" t="inlineStr">
        <is>
          <t>03/03/2026</t>
        </is>
      </c>
      <c r="I6597" t="inlineStr">
        <is>
          <t>18/03/2026</t>
        </is>
      </c>
      <c r="J6597" t="inlineStr">
        <is>
          <t>17/03/2026</t>
        </is>
      </c>
      <c r="K6597" t="inlineStr">
        <is>
          <t>N/A</t>
        </is>
      </c>
      <c r="L6597" t="inlineStr">
        <is>
          <t>Kỹ Năng Làm Việc- Quản Lý Nhóm, Kỹ Năng Quản Lý, Viết Tài Liệu, Kỹ Năng Đánh Giá Tài Liệu</t>
        </is>
      </c>
      <c r="M6597" t="inlineStr">
        <is>
          <t>Bonus, Healthcare Plan, Paid Leave, Team Activities, Others</t>
        </is>
      </c>
      <c r="N6597" s="8">
        <f>HYPERLINK("https://www.vietnamworks.com/nhan-vien-pm-chinh-ly-so-hoa-van-ban-2017525-jv","Xem chi tiết")</f>
        <v/>
      </c>
    </row>
    <row r="6598">
      <c r="B6598" s="9" t="n">
        <v>6596</v>
      </c>
      <c r="C6598" s="10" t="inlineStr">
        <is>
          <t>Chuyên Viên Tư Vấn Tài Chính Doanh Nghiệp</t>
        </is>
      </c>
      <c r="D6598" s="10" t="inlineStr">
        <is>
          <t>CÔNG TY CỔ PHẦN TƯ VẤN QUẢN TRỊ &amp; TÀI CHÍNH VIỆT NAM</t>
        </is>
      </c>
      <c r="E6598" s="10" t="inlineStr">
        <is>
          <t>15tr-20tr ₫/tháng</t>
        </is>
      </c>
      <c r="F6598" s="10" t="inlineStr">
        <is>
          <t>Hà Nội</t>
        </is>
      </c>
      <c r="G6598" s="10" t="inlineStr">
        <is>
          <t>Nhân viên</t>
        </is>
      </c>
      <c r="H6598" s="10" t="inlineStr">
        <is>
          <t>03/03/2026</t>
        </is>
      </c>
      <c r="I6598" s="10" t="inlineStr">
        <is>
          <t>18/03/2026</t>
        </is>
      </c>
      <c r="J6598" s="10" t="inlineStr">
        <is>
          <t>17/03/2026</t>
        </is>
      </c>
      <c r="K6598" s="10" t="inlineStr">
        <is>
          <t>N/A</t>
        </is>
      </c>
      <c r="L6598" s="10" t="inlineStr">
        <is>
          <t>Budgeting, Financial Analysis, Financial Modeling, Lập Báo Cáo Quản Trị, Tư Vấn Tài Chính</t>
        </is>
      </c>
      <c r="M6598" s="10" t="inlineStr">
        <is>
          <t>Bonus, Training, Others</t>
        </is>
      </c>
      <c r="N6598" s="11">
        <f>HYPERLINK("https://www.vietnamworks.com/chuyen-vien-tu-van-tai-chinh-doanh-nghiep-2017527-jv","Xem chi tiết")</f>
        <v/>
      </c>
      <c r="O6598" s="10" t="n"/>
    </row>
    <row r="6599">
      <c r="B6599" s="7" t="n">
        <v>6597</v>
      </c>
      <c r="C6599" t="inlineStr">
        <is>
          <t>Chuyên Viên Đánh Giá Nội Bộ &amp; Tuân Thủ (Quản Lý Chất Lượng)</t>
        </is>
      </c>
      <c r="D6599" t="inlineStr">
        <is>
          <t>SEI Electronic Components (Vietnam), Ltd.</t>
        </is>
      </c>
      <c r="E6599" t="inlineStr">
        <is>
          <t>Thương lượng</t>
        </is>
      </c>
      <c r="F6599" t="inlineStr">
        <is>
          <t>Hà Nội</t>
        </is>
      </c>
      <c r="G6599" t="inlineStr">
        <is>
          <t>Nhân viên</t>
        </is>
      </c>
      <c r="H6599" t="inlineStr">
        <is>
          <t>03/03/2026</t>
        </is>
      </c>
      <c r="I6599" t="inlineStr">
        <is>
          <t>02/04/2026</t>
        </is>
      </c>
      <c r="J6599" t="inlineStr">
        <is>
          <t>17/03/2026</t>
        </is>
      </c>
      <c r="K6599" t="inlineStr">
        <is>
          <t>N/A</t>
        </is>
      </c>
      <c r="L6599" t="inlineStr">
        <is>
          <t>IATF, ISO 9001, Internal Audit, Continuous Improvement, 7tools QC</t>
        </is>
      </c>
      <c r="M6599" t="inlineStr">
        <is>
          <t>Bonus, Healthcare Plan, Transportation</t>
        </is>
      </c>
      <c r="N6599" s="8">
        <f>HYPERLINK("https://www.vietnamworks.com/chuyen-vien-danh-gia-noi-bo-tuan-thu-quan-ly-chat-luong--2017522-jv","Xem chi tiết")</f>
        <v/>
      </c>
    </row>
    <row r="6600">
      <c r="B6600" s="9" t="n">
        <v>6598</v>
      </c>
      <c r="C6600" s="10" t="inlineStr">
        <is>
          <t>Chuyên Viên Đào Tạo &amp; Phát Triển Hệ Thống Kiểm Tra Chất Lượng</t>
        </is>
      </c>
      <c r="D6600" s="10" t="inlineStr">
        <is>
          <t>SEI Electronic Components (Vietnam), Ltd.</t>
        </is>
      </c>
      <c r="E6600" s="10" t="inlineStr">
        <is>
          <t>Thương lượng</t>
        </is>
      </c>
      <c r="F6600" s="10" t="inlineStr">
        <is>
          <t>Hà Nội</t>
        </is>
      </c>
      <c r="G6600" s="10" t="inlineStr">
        <is>
          <t>Nhân viên</t>
        </is>
      </c>
      <c r="H6600" s="10" t="inlineStr">
        <is>
          <t>03/03/2026</t>
        </is>
      </c>
      <c r="I6600" s="10" t="inlineStr">
        <is>
          <t>02/04/2026</t>
        </is>
      </c>
      <c r="J6600" s="10" t="inlineStr">
        <is>
          <t>17/03/2026</t>
        </is>
      </c>
      <c r="K6600" s="10" t="inlineStr">
        <is>
          <t>N/A</t>
        </is>
      </c>
      <c r="L6600" s="10" t="inlineStr">
        <is>
          <t>Quality Training, Visual Inspection, QC Systems, Training Development, English</t>
        </is>
      </c>
      <c r="M6600" s="10" t="inlineStr">
        <is>
          <t>Bonus, Healthcare Plan, Transportation</t>
        </is>
      </c>
      <c r="N6600" s="11">
        <f>HYPERLINK("https://www.vietnamworks.com/chuyen-vien-dao-tao-phat-trien-he-thong-kiem-tra-chat-luong--2017519-jv","Xem chi tiết")</f>
        <v/>
      </c>
      <c r="O6600" s="10" t="n"/>
    </row>
    <row r="6601">
      <c r="B6601" s="7" t="n">
        <v>6599</v>
      </c>
      <c r="C6601" t="inlineStr">
        <is>
          <t>Project Sales Director - Giám Đốc Kinh Doanh</t>
        </is>
      </c>
      <c r="D6601" t="inlineStr">
        <is>
          <t>Công Ty TNHH Tập Đoàn Rita Võ</t>
        </is>
      </c>
      <c r="E6601" t="inlineStr">
        <is>
          <t>Thương lượng</t>
        </is>
      </c>
      <c r="F6601" t="inlineStr">
        <is>
          <t>Hà Nội</t>
        </is>
      </c>
      <c r="G6601" t="inlineStr">
        <is>
          <t>Giám Đốc và Cấp Cao Hơn</t>
        </is>
      </c>
      <c r="H6601" t="inlineStr">
        <is>
          <t>03/03/2026</t>
        </is>
      </c>
      <c r="I6601" t="inlineStr">
        <is>
          <t>02/04/2026</t>
        </is>
      </c>
      <c r="J6601" t="inlineStr">
        <is>
          <t>17/03/2026</t>
        </is>
      </c>
      <c r="K6601" t="inlineStr">
        <is>
          <t>N/A</t>
        </is>
      </c>
      <c r="L6601" t="inlineStr">
        <is>
          <t>Analytical Skills, Leadership, Sales, Construction, Project Sales Management</t>
        </is>
      </c>
      <c r="M6601" t="inlineStr">
        <is>
          <t>Bonus, Healthcare Plan, Paid Leave, Laptop, Others</t>
        </is>
      </c>
      <c r="N6601" s="8">
        <f>HYPERLINK("https://www.vietnamworks.com/project-sales-director-giam-doc-kinh-doanh-2017520-jv","Xem chi tiết")</f>
        <v/>
      </c>
    </row>
    <row r="6602">
      <c r="B6602" s="9" t="n">
        <v>6600</v>
      </c>
      <c r="C6602" s="10" t="inlineStr">
        <is>
          <t>TRƯỞNG PHÒNG KINH DOANH DỰ ÁN (NGÀNH GẠCH MEN)</t>
        </is>
      </c>
      <c r="D6602" s="10" t="inlineStr">
        <is>
          <t>Công ty Cổ phần Gạch Men Ý Mỹ</t>
        </is>
      </c>
      <c r="E6602" s="10" t="inlineStr">
        <is>
          <t>Thương lượng</t>
        </is>
      </c>
      <c r="F6602" s="10" t="inlineStr">
        <is>
          <t>Hồ Chí Minh</t>
        </is>
      </c>
      <c r="G6602" s="10" t="inlineStr">
        <is>
          <t>Trưởng phòng</t>
        </is>
      </c>
      <c r="H6602" s="10" t="inlineStr">
        <is>
          <t>03/03/2026</t>
        </is>
      </c>
      <c r="I6602" s="10" t="inlineStr">
        <is>
          <t>02/04/2026</t>
        </is>
      </c>
      <c r="J6602" s="10" t="inlineStr">
        <is>
          <t>17/03/2026</t>
        </is>
      </c>
      <c r="K6602" s="10" t="inlineStr">
        <is>
          <t>N/A</t>
        </is>
      </c>
      <c r="L6602" s="10" t="inlineStr">
        <is>
          <t>Kỹ năng bán hàng, Kỹ Năng Lãnh Đạo Đội Nhóm, Kỹ năng quan sát và phân tích vấn đề, Kỹ Năng Thương Thảo Tốt, Kỹ năng trình bày tốt</t>
        </is>
      </c>
      <c r="M6602" s="10" t="inlineStr">
        <is>
          <t>Bonus</t>
        </is>
      </c>
      <c r="N6602" s="11">
        <f>HYPERLINK("https://www.vietnamworks.com/truong-phong-kinh-doanh-du-an-nganh-gach-men-2017529-jv","Xem chi tiết")</f>
        <v/>
      </c>
      <c r="O6602" s="10" t="n"/>
    </row>
    <row r="6603">
      <c r="B6603" s="7" t="n">
        <v>6601</v>
      </c>
      <c r="C6603" t="inlineStr">
        <is>
          <t>Sales Quốc Tế</t>
        </is>
      </c>
      <c r="D6603" t="inlineStr">
        <is>
          <t>CÔNG TY TNHH GOLDEN TIGER VIỆT NAM INTERNATIONAL</t>
        </is>
      </c>
      <c r="E6603" t="inlineStr">
        <is>
          <t>Thương lượng</t>
        </is>
      </c>
      <c r="F6603" t="inlineStr">
        <is>
          <t>Hồ Chí Minh</t>
        </is>
      </c>
      <c r="G6603" t="inlineStr">
        <is>
          <t>Nhân viên</t>
        </is>
      </c>
      <c r="H6603" t="inlineStr">
        <is>
          <t>03/03/2026</t>
        </is>
      </c>
      <c r="I6603" t="inlineStr">
        <is>
          <t>02/04/2026</t>
        </is>
      </c>
      <c r="J6603" t="inlineStr">
        <is>
          <t>17/03/2026</t>
        </is>
      </c>
      <c r="K6603" t="inlineStr">
        <is>
          <t>N/A</t>
        </is>
      </c>
      <c r="L6603" t="inlineStr">
        <is>
          <t>Tìm Kiếm Khách Hàng, Đàm Phán Hợp Đồng, Duy Trì Mối Quan Hệ, Kinh Doanh Quốc Tế, Theo Dõi Đơn Hàng</t>
        </is>
      </c>
      <c r="M6603" t="inlineStr">
        <is>
          <t>Bonus, Healthcare Plan, Paid Leave</t>
        </is>
      </c>
      <c r="N6603" s="8">
        <f>HYPERLINK("https://www.vietnamworks.com/sales-quoc-te-2017542-jv","Xem chi tiết")</f>
        <v/>
      </c>
    </row>
    <row r="6604">
      <c r="B6604" s="9" t="n">
        <v>6602</v>
      </c>
      <c r="C6604" s="10" t="inlineStr">
        <is>
          <t>Quản Lý Kinh Doanh Khu Vực Miền Trung - Tây Nguyên</t>
        </is>
      </c>
      <c r="D6604" s="10" t="inlineStr">
        <is>
          <t>Công ty Cổ phần Gạch Men Ý Mỹ</t>
        </is>
      </c>
      <c r="E6604" s="10" t="inlineStr">
        <is>
          <t>Thương lượng</t>
        </is>
      </c>
      <c r="F6604" s="10" t="inlineStr">
        <is>
          <t>Hồ Chí Minh, Đồng Nai</t>
        </is>
      </c>
      <c r="G6604" s="10" t="inlineStr">
        <is>
          <t>Trưởng phòng</t>
        </is>
      </c>
      <c r="H6604" s="10" t="inlineStr">
        <is>
          <t>03/03/2026</t>
        </is>
      </c>
      <c r="I6604" s="10" t="inlineStr">
        <is>
          <t>02/04/2026</t>
        </is>
      </c>
      <c r="J6604" s="10" t="inlineStr">
        <is>
          <t>17/03/2026</t>
        </is>
      </c>
      <c r="K6604" s="10" t="inlineStr">
        <is>
          <t>N/A</t>
        </is>
      </c>
      <c r="L6604" s="10" t="inlineStr">
        <is>
          <t>Kỹ năng bán hàng, Kỹ Năng Lãnh Đạo Đội Nhóm, Kỹ năng quan sát và phân tích vấn đề, Kỹ Năng Thương Thảo Tốt</t>
        </is>
      </c>
      <c r="M6604" s="10" t="inlineStr">
        <is>
          <t>Bonus</t>
        </is>
      </c>
      <c r="N6604" s="11">
        <f>HYPERLINK("https://www.vietnamworks.com/quan-ly-kinh-doanh-khu-vuc-mien-trung-tay-nguyen-2017531-jv","Xem chi tiết")</f>
        <v/>
      </c>
      <c r="O6604" s="10" t="n"/>
    </row>
    <row r="6605">
      <c r="B6605" s="7" t="n">
        <v>6603</v>
      </c>
      <c r="C6605" t="inlineStr">
        <is>
          <t>Chuyên Viên Kinh Doanh (Tư Vấn Tuyển Sinh)</t>
        </is>
      </c>
      <c r="D6605" t="inlineStr">
        <is>
          <t>Công ty TNHH Cmath Education</t>
        </is>
      </c>
      <c r="E6605" t="inlineStr">
        <is>
          <t>12tr-40tr ₫/tháng</t>
        </is>
      </c>
      <c r="F6605" t="inlineStr">
        <is>
          <t>Hà Nội</t>
        </is>
      </c>
      <c r="G6605" t="inlineStr">
        <is>
          <t>Mới Tốt Nghiệp</t>
        </is>
      </c>
      <c r="H6605" t="inlineStr">
        <is>
          <t>03/03/2026</t>
        </is>
      </c>
      <c r="I6605" t="inlineStr">
        <is>
          <t>02/04/2026</t>
        </is>
      </c>
      <c r="J6605" t="inlineStr">
        <is>
          <t>17/03/2026</t>
        </is>
      </c>
      <c r="K6605" t="inlineStr">
        <is>
          <t>N/A</t>
        </is>
      </c>
      <c r="L6605" t="inlineStr">
        <is>
          <t>Bán Hàng, Telesales, Chăm Sóc Khách Hàng, Tư Vấn Tuyển Sinh, Kinh Doanh</t>
        </is>
      </c>
      <c r="M6605" t="inlineStr">
        <is>
          <t>Bonus, Healthcare Plan, Paid Leave, Training, Travel Opportunities, Others</t>
        </is>
      </c>
      <c r="N6605" s="8">
        <f>HYPERLINK("https://www.vietnamworks.com/chuyen-vien-kinh-doanh-tu-van-tuyen-sinh--2017530-jv","Xem chi tiết")</f>
        <v/>
      </c>
    </row>
    <row r="6606">
      <c r="B6606" s="9" t="n">
        <v>6604</v>
      </c>
      <c r="C6606" s="10" t="inlineStr">
        <is>
          <t>Chủ Đầu Tư BĐS Cần Tuyển Chuyên Viên Marketing (Thu Nhập 18Tr++/tháng)</t>
        </is>
      </c>
      <c r="D6606" s="10" t="inlineStr">
        <is>
          <t>CÔNG TY CỔ PHẦN BẮC THĂNG LONG THÀNH ĐỒNG</t>
        </is>
      </c>
      <c r="E6606" s="10" t="inlineStr">
        <is>
          <t>18tr-35tr ₫/tháng</t>
        </is>
      </c>
      <c r="F6606" s="10" t="inlineStr">
        <is>
          <t>Hà Nội</t>
        </is>
      </c>
      <c r="G6606" s="10" t="inlineStr">
        <is>
          <t>Nhân viên</t>
        </is>
      </c>
      <c r="H6606" s="10" t="inlineStr">
        <is>
          <t>03/03/2026</t>
        </is>
      </c>
      <c r="I6606" s="10" t="inlineStr">
        <is>
          <t>02/04/2026</t>
        </is>
      </c>
      <c r="J6606" s="10" t="inlineStr">
        <is>
          <t>17/03/2026</t>
        </is>
      </c>
      <c r="K6606" s="10" t="inlineStr">
        <is>
          <t>N/A</t>
        </is>
      </c>
      <c r="L6606" s="10" t="inlineStr">
        <is>
          <t>Digital Marketing, Digital Content, Social Media Campaigns, Marketing Planning, Event Marketing</t>
        </is>
      </c>
      <c r="M6606" s="10" t="inlineStr">
        <is>
          <t>Bonus, Travel Opportunities</t>
        </is>
      </c>
      <c r="N6606" s="11">
        <f>HYPERLINK("https://www.vietnamworks.com/chu-dau-tu-bds-can-tuyen-chuyen-vien-marketing-thu-nhap-18tr-thang-2017546-jv","Xem chi tiết")</f>
        <v/>
      </c>
      <c r="O6606" s="10" t="n"/>
    </row>
    <row r="6607">
      <c r="B6607" s="7" t="n">
        <v>6605</v>
      </c>
      <c r="C6607" t="inlineStr">
        <is>
          <t>Quản Trị Rủi Ro Hoạt Động</t>
        </is>
      </c>
      <c r="D6607" t="inlineStr">
        <is>
          <t>Techcombank</t>
        </is>
      </c>
      <c r="E6607" t="inlineStr">
        <is>
          <t>Thương lượng</t>
        </is>
      </c>
      <c r="F6607" t="inlineStr">
        <is>
          <t>Hà Nội</t>
        </is>
      </c>
      <c r="G6607" t="inlineStr">
        <is>
          <t>Nhân viên</t>
        </is>
      </c>
      <c r="H6607" t="inlineStr">
        <is>
          <t>03/03/2026</t>
        </is>
      </c>
      <c r="I6607" t="inlineStr">
        <is>
          <t>02/04/2026</t>
        </is>
      </c>
      <c r="J6607" t="inlineStr">
        <is>
          <t>17/03/2026</t>
        </is>
      </c>
      <c r="K6607" t="inlineStr">
        <is>
          <t>N/A</t>
        </is>
      </c>
      <c r="L6607" t="inlineStr">
        <is>
          <t>CFA, FRMS, Giảm Thiểu Rủi Ro, Internal Control, Operational Risk</t>
        </is>
      </c>
      <c r="M6607" t="inlineStr">
        <is>
          <t>Bonus, Training, Team Activities</t>
        </is>
      </c>
      <c r="N6607" s="8">
        <f>HYPERLINK("https://www.vietnamworks.com/quan-tri-rui-ro-hoat-djong-2017538-jv","Xem chi tiết")</f>
        <v/>
      </c>
    </row>
    <row r="6608">
      <c r="B6608" s="9" t="n">
        <v>6606</v>
      </c>
      <c r="C6608" s="10" t="inlineStr">
        <is>
          <t>Key Account Executive</t>
        </is>
      </c>
      <c r="D6608" s="10" t="inlineStr">
        <is>
          <t>Perfetti Van Melle (Viet Nam) Limited</t>
        </is>
      </c>
      <c r="E6608" s="10" t="inlineStr">
        <is>
          <t>Thương lượng</t>
        </is>
      </c>
      <c r="F6608" s="10" t="inlineStr">
        <is>
          <t>Hồ Chí Minh</t>
        </is>
      </c>
      <c r="G6608" s="10" t="inlineStr">
        <is>
          <t>Nhân viên</t>
        </is>
      </c>
      <c r="H6608" s="10" t="inlineStr">
        <is>
          <t>03/03/2026</t>
        </is>
      </c>
      <c r="I6608" s="10" t="inlineStr">
        <is>
          <t>02/04/2026</t>
        </is>
      </c>
      <c r="J6608" s="10" t="inlineStr">
        <is>
          <t>17/03/2026</t>
        </is>
      </c>
      <c r="K6608" s="10" t="inlineStr">
        <is>
          <t>N/A</t>
        </is>
      </c>
      <c r="L6608" s="10" t="inlineStr">
        <is>
          <t>FMCG, Customer Management, Modern Trade, Power BI, Sales Planning</t>
        </is>
      </c>
      <c r="M6608" s="10" t="inlineStr">
        <is>
          <t>Bonus, Healthcare Plan, Paid Leave, Training</t>
        </is>
      </c>
      <c r="N6608" s="11">
        <f>HYPERLINK("https://www.vietnamworks.com/key-account-executive-2017544-jv","Xem chi tiết")</f>
        <v/>
      </c>
      <c r="O6608" s="10" t="n"/>
    </row>
    <row r="6609">
      <c r="B6609" s="7" t="n">
        <v>6607</v>
      </c>
      <c r="C6609" t="inlineStr">
        <is>
          <t>Nhân Viên Vận Hành Máy Phay, Tiện, Mài ....</t>
        </is>
      </c>
      <c r="D6609" t="inlineStr">
        <is>
          <t>Công Ty TNHH Rodax Việt Nam</t>
        </is>
      </c>
      <c r="E6609" t="inlineStr">
        <is>
          <t>$$ 8tr-12tr /tháng</t>
        </is>
      </c>
      <c r="F6609" t="inlineStr">
        <is>
          <t>Hưng Yên</t>
        </is>
      </c>
      <c r="G6609" t="inlineStr">
        <is>
          <t>Mới Tốt Nghiệp</t>
        </is>
      </c>
      <c r="H6609" t="inlineStr">
        <is>
          <t>03/03/2026</t>
        </is>
      </c>
      <c r="I6609" t="inlineStr">
        <is>
          <t>02/04/2026</t>
        </is>
      </c>
      <c r="J6609" t="inlineStr">
        <is>
          <t>17/03/2026</t>
        </is>
      </c>
      <c r="K6609" t="inlineStr">
        <is>
          <t>N/A</t>
        </is>
      </c>
      <c r="L6609" t="inlineStr">
        <is>
          <t>Gia Công Cơ Khí, Cơ Khí, Tự Động Hóa, Máy Phay, Máy Tiện</t>
        </is>
      </c>
      <c r="M6609" t="inlineStr">
        <is>
          <t>Bonus, Healthcare Plan, Awards, Travel Opportunities, Transportation, Others</t>
        </is>
      </c>
      <c r="N6609" s="8">
        <f>HYPERLINK("https://www.vietnamworks.com/nhan-vien-van-hanh-may-phay-tien-mai-2017548-jv","Xem chi tiết")</f>
        <v/>
      </c>
    </row>
    <row r="6610">
      <c r="B6610" s="9" t="n">
        <v>6608</v>
      </c>
      <c r="C6610" s="10" t="inlineStr">
        <is>
          <t>Kế Toán Nội Bộ (Internal Accountant)</t>
        </is>
      </c>
      <c r="D6610" s="10" t="inlineStr">
        <is>
          <t>CÔNG TY TNHH WANTONG TECHNOLOGY</t>
        </is>
      </c>
      <c r="E6610" s="10" t="inlineStr">
        <is>
          <t>Thương lượng</t>
        </is>
      </c>
      <c r="F6610" s="10" t="inlineStr">
        <is>
          <t>Hồ Chí Minh</t>
        </is>
      </c>
      <c r="G6610" s="10" t="inlineStr">
        <is>
          <t>Nhân viên</t>
        </is>
      </c>
      <c r="H6610" s="10" t="inlineStr">
        <is>
          <t>03/03/2026</t>
        </is>
      </c>
      <c r="I6610" s="10" t="inlineStr">
        <is>
          <t>02/04/2026</t>
        </is>
      </c>
      <c r="J6610" s="10" t="inlineStr">
        <is>
          <t>17/03/2026</t>
        </is>
      </c>
      <c r="K6610" s="10" t="inlineStr">
        <is>
          <t>N/A</t>
        </is>
      </c>
      <c r="L6610" s="10" t="inlineStr">
        <is>
          <t>Giải Quyết Vấn Đề, Kế Toán, Phần mềm kế toán, Tài Chính, Tiếng Trung</t>
        </is>
      </c>
      <c r="M6610" s="10" t="inlineStr">
        <is>
          <t>Others</t>
        </is>
      </c>
      <c r="N6610" s="11">
        <f>HYPERLINK("https://www.vietnamworks.com/ke-toan-noi-bo-internal-accountant-2017536-jv","Xem chi tiết")</f>
        <v/>
      </c>
      <c r="O6610" s="10" t="n"/>
    </row>
    <row r="6611">
      <c r="B6611" s="7" t="n">
        <v>6609</v>
      </c>
      <c r="C6611" t="inlineStr">
        <is>
          <t>Kế Toán Thuế</t>
        </is>
      </c>
      <c r="D6611" t="inlineStr">
        <is>
          <t>Vietnamworks' Client</t>
        </is>
      </c>
      <c r="E6611" t="inlineStr">
        <is>
          <t>Thương lượng</t>
        </is>
      </c>
      <c r="F6611" t="inlineStr">
        <is>
          <t>Khác</t>
        </is>
      </c>
      <c r="G6611" t="inlineStr">
        <is>
          <t>Nhân viên</t>
        </is>
      </c>
      <c r="H6611" t="inlineStr">
        <is>
          <t>03/03/2026</t>
        </is>
      </c>
      <c r="I6611" t="inlineStr">
        <is>
          <t>02/04/2026</t>
        </is>
      </c>
      <c r="J6611" t="inlineStr">
        <is>
          <t>17/03/2026</t>
        </is>
      </c>
      <c r="K6611" t="inlineStr">
        <is>
          <t>N/A</t>
        </is>
      </c>
      <c r="L6611" t="inlineStr">
        <is>
          <t>Tax Accounting, Kế Toán Doanh Thu, Kế toán Phải Thu, Thuế</t>
        </is>
      </c>
      <c r="M6611" t="inlineStr">
        <is>
          <t>Bonus, Training, Others</t>
        </is>
      </c>
      <c r="N6611" s="8">
        <f>HYPERLINK("https://www.vietnamworks.com/ke-toan-thue--2017543-jv","Xem chi tiết")</f>
        <v/>
      </c>
    </row>
    <row r="6612">
      <c r="B6612" s="9" t="n">
        <v>6610</v>
      </c>
      <c r="C6612" s="10" t="inlineStr">
        <is>
          <t>Chuyên Gia Kiểm Soát Rủi Ro Gian Lận Và Tội Phạm Tài Chính</t>
        </is>
      </c>
      <c r="D6612" s="10" t="inlineStr">
        <is>
          <t>Techcombank</t>
        </is>
      </c>
      <c r="E6612" s="10" t="inlineStr">
        <is>
          <t>Thương lượng</t>
        </is>
      </c>
      <c r="F6612" s="10" t="inlineStr">
        <is>
          <t>Hà Nội</t>
        </is>
      </c>
      <c r="G6612" s="10" t="inlineStr">
        <is>
          <t>Nhân viên</t>
        </is>
      </c>
      <c r="H6612" s="10" t="inlineStr">
        <is>
          <t>03/03/2026</t>
        </is>
      </c>
      <c r="I6612" s="10" t="inlineStr">
        <is>
          <t>02/04/2026</t>
        </is>
      </c>
      <c r="J6612" s="10" t="inlineStr">
        <is>
          <t>17/03/2026</t>
        </is>
      </c>
      <c r="K6612" s="10" t="inlineStr">
        <is>
          <t>N/A</t>
        </is>
      </c>
      <c r="L6612" s="10" t="inlineStr">
        <is>
          <t>Kiểm Soát Rủi Ro, Điều Tra Gian Lận, Bank Fraud, Fraud Investigation, Fraud Risk Management</t>
        </is>
      </c>
      <c r="M6612" s="10" t="inlineStr">
        <is>
          <t>Bonus, Training, Team Activities</t>
        </is>
      </c>
      <c r="N6612" s="11">
        <f>HYPERLINK("https://www.vietnamworks.com/chuyen-gia-kiem-soat-rui-ro-gian-lan-va-toi-pham-tai-chinh-2017539-jv","Xem chi tiết")</f>
        <v/>
      </c>
      <c r="O6612" s="10" t="n"/>
    </row>
    <row r="6613">
      <c r="B6613" s="7" t="n">
        <v>6611</v>
      </c>
      <c r="C6613" t="inlineStr">
        <is>
          <t>Sell-out Executive (Hanoi) - B2B2B</t>
        </is>
      </c>
      <c r="D6613" t="inlineStr">
        <is>
          <t>Bridgestone Tire Sales Vietnam LLC</t>
        </is>
      </c>
      <c r="E6613" t="inlineStr">
        <is>
          <t>Thương lượng</t>
        </is>
      </c>
      <c r="F6613" t="inlineStr">
        <is>
          <t>Hà Nội</t>
        </is>
      </c>
      <c r="G6613" t="inlineStr">
        <is>
          <t>Nhân viên</t>
        </is>
      </c>
      <c r="H6613" t="inlineStr">
        <is>
          <t>03/03/2026</t>
        </is>
      </c>
      <c r="I6613" t="inlineStr">
        <is>
          <t>02/04/2026</t>
        </is>
      </c>
      <c r="J6613" t="inlineStr">
        <is>
          <t>17/03/2026</t>
        </is>
      </c>
      <c r="K6613" t="inlineStr">
        <is>
          <t>N/A</t>
        </is>
      </c>
      <c r="L6613" t="inlineStr">
        <is>
          <t>B2B &amp; B2C skills, Communication, Logical Thinking, Problem Solving, Technical background</t>
        </is>
      </c>
      <c r="M6613" t="inlineStr">
        <is>
          <t>Bonus, Healthcare Plan, Training, Travel Opportunities</t>
        </is>
      </c>
      <c r="N6613" s="8">
        <f>HYPERLINK("https://www.vietnamworks.com/sell-out-executive-hanoi-b2b2b-2017549-jv","Xem chi tiết")</f>
        <v/>
      </c>
    </row>
    <row r="6614">
      <c r="B6614" s="9" t="n">
        <v>6612</v>
      </c>
      <c r="C6614" s="10" t="inlineStr">
        <is>
          <t>Business Analysis (Wealth Solution)</t>
        </is>
      </c>
      <c r="D6614" s="10" t="inlineStr">
        <is>
          <t>Techcombank</t>
        </is>
      </c>
      <c r="E6614" s="10" t="inlineStr">
        <is>
          <t>Thương lượng</t>
        </is>
      </c>
      <c r="F6614" s="10" t="inlineStr">
        <is>
          <t>Hà Nội</t>
        </is>
      </c>
      <c r="G6614" s="10" t="inlineStr">
        <is>
          <t>Nhân viên</t>
        </is>
      </c>
      <c r="H6614" s="10" t="inlineStr">
        <is>
          <t>03/03/2026</t>
        </is>
      </c>
      <c r="I6614" s="10" t="inlineStr">
        <is>
          <t>02/04/2026</t>
        </is>
      </c>
      <c r="J6614" s="10" t="inlineStr">
        <is>
          <t>17/03/2026</t>
        </is>
      </c>
      <c r="K6614" s="10" t="inlineStr">
        <is>
          <t>N/A</t>
        </is>
      </c>
      <c r="L6614" s="10" t="inlineStr">
        <is>
          <t>Financial Modeling, CFA, Power BI, SQL, Wealth Management</t>
        </is>
      </c>
      <c r="M6614" s="10" t="inlineStr">
        <is>
          <t>Bonus, Training, Team Activities</t>
        </is>
      </c>
      <c r="N6614" s="11">
        <f>HYPERLINK("https://www.vietnamworks.com/business-analysis-wealth-solution-2017537-jv","Xem chi tiết")</f>
        <v/>
      </c>
      <c r="O6614" s="10" t="n"/>
    </row>
    <row r="6615">
      <c r="B6615" s="7" t="n">
        <v>6613</v>
      </c>
      <c r="C6615" t="inlineStr">
        <is>
          <t>Tài Xế Lái Xe Cho Tổng Giám Đốc</t>
        </is>
      </c>
      <c r="D6615" t="inlineStr">
        <is>
          <t>ILA Vietnam</t>
        </is>
      </c>
      <c r="E6615" t="inlineStr">
        <is>
          <t>Thương lượng</t>
        </is>
      </c>
      <c r="F6615" t="inlineStr">
        <is>
          <t>Hồ Chí Minh</t>
        </is>
      </c>
      <c r="G6615" t="inlineStr">
        <is>
          <t>Nhân viên</t>
        </is>
      </c>
      <c r="H6615" t="inlineStr">
        <is>
          <t>03/03/2026</t>
        </is>
      </c>
      <c r="I6615" t="inlineStr">
        <is>
          <t>02/04/2026</t>
        </is>
      </c>
      <c r="J6615" t="inlineStr">
        <is>
          <t>17/03/2026</t>
        </is>
      </c>
      <c r="K6615" t="inlineStr">
        <is>
          <t>N/A</t>
        </is>
      </c>
      <c r="L6615" t="inlineStr">
        <is>
          <t>Giao Tiếp Khéo Léo, Lái Xe, Lái Xe Chuyên Nghiệp, Lái Xe Ô Tô</t>
        </is>
      </c>
      <c r="M6615" t="inlineStr">
        <is>
          <t>Bonus, Paid Leave, Training</t>
        </is>
      </c>
      <c r="N6615" s="8">
        <f>HYPERLINK("https://www.vietnamworks.com/tai-xe-lai-xe-cho-tong-giam-djoc-2017550-jv","Xem chi tiết")</f>
        <v/>
      </c>
    </row>
    <row r="6616">
      <c r="B6616" s="9" t="n">
        <v>6614</v>
      </c>
      <c r="C6616" s="10" t="inlineStr">
        <is>
          <t>Trưởng Nhóm Tư Vấn Tài Chính</t>
        </is>
      </c>
      <c r="D6616" s="10" t="inlineStr">
        <is>
          <t>CÔNG TY CỔ PHẦN TƯ VẤN QUẢN TRỊ &amp; TÀI CHÍNH VIỆT NAM</t>
        </is>
      </c>
      <c r="E6616" s="10" t="inlineStr">
        <is>
          <t>25tr-40tr ₫/tháng</t>
        </is>
      </c>
      <c r="F6616" s="10" t="inlineStr">
        <is>
          <t>Hà Nội</t>
        </is>
      </c>
      <c r="G6616" s="10" t="inlineStr">
        <is>
          <t>Nhân viên</t>
        </is>
      </c>
      <c r="H6616" s="10" t="inlineStr">
        <is>
          <t>03/03/2026</t>
        </is>
      </c>
      <c r="I6616" s="10" t="inlineStr">
        <is>
          <t>18/03/2026</t>
        </is>
      </c>
      <c r="J6616" s="10" t="inlineStr">
        <is>
          <t>17/03/2026</t>
        </is>
      </c>
      <c r="K6616" s="10" t="inlineStr">
        <is>
          <t>N/A</t>
        </is>
      </c>
      <c r="L6616" s="10" t="inlineStr">
        <is>
          <t>Tài Chính Doanh Nghiệp, Tư Vấn Tài Chính, Kiểm Toán, Tài Chính, Báo Cáo Tài Chính</t>
        </is>
      </c>
      <c r="M6616" s="10" t="inlineStr">
        <is>
          <t>Bonus, Training, Team Activities, Others</t>
        </is>
      </c>
      <c r="N6616" s="11">
        <f>HYPERLINK("https://www.vietnamworks.com/truong-nhom-tu-van-tai-chinh-2017533-jv","Xem chi tiết")</f>
        <v/>
      </c>
      <c r="O6616" s="10" t="n"/>
    </row>
    <row r="6617">
      <c r="B6617" s="7" t="n">
        <v>6615</v>
      </c>
      <c r="C6617" t="inlineStr">
        <is>
          <t>PM Merchant Acquiring (Payment)_ Local Product Specialist</t>
        </is>
      </c>
      <c r="D6617" t="inlineStr">
        <is>
          <t>KASIKORNBANK PUBLIC COMPANY LIMITED</t>
        </is>
      </c>
      <c r="E6617" t="inlineStr">
        <is>
          <t>Từ $ 1,000 /tháng</t>
        </is>
      </c>
      <c r="F6617" t="inlineStr">
        <is>
          <t>Hồ Chí Minh</t>
        </is>
      </c>
      <c r="G6617" t="inlineStr">
        <is>
          <t>Trưởng phòng</t>
        </is>
      </c>
      <c r="H6617" t="inlineStr">
        <is>
          <t>03/03/2026</t>
        </is>
      </c>
      <c r="I6617" t="inlineStr">
        <is>
          <t>02/04/2026</t>
        </is>
      </c>
      <c r="J6617" t="inlineStr">
        <is>
          <t>17/03/2026</t>
        </is>
      </c>
      <c r="K6617" t="inlineStr">
        <is>
          <t>N/A</t>
        </is>
      </c>
      <c r="L6617" t="inlineStr">
        <is>
          <t>Product Management, Banking Product, Technical Operations</t>
        </is>
      </c>
      <c r="M6617" t="inlineStr">
        <is>
          <t>Bonus, Paid Leave, Laptop</t>
        </is>
      </c>
      <c r="N6617" s="8">
        <f>HYPERLINK("https://www.vietnamworks.com/pm-merchant-acquiring-payment-local-product-specialist-2017545-jv","Xem chi tiết")</f>
        <v/>
      </c>
    </row>
    <row r="6618">
      <c r="B6618" s="9" t="n">
        <v>6616</v>
      </c>
      <c r="C6618" s="10" t="inlineStr">
        <is>
          <t>Accounting Staff (Temporary)</t>
        </is>
      </c>
      <c r="D6618" s="10" t="inlineStr">
        <is>
          <t>Geodis Vietnam Co. Ltd.</t>
        </is>
      </c>
      <c r="E6618" s="10" t="inlineStr">
        <is>
          <t>Thương lượng</t>
        </is>
      </c>
      <c r="F6618" s="10" t="inlineStr">
        <is>
          <t>Hồ Chí Minh</t>
        </is>
      </c>
      <c r="G6618" s="10" t="inlineStr">
        <is>
          <t>Nhân viên</t>
        </is>
      </c>
      <c r="H6618" s="10" t="inlineStr">
        <is>
          <t>03/03/2026</t>
        </is>
      </c>
      <c r="I6618" s="10" t="inlineStr">
        <is>
          <t>02/04/2026</t>
        </is>
      </c>
      <c r="J6618" s="10" t="inlineStr">
        <is>
          <t>17/03/2026</t>
        </is>
      </c>
      <c r="K6618" s="10" t="inlineStr">
        <is>
          <t>N/A</t>
        </is>
      </c>
      <c r="L6618" s="10" t="inlineStr">
        <is>
          <t>Taxation, Financial Accounting, Ar Bookkeeping, Global Forwarding, Financial Record Keeping</t>
        </is>
      </c>
      <c r="M6618" s="10" t="inlineStr">
        <is>
          <t>Bonus, Healthcare Plan, Awards</t>
        </is>
      </c>
      <c r="N6618" s="11">
        <f>HYPERLINK("https://www.vietnamworks.com/accounting-staff-temporary--2017547-jv","Xem chi tiết")</f>
        <v/>
      </c>
      <c r="O6618" s="10" t="n"/>
    </row>
    <row r="6619">
      <c r="B6619" s="7" t="n">
        <v>6617</v>
      </c>
      <c r="C6619" t="inlineStr">
        <is>
          <t>Trưởng Phòng Nhân Sự (HR Manager)</t>
        </is>
      </c>
      <c r="D6619" t="inlineStr">
        <is>
          <t>Công Ty Cổ Phần Đông Tây Land</t>
        </is>
      </c>
      <c r="E6619" t="inlineStr">
        <is>
          <t>30tr-35tr ₫/tháng</t>
        </is>
      </c>
      <c r="F6619" t="inlineStr">
        <is>
          <t>Hồ Chí Minh</t>
        </is>
      </c>
      <c r="G6619" t="inlineStr">
        <is>
          <t>Trưởng phòng</t>
        </is>
      </c>
      <c r="H6619" t="inlineStr">
        <is>
          <t>03/03/2026</t>
        </is>
      </c>
      <c r="I6619" t="inlineStr">
        <is>
          <t>02/04/2026</t>
        </is>
      </c>
      <c r="J6619" t="inlineStr">
        <is>
          <t>17/03/2026</t>
        </is>
      </c>
      <c r="K6619" t="inlineStr">
        <is>
          <t>N/A</t>
        </is>
      </c>
      <c r="L6619" t="inlineStr">
        <is>
          <t>Giao Tiếp, Lãnh Đạo, Quản Trị Nhân Sự, Thành Thạo Excel, Xử Lý Tình Huống Linh Hoạt</t>
        </is>
      </c>
      <c r="M6619" t="inlineStr">
        <is>
          <t>Bonus, Healthcare Plan, Training, Team Activities, Others</t>
        </is>
      </c>
      <c r="N6619" s="8">
        <f>HYPERLINK("https://www.vietnamworks.com/truong-phong-nhan-su-hr-manager-2017535-jv","Xem chi tiết")</f>
        <v/>
      </c>
    </row>
    <row r="6620">
      <c r="B6620" s="9" t="n">
        <v>6618</v>
      </c>
      <c r="C6620" s="10" t="inlineStr">
        <is>
          <t>Chuyên Gia Quản Trị Kiến Trúc và Giải Pháp Công Nghệ - MSB - KCN - 4M017</t>
        </is>
      </c>
      <c r="D6620" s="10" t="inlineStr">
        <is>
          <t>Ngân Hàng Thương Mại Cổ Phần Hàng Hải Việt Nam (MSB)</t>
        </is>
      </c>
      <c r="E6620" s="10" t="inlineStr">
        <is>
          <t>$$ 4,500-5,000 /tháng</t>
        </is>
      </c>
      <c r="F6620" s="10" t="inlineStr">
        <is>
          <t>Hà Nội</t>
        </is>
      </c>
      <c r="G6620" s="10" t="inlineStr">
        <is>
          <t>Trưởng phòng</t>
        </is>
      </c>
      <c r="H6620" s="10" t="inlineStr">
        <is>
          <t>03/03/2026</t>
        </is>
      </c>
      <c r="I6620" s="10" t="inlineStr">
        <is>
          <t>02/04/2026</t>
        </is>
      </c>
      <c r="J6620" s="10" t="inlineStr">
        <is>
          <t>17/03/2026</t>
        </is>
      </c>
      <c r="K6620" s="10" t="inlineStr">
        <is>
          <t>N/A</t>
        </is>
      </c>
      <c r="L6620" s="10" t="inlineStr">
        <is>
          <t>Công Nghệ Thông Tin, Khoa Học Máy Tính, Core Banking, Card System, CRM</t>
        </is>
      </c>
      <c r="M6620" s="10" t="inlineStr">
        <is>
          <t>Bonus, Healthcare Plan, Team Activities</t>
        </is>
      </c>
      <c r="N6620" s="11">
        <f>HYPERLINK("https://www.vietnamworks.com/chuyen-gia-quan-tri-kien-truc-va-giai-phap-cong-nghe-msb-kcn-4m017-2017540-jv","Xem chi tiết")</f>
        <v/>
      </c>
      <c r="O6620" s="10" t="n"/>
    </row>
    <row r="6621">
      <c r="B6621" s="7" t="n">
        <v>6619</v>
      </c>
      <c r="C6621" t="inlineStr">
        <is>
          <t>Nhân Viên Bảo Trì Thiết Bị</t>
        </is>
      </c>
      <c r="D6621" t="inlineStr">
        <is>
          <t>Công Ty TNHH Rodax Việt Nam</t>
        </is>
      </c>
      <c r="E6621" t="inlineStr">
        <is>
          <t>Thương lượng</t>
        </is>
      </c>
      <c r="F6621" t="inlineStr">
        <is>
          <t>Hưng Yên</t>
        </is>
      </c>
      <c r="G6621" t="inlineStr">
        <is>
          <t>Nhân viên</t>
        </is>
      </c>
      <c r="H6621" t="inlineStr">
        <is>
          <t>03/03/2026</t>
        </is>
      </c>
      <c r="I6621" t="inlineStr">
        <is>
          <t>02/04/2026</t>
        </is>
      </c>
      <c r="J6621" t="inlineStr">
        <is>
          <t>17/03/2026</t>
        </is>
      </c>
      <c r="K6621" t="inlineStr">
        <is>
          <t>N/A</t>
        </is>
      </c>
      <c r="L6621" t="inlineStr">
        <is>
          <t>Bảo Dưỡng Máy, Sửa Chữa Thiết Bị, Bảo Trì, Kỹ Thuật, Maintenace Management</t>
        </is>
      </c>
      <c r="M6621" t="inlineStr">
        <is>
          <t>Bonus, Healthcare Plan, Transportation</t>
        </is>
      </c>
      <c r="N6621" s="8">
        <f>HYPERLINK("https://www.vietnamworks.com/nhan-vien-bao-tri-thiet-bi--2017553-jv","Xem chi tiết")</f>
        <v/>
      </c>
    </row>
    <row r="6622">
      <c r="B6622" s="9" t="n">
        <v>6620</v>
      </c>
      <c r="C6622" s="10" t="inlineStr">
        <is>
          <t>Head of Brand Strategy (Senior Director Position)</t>
        </is>
      </c>
      <c r="D6622" s="10" t="inlineStr">
        <is>
          <t>Michael Page Vietnam</t>
        </is>
      </c>
      <c r="E6622" s="10" t="inlineStr">
        <is>
          <t>Thương lượng</t>
        </is>
      </c>
      <c r="F6622" s="10" t="inlineStr">
        <is>
          <t>Hà Nội</t>
        </is>
      </c>
      <c r="G6622" s="10" t="inlineStr">
        <is>
          <t>Giám Đốc và Cấp Cao Hơn</t>
        </is>
      </c>
      <c r="H6622" s="10" t="inlineStr">
        <is>
          <t>03/03/2026</t>
        </is>
      </c>
      <c r="I6622" s="10" t="inlineStr">
        <is>
          <t>02/04/2026</t>
        </is>
      </c>
      <c r="J6622" s="10" t="inlineStr">
        <is>
          <t>17/03/2026</t>
        </is>
      </c>
      <c r="K6622" s="10" t="inlineStr">
        <is>
          <t>N/A</t>
        </is>
      </c>
      <c r="L6622" s="10" t="inlineStr">
        <is>
          <t>Strategic Brand Management, Business Strategy Development, Branding, Marketing Planning, CSR Planning</t>
        </is>
      </c>
      <c r="M6622" s="10" t="inlineStr">
        <is>
          <t>Bonus, Healthcare Plan, Awards</t>
        </is>
      </c>
      <c r="N6622" s="11">
        <f>HYPERLINK("https://www.vietnamworks.com/head-of-brand-strategy-senior-director-position-2017552-jv","Xem chi tiết")</f>
        <v/>
      </c>
      <c r="O6622" s="10" t="n"/>
    </row>
    <row r="6623">
      <c r="B6623" s="7" t="n">
        <v>6621</v>
      </c>
      <c r="C6623" t="inlineStr">
        <is>
          <t>Kế Toán Viên</t>
        </is>
      </c>
      <c r="D6623" t="inlineStr">
        <is>
          <t>Vietnamworks' Client</t>
        </is>
      </c>
      <c r="E6623" t="inlineStr">
        <is>
          <t>Thương lượng</t>
        </is>
      </c>
      <c r="F6623" t="inlineStr">
        <is>
          <t>Khác</t>
        </is>
      </c>
      <c r="G6623" t="inlineStr">
        <is>
          <t>Nhân viên</t>
        </is>
      </c>
      <c r="H6623" t="inlineStr">
        <is>
          <t>03/03/2026</t>
        </is>
      </c>
      <c r="I6623" t="inlineStr">
        <is>
          <t>02/04/2026</t>
        </is>
      </c>
      <c r="J6623" t="inlineStr">
        <is>
          <t>17/03/2026</t>
        </is>
      </c>
      <c r="K6623" t="inlineStr">
        <is>
          <t>N/A</t>
        </is>
      </c>
      <c r="L6623" t="inlineStr">
        <is>
          <t>Kế Toán Tài Chính, Tài Chính, ERP, SAP, Oracle</t>
        </is>
      </c>
      <c r="M6623" t="inlineStr">
        <is>
          <t>Bonus, Training, Others</t>
        </is>
      </c>
      <c r="N6623" s="8">
        <f>HYPERLINK("https://www.vietnamworks.com/ke-toan-vien--2017557-jv","Xem chi tiết")</f>
        <v/>
      </c>
    </row>
    <row r="6624">
      <c r="B6624" s="9" t="n">
        <v>6622</v>
      </c>
      <c r="C6624" s="10" t="inlineStr">
        <is>
          <t>Kiến Trúc Sư</t>
        </is>
      </c>
      <c r="D6624" s="10" t="inlineStr">
        <is>
          <t>Công Ty TNHH Tư Vấn Thiết Kế Xây Dựng Hòa Chính</t>
        </is>
      </c>
      <c r="E6624" s="10" t="inlineStr">
        <is>
          <t>15tr-35tr ₫/tháng</t>
        </is>
      </c>
      <c r="F6624" s="10" t="inlineStr">
        <is>
          <t>Hà Nội, Hồ Chí Minh</t>
        </is>
      </c>
      <c r="G6624" s="10" t="inlineStr">
        <is>
          <t>Nhân viên</t>
        </is>
      </c>
      <c r="H6624" s="10" t="inlineStr">
        <is>
          <t>03/03/2026</t>
        </is>
      </c>
      <c r="I6624" s="10" t="inlineStr">
        <is>
          <t>02/04/2026</t>
        </is>
      </c>
      <c r="J6624" s="10" t="inlineStr">
        <is>
          <t>17/03/2026</t>
        </is>
      </c>
      <c r="K6624" s="10" t="inlineStr">
        <is>
          <t>N/A</t>
        </is>
      </c>
      <c r="L6624" s="10" t="inlineStr">
        <is>
          <t>Thiết Kế Kiến Trúc, Phần Mềm Thiết Kế 3D, Cấu Tạo Chi Tiết, Luật Xây Dựng, Trách nhiệm</t>
        </is>
      </c>
      <c r="M6624" s="10" t="inlineStr">
        <is>
          <t>Bonus, Healthcare Plan, Paid Leave, Others</t>
        </is>
      </c>
      <c r="N6624" s="11">
        <f>HYPERLINK("https://www.vietnamworks.com/kien-truc-su-2017556-jv","Xem chi tiết")</f>
        <v/>
      </c>
      <c r="O6624" s="10" t="n"/>
    </row>
    <row r="6625">
      <c r="B6625" s="7" t="n">
        <v>6623</v>
      </c>
      <c r="C6625" t="inlineStr">
        <is>
          <t>Hành Chính Nhân Sự (HR Administrator)</t>
        </is>
      </c>
      <c r="D6625" t="inlineStr">
        <is>
          <t>CÔNG TY TNHH WANTONG TECHNOLOGY</t>
        </is>
      </c>
      <c r="E6625" t="inlineStr">
        <is>
          <t>Thương lượng</t>
        </is>
      </c>
      <c r="F6625" t="inlineStr">
        <is>
          <t>Hồ Chí Minh</t>
        </is>
      </c>
      <c r="G6625" t="inlineStr">
        <is>
          <t>Nhân viên</t>
        </is>
      </c>
      <c r="H6625" t="inlineStr">
        <is>
          <t>03/03/2026</t>
        </is>
      </c>
      <c r="I6625" t="inlineStr">
        <is>
          <t>02/04/2026</t>
        </is>
      </c>
      <c r="J6625" t="inlineStr">
        <is>
          <t>17/03/2026</t>
        </is>
      </c>
      <c r="K6625" t="inlineStr">
        <is>
          <t>N/A</t>
        </is>
      </c>
      <c r="L6625" t="inlineStr">
        <is>
          <t>Hành Chính Nhân Sự, Hồ Sơ Nhân Sự, Kỹ năng tổ chức, Phần mềm văn phòng</t>
        </is>
      </c>
      <c r="M6625" t="inlineStr">
        <is>
          <t>Training, Team Activities, Others</t>
        </is>
      </c>
      <c r="N6625" s="8">
        <f>HYPERLINK("https://www.vietnamworks.com/hanh-chinh-nhan-su-hr-administrator-2017562-jv","Xem chi tiết")</f>
        <v/>
      </c>
    </row>
    <row r="6626">
      <c r="B6626" s="9" t="n">
        <v>6624</v>
      </c>
      <c r="C6626" s="10" t="inlineStr">
        <is>
          <t>DPAA Temporary Administrative Assistant (Voucher Examiner/ Logistic Assistant)</t>
        </is>
      </c>
      <c r="D6626" s="10" t="inlineStr">
        <is>
          <t>U.S. Mission Vietnam – U.S. Embassy In Hanoi</t>
        </is>
      </c>
      <c r="E6626" s="10" t="inlineStr">
        <is>
          <t>Thương lượng</t>
        </is>
      </c>
      <c r="F6626" s="10" t="inlineStr">
        <is>
          <t>Hà Nội</t>
        </is>
      </c>
      <c r="G6626" s="10" t="inlineStr">
        <is>
          <t>Nhân viên</t>
        </is>
      </c>
      <c r="H6626" s="10" t="inlineStr">
        <is>
          <t>03/03/2026</t>
        </is>
      </c>
      <c r="I6626" s="10" t="inlineStr">
        <is>
          <t>02/04/2026</t>
        </is>
      </c>
      <c r="J6626" s="10" t="inlineStr">
        <is>
          <t>17/03/2026</t>
        </is>
      </c>
      <c r="K6626" s="10" t="inlineStr">
        <is>
          <t>N/A</t>
        </is>
      </c>
      <c r="L6626" s="10" t="inlineStr">
        <is>
          <t>English, Accounting, Administration, Bookkeeping, Payment</t>
        </is>
      </c>
      <c r="M6626" s="10" t="inlineStr">
        <is>
          <t>Bonus, Healthcare Plan, Others</t>
        </is>
      </c>
      <c r="N6626" s="11">
        <f>HYPERLINK("https://www.vietnamworks.com/dpaa-temporary-administrative-assistant-voucher-examiner-logistic-assistant-2017555-jv","Xem chi tiết")</f>
        <v/>
      </c>
      <c r="O6626" s="10" t="n"/>
    </row>
    <row r="6627">
      <c r="B6627" s="7" t="n">
        <v>6625</v>
      </c>
      <c r="C6627" t="inlineStr">
        <is>
          <t>Luật Sư/Chuyên Viên Tư Vấn</t>
        </is>
      </c>
      <c r="D6627" t="inlineStr">
        <is>
          <t>Công ty Luật TNHH Lê và Liên Danh</t>
        </is>
      </c>
      <c r="E6627" t="inlineStr">
        <is>
          <t>Từ 15tr ₫/tháng</t>
        </is>
      </c>
      <c r="F6627" t="inlineStr">
        <is>
          <t>Hà Nội, Hồ Chí Minh</t>
        </is>
      </c>
      <c r="G6627" t="inlineStr">
        <is>
          <t>Nhân viên</t>
        </is>
      </c>
      <c r="H6627" t="inlineStr">
        <is>
          <t>03/03/2026</t>
        </is>
      </c>
      <c r="I6627" t="inlineStr">
        <is>
          <t>02/04/2026</t>
        </is>
      </c>
      <c r="J6627" t="inlineStr">
        <is>
          <t>17/03/2026</t>
        </is>
      </c>
      <c r="K6627" t="inlineStr">
        <is>
          <t>N/A</t>
        </is>
      </c>
      <c r="L6627" t="inlineStr">
        <is>
          <t>Tư Vấn Pháp Lý, Phiên Dịch Tài Liệu, Nghiên cứu Pháp Luật, Giao Tiếp Tiếng Anh, Tư duy logic</t>
        </is>
      </c>
      <c r="M6627" t="inlineStr">
        <is>
          <t>Paid Leave, Travel Opportunities, Others</t>
        </is>
      </c>
      <c r="N6627" s="8">
        <f>HYPERLINK("https://www.vietnamworks.com/luat-suchuyen-vien-tu-van-2017576-jv","Xem chi tiết")</f>
        <v/>
      </c>
    </row>
    <row r="6628">
      <c r="B6628" s="9" t="n">
        <v>6626</v>
      </c>
      <c r="C6628" s="10" t="inlineStr">
        <is>
          <t>Kỹ Sư Dự Toán (Dự Toán QS, SM, MEP)</t>
        </is>
      </c>
      <c r="D6628" s="10" t="inlineStr">
        <is>
          <t>CÔNG TY TNHH NK ENGINEERING &amp; CONSTRUCTION INDOCHINA</t>
        </is>
      </c>
      <c r="E6628" s="10" t="inlineStr">
        <is>
          <t>$$ 20tr-30tr /tháng</t>
        </is>
      </c>
      <c r="F6628" s="10" t="inlineStr">
        <is>
          <t>Hồ Chí Minh</t>
        </is>
      </c>
      <c r="G6628" s="10" t="inlineStr">
        <is>
          <t>Trưởng phòng</t>
        </is>
      </c>
      <c r="H6628" s="10" t="inlineStr">
        <is>
          <t>03/03/2026</t>
        </is>
      </c>
      <c r="I6628" s="10" t="inlineStr">
        <is>
          <t>02/04/2026</t>
        </is>
      </c>
      <c r="J6628" s="10" t="inlineStr">
        <is>
          <t>17/03/2026</t>
        </is>
      </c>
      <c r="K6628" s="10" t="inlineStr">
        <is>
          <t>N/A</t>
        </is>
      </c>
      <c r="L6628" s="10" t="inlineStr">
        <is>
          <t>Dự Toán Xây Dựng, Quản Lý Thời Gian, Kỹ năng làm việc nhóm</t>
        </is>
      </c>
      <c r="M6628" s="10" t="inlineStr">
        <is>
          <t>Bonus, Healthcare Plan, Training, Team Activities, Others</t>
        </is>
      </c>
      <c r="N6628" s="11">
        <f>HYPERLINK("https://www.vietnamworks.com/ky-su-du-toan-du-toan-qs-sm-mep-2017574-jv","Xem chi tiết")</f>
        <v/>
      </c>
      <c r="O6628" s="10" t="n"/>
    </row>
    <row r="6629">
      <c r="B6629" s="7" t="n">
        <v>6627</v>
      </c>
      <c r="C6629" t="inlineStr">
        <is>
          <t>SEL Teacher</t>
        </is>
      </c>
      <c r="D6629" t="inlineStr">
        <is>
          <t>Wellspring Saigon International Bilingual School</t>
        </is>
      </c>
      <c r="E6629" t="inlineStr">
        <is>
          <t>Thương lượng</t>
        </is>
      </c>
      <c r="F6629" t="inlineStr">
        <is>
          <t>Hồ Chí Minh</t>
        </is>
      </c>
      <c r="G6629" t="inlineStr">
        <is>
          <t>Nhân viên</t>
        </is>
      </c>
      <c r="H6629" t="inlineStr">
        <is>
          <t>03/03/2026</t>
        </is>
      </c>
      <c r="I6629" t="inlineStr">
        <is>
          <t>02/04/2026</t>
        </is>
      </c>
      <c r="J6629" t="inlineStr">
        <is>
          <t>17/03/2026</t>
        </is>
      </c>
      <c r="K6629" t="inlineStr">
        <is>
          <t>N/A</t>
        </is>
      </c>
      <c r="L6629" t="inlineStr">
        <is>
          <t>SEL, Teaching, Education, Classroom Management, Teaching Methodology</t>
        </is>
      </c>
      <c r="M6629" t="inlineStr">
        <is>
          <t>Bonus, Healthcare Plan, Travel Opportunities</t>
        </is>
      </c>
      <c r="N6629" s="8">
        <f>HYPERLINK("https://www.vietnamworks.com/sel-teacher-2017563-jv","Xem chi tiết")</f>
        <v/>
      </c>
    </row>
    <row r="6630">
      <c r="B6630" s="9" t="n">
        <v>6628</v>
      </c>
      <c r="C6630" s="10" t="inlineStr">
        <is>
          <t>Phó Ban Đầu Tư</t>
        </is>
      </c>
      <c r="D6630" s="10" t="inlineStr">
        <is>
          <t>CÔNG TY CỔ PHẦN TẬP ĐOÀN BMK</t>
        </is>
      </c>
      <c r="E6630" s="10" t="inlineStr">
        <is>
          <t>50tr-60tr ₫/tháng</t>
        </is>
      </c>
      <c r="F6630" s="10" t="inlineStr">
        <is>
          <t>Hà Nội</t>
        </is>
      </c>
      <c r="G6630" s="10" t="inlineStr">
        <is>
          <t>Trưởng phòng</t>
        </is>
      </c>
      <c r="H6630" s="10" t="inlineStr">
        <is>
          <t>03/03/2026</t>
        </is>
      </c>
      <c r="I6630" s="10" t="inlineStr">
        <is>
          <t>02/04/2026</t>
        </is>
      </c>
      <c r="J6630" s="10" t="inlineStr">
        <is>
          <t>17/03/2026</t>
        </is>
      </c>
      <c r="K6630" s="10" t="inlineStr">
        <is>
          <t>N/A</t>
        </is>
      </c>
      <c r="L6630" s="10" t="inlineStr">
        <is>
          <t>Đầu Tư, Triển Khai Dự Án, Phân Tích Tài Chính, Quy Hoạch Dự Án, Đánh Giá Đầu Tư</t>
        </is>
      </c>
      <c r="M6630" s="10" t="inlineStr">
        <is>
          <t>Bonus, Travel Opportunities, Others</t>
        </is>
      </c>
      <c r="N6630" s="11">
        <f>HYPERLINK("https://www.vietnamworks.com/pho-ban-dau-tu--2017569-jv","Xem chi tiết")</f>
        <v/>
      </c>
      <c r="O6630" s="10" t="n"/>
    </row>
    <row r="6631">
      <c r="B6631" s="7" t="n">
        <v>6629</v>
      </c>
      <c r="C6631" t="inlineStr">
        <is>
          <t>Graphic Designer - Thu Nhập Đến 14 Triệu Đồng/ Tháng</t>
        </is>
      </c>
      <c r="D6631" t="inlineStr">
        <is>
          <t>Công Ty TNHH Thương Mại Konox Việt Nam</t>
        </is>
      </c>
      <c r="E6631" t="inlineStr">
        <is>
          <t>12tr-14tr ₫/tháng</t>
        </is>
      </c>
      <c r="F6631" t="inlineStr">
        <is>
          <t>Hà Nội</t>
        </is>
      </c>
      <c r="G6631" t="inlineStr">
        <is>
          <t>Nhân viên</t>
        </is>
      </c>
      <c r="H6631" t="inlineStr">
        <is>
          <t>03/03/2026</t>
        </is>
      </c>
      <c r="I6631" t="inlineStr">
        <is>
          <t>02/04/2026</t>
        </is>
      </c>
      <c r="J6631" t="inlineStr">
        <is>
          <t>17/03/2026</t>
        </is>
      </c>
      <c r="K6631" t="inlineStr">
        <is>
          <t>N/A</t>
        </is>
      </c>
      <c r="L6631" t="inlineStr">
        <is>
          <t>Adobe Creative, Sáng Tạo Ý Tưởng, Thiết Kế Ấn Phẩm, Thiết Kế Hình Ảnh, Thiết Kế Đồ Họa</t>
        </is>
      </c>
      <c r="M6631" t="inlineStr">
        <is>
          <t>Bonus, Healthcare Plan, Training, Laptop, Team Activities, Others</t>
        </is>
      </c>
      <c r="N6631" s="8">
        <f>HYPERLINK("https://www.vietnamworks.com/graphic-designer-thu-nhap-djen-14-trieu-djong-thang-2017561-jv","Xem chi tiết")</f>
        <v/>
      </c>
    </row>
    <row r="6632">
      <c r="B6632" s="9" t="n">
        <v>6630</v>
      </c>
      <c r="C6632" s="10" t="inlineStr">
        <is>
          <t>Nhân Viên Thiết Kế Khuôn, Jig : Phòng Mould</t>
        </is>
      </c>
      <c r="D6632" s="10" t="inlineStr">
        <is>
          <t>Công ty TNHH Elentec Việt Nam</t>
        </is>
      </c>
      <c r="E6632" s="10" t="inlineStr">
        <is>
          <t>Thương lượng</t>
        </is>
      </c>
      <c r="F6632" s="10" t="inlineStr">
        <is>
          <t>Hà Nội</t>
        </is>
      </c>
      <c r="G6632" s="10" t="inlineStr">
        <is>
          <t>Nhân viên</t>
        </is>
      </c>
      <c r="H6632" s="10" t="inlineStr">
        <is>
          <t>03/03/2026</t>
        </is>
      </c>
      <c r="I6632" s="10" t="inlineStr">
        <is>
          <t>02/04/2026</t>
        </is>
      </c>
      <c r="J6632" s="10" t="inlineStr">
        <is>
          <t>17/03/2026</t>
        </is>
      </c>
      <c r="K6632" s="10" t="inlineStr">
        <is>
          <t>N/A</t>
        </is>
      </c>
      <c r="L6632" s="10" t="inlineStr">
        <is>
          <t>Cơ Khí, Kỹ Thuật Khuôn Đúc Nhựa, Thiết Kế Jig, Autocad, Jig Design</t>
        </is>
      </c>
      <c r="M6632" s="10" t="inlineStr">
        <is>
          <t>Bonus, Transportation, Canteen</t>
        </is>
      </c>
      <c r="N6632" s="11">
        <f>HYPERLINK("https://www.vietnamworks.com/nhan-vien-thiet-ke-khuon-jig-phong-mould-2017565-jv","Xem chi tiết")</f>
        <v/>
      </c>
      <c r="O6632" s="10" t="n"/>
    </row>
    <row r="6633">
      <c r="B6633" s="7" t="n">
        <v>6631</v>
      </c>
      <c r="C6633" t="inlineStr">
        <is>
          <t>Logistics Officer</t>
        </is>
      </c>
      <c r="D6633" t="inlineStr">
        <is>
          <t>Petrovietnam Drilling And Well Services Corporation - Drilling Division (CN Tổng công ty cổ phần Khoan và Dịch vụ Khoan Dầu khí - Xí nghiệp Điều hành khoan)</t>
        </is>
      </c>
      <c r="E6633" t="inlineStr">
        <is>
          <t>Thương lượng</t>
        </is>
      </c>
      <c r="F6633" t="inlineStr">
        <is>
          <t>Hồ Chí Minh, Bà Rịa - Vũng Tàu</t>
        </is>
      </c>
      <c r="G6633" t="inlineStr">
        <is>
          <t>Nhân viên</t>
        </is>
      </c>
      <c r="H6633" t="inlineStr">
        <is>
          <t>03/03/2026</t>
        </is>
      </c>
      <c r="I6633" t="inlineStr">
        <is>
          <t>02/04/2026</t>
        </is>
      </c>
      <c r="J6633" t="inlineStr">
        <is>
          <t>17/03/2026</t>
        </is>
      </c>
      <c r="K6633" t="inlineStr">
        <is>
          <t>N/A</t>
        </is>
      </c>
      <c r="L6633" t="inlineStr">
        <is>
          <t>English, Logistics Operation, Supply Chain Operations, Warehouse Management</t>
        </is>
      </c>
      <c r="M6633" t="inlineStr">
        <is>
          <t>Others</t>
        </is>
      </c>
      <c r="N6633" s="8">
        <f>HYPERLINK("https://www.vietnamworks.com/logistics-officer-2017571-jv","Xem chi tiết")</f>
        <v/>
      </c>
    </row>
    <row r="6634">
      <c r="B6634" s="9" t="n">
        <v>6632</v>
      </c>
      <c r="C6634" s="10" t="inlineStr">
        <is>
          <t>Sales Executive</t>
        </is>
      </c>
      <c r="D6634" s="10" t="inlineStr">
        <is>
          <t>Sebang Battery Vina</t>
        </is>
      </c>
      <c r="E6634" s="10" t="inlineStr">
        <is>
          <t>Thương lượng</t>
        </is>
      </c>
      <c r="F6634" s="10" t="inlineStr">
        <is>
          <t>Hà Nội</t>
        </is>
      </c>
      <c r="G6634" s="10" t="inlineStr">
        <is>
          <t>Nhân viên</t>
        </is>
      </c>
      <c r="H6634" s="10" t="inlineStr">
        <is>
          <t>03/03/2026</t>
        </is>
      </c>
      <c r="I6634" s="10" t="inlineStr">
        <is>
          <t>02/04/2026</t>
        </is>
      </c>
      <c r="J6634" s="10" t="inlineStr">
        <is>
          <t>17/03/2026</t>
        </is>
      </c>
      <c r="K6634" s="10" t="inlineStr">
        <is>
          <t>N/A</t>
        </is>
      </c>
      <c r="L6634" s="10" t="inlineStr">
        <is>
          <t>B2B Sales, Data Analysis, Customer Handling, Distribution Channel Development, Market Research</t>
        </is>
      </c>
      <c r="M6634" s="10" t="inlineStr">
        <is>
          <t>Bonus, Training</t>
        </is>
      </c>
      <c r="N6634" s="11">
        <f>HYPERLINK("https://www.vietnamworks.com/sales-executive-2017573-jv","Xem chi tiết")</f>
        <v/>
      </c>
      <c r="O6634" s="10" t="n"/>
    </row>
    <row r="6635">
      <c r="B6635" s="7" t="n">
        <v>6633</v>
      </c>
      <c r="C6635" t="inlineStr">
        <is>
          <t>Garment Technician</t>
        </is>
      </c>
      <c r="D6635" t="inlineStr">
        <is>
          <t>Crystal Martin (Vietnam) Company Limited</t>
        </is>
      </c>
      <c r="E6635" t="inlineStr">
        <is>
          <t>Thương lượng</t>
        </is>
      </c>
      <c r="F6635" t="inlineStr">
        <is>
          <t>Bắc Giang, Hà Nội, Bắc Ninh</t>
        </is>
      </c>
      <c r="G6635" t="inlineStr">
        <is>
          <t>Nhân viên</t>
        </is>
      </c>
      <c r="H6635" t="inlineStr">
        <is>
          <t>03/03/2026</t>
        </is>
      </c>
      <c r="I6635" t="inlineStr">
        <is>
          <t>02/04/2026</t>
        </is>
      </c>
      <c r="J6635" t="inlineStr">
        <is>
          <t>17/03/2026</t>
        </is>
      </c>
      <c r="K6635" t="inlineStr">
        <is>
          <t>N/A</t>
        </is>
      </c>
      <c r="L6635" t="inlineStr">
        <is>
          <t>Ladies Intimate Design, Apparel, Garment Technician, Pattern Grading, Sample Development</t>
        </is>
      </c>
      <c r="M6635" t="inlineStr">
        <is>
          <t>Bonus, Transportation, Canteen, Others</t>
        </is>
      </c>
      <c r="N6635" s="8">
        <f>HYPERLINK("https://www.vietnamworks.com/garment-technician-2017568-jv","Xem chi tiết")</f>
        <v/>
      </c>
    </row>
    <row r="6636">
      <c r="B6636" s="9" t="n">
        <v>6634</v>
      </c>
      <c r="C6636" s="10" t="inlineStr">
        <is>
          <t>Business Development Specialist</t>
        </is>
      </c>
      <c r="D6636" s="10" t="inlineStr">
        <is>
          <t>Bosch Global Software Technologies Company Limited</t>
        </is>
      </c>
      <c r="E6636" s="10" t="inlineStr">
        <is>
          <t>Thương lượng</t>
        </is>
      </c>
      <c r="F6636" s="10" t="inlineStr">
        <is>
          <t>Hồ Chí Minh</t>
        </is>
      </c>
      <c r="G6636" s="10" t="inlineStr">
        <is>
          <t>Nhân viên</t>
        </is>
      </c>
      <c r="H6636" s="10" t="inlineStr">
        <is>
          <t>03/03/2026</t>
        </is>
      </c>
      <c r="I6636" s="10" t="inlineStr">
        <is>
          <t>02/04/2026</t>
        </is>
      </c>
      <c r="J6636" s="10" t="inlineStr">
        <is>
          <t>17/03/2026</t>
        </is>
      </c>
      <c r="K6636" s="10" t="inlineStr">
        <is>
          <t>N/A</t>
        </is>
      </c>
      <c r="L6636" s="10" t="inlineStr">
        <is>
          <t>B2B Sales, Business Development, Technology Consulting, Enterprise Sales, Erp Sales Experience</t>
        </is>
      </c>
      <c r="M6636" s="10" t="inlineStr">
        <is>
          <t>Bonus, Healthcare Plan, Paid Leave</t>
        </is>
      </c>
      <c r="N6636" s="11">
        <f>HYPERLINK("https://www.vietnamworks.com/business-development-specialist--2017575-jv","Xem chi tiết")</f>
        <v/>
      </c>
      <c r="O6636" s="10" t="n"/>
    </row>
    <row r="6637">
      <c r="B6637" s="7" t="n">
        <v>6635</v>
      </c>
      <c r="C6637" t="inlineStr">
        <is>
          <t>UK Designbuild Studio Thiết Kế &amp; Thi Công Cao Cấp</t>
        </is>
      </c>
      <c r="D6637" t="inlineStr">
        <is>
          <t>Công ty Tư vấn thiết kế và xây dựng UK</t>
        </is>
      </c>
      <c r="E6637" t="inlineStr">
        <is>
          <t>Thương lượng</t>
        </is>
      </c>
      <c r="F6637" t="inlineStr">
        <is>
          <t>Hồ Chí Minh</t>
        </is>
      </c>
      <c r="G6637" t="inlineStr">
        <is>
          <t>Nhân viên</t>
        </is>
      </c>
      <c r="H6637" t="inlineStr">
        <is>
          <t>03/03/2026</t>
        </is>
      </c>
      <c r="I6637" t="inlineStr">
        <is>
          <t>02/04/2026</t>
        </is>
      </c>
      <c r="J6637" t="inlineStr">
        <is>
          <t>17/03/2026</t>
        </is>
      </c>
      <c r="K6637" t="inlineStr">
        <is>
          <t>N/A</t>
        </is>
      </c>
      <c r="L6637" t="inlineStr">
        <is>
          <t>AutoCAD, Sketchup, Photoshop, Lumion, Vray</t>
        </is>
      </c>
      <c r="M6637" t="inlineStr">
        <is>
          <t>Bonus, Training, Others</t>
        </is>
      </c>
      <c r="N6637" s="8">
        <f>HYPERLINK("https://www.vietnamworks.com/uk-designbuild-studio-thiet-ke-and-thi-cong-cao-cap-2017572-jv","Xem chi tiết")</f>
        <v/>
      </c>
    </row>
    <row r="6638">
      <c r="B6638" s="9" t="n">
        <v>6636</v>
      </c>
      <c r="C6638" s="10" t="inlineStr">
        <is>
          <t>Labor Management Staff (Korean/English Speaking)</t>
        </is>
      </c>
      <c r="D6638" s="10" t="inlineStr">
        <is>
          <t>Công Ty TNHH LG Display Việt Nam Hải Phòng</t>
        </is>
      </c>
      <c r="E6638" s="10" t="inlineStr">
        <is>
          <t>Thương lượng</t>
        </is>
      </c>
      <c r="F6638" s="10" t="inlineStr">
        <is>
          <t>Hải Phòng</t>
        </is>
      </c>
      <c r="G6638" s="10" t="inlineStr">
        <is>
          <t>Nhân viên</t>
        </is>
      </c>
      <c r="H6638" s="10" t="inlineStr">
        <is>
          <t>03/03/2026</t>
        </is>
      </c>
      <c r="I6638" s="10" t="inlineStr">
        <is>
          <t>02/04/2026</t>
        </is>
      </c>
      <c r="J6638" s="10" t="inlineStr">
        <is>
          <t>17/03/2026</t>
        </is>
      </c>
      <c r="K6638" s="10" t="inlineStr">
        <is>
          <t>N/A</t>
        </is>
      </c>
      <c r="L6638" s="10" t="inlineStr">
        <is>
          <t>Labor Management, Labor Relations, Human Resource Management, English, Korean</t>
        </is>
      </c>
      <c r="M6638" s="10" t="inlineStr">
        <is>
          <t>Bonus, Transportation, Others</t>
        </is>
      </c>
      <c r="N6638" s="11">
        <f>HYPERLINK("https://www.vietnamworks.com/labor-management-staff-korean-english-speaking-2017577-jv","Xem chi tiết")</f>
        <v/>
      </c>
      <c r="O6638" s="10" t="n"/>
    </row>
    <row r="6639">
      <c r="B6639" s="7" t="n">
        <v>6637</v>
      </c>
      <c r="C6639" t="inlineStr">
        <is>
          <t>Key Account Manager (Giám Sát Bán Hàng) Kênh KA (Kênh Cơ Quan Xí Nghiệp Trường Học...)</t>
        </is>
      </c>
      <c r="D6639" t="inlineStr">
        <is>
          <t>Công Ty Cổ Phần Thương Mại Tràng An- Việt Nam</t>
        </is>
      </c>
      <c r="E6639" t="inlineStr">
        <is>
          <t>Thương lượng</t>
        </is>
      </c>
      <c r="F6639" t="inlineStr">
        <is>
          <t>Hà Nội, Hồ Chí Minh</t>
        </is>
      </c>
      <c r="G6639" t="inlineStr">
        <is>
          <t>Nhân viên</t>
        </is>
      </c>
      <c r="H6639" t="inlineStr">
        <is>
          <t>03/03/2026</t>
        </is>
      </c>
      <c r="I6639" t="inlineStr">
        <is>
          <t>02/04/2026</t>
        </is>
      </c>
      <c r="J6639" t="inlineStr">
        <is>
          <t>17/03/2026</t>
        </is>
      </c>
      <c r="K6639" t="inlineStr">
        <is>
          <t>N/A</t>
        </is>
      </c>
      <c r="L6639" t="inlineStr">
        <is>
          <t>Bán Hàng, FMCG, Kinh Doanh, Phát Triển Thị Trường, Key Account Management</t>
        </is>
      </c>
      <c r="M6639" t="inlineStr">
        <is>
          <t>Bonus, Healthcare Plan, Paid Leave</t>
        </is>
      </c>
      <c r="N6639" s="8">
        <f>HYPERLINK("https://www.vietnamworks.com/key-account-manager-giam-sat-ban-hang-kenh-ka-kenh-co-quan-xi-nghiep-truong-hoc-2017564-jv","Xem chi tiết")</f>
        <v/>
      </c>
    </row>
    <row r="6640">
      <c r="B6640" s="9" t="n">
        <v>6638</v>
      </c>
      <c r="C6640" s="10" t="inlineStr">
        <is>
          <t>Nhân Viên Xuất Nhập Khẩu</t>
        </is>
      </c>
      <c r="D6640" s="10" t="inlineStr">
        <is>
          <t>CÔNG TY TNHH SX TM DIHAFO</t>
        </is>
      </c>
      <c r="E6640" s="10" t="inlineStr">
        <is>
          <t>Thương lượng</t>
        </is>
      </c>
      <c r="F6640" s="10" t="inlineStr">
        <is>
          <t>Bình Dương</t>
        </is>
      </c>
      <c r="G6640" s="10" t="inlineStr">
        <is>
          <t>Nhân viên</t>
        </is>
      </c>
      <c r="H6640" s="10" t="inlineStr">
        <is>
          <t>03/03/2026</t>
        </is>
      </c>
      <c r="I6640" s="10" t="inlineStr">
        <is>
          <t>02/04/2026</t>
        </is>
      </c>
      <c r="J6640" s="10" t="inlineStr">
        <is>
          <t>17/03/2026</t>
        </is>
      </c>
      <c r="K6640" s="10" t="inlineStr">
        <is>
          <t>N/A</t>
        </is>
      </c>
      <c r="L6640" s="10" t="inlineStr">
        <is>
          <t>Computer Skills, Import Export Procedure, Logistics, Quản Lý Chứng Từ, Tiếng Anh</t>
        </is>
      </c>
      <c r="M6640" s="10" t="inlineStr">
        <is>
          <t>Bonus, Healthcare Plan, Others</t>
        </is>
      </c>
      <c r="N6640" s="11">
        <f>HYPERLINK("https://www.vietnamworks.com/nhan-vien-xuat-nhap-khau-2017596-jv","Xem chi tiết")</f>
        <v/>
      </c>
      <c r="O6640" s="10" t="n"/>
    </row>
    <row r="6641">
      <c r="B6641" s="7" t="n">
        <v>6639</v>
      </c>
      <c r="C6641" t="inlineStr">
        <is>
          <t>Kỹ Thuật SMT</t>
        </is>
      </c>
      <c r="D6641" t="inlineStr">
        <is>
          <t>Công Ty TNHH Yusung Electronics VINA</t>
        </is>
      </c>
      <c r="E6641" t="inlineStr">
        <is>
          <t>Thương lượng</t>
        </is>
      </c>
      <c r="F6641" t="inlineStr">
        <is>
          <t>Hưng Yên</t>
        </is>
      </c>
      <c r="G6641" t="inlineStr">
        <is>
          <t>Nhân viên</t>
        </is>
      </c>
      <c r="H6641" t="inlineStr">
        <is>
          <t>03/03/2026</t>
        </is>
      </c>
      <c r="I6641" t="inlineStr">
        <is>
          <t>02/04/2026</t>
        </is>
      </c>
      <c r="J6641" t="inlineStr">
        <is>
          <t>17/03/2026</t>
        </is>
      </c>
      <c r="K6641" t="inlineStr">
        <is>
          <t>N/A</t>
        </is>
      </c>
      <c r="L6641" t="inlineStr">
        <is>
          <t>Vận Hành Máy Móc, Sửa Chữa Thiết Bị, Bảo Trì Máy, SMT Machines Maintenance, SMT Operation</t>
        </is>
      </c>
      <c r="M6641" t="inlineStr">
        <is>
          <t>Bonus, Healthcare Plan, Training, Team Activities, Others</t>
        </is>
      </c>
      <c r="N6641" s="8">
        <f>HYPERLINK("https://www.vietnamworks.com/ky-thuat-smt-2017590-jv","Xem chi tiết")</f>
        <v/>
      </c>
    </row>
    <row r="6642">
      <c r="B6642" s="9" t="n">
        <v>6640</v>
      </c>
      <c r="C6642" s="10" t="inlineStr">
        <is>
          <t>Supply Chain Supervisor Cum Customer Service</t>
        </is>
      </c>
      <c r="D6642" s="10" t="inlineStr">
        <is>
          <t>Alchemy Asia Co. Ltd</t>
        </is>
      </c>
      <c r="E6642" s="10" t="inlineStr">
        <is>
          <t>Thương lượng</t>
        </is>
      </c>
      <c r="F6642" s="10" t="inlineStr">
        <is>
          <t>Hồ Chí Minh</t>
        </is>
      </c>
      <c r="G6642" s="10" t="inlineStr">
        <is>
          <t>Nhân viên</t>
        </is>
      </c>
      <c r="H6642" s="10" t="inlineStr">
        <is>
          <t>03/03/2026</t>
        </is>
      </c>
      <c r="I6642" s="10" t="inlineStr">
        <is>
          <t>02/04/2026</t>
        </is>
      </c>
      <c r="J6642" s="10" t="inlineStr">
        <is>
          <t>17/03/2026</t>
        </is>
      </c>
      <c r="K6642" s="10" t="inlineStr">
        <is>
          <t>N/A</t>
        </is>
      </c>
      <c r="L6642" s="10" t="inlineStr">
        <is>
          <t>Customer Service &amp; After Service, Forecasting, problem-solving, Reporting Skill, Supply &amp; Demand</t>
        </is>
      </c>
      <c r="M6642" s="10" t="inlineStr">
        <is>
          <t>Bonus, Healthcare Plan, Laptop, Team Activities, Canteen, Others</t>
        </is>
      </c>
      <c r="N6642" s="11">
        <f>HYPERLINK("https://www.vietnamworks.com/supply-chain-supervisor-cum-customer-service-2017584-jv","Xem chi tiết")</f>
        <v/>
      </c>
      <c r="O6642" s="10" t="n"/>
    </row>
    <row r="6643">
      <c r="B6643" s="7" t="n">
        <v>6641</v>
      </c>
      <c r="C6643" t="inlineStr">
        <is>
          <t>Quality Process Assurance Engineer</t>
        </is>
      </c>
      <c r="D6643" t="inlineStr">
        <is>
          <t>AIRSPEED MANUFACTURING VIETNAM LLC</t>
        </is>
      </c>
      <c r="E6643" t="inlineStr">
        <is>
          <t>Thương lượng</t>
        </is>
      </c>
      <c r="F6643" t="inlineStr">
        <is>
          <t>Long An</t>
        </is>
      </c>
      <c r="G6643" t="inlineStr">
        <is>
          <t>Nhân viên</t>
        </is>
      </c>
      <c r="H6643" t="inlineStr">
        <is>
          <t>03/03/2026</t>
        </is>
      </c>
      <c r="I6643" t="inlineStr">
        <is>
          <t>02/04/2026</t>
        </is>
      </c>
      <c r="J6643" t="inlineStr">
        <is>
          <t>17/03/2026</t>
        </is>
      </c>
      <c r="K6643" t="inlineStr">
        <is>
          <t>N/A</t>
        </is>
      </c>
      <c r="L6643" t="inlineStr">
        <is>
          <t>QA experience, QA Engineering, QA/ QC, Qa/Qc Management, QA &amp; Testing</t>
        </is>
      </c>
      <c r="M6643" t="inlineStr">
        <is>
          <t>Bonus, Training, Transportation</t>
        </is>
      </c>
      <c r="N6643" s="8">
        <f>HYPERLINK("https://www.vietnamworks.com/quality-process-assurance-engineer--2017598-jv","Xem chi tiết")</f>
        <v/>
      </c>
    </row>
    <row r="6644">
      <c r="B6644" s="9" t="n">
        <v>6642</v>
      </c>
      <c r="C6644" s="10" t="inlineStr">
        <is>
          <t>Bán Hàng Internet Cáp Quang, Truyền Dẫn</t>
        </is>
      </c>
      <c r="D6644" s="10" t="inlineStr">
        <is>
          <t>Mobifone Tỉnh Bà Rịa Vũng Tàu</t>
        </is>
      </c>
      <c r="E6644" s="10" t="inlineStr">
        <is>
          <t>Từ 7.5tr ₫/tháng</t>
        </is>
      </c>
      <c r="F6644" s="10" t="inlineStr">
        <is>
          <t>Bà Rịa - Vũng Tàu, Hồ Chí Minh</t>
        </is>
      </c>
      <c r="G6644" s="10" t="inlineStr">
        <is>
          <t>Mới Tốt Nghiệp</t>
        </is>
      </c>
      <c r="H6644" s="10" t="inlineStr">
        <is>
          <t>03/03/2026</t>
        </is>
      </c>
      <c r="I6644" s="10" t="inlineStr">
        <is>
          <t>02/04/2026</t>
        </is>
      </c>
      <c r="J6644" s="10" t="inlineStr">
        <is>
          <t>17/03/2026</t>
        </is>
      </c>
      <c r="K6644" s="10" t="inlineStr">
        <is>
          <t>N/A</t>
        </is>
      </c>
      <c r="L6644" s="10" t="inlineStr">
        <is>
          <t>Bán Hàng, Chăm Sóc Khách Hàng, Internet Cáp Quang, Giao Tiếp, Tư Vấn Dịch Vụ</t>
        </is>
      </c>
      <c r="M6644" s="10" t="inlineStr">
        <is>
          <t>Bonus, Others</t>
        </is>
      </c>
      <c r="N6644" s="11">
        <f>HYPERLINK("https://www.vietnamworks.com/ban-hang-internet-cap-quang-truyen-dan-2017580-jv","Xem chi tiết")</f>
        <v/>
      </c>
      <c r="O6644" s="10" t="n"/>
    </row>
    <row r="6645">
      <c r="B6645" s="7" t="n">
        <v>6643</v>
      </c>
      <c r="C6645" t="inlineStr">
        <is>
          <t>Kế Toán Tổng Hợp</t>
        </is>
      </c>
      <c r="D6645" t="inlineStr">
        <is>
          <t>CÔNG TY TNHH SX TM DIHAFO</t>
        </is>
      </c>
      <c r="E6645" t="inlineStr">
        <is>
          <t>$$ 22tr-27tr /tháng</t>
        </is>
      </c>
      <c r="F6645" t="inlineStr">
        <is>
          <t>Bình Dương</t>
        </is>
      </c>
      <c r="G6645" t="inlineStr">
        <is>
          <t>Nhân viên</t>
        </is>
      </c>
      <c r="H6645" t="inlineStr">
        <is>
          <t>03/03/2026</t>
        </is>
      </c>
      <c r="I6645" t="inlineStr">
        <is>
          <t>02/04/2026</t>
        </is>
      </c>
      <c r="J6645" t="inlineStr">
        <is>
          <t>17/03/2026</t>
        </is>
      </c>
      <c r="K6645" t="inlineStr">
        <is>
          <t>N/A</t>
        </is>
      </c>
      <c r="L6645" t="inlineStr">
        <is>
          <t>Excel, Kế Toán Tổng Hợp, Misa, Nghiệp Vụ Kế Toán, Tổng Hợp Phân Tích</t>
        </is>
      </c>
      <c r="M6645" t="inlineStr">
        <is>
          <t>Bonus, Healthcare Plan, Others</t>
        </is>
      </c>
      <c r="N6645" s="8">
        <f>HYPERLINK("https://www.vietnamworks.com/ke-toan-tong-hop-2017593-jv","Xem chi tiết")</f>
        <v/>
      </c>
    </row>
    <row r="6646">
      <c r="B6646" s="9" t="n">
        <v>6644</v>
      </c>
      <c r="C6646" s="10" t="inlineStr">
        <is>
          <t>Marketing Intern</t>
        </is>
      </c>
      <c r="D6646" s="10" t="inlineStr">
        <is>
          <t>Marico South East Asia Corporation</t>
        </is>
      </c>
      <c r="E6646" s="10" t="inlineStr">
        <is>
          <t>Thương lượng</t>
        </is>
      </c>
      <c r="F6646" s="10" t="inlineStr">
        <is>
          <t>Hồ Chí Minh</t>
        </is>
      </c>
      <c r="G6646" s="10" t="inlineStr">
        <is>
          <t>Thực tập sinh/Sinh viên</t>
        </is>
      </c>
      <c r="H6646" s="10" t="inlineStr">
        <is>
          <t>03/03/2026</t>
        </is>
      </c>
      <c r="I6646" s="10" t="inlineStr">
        <is>
          <t>02/04/2026</t>
        </is>
      </c>
      <c r="J6646" s="10" t="inlineStr">
        <is>
          <t>17/03/2026</t>
        </is>
      </c>
      <c r="K6646" s="10" t="inlineStr">
        <is>
          <t>N/A</t>
        </is>
      </c>
      <c r="L6646" s="10" t="inlineStr">
        <is>
          <t>Communication, Digital Marketing, Marketing Development, Social Content, Social Media</t>
        </is>
      </c>
      <c r="M6646" s="10" t="inlineStr">
        <is>
          <t>Laptop, Others</t>
        </is>
      </c>
      <c r="N6646" s="11">
        <f>HYPERLINK("https://www.vietnamworks.com/marketing-intern-2017591-jv","Xem chi tiết")</f>
        <v/>
      </c>
      <c r="O6646" s="10" t="n"/>
    </row>
    <row r="6647">
      <c r="B6647" s="7" t="n">
        <v>6645</v>
      </c>
      <c r="C6647" t="inlineStr">
        <is>
          <t>IT Solutions Analyst</t>
        </is>
      </c>
      <c r="D6647" t="inlineStr">
        <is>
          <t>CHI NHÁNH PHÂN PHỐI MIỀN BẮC – CÔNG TY TNHH ĐẦU TƯ &amp; THƯƠNG MẠI THIÊN HẢI</t>
        </is>
      </c>
      <c r="E6647" t="inlineStr">
        <is>
          <t>Thương lượng</t>
        </is>
      </c>
      <c r="F6647" t="inlineStr">
        <is>
          <t>Hà Nội</t>
        </is>
      </c>
      <c r="G6647" t="inlineStr">
        <is>
          <t>Nhân viên</t>
        </is>
      </c>
      <c r="H6647" t="inlineStr">
        <is>
          <t>03/03/2026</t>
        </is>
      </c>
      <c r="I6647" t="inlineStr">
        <is>
          <t>02/04/2026</t>
        </is>
      </c>
      <c r="J6647" t="inlineStr">
        <is>
          <t>17/03/2026</t>
        </is>
      </c>
      <c r="K6647" t="inlineStr">
        <is>
          <t>N/A</t>
        </is>
      </c>
      <c r="L6647" t="inlineStr">
        <is>
          <t>Tableau, SaaS, Qlik, Business Analysis, Business Intelligence</t>
        </is>
      </c>
      <c r="M6647" t="inlineStr">
        <is>
          <t>Healthcare Plan, Others</t>
        </is>
      </c>
      <c r="N6647" s="8">
        <f>HYPERLINK("https://www.vietnamworks.com/it-solutions-analyst--2017581-jv","Xem chi tiết")</f>
        <v/>
      </c>
    </row>
    <row r="6648">
      <c r="B6648" s="9" t="n">
        <v>6646</v>
      </c>
      <c r="C6648" s="10" t="inlineStr">
        <is>
          <t>Test Manager</t>
        </is>
      </c>
      <c r="D6648" s="10" t="inlineStr">
        <is>
          <t>Spartronics Vietnam</t>
        </is>
      </c>
      <c r="E6648" s="10" t="inlineStr">
        <is>
          <t>Thương lượng</t>
        </is>
      </c>
      <c r="F6648" s="10" t="inlineStr">
        <is>
          <t>Bình Dương</t>
        </is>
      </c>
      <c r="G6648" s="10" t="inlineStr">
        <is>
          <t>Trưởng phòng</t>
        </is>
      </c>
      <c r="H6648" s="10" t="inlineStr">
        <is>
          <t>03/03/2026</t>
        </is>
      </c>
      <c r="I6648" s="10" t="inlineStr">
        <is>
          <t>02/04/2026</t>
        </is>
      </c>
      <c r="J6648" s="10" t="inlineStr">
        <is>
          <t>17/03/2026</t>
        </is>
      </c>
      <c r="K6648" s="10" t="inlineStr">
        <is>
          <t>N/A</t>
        </is>
      </c>
      <c r="L6648" s="10" t="inlineStr">
        <is>
          <t>Test Management, Test Control, Electronics Engineering Technology, Electronics Circuit, Pcba Experience</t>
        </is>
      </c>
      <c r="M6648" s="10" t="inlineStr">
        <is>
          <t>Bonus, Healthcare Plan, Travel Opportunities</t>
        </is>
      </c>
      <c r="N6648" s="11">
        <f>HYPERLINK("https://www.vietnamworks.com/test-manager--2017588-jv","Xem chi tiết")</f>
        <v/>
      </c>
      <c r="O6648" s="10" t="n"/>
    </row>
    <row r="6649">
      <c r="B6649" s="7" t="n">
        <v>6647</v>
      </c>
      <c r="C6649" t="inlineStr">
        <is>
          <t>Corporate Solutions Senior Officer</t>
        </is>
      </c>
      <c r="D6649" t="inlineStr">
        <is>
          <t>United Overseas Bank (Vietnam) Limited (UOB)</t>
        </is>
      </c>
      <c r="E6649" t="inlineStr">
        <is>
          <t>Thương lượng</t>
        </is>
      </c>
      <c r="F6649" t="inlineStr">
        <is>
          <t>Hồ Chí Minh</t>
        </is>
      </c>
      <c r="G6649" t="inlineStr">
        <is>
          <t>Nhân viên</t>
        </is>
      </c>
      <c r="H6649" t="inlineStr">
        <is>
          <t>03/03/2026</t>
        </is>
      </c>
      <c r="I6649" t="inlineStr">
        <is>
          <t>02/04/2026</t>
        </is>
      </c>
      <c r="J6649" t="inlineStr">
        <is>
          <t>17/03/2026</t>
        </is>
      </c>
      <c r="K6649" t="inlineStr">
        <is>
          <t>N/A</t>
        </is>
      </c>
      <c r="L6649" t="inlineStr">
        <is>
          <t>Communication, Financial services experience, Project Management, Relationship Building, Sales Management</t>
        </is>
      </c>
      <c r="M6649" t="inlineStr">
        <is>
          <t>Bonus, Healthcare Plan, Paid Leave, Others</t>
        </is>
      </c>
      <c r="N6649" s="8">
        <f>HYPERLINK("https://www.vietnamworks.com/corporate-solutions-senior-officer-2017587-jv","Xem chi tiết")</f>
        <v/>
      </c>
    </row>
    <row r="6650">
      <c r="B6650" s="9" t="n">
        <v>6648</v>
      </c>
      <c r="C6650" s="10" t="inlineStr">
        <is>
          <t>HRBP Plant Specialist - Làm việc tại Bình Chánh</t>
        </is>
      </c>
      <c r="D6650" s="10" t="inlineStr">
        <is>
          <t>Marico South East Asia Corporation</t>
        </is>
      </c>
      <c r="E6650" s="10" t="inlineStr">
        <is>
          <t>Thương lượng</t>
        </is>
      </c>
      <c r="F6650" s="10" t="inlineStr">
        <is>
          <t>Hồ Chí Minh</t>
        </is>
      </c>
      <c r="G6650" s="10" t="inlineStr">
        <is>
          <t>Nhân viên</t>
        </is>
      </c>
      <c r="H6650" s="10" t="inlineStr">
        <is>
          <t>03/03/2026</t>
        </is>
      </c>
      <c r="I6650" s="10" t="inlineStr">
        <is>
          <t>02/04/2026</t>
        </is>
      </c>
      <c r="J6650" s="10" t="inlineStr">
        <is>
          <t>17/03/2026</t>
        </is>
      </c>
      <c r="K6650" s="10" t="inlineStr">
        <is>
          <t>N/A</t>
        </is>
      </c>
      <c r="L6650" s="10" t="inlineStr">
        <is>
          <t>Communication Skills, Human Resources, Labor Laws Knowledge, Time Management, manufacturing</t>
        </is>
      </c>
      <c r="M6650" s="10" t="inlineStr">
        <is>
          <t>Bonus, Healthcare Plan, Training, Awards, Transportation, Canteen, Others</t>
        </is>
      </c>
      <c r="N6650" s="11">
        <f>HYPERLINK("https://www.vietnamworks.com/hrbp-plant-specialist-lam-viec-tai-binh-chanh-2017592-jv","Xem chi tiết")</f>
        <v/>
      </c>
      <c r="O6650" s="10" t="n"/>
    </row>
    <row r="6651">
      <c r="B6651" s="7" t="n">
        <v>6649</v>
      </c>
      <c r="C6651" t="inlineStr">
        <is>
          <t>HR Executive</t>
        </is>
      </c>
      <c r="D6651" t="inlineStr">
        <is>
          <t>Pegasus International College</t>
        </is>
      </c>
      <c r="E6651" t="inlineStr">
        <is>
          <t>Thương lượng</t>
        </is>
      </c>
      <c r="F6651" t="inlineStr">
        <is>
          <t>Hà Nội</t>
        </is>
      </c>
      <c r="G6651" t="inlineStr">
        <is>
          <t>Nhân viên</t>
        </is>
      </c>
      <c r="H6651" t="inlineStr">
        <is>
          <t>03/03/2026</t>
        </is>
      </c>
      <c r="I6651" t="inlineStr">
        <is>
          <t>02/04/2026</t>
        </is>
      </c>
      <c r="J6651" t="inlineStr">
        <is>
          <t>17/03/2026</t>
        </is>
      </c>
      <c r="K6651" t="inlineStr">
        <is>
          <t>N/A</t>
        </is>
      </c>
      <c r="L6651" t="inlineStr">
        <is>
          <t>Recruitment, Human Resources, HR, Nhân sự C&amp;B</t>
        </is>
      </c>
      <c r="M6651" t="inlineStr">
        <is>
          <t>Paid Leave, Kindergarten, Others</t>
        </is>
      </c>
      <c r="N6651" s="8">
        <f>HYPERLINK("https://www.vietnamworks.com/hr-executive--2017585-jv","Xem chi tiết")</f>
        <v/>
      </c>
    </row>
    <row r="6652">
      <c r="B6652" s="9" t="n">
        <v>6650</v>
      </c>
      <c r="C6652" s="10" t="inlineStr">
        <is>
          <t>PPC Advertising Specialist</t>
        </is>
      </c>
      <c r="D6652" s="10" t="inlineStr">
        <is>
          <t>Naha Flume Ltd</t>
        </is>
      </c>
      <c r="E6652" s="10" t="inlineStr">
        <is>
          <t>$$ 400-600 /tháng</t>
        </is>
      </c>
      <c r="F6652" s="10" t="inlineStr">
        <is>
          <t>Hồ Chí Minh</t>
        </is>
      </c>
      <c r="G6652" s="10" t="inlineStr">
        <is>
          <t>Nhân viên</t>
        </is>
      </c>
      <c r="H6652" s="10" t="inlineStr">
        <is>
          <t>03/03/2026</t>
        </is>
      </c>
      <c r="I6652" s="10" t="inlineStr">
        <is>
          <t>02/04/2026</t>
        </is>
      </c>
      <c r="J6652" s="10" t="inlineStr">
        <is>
          <t>17/03/2026</t>
        </is>
      </c>
      <c r="K6652" s="10" t="inlineStr">
        <is>
          <t>N/A</t>
        </is>
      </c>
      <c r="L6652" s="10" t="inlineStr">
        <is>
          <t>Data Analysis, Amazon Advertising, Performance Marketing, PowerBI, Digital Advertising</t>
        </is>
      </c>
      <c r="M6652" s="10" t="inlineStr">
        <is>
          <t>Bonus, Paid Leave, Training</t>
        </is>
      </c>
      <c r="N6652" s="11">
        <f>HYPERLINK("https://www.vietnamworks.com/ppc-advertising-specialist--2017578-jv","Xem chi tiết")</f>
        <v/>
      </c>
      <c r="O6652" s="10" t="n"/>
    </row>
    <row r="6653">
      <c r="B6653" s="7" t="n">
        <v>6651</v>
      </c>
      <c r="C6653" t="inlineStr">
        <is>
          <t>Import Assistant (Tax Refund) - Third Party contract</t>
        </is>
      </c>
      <c r="D6653" t="inlineStr">
        <is>
          <t>Nestlé Vietnam LTD.</t>
        </is>
      </c>
      <c r="E6653" t="inlineStr">
        <is>
          <t>Thương lượng</t>
        </is>
      </c>
      <c r="F6653" t="inlineStr">
        <is>
          <t>Hồ Chí Minh</t>
        </is>
      </c>
      <c r="G6653" t="inlineStr">
        <is>
          <t>Nhân viên</t>
        </is>
      </c>
      <c r="H6653" t="inlineStr">
        <is>
          <t>03/03/2026</t>
        </is>
      </c>
      <c r="I6653" t="inlineStr">
        <is>
          <t>02/04/2026</t>
        </is>
      </c>
      <c r="J6653" t="inlineStr">
        <is>
          <t>17/03/2026</t>
        </is>
      </c>
      <c r="K6653" t="inlineStr">
        <is>
          <t>N/A</t>
        </is>
      </c>
      <c r="L6653" t="inlineStr">
        <is>
          <t>TAX, FMCG, ECUS, Import, HS Code</t>
        </is>
      </c>
      <c r="M6653" t="inlineStr">
        <is>
          <t>Bonus, Laptop</t>
        </is>
      </c>
      <c r="N6653" s="8">
        <f>HYPERLINK("https://www.vietnamworks.com/import-assistant-tax-refund-third-party-contract--2017594-jv","Xem chi tiết")</f>
        <v/>
      </c>
    </row>
    <row r="6654">
      <c r="B6654" s="9" t="n">
        <v>6652</v>
      </c>
      <c r="C6654" s="10" t="inlineStr">
        <is>
          <t>Nhân Viên Hành Chính Nhân Sự Cao Cấp (Thu Nhập Up to 30 Triệu)</t>
        </is>
      </c>
      <c r="D6654" s="10" t="inlineStr">
        <is>
          <t>Công TY TNHH MTV Thương Mại Và Xuất Nhập Khẩu Thần Bằng</t>
        </is>
      </c>
      <c r="E6654" s="10" t="inlineStr">
        <is>
          <t>$$ 500-1,500 /tháng</t>
        </is>
      </c>
      <c r="F6654" s="10" t="inlineStr">
        <is>
          <t>Hà Nội</t>
        </is>
      </c>
      <c r="G6654" s="10" t="inlineStr">
        <is>
          <t>Nhân viên</t>
        </is>
      </c>
      <c r="H6654" s="10" t="inlineStr">
        <is>
          <t>03/03/2026</t>
        </is>
      </c>
      <c r="I6654" s="10" t="inlineStr">
        <is>
          <t>02/04/2026</t>
        </is>
      </c>
      <c r="J6654" s="10" t="inlineStr">
        <is>
          <t>17/03/2026</t>
        </is>
      </c>
      <c r="K6654" s="10" t="inlineStr">
        <is>
          <t>N/A</t>
        </is>
      </c>
      <c r="L6654" s="10" t="inlineStr">
        <is>
          <t>Quản Trị Nhân Sự, Luật, Hành Chính, MS Office, Giao Tiếp</t>
        </is>
      </c>
      <c r="M6654" s="10" t="inlineStr">
        <is>
          <t>Bonus, Transportation, Others</t>
        </is>
      </c>
      <c r="N6654" s="11">
        <f>HYPERLINK("https://www.vietnamworks.com/nhan-vien-hanh-chinh-nhan-su-cao-cap-thu-nhap-up-to-30-trieu-2017603-jv","Xem chi tiết")</f>
        <v/>
      </c>
      <c r="O6654" s="10" t="n"/>
    </row>
    <row r="6655">
      <c r="B6655" s="7" t="n">
        <v>6653</v>
      </c>
      <c r="C6655" t="inlineStr">
        <is>
          <t>Nhân Viên Kinh Doanh</t>
        </is>
      </c>
      <c r="D6655" t="inlineStr">
        <is>
          <t>Công Ty TNHH Tư Vấn Thiết Kế Xây Dựng Hòa Chính</t>
        </is>
      </c>
      <c r="E6655" t="inlineStr">
        <is>
          <t>Thương lượng</t>
        </is>
      </c>
      <c r="F6655" t="inlineStr">
        <is>
          <t>Hà Nội, Hồ Chí Minh</t>
        </is>
      </c>
      <c r="G6655" t="inlineStr">
        <is>
          <t>Nhân viên</t>
        </is>
      </c>
      <c r="H6655" t="inlineStr">
        <is>
          <t>03/03/2026</t>
        </is>
      </c>
      <c r="I6655" t="inlineStr">
        <is>
          <t>02/04/2026</t>
        </is>
      </c>
      <c r="J6655" t="inlineStr">
        <is>
          <t>17/03/2026</t>
        </is>
      </c>
      <c r="K6655" t="inlineStr">
        <is>
          <t>N/A</t>
        </is>
      </c>
      <c r="L6655" t="inlineStr">
        <is>
          <t>Kinh Tế, Quản Trị Kinh Doanh, Marketing Development, Giao Tiếp, Đàm Phán</t>
        </is>
      </c>
      <c r="M6655" t="inlineStr">
        <is>
          <t>Bonus, Healthcare Plan, Paid Leave, Others</t>
        </is>
      </c>
      <c r="N6655" s="8">
        <f>HYPERLINK("https://www.vietnamworks.com/nhan-vien-kinh-doanh-2017600-jv","Xem chi tiết")</f>
        <v/>
      </c>
    </row>
    <row r="6656">
      <c r="B6656" s="9" t="n">
        <v>6654</v>
      </c>
      <c r="C6656" s="10" t="inlineStr">
        <is>
          <t>Sales Leader</t>
        </is>
      </c>
      <c r="D6656" s="10" t="inlineStr">
        <is>
          <t>AIRSPEED MANUFACTURING VIETNAM LLC</t>
        </is>
      </c>
      <c r="E6656" s="10" t="inlineStr">
        <is>
          <t>Thương lượng</t>
        </is>
      </c>
      <c r="F6656" s="10" t="inlineStr">
        <is>
          <t>Long An</t>
        </is>
      </c>
      <c r="G6656" s="10" t="inlineStr">
        <is>
          <t>Trưởng phòng</t>
        </is>
      </c>
      <c r="H6656" s="10" t="inlineStr">
        <is>
          <t>03/03/2026</t>
        </is>
      </c>
      <c r="I6656" s="10" t="inlineStr">
        <is>
          <t>02/04/2026</t>
        </is>
      </c>
      <c r="J6656" s="10" t="inlineStr">
        <is>
          <t>17/03/2026</t>
        </is>
      </c>
      <c r="K6656" s="10" t="inlineStr">
        <is>
          <t>N/A</t>
        </is>
      </c>
      <c r="L6656" s="10" t="inlineStr">
        <is>
          <t>Tìm Kiếm Khách Hàng, Tiếng Anh, Kinh Doanh, Chăm Sóc Khách Hàng</t>
        </is>
      </c>
      <c r="M6656" s="10" t="inlineStr">
        <is>
          <t>Bonus, Training, Transportation</t>
        </is>
      </c>
      <c r="N6656" s="11">
        <f>HYPERLINK("https://www.vietnamworks.com/sales-leader--2017601-jv","Xem chi tiết")</f>
        <v/>
      </c>
      <c r="O6656" s="10" t="n"/>
    </row>
    <row r="6657">
      <c r="B6657" s="7" t="n">
        <v>6655</v>
      </c>
      <c r="C6657" t="inlineStr">
        <is>
          <t>Costing Engineer</t>
        </is>
      </c>
      <c r="D6657" t="inlineStr">
        <is>
          <t>AIRSPEED MANUFACTURING VIETNAM LLC</t>
        </is>
      </c>
      <c r="E6657" t="inlineStr">
        <is>
          <t>Thương lượng</t>
        </is>
      </c>
      <c r="F6657" t="inlineStr">
        <is>
          <t>Long An</t>
        </is>
      </c>
      <c r="G6657" t="inlineStr">
        <is>
          <t>Nhân viên</t>
        </is>
      </c>
      <c r="H6657" t="inlineStr">
        <is>
          <t>03/03/2026</t>
        </is>
      </c>
      <c r="I6657" t="inlineStr">
        <is>
          <t>02/04/2026</t>
        </is>
      </c>
      <c r="J6657" t="inlineStr">
        <is>
          <t>17/03/2026</t>
        </is>
      </c>
      <c r="K6657" t="inlineStr">
        <is>
          <t>N/A</t>
        </is>
      </c>
      <c r="L6657" t="inlineStr">
        <is>
          <t>Phân Tích Chi Phí, Quản Lý Chi Phí Thu Chi, Mechanical Engineering, Phát Triển Sản Phẩm</t>
        </is>
      </c>
      <c r="M6657" t="inlineStr">
        <is>
          <t>Bonus, Training, Transportation</t>
        </is>
      </c>
      <c r="N6657" s="8">
        <f>HYPERLINK("https://www.vietnamworks.com/costing-engineer--2017604-jv","Xem chi tiết")</f>
        <v/>
      </c>
    </row>
    <row r="6658">
      <c r="B6658" s="9" t="n">
        <v>6656</v>
      </c>
      <c r="C6658" s="10" t="inlineStr">
        <is>
          <t>Sales Manager (Logistics) - Thu Nhập Lên Đến 50 Triệu + Thưởng Sản Lượng</t>
        </is>
      </c>
      <c r="D6658" s="10" t="inlineStr">
        <is>
          <t>Công ty Cổ phần Transimex</t>
        </is>
      </c>
      <c r="E6658" s="10" t="inlineStr">
        <is>
          <t>$$ 1,500-2,500 /tháng</t>
        </is>
      </c>
      <c r="F6658" s="10" t="inlineStr">
        <is>
          <t>Hồ Chí Minh</t>
        </is>
      </c>
      <c r="G6658" s="10" t="inlineStr">
        <is>
          <t>Trưởng phòng</t>
        </is>
      </c>
      <c r="H6658" s="10" t="inlineStr">
        <is>
          <t>03/03/2026</t>
        </is>
      </c>
      <c r="I6658" s="10" t="inlineStr">
        <is>
          <t>02/04/2026</t>
        </is>
      </c>
      <c r="J6658" s="10" t="inlineStr">
        <is>
          <t>17/03/2026</t>
        </is>
      </c>
      <c r="K6658" s="10" t="inlineStr">
        <is>
          <t>N/A</t>
        </is>
      </c>
      <c r="L6658" s="10" t="inlineStr">
        <is>
          <t>Business Development Manager, Logistics Sales, Sales Supervisor, Trưởng phòng kinh doanh, Sales logistics</t>
        </is>
      </c>
      <c r="M6658" s="10" t="inlineStr">
        <is>
          <t>Bonus, Healthcare Plan, Paid Leave, Training, Travel Opportunities, Others</t>
        </is>
      </c>
      <c r="N6658" s="11">
        <f>HYPERLINK("https://www.vietnamworks.com/sales-manager-logistics-thu-nhap-len-djen-50-trieu-thuong-san-luong-2017589-jv","Xem chi tiết")</f>
        <v/>
      </c>
      <c r="O6658" s="10" t="n"/>
    </row>
    <row r="6659">
      <c r="B6659" s="7" t="n">
        <v>6657</v>
      </c>
      <c r="C6659" t="inlineStr">
        <is>
          <t>Nhân Viên Kinh Doanh/ Nhân Viên Sales Admin</t>
        </is>
      </c>
      <c r="D6659" t="inlineStr">
        <is>
          <t>Công Ty Cổ Phần Công Nghệ An Toàn Việt Nam</t>
        </is>
      </c>
      <c r="E6659" t="inlineStr">
        <is>
          <t>Thương lượng</t>
        </is>
      </c>
      <c r="F6659" t="inlineStr">
        <is>
          <t>Hồ Chí Minh</t>
        </is>
      </c>
      <c r="G6659" t="inlineStr">
        <is>
          <t>Nhân viên</t>
        </is>
      </c>
      <c r="H6659" t="inlineStr">
        <is>
          <t>03/03/2026</t>
        </is>
      </c>
      <c r="I6659" t="inlineStr">
        <is>
          <t>02/04/2026</t>
        </is>
      </c>
      <c r="J6659" t="inlineStr">
        <is>
          <t>17/03/2026</t>
        </is>
      </c>
      <c r="K6659" t="inlineStr">
        <is>
          <t>N/A</t>
        </is>
      </c>
      <c r="L6659" t="inlineStr">
        <is>
          <t>Sales Support, Sales Administration, Kinh Doanh, Hỗ Trợ Kinh Doanh, Bán Hàng</t>
        </is>
      </c>
      <c r="M6659" t="inlineStr">
        <is>
          <t>Bonus, Healthcare Plan, Team Activities</t>
        </is>
      </c>
      <c r="N6659" s="8">
        <f>HYPERLINK("https://www.vietnamworks.com/nhan-vien-kinh-doanh-nhan-vien-sales-admin-2017586-jv","Xem chi tiết")</f>
        <v/>
      </c>
    </row>
    <row r="6660">
      <c r="B6660" s="9" t="n">
        <v>6658</v>
      </c>
      <c r="C6660" s="10" t="inlineStr">
        <is>
          <t>Nhân Viên Nhân Sự</t>
        </is>
      </c>
      <c r="D6660" s="10" t="inlineStr">
        <is>
          <t>CÔNG TY TNHH SX TM DIHAFO</t>
        </is>
      </c>
      <c r="E6660" s="10" t="inlineStr">
        <is>
          <t>Thương lượng</t>
        </is>
      </c>
      <c r="F6660" s="10" t="inlineStr">
        <is>
          <t>Bình Dương</t>
        </is>
      </c>
      <c r="G6660" s="10" t="inlineStr">
        <is>
          <t>Nhân viên</t>
        </is>
      </c>
      <c r="H6660" s="10" t="inlineStr">
        <is>
          <t>03/03/2026</t>
        </is>
      </c>
      <c r="I6660" s="10" t="inlineStr">
        <is>
          <t>02/04/2026</t>
        </is>
      </c>
      <c r="J6660" s="10" t="inlineStr">
        <is>
          <t>17/03/2026</t>
        </is>
      </c>
      <c r="K6660" s="10" t="inlineStr">
        <is>
          <t>N/A</t>
        </is>
      </c>
      <c r="L6660" s="10" t="inlineStr">
        <is>
          <t>C&amp;B, Quản Lý Hồ Sơ, Quản Trị Nhân Sự, Tin Học Văn Phòng, Tuyển Dụng Phổ Thông</t>
        </is>
      </c>
      <c r="M6660" s="10" t="inlineStr">
        <is>
          <t>Healthcare Plan, Others</t>
        </is>
      </c>
      <c r="N6660" s="11">
        <f>HYPERLINK("https://www.vietnamworks.com/nhan-vien-nhan-su-2017606-jv","Xem chi tiết")</f>
        <v/>
      </c>
      <c r="O6660" s="10" t="n"/>
    </row>
    <row r="6661">
      <c r="B6661" s="7" t="n">
        <v>6659</v>
      </c>
      <c r="C6661" t="inlineStr">
        <is>
          <t>Sales Project Logistics &amp; Pricing</t>
        </is>
      </c>
      <c r="D6661" t="inlineStr">
        <is>
          <t>Altus Logistics (Vietnam)., Ltd</t>
        </is>
      </c>
      <c r="E6661" t="inlineStr">
        <is>
          <t>Thương lượng</t>
        </is>
      </c>
      <c r="F6661" t="inlineStr">
        <is>
          <t>Hồ Chí Minh</t>
        </is>
      </c>
      <c r="G6661" t="inlineStr">
        <is>
          <t>Nhân viên</t>
        </is>
      </c>
      <c r="H6661" t="inlineStr">
        <is>
          <t>03/03/2026</t>
        </is>
      </c>
      <c r="I6661" t="inlineStr">
        <is>
          <t>02/04/2026</t>
        </is>
      </c>
      <c r="J6661" t="inlineStr">
        <is>
          <t>17/03/2026</t>
        </is>
      </c>
      <c r="K6661" t="inlineStr">
        <is>
          <t>N/A</t>
        </is>
      </c>
      <c r="L6661" t="inlineStr">
        <is>
          <t>Communication Skills, Customer Relation, Logistics Management, Market Analysis, Sales Strategy</t>
        </is>
      </c>
      <c r="M6661" t="inlineStr">
        <is>
          <t>Bonus, Others</t>
        </is>
      </c>
      <c r="N6661" s="8">
        <f>HYPERLINK("https://www.vietnamworks.com/sales-project-logistics-and-pricing-2017628-jv","Xem chi tiết")</f>
        <v/>
      </c>
    </row>
    <row r="6662">
      <c r="B6662" s="9" t="n">
        <v>6660</v>
      </c>
      <c r="C6662" s="10" t="inlineStr">
        <is>
          <t>Material Costing Develoment Staff</t>
        </is>
      </c>
      <c r="D6662" s="10" t="inlineStr">
        <is>
          <t>AIRSPEED MANUFACTURING VIETNAM LLC</t>
        </is>
      </c>
      <c r="E6662" s="10" t="inlineStr">
        <is>
          <t>Thương lượng</t>
        </is>
      </c>
      <c r="F6662" s="10" t="inlineStr">
        <is>
          <t>Long An</t>
        </is>
      </c>
      <c r="G6662" s="10" t="inlineStr">
        <is>
          <t>Nhân viên</t>
        </is>
      </c>
      <c r="H6662" s="10" t="inlineStr">
        <is>
          <t>03/03/2026</t>
        </is>
      </c>
      <c r="I6662" s="10" t="inlineStr">
        <is>
          <t>02/04/2026</t>
        </is>
      </c>
      <c r="J6662" s="10" t="inlineStr">
        <is>
          <t>17/03/2026</t>
        </is>
      </c>
      <c r="K6662" s="10" t="inlineStr">
        <is>
          <t>N/A</t>
        </is>
      </c>
      <c r="L6662" s="10" t="inlineStr">
        <is>
          <t>Thu Mua, Mua Hàng</t>
        </is>
      </c>
      <c r="M6662" s="10" t="inlineStr">
        <is>
          <t>Bonus, Training, Transportation</t>
        </is>
      </c>
      <c r="N6662" s="11">
        <f>HYPERLINK("https://www.vietnamworks.com/material-costing-develoment-staff-2017607-jv","Xem chi tiết")</f>
        <v/>
      </c>
      <c r="O6662" s="10" t="n"/>
    </row>
    <row r="6663">
      <c r="B6663" s="7" t="n">
        <v>6661</v>
      </c>
      <c r="C6663" t="inlineStr">
        <is>
          <t>Kỹ Sư Hiện Trường – Thu Nhập Hấp Dẫn Upto 35Tr/tháng</t>
        </is>
      </c>
      <c r="D6663" t="inlineStr">
        <is>
          <t>CÔNG TY CỔ PHẦN ĐẦU TƯ THƯƠNG MẠI VÀ DỊCH VỤ QUỐC TẾ AN BÌNH VIÊN</t>
        </is>
      </c>
      <c r="E6663" t="inlineStr">
        <is>
          <t>20tr-35tr ₫/tháng</t>
        </is>
      </c>
      <c r="F6663" t="inlineStr">
        <is>
          <t>Lào Cai, Yên Bái</t>
        </is>
      </c>
      <c r="G6663" t="inlineStr">
        <is>
          <t>Nhân viên</t>
        </is>
      </c>
      <c r="H6663" t="inlineStr">
        <is>
          <t>03/03/2026</t>
        </is>
      </c>
      <c r="I6663" t="inlineStr">
        <is>
          <t>02/04/2026</t>
        </is>
      </c>
      <c r="J6663" t="inlineStr">
        <is>
          <t>17/03/2026</t>
        </is>
      </c>
      <c r="K6663" t="inlineStr">
        <is>
          <t>N/A</t>
        </is>
      </c>
      <c r="L6663" t="inlineStr">
        <is>
          <t>Lập Kế Hoạch Thi Công Dự Án, Giám Sát Thi Công, AutoCAD, Bóc Tách Khối Lượng, Nghiệm Thu</t>
        </is>
      </c>
      <c r="M6663" t="inlineStr">
        <is>
          <t>Bonus, Healthcare Plan, Awards, Team Activities</t>
        </is>
      </c>
      <c r="N6663" s="8">
        <f>HYPERLINK("https://www.vietnamworks.com/ky-su-hien-truong-thu-nhap-hap-dan-upto-35tr-thang-2017611-jv","Xem chi tiết")</f>
        <v/>
      </c>
    </row>
    <row r="6664">
      <c r="B6664" s="9" t="n">
        <v>6662</v>
      </c>
      <c r="C6664" s="10" t="inlineStr">
        <is>
          <t>Business Development Manager (Sport &amp; Lifestyle)</t>
        </is>
      </c>
      <c r="D6664" s="10" t="inlineStr">
        <is>
          <t>Emers Vietnam Co., Ltd</t>
        </is>
      </c>
      <c r="E6664" s="10" t="inlineStr">
        <is>
          <t>Thương lượng</t>
        </is>
      </c>
      <c r="F6664" s="10" t="inlineStr">
        <is>
          <t>Hồ Chí Minh</t>
        </is>
      </c>
      <c r="G6664" s="10" t="inlineStr">
        <is>
          <t>Nhân viên</t>
        </is>
      </c>
      <c r="H6664" s="10" t="inlineStr">
        <is>
          <t>03/03/2026</t>
        </is>
      </c>
      <c r="I6664" s="10" t="inlineStr">
        <is>
          <t>02/04/2026</t>
        </is>
      </c>
      <c r="J6664" s="10" t="inlineStr">
        <is>
          <t>17/03/2026</t>
        </is>
      </c>
      <c r="K6664" s="10" t="inlineStr">
        <is>
          <t>N/A</t>
        </is>
      </c>
      <c r="L6664" s="10" t="inlineStr">
        <is>
          <t>Fashion knowledge, Business Development, Account Management, Key Account Management, Sports Coaching</t>
        </is>
      </c>
      <c r="M6664" s="10" t="inlineStr">
        <is>
          <t>Bonus, Vouchers, Others</t>
        </is>
      </c>
      <c r="N6664" s="11">
        <f>HYPERLINK("https://www.vietnamworks.com/business-development-manager-sport-lifestyle--2017633-jv","Xem chi tiết")</f>
        <v/>
      </c>
      <c r="O6664" s="10" t="n"/>
    </row>
    <row r="6665">
      <c r="B6665" s="7" t="n">
        <v>6663</v>
      </c>
      <c r="C6665" t="inlineStr">
        <is>
          <t>Chuyên Viên Phân Tích Tài Chính (Financial Data Analyst)</t>
        </is>
      </c>
      <c r="D6665" t="inlineStr">
        <is>
          <t>CÔNG TY TNHH WANTONG TECHNOLOGY</t>
        </is>
      </c>
      <c r="E6665" t="inlineStr">
        <is>
          <t>Thương lượng</t>
        </is>
      </c>
      <c r="F6665" t="inlineStr">
        <is>
          <t>Hồ Chí Minh</t>
        </is>
      </c>
      <c r="G6665" t="inlineStr">
        <is>
          <t>Nhân viên</t>
        </is>
      </c>
      <c r="H6665" t="inlineStr">
        <is>
          <t>03/03/2026</t>
        </is>
      </c>
      <c r="I6665" t="inlineStr">
        <is>
          <t>02/04/2026</t>
        </is>
      </c>
      <c r="J6665" t="inlineStr">
        <is>
          <t>17/03/2026</t>
        </is>
      </c>
      <c r="K6665" t="inlineStr">
        <is>
          <t>N/A</t>
        </is>
      </c>
      <c r="L6665" t="inlineStr">
        <is>
          <t>Kỹ năng giao tiếp, Mô Hình Tài Chính, Phân Tích Chi Phí, Phân Tích Dữ Liệu</t>
        </is>
      </c>
      <c r="M6665" t="inlineStr">
        <is>
          <t>Bonus, Healthcare Plan, Training, Others</t>
        </is>
      </c>
      <c r="N6665" s="8">
        <f>HYPERLINK("https://www.vietnamworks.com/chuyen-vien-phan-tich-tai-chinh-financial-data-analyst-2017609-jv","Xem chi tiết")</f>
        <v/>
      </c>
    </row>
    <row r="6666">
      <c r="B6666" s="9" t="n">
        <v>6664</v>
      </c>
      <c r="C6666" s="10" t="inlineStr">
        <is>
          <t>Sell-out Senior Executive (North) - B2B2C</t>
        </is>
      </c>
      <c r="D6666" s="10" t="inlineStr">
        <is>
          <t>Bridgestone Tire Sales Vietnam LLC</t>
        </is>
      </c>
      <c r="E6666" s="10" t="inlineStr">
        <is>
          <t>Thương lượng</t>
        </is>
      </c>
      <c r="F6666" s="10" t="inlineStr">
        <is>
          <t>Hà Nội</t>
        </is>
      </c>
      <c r="G6666" s="10" t="inlineStr">
        <is>
          <t>Nhân viên</t>
        </is>
      </c>
      <c r="H6666" s="10" t="inlineStr">
        <is>
          <t>03/03/2026</t>
        </is>
      </c>
      <c r="I6666" s="10" t="inlineStr">
        <is>
          <t>02/04/2026</t>
        </is>
      </c>
      <c r="J6666" s="10" t="inlineStr">
        <is>
          <t>17/03/2026</t>
        </is>
      </c>
      <c r="K6666" s="10" t="inlineStr">
        <is>
          <t>N/A</t>
        </is>
      </c>
      <c r="L6666" s="10" t="inlineStr">
        <is>
          <t>B2B &amp; B2C skills, Communication, Logical Thinking, Problem Solving, Technical background</t>
        </is>
      </c>
      <c r="M6666" s="10" t="inlineStr">
        <is>
          <t>Bonus, Healthcare Plan, Training, Awards, Travel Opportunities</t>
        </is>
      </c>
      <c r="N6666" s="11">
        <f>HYPERLINK("https://www.vietnamworks.com/sell-out-senior-executive-north-b2b2c-2017619-jv","Xem chi tiết")</f>
        <v/>
      </c>
      <c r="O6666" s="10" t="n"/>
    </row>
    <row r="6667">
      <c r="B6667" s="7" t="n">
        <v>6665</v>
      </c>
      <c r="C6667" t="inlineStr">
        <is>
          <t>Nhân Viên Marketing &amp; Quản Trị Nội Dung</t>
        </is>
      </c>
      <c r="D6667" t="inlineStr">
        <is>
          <t>Công ty TNHH Đầu tư Công nghệ Minh Phú</t>
        </is>
      </c>
      <c r="E6667" t="inlineStr">
        <is>
          <t>10tr-15tr ₫/tháng</t>
        </is>
      </c>
      <c r="F6667" t="inlineStr">
        <is>
          <t>Hà Nội</t>
        </is>
      </c>
      <c r="G6667" t="inlineStr">
        <is>
          <t>Nhân viên</t>
        </is>
      </c>
      <c r="H6667" t="inlineStr">
        <is>
          <t>03/03/2026</t>
        </is>
      </c>
      <c r="I6667" t="inlineStr">
        <is>
          <t>02/04/2026</t>
        </is>
      </c>
      <c r="J6667" t="inlineStr">
        <is>
          <t>17/03/2026</t>
        </is>
      </c>
      <c r="K6667" t="inlineStr">
        <is>
          <t>N/A</t>
        </is>
      </c>
      <c r="L6667" t="inlineStr">
        <is>
          <t>Phân Tích Chiến Lược, Lập Kế Hoạch Marketing, Digital Marketing, Nghiên Cứu Thị Trường, Viết lách tốt</t>
        </is>
      </c>
      <c r="M6667" t="inlineStr">
        <is>
          <t>Bonus, Healthcare Plan, Paid Leave, Others</t>
        </is>
      </c>
      <c r="N6667" s="8">
        <f>HYPERLINK("https://www.vietnamworks.com/nhan-vien-marketing-and-quan-tri-noi-dung-2017621-jv","Xem chi tiết")</f>
        <v/>
      </c>
    </row>
    <row r="6668">
      <c r="B6668" s="9" t="n">
        <v>6666</v>
      </c>
      <c r="C6668" s="10" t="inlineStr">
        <is>
          <t>Nhân Viên Kế Toán</t>
        </is>
      </c>
      <c r="D6668" s="10" t="inlineStr">
        <is>
          <t>Công Ty TNHH Mahachem Việt Nam</t>
        </is>
      </c>
      <c r="E6668" s="10" t="inlineStr">
        <is>
          <t>15tr-18tr ₫/tháng</t>
        </is>
      </c>
      <c r="F6668" s="10" t="inlineStr">
        <is>
          <t>Hà Nội</t>
        </is>
      </c>
      <c r="G6668" s="10" t="inlineStr">
        <is>
          <t>Nhân viên</t>
        </is>
      </c>
      <c r="H6668" s="10" t="inlineStr">
        <is>
          <t>03/03/2026</t>
        </is>
      </c>
      <c r="I6668" s="10" t="inlineStr">
        <is>
          <t>02/04/2026</t>
        </is>
      </c>
      <c r="J6668" s="10" t="inlineStr">
        <is>
          <t>17/03/2026</t>
        </is>
      </c>
      <c r="K6668" s="10" t="inlineStr">
        <is>
          <t>N/A</t>
        </is>
      </c>
      <c r="L6668" s="10" t="inlineStr">
        <is>
          <t>Financial Management, Financial Reporting, Accounting Software, TAX, Transaction Management</t>
        </is>
      </c>
      <c r="M6668" s="10" t="inlineStr">
        <is>
          <t>Bonus, Healthcare Plan, Paid Leave</t>
        </is>
      </c>
      <c r="N6668" s="11">
        <f>HYPERLINK("https://www.vietnamworks.com/nhan-vien-ke-toan--2017616-jv","Xem chi tiết")</f>
        <v/>
      </c>
      <c r="O6668" s="10" t="n"/>
    </row>
    <row r="6669">
      <c r="B6669" s="7" t="n">
        <v>6667</v>
      </c>
      <c r="C6669" t="inlineStr">
        <is>
          <t>Automation Tool Developer (Python, Robot Framework - Home Appliance Domain)</t>
        </is>
      </c>
      <c r="D6669" t="inlineStr">
        <is>
          <t>LG Electronics Development Vietnam Company Limited</t>
        </is>
      </c>
      <c r="E6669" t="inlineStr">
        <is>
          <t>$$ 800-1,500 /tháng</t>
        </is>
      </c>
      <c r="F6669" t="inlineStr">
        <is>
          <t>Hà Nội</t>
        </is>
      </c>
      <c r="G6669" t="inlineStr">
        <is>
          <t>Nhân viên</t>
        </is>
      </c>
      <c r="H6669" t="inlineStr">
        <is>
          <t>03/03/2026</t>
        </is>
      </c>
      <c r="I6669" t="inlineStr">
        <is>
          <t>02/04/2026</t>
        </is>
      </c>
      <c r="J6669" t="inlineStr">
        <is>
          <t>17/03/2026</t>
        </is>
      </c>
      <c r="K6669" t="inlineStr">
        <is>
          <t>N/A</t>
        </is>
      </c>
      <c r="L6669" t="inlineStr">
        <is>
          <t>Automation Testing, Python Programming, Robot Framework, Software Development, Teamwork</t>
        </is>
      </c>
      <c r="M6669" t="inlineStr">
        <is>
          <t>Bonus, Healthcare Plan, Paid Leave, Training, Laptop, Team Activities, Others</t>
        </is>
      </c>
      <c r="N6669" s="8">
        <f>HYPERLINK("https://www.vietnamworks.com/automation-tool-developer-python-robot-framework-home-appliance-domain-2017631-jv","Xem chi tiết")</f>
        <v/>
      </c>
    </row>
    <row r="6670">
      <c r="B6670" s="9" t="n">
        <v>6668</v>
      </c>
      <c r="C6670" s="10" t="inlineStr">
        <is>
          <t>Equipment Engineer</t>
        </is>
      </c>
      <c r="D6670" s="10" t="inlineStr">
        <is>
          <t>Boyd Vietnam Company Limited.,</t>
        </is>
      </c>
      <c r="E6670" s="10" t="inlineStr">
        <is>
          <t>Thương lượng</t>
        </is>
      </c>
      <c r="F6670" s="10" t="inlineStr">
        <is>
          <t>Bắc Ninh</t>
        </is>
      </c>
      <c r="G6670" s="10" t="inlineStr">
        <is>
          <t>Nhân viên</t>
        </is>
      </c>
      <c r="H6670" s="10" t="inlineStr">
        <is>
          <t>03/03/2026</t>
        </is>
      </c>
      <c r="I6670" s="10" t="inlineStr">
        <is>
          <t>02/04/2026</t>
        </is>
      </c>
      <c r="J6670" s="10" t="inlineStr">
        <is>
          <t>17/03/2026</t>
        </is>
      </c>
      <c r="K6670" s="10" t="inlineStr">
        <is>
          <t>N/A</t>
        </is>
      </c>
      <c r="L6670" s="10" t="inlineStr">
        <is>
          <t>Mechanical Engineering, Maintenance, Technical Component, Safety Control, Automation Equipment</t>
        </is>
      </c>
      <c r="M6670" s="10" t="inlineStr">
        <is>
          <t>Bonus, Healthcare Plan, Paid Leave</t>
        </is>
      </c>
      <c r="N6670" s="11">
        <f>HYPERLINK("https://www.vietnamworks.com/equipment-engineer--2017629-jv","Xem chi tiết")</f>
        <v/>
      </c>
      <c r="O6670" s="10" t="n"/>
    </row>
    <row r="6671">
      <c r="B6671" s="7" t="n">
        <v>6669</v>
      </c>
      <c r="C6671" t="inlineStr">
        <is>
          <t>Failure Analysis (FA) Engineer</t>
        </is>
      </c>
      <c r="D6671" t="inlineStr">
        <is>
          <t>Công Ty TNHH LG Innotek Việt Nam Hải Phòng</t>
        </is>
      </c>
      <c r="E6671" t="inlineStr">
        <is>
          <t>Thương lượng</t>
        </is>
      </c>
      <c r="F6671" t="inlineStr">
        <is>
          <t>Hải Phòng</t>
        </is>
      </c>
      <c r="G6671" t="inlineStr">
        <is>
          <t>Nhân viên</t>
        </is>
      </c>
      <c r="H6671" t="inlineStr">
        <is>
          <t>03/03/2026</t>
        </is>
      </c>
      <c r="I6671" t="inlineStr">
        <is>
          <t>02/04/2026</t>
        </is>
      </c>
      <c r="J6671" t="inlineStr">
        <is>
          <t>17/03/2026</t>
        </is>
      </c>
      <c r="K6671" t="inlineStr">
        <is>
          <t>N/A</t>
        </is>
      </c>
      <c r="L6671" t="inlineStr">
        <is>
          <t>Electrical Engineering, Physics, Chemistry, Material Science, Failure Analysis</t>
        </is>
      </c>
      <c r="M6671" t="inlineStr">
        <is>
          <t>Bonus, Laptop, Transportation</t>
        </is>
      </c>
      <c r="N6671" s="8">
        <f>HYPERLINK("https://www.vietnamworks.com/failure-analysis-fa-engineer-2017630-jv","Xem chi tiết")</f>
        <v/>
      </c>
    </row>
    <row r="6672">
      <c r="B6672" s="9" t="n">
        <v>6670</v>
      </c>
      <c r="C6672" s="10" t="inlineStr">
        <is>
          <t>Trưởng Nhóm Kế Toán Tài Sản Mảng Khách Sạn - Golf</t>
        </is>
      </c>
      <c r="D6672" s="10" t="inlineStr">
        <is>
          <t>Công Ty Cổ Phần Tập Đoàn BRG</t>
        </is>
      </c>
      <c r="E6672" s="10" t="inlineStr">
        <is>
          <t>Thương lượng</t>
        </is>
      </c>
      <c r="F6672" s="10" t="inlineStr">
        <is>
          <t>Đà Nẵng</t>
        </is>
      </c>
      <c r="G6672" s="10" t="inlineStr">
        <is>
          <t>Trưởng phòng</t>
        </is>
      </c>
      <c r="H6672" s="10" t="inlineStr">
        <is>
          <t>03/03/2026</t>
        </is>
      </c>
      <c r="I6672" s="10" t="inlineStr">
        <is>
          <t>02/04/2026</t>
        </is>
      </c>
      <c r="J6672" s="10" t="inlineStr">
        <is>
          <t>17/03/2026</t>
        </is>
      </c>
      <c r="K6672" s="10" t="inlineStr">
        <is>
          <t>N/A</t>
        </is>
      </c>
      <c r="L6672" s="10" t="inlineStr">
        <is>
          <t>Kế Toán Kiểm Soát, Quản Lý Tài Sản</t>
        </is>
      </c>
      <c r="M6672" s="10" t="inlineStr">
        <is>
          <t>Bonus, Healthcare Plan, Travel Opportunities</t>
        </is>
      </c>
      <c r="N6672" s="11">
        <f>HYPERLINK("https://www.vietnamworks.com/truong-nhom-ke-toan-tai-san-mang-khach-san-golf-2017617-jv","Xem chi tiết")</f>
        <v/>
      </c>
      <c r="O6672" s="10" t="n"/>
    </row>
    <row r="6673">
      <c r="B6673" s="7" t="n">
        <v>6671</v>
      </c>
      <c r="C6673" t="inlineStr">
        <is>
          <t>Process Specialist</t>
        </is>
      </c>
      <c r="D6673" t="inlineStr">
        <is>
          <t>Deneast Vietnam</t>
        </is>
      </c>
      <c r="E6673" t="inlineStr">
        <is>
          <t>Thương lượng</t>
        </is>
      </c>
      <c r="F6673" t="inlineStr">
        <is>
          <t>Bình Dương</t>
        </is>
      </c>
      <c r="G6673" t="inlineStr">
        <is>
          <t>Nhân viên</t>
        </is>
      </c>
      <c r="H6673" t="inlineStr">
        <is>
          <t>03/03/2026</t>
        </is>
      </c>
      <c r="I6673" t="inlineStr">
        <is>
          <t>02/04/2026</t>
        </is>
      </c>
      <c r="J6673" t="inlineStr">
        <is>
          <t>17/03/2026</t>
        </is>
      </c>
      <c r="K6673" t="inlineStr">
        <is>
          <t>N/A</t>
        </is>
      </c>
      <c r="L6673" t="inlineStr">
        <is>
          <t>F&amp;B, Process Control, Food Safety, HACCP, Process Development</t>
        </is>
      </c>
      <c r="M6673" t="inlineStr">
        <is>
          <t>Paid Leave, Transportation, Canteen</t>
        </is>
      </c>
      <c r="N6673" s="8">
        <f>HYPERLINK("https://www.vietnamworks.com/process-specialist--2017622-jv","Xem chi tiết")</f>
        <v/>
      </c>
    </row>
    <row r="6674">
      <c r="B6674" s="9" t="n">
        <v>6672</v>
      </c>
      <c r="C6674" s="10" t="inlineStr">
        <is>
          <t>Kế Toán Tổng Hợp Chuyên BDS</t>
        </is>
      </c>
      <c r="D6674" s="10" t="inlineStr">
        <is>
          <t>Công Ty Cổ Phần Bất Động Sản Bản Việt</t>
        </is>
      </c>
      <c r="E6674" s="10" t="inlineStr">
        <is>
          <t>Thương lượng</t>
        </is>
      </c>
      <c r="F6674" s="10" t="inlineStr">
        <is>
          <t>Hồ Chí Minh</t>
        </is>
      </c>
      <c r="G6674" s="10" t="inlineStr">
        <is>
          <t>Nhân viên</t>
        </is>
      </c>
      <c r="H6674" s="10" t="inlineStr">
        <is>
          <t>03/03/2026</t>
        </is>
      </c>
      <c r="I6674" s="10" t="inlineStr">
        <is>
          <t>02/04/2026</t>
        </is>
      </c>
      <c r="J6674" s="10" t="inlineStr">
        <is>
          <t>17/03/2026</t>
        </is>
      </c>
      <c r="K6674" s="10" t="inlineStr">
        <is>
          <t>N/A</t>
        </is>
      </c>
      <c r="L6674" s="10" t="inlineStr">
        <is>
          <t>Accounting, Payable Accounting, General Accountant, General accounting /kế toán tổng hợp, Taxation Knowledge</t>
        </is>
      </c>
      <c r="M6674" s="10" t="inlineStr">
        <is>
          <t>Bonus, Healthcare Plan, Team Activities</t>
        </is>
      </c>
      <c r="N6674" s="11">
        <f>HYPERLINK("https://www.vietnamworks.com/ke-toan-tong-hop-chuyen-bds-2017618-jv","Xem chi tiết")</f>
        <v/>
      </c>
      <c r="O6674" s="10" t="n"/>
    </row>
    <row r="6675">
      <c r="B6675" s="7" t="n">
        <v>6673</v>
      </c>
      <c r="C6675" t="inlineStr">
        <is>
          <t>Sales Engineer</t>
        </is>
      </c>
      <c r="D6675" t="inlineStr">
        <is>
          <t>Hapam Vietnam Ltd.</t>
        </is>
      </c>
      <c r="E6675" t="inlineStr">
        <is>
          <t>Thương lượng</t>
        </is>
      </c>
      <c r="F6675" t="inlineStr">
        <is>
          <t>Hưng Yên, Hải Dương, Hà Nội</t>
        </is>
      </c>
      <c r="G6675" t="inlineStr">
        <is>
          <t>Nhân viên</t>
        </is>
      </c>
      <c r="H6675" t="inlineStr">
        <is>
          <t>03/03/2026</t>
        </is>
      </c>
      <c r="I6675" t="inlineStr">
        <is>
          <t>02/04/2026</t>
        </is>
      </c>
      <c r="J6675" t="inlineStr">
        <is>
          <t>17/03/2026</t>
        </is>
      </c>
      <c r="K6675" t="inlineStr">
        <is>
          <t>N/A</t>
        </is>
      </c>
      <c r="L6675" t="inlineStr">
        <is>
          <t>Analytical Skills, Communication Skills, Electrical Engineering, Mechanical Engineering, Sales Planning</t>
        </is>
      </c>
      <c r="M6675" t="inlineStr">
        <is>
          <t>Bonus, Healthcare Plan, Team Activities</t>
        </is>
      </c>
      <c r="N6675" s="8">
        <f>HYPERLINK("https://www.vietnamworks.com/sales-engineer-2017626-jv","Xem chi tiết")</f>
        <v/>
      </c>
    </row>
    <row r="6676">
      <c r="B6676" s="9" t="n">
        <v>6674</v>
      </c>
      <c r="C6676" s="10" t="inlineStr">
        <is>
          <t>Quality Engineering Engineer - Talent Pool (Working In Haiphong)</t>
        </is>
      </c>
      <c r="D6676" s="10" t="inlineStr">
        <is>
          <t>VINFAST TRADING AND PRODUCTION JSC</t>
        </is>
      </c>
      <c r="E6676" s="10" t="inlineStr">
        <is>
          <t>$$ 1,000-1,500 /tháng</t>
        </is>
      </c>
      <c r="F6676" s="10" t="inlineStr">
        <is>
          <t>Hải Phòng</t>
        </is>
      </c>
      <c r="G6676" s="10" t="inlineStr">
        <is>
          <t>Nhân viên</t>
        </is>
      </c>
      <c r="H6676" s="10" t="inlineStr">
        <is>
          <t>03/03/2026</t>
        </is>
      </c>
      <c r="I6676" s="10" t="inlineStr">
        <is>
          <t>02/04/2026</t>
        </is>
      </c>
      <c r="J6676" s="10" t="inlineStr">
        <is>
          <t>17/03/2026</t>
        </is>
      </c>
      <c r="K6676" s="10" t="inlineStr">
        <is>
          <t>N/A</t>
        </is>
      </c>
      <c r="L6676" s="10" t="inlineStr">
        <is>
          <t>Automotive, Product Quality, Process Quality Improvement, R&amp;D, Production Part Approval Process (PPAP)</t>
        </is>
      </c>
      <c r="M6676" s="10" t="inlineStr">
        <is>
          <t>Bonus, Healthcare Plan, Others</t>
        </is>
      </c>
      <c r="N6676" s="11">
        <f>HYPERLINK("https://www.vietnamworks.com/quality-engineering-engineer-talent-pool-working-in-haiphong-2017634-jv","Xem chi tiết")</f>
        <v/>
      </c>
      <c r="O6676" s="10" t="n"/>
    </row>
    <row r="6677">
      <c r="B6677" s="7" t="n">
        <v>6675</v>
      </c>
      <c r="C6677" t="inlineStr">
        <is>
          <t>Import-Export Sales Staff/ Nhân Viên Kinh Doanh Xuất Nhập Khẩu</t>
        </is>
      </c>
      <c r="D6677" t="inlineStr">
        <is>
          <t>CÔNG TY TNHH KMTC LOGISTICS VIỆT NAM</t>
        </is>
      </c>
      <c r="E6677" t="inlineStr">
        <is>
          <t>Thương lượng</t>
        </is>
      </c>
      <c r="F6677" t="inlineStr">
        <is>
          <t>Hồ Chí Minh</t>
        </is>
      </c>
      <c r="G6677" t="inlineStr">
        <is>
          <t>Nhân viên</t>
        </is>
      </c>
      <c r="H6677" t="inlineStr">
        <is>
          <t>03/03/2026</t>
        </is>
      </c>
      <c r="I6677" t="inlineStr">
        <is>
          <t>02/04/2026</t>
        </is>
      </c>
      <c r="J6677" t="inlineStr">
        <is>
          <t>17/03/2026</t>
        </is>
      </c>
      <c r="K6677" t="inlineStr">
        <is>
          <t>N/A</t>
        </is>
      </c>
      <c r="L6677" t="inlineStr">
        <is>
          <t>Kinh Doanh B2B, Tìm Kiếm Khách Hàng, Xuất Nhập Khẩu, Kinh Doanh Xuất Nhập Khẩu, Import-Export</t>
        </is>
      </c>
      <c r="M6677" t="inlineStr">
        <is>
          <t>Bonus, Team Activities, Others</t>
        </is>
      </c>
      <c r="N6677" s="8">
        <f>HYPERLINK("https://www.vietnamworks.com/import-export-sales-staff-nhan-vien-kinh-doanh-xuat-nhap-khau--2017613-jv","Xem chi tiết")</f>
        <v/>
      </c>
    </row>
    <row r="6678">
      <c r="B6678" s="9" t="n">
        <v>6676</v>
      </c>
      <c r="C6678" s="10" t="inlineStr">
        <is>
          <t>Social Supervisor</t>
        </is>
      </c>
      <c r="D6678" s="10" t="inlineStr">
        <is>
          <t>Công Ty Cổ Phần DatVietVAC Group Holdings</t>
        </is>
      </c>
      <c r="E6678" s="10" t="inlineStr">
        <is>
          <t>Thương lượng</t>
        </is>
      </c>
      <c r="F6678" s="10" t="inlineStr">
        <is>
          <t>Hồ Chí Minh</t>
        </is>
      </c>
      <c r="G6678" s="10" t="inlineStr">
        <is>
          <t>Nhân viên</t>
        </is>
      </c>
      <c r="H6678" s="10" t="inlineStr">
        <is>
          <t>03/03/2026</t>
        </is>
      </c>
      <c r="I6678" s="10" t="inlineStr">
        <is>
          <t>02/04/2026</t>
        </is>
      </c>
      <c r="J6678" s="10" t="inlineStr">
        <is>
          <t>17/03/2026</t>
        </is>
      </c>
      <c r="K6678" s="10" t="inlineStr">
        <is>
          <t>N/A</t>
        </is>
      </c>
      <c r="L6678" s="10" t="inlineStr">
        <is>
          <t>Social Media Marketing, Social Media Development, Digital Marketing, Marketing Campaign, Communication</t>
        </is>
      </c>
      <c r="M6678" s="10" t="inlineStr">
        <is>
          <t>Bonus, Healthcare Plan, Paid Leave</t>
        </is>
      </c>
      <c r="N6678" s="11">
        <f>HYPERLINK("https://www.vietnamworks.com/social-supervisor-2017624-jv","Xem chi tiết")</f>
        <v/>
      </c>
      <c r="O6678" s="10" t="n"/>
    </row>
    <row r="6679">
      <c r="B6679" s="7" t="n">
        <v>6677</v>
      </c>
      <c r="C6679" t="inlineStr">
        <is>
          <t>Chuyên Gia Cao Cấp Dự Toán Ngân Sách - Mảng Hạ Tầng</t>
        </is>
      </c>
      <c r="D6679" t="inlineStr">
        <is>
          <t>Công Ty Cổ Phần Tập Đoàn Masterise</t>
        </is>
      </c>
      <c r="E6679" t="inlineStr">
        <is>
          <t>Thương lượng</t>
        </is>
      </c>
      <c r="F6679" t="inlineStr">
        <is>
          <t>Hồ Chí Minh</t>
        </is>
      </c>
      <c r="G6679" t="inlineStr">
        <is>
          <t>Nhân viên</t>
        </is>
      </c>
      <c r="H6679" t="inlineStr">
        <is>
          <t>03/03/2026</t>
        </is>
      </c>
      <c r="I6679" t="inlineStr">
        <is>
          <t>02/04/2026</t>
        </is>
      </c>
      <c r="J6679" t="inlineStr">
        <is>
          <t>17/03/2026</t>
        </is>
      </c>
      <c r="K6679" t="inlineStr">
        <is>
          <t>N/A</t>
        </is>
      </c>
      <c r="L6679" t="inlineStr">
        <is>
          <t>Quản Lý Ngân Sách, Dự Toán Xây Dựng, Phân Tích Số Liệu, Quản Lý Hợp Đồng, Giao Tiếp</t>
        </is>
      </c>
      <c r="M6679" t="inlineStr">
        <is>
          <t>Bonus, Healthcare Plan, Laptop</t>
        </is>
      </c>
      <c r="N6679" s="8">
        <f>HYPERLINK("https://www.vietnamworks.com/chuyen-gia-cao-cap-du-toan-ngan-sach-mang-ha-tang-2017608-jv","Xem chi tiết")</f>
        <v/>
      </c>
    </row>
    <row r="6680">
      <c r="B6680" s="9" t="n">
        <v>6678</v>
      </c>
      <c r="C6680" s="10" t="inlineStr">
        <is>
          <t>Project Management Engineer</t>
        </is>
      </c>
      <c r="D6680" s="10" t="inlineStr">
        <is>
          <t>Epi Vietnam Technologies Co.,Ltd</t>
        </is>
      </c>
      <c r="E6680" s="10" t="inlineStr">
        <is>
          <t>Thương lượng</t>
        </is>
      </c>
      <c r="F6680" s="10" t="inlineStr">
        <is>
          <t>Hà Nội</t>
        </is>
      </c>
      <c r="G6680" s="10" t="inlineStr">
        <is>
          <t>Nhân viên</t>
        </is>
      </c>
      <c r="H6680" s="10" t="inlineStr">
        <is>
          <t>03/03/2026</t>
        </is>
      </c>
      <c r="I6680" s="10" t="inlineStr">
        <is>
          <t>02/04/2026</t>
        </is>
      </c>
      <c r="J6680" s="10" t="inlineStr">
        <is>
          <t>17/03/2026</t>
        </is>
      </c>
      <c r="K6680" s="10" t="inlineStr">
        <is>
          <t>N/A</t>
        </is>
      </c>
      <c r="L6680" s="10" t="inlineStr">
        <is>
          <t>Electronic Components, PCB Process, Project Management, Quality Management, Quản Lý Sản Xuất</t>
        </is>
      </c>
      <c r="M6680" s="10" t="inlineStr">
        <is>
          <t>Bonus, Healthcare Plan, Paid Leave, Team Activities, Others</t>
        </is>
      </c>
      <c r="N6680" s="11">
        <f>HYPERLINK("https://www.vietnamworks.com/project-management-engineer--2017637-jv","Xem chi tiết")</f>
        <v/>
      </c>
      <c r="O6680" s="10" t="n"/>
    </row>
    <row r="6681">
      <c r="B6681" s="7" t="n">
        <v>6679</v>
      </c>
      <c r="C6681" t="inlineStr">
        <is>
          <t>IT Application Consultant (SAP FICO Consultant) (8-month contract)</t>
        </is>
      </c>
      <c r="D6681" t="inlineStr">
        <is>
          <t>Panasonic Vietnam Co.,LTD</t>
        </is>
      </c>
      <c r="E6681" t="inlineStr">
        <is>
          <t>Thương lượng</t>
        </is>
      </c>
      <c r="F6681" t="inlineStr">
        <is>
          <t>Hà Nội</t>
        </is>
      </c>
      <c r="G6681" t="inlineStr">
        <is>
          <t>Nhân viên</t>
        </is>
      </c>
      <c r="H6681" t="inlineStr">
        <is>
          <t>03/03/2026</t>
        </is>
      </c>
      <c r="I6681" t="inlineStr">
        <is>
          <t>02/04/2026</t>
        </is>
      </c>
      <c r="J6681" t="inlineStr">
        <is>
          <t>17/03/2026</t>
        </is>
      </c>
      <c r="K6681" t="inlineStr">
        <is>
          <t>N/A</t>
        </is>
      </c>
      <c r="L6681" t="inlineStr">
        <is>
          <t>SAP FICO, Ecc 6.0, ABAP, UAT Test, English</t>
        </is>
      </c>
      <c r="M6681" t="inlineStr">
        <is>
          <t>Bonus, Training, Transportation</t>
        </is>
      </c>
      <c r="N6681" s="8">
        <f>HYPERLINK("https://www.vietnamworks.com/it-application-consultant-sap-fico-consultant-8-month-contract-2017662-jv","Xem chi tiết")</f>
        <v/>
      </c>
    </row>
    <row r="6682">
      <c r="B6682" s="9" t="n">
        <v>6680</v>
      </c>
      <c r="C6682" s="10" t="inlineStr">
        <is>
          <t>Senior Accountant - Hanoi Office</t>
        </is>
      </c>
      <c r="D6682" s="10" t="inlineStr">
        <is>
          <t>CÔNG TY TNHH KẾ TOÁN VÀ THUẾ VIA</t>
        </is>
      </c>
      <c r="E6682" s="10" t="inlineStr">
        <is>
          <t>Tới 35tr ₫/tháng</t>
        </is>
      </c>
      <c r="F6682" s="10" t="inlineStr">
        <is>
          <t>Hà Nội</t>
        </is>
      </c>
      <c r="G6682" s="10" t="inlineStr">
        <is>
          <t>Nhân viên</t>
        </is>
      </c>
      <c r="H6682" s="10" t="inlineStr">
        <is>
          <t>03/03/2026</t>
        </is>
      </c>
      <c r="I6682" s="10" t="inlineStr">
        <is>
          <t>02/04/2026</t>
        </is>
      </c>
      <c r="J6682" s="10" t="inlineStr">
        <is>
          <t>17/03/2026</t>
        </is>
      </c>
      <c r="K6682" s="10" t="inlineStr">
        <is>
          <t>N/A</t>
        </is>
      </c>
      <c r="L6682" s="10" t="inlineStr">
        <is>
          <t>CPA Certificate, Financial Statement, Tax Consulting, Tax Declaration, Tax Report</t>
        </is>
      </c>
      <c r="M6682" s="10" t="inlineStr">
        <is>
          <t>Bonus, Healthcare Plan, Paid Leave, Training, Team Activities</t>
        </is>
      </c>
      <c r="N6682" s="11">
        <f>HYPERLINK("https://www.vietnamworks.com/senior-accountant-hanoi-office--2017642-jv","Xem chi tiết")</f>
        <v/>
      </c>
      <c r="O6682" s="10" t="n"/>
    </row>
    <row r="6683">
      <c r="B6683" s="7" t="n">
        <v>6681</v>
      </c>
      <c r="C6683" t="inlineStr">
        <is>
          <t>Video Editor</t>
        </is>
      </c>
      <c r="D6683" t="inlineStr">
        <is>
          <t>Công ty TNHH Nha Khoa Greenfield</t>
        </is>
      </c>
      <c r="E6683" t="inlineStr">
        <is>
          <t>Thương lượng</t>
        </is>
      </c>
      <c r="F6683" t="inlineStr">
        <is>
          <t>Hà Nội</t>
        </is>
      </c>
      <c r="G6683" t="inlineStr">
        <is>
          <t>Nhân viên</t>
        </is>
      </c>
      <c r="H6683" t="inlineStr">
        <is>
          <t>03/03/2026</t>
        </is>
      </c>
      <c r="I6683" t="inlineStr">
        <is>
          <t>02/04/2026</t>
        </is>
      </c>
      <c r="J6683" t="inlineStr">
        <is>
          <t>17/03/2026</t>
        </is>
      </c>
      <c r="K6683" t="inlineStr">
        <is>
          <t>N/A</t>
        </is>
      </c>
      <c r="L6683" t="inlineStr">
        <is>
          <t>Final Cut Pro, After Effects, DaVinci Resolve, illustrator, Quay Dựng Video</t>
        </is>
      </c>
      <c r="M6683" t="inlineStr">
        <is>
          <t>Bonus, Training, Others</t>
        </is>
      </c>
      <c r="N6683" s="8">
        <f>HYPERLINK("https://www.vietnamworks.com/video-editor-2017640-jv","Xem chi tiết")</f>
        <v/>
      </c>
    </row>
    <row r="6684">
      <c r="B6684" s="9" t="n">
        <v>6682</v>
      </c>
      <c r="C6684" s="10" t="inlineStr">
        <is>
          <t>Quản Lý Tòa Nhà Văn Phòng</t>
        </is>
      </c>
      <c r="D6684" s="10" t="inlineStr">
        <is>
          <t>Công ty TNHH Đầu Tư Khai thác BĐS MDA</t>
        </is>
      </c>
      <c r="E6684" s="10" t="inlineStr">
        <is>
          <t>10tr-16tr ₫/tháng</t>
        </is>
      </c>
      <c r="F6684" s="10" t="inlineStr">
        <is>
          <t>Hồ Chí Minh</t>
        </is>
      </c>
      <c r="G6684" s="10" t="inlineStr">
        <is>
          <t>Nhân viên</t>
        </is>
      </c>
      <c r="H6684" s="10" t="inlineStr">
        <is>
          <t>03/03/2026</t>
        </is>
      </c>
      <c r="I6684" s="10" t="inlineStr">
        <is>
          <t>02/04/2026</t>
        </is>
      </c>
      <c r="J6684" s="10" t="inlineStr">
        <is>
          <t>17/03/2026</t>
        </is>
      </c>
      <c r="K6684" s="10" t="inlineStr">
        <is>
          <t>N/A</t>
        </is>
      </c>
      <c r="L6684" s="10" t="inlineStr">
        <is>
          <t>Quản Lý Vận Hành, Kinh Doanh, Giao Tiếp, Kỹ Thuật Ban Quản Lý Tòa Nhà, Quản Lý Toà Nhà</t>
        </is>
      </c>
      <c r="M6684" s="10" t="inlineStr">
        <is>
          <t>Bonus, Healthcare Plan, Paid Leave, Team Activities, Others</t>
        </is>
      </c>
      <c r="N6684" s="11">
        <f>HYPERLINK("https://www.vietnamworks.com/quan-ly-toa-nha-van-phong-2017653-jv","Xem chi tiết")</f>
        <v/>
      </c>
      <c r="O6684" s="10" t="n"/>
    </row>
    <row r="6685">
      <c r="B6685" s="7" t="n">
        <v>6683</v>
      </c>
      <c r="C6685" t="inlineStr">
        <is>
          <t>Nhân Viên Bảo Hành Bảo Trì Thiết Bị Gia Dụng</t>
        </is>
      </c>
      <c r="D6685" t="inlineStr">
        <is>
          <t>Công Ty Cổ Phần Quốc Tế Sơn Hà</t>
        </is>
      </c>
      <c r="E6685" t="inlineStr">
        <is>
          <t>8tr-12tr ₫/tháng</t>
        </is>
      </c>
      <c r="F6685" t="inlineStr">
        <is>
          <t>Hà Nội, Bắc Ninh, Phú Thọ</t>
        </is>
      </c>
      <c r="G6685" t="inlineStr">
        <is>
          <t>Nhân viên</t>
        </is>
      </c>
      <c r="H6685" t="inlineStr">
        <is>
          <t>03/03/2026</t>
        </is>
      </c>
      <c r="I6685" t="inlineStr">
        <is>
          <t>02/04/2026</t>
        </is>
      </c>
      <c r="J6685" t="inlineStr">
        <is>
          <t>17/03/2026</t>
        </is>
      </c>
      <c r="K6685" t="inlineStr">
        <is>
          <t>N/A</t>
        </is>
      </c>
      <c r="L6685" t="inlineStr">
        <is>
          <t>Bảo hành thiết bị, Bảo trì, sửa chữa, Kĩ Thuật Bảo Dưỡng, Bảo Hành, Bảo Trì</t>
        </is>
      </c>
      <c r="M6685" t="inlineStr">
        <is>
          <t>Bonus, Healthcare Plan, Paid Leave</t>
        </is>
      </c>
      <c r="N6685" s="8">
        <f>HYPERLINK("https://www.vietnamworks.com/nhan-vien-bao-hanh-bao-tri-thiet-bi-gia-dung-2017648-jv","Xem chi tiết")</f>
        <v/>
      </c>
    </row>
    <row r="6686">
      <c r="B6686" s="9" t="n">
        <v>6684</v>
      </c>
      <c r="C6686" s="10" t="inlineStr">
        <is>
          <t>Chuyên Viên Mua Hàng/Purchasing Specialist</t>
        </is>
      </c>
      <c r="D6686" s="10" t="inlineStr">
        <is>
          <t>Công Ty TNHH Dainese Việt Nam</t>
        </is>
      </c>
      <c r="E6686" s="10" t="inlineStr">
        <is>
          <t>Thương lượng</t>
        </is>
      </c>
      <c r="F6686" s="10" t="inlineStr">
        <is>
          <t>Thái Nguyên</t>
        </is>
      </c>
      <c r="G6686" s="10" t="inlineStr">
        <is>
          <t>Nhân viên</t>
        </is>
      </c>
      <c r="H6686" s="10" t="inlineStr">
        <is>
          <t>03/03/2026</t>
        </is>
      </c>
      <c r="I6686" s="10" t="inlineStr">
        <is>
          <t>02/04/2026</t>
        </is>
      </c>
      <c r="J6686" s="10" t="inlineStr">
        <is>
          <t>17/03/2026</t>
        </is>
      </c>
      <c r="K6686" s="10" t="inlineStr">
        <is>
          <t>N/A</t>
        </is>
      </c>
      <c r="L6686" s="10" t="inlineStr">
        <is>
          <t>International Business, Logistics, Order Management, Problem-solving, Supply Chain</t>
        </is>
      </c>
      <c r="M6686" s="10" t="inlineStr">
        <is>
          <t>Bonus, Paid Leave, Laptop, Transportation, Canteen</t>
        </is>
      </c>
      <c r="N6686" s="11">
        <f>HYPERLINK("https://www.vietnamworks.com/chuyen-vien-mua-hangpurchasing-specialist-2017639-jv","Xem chi tiết")</f>
        <v/>
      </c>
      <c r="O6686" s="10" t="n"/>
    </row>
    <row r="6687">
      <c r="B6687" s="7" t="n">
        <v>6685</v>
      </c>
      <c r="C6687" t="inlineStr">
        <is>
          <t>Credit Processing Officer, Card Services Department, Head Office</t>
        </is>
      </c>
      <c r="D6687" t="inlineStr">
        <is>
          <t>Public Bank Vietnam Ltd</t>
        </is>
      </c>
      <c r="E6687" t="inlineStr">
        <is>
          <t>$$ 490-1,000 /tháng</t>
        </is>
      </c>
      <c r="F6687" t="inlineStr">
        <is>
          <t>Hà Nội</t>
        </is>
      </c>
      <c r="G6687" t="inlineStr">
        <is>
          <t>Nhân viên</t>
        </is>
      </c>
      <c r="H6687" t="inlineStr">
        <is>
          <t>03/03/2026</t>
        </is>
      </c>
      <c r="I6687" t="inlineStr">
        <is>
          <t>02/04/2026</t>
        </is>
      </c>
      <c r="J6687" t="inlineStr">
        <is>
          <t>17/03/2026</t>
        </is>
      </c>
      <c r="K6687" t="inlineStr">
        <is>
          <t>N/A</t>
        </is>
      </c>
      <c r="L6687" t="inlineStr">
        <is>
          <t>Credit Card, Credit Card System, Credit Card Knowledge, Credit Operations</t>
        </is>
      </c>
      <c r="M6687" t="inlineStr">
        <is>
          <t>Bonus, Training</t>
        </is>
      </c>
      <c r="N6687" s="8">
        <f>HYPERLINK("https://www.vietnamworks.com/credit-processing-officer-card-services-department-head-office--2017654-jv","Xem chi tiết")</f>
        <v/>
      </c>
    </row>
    <row r="6688">
      <c r="B6688" s="9" t="n">
        <v>6686</v>
      </c>
      <c r="C6688" s="10" t="inlineStr">
        <is>
          <t>Chuyên Viên Kiểm Soát Nội Bộ (Mảng Tài Chính Kế Toán)</t>
        </is>
      </c>
      <c r="D6688" s="10" t="inlineStr">
        <is>
          <t>CÔNG TY CỔ PHẦN ĐẦU TƯ PLUS VIỆT NAM</t>
        </is>
      </c>
      <c r="E6688" s="10" t="inlineStr">
        <is>
          <t>28tr-35tr ₫/tháng</t>
        </is>
      </c>
      <c r="F6688" s="10" t="inlineStr">
        <is>
          <t>Hà Nội</t>
        </is>
      </c>
      <c r="G6688" s="10" t="inlineStr">
        <is>
          <t>Nhân viên</t>
        </is>
      </c>
      <c r="H6688" s="10" t="inlineStr">
        <is>
          <t>03/03/2026</t>
        </is>
      </c>
      <c r="I6688" s="10" t="inlineStr">
        <is>
          <t>02/04/2026</t>
        </is>
      </c>
      <c r="J6688" s="10" t="inlineStr">
        <is>
          <t>17/03/2026</t>
        </is>
      </c>
      <c r="K6688" s="10" t="inlineStr">
        <is>
          <t>N/A</t>
        </is>
      </c>
      <c r="L6688" s="10" t="inlineStr">
        <is>
          <t>Kiểm Soát Nội Bộ, Quản Lý Kiểm Soát Nội Bộ, Tài Chính Kế Toán, Tham Mưu Đề Xuất, Thuế</t>
        </is>
      </c>
      <c r="M6688" s="10" t="inlineStr">
        <is>
          <t>Bonus, Team Activities, Vouchers</t>
        </is>
      </c>
      <c r="N6688" s="11">
        <f>HYPERLINK("https://www.vietnamworks.com/chuyen-vien-kiem-soat-noi-bo-mang-tai-chinh-ke-toan-2017668-jv","Xem chi tiết")</f>
        <v/>
      </c>
      <c r="O6688" s="10" t="n"/>
    </row>
    <row r="6689">
      <c r="B6689" s="7" t="n">
        <v>6687</v>
      </c>
      <c r="C6689" t="inlineStr">
        <is>
          <t>Nhân Viên Quản Lý Hóa Chất</t>
        </is>
      </c>
      <c r="D6689" t="inlineStr">
        <is>
          <t>CÔNG TY TNHH KỸ THUẬT CÔNG NGHIỆP BANGSHI VINA</t>
        </is>
      </c>
      <c r="E6689" t="inlineStr">
        <is>
          <t>10tr-20tr ₫/tháng</t>
        </is>
      </c>
      <c r="F6689" t="inlineStr">
        <is>
          <t>Hải Phòng</t>
        </is>
      </c>
      <c r="G6689" t="inlineStr">
        <is>
          <t>Mới Tốt Nghiệp</t>
        </is>
      </c>
      <c r="H6689" t="inlineStr">
        <is>
          <t>03/03/2026</t>
        </is>
      </c>
      <c r="I6689" t="inlineStr">
        <is>
          <t>02/04/2026</t>
        </is>
      </c>
      <c r="J6689" t="inlineStr">
        <is>
          <t>17/03/2026</t>
        </is>
      </c>
      <c r="K6689" t="inlineStr">
        <is>
          <t>N/A</t>
        </is>
      </c>
      <c r="L6689" t="inlineStr">
        <is>
          <t>Quản Lý Hóa Chất, Hóa Học, Hóa Chất, Kỹ Thuật Hoá Học, Kỹ Thuật Hóa Phân Tích</t>
        </is>
      </c>
      <c r="M6689" t="inlineStr">
        <is>
          <t>Healthcare Plan, Training, Others</t>
        </is>
      </c>
      <c r="N6689" s="8">
        <f>HYPERLINK("https://www.vietnamworks.com/nhan-vien-quan-ly-hoa-chat-2017645-jv","Xem chi tiết")</f>
        <v/>
      </c>
    </row>
    <row r="6690">
      <c r="B6690" s="9" t="n">
        <v>6688</v>
      </c>
      <c r="C6690" s="10" t="inlineStr">
        <is>
          <t>Manufacturing HRBP (Hai Phong Plant)</t>
        </is>
      </c>
      <c r="D6690" s="10" t="inlineStr">
        <is>
          <t>VINFAST TRADING AND PRODUCTION JSC</t>
        </is>
      </c>
      <c r="E6690" s="10" t="inlineStr">
        <is>
          <t>Thương lượng</t>
        </is>
      </c>
      <c r="F6690" s="10" t="inlineStr">
        <is>
          <t>Hải Phòng</t>
        </is>
      </c>
      <c r="G6690" s="10" t="inlineStr">
        <is>
          <t>Nhân viên</t>
        </is>
      </c>
      <c r="H6690" s="10" t="inlineStr">
        <is>
          <t>03/03/2026</t>
        </is>
      </c>
      <c r="I6690" s="10" t="inlineStr">
        <is>
          <t>02/04/2026</t>
        </is>
      </c>
      <c r="J6690" s="10" t="inlineStr">
        <is>
          <t>17/03/2026</t>
        </is>
      </c>
      <c r="K6690" s="10" t="inlineStr">
        <is>
          <t>N/A</t>
        </is>
      </c>
      <c r="L6690" s="10" t="inlineStr">
        <is>
          <t>HRBP, Human Resources, Business Administration, HR Business Partner, HR Leadership</t>
        </is>
      </c>
      <c r="M6690" s="10" t="inlineStr">
        <is>
          <t>Bonus, Healthcare Plan, Others</t>
        </is>
      </c>
      <c r="N6690" s="11">
        <f>HYPERLINK("https://www.vietnamworks.com/manufacturing-hrbp-hai-phong-plant-1-2017643-jv","Xem chi tiết")</f>
        <v/>
      </c>
      <c r="O6690" s="10" t="n"/>
    </row>
    <row r="6691">
      <c r="B6691" s="7" t="n">
        <v>6689</v>
      </c>
      <c r="C6691" t="inlineStr">
        <is>
          <t>Executive, Sales Strategy Development &amp; Market Research</t>
        </is>
      </c>
      <c r="D6691" t="inlineStr">
        <is>
          <t>CapitaLand Development (Vietnam)</t>
        </is>
      </c>
      <c r="E6691" t="inlineStr">
        <is>
          <t>Thương lượng</t>
        </is>
      </c>
      <c r="F6691" t="inlineStr">
        <is>
          <t>Hà Nội</t>
        </is>
      </c>
      <c r="G6691" t="inlineStr">
        <is>
          <t>Nhân viên</t>
        </is>
      </c>
      <c r="H6691" t="inlineStr">
        <is>
          <t>03/03/2026</t>
        </is>
      </c>
      <c r="I6691" t="inlineStr">
        <is>
          <t>02/04/2026</t>
        </is>
      </c>
      <c r="J6691" t="inlineStr">
        <is>
          <t>17/03/2026</t>
        </is>
      </c>
      <c r="K6691" t="inlineStr">
        <is>
          <t>N/A</t>
        </is>
      </c>
      <c r="L6691" t="inlineStr">
        <is>
          <t>Real Estate, Strategic Planning, Market Research, Sales Strategy, Market Intelligent</t>
        </is>
      </c>
      <c r="M6691" t="inlineStr">
        <is>
          <t>Healthcare Plan, Paid Leave, Others</t>
        </is>
      </c>
      <c r="N6691" s="8">
        <f>HYPERLINK("https://www.vietnamworks.com/executive-sales-strategy-development-market-research-2017666-jv","Xem chi tiết")</f>
        <v/>
      </c>
    </row>
    <row r="6692">
      <c r="B6692" s="9" t="n">
        <v>6690</v>
      </c>
      <c r="C6692" s="10" t="inlineStr">
        <is>
          <t>Chuyên Viên Giải Phóng Mặt Bằng</t>
        </is>
      </c>
      <c r="D6692" s="10" t="inlineStr">
        <is>
          <t>Tổng Công Ty Mbland - Mbland Holdings</t>
        </is>
      </c>
      <c r="E6692" s="10" t="inlineStr">
        <is>
          <t>Thương lượng</t>
        </is>
      </c>
      <c r="F6692" s="10" t="inlineStr">
        <is>
          <t>Hà Nội</t>
        </is>
      </c>
      <c r="G6692" s="10" t="inlineStr">
        <is>
          <t>Nhân viên</t>
        </is>
      </c>
      <c r="H6692" s="10" t="inlineStr">
        <is>
          <t>03/03/2026</t>
        </is>
      </c>
      <c r="I6692" s="10" t="inlineStr">
        <is>
          <t>02/04/2026</t>
        </is>
      </c>
      <c r="J6692" s="10" t="inlineStr">
        <is>
          <t>17/03/2026</t>
        </is>
      </c>
      <c r="K6692" s="10" t="inlineStr">
        <is>
          <t>N/A</t>
        </is>
      </c>
      <c r="L6692" s="10" t="inlineStr">
        <is>
          <t>Giải Phóng Mặt Bằng, Quản Lý Đất Đai, AutoCAD, Kinh Tế Xây Dựng, Địa Chính</t>
        </is>
      </c>
      <c r="M6692" s="10" t="inlineStr">
        <is>
          <t>Bonus, Healthcare Plan, Training</t>
        </is>
      </c>
      <c r="N6692" s="11">
        <f>HYPERLINK("https://www.vietnamworks.com/chuyen-vien-giai-phong-mat-bang--2017652-jv","Xem chi tiết")</f>
        <v/>
      </c>
      <c r="O6692" s="10" t="n"/>
    </row>
    <row r="6693">
      <c r="B6693" s="7" t="n">
        <v>6691</v>
      </c>
      <c r="C6693" t="inlineStr">
        <is>
          <t>Nhân Viên Phân Tích Tài Chính</t>
        </is>
      </c>
      <c r="D6693" t="inlineStr">
        <is>
          <t>Công Ty TNHH Thiết Bị Minh Tâm (Mitalab Co., Ltd)</t>
        </is>
      </c>
      <c r="E6693" t="inlineStr">
        <is>
          <t>Thương lượng</t>
        </is>
      </c>
      <c r="F6693" t="inlineStr">
        <is>
          <t>Hồ Chí Minh</t>
        </is>
      </c>
      <c r="G6693" t="inlineStr">
        <is>
          <t>Nhân viên</t>
        </is>
      </c>
      <c r="H6693" t="inlineStr">
        <is>
          <t>03/03/2026</t>
        </is>
      </c>
      <c r="I6693" t="inlineStr">
        <is>
          <t>02/04/2026</t>
        </is>
      </c>
      <c r="J6693" t="inlineStr">
        <is>
          <t>17/03/2026</t>
        </is>
      </c>
      <c r="K6693" t="inlineStr">
        <is>
          <t>N/A</t>
        </is>
      </c>
      <c r="L6693" t="inlineStr">
        <is>
          <t>Phân Tích Tài Chính, Power BI, Thiết Bị Y Tế, Thẩm Định Dự Án Đầu Tư</t>
        </is>
      </c>
      <c r="M6693" t="inlineStr">
        <is>
          <t>Bonus, Training, Travel Opportunities</t>
        </is>
      </c>
      <c r="N6693" s="8">
        <f>HYPERLINK("https://www.vietnamworks.com/nhan-vien-phan-tich-tai-chinh--2017657-jv","Xem chi tiết")</f>
        <v/>
      </c>
    </row>
    <row r="6694">
      <c r="B6694" s="9" t="n">
        <v>6692</v>
      </c>
      <c r="C6694" s="10" t="inlineStr">
        <is>
          <t>Online Learning Designer</t>
        </is>
      </c>
      <c r="D6694" s="10" t="inlineStr">
        <is>
          <t>British University Vietnam (Buv)</t>
        </is>
      </c>
      <c r="E6694" s="10" t="inlineStr">
        <is>
          <t>Từ $ 900 /tháng</t>
        </is>
      </c>
      <c r="F6694" s="10" t="inlineStr">
        <is>
          <t>Hà Nội</t>
        </is>
      </c>
      <c r="G6694" s="10" t="inlineStr">
        <is>
          <t>Nhân viên</t>
        </is>
      </c>
      <c r="H6694" s="10" t="inlineStr">
        <is>
          <t>03/03/2026</t>
        </is>
      </c>
      <c r="I6694" s="10" t="inlineStr">
        <is>
          <t>02/04/2026</t>
        </is>
      </c>
      <c r="J6694" s="10" t="inlineStr">
        <is>
          <t>17/03/2026</t>
        </is>
      </c>
      <c r="K6694" s="10" t="inlineStr">
        <is>
          <t>N/A</t>
        </is>
      </c>
      <c r="L6694" s="10" t="inlineStr">
        <is>
          <t>Communication, Course Designing, Instructional Design, LMS, E-Learning Tools</t>
        </is>
      </c>
      <c r="M6694" s="10" t="inlineStr">
        <is>
          <t>Bonus, Healthcare Plan, Paid Leave, Awards, Team Activities, Transportation, Others</t>
        </is>
      </c>
      <c r="N6694" s="11">
        <f>HYPERLINK("https://www.vietnamworks.com/online-learning-designer-2017650-jv","Xem chi tiết")</f>
        <v/>
      </c>
      <c r="O6694" s="10" t="n"/>
    </row>
    <row r="6695">
      <c r="B6695" s="7" t="n">
        <v>6693</v>
      </c>
      <c r="C6695" t="inlineStr">
        <is>
          <t>Sales Representative</t>
        </is>
      </c>
      <c r="D6695" t="inlineStr">
        <is>
          <t>Rich Products Vietnam</t>
        </is>
      </c>
      <c r="E6695" t="inlineStr">
        <is>
          <t>Thương lượng</t>
        </is>
      </c>
      <c r="F6695" t="inlineStr">
        <is>
          <t>Hà Nội, Hồ Chí Minh, Đà Nẵng</t>
        </is>
      </c>
      <c r="G6695" t="inlineStr">
        <is>
          <t>Nhân viên</t>
        </is>
      </c>
      <c r="H6695" t="inlineStr">
        <is>
          <t>03/03/2026</t>
        </is>
      </c>
      <c r="I6695" t="inlineStr">
        <is>
          <t>02/04/2026</t>
        </is>
      </c>
      <c r="J6695" t="inlineStr">
        <is>
          <t>17/03/2026</t>
        </is>
      </c>
      <c r="K6695" t="inlineStr">
        <is>
          <t>N/A</t>
        </is>
      </c>
      <c r="L6695" t="inlineStr">
        <is>
          <t>Effective Communication, Functional Knowledge, Market Knowledge, Sales Management, Strategy Selling</t>
        </is>
      </c>
      <c r="M6695" t="inlineStr">
        <is>
          <t>Bonus, Training, Laptop, Team Activities</t>
        </is>
      </c>
      <c r="N6695" s="8">
        <f>HYPERLINK("https://www.vietnamworks.com/sales-representative-2017641-jv","Xem chi tiết")</f>
        <v/>
      </c>
    </row>
    <row r="6696">
      <c r="B6696" s="9" t="n">
        <v>6694</v>
      </c>
      <c r="C6696" s="10" t="inlineStr">
        <is>
          <t>Key Account Manager (E-Commerce, Đi Làm Ngay)</t>
        </is>
      </c>
      <c r="D6696" s="10" t="inlineStr">
        <is>
          <t>Slimcase</t>
        </is>
      </c>
      <c r="E6696" s="10" t="inlineStr">
        <is>
          <t>$$ 600-750 /tháng</t>
        </is>
      </c>
      <c r="F6696" s="10" t="inlineStr">
        <is>
          <t>Hồ Chí Minh</t>
        </is>
      </c>
      <c r="G6696" s="10" t="inlineStr">
        <is>
          <t>Nhân viên</t>
        </is>
      </c>
      <c r="H6696" s="10" t="inlineStr">
        <is>
          <t>03/03/2026</t>
        </is>
      </c>
      <c r="I6696" s="10" t="inlineStr">
        <is>
          <t>02/04/2026</t>
        </is>
      </c>
      <c r="J6696" s="10" t="inlineStr">
        <is>
          <t>17/03/2026</t>
        </is>
      </c>
      <c r="K6696" s="10" t="inlineStr">
        <is>
          <t>N/A</t>
        </is>
      </c>
      <c r="L6696" s="10" t="inlineStr">
        <is>
          <t>Relationship Building, Key Account Management, E-commerce, Store Operation, Planning Management</t>
        </is>
      </c>
      <c r="M6696" s="10" t="inlineStr">
        <is>
          <t>Bonus, Healthcare Plan, Team Activities</t>
        </is>
      </c>
      <c r="N6696" s="11">
        <f>HYPERLINK("https://www.vietnamworks.com/key-account-manager-e-commerce-di-lam-ngay-2017658-jv","Xem chi tiết")</f>
        <v/>
      </c>
      <c r="O6696" s="10" t="n"/>
    </row>
    <row r="6697">
      <c r="B6697" s="7" t="n">
        <v>6695</v>
      </c>
      <c r="C6697" t="inlineStr">
        <is>
          <t>Furniture Designer</t>
        </is>
      </c>
      <c r="D6697" t="inlineStr">
        <is>
          <t>Công Ty TNHH Gardenline International (VN)</t>
        </is>
      </c>
      <c r="E6697" t="inlineStr">
        <is>
          <t>Thương lượng</t>
        </is>
      </c>
      <c r="F6697" t="inlineStr">
        <is>
          <t>Hồ Chí Minh</t>
        </is>
      </c>
      <c r="G6697" t="inlineStr">
        <is>
          <t>Trưởng phòng</t>
        </is>
      </c>
      <c r="H6697" t="inlineStr">
        <is>
          <t>03/03/2026</t>
        </is>
      </c>
      <c r="I6697" t="inlineStr">
        <is>
          <t>02/04/2026</t>
        </is>
      </c>
      <c r="J6697" t="inlineStr">
        <is>
          <t>17/03/2026</t>
        </is>
      </c>
      <c r="K6697" t="inlineStr">
        <is>
          <t>N/A</t>
        </is>
      </c>
      <c r="L6697" t="inlineStr">
        <is>
          <t>AutoCAD, 3D Max, Nội Thất, Sketchup, Thiết Kế Nội Thất</t>
        </is>
      </c>
      <c r="M6697" t="inlineStr">
        <is>
          <t>Bonus, Healthcare Plan, Others</t>
        </is>
      </c>
      <c r="N6697" s="8">
        <f>HYPERLINK("https://www.vietnamworks.com/furniture-designer--2017672-jv","Xem chi tiết")</f>
        <v/>
      </c>
    </row>
    <row r="6698">
      <c r="B6698" s="9" t="n">
        <v>6696</v>
      </c>
      <c r="C6698" s="10" t="inlineStr">
        <is>
          <t>Kiến Trúc Sư Hiện Trường – Ban Quản Lý Dự Án Mỹ Đình Pearl</t>
        </is>
      </c>
      <c r="D6698" s="10" t="inlineStr">
        <is>
          <t>Công Ty Cổ Phần Bất Động Sản Dầu Khí Việt Nam PV - SSG</t>
        </is>
      </c>
      <c r="E6698" s="10" t="inlineStr">
        <is>
          <t>20tr-30tr ₫/tháng</t>
        </is>
      </c>
      <c r="F6698" s="10" t="inlineStr">
        <is>
          <t>Hà Nội</t>
        </is>
      </c>
      <c r="G6698" s="10" t="inlineStr">
        <is>
          <t>Nhân viên</t>
        </is>
      </c>
      <c r="H6698" s="10" t="inlineStr">
        <is>
          <t>03/03/2026</t>
        </is>
      </c>
      <c r="I6698" s="10" t="inlineStr">
        <is>
          <t>02/04/2026</t>
        </is>
      </c>
      <c r="J6698" s="10" t="inlineStr">
        <is>
          <t>17/03/2026</t>
        </is>
      </c>
      <c r="K6698" s="10" t="inlineStr">
        <is>
          <t>N/A</t>
        </is>
      </c>
      <c r="L6698" s="10" t="inlineStr">
        <is>
          <t>3D Max, Autocad, Giám Sát Thiết Kế, Kiến Trúc Công Trình, Photoshop</t>
        </is>
      </c>
      <c r="M6698" s="10" t="inlineStr">
        <is>
          <t>Bonus, Healthcare Plan, Paid Leave, Canteen, Others</t>
        </is>
      </c>
      <c r="N6698" s="11">
        <f>HYPERLINK("https://www.vietnamworks.com/kien-truc-su-hien-truong-ban-quan-ly-du-an-my-djinh-pearl-2017651-jv","Xem chi tiết")</f>
        <v/>
      </c>
      <c r="O6698" s="10" t="n"/>
    </row>
    <row r="6699">
      <c r="B6699" s="7" t="n">
        <v>6697</v>
      </c>
      <c r="C6699" t="inlineStr">
        <is>
          <t>Chuyên Viên Cao Cấp Bảo Trì Kỹ Thuật (Nhà Ga/khu Bay)_Sân Bay Gia Bình</t>
        </is>
      </c>
      <c r="D6699" t="inlineStr">
        <is>
          <t>Công Ty Cổ Phần Tập Đoàn Masterise</t>
        </is>
      </c>
      <c r="E6699" t="inlineStr">
        <is>
          <t>Thương lượng</t>
        </is>
      </c>
      <c r="F6699" t="inlineStr">
        <is>
          <t>Bắc Ninh</t>
        </is>
      </c>
      <c r="G6699" t="inlineStr">
        <is>
          <t>Nhân viên</t>
        </is>
      </c>
      <c r="H6699" t="inlineStr">
        <is>
          <t>03/03/2026</t>
        </is>
      </c>
      <c r="I6699" t="inlineStr">
        <is>
          <t>02/04/2026</t>
        </is>
      </c>
      <c r="J6699" t="inlineStr">
        <is>
          <t>17/03/2026</t>
        </is>
      </c>
      <c r="K6699" t="inlineStr">
        <is>
          <t>N/A</t>
        </is>
      </c>
      <c r="L6699" t="inlineStr">
        <is>
          <t>HVAC, Điện, Điện Lạnh, Cơ Khí, Xây Dựng</t>
        </is>
      </c>
      <c r="M6699" t="inlineStr">
        <is>
          <t>Bonus, Healthcare Plan</t>
        </is>
      </c>
      <c r="N6699" s="8">
        <f>HYPERLINK("https://www.vietnamworks.com/chuyen-vien-cao-cap-bao-tri-ky-thuat-nha-ga-khu-bay-san-bay-gia-binh-2017647-jv","Xem chi tiết")</f>
        <v/>
      </c>
    </row>
    <row r="6700">
      <c r="B6700" s="9" t="n">
        <v>6698</v>
      </c>
      <c r="C6700" s="10" t="inlineStr">
        <is>
          <t>Seafreight Export Manager</t>
        </is>
      </c>
      <c r="D6700" s="10" t="inlineStr">
        <is>
          <t>Logwin Air + Ocean Vietnam Co., Ltd</t>
        </is>
      </c>
      <c r="E6700" s="10" t="inlineStr">
        <is>
          <t>Thương lượng</t>
        </is>
      </c>
      <c r="F6700" s="10" t="inlineStr">
        <is>
          <t>Hồ Chí Minh</t>
        </is>
      </c>
      <c r="G6700" s="10" t="inlineStr">
        <is>
          <t>Trưởng phòng</t>
        </is>
      </c>
      <c r="H6700" s="10" t="inlineStr">
        <is>
          <t>03/03/2026</t>
        </is>
      </c>
      <c r="I6700" s="10" t="inlineStr">
        <is>
          <t>02/04/2026</t>
        </is>
      </c>
      <c r="J6700" s="10" t="inlineStr">
        <is>
          <t>17/03/2026</t>
        </is>
      </c>
      <c r="K6700" s="10" t="inlineStr">
        <is>
          <t>N/A</t>
        </is>
      </c>
      <c r="L6700" s="10" t="inlineStr">
        <is>
          <t>Logistics, Sea Freight, Freight Forwarding, Export, Global Freight</t>
        </is>
      </c>
      <c r="M6700" s="10" t="inlineStr">
        <is>
          <t>Bonus, Healthcare Plan, Training</t>
        </is>
      </c>
      <c r="N6700" s="11">
        <f>HYPERLINK("https://www.vietnamworks.com/seafreight-export-manager--2017678-jv","Xem chi tiết")</f>
        <v/>
      </c>
      <c r="O6700" s="10" t="n"/>
    </row>
    <row r="6701">
      <c r="B6701" s="7" t="n">
        <v>6699</v>
      </c>
      <c r="C6701" t="inlineStr">
        <is>
          <t>An Toàn Lao Động</t>
        </is>
      </c>
      <c r="D6701" t="inlineStr">
        <is>
          <t>Công Ty Cổ Phần Bất Động Sản Dầu Khí Việt Nam PV - SSG</t>
        </is>
      </c>
      <c r="E6701" t="inlineStr">
        <is>
          <t>15tr-25tr ₫/tháng</t>
        </is>
      </c>
      <c r="F6701" t="inlineStr">
        <is>
          <t>Hà Nội</t>
        </is>
      </c>
      <c r="G6701" t="inlineStr">
        <is>
          <t>Nhân viên</t>
        </is>
      </c>
      <c r="H6701" t="inlineStr">
        <is>
          <t>03/03/2026</t>
        </is>
      </c>
      <c r="I6701" t="inlineStr">
        <is>
          <t>02/04/2026</t>
        </is>
      </c>
      <c r="J6701" t="inlineStr">
        <is>
          <t>17/03/2026</t>
        </is>
      </c>
      <c r="K6701" t="inlineStr">
        <is>
          <t>N/A</t>
        </is>
      </c>
      <c r="L6701" t="inlineStr">
        <is>
          <t>An Toàn Vệ Sinh Lao Động, Bảo Hộ Lao Động, Quản Lý An Toàn, Kiến Thức Hse</t>
        </is>
      </c>
      <c r="M6701" t="inlineStr">
        <is>
          <t>Bonus, Healthcare Plan, Paid Leave</t>
        </is>
      </c>
      <c r="N6701" s="8">
        <f>HYPERLINK("https://www.vietnamworks.com/an-toan-lao-djong-2017680-jv","Xem chi tiết")</f>
        <v/>
      </c>
    </row>
    <row r="6702">
      <c r="B6702" s="9" t="n">
        <v>6700</v>
      </c>
      <c r="C6702" s="10" t="inlineStr">
        <is>
          <t>Sales Coordinator (Sales Admin)</t>
        </is>
      </c>
      <c r="D6702" s="10" t="inlineStr">
        <is>
          <t>Nishio Rent All Vietnam Co., LTD.</t>
        </is>
      </c>
      <c r="E6702" s="10" t="inlineStr">
        <is>
          <t>Thương lượng</t>
        </is>
      </c>
      <c r="F6702" s="10" t="inlineStr">
        <is>
          <t>Đồng Nai</t>
        </is>
      </c>
      <c r="G6702" s="10" t="inlineStr">
        <is>
          <t>Nhân viên</t>
        </is>
      </c>
      <c r="H6702" s="10" t="inlineStr">
        <is>
          <t>03/03/2026</t>
        </is>
      </c>
      <c r="I6702" s="10" t="inlineStr">
        <is>
          <t>02/04/2026</t>
        </is>
      </c>
      <c r="J6702" s="10" t="inlineStr">
        <is>
          <t>17/03/2026</t>
        </is>
      </c>
      <c r="K6702" s="10" t="inlineStr">
        <is>
          <t>N/A</t>
        </is>
      </c>
      <c r="L6702" s="10" t="inlineStr">
        <is>
          <t>Sales Administration, English, Invoice Processing, Accounting, Customer Support</t>
        </is>
      </c>
      <c r="M6702" s="10" t="inlineStr">
        <is>
          <t>Bonus, Healthcare Plan, Paid Leave, Library, Laptop, Team Activities, Others</t>
        </is>
      </c>
      <c r="N6702" s="11">
        <f>HYPERLINK("https://www.vietnamworks.com/sales-coordinator-sales-admin-2017693-jv","Xem chi tiết")</f>
        <v/>
      </c>
      <c r="O6702" s="10" t="n"/>
    </row>
    <row r="6703">
      <c r="B6703" s="7" t="n">
        <v>6701</v>
      </c>
      <c r="C6703" t="inlineStr">
        <is>
          <t>Chuyên Viên C&amp;B</t>
        </is>
      </c>
      <c r="D6703" t="inlineStr">
        <is>
          <t>Công Ty TNHH Aden Services (Việt Nam) - CN Hà Nội</t>
        </is>
      </c>
      <c r="E6703" t="inlineStr">
        <is>
          <t>Thương lượng</t>
        </is>
      </c>
      <c r="F6703" t="inlineStr">
        <is>
          <t>Hà Nội</t>
        </is>
      </c>
      <c r="G6703" t="inlineStr">
        <is>
          <t>Nhân viên</t>
        </is>
      </c>
      <c r="H6703" t="inlineStr">
        <is>
          <t>03/03/2026</t>
        </is>
      </c>
      <c r="I6703" t="inlineStr">
        <is>
          <t>02/04/2026</t>
        </is>
      </c>
      <c r="J6703" t="inlineStr">
        <is>
          <t>17/03/2026</t>
        </is>
      </c>
      <c r="K6703" t="inlineStr">
        <is>
          <t>N/A</t>
        </is>
      </c>
      <c r="L6703" t="inlineStr">
        <is>
          <t>Nhân Sự, HR, C&amp;B, Payroll, Lương Và Phúc Lợi</t>
        </is>
      </c>
      <c r="M6703" t="inlineStr">
        <is>
          <t>Bonus, Training, Team Activities</t>
        </is>
      </c>
      <c r="N6703" s="8">
        <f>HYPERLINK("https://www.vietnamworks.com/chuyen-vien-c-b--2017685-jv","Xem chi tiết")</f>
        <v/>
      </c>
    </row>
    <row r="6704">
      <c r="B6704" s="9" t="n">
        <v>6702</v>
      </c>
      <c r="C6704" s="10" t="inlineStr">
        <is>
          <t>Chuyên Viên Pháp Lý</t>
        </is>
      </c>
      <c r="D6704" s="10" t="inlineStr">
        <is>
          <t>Tập Đoàn Công Nghiệp - Viễn Thông Quân Đội (Viettel Group)</t>
        </is>
      </c>
      <c r="E6704" s="10" t="inlineStr">
        <is>
          <t>$$ 800-2,000 /tháng</t>
        </is>
      </c>
      <c r="F6704" s="10" t="inlineStr">
        <is>
          <t>Hà Nội</t>
        </is>
      </c>
      <c r="G6704" s="10" t="inlineStr">
        <is>
          <t>Nhân viên</t>
        </is>
      </c>
      <c r="H6704" s="10" t="inlineStr">
        <is>
          <t>03/03/2026</t>
        </is>
      </c>
      <c r="I6704" s="10" t="inlineStr">
        <is>
          <t>02/04/2026</t>
        </is>
      </c>
      <c r="J6704" s="10" t="inlineStr">
        <is>
          <t>17/03/2026</t>
        </is>
      </c>
      <c r="K6704" s="10" t="inlineStr">
        <is>
          <t>N/A</t>
        </is>
      </c>
      <c r="L6704" s="10" t="inlineStr">
        <is>
          <t>Tư Vấn Pháp Lý, Pháp Chế, Pháp Lý, Luật, Legal</t>
        </is>
      </c>
      <c r="M6704" s="10" t="inlineStr">
        <is>
          <t>Healthcare Plan, Paid Leave, Travel Opportunities</t>
        </is>
      </c>
      <c r="N6704" s="11">
        <f>HYPERLINK("https://www.vietnamworks.com/chuyen-vien-phap-ly--2017679-jv","Xem chi tiết")</f>
        <v/>
      </c>
      <c r="O6704" s="10" t="n"/>
    </row>
    <row r="6705">
      <c r="B6705" s="7" t="n">
        <v>6703</v>
      </c>
      <c r="C6705" t="inlineStr">
        <is>
          <t>Nhân Viên Kỹ Thuật ( Tuyển Gấp, Lương Hấp Dẫn )</t>
        </is>
      </c>
      <c r="D6705" t="inlineStr">
        <is>
          <t>Nishio Rent All Vietnam Co., LTD.</t>
        </is>
      </c>
      <c r="E6705" t="inlineStr">
        <is>
          <t>Thương lượng</t>
        </is>
      </c>
      <c r="F6705" t="inlineStr">
        <is>
          <t>Đồng Nai</t>
        </is>
      </c>
      <c r="G6705" t="inlineStr">
        <is>
          <t>Nhân viên</t>
        </is>
      </c>
      <c r="H6705" t="inlineStr">
        <is>
          <t>03/03/2026</t>
        </is>
      </c>
      <c r="I6705" t="inlineStr">
        <is>
          <t>02/04/2026</t>
        </is>
      </c>
      <c r="J6705" t="inlineStr">
        <is>
          <t>17/03/2026</t>
        </is>
      </c>
      <c r="K6705" t="inlineStr">
        <is>
          <t>N/A</t>
        </is>
      </c>
      <c r="L6705" t="inlineStr">
        <is>
          <t>Kinh Doanh, English, Cơ Khí, Bảo Trì Động Cơ Điện, Kỹ Thuật</t>
        </is>
      </c>
      <c r="M6705" t="inlineStr">
        <is>
          <t>Bonus, Healthcare Plan, Transportation</t>
        </is>
      </c>
      <c r="N6705" s="8">
        <f>HYPERLINK("https://www.vietnamworks.com/nhan-vien-ky-thuat-tuyen-gap-luong-hap-dan--2017690-jv","Xem chi tiết")</f>
        <v/>
      </c>
    </row>
    <row r="6706">
      <c r="B6706" s="9" t="n">
        <v>6704</v>
      </c>
      <c r="C6706" s="10" t="inlineStr">
        <is>
          <t>Fullstack Developer (PHP/Python, React/Vue)</t>
        </is>
      </c>
      <c r="D6706" s="10" t="inlineStr">
        <is>
          <t>HDWEBSOFT Co., Ltd</t>
        </is>
      </c>
      <c r="E6706" s="10" t="inlineStr">
        <is>
          <t>Thương lượng</t>
        </is>
      </c>
      <c r="F6706" s="10" t="inlineStr">
        <is>
          <t>Hồ Chí Minh</t>
        </is>
      </c>
      <c r="G6706" s="10" t="inlineStr">
        <is>
          <t>Nhân viên</t>
        </is>
      </c>
      <c r="H6706" s="10" t="inlineStr">
        <is>
          <t>03/03/2026</t>
        </is>
      </c>
      <c r="I6706" s="10" t="inlineStr">
        <is>
          <t>02/04/2026</t>
        </is>
      </c>
      <c r="J6706" s="10" t="inlineStr">
        <is>
          <t>17/03/2026</t>
        </is>
      </c>
      <c r="K6706" s="10" t="inlineStr">
        <is>
          <t>N/A</t>
        </is>
      </c>
      <c r="L6706" s="10" t="inlineStr">
        <is>
          <t>FullStack, JavaScript, React, Cloud, Python</t>
        </is>
      </c>
      <c r="M6706" s="10" t="inlineStr">
        <is>
          <t>Healthcare Plan, Paid Leave, Laptop, Travel Opportunities, Team Activities, Others</t>
        </is>
      </c>
      <c r="N6706" s="11">
        <f>HYPERLINK("https://www.vietnamworks.com/fullstack-developer-phppython-reactvue-2017683-jv","Xem chi tiết")</f>
        <v/>
      </c>
      <c r="O6706" s="10" t="n"/>
    </row>
    <row r="6707">
      <c r="B6707" s="7" t="n">
        <v>6705</v>
      </c>
      <c r="C6707" t="inlineStr">
        <is>
          <t>Sales Assistant (English/ Or Chinese Speaking)</t>
        </is>
      </c>
      <c r="D6707" t="inlineStr">
        <is>
          <t>Công ty TNHH Restar Electronics Việt Nam - Chi nhánh Hà Nội</t>
        </is>
      </c>
      <c r="E6707" t="inlineStr">
        <is>
          <t>11tr-13tr ₫/tháng</t>
        </is>
      </c>
      <c r="F6707" t="inlineStr">
        <is>
          <t>Hà Nội</t>
        </is>
      </c>
      <c r="G6707" t="inlineStr">
        <is>
          <t>Nhân viên</t>
        </is>
      </c>
      <c r="H6707" t="inlineStr">
        <is>
          <t>03/03/2026</t>
        </is>
      </c>
      <c r="I6707" t="inlineStr">
        <is>
          <t>18/03/2026</t>
        </is>
      </c>
      <c r="J6707" t="inlineStr">
        <is>
          <t>17/03/2026</t>
        </is>
      </c>
      <c r="K6707" t="inlineStr">
        <is>
          <t>N/A</t>
        </is>
      </c>
      <c r="L6707" t="inlineStr">
        <is>
          <t>Sales Support, MS Office, Communication, Bán Hàng, Chăm Sóc Khách Hàng</t>
        </is>
      </c>
      <c r="M6707" t="inlineStr">
        <is>
          <t>Bonus, Healthcare Plan, Awards</t>
        </is>
      </c>
      <c r="N6707" s="8">
        <f>HYPERLINK("https://www.vietnamworks.com/sales-assistant-english-or-chinese-speaking-2017677-jv","Xem chi tiết")</f>
        <v/>
      </c>
    </row>
    <row r="6708">
      <c r="B6708" s="9" t="n">
        <v>6706</v>
      </c>
      <c r="C6708" s="10" t="inlineStr">
        <is>
          <t>Leader Marketing</t>
        </is>
      </c>
      <c r="D6708" s="10" t="inlineStr">
        <is>
          <t>Công Ty Cổ Phần Bất Động Sản Dầu Khí Việt Nam PV - SSG</t>
        </is>
      </c>
      <c r="E6708" s="10" t="inlineStr">
        <is>
          <t>17tr-20tr ₫/tháng</t>
        </is>
      </c>
      <c r="F6708" s="10" t="inlineStr">
        <is>
          <t>Hà Nội</t>
        </is>
      </c>
      <c r="G6708" s="10" t="inlineStr">
        <is>
          <t>Nhân viên</t>
        </is>
      </c>
      <c r="H6708" s="10" t="inlineStr">
        <is>
          <t>03/03/2026</t>
        </is>
      </c>
      <c r="I6708" s="10" t="inlineStr">
        <is>
          <t>02/04/2026</t>
        </is>
      </c>
      <c r="J6708" s="10" t="inlineStr">
        <is>
          <t>17/03/2026</t>
        </is>
      </c>
      <c r="K6708" s="10" t="inlineStr">
        <is>
          <t>N/A</t>
        </is>
      </c>
      <c r="L6708" s="10" t="inlineStr">
        <is>
          <t>Brand Development, Digital Marketing, Market Research, Marketing Strategy, Phát Triển Bất Động Sản</t>
        </is>
      </c>
      <c r="M6708" s="10" t="inlineStr">
        <is>
          <t>Bonus</t>
        </is>
      </c>
      <c r="N6708" s="11">
        <f>HYPERLINK("https://www.vietnamworks.com/leader-marketing--2017684-jv","Xem chi tiết")</f>
        <v/>
      </c>
      <c r="O6708" s="10" t="n"/>
    </row>
    <row r="6709">
      <c r="B6709" s="7" t="n">
        <v>6707</v>
      </c>
      <c r="C6709" t="inlineStr">
        <is>
          <t>C&amp;B Officer</t>
        </is>
      </c>
      <c r="D6709" t="inlineStr">
        <is>
          <t>Molex Vietnam Co., Ltd.</t>
        </is>
      </c>
      <c r="E6709" t="inlineStr">
        <is>
          <t>$$ 700-1,000 /tháng</t>
        </is>
      </c>
      <c r="F6709" t="inlineStr">
        <is>
          <t>Hưng Yên</t>
        </is>
      </c>
      <c r="G6709" t="inlineStr">
        <is>
          <t>Nhân viên</t>
        </is>
      </c>
      <c r="H6709" t="inlineStr">
        <is>
          <t>03/03/2026</t>
        </is>
      </c>
      <c r="I6709" t="inlineStr">
        <is>
          <t>02/04/2026</t>
        </is>
      </c>
      <c r="J6709" t="inlineStr">
        <is>
          <t>17/03/2026</t>
        </is>
      </c>
      <c r="K6709" t="inlineStr">
        <is>
          <t>N/A</t>
        </is>
      </c>
      <c r="L6709" t="inlineStr">
        <is>
          <t>Compensation &amp; Benefits, Good English Skills, Knowledge of Employment Law, MS Excel, Organizational skills</t>
        </is>
      </c>
      <c r="M6709" t="inlineStr">
        <is>
          <t>Bonus, Healthcare Plan, Paid Leave, Transportation, Others</t>
        </is>
      </c>
      <c r="N6709" s="8">
        <f>HYPERLINK("https://www.vietnamworks.com/candb-officer-2017681-jv","Xem chi tiết")</f>
        <v/>
      </c>
    </row>
    <row r="6710">
      <c r="B6710" s="9" t="n">
        <v>6708</v>
      </c>
      <c r="C6710" s="10" t="inlineStr">
        <is>
          <t>Phó Phòng Nhân Sự (Phát Triển Tổ Chức &amp; Hiệu Suất)</t>
        </is>
      </c>
      <c r="D6710" s="10" t="inlineStr">
        <is>
          <t>IIG VIỆT NAM</t>
        </is>
      </c>
      <c r="E6710" s="10" t="inlineStr">
        <is>
          <t>$$ 1,200-1,500 /tháng</t>
        </is>
      </c>
      <c r="F6710" s="10" t="inlineStr">
        <is>
          <t>Hà Nội</t>
        </is>
      </c>
      <c r="G6710" s="10" t="inlineStr">
        <is>
          <t>Trưởng phòng</t>
        </is>
      </c>
      <c r="H6710" s="10" t="inlineStr">
        <is>
          <t>03/03/2026</t>
        </is>
      </c>
      <c r="I6710" s="10" t="inlineStr">
        <is>
          <t>02/04/2026</t>
        </is>
      </c>
      <c r="J6710" s="10" t="inlineStr">
        <is>
          <t>17/03/2026</t>
        </is>
      </c>
      <c r="K6710" s="10" t="inlineStr">
        <is>
          <t>N/A</t>
        </is>
      </c>
      <c r="L6710" s="10" t="inlineStr">
        <is>
          <t>Quản Trị Hiệu Suất, Organizational Development, Đào Tạo và Phát Triển, Thiết Kế Tổ Chức, Hoạch Định Chiến Lược Nhân Sự</t>
        </is>
      </c>
      <c r="M6710" s="10" t="inlineStr">
        <is>
          <t>Bonus, Healthcare Plan, Paid Leave</t>
        </is>
      </c>
      <c r="N6710" s="11">
        <f>HYPERLINK("https://www.vietnamworks.com/pho-phong-nhan-su-phat-trien-to-chuc-hieu-suat-2017695-jv","Xem chi tiết")</f>
        <v/>
      </c>
      <c r="O6710" s="10" t="n"/>
    </row>
    <row r="6711">
      <c r="B6711" s="7" t="n">
        <v>6709</v>
      </c>
      <c r="C6711" t="inlineStr">
        <is>
          <t>Kỹ Sư Xây Dựng (Từ 18-30Tr/tháng)</t>
        </is>
      </c>
      <c r="D6711" t="inlineStr">
        <is>
          <t>Công ty TNHH Công nghệ Nguyên Lộc</t>
        </is>
      </c>
      <c r="E6711" t="inlineStr">
        <is>
          <t>18tr-30tr ₫/tháng</t>
        </is>
      </c>
      <c r="F6711" t="inlineStr">
        <is>
          <t>Hà Nội</t>
        </is>
      </c>
      <c r="G6711" t="inlineStr">
        <is>
          <t>Nhân viên</t>
        </is>
      </c>
      <c r="H6711" t="inlineStr">
        <is>
          <t>03/03/2026</t>
        </is>
      </c>
      <c r="I6711" t="inlineStr">
        <is>
          <t>02/04/2026</t>
        </is>
      </c>
      <c r="J6711" t="inlineStr">
        <is>
          <t>17/03/2026</t>
        </is>
      </c>
      <c r="K6711" t="inlineStr">
        <is>
          <t>N/A</t>
        </is>
      </c>
      <c r="L6711" t="inlineStr">
        <is>
          <t>Giám Sát Thi Công, Dự Toán Xây Dựng, Làm Hồ Sơ Thanh Quyết Toán, Bóc Tách Khối Lượng, Hồ Sơ Hoàn Công</t>
        </is>
      </c>
      <c r="M6711" t="inlineStr">
        <is>
          <t>Bonus, Healthcare Plan, Training</t>
        </is>
      </c>
      <c r="N6711" s="8">
        <f>HYPERLINK("https://www.vietnamworks.com/ky-su-xay-dung-tu-18-30tr-thang-2017696-jv","Xem chi tiết")</f>
        <v/>
      </c>
    </row>
    <row r="6712">
      <c r="B6712" s="9" t="n">
        <v>6710</v>
      </c>
      <c r="C6712" s="10" t="inlineStr">
        <is>
          <t>Chuyên Viên An Toàn - Phòng Cháy Chữa Cháy</t>
        </is>
      </c>
      <c r="D6712" s="10" t="inlineStr">
        <is>
          <t>Tổng Công Ty Phát Điện 3 - EVNGENCO3</t>
        </is>
      </c>
      <c r="E6712" s="10" t="inlineStr">
        <is>
          <t>Thương lượng</t>
        </is>
      </c>
      <c r="F6712" s="10" t="inlineStr">
        <is>
          <t>Hồ Chí Minh</t>
        </is>
      </c>
      <c r="G6712" s="10" t="inlineStr">
        <is>
          <t>Nhân viên</t>
        </is>
      </c>
      <c r="H6712" s="10" t="inlineStr">
        <is>
          <t>03/03/2026</t>
        </is>
      </c>
      <c r="I6712" s="10" t="inlineStr">
        <is>
          <t>02/04/2026</t>
        </is>
      </c>
      <c r="J6712" s="10" t="inlineStr">
        <is>
          <t>17/03/2026</t>
        </is>
      </c>
      <c r="K6712" s="10" t="inlineStr">
        <is>
          <t>N/A</t>
        </is>
      </c>
      <c r="L6712" s="10" t="inlineStr">
        <is>
          <t>An Toàn Điện, An Toàn Lao Động, Phòng Cháy Chữa Cháy, Luật</t>
        </is>
      </c>
      <c r="M6712" s="10" t="inlineStr">
        <is>
          <t>Bonus, Training, Others</t>
        </is>
      </c>
      <c r="N6712" s="11">
        <f>HYPERLINK("https://www.vietnamworks.com/chuyen-vien-an-toan-phong-chay-chua-chay-2017697-jv","Xem chi tiết")</f>
        <v/>
      </c>
      <c r="O6712" s="10" t="n"/>
    </row>
    <row r="6713">
      <c r="B6713" s="7" t="n">
        <v>6711</v>
      </c>
      <c r="C6713" t="inlineStr">
        <is>
          <t>Tuyển Gấp 10 Sales Xuất Khẩu, Thu Nhập Hấp Dẫn, Hoa Hồng Cao Nhất Ngành Lên Tới 30%</t>
        </is>
      </c>
      <c r="D6713" t="inlineStr">
        <is>
          <t>CÔNG TY CỔ PHẦN GREEN ATLANTIC</t>
        </is>
      </c>
      <c r="E6713" t="inlineStr">
        <is>
          <t>8tr-15tr ₫/tháng</t>
        </is>
      </c>
      <c r="F6713" t="inlineStr">
        <is>
          <t>Hà Nội</t>
        </is>
      </c>
      <c r="G6713" t="inlineStr">
        <is>
          <t>Nhân viên</t>
        </is>
      </c>
      <c r="H6713" t="inlineStr">
        <is>
          <t>03/03/2026</t>
        </is>
      </c>
      <c r="I6713" t="inlineStr">
        <is>
          <t>02/04/2026</t>
        </is>
      </c>
      <c r="J6713" t="inlineStr">
        <is>
          <t>17/03/2026</t>
        </is>
      </c>
      <c r="K6713" t="inlineStr">
        <is>
          <t>N/A</t>
        </is>
      </c>
      <c r="L6713" t="inlineStr">
        <is>
          <t>Kinh Doanh Xuất Nhập Khẩu, Phát Triển Thị Trường, Theo Dõi Đơn Hàng, Tìm Kiếm Khách Hàng, Export Sales</t>
        </is>
      </c>
      <c r="M6713" t="inlineStr">
        <is>
          <t>Bonus, Healthcare Plan, Training, Others</t>
        </is>
      </c>
      <c r="N6713" s="8">
        <f>HYPERLINK("https://www.vietnamworks.com/tuyen-gap-10-sales-xuat-khau-thu-nhap-hap-dan-hoa-hong-cao-nhat-nganh-len-toi-30percent-2017692-jv","Xem chi tiết")</f>
        <v/>
      </c>
    </row>
    <row r="6714">
      <c r="B6714" s="9" t="n">
        <v>6712</v>
      </c>
      <c r="C6714" s="10" t="inlineStr">
        <is>
          <t>Financial Controller</t>
        </is>
      </c>
      <c r="D6714" s="10" t="inlineStr">
        <is>
          <t>Công Ty Cổ Phần Sữa Việt Nam (Vinamilk)</t>
        </is>
      </c>
      <c r="E6714" s="10" t="inlineStr">
        <is>
          <t>Thương lượng</t>
        </is>
      </c>
      <c r="F6714" s="10" t="inlineStr">
        <is>
          <t>Hồ Chí Minh</t>
        </is>
      </c>
      <c r="G6714" s="10" t="inlineStr">
        <is>
          <t>Nhân viên</t>
        </is>
      </c>
      <c r="H6714" s="10" t="inlineStr">
        <is>
          <t>03/03/2026</t>
        </is>
      </c>
      <c r="I6714" s="10" t="inlineStr">
        <is>
          <t>02/04/2026</t>
        </is>
      </c>
      <c r="J6714" s="10" t="inlineStr">
        <is>
          <t>17/03/2026</t>
        </is>
      </c>
      <c r="K6714" s="10" t="inlineStr">
        <is>
          <t>N/A</t>
        </is>
      </c>
      <c r="L6714" s="10" t="inlineStr">
        <is>
          <t>Budgeting, E-commerce, Financial Analysis, Financial Planning, Interpersonal Skills</t>
        </is>
      </c>
      <c r="M6714" s="10" t="inlineStr">
        <is>
          <t>Bonus, Healthcare Plan, Training</t>
        </is>
      </c>
      <c r="N6714" s="11">
        <f>HYPERLINK("https://www.vietnamworks.com/financial-controller-2017675-jv","Xem chi tiết")</f>
        <v/>
      </c>
      <c r="O6714" s="10" t="n"/>
    </row>
    <row r="6715">
      <c r="B6715" s="7" t="n">
        <v>6713</v>
      </c>
      <c r="C6715" t="inlineStr">
        <is>
          <t>HR Staff (Recruitment &amp; C&amp;B)</t>
        </is>
      </c>
      <c r="D6715" t="inlineStr">
        <is>
          <t>Vina Eco Board Co., Ltd - Sumitomo Forestry Group</t>
        </is>
      </c>
      <c r="E6715" t="inlineStr">
        <is>
          <t>Thương lượng</t>
        </is>
      </c>
      <c r="F6715" t="inlineStr">
        <is>
          <t>Long An</t>
        </is>
      </c>
      <c r="G6715" t="inlineStr">
        <is>
          <t>Nhân viên</t>
        </is>
      </c>
      <c r="H6715" t="inlineStr">
        <is>
          <t>03/03/2026</t>
        </is>
      </c>
      <c r="I6715" t="inlineStr">
        <is>
          <t>02/04/2026</t>
        </is>
      </c>
      <c r="J6715" t="inlineStr">
        <is>
          <t>17/03/2026</t>
        </is>
      </c>
      <c r="K6715" t="inlineStr">
        <is>
          <t>N/A</t>
        </is>
      </c>
      <c r="L6715" t="inlineStr">
        <is>
          <t>HR, Tuyển Dụng, Recruitment, Nhân Sự, C&amp;B</t>
        </is>
      </c>
      <c r="M6715" t="inlineStr">
        <is>
          <t>Bonus, Healthcare Plan, Transportation</t>
        </is>
      </c>
      <c r="N6715" s="8">
        <f>HYPERLINK("https://www.vietnamworks.com/hr-staff-recruitment-c-b-2017700-jv","Xem chi tiết")</f>
        <v/>
      </c>
    </row>
    <row r="6716">
      <c r="B6716" s="9" t="n">
        <v>6714</v>
      </c>
      <c r="C6716" s="10" t="inlineStr">
        <is>
          <t>Kỹ Sư/nhân Viên Cơ Điện Đèn</t>
        </is>
      </c>
      <c r="D6716" s="10" t="inlineStr">
        <is>
          <t>Công Ty Cổ Phần Tập Đoàn Masterise</t>
        </is>
      </c>
      <c r="E6716" s="10" t="inlineStr">
        <is>
          <t>Thương lượng</t>
        </is>
      </c>
      <c r="F6716" s="10" t="inlineStr">
        <is>
          <t>Bắc Ninh</t>
        </is>
      </c>
      <c r="G6716" s="10" t="inlineStr">
        <is>
          <t>Nhân viên</t>
        </is>
      </c>
      <c r="H6716" s="10" t="inlineStr">
        <is>
          <t>03/03/2026</t>
        </is>
      </c>
      <c r="I6716" s="10" t="inlineStr">
        <is>
          <t>02/04/2026</t>
        </is>
      </c>
      <c r="J6716" s="10" t="inlineStr">
        <is>
          <t>17/03/2026</t>
        </is>
      </c>
      <c r="K6716" s="10" t="inlineStr">
        <is>
          <t>N/A</t>
        </is>
      </c>
      <c r="L6716" s="10" t="inlineStr">
        <is>
          <t>Điện Công Nghiệp, Cơ Điện, Điện</t>
        </is>
      </c>
      <c r="M6716" s="10" t="inlineStr">
        <is>
          <t>Bonus, Healthcare Plan</t>
        </is>
      </c>
      <c r="N6716" s="11">
        <f>HYPERLINK("https://www.vietnamworks.com/ky-su-nhan-vien-co-dien-den-2017701-jv","Xem chi tiết")</f>
        <v/>
      </c>
      <c r="O6716" s="10" t="n"/>
    </row>
    <row r="6717">
      <c r="B6717" s="7" t="n">
        <v>6715</v>
      </c>
      <c r="C6717" t="inlineStr">
        <is>
          <t>[HCM] Training Coordinator</t>
        </is>
      </c>
      <c r="D6717" t="inlineStr">
        <is>
          <t>Công Ty TNHH Aeon Việt Nam</t>
        </is>
      </c>
      <c r="E6717" t="inlineStr">
        <is>
          <t>Thương lượng</t>
        </is>
      </c>
      <c r="F6717" t="inlineStr">
        <is>
          <t>Hồ Chí Minh</t>
        </is>
      </c>
      <c r="G6717" t="inlineStr">
        <is>
          <t>Nhân viên</t>
        </is>
      </c>
      <c r="H6717" t="inlineStr">
        <is>
          <t>03/03/2026</t>
        </is>
      </c>
      <c r="I6717" t="inlineStr">
        <is>
          <t>02/04/2026</t>
        </is>
      </c>
      <c r="J6717" t="inlineStr">
        <is>
          <t>17/03/2026</t>
        </is>
      </c>
      <c r="K6717" t="inlineStr">
        <is>
          <t>N/A</t>
        </is>
      </c>
      <c r="L6717" t="inlineStr">
        <is>
          <t>Đào Tạo, Training, Training &amp; Development</t>
        </is>
      </c>
      <c r="M6717" t="inlineStr">
        <is>
          <t>Bonus, Healthcare Plan, Training</t>
        </is>
      </c>
      <c r="N6717" s="8">
        <f>HYPERLINK("https://www.vietnamworks.com/hcm-training-coordinator-2017708-jv","Xem chi tiết")</f>
        <v/>
      </c>
    </row>
    <row r="6718">
      <c r="B6718" s="9" t="n">
        <v>6716</v>
      </c>
      <c r="C6718" s="10" t="inlineStr">
        <is>
          <t>Lễ Tân - Receptionist - Khối Hành Chính (HO26.36)</t>
        </is>
      </c>
      <c r="D6718" s="10" t="inlineStr">
        <is>
          <t>NGÂN HÀNG TMCP QUÂN ĐỘI – MBBANK</t>
        </is>
      </c>
      <c r="E6718" s="10" t="inlineStr">
        <is>
          <t>Từ 37.4tr ₫/tháng</t>
        </is>
      </c>
      <c r="F6718" s="10" t="inlineStr">
        <is>
          <t>Hà Nội</t>
        </is>
      </c>
      <c r="G6718" s="10" t="inlineStr">
        <is>
          <t>Mới Tốt Nghiệp</t>
        </is>
      </c>
      <c r="H6718" s="10" t="inlineStr">
        <is>
          <t>03/03/2026</t>
        </is>
      </c>
      <c r="I6718" s="10" t="inlineStr">
        <is>
          <t>02/04/2026</t>
        </is>
      </c>
      <c r="J6718" s="10" t="inlineStr">
        <is>
          <t>17/03/2026</t>
        </is>
      </c>
      <c r="K6718" s="10" t="inlineStr">
        <is>
          <t>N/A</t>
        </is>
      </c>
      <c r="L6718" s="10" t="inlineStr">
        <is>
          <t>Giao Tiếp, Guest Welcoming, Lễ Tân, Quản Lý Tài Sản, TOEIC 500</t>
        </is>
      </c>
      <c r="M6718" s="10" t="inlineStr">
        <is>
          <t>Bonus, Laptop, Mobile, Travel Opportunities, Team Activities, Transportation, Canteen, Vouchers, Kindergarten</t>
        </is>
      </c>
      <c r="N6718" s="11">
        <f>HYPERLINK("https://www.vietnamworks.com/le-tan-receptionist-khoi-hanh-chinh-ho26-36-2017698-jv","Xem chi tiết")</f>
        <v/>
      </c>
      <c r="O6718" s="10" t="n"/>
    </row>
    <row r="6719">
      <c r="B6719" s="7" t="n">
        <v>6717</v>
      </c>
      <c r="C6719" t="inlineStr">
        <is>
          <t>Chuyên Viên Kế Hoạch Và Báo Cáo Quản Trị - Planning &amp; Management Reporting Specialist (Retail Banking) - Khối Khách Hàng Cá Nhân (HO26.64)</t>
        </is>
      </c>
      <c r="D6719" t="inlineStr">
        <is>
          <t>NGÂN HÀNG TMCP QUÂN ĐỘI – MBBANK</t>
        </is>
      </c>
      <c r="E6719" t="inlineStr">
        <is>
          <t>Từ 37.4tr ₫/tháng</t>
        </is>
      </c>
      <c r="F6719" t="inlineStr">
        <is>
          <t>Hà Nội</t>
        </is>
      </c>
      <c r="G6719" t="inlineStr">
        <is>
          <t>Nhân viên</t>
        </is>
      </c>
      <c r="H6719" t="inlineStr">
        <is>
          <t>03/03/2026</t>
        </is>
      </c>
      <c r="I6719" t="inlineStr">
        <is>
          <t>02/04/2026</t>
        </is>
      </c>
      <c r="J6719" t="inlineStr">
        <is>
          <t>17/03/2026</t>
        </is>
      </c>
      <c r="K6719" t="inlineStr">
        <is>
          <t>N/A</t>
        </is>
      </c>
      <c r="L6719" t="inlineStr">
        <is>
          <t>Business Planning, Data Design, Performance Management, Retail Banking, Workforce Performance Management</t>
        </is>
      </c>
      <c r="M6719" t="inlineStr">
        <is>
          <t>Bonus, Laptop, Mobile, Travel Opportunities, Team Activities, Transportation, Canteen, Vouchers, Kindergarten</t>
        </is>
      </c>
      <c r="N6719" s="8">
        <f>HYPERLINK("https://www.vietnamworks.com/chuyen-vien-ke-hoach-va-bao-cao-quan-tri-planning-and-management-reporting-specialist-retail-banking-khoi-khach-hang-ca-nhan-ho26-64-2017706-jv","Xem chi tiết")</f>
        <v/>
      </c>
    </row>
    <row r="6720">
      <c r="B6720" s="9" t="n">
        <v>6718</v>
      </c>
      <c r="C6720" s="10" t="inlineStr">
        <is>
          <t>Chuyên Viên Kinh Doanh Xuất Khẩu Export Sales Executive</t>
        </is>
      </c>
      <c r="D6720" s="10" t="inlineStr">
        <is>
          <t>RICE &amp; MORE CO., LTD</t>
        </is>
      </c>
      <c r="E6720" s="10" t="inlineStr">
        <is>
          <t>Thương lượng</t>
        </is>
      </c>
      <c r="F6720" s="10" t="inlineStr">
        <is>
          <t>Hồ Chí Minh</t>
        </is>
      </c>
      <c r="G6720" s="10" t="inlineStr">
        <is>
          <t>Nhân viên</t>
        </is>
      </c>
      <c r="H6720" s="10" t="inlineStr">
        <is>
          <t>03/03/2026</t>
        </is>
      </c>
      <c r="I6720" s="10" t="inlineStr">
        <is>
          <t>02/04/2026</t>
        </is>
      </c>
      <c r="J6720" s="10" t="inlineStr">
        <is>
          <t>17/03/2026</t>
        </is>
      </c>
      <c r="K6720" s="10" t="inlineStr">
        <is>
          <t>N/A</t>
        </is>
      </c>
      <c r="L6720" s="10" t="inlineStr">
        <is>
          <t>Đàm Phán, Chăm Sóc Khách Hàng, Quản Lý Đơn Hàng, Kinh Doanh Xuất Nhập Khẩu, Xuất Nhập Khẩu</t>
        </is>
      </c>
      <c r="M6720" s="10" t="inlineStr">
        <is>
          <t>Bonus, Healthcare Plan, Travel Opportunities, Others</t>
        </is>
      </c>
      <c r="N6720" s="11">
        <f>HYPERLINK("https://www.vietnamworks.com/chuyen-vien-kinh-doanh-xuat-khau-export-sales-executive-2017710-jv","Xem chi tiết")</f>
        <v/>
      </c>
      <c r="O6720" s="10" t="n"/>
    </row>
    <row r="6721">
      <c r="B6721" s="7" t="n">
        <v>6719</v>
      </c>
      <c r="C6721" t="inlineStr">
        <is>
          <t>Giáo viên Tiếng Anh Tiểu Học/THCS</t>
        </is>
      </c>
      <c r="D6721" t="inlineStr">
        <is>
          <t>Trường Phổ Thông Song Ngữ Liên Cấp Wellspring Hà Nội</t>
        </is>
      </c>
      <c r="E6721" t="inlineStr">
        <is>
          <t>$$ 500-700 /tháng</t>
        </is>
      </c>
      <c r="F6721" t="inlineStr">
        <is>
          <t>Hà Nội</t>
        </is>
      </c>
      <c r="G6721" t="inlineStr">
        <is>
          <t>Mới Tốt Nghiệp</t>
        </is>
      </c>
      <c r="H6721" t="inlineStr">
        <is>
          <t>03/03/2026</t>
        </is>
      </c>
      <c r="I6721" t="inlineStr">
        <is>
          <t>02/04/2026</t>
        </is>
      </c>
      <c r="J6721" t="inlineStr">
        <is>
          <t>17/03/2026</t>
        </is>
      </c>
      <c r="K6721" t="inlineStr">
        <is>
          <t>N/A</t>
        </is>
      </c>
      <c r="L6721" t="inlineStr">
        <is>
          <t>Giảng Dạy Tiếng Anh, AI, Thiết Kế Giáo Án</t>
        </is>
      </c>
      <c r="M6721" t="inlineStr">
        <is>
          <t>Bonus, Travel Opportunities, Canteen</t>
        </is>
      </c>
      <c r="N6721" s="8">
        <f>HYPERLINK("https://www.vietnamworks.com/giao-vien-tieng-anh-tieu-hocthcs-2017719-jv","Xem chi tiết")</f>
        <v/>
      </c>
    </row>
    <row r="6722">
      <c r="B6722" s="9" t="n">
        <v>6720</v>
      </c>
      <c r="C6722" s="10" t="inlineStr">
        <is>
          <t xml:space="preserve">Trợ Lý Ban Lãnh Đạo (Mảng Vận Hành) </t>
        </is>
      </c>
      <c r="D6722" s="10" t="inlineStr">
        <is>
          <t>IIG VIỆT NAM</t>
        </is>
      </c>
      <c r="E6722" s="10" t="inlineStr">
        <is>
          <t>$$ 1,500-2,000 /tháng</t>
        </is>
      </c>
      <c r="F6722" s="10" t="inlineStr">
        <is>
          <t>Hà Nội</t>
        </is>
      </c>
      <c r="G6722" s="10" t="inlineStr">
        <is>
          <t>Trưởng phòng</t>
        </is>
      </c>
      <c r="H6722" s="10" t="inlineStr">
        <is>
          <t>03/03/2026</t>
        </is>
      </c>
      <c r="I6722" s="10" t="inlineStr">
        <is>
          <t>02/04/2026</t>
        </is>
      </c>
      <c r="J6722" s="10" t="inlineStr">
        <is>
          <t>17/03/2026</t>
        </is>
      </c>
      <c r="K6722" s="10" t="inlineStr">
        <is>
          <t>N/A</t>
        </is>
      </c>
      <c r="L6722" s="10" t="inlineStr">
        <is>
          <t>Kiểm Soát Rủi Ro, Quản Trị Doanh Nghiệp, Quản Trị Nhân Sự, Vận Hành Hệ Thống, Xây Dựng Quy Trình</t>
        </is>
      </c>
      <c r="M6722" s="10" t="inlineStr">
        <is>
          <t>Bonus, Healthcare Plan, Training, Team Activities, Others</t>
        </is>
      </c>
      <c r="N6722" s="11">
        <f>HYPERLINK("https://www.vietnamworks.com/tro-ly-ban-lanh-djao-mang-van-hanh-2017716-jv","Xem chi tiết")</f>
        <v/>
      </c>
      <c r="O6722" s="10" t="n"/>
    </row>
    <row r="6723">
      <c r="B6723" s="7" t="n">
        <v>6721</v>
      </c>
      <c r="C6723" t="inlineStr">
        <is>
          <t>Business Risk Services - Experienced Associate (HCM Office)</t>
        </is>
      </c>
      <c r="D6723" t="inlineStr">
        <is>
          <t>Grant Thornton (Vietnam) Limited</t>
        </is>
      </c>
      <c r="E6723" t="inlineStr">
        <is>
          <t>Thương lượng</t>
        </is>
      </c>
      <c r="F6723" t="inlineStr">
        <is>
          <t>Hồ Chí Minh</t>
        </is>
      </c>
      <c r="G6723" t="inlineStr">
        <is>
          <t>Nhân viên</t>
        </is>
      </c>
      <c r="H6723" t="inlineStr">
        <is>
          <t>03/03/2026</t>
        </is>
      </c>
      <c r="I6723" t="inlineStr">
        <is>
          <t>02/04/2026</t>
        </is>
      </c>
      <c r="J6723" t="inlineStr">
        <is>
          <t>17/03/2026</t>
        </is>
      </c>
      <c r="K6723" t="inlineStr">
        <is>
          <t>N/A</t>
        </is>
      </c>
      <c r="L6723" t="inlineStr">
        <is>
          <t>Accounting, Internal Audit, Internal Control, Legal Risk Management, Risk Compliance</t>
        </is>
      </c>
      <c r="M6723" t="inlineStr">
        <is>
          <t>Healthcare Plan, Training, Travel Opportunities</t>
        </is>
      </c>
      <c r="N6723" s="8">
        <f>HYPERLINK("https://www.vietnamworks.com/business-risk-services-experienced-associate-hcm-office-2017715-jv","Xem chi tiết")</f>
        <v/>
      </c>
    </row>
    <row r="6724">
      <c r="B6724" s="9" t="n">
        <v>6722</v>
      </c>
      <c r="C6724" s="10" t="inlineStr">
        <is>
          <t>Nhân Viên Kinh Doanh Thiết Bị</t>
        </is>
      </c>
      <c r="D6724" s="10" t="inlineStr">
        <is>
          <t>Công Ty TNHH Thương Mại Dịch Vụ Kỹ Thuật Minh Khang</t>
        </is>
      </c>
      <c r="E6724" s="10" t="inlineStr">
        <is>
          <t>Thương lượng</t>
        </is>
      </c>
      <c r="F6724" s="10" t="inlineStr">
        <is>
          <t>Hồ Chí Minh, Hà Nội</t>
        </is>
      </c>
      <c r="G6724" s="10" t="inlineStr">
        <is>
          <t>Nhân viên</t>
        </is>
      </c>
      <c r="H6724" s="10" t="inlineStr">
        <is>
          <t>03/03/2026</t>
        </is>
      </c>
      <c r="I6724" s="10" t="inlineStr">
        <is>
          <t>02/04/2026</t>
        </is>
      </c>
      <c r="J6724" s="10" t="inlineStr">
        <is>
          <t>17/03/2026</t>
        </is>
      </c>
      <c r="K6724" s="10" t="inlineStr">
        <is>
          <t>N/A</t>
        </is>
      </c>
      <c r="L6724" s="10" t="inlineStr">
        <is>
          <t>Bán Hàng Kỹ Thuật, Hoá Học Vật Liệu, Hóa Phân Tích, Công Nghệ Sinh Học, Y sinh</t>
        </is>
      </c>
      <c r="M6724" s="10" t="inlineStr">
        <is>
          <t>Bonus, Healthcare Plan, Training</t>
        </is>
      </c>
      <c r="N6724" s="11">
        <f>HYPERLINK("https://www.vietnamworks.com/nhan-vien-kinh-doanh-thiet-bi-2017709-jv","Xem chi tiết")</f>
        <v/>
      </c>
      <c r="O6724" s="10" t="n"/>
    </row>
    <row r="6725">
      <c r="B6725" s="7" t="n">
        <v>6723</v>
      </c>
      <c r="C6725" t="inlineStr">
        <is>
          <t>Chuyên Viên Kinh Doanh Thiết Bị Cơ Khí - 1 Năm Kinh Nghiệm - Thu Nhập Hấp Dẫn - Tại Hà Đông, Hà Nội</t>
        </is>
      </c>
      <c r="D6725" t="inlineStr">
        <is>
          <t>CÔNG TY CỔ PHẦN VẬT TƯ CÔNG NGHIỆP Á CHÂU</t>
        </is>
      </c>
      <c r="E6725" t="inlineStr">
        <is>
          <t>200tr-700tr ₫/năm</t>
        </is>
      </c>
      <c r="F6725" t="inlineStr">
        <is>
          <t>Hà Nội</t>
        </is>
      </c>
      <c r="G6725" t="inlineStr">
        <is>
          <t>Nhân viên</t>
        </is>
      </c>
      <c r="H6725" t="inlineStr">
        <is>
          <t>03/03/2026</t>
        </is>
      </c>
      <c r="I6725" t="inlineStr">
        <is>
          <t>02/04/2026</t>
        </is>
      </c>
      <c r="J6725" t="inlineStr">
        <is>
          <t>17/03/2026</t>
        </is>
      </c>
      <c r="K6725" t="inlineStr">
        <is>
          <t>N/A</t>
        </is>
      </c>
      <c r="L6725" t="inlineStr">
        <is>
          <t>Tiếng Anh, Tìm Kiếm Khách Hàng, Kinh Doanh Kỹ Thuật, Thiết Bị Công Nghiệp, Tư Vấn Dịch Vụ</t>
        </is>
      </c>
      <c r="M6725" t="inlineStr">
        <is>
          <t>Bonus, Healthcare Plan, Awards</t>
        </is>
      </c>
      <c r="N6725" s="8">
        <f>HYPERLINK("https://www.vietnamworks.com/chuyen-vien-kinh-doanh-thiet-bi-co-khi-1-nam-kinh-nghiem-thu-nhap-hap-dan-tai-ha-dong-ha-noi-2017711-jv","Xem chi tiết")</f>
        <v/>
      </c>
    </row>
    <row r="6726">
      <c r="B6726" s="9" t="n">
        <v>6724</v>
      </c>
      <c r="C6726" s="10" t="inlineStr">
        <is>
          <t>Giám Đốc Sản Phẩm Khách Hàng Cá Nhân - Retail Product Director - Ban Sản Phẩm Và Marketing (HO26.66)</t>
        </is>
      </c>
      <c r="D6726" s="10" t="inlineStr">
        <is>
          <t>NGÂN HÀNG TMCP QUÂN ĐỘI – MBBANK</t>
        </is>
      </c>
      <c r="E6726" s="10" t="inlineStr">
        <is>
          <t>Từ 37.4tr ₫/tháng</t>
        </is>
      </c>
      <c r="F6726" s="10" t="inlineStr">
        <is>
          <t>Hà Nội</t>
        </is>
      </c>
      <c r="G6726" s="10" t="inlineStr">
        <is>
          <t>Giám Đốc và Cấp Cao Hơn</t>
        </is>
      </c>
      <c r="H6726" s="10" t="inlineStr">
        <is>
          <t>03/03/2026</t>
        </is>
      </c>
      <c r="I6726" s="10" t="inlineStr">
        <is>
          <t>02/04/2026</t>
        </is>
      </c>
      <c r="J6726" s="10" t="inlineStr">
        <is>
          <t>17/03/2026</t>
        </is>
      </c>
      <c r="K6726" s="10" t="inlineStr">
        <is>
          <t>N/A</t>
        </is>
      </c>
      <c r="L6726" s="10" t="inlineStr">
        <is>
          <t>Retail Banking, Customer Experiences, Market Research, Product Development &amp; Design, Risk Management</t>
        </is>
      </c>
      <c r="M6726" s="10" t="inlineStr">
        <is>
          <t>Bonus, Laptop, Mobile, Travel Opportunities, Team Activities, Transportation, Canteen, Vouchers, Kindergarten</t>
        </is>
      </c>
      <c r="N6726" s="11">
        <f>HYPERLINK("https://www.vietnamworks.com/giam-djoc-san-pham-khach-hang-ca-nhan-retail-product-director-ban-san-pham-va-marketing-ho26-66-2017722-jv","Xem chi tiết")</f>
        <v/>
      </c>
      <c r="O6726" s="10" t="n"/>
    </row>
    <row r="6727">
      <c r="B6727" s="7" t="n">
        <v>6725</v>
      </c>
      <c r="C6727" t="inlineStr">
        <is>
          <t>Chuyên Viên - Phòng Hỗ Trợ Tín Dụng CIB &amp; FI - Khối Vận Hành (HO26.68)</t>
        </is>
      </c>
      <c r="D6727" t="inlineStr">
        <is>
          <t>NGÂN HÀNG TMCP QUÂN ĐỘI – MBBANK</t>
        </is>
      </c>
      <c r="E6727" t="inlineStr">
        <is>
          <t>Từ 37.4tr ₫/tháng</t>
        </is>
      </c>
      <c r="F6727" t="inlineStr">
        <is>
          <t>Hà Nội</t>
        </is>
      </c>
      <c r="G6727" t="inlineStr">
        <is>
          <t>Nhân viên</t>
        </is>
      </c>
      <c r="H6727" t="inlineStr">
        <is>
          <t>03/03/2026</t>
        </is>
      </c>
      <c r="I6727" t="inlineStr">
        <is>
          <t>02/04/2026</t>
        </is>
      </c>
      <c r="J6727" t="inlineStr">
        <is>
          <t>17/03/2026</t>
        </is>
      </c>
      <c r="K6727" t="inlineStr">
        <is>
          <t>N/A</t>
        </is>
      </c>
      <c r="L6727" t="inlineStr">
        <is>
          <t>Khách Hàng Doanh Nghiệp, Tín Dụng Doanh Nghiệp, Word &amp; Excel</t>
        </is>
      </c>
      <c r="M6727" t="inlineStr">
        <is>
          <t>Bonus, Laptop, Mobile, Travel Opportunities, Team Activities, Transportation, Canteen, Vouchers, Kindergarten</t>
        </is>
      </c>
      <c r="N6727" s="8">
        <f>HYPERLINK("https://www.vietnamworks.com/chuyen-vien-phong-ho-tro-tin-dung-cib-and-fi-khoi-van-hanh-ho26-68-2017737-jv","Xem chi tiết")</f>
        <v/>
      </c>
    </row>
    <row r="6728">
      <c r="B6728" s="9" t="n">
        <v>6726</v>
      </c>
      <c r="C6728" s="10" t="inlineStr">
        <is>
          <t>Nhân Viên Tổng Vụ</t>
        </is>
      </c>
      <c r="D6728" s="10" t="inlineStr">
        <is>
          <t>CÔNG TY TNHH EULSUNG AUTO PACK VIỆT NAM</t>
        </is>
      </c>
      <c r="E6728" s="10" t="inlineStr">
        <is>
          <t>Thương lượng</t>
        </is>
      </c>
      <c r="F6728" s="10" t="inlineStr">
        <is>
          <t>Hồ Chí Minh</t>
        </is>
      </c>
      <c r="G6728" s="10" t="inlineStr">
        <is>
          <t>Nhân viên</t>
        </is>
      </c>
      <c r="H6728" s="10" t="inlineStr">
        <is>
          <t>03/03/2026</t>
        </is>
      </c>
      <c r="I6728" s="10" t="inlineStr">
        <is>
          <t>02/04/2026</t>
        </is>
      </c>
      <c r="J6728" s="10" t="inlineStr">
        <is>
          <t>17/03/2026</t>
        </is>
      </c>
      <c r="K6728" s="10" t="inlineStr">
        <is>
          <t>N/A</t>
        </is>
      </c>
      <c r="L6728" s="10" t="inlineStr">
        <is>
          <t>Hành Chính Nhân Sự, Quản Lý Tài Sản, Tư Vấn Pháp Luật, Tuyển Dụng, Đào Tạo</t>
        </is>
      </c>
      <c r="M6728" s="10" t="inlineStr">
        <is>
          <t>Bonus, Healthcare Plan, Others</t>
        </is>
      </c>
      <c r="N6728" s="11">
        <f>HYPERLINK("https://www.vietnamworks.com/nhan-vien-tong-vu-2017725-jv","Xem chi tiết")</f>
        <v/>
      </c>
      <c r="O6728" s="10" t="n"/>
    </row>
    <row r="6729">
      <c r="B6729" s="7" t="n">
        <v>6727</v>
      </c>
      <c r="C6729" t="inlineStr">
        <is>
          <t>Chuyên Viên Quản Trị Nợ Khách Hàng Cá Nhân - Retail Debt Management Specialist - Khối Khách Hàng Cá Nhân (HO26.65)</t>
        </is>
      </c>
      <c r="D6729" t="inlineStr">
        <is>
          <t>NGÂN HÀNG TMCP QUÂN ĐỘI – MBBANK</t>
        </is>
      </c>
      <c r="E6729" t="inlineStr">
        <is>
          <t>Từ 37.4tr ₫/tháng</t>
        </is>
      </c>
      <c r="F6729" t="inlineStr">
        <is>
          <t>Hà Nội</t>
        </is>
      </c>
      <c r="G6729" t="inlineStr">
        <is>
          <t>Nhân viên</t>
        </is>
      </c>
      <c r="H6729" t="inlineStr">
        <is>
          <t>03/03/2026</t>
        </is>
      </c>
      <c r="I6729" t="inlineStr">
        <is>
          <t>02/04/2026</t>
        </is>
      </c>
      <c r="J6729" t="inlineStr">
        <is>
          <t>17/03/2026</t>
        </is>
      </c>
      <c r="K6729" t="inlineStr">
        <is>
          <t>N/A</t>
        </is>
      </c>
      <c r="L6729" t="inlineStr">
        <is>
          <t>Retail Banking, Credit Quality, Debt Management, Debt Recovery</t>
        </is>
      </c>
      <c r="M6729" t="inlineStr">
        <is>
          <t>Bonus, Laptop, Mobile, Travel Opportunities, Team Activities, Transportation, Canteen, Vouchers, Kindergarten</t>
        </is>
      </c>
      <c r="N6729" s="8">
        <f>HYPERLINK("https://www.vietnamworks.com/chuyen-vien-quan-tri-no-khach-hang-ca-nhan-retail-debt-management-specialist-khoi-khach-hang-ca-nhan-ho26-65-2017713-jv","Xem chi tiết")</f>
        <v/>
      </c>
    </row>
    <row r="6730">
      <c r="B6730" s="9" t="n">
        <v>6728</v>
      </c>
      <c r="C6730" s="10" t="inlineStr">
        <is>
          <t>Senior Brand &amp; Marcom Executive - Hanoi</t>
        </is>
      </c>
      <c r="D6730" s="10" t="inlineStr">
        <is>
          <t>Soilbuild Asset Management &amp; Service Company Limited</t>
        </is>
      </c>
      <c r="E6730" s="10" t="inlineStr">
        <is>
          <t>Thương lượng</t>
        </is>
      </c>
      <c r="F6730" s="10" t="inlineStr">
        <is>
          <t>Hà Nội</t>
        </is>
      </c>
      <c r="G6730" s="10" t="inlineStr">
        <is>
          <t>Nhân viên</t>
        </is>
      </c>
      <c r="H6730" s="10" t="inlineStr">
        <is>
          <t>03/03/2026</t>
        </is>
      </c>
      <c r="I6730" s="10" t="inlineStr">
        <is>
          <t>02/04/2026</t>
        </is>
      </c>
      <c r="J6730" s="10" t="inlineStr">
        <is>
          <t>17/03/2026</t>
        </is>
      </c>
      <c r="K6730" s="10" t="inlineStr">
        <is>
          <t>N/A</t>
        </is>
      </c>
      <c r="L6730" s="10" t="inlineStr">
        <is>
          <t>Market Research, Branding Strategy, Campaign Support, marcom campaign, Branding Marketing</t>
        </is>
      </c>
      <c r="M6730" s="10" t="inlineStr">
        <is>
          <t>Bonus, Healthcare Plan, Paid Leave, Others</t>
        </is>
      </c>
      <c r="N6730" s="11">
        <f>HYPERLINK("https://www.vietnamworks.com/senior-brand-and-marcom-executive-hanoi-2017712-jv","Xem chi tiết")</f>
        <v/>
      </c>
      <c r="O6730" s="10" t="n"/>
    </row>
    <row r="6731">
      <c r="B6731" s="7" t="n">
        <v>6729</v>
      </c>
      <c r="C6731" t="inlineStr">
        <is>
          <t>Chuyên Gia Kế Hoạch Dự Phòng Cấp 3, Phòng Quản Trị Rủi Ro Hoạt Động, Khối Quản Trị Rủi Ro</t>
        </is>
      </c>
      <c r="D6731" t="inlineStr">
        <is>
          <t>Ngân Hàng TMCP Đại Chúng Việt Nam</t>
        </is>
      </c>
      <c r="E6731" t="inlineStr">
        <is>
          <t>Từ $ 1,200 /tháng</t>
        </is>
      </c>
      <c r="F6731" t="inlineStr">
        <is>
          <t>Hà Nội</t>
        </is>
      </c>
      <c r="G6731" t="inlineStr">
        <is>
          <t>Nhân viên</t>
        </is>
      </c>
      <c r="H6731" t="inlineStr">
        <is>
          <t>03/03/2026</t>
        </is>
      </c>
      <c r="I6731" t="inlineStr">
        <is>
          <t>02/04/2026</t>
        </is>
      </c>
      <c r="J6731" t="inlineStr">
        <is>
          <t>17/03/2026</t>
        </is>
      </c>
      <c r="K6731" t="inlineStr">
        <is>
          <t>N/A</t>
        </is>
      </c>
      <c r="L6731" t="inlineStr">
        <is>
          <t>Kiểm toán, Quản Trị Rủi Ro, Quản trị rủi do và xử lý vấn đề, Kiểm toán ngân hàng</t>
        </is>
      </c>
      <c r="M6731" t="inlineStr">
        <is>
          <t>Bonus, Healthcare Plan, Canteen</t>
        </is>
      </c>
      <c r="N6731" s="8">
        <f>HYPERLINK("https://www.vietnamworks.com/chuyen-gia-ke-hoach-du-phong-cap-3-phong-quan-tri-rui-ro-hoat-dong-khoi-quan-tri-rui-ro-2017717-jv","Xem chi tiết")</f>
        <v/>
      </c>
    </row>
    <row r="6732">
      <c r="B6732" s="9" t="n">
        <v>6730</v>
      </c>
      <c r="C6732" s="10" t="inlineStr">
        <is>
          <t>Nhân Viên Đào Tạo</t>
        </is>
      </c>
      <c r="D6732" s="10" t="inlineStr">
        <is>
          <t>CÔNG TY TƯ VẤN VÀ ĐẦU TƯ GIÁO DỤC VIỆT NAM (VECI)</t>
        </is>
      </c>
      <c r="E6732" s="10" t="inlineStr">
        <is>
          <t>10tr-15tr ₫/tháng</t>
        </is>
      </c>
      <c r="F6732" s="10" t="inlineStr">
        <is>
          <t>Hà Nội</t>
        </is>
      </c>
      <c r="G6732" s="10" t="inlineStr">
        <is>
          <t>Nhân viên</t>
        </is>
      </c>
      <c r="H6732" s="10" t="inlineStr">
        <is>
          <t>03/03/2026</t>
        </is>
      </c>
      <c r="I6732" s="10" t="inlineStr">
        <is>
          <t>02/04/2026</t>
        </is>
      </c>
      <c r="J6732" s="10" t="inlineStr">
        <is>
          <t>17/03/2026</t>
        </is>
      </c>
      <c r="K6732" s="10" t="inlineStr">
        <is>
          <t>N/A</t>
        </is>
      </c>
      <c r="L6732" s="10" t="inlineStr">
        <is>
          <t>Quản Lý Lớp Học, Điều Phối Giáo Viên, Soạn Tài Liệu Đào Tạo, Tổng Hợp Tài Liệu, Xếp Lịch Giảng Dạy</t>
        </is>
      </c>
      <c r="M6732" s="10" t="inlineStr">
        <is>
          <t>Bonus, Training, Travel Opportunities, Others</t>
        </is>
      </c>
      <c r="N6732" s="11">
        <f>HYPERLINK("https://www.vietnamworks.com/nhan-vien-djao-tao-2017718-jv","Xem chi tiết")</f>
        <v/>
      </c>
      <c r="O6732" s="10" t="n"/>
    </row>
    <row r="6733">
      <c r="B6733" s="7" t="n">
        <v>6731</v>
      </c>
      <c r="C6733" t="inlineStr">
        <is>
          <t>Giám Đốc Thiết Kế</t>
        </is>
      </c>
      <c r="D6733" t="inlineStr">
        <is>
          <t>Công ty Cổ Phần Nội Thất DBhomes</t>
        </is>
      </c>
      <c r="E6733" t="inlineStr">
        <is>
          <t>$$ 2,000-2,500 /tháng</t>
        </is>
      </c>
      <c r="F6733" t="inlineStr">
        <is>
          <t>Hồ Chí Minh</t>
        </is>
      </c>
      <c r="G6733" t="inlineStr">
        <is>
          <t>Giám Đốc và Cấp Cao Hơn</t>
        </is>
      </c>
      <c r="H6733" t="inlineStr">
        <is>
          <t>03/03/2026</t>
        </is>
      </c>
      <c r="I6733" t="inlineStr">
        <is>
          <t>02/04/2026</t>
        </is>
      </c>
      <c r="J6733" t="inlineStr">
        <is>
          <t>17/03/2026</t>
        </is>
      </c>
      <c r="K6733" t="inlineStr">
        <is>
          <t>N/A</t>
        </is>
      </c>
      <c r="L6733" t="inlineStr">
        <is>
          <t>Thiết Kế Nội Thất, Thiết Kế Kiến Trúc, Interior Design</t>
        </is>
      </c>
      <c r="M6733" t="inlineStr">
        <is>
          <t>Bonus, Healthcare Plan, Others</t>
        </is>
      </c>
      <c r="N6733" s="8">
        <f>HYPERLINK("https://www.vietnamworks.com/giam-doc-thiet-ke--2017714-jv","Xem chi tiết")</f>
        <v/>
      </c>
    </row>
    <row r="6734">
      <c r="B6734" s="9" t="n">
        <v>6732</v>
      </c>
      <c r="C6734" s="10" t="inlineStr">
        <is>
          <t>Kỹ Sư Thiết Kế Dây Cáp (Design Engineer Staff)</t>
        </is>
      </c>
      <c r="D6734" s="10" t="inlineStr">
        <is>
          <t>Sumitomo Electric Interconnect Products (Vietnam), Ltd. [Sepv]</t>
        </is>
      </c>
      <c r="E6734" s="10" t="inlineStr">
        <is>
          <t>Thương lượng</t>
        </is>
      </c>
      <c r="F6734" s="10" t="inlineStr">
        <is>
          <t>Bắc Ninh, Hà Nội, Bắc Giang</t>
        </is>
      </c>
      <c r="G6734" s="10" t="inlineStr">
        <is>
          <t>Nhân viên</t>
        </is>
      </c>
      <c r="H6734" s="10" t="inlineStr">
        <is>
          <t>03/03/2026</t>
        </is>
      </c>
      <c r="I6734" s="10" t="inlineStr">
        <is>
          <t>02/04/2026</t>
        </is>
      </c>
      <c r="J6734" s="10" t="inlineStr">
        <is>
          <t>17/03/2026</t>
        </is>
      </c>
      <c r="K6734" s="10" t="inlineStr">
        <is>
          <t>N/A</t>
        </is>
      </c>
      <c r="L6734" s="10" t="inlineStr">
        <is>
          <t>English Speaking, Mechanical Design, Japanese, AutoCAD</t>
        </is>
      </c>
      <c r="M6734" s="10" t="inlineStr">
        <is>
          <t>Bonus, Healthcare Plan, Transportation</t>
        </is>
      </c>
      <c r="N6734" s="11">
        <f>HYPERLINK("https://www.vietnamworks.com/ky-su-thiet-ke-day-cap-design-engineer-staff--2017736-jv","Xem chi tiết")</f>
        <v/>
      </c>
      <c r="O6734" s="10" t="n"/>
    </row>
    <row r="6735">
      <c r="B6735" s="7" t="n">
        <v>6733</v>
      </c>
      <c r="C6735" t="inlineStr">
        <is>
          <t>Thiết Kế Máy Đóng Gói Thực Phẩm Tự Động</t>
        </is>
      </c>
      <c r="D6735" t="inlineStr">
        <is>
          <t>CÔNG TY TNHH EULSUNG AUTO PACK VIỆT NAM</t>
        </is>
      </c>
      <c r="E6735" t="inlineStr">
        <is>
          <t>Thương lượng</t>
        </is>
      </c>
      <c r="F6735" t="inlineStr">
        <is>
          <t>Lâm Đồng</t>
        </is>
      </c>
      <c r="G6735" t="inlineStr">
        <is>
          <t>Nhân viên</t>
        </is>
      </c>
      <c r="H6735" t="inlineStr">
        <is>
          <t>03/03/2026</t>
        </is>
      </c>
      <c r="I6735" t="inlineStr">
        <is>
          <t>02/04/2026</t>
        </is>
      </c>
      <c r="J6735" t="inlineStr">
        <is>
          <t>17/03/2026</t>
        </is>
      </c>
      <c r="K6735" t="inlineStr">
        <is>
          <t>N/A</t>
        </is>
      </c>
      <c r="L6735" t="inlineStr">
        <is>
          <t>chế tạo cơ khí, Lưu Trình Sản Xuất, Phần Mềm Thiết Kế 3D, Thiết Kế 2D, Thiết Kế 3D</t>
        </is>
      </c>
      <c r="M6735" t="inlineStr">
        <is>
          <t>Healthcare Plan, Paid Leave, Others</t>
        </is>
      </c>
      <c r="N6735" s="8">
        <f>HYPERLINK("https://www.vietnamworks.com/thiet-ke-may-djong-goi-thuc-pham-tu-djong-2017752-jv","Xem chi tiết")</f>
        <v/>
      </c>
    </row>
    <row r="6736">
      <c r="B6736" s="9" t="n">
        <v>6734</v>
      </c>
      <c r="C6736" s="10" t="inlineStr">
        <is>
          <t>Kế Toán Trưởng</t>
        </is>
      </c>
      <c r="D6736" s="10" t="inlineStr">
        <is>
          <t>CÔNG TY TNHH KHOA HỌC VÀ KỸ THUẬT OMERA</t>
        </is>
      </c>
      <c r="E6736" s="10" t="inlineStr">
        <is>
          <t>20tr-30tr ₫/tháng</t>
        </is>
      </c>
      <c r="F6736" s="10" t="inlineStr">
        <is>
          <t>Hà Nội</t>
        </is>
      </c>
      <c r="G6736" s="10" t="inlineStr">
        <is>
          <t>Nhân viên</t>
        </is>
      </c>
      <c r="H6736" s="10" t="inlineStr">
        <is>
          <t>03/03/2026</t>
        </is>
      </c>
      <c r="I6736" s="10" t="inlineStr">
        <is>
          <t>02/04/2026</t>
        </is>
      </c>
      <c r="J6736" s="10" t="inlineStr">
        <is>
          <t>17/03/2026</t>
        </is>
      </c>
      <c r="K6736" s="10" t="inlineStr">
        <is>
          <t>N/A</t>
        </is>
      </c>
      <c r="L6736" s="10" t="inlineStr">
        <is>
          <t>Kế Toán, Kiểm Toán, Tài Chính, Phân Tích Da, Giải quyết vấn đề</t>
        </is>
      </c>
      <c r="M6736" s="10" t="inlineStr">
        <is>
          <t>Bonus, Healthcare Plan, Awards, Team Activities, Others</t>
        </is>
      </c>
      <c r="N6736" s="11">
        <f>HYPERLINK("https://www.vietnamworks.com/ke-toan-truong-2017753-jv","Xem chi tiết")</f>
        <v/>
      </c>
      <c r="O6736" s="10" t="n"/>
    </row>
    <row r="6737">
      <c r="B6737" s="7" t="n">
        <v>6735</v>
      </c>
      <c r="C6737" t="inlineStr">
        <is>
          <t>Performance Marketing/ Facebook Ads - Dropshipping</t>
        </is>
      </c>
      <c r="D6737" t="inlineStr">
        <is>
          <t>CÔNG TY TNHH ECOMUP</t>
        </is>
      </c>
      <c r="E6737" t="inlineStr">
        <is>
          <t>Thương lượng</t>
        </is>
      </c>
      <c r="F6737" t="inlineStr">
        <is>
          <t>Hà Nội</t>
        </is>
      </c>
      <c r="G6737" t="inlineStr">
        <is>
          <t>Nhân viên</t>
        </is>
      </c>
      <c r="H6737" t="inlineStr">
        <is>
          <t>03/03/2026</t>
        </is>
      </c>
      <c r="I6737" t="inlineStr">
        <is>
          <t>02/04/2026</t>
        </is>
      </c>
      <c r="J6737" t="inlineStr">
        <is>
          <t>17/03/2026</t>
        </is>
      </c>
      <c r="K6737" t="inlineStr">
        <is>
          <t>N/A</t>
        </is>
      </c>
      <c r="L6737" t="inlineStr">
        <is>
          <t>Active Mindset, Data Analytics, E-commerce, Google Ads, Performance Marketing</t>
        </is>
      </c>
      <c r="M6737" t="inlineStr">
        <is>
          <t>Bonus, Healthcare Plan, Others</t>
        </is>
      </c>
      <c r="N6737" s="8">
        <f>HYPERLINK("https://www.vietnamworks.com/performance-marketing-facebook-ads-dropshipping-2017749-jv","Xem chi tiết")</f>
        <v/>
      </c>
    </row>
    <row r="6738">
      <c r="B6738" s="9" t="n">
        <v>6736</v>
      </c>
      <c r="C6738" s="10" t="inlineStr">
        <is>
          <t xml:space="preserve">Culinary Chef </t>
        </is>
      </c>
      <c r="D6738" s="10" t="inlineStr">
        <is>
          <t>Rich Products Vietnam</t>
        </is>
      </c>
      <c r="E6738" s="10" t="inlineStr">
        <is>
          <t>Thương lượng</t>
        </is>
      </c>
      <c r="F6738" s="10" t="inlineStr">
        <is>
          <t>Hà Nội</t>
        </is>
      </c>
      <c r="G6738" s="10" t="inlineStr">
        <is>
          <t>Nhân viên</t>
        </is>
      </c>
      <c r="H6738" s="10" t="inlineStr">
        <is>
          <t>03/03/2026</t>
        </is>
      </c>
      <c r="I6738" s="10" t="inlineStr">
        <is>
          <t>02/04/2026</t>
        </is>
      </c>
      <c r="J6738" s="10" t="inlineStr">
        <is>
          <t>17/03/2026</t>
        </is>
      </c>
      <c r="K6738" s="10" t="inlineStr">
        <is>
          <t>N/A</t>
        </is>
      </c>
      <c r="L6738" s="10" t="inlineStr">
        <is>
          <t>Communication, Public Speaking, Team Work, Technical skills, Chef Certification</t>
        </is>
      </c>
      <c r="M6738" s="10" t="inlineStr">
        <is>
          <t>Bonus, Training, Laptop, Team Activities</t>
        </is>
      </c>
      <c r="N6738" s="11">
        <f>HYPERLINK("https://www.vietnamworks.com/culinary-chef-2017764-jv","Xem chi tiết")</f>
        <v/>
      </c>
      <c r="O6738" s="10" t="n"/>
    </row>
    <row r="6739">
      <c r="B6739" s="7" t="n">
        <v>6737</v>
      </c>
      <c r="C6739" t="inlineStr">
        <is>
          <t>Marketing Executive</t>
        </is>
      </c>
      <c r="D6739" t="inlineStr">
        <is>
          <t>Indochine Counsel</t>
        </is>
      </c>
      <c r="E6739" t="inlineStr">
        <is>
          <t>Thương lượng</t>
        </is>
      </c>
      <c r="F6739" t="inlineStr">
        <is>
          <t>Hồ Chí Minh</t>
        </is>
      </c>
      <c r="G6739" t="inlineStr">
        <is>
          <t>Nhân viên</t>
        </is>
      </c>
      <c r="H6739" t="inlineStr">
        <is>
          <t>03/03/2026</t>
        </is>
      </c>
      <c r="I6739" t="inlineStr">
        <is>
          <t>02/04/2026</t>
        </is>
      </c>
      <c r="J6739" t="inlineStr">
        <is>
          <t>17/03/2026</t>
        </is>
      </c>
      <c r="K6739" t="inlineStr">
        <is>
          <t>N/A</t>
        </is>
      </c>
      <c r="L6739" t="inlineStr">
        <is>
          <t>B2B Marketing, Brand Marketing, Communications, English, Marketing</t>
        </is>
      </c>
      <c r="M6739" t="inlineStr">
        <is>
          <t>Bonus, Training, Team Activities</t>
        </is>
      </c>
      <c r="N6739" s="8">
        <f>HYPERLINK("https://www.vietnamworks.com/marketing-executive-2017741-jv","Xem chi tiết")</f>
        <v/>
      </c>
    </row>
    <row r="6740">
      <c r="B6740" s="9" t="n">
        <v>6738</v>
      </c>
      <c r="C6740" s="10" t="inlineStr">
        <is>
          <t>Impact Assistant</t>
        </is>
      </c>
      <c r="D6740" s="10" t="inlineStr">
        <is>
          <t>Công ty TNHH Phát Triển Đông Nam Á (Seadev Co., Ltd.)</t>
        </is>
      </c>
      <c r="E6740" s="10" t="inlineStr">
        <is>
          <t>Tới $ 800 /tháng</t>
        </is>
      </c>
      <c r="F6740" s="10" t="inlineStr">
        <is>
          <t>Đà Nẵng</t>
        </is>
      </c>
      <c r="G6740" s="10" t="inlineStr">
        <is>
          <t>Nhân viên</t>
        </is>
      </c>
      <c r="H6740" s="10" t="inlineStr">
        <is>
          <t>03/03/2026</t>
        </is>
      </c>
      <c r="I6740" s="10" t="inlineStr">
        <is>
          <t>02/04/2026</t>
        </is>
      </c>
      <c r="J6740" s="10" t="inlineStr">
        <is>
          <t>17/03/2026</t>
        </is>
      </c>
      <c r="K6740" s="10" t="inlineStr">
        <is>
          <t>N/A</t>
        </is>
      </c>
      <c r="L6740" s="10" t="inlineStr">
        <is>
          <t>Tiếng Anh thành thạo, CSR Planning, Event Organizing, Admin Support</t>
        </is>
      </c>
      <c r="M6740" s="10" t="inlineStr">
        <is>
          <t>Bonus, Healthcare Plan, Paid Leave</t>
        </is>
      </c>
      <c r="N6740" s="11">
        <f>HYPERLINK("https://www.vietnamworks.com/impact-assistant-2017762-jv","Xem chi tiết")</f>
        <v/>
      </c>
      <c r="O6740" s="10" t="n"/>
    </row>
    <row r="6741">
      <c r="B6741" s="7" t="n">
        <v>6739</v>
      </c>
      <c r="C6741" t="inlineStr">
        <is>
          <t>Content Specialist – E-Commerce/dropship</t>
        </is>
      </c>
      <c r="D6741" t="inlineStr">
        <is>
          <t>CÔNG TY TNHH ECOMUP</t>
        </is>
      </c>
      <c r="E6741" t="inlineStr">
        <is>
          <t>25tr-50tr ₫/tháng</t>
        </is>
      </c>
      <c r="F6741" t="inlineStr">
        <is>
          <t>Hà Nội</t>
        </is>
      </c>
      <c r="G6741" t="inlineStr">
        <is>
          <t>Nhân viên</t>
        </is>
      </c>
      <c r="H6741" t="inlineStr">
        <is>
          <t>03/03/2026</t>
        </is>
      </c>
      <c r="I6741" t="inlineStr">
        <is>
          <t>02/04/2026</t>
        </is>
      </c>
      <c r="J6741" t="inlineStr">
        <is>
          <t>17/03/2026</t>
        </is>
      </c>
      <c r="K6741" t="inlineStr">
        <is>
          <t>N/A</t>
        </is>
      </c>
      <c r="L6741" t="inlineStr">
        <is>
          <t>Active Mindset, Data Analytics, E-commerce, Google Ads, Performance Marketing</t>
        </is>
      </c>
      <c r="M6741" t="inlineStr">
        <is>
          <t>Bonus, Healthcare Plan, Others</t>
        </is>
      </c>
      <c r="N6741" s="8">
        <f>HYPERLINK("https://www.vietnamworks.com/content-specialist-e-commercedropship-2017754-jv","Xem chi tiết")</f>
        <v/>
      </c>
    </row>
    <row r="6742">
      <c r="B6742" s="9" t="n">
        <v>6740</v>
      </c>
      <c r="C6742" s="10" t="inlineStr">
        <is>
          <t>Technical Support Engineer (Khởi điểm 18,000,000 VND) - English - Không yêu cầu kinh nghiệm</t>
        </is>
      </c>
      <c r="D6742" s="10" t="inlineStr">
        <is>
          <t>KEYENCE CORPORATION</t>
        </is>
      </c>
      <c r="E6742" s="10" t="inlineStr">
        <is>
          <t>Từ 18tr ₫/tháng</t>
        </is>
      </c>
      <c r="F6742" s="10" t="inlineStr">
        <is>
          <t>Hà Nội</t>
        </is>
      </c>
      <c r="G6742" s="10" t="inlineStr">
        <is>
          <t>Mới Tốt Nghiệp</t>
        </is>
      </c>
      <c r="H6742" s="10" t="inlineStr">
        <is>
          <t>03/03/2026</t>
        </is>
      </c>
      <c r="I6742" s="10" t="inlineStr">
        <is>
          <t>02/04/2026</t>
        </is>
      </c>
      <c r="J6742" s="10" t="inlineStr">
        <is>
          <t>17/03/2026</t>
        </is>
      </c>
      <c r="K6742" s="10" t="inlineStr">
        <is>
          <t>N/A</t>
        </is>
      </c>
      <c r="L6742" s="10" t="inlineStr">
        <is>
          <t>Automation Equipment, Customer Relation, English Communication, Sales, Technical Support</t>
        </is>
      </c>
      <c r="M6742" s="10" t="inlineStr">
        <is>
          <t>Bonus, Healthcare Plan, Laptop, Transportation, Others</t>
        </is>
      </c>
      <c r="N6742" s="11">
        <f>HYPERLINK("https://www.vietnamworks.com/technical-support-engineer-khoi-djiem-18000000-vnd-english-khong-yeu-cau-kinh-nghiem-2017743-jv","Xem chi tiết")</f>
        <v/>
      </c>
      <c r="O6742" s="10" t="n"/>
    </row>
    <row r="6743">
      <c r="B6743" s="7" t="n">
        <v>6741</v>
      </c>
      <c r="C6743" t="inlineStr">
        <is>
          <t>Kỹ Sư/chuyên Viên Thông Tin Dẫn Đường - Sân Bay Gia Bình</t>
        </is>
      </c>
      <c r="D6743" t="inlineStr">
        <is>
          <t>Công Ty Cổ Phần Tập Đoàn Masterise</t>
        </is>
      </c>
      <c r="E6743" t="inlineStr">
        <is>
          <t>$$ 500-2,500 /tháng</t>
        </is>
      </c>
      <c r="F6743" t="inlineStr">
        <is>
          <t>Bắc Ninh</t>
        </is>
      </c>
      <c r="G6743" t="inlineStr">
        <is>
          <t>Nhân viên</t>
        </is>
      </c>
      <c r="H6743" t="inlineStr">
        <is>
          <t>03/03/2026</t>
        </is>
      </c>
      <c r="I6743" t="inlineStr">
        <is>
          <t>02/04/2026</t>
        </is>
      </c>
      <c r="J6743" t="inlineStr">
        <is>
          <t>17/03/2026</t>
        </is>
      </c>
      <c r="K6743" t="inlineStr">
        <is>
          <t>N/A</t>
        </is>
      </c>
      <c r="L6743" t="inlineStr">
        <is>
          <t>Điện, Điện tử viễn thông, Tự Động Hóa, Công Nghệ Thông Tin</t>
        </is>
      </c>
      <c r="M6743" t="inlineStr">
        <is>
          <t>Bonus, Healthcare Plan</t>
        </is>
      </c>
      <c r="N6743" s="8">
        <f>HYPERLINK("https://www.vietnamworks.com/ky-su-chuyen-vien-thong-tin-dan-duong-san-bay-gia-binh-2017740-jv","Xem chi tiết")</f>
        <v/>
      </c>
    </row>
    <row r="6744">
      <c r="B6744" s="9" t="n">
        <v>6742</v>
      </c>
      <c r="C6744" s="10" t="inlineStr">
        <is>
          <t>Chuyên Viên Phòng Dự Án (Mạnh Về Đấu Thầu Thiết Bị Y Tế)</t>
        </is>
      </c>
      <c r="D6744" s="10" t="inlineStr">
        <is>
          <t>Công Ty TNHH Thiết Bị Y Tế Thái Sơn( Thaisonmed)</t>
        </is>
      </c>
      <c r="E6744" s="10" t="inlineStr">
        <is>
          <t>Thương lượng</t>
        </is>
      </c>
      <c r="F6744" s="10" t="inlineStr">
        <is>
          <t>Hà Nội</t>
        </is>
      </c>
      <c r="G6744" s="10" t="inlineStr">
        <is>
          <t>Nhân viên</t>
        </is>
      </c>
      <c r="H6744" s="10" t="inlineStr">
        <is>
          <t>03/03/2026</t>
        </is>
      </c>
      <c r="I6744" s="10" t="inlineStr">
        <is>
          <t>02/04/2026</t>
        </is>
      </c>
      <c r="J6744" s="10" t="inlineStr">
        <is>
          <t>17/03/2026</t>
        </is>
      </c>
      <c r="K6744" s="10" t="inlineStr">
        <is>
          <t>N/A</t>
        </is>
      </c>
      <c r="L6744" s="10" t="inlineStr">
        <is>
          <t>Quản Lý Kinh Doanh, Tư Vấn Kỹ Thuật, Kỹ năng giao tiêp, Kỹ năng đàm phán, Phát Triển Thị Trường</t>
        </is>
      </c>
      <c r="M6744" s="10" t="inlineStr">
        <is>
          <t>Bonus, Healthcare Plan, Paid Leave, Travel Opportunities, Others</t>
        </is>
      </c>
      <c r="N6744" s="11">
        <f>HYPERLINK("https://www.vietnamworks.com/chuyen-vien-phong-du-an-manh-ve-djau-thau-thiet-bi-y-te-2017739-jv","Xem chi tiết")</f>
        <v/>
      </c>
      <c r="O6744" s="10" t="n"/>
    </row>
    <row r="6745">
      <c r="B6745" s="7" t="n">
        <v>6743</v>
      </c>
      <c r="C6745" t="inlineStr">
        <is>
          <t>Kế Toán Tổng Hợp</t>
        </is>
      </c>
      <c r="D6745" t="inlineStr">
        <is>
          <t>Asl LAW</t>
        </is>
      </c>
      <c r="E6745" t="inlineStr">
        <is>
          <t>15tr-18tr ₫/tháng</t>
        </is>
      </c>
      <c r="F6745" t="inlineStr">
        <is>
          <t>Hà Nội</t>
        </is>
      </c>
      <c r="G6745" t="inlineStr">
        <is>
          <t>Nhân viên</t>
        </is>
      </c>
      <c r="H6745" t="inlineStr">
        <is>
          <t>03/03/2026</t>
        </is>
      </c>
      <c r="I6745" t="inlineStr">
        <is>
          <t>02/04/2026</t>
        </is>
      </c>
      <c r="J6745" t="inlineStr">
        <is>
          <t>17/03/2026</t>
        </is>
      </c>
      <c r="K6745" t="inlineStr">
        <is>
          <t>N/A</t>
        </is>
      </c>
      <c r="L6745" t="inlineStr">
        <is>
          <t>N/A</t>
        </is>
      </c>
      <c r="M6745" t="inlineStr">
        <is>
          <t>Bonus, Training, Team Activities, Others</t>
        </is>
      </c>
      <c r="N6745" s="8">
        <f>HYPERLINK("https://www.vietnamworks.com/ke-toan-tong-hop-2017738-jv","Xem chi tiết")</f>
        <v/>
      </c>
    </row>
    <row r="6746">
      <c r="B6746" s="9" t="n">
        <v>6744</v>
      </c>
      <c r="C6746" s="10" t="inlineStr">
        <is>
          <t>Giám Đốc Ban Trợ Lý</t>
        </is>
      </c>
      <c r="D6746" s="10" t="inlineStr">
        <is>
          <t>CÔNG TY CỔ PHẦN ĐẦU TƯ PLUS VIỆT NAM</t>
        </is>
      </c>
      <c r="E6746" s="10" t="inlineStr">
        <is>
          <t>35tr-45tr ₫/tháng</t>
        </is>
      </c>
      <c r="F6746" s="10" t="inlineStr">
        <is>
          <t>Hà Nội</t>
        </is>
      </c>
      <c r="G6746" s="10" t="inlineStr">
        <is>
          <t>Giám Đốc và Cấp Cao Hơn</t>
        </is>
      </c>
      <c r="H6746" s="10" t="inlineStr">
        <is>
          <t>03/03/2026</t>
        </is>
      </c>
      <c r="I6746" s="10" t="inlineStr">
        <is>
          <t>02/04/2026</t>
        </is>
      </c>
      <c r="J6746" s="10" t="inlineStr">
        <is>
          <t>17/03/2026</t>
        </is>
      </c>
      <c r="K6746" s="10" t="inlineStr">
        <is>
          <t>N/A</t>
        </is>
      </c>
      <c r="L6746" s="10" t="inlineStr">
        <is>
          <t>Kinh Doanh, Phát Triển Thị Trường, Quản Lý Điều Hành, Quản trị Kinh doanh, Tham Mưu Đề Xuất</t>
        </is>
      </c>
      <c r="M6746" s="10" t="inlineStr">
        <is>
          <t>Bonus, Team Activities, Vouchers</t>
        </is>
      </c>
      <c r="N6746" s="11">
        <f>HYPERLINK("https://www.vietnamworks.com/giam-djoc-ban-tro-ly-2017760-jv","Xem chi tiết")</f>
        <v/>
      </c>
      <c r="O6746" s="10" t="n"/>
    </row>
    <row r="6747">
      <c r="B6747" s="7" t="n">
        <v>6745</v>
      </c>
      <c r="C6747" t="inlineStr">
        <is>
          <t>[HCM] Talent Development Executive (L&amp;D)</t>
        </is>
      </c>
      <c r="D6747" t="inlineStr">
        <is>
          <t>Công Ty TNHH Aeon Việt Nam</t>
        </is>
      </c>
      <c r="E6747" t="inlineStr">
        <is>
          <t>Thương lượng</t>
        </is>
      </c>
      <c r="F6747" t="inlineStr">
        <is>
          <t>Hồ Chí Minh</t>
        </is>
      </c>
      <c r="G6747" t="inlineStr">
        <is>
          <t>Nhân viên</t>
        </is>
      </c>
      <c r="H6747" t="inlineStr">
        <is>
          <t>03/03/2026</t>
        </is>
      </c>
      <c r="I6747" t="inlineStr">
        <is>
          <t>02/04/2026</t>
        </is>
      </c>
      <c r="J6747" t="inlineStr">
        <is>
          <t>17/03/2026</t>
        </is>
      </c>
      <c r="K6747" t="inlineStr">
        <is>
          <t>N/A</t>
        </is>
      </c>
      <c r="L6747" t="inlineStr">
        <is>
          <t>HR Systems, Interpersonal Skills, Training Design, Training Evaluation, Training Needs Analysis</t>
        </is>
      </c>
      <c r="M6747" t="inlineStr">
        <is>
          <t>Bonus, Healthcare Plan, Paid Leave, Training, Laptop, Travel Opportunities, Transportation, Canteen</t>
        </is>
      </c>
      <c r="N6747" s="8">
        <f>HYPERLINK("https://www.vietnamworks.com/hcm-talent-development-executive-landd-2017746-jv","Xem chi tiết")</f>
        <v/>
      </c>
    </row>
    <row r="6748">
      <c r="B6748" s="9" t="n">
        <v>6746</v>
      </c>
      <c r="C6748" s="10" t="inlineStr">
        <is>
          <t>Kỹ Sư QS (Hải Phòng, Quảng Ninh, Đồng Nai)</t>
        </is>
      </c>
      <c r="D6748" s="10" t="inlineStr">
        <is>
          <t>CBC - Civil &amp; Building Construction</t>
        </is>
      </c>
      <c r="E6748" s="10" t="inlineStr">
        <is>
          <t>800-1,000 ₫/tháng</t>
        </is>
      </c>
      <c r="F6748" s="10" t="inlineStr">
        <is>
          <t>Hải Phòng, Đồng Nai, Quảng Ninh</t>
        </is>
      </c>
      <c r="G6748" s="10" t="inlineStr">
        <is>
          <t>Nhân viên</t>
        </is>
      </c>
      <c r="H6748" s="10" t="inlineStr">
        <is>
          <t>03/03/2026</t>
        </is>
      </c>
      <c r="I6748" s="10" t="inlineStr">
        <is>
          <t>02/04/2026</t>
        </is>
      </c>
      <c r="J6748" s="10" t="inlineStr">
        <is>
          <t>17/03/2026</t>
        </is>
      </c>
      <c r="K6748" s="10" t="inlineStr">
        <is>
          <t>N/A</t>
        </is>
      </c>
      <c r="L6748" s="10" t="inlineStr">
        <is>
          <t>Bóc Tách Khối Lượng, Shopdrawing, Xây Dựng, Quantity Surveyor, QS</t>
        </is>
      </c>
      <c r="M6748" s="10" t="inlineStr">
        <is>
          <t>Bonus, Healthcare Plan, Training</t>
        </is>
      </c>
      <c r="N6748" s="11">
        <f>HYPERLINK("https://www.vietnamworks.com/ky-su-qs-hai-phong-quang-ninh-dong-nai-2017758-jv","Xem chi tiết")</f>
        <v/>
      </c>
      <c r="O6748" s="10" t="n"/>
    </row>
    <row r="6749">
      <c r="B6749" s="7" t="n">
        <v>6747</v>
      </c>
      <c r="C6749" t="inlineStr">
        <is>
          <t>Project Coordinators</t>
        </is>
      </c>
      <c r="D6749" t="inlineStr">
        <is>
          <t>Công ty TNHH Phát Triển Đông Nam Á (Seadev Co., Ltd.)</t>
        </is>
      </c>
      <c r="E6749" t="inlineStr">
        <is>
          <t>Tới $ 1,200 /tháng</t>
        </is>
      </c>
      <c r="F6749" t="inlineStr">
        <is>
          <t>Đà Nẵng</t>
        </is>
      </c>
      <c r="G6749" t="inlineStr">
        <is>
          <t>Nhân viên</t>
        </is>
      </c>
      <c r="H6749" t="inlineStr">
        <is>
          <t>03/03/2026</t>
        </is>
      </c>
      <c r="I6749" t="inlineStr">
        <is>
          <t>02/04/2026</t>
        </is>
      </c>
      <c r="J6749" t="inlineStr">
        <is>
          <t>17/03/2026</t>
        </is>
      </c>
      <c r="K6749" t="inlineStr">
        <is>
          <t>N/A</t>
        </is>
      </c>
      <c r="L6749" t="inlineStr">
        <is>
          <t>Tiếng Anh lưu loát, Customer Relations, Customer-Oriented, Project magement, Stakeholder Coordination</t>
        </is>
      </c>
      <c r="M6749" t="inlineStr">
        <is>
          <t>Bonus, Healthcare Plan, Paid Leave</t>
        </is>
      </c>
      <c r="N6749" s="8">
        <f>HYPERLINK("https://www.vietnamworks.com/project-coordinators-2017742-jv","Xem chi tiết")</f>
        <v/>
      </c>
    </row>
    <row r="6750">
      <c r="B6750" s="9" t="n">
        <v>6748</v>
      </c>
      <c r="C6750" s="10" t="inlineStr">
        <is>
          <t>Chuyên Viên Tư Vấn Pháp Lý (Associate)</t>
        </is>
      </c>
      <c r="D6750" s="10" t="inlineStr">
        <is>
          <t>Asl LAW</t>
        </is>
      </c>
      <c r="E6750" s="10" t="inlineStr">
        <is>
          <t>Thương lượng</t>
        </is>
      </c>
      <c r="F6750" s="10" t="inlineStr">
        <is>
          <t>Hà Nội</t>
        </is>
      </c>
      <c r="G6750" s="10" t="inlineStr">
        <is>
          <t>Nhân viên</t>
        </is>
      </c>
      <c r="H6750" s="10" t="inlineStr">
        <is>
          <t>03/03/2026</t>
        </is>
      </c>
      <c r="I6750" s="10" t="inlineStr">
        <is>
          <t>02/04/2026</t>
        </is>
      </c>
      <c r="J6750" s="10" t="inlineStr">
        <is>
          <t>17/03/2026</t>
        </is>
      </c>
      <c r="K6750" s="10" t="inlineStr">
        <is>
          <t>N/A</t>
        </is>
      </c>
      <c r="L6750" s="10" t="inlineStr">
        <is>
          <t>Giao Tiếp Khách Hàng, Quản Lý Thời Gian, Soạn Thảo Văn Bản, Tư Duy Hệ Thống, Tư Vấn Pháp Lý</t>
        </is>
      </c>
      <c r="M6750" s="10" t="inlineStr">
        <is>
          <t>Bonus, Training, Team Activities, Others</t>
        </is>
      </c>
      <c r="N6750" s="11">
        <f>HYPERLINK("https://www.vietnamworks.com/chuyen-vien-tu-van-phap-ly-associate-2017755-jv","Xem chi tiết")</f>
        <v/>
      </c>
      <c r="O6750" s="10" t="n"/>
    </row>
    <row r="6751">
      <c r="B6751" s="7" t="n">
        <v>6749</v>
      </c>
      <c r="C6751" t="inlineStr">
        <is>
          <t>Cộng Sự Cấp Cao (Senior Associate)</t>
        </is>
      </c>
      <c r="D6751" t="inlineStr">
        <is>
          <t>Asl LAW</t>
        </is>
      </c>
      <c r="E6751" t="inlineStr">
        <is>
          <t>Thương lượng</t>
        </is>
      </c>
      <c r="F6751" t="inlineStr">
        <is>
          <t>Hà Nội</t>
        </is>
      </c>
      <c r="G6751" t="inlineStr">
        <is>
          <t>Nhân viên</t>
        </is>
      </c>
      <c r="H6751" t="inlineStr">
        <is>
          <t>03/03/2026</t>
        </is>
      </c>
      <c r="I6751" t="inlineStr">
        <is>
          <t>02/04/2026</t>
        </is>
      </c>
      <c r="J6751" t="inlineStr">
        <is>
          <t>17/03/2026</t>
        </is>
      </c>
      <c r="K6751" t="inlineStr">
        <is>
          <t>N/A</t>
        </is>
      </c>
      <c r="L6751" t="inlineStr">
        <is>
          <t>M&amp;A, Pháp Lý, Soạn Thảo Hợp Đồng, Tín Dụng Doanh Nghiệp, Tranh Chấp Tại Tòa</t>
        </is>
      </c>
      <c r="M6751" t="inlineStr">
        <is>
          <t>Bonus, Training, Team Activities, Others</t>
        </is>
      </c>
      <c r="N6751" s="8">
        <f>HYPERLINK("https://www.vietnamworks.com/cong-su-cap-cao-senior-associate-2017747-jv","Xem chi tiết")</f>
        <v/>
      </c>
    </row>
    <row r="6752">
      <c r="B6752" s="9" t="n">
        <v>6750</v>
      </c>
      <c r="C6752" s="10" t="inlineStr">
        <is>
          <t>Sales Engineer/ Kỹ Sư Bán Hàng</t>
        </is>
      </c>
      <c r="D6752" s="10" t="inlineStr">
        <is>
          <t>CÔNG TY TNHH EULSUNG AUTO PACK VIỆT NAM</t>
        </is>
      </c>
      <c r="E6752" s="10" t="inlineStr">
        <is>
          <t>Thương lượng</t>
        </is>
      </c>
      <c r="F6752" s="10" t="inlineStr">
        <is>
          <t>Hồ Chí Minh</t>
        </is>
      </c>
      <c r="G6752" s="10" t="inlineStr">
        <is>
          <t>Nhân viên</t>
        </is>
      </c>
      <c r="H6752" s="10" t="inlineStr">
        <is>
          <t>03/03/2026</t>
        </is>
      </c>
      <c r="I6752" s="10" t="inlineStr">
        <is>
          <t>02/04/2026</t>
        </is>
      </c>
      <c r="J6752" s="10" t="inlineStr">
        <is>
          <t>17/03/2026</t>
        </is>
      </c>
      <c r="K6752" s="10" t="inlineStr">
        <is>
          <t>N/A</t>
        </is>
      </c>
      <c r="L6752" s="10" t="inlineStr">
        <is>
          <t>Auto CAD, Giao Tiếp Tiếng Anh, Kinh Doanh Máy Phát Điện, Sales Engineering, Thiết Kế Điện Autocad</t>
        </is>
      </c>
      <c r="M6752" s="10" t="inlineStr">
        <is>
          <t>Bonus, Healthcare Plan, Others</t>
        </is>
      </c>
      <c r="N6752" s="11">
        <f>HYPERLINK("https://www.vietnamworks.com/sales-engineer-ky-su-ban-hang-2017748-jv","Xem chi tiết")</f>
        <v/>
      </c>
      <c r="O6752" s="10" t="n"/>
    </row>
    <row r="6753">
      <c r="B6753" s="7" t="n">
        <v>6751</v>
      </c>
      <c r="C6753" t="inlineStr">
        <is>
          <t>Chuyên Viên Phụ Trách Sản Phẩm Phòng Mổ</t>
        </is>
      </c>
      <c r="D6753" t="inlineStr">
        <is>
          <t>Công Ty TNHH Thiết Bị Y Tế Thái Sơn( Thaisonmed)</t>
        </is>
      </c>
      <c r="E6753" t="inlineStr">
        <is>
          <t>$$ 400-1,500 /tháng</t>
        </is>
      </c>
      <c r="F6753" t="inlineStr">
        <is>
          <t>Hà Nội, Hồ Chí Minh</t>
        </is>
      </c>
      <c r="G6753" t="inlineStr">
        <is>
          <t>Nhân viên</t>
        </is>
      </c>
      <c r="H6753" t="inlineStr">
        <is>
          <t>03/03/2026</t>
        </is>
      </c>
      <c r="I6753" t="inlineStr">
        <is>
          <t>02/04/2026</t>
        </is>
      </c>
      <c r="J6753" t="inlineStr">
        <is>
          <t>17/03/2026</t>
        </is>
      </c>
      <c r="K6753" t="inlineStr">
        <is>
          <t>N/A</t>
        </is>
      </c>
      <c r="L6753" t="inlineStr">
        <is>
          <t>Quản Lý Sản Phẩm, Kinh Doanh, Kỹ Thuật Y Sinh, Thiết Bị Y Tế, Tư Vấn Khách Hàng</t>
        </is>
      </c>
      <c r="M6753" t="inlineStr">
        <is>
          <t>Healthcare Plan, Paid Leave, Travel Opportunities, Team Activities</t>
        </is>
      </c>
      <c r="N6753" s="8">
        <f>HYPERLINK("https://www.vietnamworks.com/chuyen-vien-phu-trach-san-pham-phong-mo-2017744-jv","Xem chi tiết")</f>
        <v/>
      </c>
    </row>
    <row r="6754">
      <c r="B6754" s="9" t="n">
        <v>6752</v>
      </c>
      <c r="C6754" s="10" t="inlineStr">
        <is>
          <t>Trợ Lý HĐQT Phụ Trách Công Tác Hành Chính Văn Phòng; Công Tác Tổ Chức – Nhân Sự</t>
        </is>
      </c>
      <c r="D6754" s="10" t="inlineStr">
        <is>
          <t>Công Ty Cổ Phần Thương Mại Và Sản Xuất Lập Phương Thành</t>
        </is>
      </c>
      <c r="E6754" s="10" t="inlineStr">
        <is>
          <t>25tr-30tr ₫/tháng</t>
        </is>
      </c>
      <c r="F6754" s="10" t="inlineStr">
        <is>
          <t>Hà Nội</t>
        </is>
      </c>
      <c r="G6754" s="10" t="inlineStr">
        <is>
          <t>Trưởng phòng</t>
        </is>
      </c>
      <c r="H6754" s="10" t="inlineStr">
        <is>
          <t>03/03/2026</t>
        </is>
      </c>
      <c r="I6754" s="10" t="inlineStr">
        <is>
          <t>02/04/2026</t>
        </is>
      </c>
      <c r="J6754" s="10" t="inlineStr">
        <is>
          <t>17/03/2026</t>
        </is>
      </c>
      <c r="K6754" s="10" t="inlineStr">
        <is>
          <t>N/A</t>
        </is>
      </c>
      <c r="L6754" s="10" t="inlineStr">
        <is>
          <t>Tài Chính, Chiến Lược Kinh Doanh, Kinh Doanh, Lãnh Đạo, Quản Lý Điều Hành</t>
        </is>
      </c>
      <c r="M6754" s="10" t="inlineStr">
        <is>
          <t>Bonus, Travel Opportunities, Transportation</t>
        </is>
      </c>
      <c r="N6754" s="11">
        <f>HYPERLINK("https://www.vietnamworks.com/tro-ly-hdjqt-phu-trach-cong-tac-hanh-chinh-van-phong-cong-tac-to-chuc-nhan-su-2017763-jv","Xem chi tiết")</f>
        <v/>
      </c>
      <c r="O6754" s="10" t="n"/>
    </row>
    <row r="6755">
      <c r="B6755" s="7" t="n">
        <v>6753</v>
      </c>
      <c r="C6755" t="inlineStr">
        <is>
          <t>Trưởng Phòng Thanh Tra Xây Dựng Cơ Bản</t>
        </is>
      </c>
      <c r="D6755" t="inlineStr">
        <is>
          <t>Công Ty Cổ Phần Tập Đoàn BRG</t>
        </is>
      </c>
      <c r="E6755" t="inlineStr">
        <is>
          <t>Thương lượng</t>
        </is>
      </c>
      <c r="F6755" t="inlineStr">
        <is>
          <t>Hà Nội</t>
        </is>
      </c>
      <c r="G6755" t="inlineStr">
        <is>
          <t>Trưởng phòng</t>
        </is>
      </c>
      <c r="H6755" t="inlineStr">
        <is>
          <t>03/03/2026</t>
        </is>
      </c>
      <c r="I6755" t="inlineStr">
        <is>
          <t>02/04/2026</t>
        </is>
      </c>
      <c r="J6755" t="inlineStr">
        <is>
          <t>17/03/2026</t>
        </is>
      </c>
      <c r="K6755" t="inlineStr">
        <is>
          <t>N/A</t>
        </is>
      </c>
      <c r="L6755" t="inlineStr">
        <is>
          <t>Xây Dựng Công Trình, Quản Lý Dự Án, Kiến Trúc Xây Dựng</t>
        </is>
      </c>
      <c r="M6755" t="inlineStr">
        <is>
          <t>Bonus, Healthcare Plan, Travel Opportunities</t>
        </is>
      </c>
      <c r="N6755" s="8">
        <f>HYPERLINK("https://www.vietnamworks.com/truong-phong-thanh-tra-xay-dung-co-ban--2017781-jv","Xem chi tiết")</f>
        <v/>
      </c>
    </row>
    <row r="6756">
      <c r="B6756" s="9" t="n">
        <v>6754</v>
      </c>
      <c r="C6756" s="10" t="inlineStr">
        <is>
          <t>Nhân Viên Thiết Bị &amp; Bảo Trì Khu Bay - Sân Bay Gia Bình</t>
        </is>
      </c>
      <c r="D6756" s="10" t="inlineStr">
        <is>
          <t>Công Ty Cổ Phần Tập Đoàn Masterise</t>
        </is>
      </c>
      <c r="E6756" s="10" t="inlineStr">
        <is>
          <t>Thương lượng</t>
        </is>
      </c>
      <c r="F6756" s="10" t="inlineStr">
        <is>
          <t>Bắc Ninh</t>
        </is>
      </c>
      <c r="G6756" s="10" t="inlineStr">
        <is>
          <t>Nhân viên</t>
        </is>
      </c>
      <c r="H6756" s="10" t="inlineStr">
        <is>
          <t>03/03/2026</t>
        </is>
      </c>
      <c r="I6756" s="10" t="inlineStr">
        <is>
          <t>02/04/2026</t>
        </is>
      </c>
      <c r="J6756" s="10" t="inlineStr">
        <is>
          <t>17/03/2026</t>
        </is>
      </c>
      <c r="K6756" s="10" t="inlineStr">
        <is>
          <t>N/A</t>
        </is>
      </c>
      <c r="L6756" s="10" t="inlineStr">
        <is>
          <t>Cơ Khí, Xây Dựng, Giao Thông Vận Tải, Kỹ Thuật</t>
        </is>
      </c>
      <c r="M6756" s="10" t="inlineStr">
        <is>
          <t>Bonus, Healthcare Plan</t>
        </is>
      </c>
      <c r="N6756" s="11">
        <f>HYPERLINK("https://www.vietnamworks.com/nhan-vien-thiet-bi-bao-tri-khu-bay-san-bay-gia-binh-2017786-jv","Xem chi tiết")</f>
        <v/>
      </c>
      <c r="O6756" s="10" t="n"/>
    </row>
    <row r="6757">
      <c r="B6757" s="7" t="n">
        <v>6755</v>
      </c>
      <c r="C6757" t="inlineStr">
        <is>
          <t>Business Development Manager (Commercial Non Food)</t>
        </is>
      </c>
      <c r="D6757" t="inlineStr">
        <is>
          <t>Central Retail in Vietnam</t>
        </is>
      </c>
      <c r="E6757" t="inlineStr">
        <is>
          <t>Thương lượng</t>
        </is>
      </c>
      <c r="F6757" t="inlineStr">
        <is>
          <t>Hồ Chí Minh</t>
        </is>
      </c>
      <c r="G6757" t="inlineStr">
        <is>
          <t>Trưởng phòng</t>
        </is>
      </c>
      <c r="H6757" t="inlineStr">
        <is>
          <t>03/03/2026</t>
        </is>
      </c>
      <c r="I6757" t="inlineStr">
        <is>
          <t>02/04/2026</t>
        </is>
      </c>
      <c r="J6757" t="inlineStr">
        <is>
          <t>17/03/2026</t>
        </is>
      </c>
      <c r="K6757" t="inlineStr">
        <is>
          <t>N/A</t>
        </is>
      </c>
      <c r="L6757" t="inlineStr">
        <is>
          <t>Business Development, Commercial, Data Analysis, Project Management, Strategic Thinking</t>
        </is>
      </c>
      <c r="M6757" t="inlineStr">
        <is>
          <t>Bonus, Healthcare Plan</t>
        </is>
      </c>
      <c r="N6757" s="8">
        <f>HYPERLINK("https://www.vietnamworks.com/business-development-manager-commercial-non-food-2017794-jv","Xem chi tiết")</f>
        <v/>
      </c>
    </row>
    <row r="6758">
      <c r="B6758" s="9" t="n">
        <v>6756</v>
      </c>
      <c r="C6758" s="10" t="inlineStr">
        <is>
          <t>QC Technican (Kỹ Thuật Viên Quản Lý Chất Lượng)</t>
        </is>
      </c>
      <c r="D6758" s="10" t="inlineStr">
        <is>
          <t>Hoya Glass Disk Vietnam</t>
        </is>
      </c>
      <c r="E6758" s="10" t="inlineStr">
        <is>
          <t>Thương lượng</t>
        </is>
      </c>
      <c r="F6758" s="10" t="inlineStr">
        <is>
          <t>Hưng Yên</t>
        </is>
      </c>
      <c r="G6758" s="10" t="inlineStr">
        <is>
          <t>Mới Tốt Nghiệp</t>
        </is>
      </c>
      <c r="H6758" s="10" t="inlineStr">
        <is>
          <t>03/03/2026</t>
        </is>
      </c>
      <c r="I6758" s="10" t="inlineStr">
        <is>
          <t>02/04/2026</t>
        </is>
      </c>
      <c r="J6758" s="10" t="inlineStr">
        <is>
          <t>17/03/2026</t>
        </is>
      </c>
      <c r="K6758" s="10" t="inlineStr">
        <is>
          <t>N/A</t>
        </is>
      </c>
      <c r="L6758" s="10" t="inlineStr">
        <is>
          <t>Tự Động Hóa, Hóa Kỹ Thuật, Kỹ Thuật</t>
        </is>
      </c>
      <c r="M6758" s="10" t="inlineStr">
        <is>
          <t>Bonus, Healthcare Plan, Paid Leave</t>
        </is>
      </c>
      <c r="N6758" s="11">
        <f>HYPERLINK("https://www.vietnamworks.com/qc-technican-ky-thuat-vien-quan-ly-chat-luong--2017790-jv","Xem chi tiết")</f>
        <v/>
      </c>
      <c r="O6758" s="10" t="n"/>
    </row>
    <row r="6759">
      <c r="B6759" s="7" t="n">
        <v>6757</v>
      </c>
      <c r="C6759" t="inlineStr">
        <is>
          <t>Logistics Executive</t>
        </is>
      </c>
      <c r="D6759" t="inlineStr">
        <is>
          <t>Master Martini Vietnam</t>
        </is>
      </c>
      <c r="E6759" t="inlineStr">
        <is>
          <t>Tới $ 800 /tháng</t>
        </is>
      </c>
      <c r="F6759" t="inlineStr">
        <is>
          <t>Hồ Chí Minh</t>
        </is>
      </c>
      <c r="G6759" t="inlineStr">
        <is>
          <t>Nhân viên</t>
        </is>
      </c>
      <c r="H6759" t="inlineStr">
        <is>
          <t>03/03/2026</t>
        </is>
      </c>
      <c r="I6759" t="inlineStr">
        <is>
          <t>02/04/2026</t>
        </is>
      </c>
      <c r="J6759" t="inlineStr">
        <is>
          <t>17/03/2026</t>
        </is>
      </c>
      <c r="K6759" t="inlineStr">
        <is>
          <t>N/A</t>
        </is>
      </c>
      <c r="L6759" t="inlineStr">
        <is>
          <t>Customs Procedures, English Communication, ERP Systems, Food Safety Regulatory, Logistics Management</t>
        </is>
      </c>
      <c r="M6759" t="inlineStr">
        <is>
          <t>Bonus, Training, Laptop, Mobile</t>
        </is>
      </c>
      <c r="N6759" s="8">
        <f>HYPERLINK("https://www.vietnamworks.com/logistics-executive-2017791-jv","Xem chi tiết")</f>
        <v/>
      </c>
    </row>
    <row r="6760">
      <c r="B6760" s="9" t="n">
        <v>6758</v>
      </c>
      <c r="C6760" s="10" t="inlineStr">
        <is>
          <t>Quản Lý Kinh Doanh Vùng (Phụ Trách Khách Hàng Doanh Nghiệp và Địa Bàn Khu Công Nghiệp Trọng Điểm Toàn Quốc - Không Cần Ngồi Văn Phòng)</t>
        </is>
      </c>
      <c r="D6760" s="10" t="inlineStr">
        <is>
          <t>Tổng Công Ty Bưu Điện Việt Nam - VNPOST</t>
        </is>
      </c>
      <c r="E6760" s="10" t="inlineStr">
        <is>
          <t>20tr-100tr ₫/tháng</t>
        </is>
      </c>
      <c r="F6760" s="10" t="inlineStr">
        <is>
          <t>Đồng Nai, Bắc Ninh, Phú Thọ</t>
        </is>
      </c>
      <c r="G6760" s="10" t="inlineStr">
        <is>
          <t>Trưởng phòng</t>
        </is>
      </c>
      <c r="H6760" s="10" t="inlineStr">
        <is>
          <t>03/03/2026</t>
        </is>
      </c>
      <c r="I6760" s="10" t="inlineStr">
        <is>
          <t>02/04/2026</t>
        </is>
      </c>
      <c r="J6760" s="10" t="inlineStr">
        <is>
          <t>17/03/2026</t>
        </is>
      </c>
      <c r="K6760" s="10" t="inlineStr">
        <is>
          <t>N/A</t>
        </is>
      </c>
      <c r="L6760" s="10" t="inlineStr">
        <is>
          <t>Lãnh Đạo, Quản Trị Đội Ngũ, Xây Dựng Chiến Lược, B2B, Quản lí kinh doanh</t>
        </is>
      </c>
      <c r="M6760" s="10" t="inlineStr">
        <is>
          <t>Bonus, Healthcare Plan, Training, Team Activities</t>
        </is>
      </c>
      <c r="N6760" s="11">
        <f>HYPERLINK("https://www.vietnamworks.com/quan-ly-kinh-doanh-vung-phu-trach-khach-hang-doanh-nghiep-va-djia-ban-khu-cong-nghiep-trong-djiem-toan-quoc-khong-can-ngoi-van-phong-2017772-jv","Xem chi tiết")</f>
        <v/>
      </c>
      <c r="O6760" s="10" t="n"/>
    </row>
    <row r="6761">
      <c r="B6761" s="7" t="n">
        <v>6759</v>
      </c>
      <c r="C6761" t="inlineStr">
        <is>
          <t>[Tân An - Long An] Sales Supervisor/ Giám Sát Bán Hàng Kênh GT</t>
        </is>
      </c>
      <c r="D6761" t="inlineStr">
        <is>
          <t>Diana Unicharm JSC</t>
        </is>
      </c>
      <c r="E6761" t="inlineStr">
        <is>
          <t>Thương lượng</t>
        </is>
      </c>
      <c r="F6761" t="inlineStr">
        <is>
          <t>Tây Ninh</t>
        </is>
      </c>
      <c r="G6761" t="inlineStr">
        <is>
          <t>Nhân viên</t>
        </is>
      </c>
      <c r="H6761" t="inlineStr">
        <is>
          <t>03/03/2026</t>
        </is>
      </c>
      <c r="I6761" t="inlineStr">
        <is>
          <t>02/04/2026</t>
        </is>
      </c>
      <c r="J6761" t="inlineStr">
        <is>
          <t>17/03/2026</t>
        </is>
      </c>
      <c r="K6761" t="inlineStr">
        <is>
          <t>N/A</t>
        </is>
      </c>
      <c r="L6761" t="inlineStr">
        <is>
          <t>FMCG, Sales Planning, Sales</t>
        </is>
      </c>
      <c r="M6761" t="inlineStr">
        <is>
          <t>Bonus, Healthcare Plan, Others</t>
        </is>
      </c>
      <c r="N6761" s="8">
        <f>HYPERLINK("https://www.vietnamworks.com/tan-an-long-an-sales-supervisor-giam-sat-ban-hang-kenh-gt-2017787-jv","Xem chi tiết")</f>
        <v/>
      </c>
    </row>
    <row r="6762">
      <c r="B6762" s="9" t="n">
        <v>6760</v>
      </c>
      <c r="C6762" s="10" t="inlineStr">
        <is>
          <t>Market Research Analyst (Senior)</t>
        </is>
      </c>
      <c r="D6762" s="10" t="inlineStr">
        <is>
          <t>CÔNG TY CỔ PHẦN CMC OPENAI</t>
        </is>
      </c>
      <c r="E6762" s="10" t="inlineStr">
        <is>
          <t>Tới 45tr ₫/tháng</t>
        </is>
      </c>
      <c r="F6762" s="10" t="inlineStr">
        <is>
          <t>Hà Nội</t>
        </is>
      </c>
      <c r="G6762" s="10" t="inlineStr">
        <is>
          <t>Nhân viên</t>
        </is>
      </c>
      <c r="H6762" s="10" t="inlineStr">
        <is>
          <t>03/03/2026</t>
        </is>
      </c>
      <c r="I6762" s="10" t="inlineStr">
        <is>
          <t>02/04/2026</t>
        </is>
      </c>
      <c r="J6762" s="10" t="inlineStr">
        <is>
          <t>17/03/2026</t>
        </is>
      </c>
      <c r="K6762" s="10" t="inlineStr">
        <is>
          <t>N/A</t>
        </is>
      </c>
      <c r="L6762" s="10" t="inlineStr">
        <is>
          <t>Market Research, Nghiên Cứu Thị Trường, Phân Tích Dữ Liệu, Power BI, SQL</t>
        </is>
      </c>
      <c r="M6762" s="10" t="inlineStr">
        <is>
          <t>Bonus, Healthcare Plan, Others</t>
        </is>
      </c>
      <c r="N6762" s="11">
        <f>HYPERLINK("https://www.vietnamworks.com/market-research-analyst-senior-2017768-jv","Xem chi tiết")</f>
        <v/>
      </c>
      <c r="O6762" s="10" t="n"/>
    </row>
    <row r="6763">
      <c r="B6763" s="7" t="n">
        <v>6761</v>
      </c>
      <c r="C6763" t="inlineStr">
        <is>
          <t>Phó Phòng Dịch Vụ Kho (Quản Lý Hiện Trường)</t>
        </is>
      </c>
      <c r="D6763" t="inlineStr">
        <is>
          <t>Công Ty TNHH Một Thành Viên Transimex Hi Tech Park Logistics</t>
        </is>
      </c>
      <c r="E6763" t="inlineStr">
        <is>
          <t>$$ 1,000-1,500 /tháng</t>
        </is>
      </c>
      <c r="F6763" t="inlineStr">
        <is>
          <t>Hồ Chí Minh</t>
        </is>
      </c>
      <c r="G6763" t="inlineStr">
        <is>
          <t>Trưởng phòng</t>
        </is>
      </c>
      <c r="H6763" t="inlineStr">
        <is>
          <t>03/03/2026</t>
        </is>
      </c>
      <c r="I6763" t="inlineStr">
        <is>
          <t>02/04/2026</t>
        </is>
      </c>
      <c r="J6763" t="inlineStr">
        <is>
          <t>17/03/2026</t>
        </is>
      </c>
      <c r="K6763" t="inlineStr">
        <is>
          <t>N/A</t>
        </is>
      </c>
      <c r="L6763" t="inlineStr">
        <is>
          <t>Warehouse Management, Quản Lý Kho Hàng Hóa, Quản Lý Kho Bãi, Logistics, Giám Sát Hiện Trường</t>
        </is>
      </c>
      <c r="M6763" t="inlineStr">
        <is>
          <t>Bonus, Healthcare Plan, Travel Opportunities</t>
        </is>
      </c>
      <c r="N6763" s="8">
        <f>HYPERLINK("https://www.vietnamworks.com/pho-phong-dich-vu-kho-quan-ly-hien-truong--2017798-jv","Xem chi tiết")</f>
        <v/>
      </c>
    </row>
    <row r="6764">
      <c r="B6764" s="9" t="n">
        <v>6762</v>
      </c>
      <c r="C6764" s="10" t="inlineStr">
        <is>
          <t>Nhân Viên Mua Bán Vật Tư</t>
        </is>
      </c>
      <c r="D6764" s="10" t="inlineStr">
        <is>
          <t>Công ty Cổ Phần đầu tư VIC Việt Nam</t>
        </is>
      </c>
      <c r="E6764" s="10" t="inlineStr">
        <is>
          <t>12tr-16tr ₫/tháng</t>
        </is>
      </c>
      <c r="F6764" s="10" t="inlineStr">
        <is>
          <t>Hà Nội</t>
        </is>
      </c>
      <c r="G6764" s="10" t="inlineStr">
        <is>
          <t>Mới Tốt Nghiệp</t>
        </is>
      </c>
      <c r="H6764" s="10" t="inlineStr">
        <is>
          <t>03/03/2026</t>
        </is>
      </c>
      <c r="I6764" s="10" t="inlineStr">
        <is>
          <t>02/04/2026</t>
        </is>
      </c>
      <c r="J6764" s="10" t="inlineStr">
        <is>
          <t>17/03/2026</t>
        </is>
      </c>
      <c r="K6764" s="10" t="inlineStr">
        <is>
          <t>N/A</t>
        </is>
      </c>
      <c r="L6764" s="10" t="inlineStr">
        <is>
          <t>Kinh Tế Xây Dựng, Bóc Tách Khối Lượng, AutoCAD, Giá Thành Vật Tư, Mua Bán Vật Tư</t>
        </is>
      </c>
      <c r="M6764" s="10" t="inlineStr">
        <is>
          <t>Bonus, Healthcare Plan, Training, Travel Opportunities, Others</t>
        </is>
      </c>
      <c r="N6764" s="11">
        <f>HYPERLINK("https://www.vietnamworks.com/nhan-vien-mua-ban-vat-tu-2017795-jv","Xem chi tiết")</f>
        <v/>
      </c>
      <c r="O6764" s="10" t="n"/>
    </row>
    <row r="6765">
      <c r="B6765" s="7" t="n">
        <v>6763</v>
      </c>
      <c r="C6765" t="inlineStr">
        <is>
          <t>Business Analyst (Chuyên Viên Phân Tích Nghiệp Vụ)</t>
        </is>
      </c>
      <c r="D6765" t="inlineStr">
        <is>
          <t>CÔNG TY CỔ PHẦN CMC OPENAI</t>
        </is>
      </c>
      <c r="E6765" t="inlineStr">
        <is>
          <t>Tới 40tr ₫/tháng</t>
        </is>
      </c>
      <c r="F6765" t="inlineStr">
        <is>
          <t>Hà Nội</t>
        </is>
      </c>
      <c r="G6765" t="inlineStr">
        <is>
          <t>Nhân viên</t>
        </is>
      </c>
      <c r="H6765" t="inlineStr">
        <is>
          <t>03/03/2026</t>
        </is>
      </c>
      <c r="I6765" t="inlineStr">
        <is>
          <t>02/04/2026</t>
        </is>
      </c>
      <c r="J6765" t="inlineStr">
        <is>
          <t>17/03/2026</t>
        </is>
      </c>
      <c r="K6765" t="inlineStr">
        <is>
          <t>N/A</t>
        </is>
      </c>
      <c r="L6765" t="inlineStr">
        <is>
          <t>SQL, API, Giao Tiếp, Làm Việc Nhóm, business analyst</t>
        </is>
      </c>
      <c r="M6765" t="inlineStr">
        <is>
          <t>Bonus, Healthcare Plan, Training, Others</t>
        </is>
      </c>
      <c r="N6765" s="8">
        <f>HYPERLINK("https://www.vietnamworks.com/business-analyst-chuyen-vien-phan-tich-nghiep-vu-2017767-jv","Xem chi tiết")</f>
        <v/>
      </c>
    </row>
    <row r="6766">
      <c r="B6766" s="9" t="n">
        <v>6764</v>
      </c>
      <c r="C6766" s="10" t="inlineStr">
        <is>
          <t>Engineering Admin (Open for Fresher)</t>
        </is>
      </c>
      <c r="D6766" s="10" t="inlineStr">
        <is>
          <t>Simpson Strong-Tie Vietnam Company Limited</t>
        </is>
      </c>
      <c r="E6766" s="10" t="inlineStr">
        <is>
          <t>Thương lượng</t>
        </is>
      </c>
      <c r="F6766" s="10" t="inlineStr">
        <is>
          <t>Hồ Chí Minh</t>
        </is>
      </c>
      <c r="G6766" s="10" t="inlineStr">
        <is>
          <t>Nhân viên</t>
        </is>
      </c>
      <c r="H6766" s="10" t="inlineStr">
        <is>
          <t>03/03/2026</t>
        </is>
      </c>
      <c r="I6766" s="10" t="inlineStr">
        <is>
          <t>02/04/2026</t>
        </is>
      </c>
      <c r="J6766" s="10" t="inlineStr">
        <is>
          <t>17/03/2026</t>
        </is>
      </c>
      <c r="K6766" s="10" t="inlineStr">
        <is>
          <t>N/A</t>
        </is>
      </c>
      <c r="L6766" s="10" t="inlineStr">
        <is>
          <t>Report Writing, Technical Administration, Engineering</t>
        </is>
      </c>
      <c r="M6766" s="10" t="inlineStr">
        <is>
          <t>Bonus, Healthcare Plan, Paid Leave</t>
        </is>
      </c>
      <c r="N6766" s="11">
        <f>HYPERLINK("https://www.vietnamworks.com/engineering-admin-open-for-fresher--2017773-jv","Xem chi tiết")</f>
        <v/>
      </c>
      <c r="O6766" s="10" t="n"/>
    </row>
    <row r="6767">
      <c r="B6767" s="7" t="n">
        <v>6765</v>
      </c>
      <c r="C6767" t="inlineStr">
        <is>
          <t>Phụ Trách Vận Hành Chuỗi Cửa Hàng Bách Hóa Bưu Điện</t>
        </is>
      </c>
      <c r="D6767" t="inlineStr">
        <is>
          <t>Tổng Công Ty Bưu Điện Việt Nam - VNPOST</t>
        </is>
      </c>
      <c r="E6767" t="inlineStr">
        <is>
          <t>42tr-70tr ₫/tháng</t>
        </is>
      </c>
      <c r="F6767" t="inlineStr">
        <is>
          <t>Hà Nội</t>
        </is>
      </c>
      <c r="G6767" t="inlineStr">
        <is>
          <t>Trưởng phòng</t>
        </is>
      </c>
      <c r="H6767" t="inlineStr">
        <is>
          <t>03/03/2026</t>
        </is>
      </c>
      <c r="I6767" t="inlineStr">
        <is>
          <t>02/04/2026</t>
        </is>
      </c>
      <c r="J6767" t="inlineStr">
        <is>
          <t>17/03/2026</t>
        </is>
      </c>
      <c r="K6767" t="inlineStr">
        <is>
          <t>N/A</t>
        </is>
      </c>
      <c r="L6767" t="inlineStr">
        <is>
          <t>Kinh doanh dịch vụ CNTT, Quản Trị Đội Ngũ, Xây Dựng Chiến Lược, Phát Triển Kinh Doanh, Phát Triển Kinh Doanh Bán Lẻ</t>
        </is>
      </c>
      <c r="M6767" t="inlineStr">
        <is>
          <t>Bonus, Healthcare Plan, Training, Team Activities, Others</t>
        </is>
      </c>
      <c r="N6767" s="8">
        <f>HYPERLINK("https://www.vietnamworks.com/phu-trach-van-hanh-chuoi-cua-hang-bach-hoa-buu-djien-2017782-jv","Xem chi tiết")</f>
        <v/>
      </c>
    </row>
    <row r="6768">
      <c r="B6768" s="9" t="n">
        <v>6766</v>
      </c>
      <c r="C6768" s="10" t="inlineStr">
        <is>
          <t>Sales Engineer - Hệ Smart Home, Hệ Chiếu Sáng (15-20M + % Doanh Thu)</t>
        </is>
      </c>
      <c r="D6768" s="10" t="inlineStr">
        <is>
          <t>Công Ty Cổ Phần Công Nghệ HDP Việt Nam</t>
        </is>
      </c>
      <c r="E6768" s="10" t="inlineStr">
        <is>
          <t>15tr-20tr ₫/tháng</t>
        </is>
      </c>
      <c r="F6768" s="10" t="inlineStr">
        <is>
          <t>Hồ Chí Minh, Hà Nội, Đà Nẵng</t>
        </is>
      </c>
      <c r="G6768" s="10" t="inlineStr">
        <is>
          <t>Nhân viên</t>
        </is>
      </c>
      <c r="H6768" s="10" t="inlineStr">
        <is>
          <t>03/03/2026</t>
        </is>
      </c>
      <c r="I6768" s="10" t="inlineStr">
        <is>
          <t>02/04/2026</t>
        </is>
      </c>
      <c r="J6768" s="10" t="inlineStr">
        <is>
          <t>17/03/2026</t>
        </is>
      </c>
      <c r="K6768" s="10" t="inlineStr">
        <is>
          <t>N/A</t>
        </is>
      </c>
      <c r="L6768" s="10" t="inlineStr">
        <is>
          <t>Kỹ năng làm việc nhóm, Kỹ Năng Thuyết Trình</t>
        </is>
      </c>
      <c r="M6768" s="10" t="inlineStr">
        <is>
          <t>Bonus, Others</t>
        </is>
      </c>
      <c r="N6768" s="11">
        <f>HYPERLINK("https://www.vietnamworks.com/sales-engineer-he-smart-home-he-chieu-sang-15-20m-percent-doanh-thu-2017777-jv","Xem chi tiết")</f>
        <v/>
      </c>
      <c r="O6768" s="10" t="n"/>
    </row>
    <row r="6769">
      <c r="B6769" s="7" t="n">
        <v>6767</v>
      </c>
      <c r="C6769" t="inlineStr">
        <is>
          <t>Chuyên Gia Quản Trị Hiệu Suất</t>
        </is>
      </c>
      <c r="D6769" t="inlineStr">
        <is>
          <t>Edupia</t>
        </is>
      </c>
      <c r="E6769" t="inlineStr">
        <is>
          <t>Tới 40tr ₫/tháng</t>
        </is>
      </c>
      <c r="F6769" t="inlineStr">
        <is>
          <t>Hà Nội</t>
        </is>
      </c>
      <c r="G6769" t="inlineStr">
        <is>
          <t>Nhân viên</t>
        </is>
      </c>
      <c r="H6769" t="inlineStr">
        <is>
          <t>03/03/2026</t>
        </is>
      </c>
      <c r="I6769" t="inlineStr">
        <is>
          <t>02/04/2026</t>
        </is>
      </c>
      <c r="J6769" t="inlineStr">
        <is>
          <t>17/03/2026</t>
        </is>
      </c>
      <c r="K6769" t="inlineStr">
        <is>
          <t>N/A</t>
        </is>
      </c>
      <c r="L6769" t="inlineStr">
        <is>
          <t>Analytical Thinking, Performance Frameworks, Business Intelligence, KPI Master, Total Rewards</t>
        </is>
      </c>
      <c r="M6769" t="inlineStr">
        <is>
          <t>Bonus, Healthcare Plan, Paid Leave, Awards, Team Activities, Others</t>
        </is>
      </c>
      <c r="N6769" s="8">
        <f>HYPERLINK("https://www.vietnamworks.com/chuyen-gia-quan-tri-hieu-suat--2017769-jv","Xem chi tiết")</f>
        <v/>
      </c>
    </row>
    <row r="6770">
      <c r="B6770" s="9" t="n">
        <v>6768</v>
      </c>
      <c r="C6770" s="10" t="inlineStr">
        <is>
          <t>Trưởng Phòng Hành Chính Nhân Sự</t>
        </is>
      </c>
      <c r="D6770" s="10" t="inlineStr">
        <is>
          <t>Công Ty TNHH Một Thành Viên Transimex Hi Tech Park Logistics</t>
        </is>
      </c>
      <c r="E6770" s="10" t="inlineStr">
        <is>
          <t>$$ 1,000-1,500 /tháng</t>
        </is>
      </c>
      <c r="F6770" s="10" t="inlineStr">
        <is>
          <t>Bình Dương</t>
        </is>
      </c>
      <c r="G6770" s="10" t="inlineStr">
        <is>
          <t>Trưởng phòng</t>
        </is>
      </c>
      <c r="H6770" s="10" t="inlineStr">
        <is>
          <t>03/03/2026</t>
        </is>
      </c>
      <c r="I6770" s="10" t="inlineStr">
        <is>
          <t>02/04/2026</t>
        </is>
      </c>
      <c r="J6770" s="10" t="inlineStr">
        <is>
          <t>17/03/2026</t>
        </is>
      </c>
      <c r="K6770" s="10" t="inlineStr">
        <is>
          <t>N/A</t>
        </is>
      </c>
      <c r="L6770" s="10" t="inlineStr">
        <is>
          <t>Warehouse Management, Quản Lý Kho Phân Phối, Warehouse Operation, Quản Lý Kho, Operating Logistics Management</t>
        </is>
      </c>
      <c r="M6770" s="10" t="inlineStr">
        <is>
          <t>Bonus, Paid Leave, Canteen</t>
        </is>
      </c>
      <c r="N6770" s="11">
        <f>HYPERLINK("https://www.vietnamworks.com/truong-phong-hanh-chinh-nhan-su--2017796-jv","Xem chi tiết")</f>
        <v/>
      </c>
      <c r="O6770" s="10" t="n"/>
    </row>
    <row r="6771">
      <c r="B6771" s="7" t="n">
        <v>6769</v>
      </c>
      <c r="C6771" t="inlineStr">
        <is>
          <t>Senior Application And Data Security Officer</t>
        </is>
      </c>
      <c r="D6771" t="inlineStr">
        <is>
          <t>Ngân Hàng TNHH Indovina – Hội Sở</t>
        </is>
      </c>
      <c r="E6771" t="inlineStr">
        <is>
          <t>$$ 800-1,100 /tháng</t>
        </is>
      </c>
      <c r="F6771" t="inlineStr">
        <is>
          <t>Hồ Chí Minh</t>
        </is>
      </c>
      <c r="G6771" t="inlineStr">
        <is>
          <t>Nhân viên</t>
        </is>
      </c>
      <c r="H6771" t="inlineStr">
        <is>
          <t>03/03/2026</t>
        </is>
      </c>
      <c r="I6771" t="inlineStr">
        <is>
          <t>02/04/2026</t>
        </is>
      </c>
      <c r="J6771" t="inlineStr">
        <is>
          <t>17/03/2026</t>
        </is>
      </c>
      <c r="K6771" t="inlineStr">
        <is>
          <t>N/A</t>
        </is>
      </c>
      <c r="L6771" t="inlineStr">
        <is>
          <t>N/A</t>
        </is>
      </c>
      <c r="M6771" t="inlineStr">
        <is>
          <t>Bonus, Healthcare Plan, Training</t>
        </is>
      </c>
      <c r="N6771" s="8">
        <f>HYPERLINK("https://www.vietnamworks.com/senior-application-and-data-security-officer-2017789-jv","Xem chi tiết")</f>
        <v/>
      </c>
    </row>
    <row r="6772">
      <c r="B6772" s="9" t="n">
        <v>6770</v>
      </c>
      <c r="C6772" s="10" t="inlineStr">
        <is>
          <t>Administration And Human Resources Officer (Based in Manila, Phillippines)</t>
        </is>
      </c>
      <c r="D6772" s="10" t="inlineStr">
        <is>
          <t>CÔNG TY CỔ PHẦN NĂNG LƯỢNG VINENERGO</t>
        </is>
      </c>
      <c r="E6772" s="10" t="inlineStr">
        <is>
          <t>Thương lượng</t>
        </is>
      </c>
      <c r="F6772" s="10" t="inlineStr">
        <is>
          <t>Quốc tế</t>
        </is>
      </c>
      <c r="G6772" s="10" t="inlineStr">
        <is>
          <t>Nhân viên</t>
        </is>
      </c>
      <c r="H6772" s="10" t="inlineStr">
        <is>
          <t>03/03/2026</t>
        </is>
      </c>
      <c r="I6772" s="10" t="inlineStr">
        <is>
          <t>02/04/2026</t>
        </is>
      </c>
      <c r="J6772" s="10" t="inlineStr">
        <is>
          <t>17/03/2026</t>
        </is>
      </c>
      <c r="K6772" s="10" t="inlineStr">
        <is>
          <t>N/A</t>
        </is>
      </c>
      <c r="L6772" s="10" t="inlineStr">
        <is>
          <t>Communication Skills, Human Resources Management, Knowledge of Employment Law, MS Office, Organizational skills</t>
        </is>
      </c>
      <c r="M6772" s="10" t="inlineStr">
        <is>
          <t>Bonus, Healthcare Plan, Training, Others</t>
        </is>
      </c>
      <c r="N6772" s="11">
        <f>HYPERLINK("https://www.vietnamworks.com/administration-and-human-resources-officer-based-in-manila-phillippines-2017780-jv","Xem chi tiết")</f>
        <v/>
      </c>
      <c r="O6772" s="10" t="n"/>
    </row>
    <row r="6773">
      <c r="B6773" s="7" t="n">
        <v>6771</v>
      </c>
      <c r="C6773" t="inlineStr">
        <is>
          <t>Trưởng Nhóm Hợp Đồng Xây Dựng</t>
        </is>
      </c>
      <c r="D6773" t="inlineStr">
        <is>
          <t>Công Ty Cổ Phần Tập Đoàn BRG</t>
        </is>
      </c>
      <c r="E6773" t="inlineStr">
        <is>
          <t>Thương lượng</t>
        </is>
      </c>
      <c r="F6773" t="inlineStr">
        <is>
          <t>Hà Nội</t>
        </is>
      </c>
      <c r="G6773" t="inlineStr">
        <is>
          <t>Trưởng phòng</t>
        </is>
      </c>
      <c r="H6773" t="inlineStr">
        <is>
          <t>03/03/2026</t>
        </is>
      </c>
      <c r="I6773" t="inlineStr">
        <is>
          <t>02/04/2026</t>
        </is>
      </c>
      <c r="J6773" t="inlineStr">
        <is>
          <t>17/03/2026</t>
        </is>
      </c>
      <c r="K6773" t="inlineStr">
        <is>
          <t>N/A</t>
        </is>
      </c>
      <c r="L6773" t="inlineStr">
        <is>
          <t>Đấu Thầu Xây Dựng</t>
        </is>
      </c>
      <c r="M6773" t="inlineStr">
        <is>
          <t>Bonus, Healthcare Plan, Travel Opportunities</t>
        </is>
      </c>
      <c r="N6773" s="8">
        <f>HYPERLINK("https://www.vietnamworks.com/truong-nhom-hop-dong-xay-dung--2017785-jv","Xem chi tiết")</f>
        <v/>
      </c>
    </row>
    <row r="6774">
      <c r="B6774" s="9" t="n">
        <v>6772</v>
      </c>
      <c r="C6774" s="10" t="inlineStr">
        <is>
          <t>Training Manager</t>
        </is>
      </c>
      <c r="D6774" s="10" t="inlineStr">
        <is>
          <t>Tập Đoàn Vingroup - Công Ty Cổ phần Vincom Retail</t>
        </is>
      </c>
      <c r="E6774" s="10" t="inlineStr">
        <is>
          <t>Thương lượng</t>
        </is>
      </c>
      <c r="F6774" s="10" t="inlineStr">
        <is>
          <t>Hà Nội</t>
        </is>
      </c>
      <c r="G6774" s="10" t="inlineStr">
        <is>
          <t>Trưởng phòng</t>
        </is>
      </c>
      <c r="H6774" s="10" t="inlineStr">
        <is>
          <t>03/03/2026</t>
        </is>
      </c>
      <c r="I6774" s="10" t="inlineStr">
        <is>
          <t>02/04/2026</t>
        </is>
      </c>
      <c r="J6774" s="10" t="inlineStr">
        <is>
          <t>17/03/2026</t>
        </is>
      </c>
      <c r="K6774" s="10" t="inlineStr">
        <is>
          <t>N/A</t>
        </is>
      </c>
      <c r="L6774" s="10" t="inlineStr">
        <is>
          <t>Đào Tạo Nhân Sự, Đào Tạo, Quản Lý Đào Tạo, Đào Tạo Bán Hàng, Training</t>
        </is>
      </c>
      <c r="M6774" s="10" t="inlineStr">
        <is>
          <t>Bonus, Canteen, Others</t>
        </is>
      </c>
      <c r="N6774" s="11">
        <f>HYPERLINK("https://www.vietnamworks.com/training-manager--2017803-jv","Xem chi tiết")</f>
        <v/>
      </c>
      <c r="O6774" s="10" t="n"/>
    </row>
    <row r="6775">
      <c r="B6775" s="7" t="n">
        <v>6773</v>
      </c>
      <c r="C6775" t="inlineStr">
        <is>
          <t>Project Manager (Marketing)</t>
        </is>
      </c>
      <c r="D6775" t="inlineStr">
        <is>
          <t>Simpson Strong-Tie Vietnam Company Limited</t>
        </is>
      </c>
      <c r="E6775" t="inlineStr">
        <is>
          <t>Thương lượng</t>
        </is>
      </c>
      <c r="F6775" t="inlineStr">
        <is>
          <t>Hồ Chí Minh</t>
        </is>
      </c>
      <c r="G6775" t="inlineStr">
        <is>
          <t>Trưởng phòng</t>
        </is>
      </c>
      <c r="H6775" t="inlineStr">
        <is>
          <t>03/03/2026</t>
        </is>
      </c>
      <c r="I6775" t="inlineStr">
        <is>
          <t>02/04/2026</t>
        </is>
      </c>
      <c r="J6775" t="inlineStr">
        <is>
          <t>17/03/2026</t>
        </is>
      </c>
      <c r="K6775" t="inlineStr">
        <is>
          <t>N/A</t>
        </is>
      </c>
      <c r="L6775" t="inlineStr">
        <is>
          <t>Agile Methodologies, Marketing Support, Project Management, Stakeholder Management, Commumication</t>
        </is>
      </c>
      <c r="M6775" t="inlineStr">
        <is>
          <t>Bonus, Healthcare Plan, Paid Leave</t>
        </is>
      </c>
      <c r="N6775" s="8">
        <f>HYPERLINK("https://www.vietnamworks.com/project-manager-marketing-2017805-jv","Xem chi tiết")</f>
        <v/>
      </c>
    </row>
    <row r="6776">
      <c r="B6776" s="9" t="n">
        <v>6774</v>
      </c>
      <c r="C6776" s="10" t="inlineStr">
        <is>
          <t>Giám Sát Bảo Trì - Maintenance Supervisor</t>
        </is>
      </c>
      <c r="D6776" s="10" t="inlineStr">
        <is>
          <t>Archer Daniels Midland (ADM)</t>
        </is>
      </c>
      <c r="E6776" s="10" t="inlineStr">
        <is>
          <t>Thương lượng</t>
        </is>
      </c>
      <c r="F6776" s="10" t="inlineStr">
        <is>
          <t>Đồng Nai</t>
        </is>
      </c>
      <c r="G6776" s="10" t="inlineStr">
        <is>
          <t>Nhân viên</t>
        </is>
      </c>
      <c r="H6776" s="10" t="inlineStr">
        <is>
          <t>03/03/2026</t>
        </is>
      </c>
      <c r="I6776" s="10" t="inlineStr">
        <is>
          <t>02/04/2026</t>
        </is>
      </c>
      <c r="J6776" s="10" t="inlineStr">
        <is>
          <t>17/03/2026</t>
        </is>
      </c>
      <c r="K6776" s="10" t="inlineStr">
        <is>
          <t>N/A</t>
        </is>
      </c>
      <c r="L6776" s="10" t="inlineStr">
        <is>
          <t>Maintenance, Giám Sát Bảo Trì, Bảo Trì, Cơ Khí, Mechanical</t>
        </is>
      </c>
      <c r="M6776" s="10" t="inlineStr">
        <is>
          <t>Healthcare Plan</t>
        </is>
      </c>
      <c r="N6776" s="11">
        <f>HYPERLINK("https://www.vietnamworks.com/giam-sat-bao-tri-maintenance-supervisor--2017815-jv","Xem chi tiết")</f>
        <v/>
      </c>
      <c r="O6776" s="10" t="n"/>
    </row>
    <row r="6777">
      <c r="B6777" s="7" t="n">
        <v>6775</v>
      </c>
      <c r="C6777" t="inlineStr">
        <is>
          <t>Kỹ Sư Hạ Tầng Giao Thông (Cầu - Kết Cấu Thép)</t>
        </is>
      </c>
      <c r="D6777" t="inlineStr">
        <is>
          <t>Công Ty Cổ Phần Kết Cấu Thép ATAD</t>
        </is>
      </c>
      <c r="E6777" t="inlineStr">
        <is>
          <t>$$ 1,000-1,200 /tháng</t>
        </is>
      </c>
      <c r="F6777" t="inlineStr">
        <is>
          <t>Hà Nội</t>
        </is>
      </c>
      <c r="G6777" t="inlineStr">
        <is>
          <t>Nhân viên</t>
        </is>
      </c>
      <c r="H6777" t="inlineStr">
        <is>
          <t>03/03/2026</t>
        </is>
      </c>
      <c r="I6777" t="inlineStr">
        <is>
          <t>02/04/2026</t>
        </is>
      </c>
      <c r="J6777" t="inlineStr">
        <is>
          <t>17/03/2026</t>
        </is>
      </c>
      <c r="K6777" t="inlineStr">
        <is>
          <t>N/A</t>
        </is>
      </c>
      <c r="L6777" t="inlineStr">
        <is>
          <t>Hạ Tầng Kết Cấu, Midas Civil, Tiêu Chuẩn Thiết Kế Cầu, Kết Cấu Thép, Kỹ Sư Kết Cấu Thép</t>
        </is>
      </c>
      <c r="M6777" t="inlineStr">
        <is>
          <t>Bonus, Paid Leave, Travel Opportunities</t>
        </is>
      </c>
      <c r="N6777" s="8">
        <f>HYPERLINK("https://www.vietnamworks.com/ky-su-ha-tang-giao-thong-cau-ket-cau-thep-2017806-jv","Xem chi tiết")</f>
        <v/>
      </c>
    </row>
    <row r="6778">
      <c r="B6778" s="9" t="n">
        <v>6776</v>
      </c>
      <c r="C6778" s="10" t="inlineStr">
        <is>
          <t>Kỹ Sư Kỹ Thuật Sản Phẩm Nội Thất/furniture Technical Engineer</t>
        </is>
      </c>
      <c r="D6778" s="10" t="inlineStr">
        <is>
          <t>CÔNG TY TNHH TRANS PACIFIC SOLUTIONS</t>
        </is>
      </c>
      <c r="E6778" s="10" t="inlineStr">
        <is>
          <t>Thương lượng</t>
        </is>
      </c>
      <c r="F6778" s="10" t="inlineStr">
        <is>
          <t>Hồ Chí Minh</t>
        </is>
      </c>
      <c r="G6778" s="10" t="inlineStr">
        <is>
          <t>Nhân viên</t>
        </is>
      </c>
      <c r="H6778" s="10" t="inlineStr">
        <is>
          <t>12/01/2026</t>
        </is>
      </c>
      <c r="I6778" s="10" t="inlineStr">
        <is>
          <t>03/04/2026</t>
        </is>
      </c>
      <c r="J6778" s="10" t="inlineStr">
        <is>
          <t>17/03/2026</t>
        </is>
      </c>
      <c r="K6778" s="10" t="inlineStr">
        <is>
          <t>N/A</t>
        </is>
      </c>
      <c r="L6778" s="10" t="inlineStr">
        <is>
          <t>AutoCAD, SolidWorks, Sourcing, Furniture, Kỹ Thuật</t>
        </is>
      </c>
      <c r="M6778" s="10" t="inlineStr">
        <is>
          <t>Bonus, Healthcare Plan, Awards</t>
        </is>
      </c>
      <c r="N6778" s="11">
        <f>HYPERLINK("https://www.vietnamworks.com/ky-su-ky-thuat-san-pham-noi-that-furniture-technical-engineer-2001454-jv","Xem chi tiết")</f>
        <v/>
      </c>
      <c r="O6778" s="10" t="n"/>
    </row>
    <row r="6779">
      <c r="B6779" s="7" t="n">
        <v>6777</v>
      </c>
      <c r="C6779" t="inlineStr">
        <is>
          <t>Creative Lead – Social &amp; Product Design (Remote)</t>
        </is>
      </c>
      <c r="D6779" t="inlineStr">
        <is>
          <t>Fastboy Marketing</t>
        </is>
      </c>
      <c r="E6779" t="inlineStr">
        <is>
          <t>Tới $ 1,000 /tháng</t>
        </is>
      </c>
      <c r="F6779" t="inlineStr">
        <is>
          <t>Hồ Chí Minh</t>
        </is>
      </c>
      <c r="G6779" t="inlineStr">
        <is>
          <t>Trưởng phòng</t>
        </is>
      </c>
      <c r="H6779" t="inlineStr">
        <is>
          <t>03/03/2026</t>
        </is>
      </c>
      <c r="I6779" t="inlineStr">
        <is>
          <t>02/04/2026</t>
        </is>
      </c>
      <c r="J6779" t="inlineStr">
        <is>
          <t>17/03/2026</t>
        </is>
      </c>
      <c r="K6779" t="inlineStr">
        <is>
          <t>N/A</t>
        </is>
      </c>
      <c r="L6779" t="inlineStr">
        <is>
          <t>Adobe Creative Suite, Branding, Personal Leadership, Social Media Marketing, Team Management</t>
        </is>
      </c>
      <c r="M6779" t="inlineStr">
        <is>
          <t>Others</t>
        </is>
      </c>
      <c r="N6779" s="8">
        <f>HYPERLINK("https://www.vietnamworks.com/creative-lead-social-and-product-design-remote-2017808-jv","Xem chi tiết")</f>
        <v/>
      </c>
    </row>
    <row r="6780">
      <c r="B6780" s="9" t="n">
        <v>6778</v>
      </c>
      <c r="C6780" s="10" t="inlineStr">
        <is>
          <t>Giám Sát Thi Công Dân Dụng</t>
        </is>
      </c>
      <c r="D6780" s="10" t="inlineStr">
        <is>
          <t>Ha Tang Do Thi Corporation</t>
        </is>
      </c>
      <c r="E6780" s="10" t="inlineStr">
        <is>
          <t>Thương lượng</t>
        </is>
      </c>
      <c r="F6780" s="10" t="inlineStr">
        <is>
          <t>An Giang</t>
        </is>
      </c>
      <c r="G6780" s="10" t="inlineStr">
        <is>
          <t>Nhân viên</t>
        </is>
      </c>
      <c r="H6780" s="10" t="inlineStr">
        <is>
          <t>16/07/2021</t>
        </is>
      </c>
      <c r="I6780" s="10" t="inlineStr">
        <is>
          <t>03/04/2026</t>
        </is>
      </c>
      <c r="J6780" s="10" t="inlineStr">
        <is>
          <t>17/03/2026</t>
        </is>
      </c>
      <c r="K6780" s="10" t="inlineStr">
        <is>
          <t>N/A</t>
        </is>
      </c>
      <c r="L6780" s="10" t="inlineStr">
        <is>
          <t>Xây Dựng Dân Dụng, Giám Sát Thi Công, Xây Dựng, Kỹ Thuật Xây Dựng, Đầu Tư Dự Án Xây Dựng</t>
        </is>
      </c>
      <c r="M6780" s="10" t="inlineStr">
        <is>
          <t>Bonus, Healthcare Plan, Travel Opportunities</t>
        </is>
      </c>
      <c r="N6780" s="11">
        <f>HYPERLINK("https://www.vietnamworks.com/giam-sat-thi-cong-dan-dung-1403927-jv","Xem chi tiết")</f>
        <v/>
      </c>
      <c r="O6780" s="10" t="n"/>
    </row>
    <row r="6781">
      <c r="B6781" s="7" t="n">
        <v>6779</v>
      </c>
      <c r="C6781" t="inlineStr">
        <is>
          <t>Marketing Intern (Content &amp; Design)</t>
        </is>
      </c>
      <c r="D6781" t="inlineStr">
        <is>
          <t>Navigos Group</t>
        </is>
      </c>
      <c r="E6781" t="inlineStr">
        <is>
          <t>Tới 3tr ₫/tháng</t>
        </is>
      </c>
      <c r="F6781" t="inlineStr">
        <is>
          <t>Hồ Chí Minh</t>
        </is>
      </c>
      <c r="G6781" t="inlineStr">
        <is>
          <t>Thực tập sinh/Sinh viên</t>
        </is>
      </c>
      <c r="H6781" t="inlineStr">
        <is>
          <t>31/12/2025</t>
        </is>
      </c>
      <c r="I6781" t="inlineStr">
        <is>
          <t>03/04/2026</t>
        </is>
      </c>
      <c r="J6781" t="inlineStr">
        <is>
          <t>17/03/2026</t>
        </is>
      </c>
      <c r="K6781" t="inlineStr">
        <is>
          <t>N/A</t>
        </is>
      </c>
      <c r="L6781" t="inlineStr">
        <is>
          <t>Content Creation, Data Analysis, Design, English, Social Media Platforms</t>
        </is>
      </c>
      <c r="M6781" t="inlineStr">
        <is>
          <t>Others</t>
        </is>
      </c>
      <c r="N6781" s="8">
        <f>HYPERLINK("https://www.vietnamworks.com/marketing-intern-content-and-design-1998274-jv","Xem chi tiết")</f>
        <v/>
      </c>
    </row>
    <row r="6782">
      <c r="B6782" s="9" t="n">
        <v>6780</v>
      </c>
      <c r="C6782" s="10" t="inlineStr">
        <is>
          <t>UI/UX Designer</t>
        </is>
      </c>
      <c r="D6782" s="10" t="inlineStr">
        <is>
          <t>Simpson Strong-Tie Vietnam Company Limited</t>
        </is>
      </c>
      <c r="E6782" s="10" t="inlineStr">
        <is>
          <t>25tr-35tr ₫/tháng</t>
        </is>
      </c>
      <c r="F6782" s="10" t="inlineStr">
        <is>
          <t>Hồ Chí Minh</t>
        </is>
      </c>
      <c r="G6782" s="10" t="inlineStr">
        <is>
          <t>Nhân viên</t>
        </is>
      </c>
      <c r="H6782" s="10" t="inlineStr">
        <is>
          <t>03/03/2026</t>
        </is>
      </c>
      <c r="I6782" s="10" t="inlineStr">
        <is>
          <t>02/04/2026</t>
        </is>
      </c>
      <c r="J6782" s="10" t="inlineStr">
        <is>
          <t>17/03/2026</t>
        </is>
      </c>
      <c r="K6782" s="10" t="inlineStr">
        <is>
          <t>N/A</t>
        </is>
      </c>
      <c r="L6782" s="10" t="inlineStr">
        <is>
          <t>N/A</t>
        </is>
      </c>
      <c r="M6782" s="10" t="inlineStr">
        <is>
          <t>Bonus, Healthcare Plan, Paid Leave</t>
        </is>
      </c>
      <c r="N6782" s="11">
        <f>HYPERLINK("https://www.vietnamworks.com/uiux-designer-2017811-jv","Xem chi tiết")</f>
        <v/>
      </c>
      <c r="O6782" s="10" t="n"/>
    </row>
    <row r="6783">
      <c r="B6783" s="7" t="n">
        <v>6781</v>
      </c>
      <c r="C6783" t="inlineStr">
        <is>
          <t>Giám Sát Thi Công Cơ Điện</t>
        </is>
      </c>
      <c r="D6783" t="inlineStr">
        <is>
          <t>Ha Tang Do Thi Corporation</t>
        </is>
      </c>
      <c r="E6783" t="inlineStr">
        <is>
          <t>Thương lượng</t>
        </is>
      </c>
      <c r="F6783" t="inlineStr">
        <is>
          <t>An Giang</t>
        </is>
      </c>
      <c r="G6783" t="inlineStr">
        <is>
          <t>Nhân viên</t>
        </is>
      </c>
      <c r="H6783" t="inlineStr">
        <is>
          <t>05/11/2021</t>
        </is>
      </c>
      <c r="I6783" t="inlineStr">
        <is>
          <t>03/04/2026</t>
        </is>
      </c>
      <c r="J6783" t="inlineStr">
        <is>
          <t>17/03/2026</t>
        </is>
      </c>
      <c r="K6783" t="inlineStr">
        <is>
          <t>N/A</t>
        </is>
      </c>
      <c r="L6783" t="inlineStr">
        <is>
          <t>Thi Công Cơ Điện, Cơ Điện, MEP, Giám Sát Công Trình, Cấp Thoát Nước</t>
        </is>
      </c>
      <c r="M6783" t="inlineStr">
        <is>
          <t>Bonus, Healthcare Plan, Awards</t>
        </is>
      </c>
      <c r="N6783" s="8">
        <f>HYPERLINK("https://www.vietnamworks.com/giam-sat-thi-cong-co-dien--1436885-jv","Xem chi tiết")</f>
        <v/>
      </c>
    </row>
    <row r="6784">
      <c r="B6784" s="9" t="n">
        <v>6782</v>
      </c>
      <c r="C6784" s="10" t="inlineStr">
        <is>
          <t>Sales Executive- Food Ingredients (Flavour &amp; Seasoning)</t>
        </is>
      </c>
      <c r="D6784" s="10" t="inlineStr">
        <is>
          <t>Le Fin Du Fin Company Limited</t>
        </is>
      </c>
      <c r="E6784" s="10" t="inlineStr">
        <is>
          <t>13tr-18tr ₫/tháng</t>
        </is>
      </c>
      <c r="F6784" s="10" t="inlineStr">
        <is>
          <t>Hồ Chí Minh</t>
        </is>
      </c>
      <c r="G6784" s="10" t="inlineStr">
        <is>
          <t>Nhân viên</t>
        </is>
      </c>
      <c r="H6784" s="10" t="inlineStr">
        <is>
          <t>03/03/2026</t>
        </is>
      </c>
      <c r="I6784" s="10" t="inlineStr">
        <is>
          <t>02/04/2026</t>
        </is>
      </c>
      <c r="J6784" s="10" t="inlineStr">
        <is>
          <t>17/03/2026</t>
        </is>
      </c>
      <c r="K6784" s="10" t="inlineStr">
        <is>
          <t>N/A</t>
        </is>
      </c>
      <c r="L6784" s="10" t="inlineStr">
        <is>
          <t>Communication, Food Flavor Sales, Food Science\r\r, Interpersonal Skills, Sales</t>
        </is>
      </c>
      <c r="M6784" s="10" t="inlineStr">
        <is>
          <t>Others</t>
        </is>
      </c>
      <c r="N6784" s="11">
        <f>HYPERLINK("https://www.vietnamworks.com/sales-executive-food-ingredients-flavour-and-seasoning-2017817-jv","Xem chi tiết")</f>
        <v/>
      </c>
      <c r="O6784" s="10" t="n"/>
    </row>
    <row r="6785">
      <c r="B6785" s="7" t="n">
        <v>6783</v>
      </c>
      <c r="C6785" t="inlineStr">
        <is>
          <t>Sales Representatives (Packaging Industry)</t>
        </is>
      </c>
      <c r="D6785" t="inlineStr">
        <is>
          <t>CÔNG TY TNHH SCHUETZ VIỆT NAM</t>
        </is>
      </c>
      <c r="E6785" t="inlineStr">
        <is>
          <t>Thương lượng</t>
        </is>
      </c>
      <c r="F6785" t="inlineStr">
        <is>
          <t>Hồ Chí Minh</t>
        </is>
      </c>
      <c r="G6785" t="inlineStr">
        <is>
          <t>Nhân viên</t>
        </is>
      </c>
      <c r="H6785" t="inlineStr">
        <is>
          <t>03/03/2026</t>
        </is>
      </c>
      <c r="I6785" t="inlineStr">
        <is>
          <t>02/04/2026</t>
        </is>
      </c>
      <c r="J6785" t="inlineStr">
        <is>
          <t>17/03/2026</t>
        </is>
      </c>
      <c r="K6785" t="inlineStr">
        <is>
          <t>N/A</t>
        </is>
      </c>
      <c r="L6785" t="inlineStr">
        <is>
          <t>Sales, B2B Sale, Packaging Industry</t>
        </is>
      </c>
      <c r="M6785" t="inlineStr">
        <is>
          <t>Bonus, Healthcare Plan, Paid Leave</t>
        </is>
      </c>
      <c r="N6785" s="8">
        <f>HYPERLINK("https://www.vietnamworks.com/sales-representatives-packaging-industry--2017827-jv","Xem chi tiết")</f>
        <v/>
      </c>
    </row>
    <row r="6786">
      <c r="B6786" s="9" t="n">
        <v>6784</v>
      </c>
      <c r="C6786" s="10" t="inlineStr">
        <is>
          <t>Process Quality Engineer</t>
        </is>
      </c>
      <c r="D6786" s="10" t="inlineStr">
        <is>
          <t>Coherent Vietnam</t>
        </is>
      </c>
      <c r="E6786" s="10" t="inlineStr">
        <is>
          <t>Thương lượng</t>
        </is>
      </c>
      <c r="F6786" s="10" t="inlineStr">
        <is>
          <t>Hồ Chí Minh, Đồng Nai</t>
        </is>
      </c>
      <c r="G6786" s="10" t="inlineStr">
        <is>
          <t>Nhân viên</t>
        </is>
      </c>
      <c r="H6786" s="10" t="inlineStr">
        <is>
          <t>03/03/2026</t>
        </is>
      </c>
      <c r="I6786" s="10" t="inlineStr">
        <is>
          <t>02/04/2026</t>
        </is>
      </c>
      <c r="J6786" s="10" t="inlineStr">
        <is>
          <t>17/03/2026</t>
        </is>
      </c>
      <c r="K6786" s="10" t="inlineStr">
        <is>
          <t>N/A</t>
        </is>
      </c>
      <c r="L6786" s="10" t="inlineStr">
        <is>
          <t>Process Quality Assurance, Quality Process Improvement, Process Control, FMEA, ISO</t>
        </is>
      </c>
      <c r="M6786" s="10" t="inlineStr">
        <is>
          <t>Bonus, Healthcare Plan, Travel Opportunities</t>
        </is>
      </c>
      <c r="N6786" s="11">
        <f>HYPERLINK("https://www.vietnamworks.com/process-quality-engineer--2017834-jv","Xem chi tiết")</f>
        <v/>
      </c>
      <c r="O6786" s="10" t="n"/>
    </row>
    <row r="6787">
      <c r="B6787" s="7" t="n">
        <v>6785</v>
      </c>
      <c r="C6787" t="inlineStr">
        <is>
          <t>Nhân Viên Vận Hành Máy</t>
        </is>
      </c>
      <c r="D6787" t="inlineStr">
        <is>
          <t>Coherent Vietnam</t>
        </is>
      </c>
      <c r="E6787" t="inlineStr">
        <is>
          <t>Thương lượng</t>
        </is>
      </c>
      <c r="F6787" t="inlineStr">
        <is>
          <t>Hồ Chí Minh, Đồng Nai</t>
        </is>
      </c>
      <c r="G6787" t="inlineStr">
        <is>
          <t>Nhân viên</t>
        </is>
      </c>
      <c r="H6787" t="inlineStr">
        <is>
          <t>03/03/2026</t>
        </is>
      </c>
      <c r="I6787" t="inlineStr">
        <is>
          <t>02/04/2026</t>
        </is>
      </c>
      <c r="J6787" t="inlineStr">
        <is>
          <t>17/03/2026</t>
        </is>
      </c>
      <c r="K6787" t="inlineStr">
        <is>
          <t>N/A</t>
        </is>
      </c>
      <c r="L6787" t="inlineStr">
        <is>
          <t>Vận Hành Máy CNC, Vận Hành Máy Cơ, Vận Hành, Vận Hành Cơ Điện, Sản xuất</t>
        </is>
      </c>
      <c r="M6787" t="inlineStr">
        <is>
          <t>Bonus, Healthcare Plan, Travel Opportunities</t>
        </is>
      </c>
      <c r="N6787" s="8">
        <f>HYPERLINK("https://www.vietnamworks.com/nhan-vien-van-hanh-may--2017840-jv","Xem chi tiết")</f>
        <v/>
      </c>
    </row>
    <row r="6788">
      <c r="B6788" s="9" t="n">
        <v>6786</v>
      </c>
      <c r="C6788" s="10" t="inlineStr">
        <is>
          <t>Customer Service Executive</t>
        </is>
      </c>
      <c r="D6788" s="10" t="inlineStr">
        <is>
          <t>Got It</t>
        </is>
      </c>
      <c r="E6788" s="10" t="inlineStr">
        <is>
          <t>Thương lượng</t>
        </is>
      </c>
      <c r="F6788" s="10" t="inlineStr">
        <is>
          <t>Hồ Chí Minh</t>
        </is>
      </c>
      <c r="G6788" s="10" t="inlineStr">
        <is>
          <t>Nhân viên</t>
        </is>
      </c>
      <c r="H6788" s="10" t="inlineStr">
        <is>
          <t>03/03/2026</t>
        </is>
      </c>
      <c r="I6788" s="10" t="inlineStr">
        <is>
          <t>02/04/2026</t>
        </is>
      </c>
      <c r="J6788" s="10" t="inlineStr">
        <is>
          <t>17/03/2026</t>
        </is>
      </c>
      <c r="K6788" s="10" t="inlineStr">
        <is>
          <t>N/A</t>
        </is>
      </c>
      <c r="L6788" s="10" t="inlineStr">
        <is>
          <t>Call Center Management, Customer Support, Office Software, Positive Attitude</t>
        </is>
      </c>
      <c r="M6788" s="10" t="inlineStr">
        <is>
          <t>Healthcare Plan, Training, Awards, Team Activities, Others</t>
        </is>
      </c>
      <c r="N6788" s="11">
        <f>HYPERLINK("https://www.vietnamworks.com/customer-service-executive-2017809-jv","Xem chi tiết")</f>
        <v/>
      </c>
      <c r="O6788" s="10" t="n"/>
    </row>
    <row r="6789">
      <c r="B6789" s="7" t="n">
        <v>6787</v>
      </c>
      <c r="C6789" t="inlineStr">
        <is>
          <t>Kế Toán Nội Bộ</t>
        </is>
      </c>
      <c r="D6789" t="inlineStr">
        <is>
          <t>Công Ty Cổ Phần Kiến Trúc Twog</t>
        </is>
      </c>
      <c r="E6789" t="inlineStr">
        <is>
          <t>Thương lượng</t>
        </is>
      </c>
      <c r="F6789" t="inlineStr">
        <is>
          <t>Hồ Chí Minh</t>
        </is>
      </c>
      <c r="G6789" t="inlineStr">
        <is>
          <t>Nhân viên</t>
        </is>
      </c>
      <c r="H6789" t="inlineStr">
        <is>
          <t>03/03/2026</t>
        </is>
      </c>
      <c r="I6789" t="inlineStr">
        <is>
          <t>02/04/2026</t>
        </is>
      </c>
      <c r="J6789" t="inlineStr">
        <is>
          <t>17/03/2026</t>
        </is>
      </c>
      <c r="K6789" t="inlineStr">
        <is>
          <t>N/A</t>
        </is>
      </c>
      <c r="L6789" t="inlineStr">
        <is>
          <t>Hạch Toán Nghiệp Vụ, Kế Toán, Kỹ năng giao tiếp, Tài Chính, Tin Học Văn Phòng (Word- Excel- Powerpoint)</t>
        </is>
      </c>
      <c r="M6789" t="inlineStr">
        <is>
          <t>Bonus, Travel Opportunities, Team Activities, Others</t>
        </is>
      </c>
      <c r="N6789" s="8">
        <f>HYPERLINK("https://www.vietnamworks.com/ke-toan-noi-bo-2017820-jv","Xem chi tiết")</f>
        <v/>
      </c>
    </row>
    <row r="6790">
      <c r="B6790" s="9" t="n">
        <v>6788</v>
      </c>
      <c r="C6790" s="10" t="inlineStr">
        <is>
          <t>Chinese Interpreter</t>
        </is>
      </c>
      <c r="D6790" s="10" t="inlineStr">
        <is>
          <t>Coherent Vietnam</t>
        </is>
      </c>
      <c r="E6790" s="10" t="inlineStr">
        <is>
          <t>$$ 1,000-1,500 /tháng</t>
        </is>
      </c>
      <c r="F6790" s="10" t="inlineStr">
        <is>
          <t>Hồ Chí Minh, Đồng Nai</t>
        </is>
      </c>
      <c r="G6790" s="10" t="inlineStr">
        <is>
          <t>Nhân viên</t>
        </is>
      </c>
      <c r="H6790" s="10" t="inlineStr">
        <is>
          <t>03/03/2026</t>
        </is>
      </c>
      <c r="I6790" s="10" t="inlineStr">
        <is>
          <t>02/04/2026</t>
        </is>
      </c>
      <c r="J6790" s="10" t="inlineStr">
        <is>
          <t>17/03/2026</t>
        </is>
      </c>
      <c r="K6790" s="10" t="inlineStr">
        <is>
          <t>N/A</t>
        </is>
      </c>
      <c r="L6790" s="10" t="inlineStr">
        <is>
          <t>Chinese, Chinese Interpretation, Chinese Speaking, HSK, Interpreter</t>
        </is>
      </c>
      <c r="M6790" s="10" t="inlineStr">
        <is>
          <t>Bonus, Healthcare Plan, Travel Opportunities</t>
        </is>
      </c>
      <c r="N6790" s="11">
        <f>HYPERLINK("https://www.vietnamworks.com/chinese-interpreter--2017832-jv","Xem chi tiết")</f>
        <v/>
      </c>
      <c r="O6790" s="10" t="n"/>
    </row>
    <row r="6791">
      <c r="B6791" s="7" t="n">
        <v>6789</v>
      </c>
      <c r="C6791" t="inlineStr">
        <is>
          <t>Kế Toán Tổng Hợp</t>
        </is>
      </c>
      <c r="D6791" t="inlineStr">
        <is>
          <t>Công Ty TNHH Xây Dựng Ivy</t>
        </is>
      </c>
      <c r="E6791" t="inlineStr">
        <is>
          <t>Thương lượng</t>
        </is>
      </c>
      <c r="F6791" t="inlineStr">
        <is>
          <t>Hồ Chí Minh</t>
        </is>
      </c>
      <c r="G6791" t="inlineStr">
        <is>
          <t>Nhân viên</t>
        </is>
      </c>
      <c r="H6791" t="inlineStr">
        <is>
          <t>03/03/2026</t>
        </is>
      </c>
      <c r="I6791" t="inlineStr">
        <is>
          <t>02/04/2026</t>
        </is>
      </c>
      <c r="J6791" t="inlineStr">
        <is>
          <t>17/03/2026</t>
        </is>
      </c>
      <c r="K6791" t="inlineStr">
        <is>
          <t>N/A</t>
        </is>
      </c>
      <c r="L6791" t="inlineStr">
        <is>
          <t>Kế Toán, Báo Cáo Tài Chính, Kế Toán Tổng Hợp, Quyết Toán Thuế, Xây Dựng</t>
        </is>
      </c>
      <c r="M6791" t="inlineStr">
        <is>
          <t>Bonus, Paid Leave, Travel Opportunities</t>
        </is>
      </c>
      <c r="N6791" s="8">
        <f>HYPERLINK("https://www.vietnamworks.com/ke-toan-tong-hop--2017821-jv","Xem chi tiết")</f>
        <v/>
      </c>
    </row>
    <row r="6792">
      <c r="B6792" s="9" t="n">
        <v>6790</v>
      </c>
      <c r="C6792" s="10" t="inlineStr">
        <is>
          <t>[Toàn Quốc] Mondelēz Sales Trainee 2026 - Spark The Change Chính Thức Mở Đơn Ứng Tuyển!</t>
        </is>
      </c>
      <c r="D6792" s="10" t="inlineStr">
        <is>
          <t>Mondelēz Kinh Đô Việt Nam</t>
        </is>
      </c>
      <c r="E6792" s="10" t="inlineStr">
        <is>
          <t>Thương lượng</t>
        </is>
      </c>
      <c r="F6792" s="10" t="inlineStr">
        <is>
          <t>Hồ Chí Minh, Hưng Yên, Bình Dương</t>
        </is>
      </c>
      <c r="G6792" s="10" t="inlineStr">
        <is>
          <t>Thực tập sinh/Sinh viên</t>
        </is>
      </c>
      <c r="H6792" s="10" t="inlineStr">
        <is>
          <t>03/03/2026</t>
        </is>
      </c>
      <c r="I6792" s="10" t="inlineStr">
        <is>
          <t>02/04/2026</t>
        </is>
      </c>
      <c r="J6792" s="10" t="inlineStr">
        <is>
          <t>17/03/2026</t>
        </is>
      </c>
      <c r="K6792" s="10" t="inlineStr">
        <is>
          <t>N/A</t>
        </is>
      </c>
      <c r="L6792" s="10" t="inlineStr">
        <is>
          <t>Sales &amp; Partnership Management, communication, Leadership, Data Analysis, Project Management</t>
        </is>
      </c>
      <c r="M6792" s="10" t="inlineStr">
        <is>
          <t>Bonus, Healthcare Plan, Paid Leave</t>
        </is>
      </c>
      <c r="N6792" s="11">
        <f>HYPERLINK("https://www.vietnamworks.com/toan-quoc-mondelez-sales-trainee-2026-spark-the-change-chinh-thuc-mo-don-ung-tuyen-2017819-jv","Xem chi tiết")</f>
        <v/>
      </c>
      <c r="O6792" s="10" t="n"/>
    </row>
    <row r="6793">
      <c r="B6793" s="7" t="n">
        <v>6791</v>
      </c>
      <c r="C6793" t="inlineStr">
        <is>
          <t>Quản Lý Bếp Ăn Nhà Máy - Ca Đêm | Restaurant Operation Manager | Canteen Operation Manager</t>
        </is>
      </c>
      <c r="D6793" t="inlineStr">
        <is>
          <t>Công ty TNHH Aden Services (Việt Nam)</t>
        </is>
      </c>
      <c r="E6793" t="inlineStr">
        <is>
          <t>Thương lượng</t>
        </is>
      </c>
      <c r="F6793" t="inlineStr">
        <is>
          <t>Hồ Chí Minh</t>
        </is>
      </c>
      <c r="G6793" t="inlineStr">
        <is>
          <t>Trưởng phòng</t>
        </is>
      </c>
      <c r="H6793" t="inlineStr">
        <is>
          <t>03/03/2026</t>
        </is>
      </c>
      <c r="I6793" t="inlineStr">
        <is>
          <t>02/04/2026</t>
        </is>
      </c>
      <c r="J6793" t="inlineStr">
        <is>
          <t>17/03/2026</t>
        </is>
      </c>
      <c r="K6793" t="inlineStr">
        <is>
          <t>N/A</t>
        </is>
      </c>
      <c r="L6793" t="inlineStr">
        <is>
          <t>Communication, Leadership, Office Software, Problem-solving, Team Management</t>
        </is>
      </c>
      <c r="M6793" t="inlineStr">
        <is>
          <t>Training, Team Activities, Others</t>
        </is>
      </c>
      <c r="N6793" s="8">
        <f>HYPERLINK("https://www.vietnamworks.com/quan-ly-bep-an-nha-may-ca-djem-or-restaurant-operation-manager-or-canteen-operation-manager-2017843-jv","Xem chi tiết")</f>
        <v/>
      </c>
    </row>
    <row r="6794">
      <c r="B6794" s="9" t="n">
        <v>6792</v>
      </c>
      <c r="C6794" s="10" t="inlineStr">
        <is>
          <t>Quản Đốc Xưởng Sản Xuất Kết Cấu Thép (Phú Mỹ)</t>
        </is>
      </c>
      <c r="D6794" s="10" t="inlineStr">
        <is>
          <t>Công Ty Cổ Phần Kết Cấu Thép ATAD</t>
        </is>
      </c>
      <c r="E6794" s="10" t="inlineStr">
        <is>
          <t>Thương lượng</t>
        </is>
      </c>
      <c r="F6794" s="10" t="inlineStr">
        <is>
          <t>Hồ Chí Minh, Bà Rịa - Vũng Tàu</t>
        </is>
      </c>
      <c r="G6794" s="10" t="inlineStr">
        <is>
          <t>Nhân viên</t>
        </is>
      </c>
      <c r="H6794" s="10" t="inlineStr">
        <is>
          <t>03/03/2026</t>
        </is>
      </c>
      <c r="I6794" s="10" t="inlineStr">
        <is>
          <t>02/04/2026</t>
        </is>
      </c>
      <c r="J6794" s="10" t="inlineStr">
        <is>
          <t>17/03/2026</t>
        </is>
      </c>
      <c r="K6794" s="10" t="inlineStr">
        <is>
          <t>N/A</t>
        </is>
      </c>
      <c r="L6794" s="10" t="inlineStr">
        <is>
          <t>Thiết Kế Kết Cấu Thép, Quản Lý Dự Án, Kiểm Soát Tiến Độ Dự Án, Kiếm Soát Thiết Kế, Kết Cấu Thép</t>
        </is>
      </c>
      <c r="M6794" s="10" t="inlineStr">
        <is>
          <t>Bonus, Awards, Travel Opportunities</t>
        </is>
      </c>
      <c r="N6794" s="11">
        <f>HYPERLINK("https://www.vietnamworks.com/quan-doc-xuong-san-xuat-ket-cau-thep-phu-my-2017816-jv","Xem chi tiết")</f>
        <v/>
      </c>
      <c r="O6794" s="10" t="n"/>
    </row>
    <row r="6795">
      <c r="B6795" s="7" t="n">
        <v>6793</v>
      </c>
      <c r="C6795" t="inlineStr">
        <is>
          <t>Nhân Viên Kỹ Thuật Điện Nước - Ban Quản Lý Hạ Tầng Và Nhà Ở Thuộc Khu Đô Thị Mới Lê Trọng Tấn</t>
        </is>
      </c>
      <c r="D6795" t="inlineStr">
        <is>
          <t>Chi Nhánh Công Ty CP XNK Tổng Hợp Hà Nội Tại Hà Tây</t>
        </is>
      </c>
      <c r="E6795" t="inlineStr">
        <is>
          <t>Thương lượng</t>
        </is>
      </c>
      <c r="F6795" t="inlineStr">
        <is>
          <t>Hà Nội</t>
        </is>
      </c>
      <c r="G6795" t="inlineStr">
        <is>
          <t>Nhân viên</t>
        </is>
      </c>
      <c r="H6795" t="inlineStr">
        <is>
          <t>13/01/2026</t>
        </is>
      </c>
      <c r="I6795" t="inlineStr">
        <is>
          <t>03/04/2026</t>
        </is>
      </c>
      <c r="J6795" t="inlineStr">
        <is>
          <t>17/03/2026</t>
        </is>
      </c>
      <c r="K6795" t="inlineStr">
        <is>
          <t>N/A</t>
        </is>
      </c>
      <c r="L6795" t="inlineStr">
        <is>
          <t>Quản Lý Nhà Nước, Lập Trình AutoCAD, Kiến thức điện, Kiến Thức Về Nước, Nhanh nhẹn</t>
        </is>
      </c>
      <c r="M6795" t="inlineStr">
        <is>
          <t>Bonus, Healthcare Plan, Awards, Others</t>
        </is>
      </c>
      <c r="N6795" s="8">
        <f>HYPERLINK("https://www.vietnamworks.com/nhan-vien-ky-thuat-djien-nuoc-ban-quan-ly-ha-tang-va-nha-o-thuoc-khu-djo-thi-moi-le-trong-tan-2001964-jv","Xem chi tiết")</f>
        <v/>
      </c>
    </row>
    <row r="6796">
      <c r="B6796" s="9" t="n">
        <v>6794</v>
      </c>
      <c r="C6796" s="10" t="inlineStr">
        <is>
          <t>Sale Development (Merchandiser)</t>
        </is>
      </c>
      <c r="D6796" s="10" t="inlineStr">
        <is>
          <t>Spectre GT Vietnam</t>
        </is>
      </c>
      <c r="E6796" s="10" t="inlineStr">
        <is>
          <t>Thương lượng</t>
        </is>
      </c>
      <c r="F6796" s="10" t="inlineStr">
        <is>
          <t>Hưng Yên, Ninh Bình</t>
        </is>
      </c>
      <c r="G6796" s="10" t="inlineStr">
        <is>
          <t>Nhân viên</t>
        </is>
      </c>
      <c r="H6796" s="10" t="inlineStr">
        <is>
          <t>12/01/2026</t>
        </is>
      </c>
      <c r="I6796" s="10" t="inlineStr">
        <is>
          <t>03/04/2026</t>
        </is>
      </c>
      <c r="J6796" s="10" t="inlineStr">
        <is>
          <t>17/03/2026</t>
        </is>
      </c>
      <c r="K6796" s="10" t="inlineStr">
        <is>
          <t>N/A</t>
        </is>
      </c>
      <c r="L6796" s="10" t="inlineStr">
        <is>
          <t>Cost Engineering, BOM, Sample Development, English, Business Planning</t>
        </is>
      </c>
      <c r="M6796" s="10" t="inlineStr">
        <is>
          <t>Bonus, Healthcare Plan, Others</t>
        </is>
      </c>
      <c r="N6796" s="11">
        <f>HYPERLINK("https://www.vietnamworks.com/sale-development-merchandiser-2001573-jv","Xem chi tiết")</f>
        <v/>
      </c>
      <c r="O6796" s="10" t="n"/>
    </row>
    <row r="6797">
      <c r="B6797" s="7" t="n">
        <v>6795</v>
      </c>
      <c r="C6797" t="inlineStr">
        <is>
          <t>SEO Head</t>
        </is>
      </c>
      <c r="D6797" t="inlineStr">
        <is>
          <t>Advanta Digital Lab</t>
        </is>
      </c>
      <c r="E6797" t="inlineStr">
        <is>
          <t>$$ 2,000-4,000 /tháng</t>
        </is>
      </c>
      <c r="F6797" t="inlineStr">
        <is>
          <t>Hồ Chí Minh</t>
        </is>
      </c>
      <c r="G6797" t="inlineStr">
        <is>
          <t>Giám Đốc và Cấp Cao Hơn</t>
        </is>
      </c>
      <c r="H6797" t="inlineStr">
        <is>
          <t>14/01/2026</t>
        </is>
      </c>
      <c r="I6797" t="inlineStr">
        <is>
          <t>03/04/2026</t>
        </is>
      </c>
      <c r="J6797" t="inlineStr">
        <is>
          <t>17/03/2026</t>
        </is>
      </c>
      <c r="K6797" t="inlineStr">
        <is>
          <t>N/A</t>
        </is>
      </c>
      <c r="L6797" t="inlineStr">
        <is>
          <t>Seo, SEO Marketing</t>
        </is>
      </c>
      <c r="M6797" t="inlineStr">
        <is>
          <t>Bonus, Healthcare Plan, Paid Leave</t>
        </is>
      </c>
      <c r="N6797" s="8">
        <f>HYPERLINK("https://www.vietnamworks.com/seo-head-2002745-jv","Xem chi tiết")</f>
        <v/>
      </c>
    </row>
    <row r="6798">
      <c r="B6798" s="9" t="n">
        <v>6796</v>
      </c>
      <c r="C6798" s="10" t="inlineStr">
        <is>
          <t>Trưởng Phòng Thanh Quyết Toán</t>
        </is>
      </c>
      <c r="D6798" s="10" t="inlineStr">
        <is>
          <t>Vietnamworks' Client</t>
        </is>
      </c>
      <c r="E6798" s="10" t="inlineStr">
        <is>
          <t>Thương lượng</t>
        </is>
      </c>
      <c r="F6798" s="10" t="inlineStr">
        <is>
          <t>Hà Nội</t>
        </is>
      </c>
      <c r="G6798" s="10" t="inlineStr">
        <is>
          <t>Trưởng phòng</t>
        </is>
      </c>
      <c r="H6798" s="10" t="inlineStr">
        <is>
          <t>14/01/2026</t>
        </is>
      </c>
      <c r="I6798" s="10" t="inlineStr">
        <is>
          <t>03/04/2026</t>
        </is>
      </c>
      <c r="J6798" s="10" t="inlineStr">
        <is>
          <t>17/03/2026</t>
        </is>
      </c>
      <c r="K6798" s="10" t="inlineStr">
        <is>
          <t>N/A</t>
        </is>
      </c>
      <c r="L6798" s="10" t="inlineStr">
        <is>
          <t>Kỹ năng giao tiếp, Kỹ năng quản lý</t>
        </is>
      </c>
      <c r="M6798" s="10" t="inlineStr">
        <is>
          <t>Bonus, Healthcare Plan, Paid Leave, Awards, Laptop, Others</t>
        </is>
      </c>
      <c r="N6798" s="11">
        <f>HYPERLINK("https://www.vietnamworks.com/truong-phong-thanh-quyet-toan--2002541-jv","Xem chi tiết")</f>
        <v/>
      </c>
      <c r="O6798" s="10" t="n"/>
    </row>
    <row r="6799">
      <c r="B6799" s="7" t="n">
        <v>6797</v>
      </c>
      <c r="C6799" t="inlineStr">
        <is>
          <t>Hà Nội+Hcm - Tuyển Dụng Kỹ Sư Kinh Doanh (Thiết Bị Đào Tạo Kỹ Thuật - Thu Nhập Từ 25 Triệu - 50 Triệu ++))</t>
        </is>
      </c>
      <c r="D6799" t="inlineStr">
        <is>
          <t>Công Ty Cổ Phần Giải Pháp Tự Động Hóa Etek</t>
        </is>
      </c>
      <c r="E6799" t="inlineStr">
        <is>
          <t>$$ 25tr-50tr /tháng</t>
        </is>
      </c>
      <c r="F6799" t="inlineStr">
        <is>
          <t>Hà Nội, Hồ Chí Minh</t>
        </is>
      </c>
      <c r="G6799" t="inlineStr">
        <is>
          <t>Nhân viên</t>
        </is>
      </c>
      <c r="H6799" t="inlineStr">
        <is>
          <t>13/01/2026</t>
        </is>
      </c>
      <c r="I6799" t="inlineStr">
        <is>
          <t>03/04/2026</t>
        </is>
      </c>
      <c r="J6799" t="inlineStr">
        <is>
          <t>17/03/2026</t>
        </is>
      </c>
      <c r="K6799" t="inlineStr">
        <is>
          <t>N/A</t>
        </is>
      </c>
      <c r="L6799" t="inlineStr">
        <is>
          <t>Kinh Doanh, Tìm Kiếm Khách Hàng, Phát Triển Thị Trường, Tự Động Hóa, Bán Hàng Kỹ Thuật</t>
        </is>
      </c>
      <c r="M6799" t="inlineStr">
        <is>
          <t>Bonus, Healthcare Plan, Awards</t>
        </is>
      </c>
      <c r="N6799" s="8">
        <f>HYPERLINK("https://www.vietnamworks.com/ha-noi-hcm-tuyen-dung-ky-su-kinh-doanh-thiet-bi-dao-tao-ky-thuat-thu-nhap-tu-25-trieu-50-trieu-2001992-jv","Xem chi tiết")</f>
        <v/>
      </c>
    </row>
    <row r="6800">
      <c r="B6800" s="9" t="n">
        <v>6798</v>
      </c>
      <c r="C6800" s="10" t="inlineStr">
        <is>
          <t>Kế Toán Ngân Hàng</t>
        </is>
      </c>
      <c r="D6800" s="10" t="inlineStr">
        <is>
          <t>Công ty Cổ phần Texo Tư Vấn Và Đầu Tư</t>
        </is>
      </c>
      <c r="E6800" s="10" t="inlineStr">
        <is>
          <t>12tr-12tr ₫/tháng</t>
        </is>
      </c>
      <c r="F6800" s="10" t="inlineStr">
        <is>
          <t>Hà Nội</t>
        </is>
      </c>
      <c r="G6800" s="10" t="inlineStr">
        <is>
          <t>Nhân viên</t>
        </is>
      </c>
      <c r="H6800" s="10" t="inlineStr">
        <is>
          <t>13/01/2026</t>
        </is>
      </c>
      <c r="I6800" s="10" t="inlineStr">
        <is>
          <t>03/04/2026</t>
        </is>
      </c>
      <c r="J6800" s="10" t="inlineStr">
        <is>
          <t>17/03/2026</t>
        </is>
      </c>
      <c r="K6800" s="10" t="inlineStr">
        <is>
          <t>N/A</t>
        </is>
      </c>
      <c r="L6800" s="10" t="inlineStr">
        <is>
          <t>Báo Cáo Thuế, Hoàn Thiện Hồ Sơ, Kế Toán Ngân Hàng, MS Excel, Theo Dõi Công Nợ</t>
        </is>
      </c>
      <c r="M6800" s="10" t="inlineStr">
        <is>
          <t>Bonus, Healthcare Plan, Training, Others</t>
        </is>
      </c>
      <c r="N6800" s="11">
        <f>HYPERLINK("https://www.vietnamworks.com/ke-toan-ngan-hang-2002085-jv","Xem chi tiết")</f>
        <v/>
      </c>
      <c r="O6800" s="10" t="n"/>
    </row>
    <row r="6801">
      <c r="B6801" s="7" t="n">
        <v>6799</v>
      </c>
      <c r="C6801" t="inlineStr">
        <is>
          <t>Trưởng phòng Kinh tế (Chủ đầu tư Bất động sản)</t>
        </is>
      </c>
      <c r="D6801" t="inlineStr">
        <is>
          <t>Vietnamworks' Client</t>
        </is>
      </c>
      <c r="E6801" t="inlineStr">
        <is>
          <t>Thương lượng</t>
        </is>
      </c>
      <c r="F6801" t="inlineStr">
        <is>
          <t>Hà Nội</t>
        </is>
      </c>
      <c r="G6801" t="inlineStr">
        <is>
          <t>Trưởng phòng</t>
        </is>
      </c>
      <c r="H6801" t="inlineStr">
        <is>
          <t>14/01/2026</t>
        </is>
      </c>
      <c r="I6801" t="inlineStr">
        <is>
          <t>03/04/2026</t>
        </is>
      </c>
      <c r="J6801" t="inlineStr">
        <is>
          <t>17/03/2026</t>
        </is>
      </c>
      <c r="K6801" t="inlineStr">
        <is>
          <t>N/A</t>
        </is>
      </c>
      <c r="L6801" t="inlineStr">
        <is>
          <t>Dự Toán, Kinh Tế Xây Dựng, Đấu Thầu</t>
        </is>
      </c>
      <c r="M6801" t="inlineStr">
        <is>
          <t>Bonus, Healthcare Plan, Paid Leave, Laptop, Others</t>
        </is>
      </c>
      <c r="N6801" s="8">
        <f>HYPERLINK("https://www.vietnamworks.com/truong-phong-kinh-te-chu-djau-tu-bat-djong-san-2002548-jv","Xem chi tiết")</f>
        <v/>
      </c>
    </row>
    <row r="6802">
      <c r="B6802" s="9" t="n">
        <v>6800</v>
      </c>
      <c r="C6802" s="10" t="inlineStr">
        <is>
          <t>Sales Man B2B (Hanoi Bac Ninh Shuttle Bus )</t>
        </is>
      </c>
      <c r="D6802" s="10" t="inlineStr">
        <is>
          <t>Hanacans JSC</t>
        </is>
      </c>
      <c r="E6802" s="10" t="inlineStr">
        <is>
          <t>$$ 800-1,200 /tháng</t>
        </is>
      </c>
      <c r="F6802" s="10" t="inlineStr">
        <is>
          <t>Bắc Ninh, Hà Nội, Bắc Giang</t>
        </is>
      </c>
      <c r="G6802" s="10" t="inlineStr">
        <is>
          <t>Nhân viên</t>
        </is>
      </c>
      <c r="H6802" s="10" t="inlineStr">
        <is>
          <t>12/01/2026</t>
        </is>
      </c>
      <c r="I6802" s="10" t="inlineStr">
        <is>
          <t>03/04/2026</t>
        </is>
      </c>
      <c r="J6802" s="10" t="inlineStr">
        <is>
          <t>17/03/2026</t>
        </is>
      </c>
      <c r="K6802" s="10" t="inlineStr">
        <is>
          <t>N/A</t>
        </is>
      </c>
      <c r="L6802" s="10" t="inlineStr">
        <is>
          <t>B2B Sales, Sales Strategy, Market Analysis, Forecast Development, Business Development</t>
        </is>
      </c>
      <c r="M6802" s="10" t="inlineStr">
        <is>
          <t>Bonus, Paid Leave, Transportation</t>
        </is>
      </c>
      <c r="N6802" s="11">
        <f>HYPERLINK("https://www.vietnamworks.com/sales-man-b2b-hanoi-bac-ninh-shuttle-bus--2001503-jv","Xem chi tiết")</f>
        <v/>
      </c>
      <c r="O6802" s="10" t="n"/>
    </row>
    <row r="6803">
      <c r="B6803" s="7" t="n">
        <v>6801</v>
      </c>
      <c r="C6803" t="inlineStr">
        <is>
          <t>Digital Specialist</t>
        </is>
      </c>
      <c r="D6803" t="inlineStr">
        <is>
          <t>Advanta Digital Lab</t>
        </is>
      </c>
      <c r="E6803" t="inlineStr">
        <is>
          <t>$$ 500-800 /tháng</t>
        </is>
      </c>
      <c r="F6803" t="inlineStr">
        <is>
          <t>Hồ Chí Minh</t>
        </is>
      </c>
      <c r="G6803" t="inlineStr">
        <is>
          <t>Nhân viên</t>
        </is>
      </c>
      <c r="H6803" t="inlineStr">
        <is>
          <t>14/01/2026</t>
        </is>
      </c>
      <c r="I6803" t="inlineStr">
        <is>
          <t>03/04/2026</t>
        </is>
      </c>
      <c r="J6803" t="inlineStr">
        <is>
          <t>17/03/2026</t>
        </is>
      </c>
      <c r="K6803" t="inlineStr">
        <is>
          <t>N/A</t>
        </is>
      </c>
      <c r="L6803" t="inlineStr">
        <is>
          <t>Facebook Ads, Google Ads, Paid Ads</t>
        </is>
      </c>
      <c r="M6803" t="inlineStr">
        <is>
          <t>Bonus, Healthcare Plan, Paid Leave</t>
        </is>
      </c>
      <c r="N6803" s="8">
        <f>HYPERLINK("https://www.vietnamworks.com/digital-specialist--2002749-jv","Xem chi tiết")</f>
        <v/>
      </c>
    </row>
    <row r="6804">
      <c r="B6804" s="9" t="n">
        <v>6802</v>
      </c>
      <c r="C6804" s="10" t="inlineStr">
        <is>
          <t>[ Hot Job ] Material LAB Senior Engineer</t>
        </is>
      </c>
      <c r="D6804" s="10" t="inlineStr">
        <is>
          <t>Piaggio Vietnam Co., Ltd (Pvn)</t>
        </is>
      </c>
      <c r="E6804" s="10" t="inlineStr">
        <is>
          <t>Thương lượng</t>
        </is>
      </c>
      <c r="F6804" s="10" t="inlineStr">
        <is>
          <t>Vĩnh Phúc, Hà Nội</t>
        </is>
      </c>
      <c r="G6804" s="10" t="inlineStr">
        <is>
          <t>Nhân viên</t>
        </is>
      </c>
      <c r="H6804" s="10" t="inlineStr">
        <is>
          <t>14/01/2026</t>
        </is>
      </c>
      <c r="I6804" s="10" t="inlineStr">
        <is>
          <t>03/04/2026</t>
        </is>
      </c>
      <c r="J6804" s="10" t="inlineStr">
        <is>
          <t>17/03/2026</t>
        </is>
      </c>
      <c r="K6804" s="10" t="inlineStr">
        <is>
          <t>N/A</t>
        </is>
      </c>
      <c r="L6804" s="10" t="inlineStr">
        <is>
          <t>Chemical, English, Material Testing, Technical Drawing Reading, Test Results Analysis</t>
        </is>
      </c>
      <c r="M6804" s="10" t="inlineStr">
        <is>
          <t>Bonus, Healthcare Plan, Paid Leave, Training, Travel Opportunities, Team Activities, Others</t>
        </is>
      </c>
      <c r="N6804" s="11">
        <f>HYPERLINK("https://www.vietnamworks.com/hot-job-material-lab-senior-engineer-2002609-jv","Xem chi tiết")</f>
        <v/>
      </c>
      <c r="O6804" s="10" t="n"/>
    </row>
    <row r="6805">
      <c r="B6805" s="7" t="n">
        <v>6803</v>
      </c>
      <c r="C6805" t="inlineStr">
        <is>
          <t>Finance Executive</t>
        </is>
      </c>
      <c r="D6805" t="inlineStr">
        <is>
          <t>CÔNG TY TNHH C-HAWK TECHNOLOGY VIỆT NAM</t>
        </is>
      </c>
      <c r="E6805" t="inlineStr">
        <is>
          <t>$$ 700-1,200 /tháng</t>
        </is>
      </c>
      <c r="F6805" t="inlineStr">
        <is>
          <t>Bình Dương</t>
        </is>
      </c>
      <c r="G6805" t="inlineStr">
        <is>
          <t>Nhân viên</t>
        </is>
      </c>
      <c r="H6805" t="inlineStr">
        <is>
          <t>13/01/2026</t>
        </is>
      </c>
      <c r="I6805" t="inlineStr">
        <is>
          <t>03/04/2026</t>
        </is>
      </c>
      <c r="J6805" t="inlineStr">
        <is>
          <t>17/03/2026</t>
        </is>
      </c>
      <c r="K6805" t="inlineStr">
        <is>
          <t>N/A</t>
        </is>
      </c>
      <c r="L6805" t="inlineStr">
        <is>
          <t>Tài Chính Kế Toán, Tài Chính, Finance, ERP</t>
        </is>
      </c>
      <c r="M6805" t="inlineStr">
        <is>
          <t>Bonus, Training, Laptop</t>
        </is>
      </c>
      <c r="N6805" s="8">
        <f>HYPERLINK("https://www.vietnamworks.com/finance-executive--2002218-jv","Xem chi tiết")</f>
        <v/>
      </c>
    </row>
    <row r="6806">
      <c r="B6806" s="9" t="n">
        <v>6804</v>
      </c>
      <c r="C6806" s="10" t="inlineStr">
        <is>
          <t>Nhân Viên Sale Xuất Khẩu - Quyền Lợi Hấp Dẫn</t>
        </is>
      </c>
      <c r="D6806" s="10" t="inlineStr">
        <is>
          <t>Công ty cổ phần đầu tư thương mại quốc tế Toàn Mỹ</t>
        </is>
      </c>
      <c r="E6806" s="10" t="inlineStr">
        <is>
          <t>$$ 800-1,500 /tháng</t>
        </is>
      </c>
      <c r="F6806" s="10" t="inlineStr">
        <is>
          <t>Hà Nội</t>
        </is>
      </c>
      <c r="G6806" s="10" t="inlineStr">
        <is>
          <t>Nhân viên</t>
        </is>
      </c>
      <c r="H6806" s="10" t="inlineStr">
        <is>
          <t>14/01/2026</t>
        </is>
      </c>
      <c r="I6806" s="10" t="inlineStr">
        <is>
          <t>03/04/2026</t>
        </is>
      </c>
      <c r="J6806" s="10" t="inlineStr">
        <is>
          <t>17/03/2026</t>
        </is>
      </c>
      <c r="K6806" s="10" t="inlineStr">
        <is>
          <t>N/A</t>
        </is>
      </c>
      <c r="L6806" s="10" t="inlineStr">
        <is>
          <t>Bán Hàng, Chăm Sóc Khách Hàng, Tìm Kiếm Khách Hàng, Kinh Doanh Xuất Nhập Khẩu, Logistics Sales</t>
        </is>
      </c>
      <c r="M6806" s="10" t="inlineStr">
        <is>
          <t>Bonus, Training, Travel Opportunities, Team Activities, Canteen, Others</t>
        </is>
      </c>
      <c r="N6806" s="11">
        <f>HYPERLINK("https://www.vietnamworks.com/nhan-vien-sale-xuat-khau-quyen-loi-hap-dan-2002415-jv","Xem chi tiết")</f>
        <v/>
      </c>
      <c r="O6806" s="10" t="n"/>
    </row>
    <row r="6807">
      <c r="B6807" s="7" t="n">
        <v>6805</v>
      </c>
      <c r="C6807" t="inlineStr">
        <is>
          <t>HR Leader</t>
        </is>
      </c>
      <c r="D6807" t="inlineStr">
        <is>
          <t>Advanta Digital Lab</t>
        </is>
      </c>
      <c r="E6807" t="inlineStr">
        <is>
          <t>$$ 800-1,000 /tháng</t>
        </is>
      </c>
      <c r="F6807" t="inlineStr">
        <is>
          <t>Hồ Chí Minh</t>
        </is>
      </c>
      <c r="G6807" t="inlineStr">
        <is>
          <t>Nhân viên</t>
        </is>
      </c>
      <c r="H6807" t="inlineStr">
        <is>
          <t>14/01/2026</t>
        </is>
      </c>
      <c r="I6807" t="inlineStr">
        <is>
          <t>03/04/2026</t>
        </is>
      </c>
      <c r="J6807" t="inlineStr">
        <is>
          <t>17/03/2026</t>
        </is>
      </c>
      <c r="K6807" t="inlineStr">
        <is>
          <t>N/A</t>
        </is>
      </c>
      <c r="L6807" t="inlineStr">
        <is>
          <t>HR, Human Resources</t>
        </is>
      </c>
      <c r="M6807" t="inlineStr">
        <is>
          <t>Bonus, Healthcare Plan, Paid Leave</t>
        </is>
      </c>
      <c r="N6807" s="8">
        <f>HYPERLINK("https://www.vietnamworks.com/hr-leader--2002747-jv","Xem chi tiết")</f>
        <v/>
      </c>
    </row>
    <row r="6808">
      <c r="B6808" s="9" t="n">
        <v>6806</v>
      </c>
      <c r="C6808" s="10" t="inlineStr">
        <is>
          <t>[An Giang] Sales Supervisor/ Giám Sát Bán Hàng Kênh GT</t>
        </is>
      </c>
      <c r="D6808" s="10" t="inlineStr">
        <is>
          <t>Diana Unicharm JSC</t>
        </is>
      </c>
      <c r="E6808" s="10" t="inlineStr">
        <is>
          <t>Thương lượng</t>
        </is>
      </c>
      <c r="F6808" s="10" t="inlineStr">
        <is>
          <t>An Giang</t>
        </is>
      </c>
      <c r="G6808" s="10" t="inlineStr">
        <is>
          <t>Nhân viên</t>
        </is>
      </c>
      <c r="H6808" s="10" t="inlineStr">
        <is>
          <t>14/01/2026</t>
        </is>
      </c>
      <c r="I6808" s="10" t="inlineStr">
        <is>
          <t>03/04/2026</t>
        </is>
      </c>
      <c r="J6808" s="10" t="inlineStr">
        <is>
          <t>17/03/2026</t>
        </is>
      </c>
      <c r="K6808" s="10" t="inlineStr">
        <is>
          <t>N/A</t>
        </is>
      </c>
      <c r="L6808" s="10" t="inlineStr">
        <is>
          <t>FMCG, Sales Planning, Sales</t>
        </is>
      </c>
      <c r="M6808" s="10" t="inlineStr">
        <is>
          <t>Bonus, Healthcare Plan, Others</t>
        </is>
      </c>
      <c r="N6808" s="11">
        <f>HYPERLINK("https://www.vietnamworks.com/an-giang-sales-supervisor-giam-sat-ban-hang-kenh-gt-2002490-jv","Xem chi tiết")</f>
        <v/>
      </c>
      <c r="O6808" s="10" t="n"/>
    </row>
    <row r="6809">
      <c r="B6809" s="7" t="n">
        <v>6807</v>
      </c>
      <c r="C6809" t="inlineStr">
        <is>
          <t>Business Analyst / Phân Tích Nghiệp Vụ - Mảng Khách Hàng Doanh Nghiệp</t>
        </is>
      </c>
      <c r="D6809" t="inlineStr">
        <is>
          <t>Ngân Hàng TNHH MTV Kỷ Nguyên Thịnh Vượng - GPBank</t>
        </is>
      </c>
      <c r="E6809" t="inlineStr">
        <is>
          <t>20tr-38tr ₫/tháng</t>
        </is>
      </c>
      <c r="F6809" t="inlineStr">
        <is>
          <t>Hà Nội</t>
        </is>
      </c>
      <c r="G6809" t="inlineStr">
        <is>
          <t>Nhân viên</t>
        </is>
      </c>
      <c r="H6809" t="inlineStr">
        <is>
          <t>13/01/2026</t>
        </is>
      </c>
      <c r="I6809" t="inlineStr">
        <is>
          <t>03/04/2026</t>
        </is>
      </c>
      <c r="J6809" t="inlineStr">
        <is>
          <t>17/03/2026</t>
        </is>
      </c>
      <c r="K6809" t="inlineStr">
        <is>
          <t>N/A</t>
        </is>
      </c>
      <c r="L6809" t="inlineStr">
        <is>
          <t>Product Management, Product Development, Business Analysis, Banking Product, Digital Banking</t>
        </is>
      </c>
      <c r="M6809" t="inlineStr">
        <is>
          <t>Bonus, Healthcare Plan, Paid Leave, Mobile, Team Activities, Others</t>
        </is>
      </c>
      <c r="N6809" s="8">
        <f>HYPERLINK("https://www.vietnamworks.com/business-analyst-phan-tich-nghiep-vu-mang-khach-hang-doanh-nghiep-2002216-jv","Xem chi tiết")</f>
        <v/>
      </c>
    </row>
    <row r="6810">
      <c r="B6810" s="9" t="n">
        <v>6808</v>
      </c>
      <c r="C6810" s="10" t="inlineStr">
        <is>
          <t>Sales Manager (Trưởng phòng Kinh doanh Quảng cáo)</t>
        </is>
      </c>
      <c r="D6810" s="10" t="inlineStr">
        <is>
          <t>Báo Điện Tử VnExpress.net</t>
        </is>
      </c>
      <c r="E6810" s="10" t="inlineStr">
        <is>
          <t>Thương lượng</t>
        </is>
      </c>
      <c r="F6810" s="10" t="inlineStr">
        <is>
          <t>Hồ Chí Minh</t>
        </is>
      </c>
      <c r="G6810" s="10" t="inlineStr">
        <is>
          <t>Trưởng phòng</t>
        </is>
      </c>
      <c r="H6810" s="10" t="inlineStr">
        <is>
          <t>13/01/2026</t>
        </is>
      </c>
      <c r="I6810" s="10" t="inlineStr">
        <is>
          <t>03/04/2026</t>
        </is>
      </c>
      <c r="J6810" s="10" t="inlineStr">
        <is>
          <t>17/03/2026</t>
        </is>
      </c>
      <c r="K6810" s="10" t="inlineStr">
        <is>
          <t>N/A</t>
        </is>
      </c>
      <c r="L6810" s="10" t="inlineStr">
        <is>
          <t>Kinh nghiệm sale, Quản Trị Rủi Ro, Quản Trị Đội Ngũ, Xây Dựng Nhân Sự, Bán Media Inventory</t>
        </is>
      </c>
      <c r="M6810" s="10" t="inlineStr">
        <is>
          <t>Bonus, Healthcare Plan, Training, Mobile, Others</t>
        </is>
      </c>
      <c r="N6810" s="11">
        <f>HYPERLINK("https://www.vietnamworks.com/sales-manager-truong-phong-kinh-doanh-quang-cao-2002325-jv","Xem chi tiết")</f>
        <v/>
      </c>
      <c r="O6810" s="10" t="n"/>
    </row>
    <row r="6811">
      <c r="B6811" s="7" t="n">
        <v>6809</v>
      </c>
      <c r="C6811" t="inlineStr">
        <is>
          <t>Chuyên Viên Nhãn Hàng (Brand Executive)</t>
        </is>
      </c>
      <c r="D6811" t="inlineStr">
        <is>
          <t>Công Ty TNHH Thực Phẩm Trung Minh Thành</t>
        </is>
      </c>
      <c r="E6811" t="inlineStr">
        <is>
          <t>Thương lượng</t>
        </is>
      </c>
      <c r="F6811" t="inlineStr">
        <is>
          <t>Hồ Chí Minh</t>
        </is>
      </c>
      <c r="G6811" t="inlineStr">
        <is>
          <t>Nhân viên</t>
        </is>
      </c>
      <c r="H6811" t="inlineStr">
        <is>
          <t>13/01/2026</t>
        </is>
      </c>
      <c r="I6811" t="inlineStr">
        <is>
          <t>03/04/2026</t>
        </is>
      </c>
      <c r="J6811" t="inlineStr">
        <is>
          <t>17/03/2026</t>
        </is>
      </c>
      <c r="K6811" t="inlineStr">
        <is>
          <t>N/A</t>
        </is>
      </c>
      <c r="L6811" t="inlineStr">
        <is>
          <t>Trade Marketing, Brand Marketing, Sales Planning, Data Analysis, Communication</t>
        </is>
      </c>
      <c r="M6811" t="inlineStr">
        <is>
          <t>Bonus, Healthcare Plan, Paid Leave, Training, Others</t>
        </is>
      </c>
      <c r="N6811" s="8">
        <f>HYPERLINK("https://www.vietnamworks.com/chuyen-vien-nhan-hang-brand-executive-2002202-jv","Xem chi tiết")</f>
        <v/>
      </c>
    </row>
    <row r="6812">
      <c r="B6812" s="9" t="n">
        <v>6810</v>
      </c>
      <c r="C6812" s="10" t="inlineStr">
        <is>
          <t>Social Media Executive</t>
        </is>
      </c>
      <c r="D6812" s="10" t="inlineStr">
        <is>
          <t>Advanta Digital Lab</t>
        </is>
      </c>
      <c r="E6812" s="10" t="inlineStr">
        <is>
          <t>$$ 500-700 /tháng</t>
        </is>
      </c>
      <c r="F6812" s="10" t="inlineStr">
        <is>
          <t>Hồ Chí Minh</t>
        </is>
      </c>
      <c r="G6812" s="10" t="inlineStr">
        <is>
          <t>Nhân viên</t>
        </is>
      </c>
      <c r="H6812" s="10" t="inlineStr">
        <is>
          <t>14/01/2026</t>
        </is>
      </c>
      <c r="I6812" s="10" t="inlineStr">
        <is>
          <t>03/04/2026</t>
        </is>
      </c>
      <c r="J6812" s="10" t="inlineStr">
        <is>
          <t>17/03/2026</t>
        </is>
      </c>
      <c r="K6812" s="10" t="inlineStr">
        <is>
          <t>N/A</t>
        </is>
      </c>
      <c r="L6812" s="10" t="inlineStr">
        <is>
          <t>Content, Social Media Communication, Social Content</t>
        </is>
      </c>
      <c r="M6812" s="10" t="inlineStr">
        <is>
          <t>Bonus, Healthcare Plan, Paid Leave</t>
        </is>
      </c>
      <c r="N6812" s="11">
        <f>HYPERLINK("https://www.vietnamworks.com/social-media-executive--2002752-jv","Xem chi tiết")</f>
        <v/>
      </c>
      <c r="O6812" s="10" t="n"/>
    </row>
    <row r="6813">
      <c r="B6813" s="7" t="n">
        <v>6811</v>
      </c>
      <c r="C6813" t="inlineStr">
        <is>
          <t>Nữ Kế Toán Tổng Hợp/ General Accountant - Thu Nhập Lên Đến 25 Triệu</t>
        </is>
      </c>
      <c r="D6813" t="inlineStr">
        <is>
          <t>CÔNG TY TNHH JAPAN GREEN VIỆT NAM</t>
        </is>
      </c>
      <c r="E6813" t="inlineStr">
        <is>
          <t>18tr-25tr ₫/tháng</t>
        </is>
      </c>
      <c r="F6813" t="inlineStr">
        <is>
          <t>Hà Nội</t>
        </is>
      </c>
      <c r="G6813" t="inlineStr">
        <is>
          <t>Nhân viên</t>
        </is>
      </c>
      <c r="H6813" t="inlineStr">
        <is>
          <t>14/01/2026</t>
        </is>
      </c>
      <c r="I6813" t="inlineStr">
        <is>
          <t>03/04/2026</t>
        </is>
      </c>
      <c r="J6813" t="inlineStr">
        <is>
          <t>17/03/2026</t>
        </is>
      </c>
      <c r="K6813" t="inlineStr">
        <is>
          <t>N/A</t>
        </is>
      </c>
      <c r="L6813" t="inlineStr">
        <is>
          <t>Phần mềm kế toán, Thủ Tục Kế Toán, Luật Thuế, Làm Việc Chịu Áp Lực Cao, Giao Tiếp Tiếng Anh</t>
        </is>
      </c>
      <c r="M6813" t="inlineStr">
        <is>
          <t>Healthcare Plan, Others</t>
        </is>
      </c>
      <c r="N6813" s="8">
        <f>HYPERLINK("https://www.vietnamworks.com/nu-ke-toan-tong-hop-general-accountant-thu-nhap-len-den-25-trieu-2002598-jv","Xem chi tiết")</f>
        <v/>
      </c>
    </row>
    <row r="6814">
      <c r="B6814" s="9" t="n">
        <v>6812</v>
      </c>
      <c r="C6814" s="10" t="inlineStr">
        <is>
          <t>Sales Supervisor - Giám Sát Kinh Doanh (New Project)</t>
        </is>
      </c>
      <c r="D6814" s="10" t="inlineStr">
        <is>
          <t>Công Ty Cổ Phần Đô Thị Amata Hạ Long</t>
        </is>
      </c>
      <c r="E6814" s="10" t="inlineStr">
        <is>
          <t>Thương lượng</t>
        </is>
      </c>
      <c r="F6814" s="10" t="inlineStr">
        <is>
          <t>Phú Thọ, Thái Nguyên, Hà Nội</t>
        </is>
      </c>
      <c r="G6814" s="10" t="inlineStr">
        <is>
          <t>Nhân viên</t>
        </is>
      </c>
      <c r="H6814" s="10" t="inlineStr">
        <is>
          <t>16/01/2026</t>
        </is>
      </c>
      <c r="I6814" s="10" t="inlineStr">
        <is>
          <t>03/04/2026</t>
        </is>
      </c>
      <c r="J6814" s="10" t="inlineStr">
        <is>
          <t>17/03/2026</t>
        </is>
      </c>
      <c r="K6814" s="10" t="inlineStr">
        <is>
          <t>N/A</t>
        </is>
      </c>
      <c r="L6814" s="10" t="inlineStr">
        <is>
          <t>Sales, Relationship Management, Presentation Skills, Negotiation Skills, Communication Skills</t>
        </is>
      </c>
      <c r="M6814" s="10" t="inlineStr">
        <is>
          <t>Bonus, Healthcare Plan, Others</t>
        </is>
      </c>
      <c r="N6814" s="11">
        <f>HYPERLINK("https://www.vietnamworks.com/sales-supervisor-giam-sat-kinh-doanh-new-project--2003211-jv","Xem chi tiết")</f>
        <v/>
      </c>
      <c r="O6814" s="10" t="n"/>
    </row>
    <row r="6815">
      <c r="B6815" s="7" t="n">
        <v>6813</v>
      </c>
      <c r="C6815" t="inlineStr">
        <is>
          <t>Kế Toán Trưởng (Chủ đầu tư Bất động sản /Tổng thầu)</t>
        </is>
      </c>
      <c r="D6815" t="inlineStr">
        <is>
          <t>Vietnamworks' Client</t>
        </is>
      </c>
      <c r="E6815" t="inlineStr">
        <is>
          <t>Thương lượng</t>
        </is>
      </c>
      <c r="F6815" t="inlineStr">
        <is>
          <t>Hà Nội</t>
        </is>
      </c>
      <c r="G6815" t="inlineStr">
        <is>
          <t>Trưởng phòng</t>
        </is>
      </c>
      <c r="H6815" t="inlineStr">
        <is>
          <t>15/01/2026</t>
        </is>
      </c>
      <c r="I6815" t="inlineStr">
        <is>
          <t>03/04/2026</t>
        </is>
      </c>
      <c r="J6815" t="inlineStr">
        <is>
          <t>17/03/2026</t>
        </is>
      </c>
      <c r="K6815" t="inlineStr">
        <is>
          <t>N/A</t>
        </is>
      </c>
      <c r="L6815" t="inlineStr">
        <is>
          <t>Báo Cáo Tài Chính, Kiểm Soát Chi Phí, Kỹ Năng Phân Tích Báo Cáo Tài Chính- Tình Hình Doanh Nghiệp, Phần Mềm Kế Toán, Kế toán - Kiểm toán</t>
        </is>
      </c>
      <c r="M6815" t="inlineStr">
        <is>
          <t>Bonus, Healthcare Plan, Paid Leave, Laptop, Others</t>
        </is>
      </c>
      <c r="N6815" s="8">
        <f>HYPERLINK("https://www.vietnamworks.com/ke-toan-truong-chu-djau-tu-bat-djong-san-tong-thau-2003084-jv","Xem chi tiết")</f>
        <v/>
      </c>
    </row>
    <row r="6816">
      <c r="B6816" s="9" t="n">
        <v>6814</v>
      </c>
      <c r="C6816" s="10" t="inlineStr">
        <is>
          <t>Nhân Viên Giám Sát Hạ Tầng Kỹ Thuật (Có Thể Đi Làm Sau Tết)</t>
        </is>
      </c>
      <c r="D6816" s="10" t="inlineStr">
        <is>
          <t>Deep C Industrial Zones</t>
        </is>
      </c>
      <c r="E6816" s="10" t="inlineStr">
        <is>
          <t>Thương lượng</t>
        </is>
      </c>
      <c r="F6816" s="10" t="inlineStr">
        <is>
          <t>Quảng Ninh</t>
        </is>
      </c>
      <c r="G6816" s="10" t="inlineStr">
        <is>
          <t>Nhân viên</t>
        </is>
      </c>
      <c r="H6816" s="10" t="inlineStr">
        <is>
          <t>15/01/2026</t>
        </is>
      </c>
      <c r="I6816" s="10" t="inlineStr">
        <is>
          <t>03/04/2026</t>
        </is>
      </c>
      <c r="J6816" s="10" t="inlineStr">
        <is>
          <t>17/03/2026</t>
        </is>
      </c>
      <c r="K6816" s="10" t="inlineStr">
        <is>
          <t>N/A</t>
        </is>
      </c>
      <c r="L6816" s="10" t="inlineStr">
        <is>
          <t>Infrastructure Supervision, Civil Construction, Site Supervision, Civil Engineering, Maintenance</t>
        </is>
      </c>
      <c r="M6816" s="10" t="inlineStr">
        <is>
          <t>Bonus, Healthcare Plan, Paid Leave</t>
        </is>
      </c>
      <c r="N6816" s="11">
        <f>HYPERLINK("https://www.vietnamworks.com/nhan-vien-giam-sat-ha-tang-ky-thuat-co-the-di-lam-sau-tet-2002808-jv","Xem chi tiết")</f>
        <v/>
      </c>
      <c r="O6816" s="10" t="n"/>
    </row>
    <row r="6817">
      <c r="B6817" s="7" t="n">
        <v>6815</v>
      </c>
      <c r="C6817" t="inlineStr">
        <is>
          <t>Kỹ Sư Cải Tiến - Processing (Từ Sơn - Bắc Ninh)</t>
        </is>
      </c>
      <c r="D6817" t="inlineStr">
        <is>
          <t>Hanacans JSC</t>
        </is>
      </c>
      <c r="E6817" t="inlineStr">
        <is>
          <t>$$ 450-600 /tháng</t>
        </is>
      </c>
      <c r="F6817" t="inlineStr">
        <is>
          <t>Bắc Ninh</t>
        </is>
      </c>
      <c r="G6817" t="inlineStr">
        <is>
          <t>Nhân viên</t>
        </is>
      </c>
      <c r="H6817" t="inlineStr">
        <is>
          <t>16/01/2026</t>
        </is>
      </c>
      <c r="I6817" t="inlineStr">
        <is>
          <t>03/04/2026</t>
        </is>
      </c>
      <c r="J6817" t="inlineStr">
        <is>
          <t>17/03/2026</t>
        </is>
      </c>
      <c r="K6817" t="inlineStr">
        <is>
          <t>N/A</t>
        </is>
      </c>
      <c r="L6817" t="inlineStr">
        <is>
          <t>Tự Động Hóa, Cải Tiến Dây Chuyền Sản Xuất, AutoCAD 3D, Cải Tiến Công Đoạn, Cơ Khí Chế Tạo</t>
        </is>
      </c>
      <c r="M6817" t="inlineStr">
        <is>
          <t>Bonus, Paid Leave, Transportation</t>
        </is>
      </c>
      <c r="N6817" s="8">
        <f>HYPERLINK("https://www.vietnamworks.com/ky-su-cai-tien-processing-tu-son-bac-ninh--2003505-jv","Xem chi tiết")</f>
        <v/>
      </c>
    </row>
    <row r="6818">
      <c r="B6818" s="9" t="n">
        <v>6816</v>
      </c>
      <c r="C6818" s="10" t="inlineStr">
        <is>
          <t>Quality Specialist (Kiểm soát và nâng cao chất lượng quy trình) (Có thể đi làm sau Tết)</t>
        </is>
      </c>
      <c r="D6818" s="10" t="inlineStr">
        <is>
          <t>Deep C Industrial Zones</t>
        </is>
      </c>
      <c r="E6818" s="10" t="inlineStr">
        <is>
          <t>Thương lượng</t>
        </is>
      </c>
      <c r="F6818" s="10" t="inlineStr">
        <is>
          <t>Hải Phòng</t>
        </is>
      </c>
      <c r="G6818" s="10" t="inlineStr">
        <is>
          <t>Nhân viên</t>
        </is>
      </c>
      <c r="H6818" s="10" t="inlineStr">
        <is>
          <t>15/01/2026</t>
        </is>
      </c>
      <c r="I6818" s="10" t="inlineStr">
        <is>
          <t>03/04/2026</t>
        </is>
      </c>
      <c r="J6818" s="10" t="inlineStr">
        <is>
          <t>17/03/2026</t>
        </is>
      </c>
      <c r="K6818" s="10" t="inlineStr">
        <is>
          <t>N/A</t>
        </is>
      </c>
      <c r="L6818" s="10" t="inlineStr">
        <is>
          <t>Quality Management System, Continuous Improvement, ISO Quality Management, Operational Improvement, Quality Process Improvement</t>
        </is>
      </c>
      <c r="M6818" s="10" t="inlineStr">
        <is>
          <t>Bonus, Healthcare Plan, Paid Leave, Laptop, Travel Opportunities</t>
        </is>
      </c>
      <c r="N6818" s="11">
        <f>HYPERLINK("https://www.vietnamworks.com/quality-specialist-kiem-soat-va-nang-cao-chat-luong-quy-trinh-co-the-dji-lam-sau-tet-2002890-jv","Xem chi tiết")</f>
        <v/>
      </c>
      <c r="O6818" s="10" t="n"/>
    </row>
    <row r="6819">
      <c r="B6819" s="7" t="n">
        <v>6817</v>
      </c>
      <c r="C6819" t="inlineStr">
        <is>
          <t>Brand Manager - Male Grooming</t>
        </is>
      </c>
      <c r="D6819" t="inlineStr">
        <is>
          <t>Marico South East Asia Corporation</t>
        </is>
      </c>
      <c r="E6819" t="inlineStr">
        <is>
          <t>Thương lượng</t>
        </is>
      </c>
      <c r="F6819" t="inlineStr">
        <is>
          <t>Hồ Chí Minh</t>
        </is>
      </c>
      <c r="G6819" t="inlineStr">
        <is>
          <t>Trưởng phòng</t>
        </is>
      </c>
      <c r="H6819" t="inlineStr">
        <is>
          <t>16/01/2026</t>
        </is>
      </c>
      <c r="I6819" t="inlineStr">
        <is>
          <t>03/04/2026</t>
        </is>
      </c>
      <c r="J6819" t="inlineStr">
        <is>
          <t>17/03/2026</t>
        </is>
      </c>
      <c r="K6819" t="inlineStr">
        <is>
          <t>N/A</t>
        </is>
      </c>
      <c r="L6819" t="inlineStr">
        <is>
          <t>Brand Management, Brand Marketing, FMCG, Marketing Innovation, Marketing Strategy</t>
        </is>
      </c>
      <c r="M6819" t="inlineStr">
        <is>
          <t>Others</t>
        </is>
      </c>
      <c r="N6819" s="8">
        <f>HYPERLINK("https://www.vietnamworks.com/brand-manager-male-grooming-2003353-jv","Xem chi tiết")</f>
        <v/>
      </c>
    </row>
    <row r="6820">
      <c r="B6820" s="9" t="n">
        <v>6818</v>
      </c>
      <c r="C6820" s="10" t="inlineStr">
        <is>
          <t>Đội Trưởng Đội Phòng Cháy Chữa Cháy (Có Thể Đi Làm Sau Tết)</t>
        </is>
      </c>
      <c r="D6820" s="10" t="inlineStr">
        <is>
          <t>Deep C Industrial Zones</t>
        </is>
      </c>
      <c r="E6820" s="10" t="inlineStr">
        <is>
          <t>Thương lượng</t>
        </is>
      </c>
      <c r="F6820" s="10" t="inlineStr">
        <is>
          <t>Hải Phòng</t>
        </is>
      </c>
      <c r="G6820" s="10" t="inlineStr">
        <is>
          <t>Nhân viên</t>
        </is>
      </c>
      <c r="H6820" s="10" t="inlineStr">
        <is>
          <t>15/01/2026</t>
        </is>
      </c>
      <c r="I6820" s="10" t="inlineStr">
        <is>
          <t>03/04/2026</t>
        </is>
      </c>
      <c r="J6820" s="10" t="inlineStr">
        <is>
          <t>17/03/2026</t>
        </is>
      </c>
      <c r="K6820" s="10" t="inlineStr">
        <is>
          <t>N/A</t>
        </is>
      </c>
      <c r="L6820" s="10" t="inlineStr">
        <is>
          <t>Fire Fighting, Fire Fighting Training, Fire Protection Systems, Phòng cháy chữa cháy (PCCC), Đào Tạo Diễn Tập PCCC</t>
        </is>
      </c>
      <c r="M6820" s="10" t="inlineStr">
        <is>
          <t>Bonus, Healthcare Plan, Paid Leave</t>
        </is>
      </c>
      <c r="N6820" s="11">
        <f>HYPERLINK("https://www.vietnamworks.com/doi-truong-doi-phong-chay-chua-chay-co-the-di-lam-sau-tet-2002838-jv","Xem chi tiết")</f>
        <v/>
      </c>
      <c r="O6820" s="10" t="n"/>
    </row>
    <row r="6821">
      <c r="B6821" s="7" t="n">
        <v>6819</v>
      </c>
      <c r="C6821" t="inlineStr">
        <is>
          <t>Optical Engineer</t>
        </is>
      </c>
      <c r="D6821" t="inlineStr">
        <is>
          <t>CÔNG TY TRÁCH NHIỆM HỮU HẠN AVERNA VIỆT NAM</t>
        </is>
      </c>
      <c r="E6821" t="inlineStr">
        <is>
          <t>Thương lượng</t>
        </is>
      </c>
      <c r="F6821" t="inlineStr">
        <is>
          <t>Hồ Chí Minh</t>
        </is>
      </c>
      <c r="G6821" t="inlineStr">
        <is>
          <t>Nhân viên</t>
        </is>
      </c>
      <c r="H6821" t="inlineStr">
        <is>
          <t>16/01/2026</t>
        </is>
      </c>
      <c r="I6821" t="inlineStr">
        <is>
          <t>03/04/2026</t>
        </is>
      </c>
      <c r="J6821" t="inlineStr">
        <is>
          <t>17/03/2026</t>
        </is>
      </c>
      <c r="K6821" t="inlineStr">
        <is>
          <t>N/A</t>
        </is>
      </c>
      <c r="L6821" t="inlineStr">
        <is>
          <t>Optical Manufacture, Optical Materials</t>
        </is>
      </c>
      <c r="M6821" t="inlineStr">
        <is>
          <t>Healthcare Plan, Paid Leave, Training, Laptop, Others</t>
        </is>
      </c>
      <c r="N6821" s="8">
        <f>HYPERLINK("https://www.vietnamworks.com/optical-engineer-2003332-jv","Xem chi tiết")</f>
        <v/>
      </c>
    </row>
    <row r="6822">
      <c r="B6822" s="9" t="n">
        <v>6820</v>
      </c>
      <c r="C6822" s="10" t="inlineStr">
        <is>
          <t>HN - Giám Đốc Quan Hệ Khách Hàng Ưu Tiên</t>
        </is>
      </c>
      <c r="D6822" s="10" t="inlineStr">
        <is>
          <t>Ngân Hàng TMCP Á Châu (ACB)</t>
        </is>
      </c>
      <c r="E6822" s="10" t="inlineStr">
        <is>
          <t>Thương lượng</t>
        </is>
      </c>
      <c r="F6822" s="10" t="inlineStr">
        <is>
          <t>Hà Nội, Đà Nẵng, Bình Định</t>
        </is>
      </c>
      <c r="G6822" s="10" t="inlineStr">
        <is>
          <t>Giám Đốc và Cấp Cao Hơn</t>
        </is>
      </c>
      <c r="H6822" s="10" t="inlineStr">
        <is>
          <t>15/01/2026</t>
        </is>
      </c>
      <c r="I6822" s="10" t="inlineStr">
        <is>
          <t>03/04/2026</t>
        </is>
      </c>
      <c r="J6822" s="10" t="inlineStr">
        <is>
          <t>17/03/2026</t>
        </is>
      </c>
      <c r="K6822" s="10" t="inlineStr">
        <is>
          <t>N/A</t>
        </is>
      </c>
      <c r="L6822" s="10" t="inlineStr">
        <is>
          <t>Chăm Sóc Khách Hàng, Phát Triển Khách Hàng, Quản trị Kinh doanh, Tư Vấn Giải Pháp Tài Chính, Dịch Vụ Khách Hàng</t>
        </is>
      </c>
      <c r="M6822" s="10" t="inlineStr">
        <is>
          <t>Bonus, Healthcare Plan, Training, Awards, Team Activities, Others</t>
        </is>
      </c>
      <c r="N6822" s="11">
        <f>HYPERLINK("https://www.vietnamworks.com/hn-giam-djoc-quan-he-khach-hang-uu-tien-2003045-jv","Xem chi tiết")</f>
        <v/>
      </c>
      <c r="O6822" s="10" t="n"/>
    </row>
    <row r="6823">
      <c r="B6823" s="7" t="n">
        <v>6821</v>
      </c>
      <c r="C6823" t="inlineStr">
        <is>
          <t>Mechanical &amp; Electrical (MEP) Engineer</t>
        </is>
      </c>
      <c r="D6823" t="inlineStr">
        <is>
          <t>Circa Domini International Inc.</t>
        </is>
      </c>
      <c r="E6823" t="inlineStr">
        <is>
          <t>$$ 600-1,000 /tháng</t>
        </is>
      </c>
      <c r="F6823" t="inlineStr">
        <is>
          <t>Quốc tế, Hồ Chí Minh</t>
        </is>
      </c>
      <c r="G6823" t="inlineStr">
        <is>
          <t>Mới Tốt Nghiệp</t>
        </is>
      </c>
      <c r="H6823" t="inlineStr">
        <is>
          <t>17/02/2026</t>
        </is>
      </c>
      <c r="I6823" t="inlineStr">
        <is>
          <t>03/04/2026</t>
        </is>
      </c>
      <c r="J6823" t="inlineStr">
        <is>
          <t>17/03/2026</t>
        </is>
      </c>
      <c r="K6823" t="inlineStr">
        <is>
          <t>N/A</t>
        </is>
      </c>
      <c r="L6823" t="inlineStr">
        <is>
          <t>Auto CAD, Communication, English, MS Office, Revit</t>
        </is>
      </c>
      <c r="M6823" t="inlineStr">
        <is>
          <t>Bonus, Others</t>
        </is>
      </c>
      <c r="N6823" s="8">
        <f>HYPERLINK("https://www.vietnamworks.com/mechanical-and-electrical-mep-engineer-2012160-jv","Xem chi tiết")</f>
        <v/>
      </c>
    </row>
    <row r="6824">
      <c r="B6824" s="9" t="n">
        <v>6822</v>
      </c>
      <c r="C6824" s="10" t="inlineStr">
        <is>
          <t>HCM - Giám Đốc Quan Hệ Khách Hàng Ưu Tiên</t>
        </is>
      </c>
      <c r="D6824" s="10" t="inlineStr">
        <is>
          <t>Ngân Hàng TMCP Á Châu (ACB)</t>
        </is>
      </c>
      <c r="E6824" s="10" t="inlineStr">
        <is>
          <t>Thương lượng</t>
        </is>
      </c>
      <c r="F6824" s="10" t="inlineStr">
        <is>
          <t>Hồ Chí Minh, Bình Dương, Bà Rịa - Vũng Tàu</t>
        </is>
      </c>
      <c r="G6824" s="10" t="inlineStr">
        <is>
          <t>Giám Đốc và Cấp Cao Hơn</t>
        </is>
      </c>
      <c r="H6824" s="10" t="inlineStr">
        <is>
          <t>15/01/2026</t>
        </is>
      </c>
      <c r="I6824" s="10" t="inlineStr">
        <is>
          <t>03/04/2026</t>
        </is>
      </c>
      <c r="J6824" s="10" t="inlineStr">
        <is>
          <t>17/03/2026</t>
        </is>
      </c>
      <c r="K6824" s="10" t="inlineStr">
        <is>
          <t>N/A</t>
        </is>
      </c>
      <c r="L6824" s="10" t="inlineStr">
        <is>
          <t>Chăm Sóc Khách Hàng, Phát Triển Khách Hàng, Quản trị Kinh doanh, Tư Vấn Giải Pháp Tài Chính, Dịch Vụ Khách Hàng</t>
        </is>
      </c>
      <c r="M6824" s="10" t="inlineStr">
        <is>
          <t>Bonus, Healthcare Plan, Training, Awards, Team Activities, Others</t>
        </is>
      </c>
      <c r="N6824" s="11">
        <f>HYPERLINK("https://www.vietnamworks.com/hcm-giam-doc-quan-he-khach-hang-uu-tien--2003046-jv","Xem chi tiết")</f>
        <v/>
      </c>
      <c r="O6824" s="10" t="n"/>
    </row>
    <row r="6825">
      <c r="B6825" s="7" t="n">
        <v>6823</v>
      </c>
      <c r="C6825" t="inlineStr">
        <is>
          <t>Senior Human Resource Specialist</t>
        </is>
      </c>
      <c r="D6825" t="inlineStr">
        <is>
          <t>TurnKey FBA</t>
        </is>
      </c>
      <c r="E6825" t="inlineStr">
        <is>
          <t>20tr-25tr ₫/tháng</t>
        </is>
      </c>
      <c r="F6825" t="inlineStr">
        <is>
          <t>Hà Nội</t>
        </is>
      </c>
      <c r="G6825" t="inlineStr">
        <is>
          <t>Nhân viên</t>
        </is>
      </c>
      <c r="H6825" t="inlineStr">
        <is>
          <t>16/01/2026</t>
        </is>
      </c>
      <c r="I6825" t="inlineStr">
        <is>
          <t>03/04/2026</t>
        </is>
      </c>
      <c r="J6825" t="inlineStr">
        <is>
          <t>17/03/2026</t>
        </is>
      </c>
      <c r="K6825" t="inlineStr">
        <is>
          <t>N/A</t>
        </is>
      </c>
      <c r="L6825" t="inlineStr">
        <is>
          <t>HR Strategy, Employee Engagement, Talent Development, HR Admin, Recruitment</t>
        </is>
      </c>
      <c r="M6825" t="inlineStr">
        <is>
          <t>Healthcare Plan, Paid Leave, Training, Laptop, Team Activities, Transportation, Canteen</t>
        </is>
      </c>
      <c r="N6825" s="8">
        <f>HYPERLINK("https://www.vietnamworks.com/senior-human-resource-specialist-2003312-jv","Xem chi tiết")</f>
        <v/>
      </c>
    </row>
    <row r="6826">
      <c r="B6826" s="9" t="n">
        <v>6824</v>
      </c>
      <c r="C6826" s="10" t="inlineStr">
        <is>
          <t>Relationship Management Supervisor - Giám Sát Quan Hệ Khách Hàng (New Project)</t>
        </is>
      </c>
      <c r="D6826" s="10" t="inlineStr">
        <is>
          <t>Công Ty Cổ Phần Đô Thị Amata Hạ Long</t>
        </is>
      </c>
      <c r="E6826" s="10" t="inlineStr">
        <is>
          <t>Thương lượng</t>
        </is>
      </c>
      <c r="F6826" s="10" t="inlineStr">
        <is>
          <t>Phú Thọ, Thái Nguyên, Hà Nội</t>
        </is>
      </c>
      <c r="G6826" s="10" t="inlineStr">
        <is>
          <t>Nhân viên</t>
        </is>
      </c>
      <c r="H6826" s="10" t="inlineStr">
        <is>
          <t>16/01/2026</t>
        </is>
      </c>
      <c r="I6826" s="10" t="inlineStr">
        <is>
          <t>03/04/2026</t>
        </is>
      </c>
      <c r="J6826" s="10" t="inlineStr">
        <is>
          <t>17/03/2026</t>
        </is>
      </c>
      <c r="K6826" s="10" t="inlineStr">
        <is>
          <t>N/A</t>
        </is>
      </c>
      <c r="L6826" s="10" t="inlineStr">
        <is>
          <t>Presentation Skills, Communication And Problem-Solving Skills, Event Organization, Customer Service, Government Affairs</t>
        </is>
      </c>
      <c r="M6826" s="10" t="inlineStr">
        <is>
          <t>Bonus, Healthcare Plan, Others</t>
        </is>
      </c>
      <c r="N6826" s="11">
        <f>HYPERLINK("https://www.vietnamworks.com/relationship-management-supervisor-giam-sat-quan-he-khach-hang-new-project--2003214-jv","Xem chi tiết")</f>
        <v/>
      </c>
      <c r="O6826" s="10" t="n"/>
    </row>
    <row r="6827">
      <c r="B6827" s="7" t="n">
        <v>6825</v>
      </c>
      <c r="C6827" t="inlineStr">
        <is>
          <t>Electricity Manager - Trưởng Phòng Điện (New Project)</t>
        </is>
      </c>
      <c r="D6827" t="inlineStr">
        <is>
          <t>Công Ty Cổ Phần Đô Thị Amata Hạ Long</t>
        </is>
      </c>
      <c r="E6827" t="inlineStr">
        <is>
          <t>Thương lượng</t>
        </is>
      </c>
      <c r="F6827" t="inlineStr">
        <is>
          <t>Hà Nội, Thái Nguyên, Phú Thọ</t>
        </is>
      </c>
      <c r="G6827" t="inlineStr">
        <is>
          <t>Trưởng phòng</t>
        </is>
      </c>
      <c r="H6827" t="inlineStr">
        <is>
          <t>16/01/2026</t>
        </is>
      </c>
      <c r="I6827" t="inlineStr">
        <is>
          <t>03/04/2026</t>
        </is>
      </c>
      <c r="J6827" t="inlineStr">
        <is>
          <t>17/03/2026</t>
        </is>
      </c>
      <c r="K6827" t="inlineStr">
        <is>
          <t>N/A</t>
        </is>
      </c>
      <c r="L6827" t="inlineStr">
        <is>
          <t>Electrical Safety, Electricity System, English Communication, Power Mangement, Team Management</t>
        </is>
      </c>
      <c r="M6827" t="inlineStr">
        <is>
          <t>Bonus, Healthcare Plan, Others</t>
        </is>
      </c>
      <c r="N6827" s="8">
        <f>HYPERLINK("https://www.vietnamworks.com/electricity-manager-truong-phong-djien-new-project-2003216-jv","Xem chi tiết")</f>
        <v/>
      </c>
    </row>
    <row r="6828">
      <c r="B6828" s="9" t="n">
        <v>6826</v>
      </c>
      <c r="C6828" s="10" t="inlineStr">
        <is>
          <t>Nhân Viên Quan Hệ Khách Hàng Doanh Nghiệp (Hà Nội, Hải Phòng, Quảng Ninh)</t>
        </is>
      </c>
      <c r="D6828" s="10" t="inlineStr">
        <is>
          <t>Chailease</t>
        </is>
      </c>
      <c r="E6828" s="10" t="inlineStr">
        <is>
          <t>Thương lượng</t>
        </is>
      </c>
      <c r="F6828" s="10" t="inlineStr">
        <is>
          <t>Hà Nội, Quảng Ninh, Hải Phòng</t>
        </is>
      </c>
      <c r="G6828" s="10" t="inlineStr">
        <is>
          <t>Nhân viên</t>
        </is>
      </c>
      <c r="H6828" s="10" t="inlineStr">
        <is>
          <t>27/01/2026</t>
        </is>
      </c>
      <c r="I6828" s="10" t="inlineStr">
        <is>
          <t>03/04/2026</t>
        </is>
      </c>
      <c r="J6828" s="10" t="inlineStr">
        <is>
          <t>17/03/2026</t>
        </is>
      </c>
      <c r="K6828" s="10" t="inlineStr">
        <is>
          <t>N/A</t>
        </is>
      </c>
      <c r="L6828" s="10" t="inlineStr">
        <is>
          <t>Tìm Kiếm Khách Hàng, Quan Hệ Khách Hàng, Cho Thuê Tài Chính, Tài Chính Ngân Hàng, Tín Dụng Doanh Nghiệp</t>
        </is>
      </c>
      <c r="M6828" s="10" t="inlineStr">
        <is>
          <t>Bonus, Healthcare Plan, Transportation</t>
        </is>
      </c>
      <c r="N6828" s="11">
        <f>HYPERLINK("https://www.vietnamworks.com/nhan-vien-quan-he-khach-hang-doanh-nghiep-ha-noi-hai-phong-quang-ninh--2006940-jv","Xem chi tiết")</f>
        <v/>
      </c>
      <c r="O6828" s="10" t="n"/>
    </row>
    <row r="6829">
      <c r="B6829" s="7" t="n">
        <v>6827</v>
      </c>
      <c r="C6829" t="inlineStr">
        <is>
          <t>Assistant to Sales Director</t>
        </is>
      </c>
      <c r="D6829" t="inlineStr">
        <is>
          <t>Netnam Corp.</t>
        </is>
      </c>
      <c r="E6829" t="inlineStr">
        <is>
          <t>Thương lượng</t>
        </is>
      </c>
      <c r="F6829" t="inlineStr">
        <is>
          <t>Hồ Chí Minh</t>
        </is>
      </c>
      <c r="G6829" t="inlineStr">
        <is>
          <t>Nhân viên</t>
        </is>
      </c>
      <c r="H6829" t="inlineStr">
        <is>
          <t>14/01/2026</t>
        </is>
      </c>
      <c r="I6829" t="inlineStr">
        <is>
          <t>03/04/2026</t>
        </is>
      </c>
      <c r="J6829" t="inlineStr">
        <is>
          <t>17/03/2026</t>
        </is>
      </c>
      <c r="K6829" t="inlineStr">
        <is>
          <t>N/A</t>
        </is>
      </c>
      <c r="L6829" t="inlineStr">
        <is>
          <t>Communication, Data Analysis, Project Sales Management, Business Development, English</t>
        </is>
      </c>
      <c r="M6829" t="inlineStr">
        <is>
          <t>Bonus, Training, Travel Opportunities</t>
        </is>
      </c>
      <c r="N6829" s="8">
        <f>HYPERLINK("https://www.vietnamworks.com/assistant-to-sales-director--2002756-jv","Xem chi tiết")</f>
        <v/>
      </c>
    </row>
    <row r="6830">
      <c r="B6830" s="9" t="n">
        <v>6828</v>
      </c>
      <c r="C6830" s="10" t="inlineStr">
        <is>
          <t>Electrical Engineer (110Kv Substation)</t>
        </is>
      </c>
      <c r="D6830" s="10" t="inlineStr">
        <is>
          <t>Công Ty Cổ Phần Đô Thị Amata Hạ Long</t>
        </is>
      </c>
      <c r="E6830" s="10" t="inlineStr">
        <is>
          <t>Thương lượng</t>
        </is>
      </c>
      <c r="F6830" s="10" t="inlineStr">
        <is>
          <t>Quảng Ninh, Hà Nội, Hải Phòng</t>
        </is>
      </c>
      <c r="G6830" s="10" t="inlineStr">
        <is>
          <t>Nhân viên</t>
        </is>
      </c>
      <c r="H6830" s="10" t="inlineStr">
        <is>
          <t>15/01/2026</t>
        </is>
      </c>
      <c r="I6830" s="10" t="inlineStr">
        <is>
          <t>03/04/2026</t>
        </is>
      </c>
      <c r="J6830" s="10" t="inlineStr">
        <is>
          <t>17/03/2026</t>
        </is>
      </c>
      <c r="K6830" s="10" t="inlineStr">
        <is>
          <t>N/A</t>
        </is>
      </c>
      <c r="L6830" s="10" t="inlineStr">
        <is>
          <t>Maintenance, Measuring Equipment, System Protection, Operation Of 110Kv Substation, Hệ Thống Điện</t>
        </is>
      </c>
      <c r="M6830" s="10" t="inlineStr">
        <is>
          <t>Bonus, Healthcare Plan, Others</t>
        </is>
      </c>
      <c r="N6830" s="11">
        <f>HYPERLINK("https://www.vietnamworks.com/electrical-engineer-110kv-substation-1--2003091-jv","Xem chi tiết")</f>
        <v/>
      </c>
      <c r="O6830" s="10" t="n"/>
    </row>
    <row r="6831">
      <c r="B6831" s="7" t="n">
        <v>6829</v>
      </c>
      <c r="C6831" t="inlineStr">
        <is>
          <t>Marketing Manager</t>
        </is>
      </c>
      <c r="D6831" t="inlineStr">
        <is>
          <t>DHAS VIETNAM</t>
        </is>
      </c>
      <c r="E6831" t="inlineStr">
        <is>
          <t>35tr-40tr ₫/tháng</t>
        </is>
      </c>
      <c r="F6831" t="inlineStr">
        <is>
          <t>Hồ Chí Minh</t>
        </is>
      </c>
      <c r="G6831" t="inlineStr">
        <is>
          <t>Trưởng phòng</t>
        </is>
      </c>
      <c r="H6831" t="inlineStr">
        <is>
          <t>13/02/2026</t>
        </is>
      </c>
      <c r="I6831" t="inlineStr">
        <is>
          <t>03/04/2026</t>
        </is>
      </c>
      <c r="J6831" t="inlineStr">
        <is>
          <t>17/03/2026</t>
        </is>
      </c>
      <c r="K6831" t="inlineStr">
        <is>
          <t>N/A</t>
        </is>
      </c>
      <c r="L6831" t="inlineStr">
        <is>
          <t>Costs Management, Data Analysis, Leadership, Marketing Strategy, Trade Marketing</t>
        </is>
      </c>
      <c r="M6831" t="inlineStr">
        <is>
          <t>Bonus, Healthcare Plan, Laptop, Vouchers, Others</t>
        </is>
      </c>
      <c r="N6831" s="8">
        <f>HYPERLINK("https://www.vietnamworks.com/marketing-manager-2011967-jv","Xem chi tiết")</f>
        <v/>
      </c>
    </row>
    <row r="6832">
      <c r="B6832" s="9" t="n">
        <v>6830</v>
      </c>
      <c r="C6832" s="10" t="inlineStr">
        <is>
          <t>Quản Lý Người Mẫu/ Junior Model Manager</t>
        </is>
      </c>
      <c r="D6832" s="10" t="inlineStr">
        <is>
          <t>Công ty TNHH IDO MANAGMENT</t>
        </is>
      </c>
      <c r="E6832" s="10" t="inlineStr">
        <is>
          <t>Thương lượng</t>
        </is>
      </c>
      <c r="F6832" s="10" t="inlineStr">
        <is>
          <t>Hồ Chí Minh</t>
        </is>
      </c>
      <c r="G6832" s="10" t="inlineStr">
        <is>
          <t>Nhân viên</t>
        </is>
      </c>
      <c r="H6832" s="10" t="inlineStr">
        <is>
          <t>16/01/2026</t>
        </is>
      </c>
      <c r="I6832" s="10" t="inlineStr">
        <is>
          <t>03/04/2026</t>
        </is>
      </c>
      <c r="J6832" s="10" t="inlineStr">
        <is>
          <t>17/03/2026</t>
        </is>
      </c>
      <c r="K6832" s="10" t="inlineStr">
        <is>
          <t>N/A</t>
        </is>
      </c>
      <c r="L6832" s="10" t="inlineStr">
        <is>
          <t>Quản Lý Mạng Xã Hội, Sử dụng Capcut cơ bản, Chỉnh sửa Canva, Quản Lý Sự Kiện, Quản lý KOC/KOL</t>
        </is>
      </c>
      <c r="M6832" s="10" t="inlineStr">
        <is>
          <t>Bonus, Paid Leave, Others</t>
        </is>
      </c>
      <c r="N6832" s="11">
        <f>HYPERLINK("https://www.vietnamworks.com/quan-ly-nguoi-mau-junior-model-manager-2003545-jv","Xem chi tiết")</f>
        <v/>
      </c>
      <c r="O6832" s="10" t="n"/>
    </row>
    <row r="6833">
      <c r="B6833" s="7" t="n">
        <v>6831</v>
      </c>
      <c r="C6833" t="inlineStr">
        <is>
          <t>Chuyên Viên Tư Vấn Tiêu Chuẩn Kỹ Thuật Dự Án</t>
        </is>
      </c>
      <c r="D6833" t="inlineStr">
        <is>
          <t>Công Ty TNHH Sơn Kansai Việt Nam</t>
        </is>
      </c>
      <c r="E6833" t="inlineStr">
        <is>
          <t>$$ 500-800 /tháng</t>
        </is>
      </c>
      <c r="F6833" t="inlineStr">
        <is>
          <t>Hồ Chí Minh</t>
        </is>
      </c>
      <c r="G6833" t="inlineStr">
        <is>
          <t>Nhân viên</t>
        </is>
      </c>
      <c r="H6833" t="inlineStr">
        <is>
          <t>16/01/2026</t>
        </is>
      </c>
      <c r="I6833" t="inlineStr">
        <is>
          <t>03/04/2026</t>
        </is>
      </c>
      <c r="J6833" t="inlineStr">
        <is>
          <t>17/03/2026</t>
        </is>
      </c>
      <c r="K6833" t="inlineStr">
        <is>
          <t>N/A</t>
        </is>
      </c>
      <c r="L6833" t="inlineStr">
        <is>
          <t>Kinh Doanh, Dự án, Kinh Nghiệm Vật Liệu Xây Dựng, Sơn</t>
        </is>
      </c>
      <c r="M6833" t="inlineStr">
        <is>
          <t>Healthcare Plan, Paid Leave, Transportation</t>
        </is>
      </c>
      <c r="N6833" s="8">
        <f>HYPERLINK("https://www.vietnamworks.com/chuyen-vien-tu-van-tieu-chuan-ky-thuat-du-an--2003498-jv","Xem chi tiết")</f>
        <v/>
      </c>
    </row>
    <row r="6834">
      <c r="B6834" s="9" t="n">
        <v>6832</v>
      </c>
      <c r="C6834" s="10" t="inlineStr">
        <is>
          <t>Office Staff (Nhân Viên Văn Phòng) - Chấp Nhận Ứng Viên Mới Tốt Nghiệp</t>
        </is>
      </c>
      <c r="D6834" s="10" t="inlineStr">
        <is>
          <t>Công ty cổ phần đào tạo và cung ứng Nhân lực VOS (VCSC)</t>
        </is>
      </c>
      <c r="E6834" s="10" t="inlineStr">
        <is>
          <t>Thương lượng</t>
        </is>
      </c>
      <c r="F6834" s="10" t="inlineStr">
        <is>
          <t>Hải Phòng</t>
        </is>
      </c>
      <c r="G6834" s="10" t="inlineStr">
        <is>
          <t>Mới Tốt Nghiệp</t>
        </is>
      </c>
      <c r="H6834" s="10" t="inlineStr">
        <is>
          <t>22/02/2026</t>
        </is>
      </c>
      <c r="I6834" s="10" t="inlineStr">
        <is>
          <t>03/04/2026</t>
        </is>
      </c>
      <c r="J6834" s="10" t="inlineStr">
        <is>
          <t>17/03/2026</t>
        </is>
      </c>
      <c r="K6834" s="10" t="inlineStr">
        <is>
          <t>N/A</t>
        </is>
      </c>
      <c r="L6834" s="10" t="inlineStr">
        <is>
          <t>English Language Proficiency, Nhân viên tuyển dụng, Hành Chính và Văn Phòng, Recruitment &amp; Admissions, Admin office</t>
        </is>
      </c>
      <c r="M6834" s="10" t="inlineStr">
        <is>
          <t>Others</t>
        </is>
      </c>
      <c r="N6834" s="11">
        <f>HYPERLINK("https://www.vietnamworks.com/office-staff-nhan-vien-van-phong-chap-nhan-ung-vien-moi-tot-nghiep-2012235-jv","Xem chi tiết")</f>
        <v/>
      </c>
      <c r="O6834" s="10" t="n"/>
    </row>
    <row r="6835">
      <c r="B6835" s="7" t="n">
        <v>6833</v>
      </c>
      <c r="C6835" t="inlineStr">
        <is>
          <t>Data Solution Architect (Banking/Finance)</t>
        </is>
      </c>
      <c r="D6835" t="inlineStr">
        <is>
          <t>CharterTech Global</t>
        </is>
      </c>
      <c r="E6835" t="inlineStr">
        <is>
          <t>Thương lượng</t>
        </is>
      </c>
      <c r="F6835" t="inlineStr">
        <is>
          <t>Hà Nội</t>
        </is>
      </c>
      <c r="G6835" t="inlineStr">
        <is>
          <t>Nhân viên</t>
        </is>
      </c>
      <c r="H6835" t="inlineStr">
        <is>
          <t>03/03/2026</t>
        </is>
      </c>
      <c r="I6835" t="inlineStr">
        <is>
          <t>03/04/2026</t>
        </is>
      </c>
      <c r="J6835" t="inlineStr">
        <is>
          <t>17/03/2026</t>
        </is>
      </c>
      <c r="K6835" t="inlineStr">
        <is>
          <t>N/A</t>
        </is>
      </c>
      <c r="L6835" t="inlineStr">
        <is>
          <t>Cloud Computing, Data Architecture, Data Modeling, Database Design, ETL Database</t>
        </is>
      </c>
      <c r="M6835" t="inlineStr">
        <is>
          <t>Bonus, Team Activities</t>
        </is>
      </c>
      <c r="N6835" s="8">
        <f>HYPERLINK("https://www.vietnamworks.com/data-solution-architect-bankingfinance-2017407-jv","Xem chi tiết")</f>
        <v/>
      </c>
    </row>
    <row r="6836">
      <c r="B6836" s="9" t="n">
        <v>6834</v>
      </c>
      <c r="C6836" s="10" t="inlineStr">
        <is>
          <t>International Sales Director</t>
        </is>
      </c>
      <c r="D6836" s="10" t="inlineStr">
        <is>
          <t>DS Chemsol Vietnam</t>
        </is>
      </c>
      <c r="E6836" s="10" t="inlineStr">
        <is>
          <t>$$ 200-250 /tháng</t>
        </is>
      </c>
      <c r="F6836" s="10" t="inlineStr">
        <is>
          <t>Hồ Chí Minh</t>
        </is>
      </c>
      <c r="G6836" s="10" t="inlineStr">
        <is>
          <t>Nhân viên</t>
        </is>
      </c>
      <c r="H6836" s="10" t="inlineStr">
        <is>
          <t>03/03/2026</t>
        </is>
      </c>
      <c r="I6836" s="10" t="inlineStr">
        <is>
          <t>03/04/2026</t>
        </is>
      </c>
      <c r="J6836" s="10" t="inlineStr">
        <is>
          <t>17/03/2026</t>
        </is>
      </c>
      <c r="K6836" s="10" t="inlineStr">
        <is>
          <t>N/A</t>
        </is>
      </c>
      <c r="L6836" s="10" t="inlineStr">
        <is>
          <t>Chemistry, Sales</t>
        </is>
      </c>
      <c r="M6836" s="10" t="inlineStr">
        <is>
          <t>Training</t>
        </is>
      </c>
      <c r="N6836" s="11">
        <f>HYPERLINK("https://www.vietnamworks.com/international-sales-director--2017436-jv","Xem chi tiết")</f>
        <v/>
      </c>
      <c r="O6836" s="10" t="n"/>
    </row>
    <row r="6837">
      <c r="B6837" s="7" t="n">
        <v>6835</v>
      </c>
      <c r="C6837" t="inlineStr">
        <is>
          <t>Chuyên Viên Cao Cấp Quản Lý Rủi Ro Hoạt Động</t>
        </is>
      </c>
      <c r="D6837" t="inlineStr">
        <is>
          <t>One Mount</t>
        </is>
      </c>
      <c r="E6837" t="inlineStr">
        <is>
          <t>Thương lượng</t>
        </is>
      </c>
      <c r="F6837" t="inlineStr">
        <is>
          <t>Hà Nội</t>
        </is>
      </c>
      <c r="G6837" t="inlineStr">
        <is>
          <t>Trưởng phòng</t>
        </is>
      </c>
      <c r="H6837" t="inlineStr">
        <is>
          <t>03/03/2026</t>
        </is>
      </c>
      <c r="I6837" t="inlineStr">
        <is>
          <t>03/04/2026</t>
        </is>
      </c>
      <c r="J6837" t="inlineStr">
        <is>
          <t>17/03/2026</t>
        </is>
      </c>
      <c r="K6837" t="inlineStr">
        <is>
          <t>N/A</t>
        </is>
      </c>
      <c r="L6837" t="inlineStr">
        <is>
          <t>Tài Chính Ngân Hàng, Quản Trị Rủi Ro Hoạt Động, Quản Lý Rủi Ro, Kiểm Toán, Kiểm Soát Nội Bộ</t>
        </is>
      </c>
      <c r="M6837" t="inlineStr">
        <is>
          <t>Healthcare Plan, Laptop, Team Activities</t>
        </is>
      </c>
      <c r="N6837" s="8">
        <f>HYPERLINK("https://www.vietnamworks.com/chuyen-vien-cao-cap-quan-ly-rui-ro-hoat-dong--2017646-jv","Xem chi tiết")</f>
        <v/>
      </c>
    </row>
    <row r="6838">
      <c r="B6838" s="9" t="n">
        <v>6836</v>
      </c>
      <c r="C6838" s="10" t="inlineStr">
        <is>
          <t>Cán Bộ Kinh Doanh Hóa Chất</t>
        </is>
      </c>
      <c r="D6838" s="10" t="inlineStr">
        <is>
          <t>Công ty TNHH Công Nghệ Xuân Trường</t>
        </is>
      </c>
      <c r="E6838" s="10" t="inlineStr">
        <is>
          <t>$$ 400-1,000 /tháng</t>
        </is>
      </c>
      <c r="F6838" s="10" t="inlineStr">
        <is>
          <t>Hà Nội</t>
        </is>
      </c>
      <c r="G6838" s="10" t="inlineStr">
        <is>
          <t>Nhân viên</t>
        </is>
      </c>
      <c r="H6838" s="10" t="inlineStr">
        <is>
          <t>03/03/2026</t>
        </is>
      </c>
      <c r="I6838" s="10" t="inlineStr">
        <is>
          <t>03/04/2026</t>
        </is>
      </c>
      <c r="J6838" s="10" t="inlineStr">
        <is>
          <t>17/03/2026</t>
        </is>
      </c>
      <c r="K6838" s="10" t="inlineStr">
        <is>
          <t>N/A</t>
        </is>
      </c>
      <c r="L6838" s="10" t="inlineStr">
        <is>
          <t>Bán Hàng Hóa Chất, B2B Sales, Business Development, Chemical Sales, Technical Sales</t>
        </is>
      </c>
      <c r="M6838" s="10" t="inlineStr">
        <is>
          <t>Healthcare Plan, Others</t>
        </is>
      </c>
      <c r="N6838" s="11">
        <f>HYPERLINK("https://www.vietnamworks.com/can-bo-kinh-doanh-hoa-chat-2017196-jv","Xem chi tiết")</f>
        <v/>
      </c>
      <c r="O6838" s="10" t="n"/>
    </row>
    <row r="6839">
      <c r="B6839" s="7" t="n">
        <v>6837</v>
      </c>
      <c r="C6839" t="inlineStr">
        <is>
          <t>Accountant (Nhân viên kế toán) - 7 Months Contract</t>
        </is>
      </c>
      <c r="D6839" t="inlineStr">
        <is>
          <t>iDeaLogic</t>
        </is>
      </c>
      <c r="E6839" t="inlineStr">
        <is>
          <t>Thương lượng</t>
        </is>
      </c>
      <c r="F6839" t="inlineStr">
        <is>
          <t>Hồ Chí Minh</t>
        </is>
      </c>
      <c r="G6839" t="inlineStr">
        <is>
          <t>Nhân viên</t>
        </is>
      </c>
      <c r="H6839" t="inlineStr">
        <is>
          <t>03/03/2026</t>
        </is>
      </c>
      <c r="I6839" t="inlineStr">
        <is>
          <t>03/04/2026</t>
        </is>
      </c>
      <c r="J6839" t="inlineStr">
        <is>
          <t>17/03/2026</t>
        </is>
      </c>
      <c r="K6839" t="inlineStr">
        <is>
          <t>N/A</t>
        </is>
      </c>
      <c r="L6839" t="inlineStr">
        <is>
          <t>Accounting, Communication, Excel, Finance, Misa software</t>
        </is>
      </c>
      <c r="M6839" t="inlineStr">
        <is>
          <t>Healthcare Plan, Paid Leave, Training, Others</t>
        </is>
      </c>
      <c r="N6839" s="8">
        <f>HYPERLINK("https://www.vietnamworks.com/accountant-nhan-vien-ke-toan-7-months-contract-2017355-jv","Xem chi tiết")</f>
        <v/>
      </c>
    </row>
    <row r="6840">
      <c r="B6840" s="9" t="n">
        <v>6838</v>
      </c>
      <c r="C6840" s="10" t="inlineStr">
        <is>
          <t>Nhân Viên Kỹ Thuật &amp; Bảo Trì (Technical &amp; Maintenance Staff)</t>
        </is>
      </c>
      <c r="D6840" s="10" t="inlineStr">
        <is>
          <t>CÔNG TY TNHH TÍCH HỢP HỆ THỐNG NHANH</t>
        </is>
      </c>
      <c r="E6840" s="10" t="inlineStr">
        <is>
          <t>10tr-12tr ₫/tháng</t>
        </is>
      </c>
      <c r="F6840" s="10" t="inlineStr">
        <is>
          <t>Hà Nội</t>
        </is>
      </c>
      <c r="G6840" s="10" t="inlineStr">
        <is>
          <t>Mới Tốt Nghiệp</t>
        </is>
      </c>
      <c r="H6840" s="10" t="inlineStr">
        <is>
          <t>02/03/2026</t>
        </is>
      </c>
      <c r="I6840" s="10" t="inlineStr">
        <is>
          <t>03/04/2026</t>
        </is>
      </c>
      <c r="J6840" s="10" t="inlineStr">
        <is>
          <t>17/03/2026</t>
        </is>
      </c>
      <c r="K6840" s="10" t="inlineStr">
        <is>
          <t>N/A</t>
        </is>
      </c>
      <c r="L6840" s="10" t="inlineStr">
        <is>
          <t>Kỹ Thuật, Bảo Trì Hệ Thống Camera, Hỗ Trợ Khách Hàng, Kiểm Tra Bảo Trì, Maintenance</t>
        </is>
      </c>
      <c r="M6840" s="10" t="inlineStr">
        <is>
          <t>Training, Others</t>
        </is>
      </c>
      <c r="N6840" s="11">
        <f>HYPERLINK("https://www.vietnamworks.com/nhan-vien-ky-thuat-and-bao-tri-technical-and-maintenance-staff-2016757-jv","Xem chi tiết")</f>
        <v/>
      </c>
      <c r="O6840" s="10" t="n"/>
    </row>
    <row r="6841">
      <c r="B6841" s="7" t="n">
        <v>6839</v>
      </c>
      <c r="C6841" t="inlineStr">
        <is>
          <t>Chuyên Viên Phân Tích Dữ Liệu Kiêm Trợ Lý Tổng Giám Đốc</t>
        </is>
      </c>
      <c r="D6841" t="inlineStr">
        <is>
          <t>CÔNG TY TNHH MERAKI LAND</t>
        </is>
      </c>
      <c r="E6841" t="inlineStr">
        <is>
          <t>Từ 30tr ₫/tháng</t>
        </is>
      </c>
      <c r="F6841" t="inlineStr">
        <is>
          <t>Hồ Chí Minh</t>
        </is>
      </c>
      <c r="G6841" t="inlineStr">
        <is>
          <t>Nhân viên</t>
        </is>
      </c>
      <c r="H6841" t="inlineStr">
        <is>
          <t>27/02/2026</t>
        </is>
      </c>
      <c r="I6841" t="inlineStr">
        <is>
          <t>03/04/2026</t>
        </is>
      </c>
      <c r="J6841" t="inlineStr">
        <is>
          <t>17/03/2026</t>
        </is>
      </c>
      <c r="K6841" t="inlineStr">
        <is>
          <t>N/A</t>
        </is>
      </c>
      <c r="L6841" t="inlineStr">
        <is>
          <t>Trợ Lý, Market Research, Market Development, Data Analysis, Phân Tích Thị Trường</t>
        </is>
      </c>
      <c r="M6841" t="inlineStr">
        <is>
          <t>Bonus, Healthcare Plan, Others</t>
        </is>
      </c>
      <c r="N6841" s="8">
        <f>HYPERLINK("https://www.vietnamworks.com/chuyen-vien-phan-tich-du-lieu-kiem-tro-ly-tong-giam-doc-2015174-jv","Xem chi tiết")</f>
        <v/>
      </c>
    </row>
    <row r="6842">
      <c r="B6842" s="9" t="n">
        <v>6840</v>
      </c>
      <c r="C6842" s="10" t="inlineStr">
        <is>
          <t>Chuyên Viên Content</t>
        </is>
      </c>
      <c r="D6842" s="10" t="inlineStr">
        <is>
          <t>CÔNG TY TNHH PHÁT TRIỂN GIÁO DỤC EMPIRE</t>
        </is>
      </c>
      <c r="E6842" s="10" t="inlineStr">
        <is>
          <t>Thương lượng</t>
        </is>
      </c>
      <c r="F6842" s="10" t="inlineStr">
        <is>
          <t>Hà Nội</t>
        </is>
      </c>
      <c r="G6842" s="10" t="inlineStr">
        <is>
          <t>Nhân viên</t>
        </is>
      </c>
      <c r="H6842" s="10" t="inlineStr">
        <is>
          <t>02/03/2026</t>
        </is>
      </c>
      <c r="I6842" s="10" t="inlineStr">
        <is>
          <t>03/04/2026</t>
        </is>
      </c>
      <c r="J6842" s="10" t="inlineStr">
        <is>
          <t>17/03/2026</t>
        </is>
      </c>
      <c r="K6842" s="10" t="inlineStr">
        <is>
          <t>N/A</t>
        </is>
      </c>
      <c r="L6842" s="10" t="inlineStr">
        <is>
          <t>SEO Content Writing, Copywriting, Photoshop, Web Research, Design Canva</t>
        </is>
      </c>
      <c r="M6842" s="10" t="inlineStr">
        <is>
          <t>Bonus, Healthcare Plan, Paid Leave, Laptop, Team Activities, Others</t>
        </is>
      </c>
      <c r="N6842" s="11">
        <f>HYPERLINK("https://www.vietnamworks.com/chuyen-vien-content-2016566-jv","Xem chi tiết")</f>
        <v/>
      </c>
      <c r="O6842" s="10" t="n"/>
    </row>
    <row r="6843">
      <c r="B6843" s="7" t="n">
        <v>6841</v>
      </c>
      <c r="C6843" t="inlineStr">
        <is>
          <t>[Tuyển Gấp] Chuyên Viên Pháp Chế (Lương Lên Tới 25 Triệu/tháng)</t>
        </is>
      </c>
      <c r="D6843" t="inlineStr">
        <is>
          <t>Công Ty CP Tập Đoàn Bách Việt</t>
        </is>
      </c>
      <c r="E6843" t="inlineStr">
        <is>
          <t>Tới $ 1,000 /tháng</t>
        </is>
      </c>
      <c r="F6843" t="inlineStr">
        <is>
          <t>Hà Nội</t>
        </is>
      </c>
      <c r="G6843" t="inlineStr">
        <is>
          <t>Nhân viên</t>
        </is>
      </c>
      <c r="H6843" t="inlineStr">
        <is>
          <t>03/03/2026</t>
        </is>
      </c>
      <c r="I6843" t="inlineStr">
        <is>
          <t>03/04/2026</t>
        </is>
      </c>
      <c r="J6843" t="inlineStr">
        <is>
          <t>17/03/2026</t>
        </is>
      </c>
      <c r="K6843" t="inlineStr">
        <is>
          <t>N/A</t>
        </is>
      </c>
      <c r="L6843" t="inlineStr">
        <is>
          <t>Pháp Lý, Pháp Chế, Luật, Tư Vấn Luật Xây Dựng, Luật Xây Dựng</t>
        </is>
      </c>
      <c r="M6843" t="inlineStr">
        <is>
          <t>Bonus, Healthcare Plan, Paid Leave</t>
        </is>
      </c>
      <c r="N6843" s="8">
        <f>HYPERLINK("https://www.vietnamworks.com/tuyen-gap-chuyen-vien-phap-che-luong-len-toi-25-trieu-thang-2017431-jv","Xem chi tiết")</f>
        <v/>
      </c>
    </row>
    <row r="6844">
      <c r="B6844" s="9" t="n">
        <v>6842</v>
      </c>
      <c r="C6844" s="10" t="inlineStr">
        <is>
          <t>Production Staff</t>
        </is>
      </c>
      <c r="D6844" s="10" t="inlineStr">
        <is>
          <t>Panasonic Industrial Devices Vietnam CO., LTD (PIDVN)</t>
        </is>
      </c>
      <c r="E6844" s="10" t="inlineStr">
        <is>
          <t>Thương lượng</t>
        </is>
      </c>
      <c r="F6844" s="10" t="inlineStr">
        <is>
          <t>Hà Nội</t>
        </is>
      </c>
      <c r="G6844" s="10" t="inlineStr">
        <is>
          <t>Nhân viên</t>
        </is>
      </c>
      <c r="H6844" s="10" t="inlineStr">
        <is>
          <t>03/03/2026</t>
        </is>
      </c>
      <c r="I6844" s="10" t="inlineStr">
        <is>
          <t>03/04/2026</t>
        </is>
      </c>
      <c r="J6844" s="10" t="inlineStr">
        <is>
          <t>17/03/2026</t>
        </is>
      </c>
      <c r="K6844" s="10" t="inlineStr">
        <is>
          <t>N/A</t>
        </is>
      </c>
      <c r="L6844" s="10" t="inlineStr">
        <is>
          <t>Production, Mechanical, Electronics, Cơ Khí, Điện Tử</t>
        </is>
      </c>
      <c r="M6844" s="10" t="inlineStr">
        <is>
          <t>Bonus, Training, Transportation</t>
        </is>
      </c>
      <c r="N6844" s="11">
        <f>HYPERLINK("https://www.vietnamworks.com/production-staff--2017670-jv","Xem chi tiết")</f>
        <v/>
      </c>
      <c r="O6844" s="10" t="n"/>
    </row>
    <row r="6845">
      <c r="B6845" s="7" t="n">
        <v>6843</v>
      </c>
      <c r="C6845" t="inlineStr">
        <is>
          <t>Digital Marketing</t>
        </is>
      </c>
      <c r="D6845" t="inlineStr">
        <is>
          <t>Công Ty TNHH Dịch Vụ Giáo Dục Toàn Cầu (GSE)</t>
        </is>
      </c>
      <c r="E6845" t="inlineStr">
        <is>
          <t>Thương lượng</t>
        </is>
      </c>
      <c r="F6845" t="inlineStr">
        <is>
          <t>Hà Nội</t>
        </is>
      </c>
      <c r="G6845" t="inlineStr">
        <is>
          <t>Nhân viên</t>
        </is>
      </c>
      <c r="H6845" t="inlineStr">
        <is>
          <t>02/03/2026</t>
        </is>
      </c>
      <c r="I6845" t="inlineStr">
        <is>
          <t>03/04/2026</t>
        </is>
      </c>
      <c r="J6845" t="inlineStr">
        <is>
          <t>17/03/2026</t>
        </is>
      </c>
      <c r="K6845" t="inlineStr">
        <is>
          <t>N/A</t>
        </is>
      </c>
      <c r="L6845" t="inlineStr">
        <is>
          <t>SEO, Facebook Ads, Google Ads, Email Marketing, Digital Marketing</t>
        </is>
      </c>
      <c r="M6845" t="inlineStr">
        <is>
          <t>Bonus, Healthcare Plan, Training, Laptop, Travel Opportunities, Team Activities, Others</t>
        </is>
      </c>
      <c r="N6845" s="8">
        <f>HYPERLINK("https://www.vietnamworks.com/digital-marketing-2016423-jv","Xem chi tiết")</f>
        <v/>
      </c>
    </row>
    <row r="6846">
      <c r="B6846" s="9" t="n">
        <v>6844</v>
      </c>
      <c r="C6846" s="10" t="inlineStr">
        <is>
          <t>Hiệu Trưởng Trường Cao Đẳng</t>
        </is>
      </c>
      <c r="D6846" s="10" t="inlineStr">
        <is>
          <t>Vietnamworks' Client</t>
        </is>
      </c>
      <c r="E6846" s="10" t="inlineStr">
        <is>
          <t>Thương lượng</t>
        </is>
      </c>
      <c r="F6846" s="10" t="inlineStr">
        <is>
          <t>Hà Nội</t>
        </is>
      </c>
      <c r="G6846" s="10" t="inlineStr">
        <is>
          <t>Giám Đốc và Cấp Cao Hơn</t>
        </is>
      </c>
      <c r="H6846" s="10" t="inlineStr">
        <is>
          <t>26/02/2026</t>
        </is>
      </c>
      <c r="I6846" s="10" t="inlineStr">
        <is>
          <t>03/04/2026</t>
        </is>
      </c>
      <c r="J6846" s="10" t="inlineStr">
        <is>
          <t>17/03/2026</t>
        </is>
      </c>
      <c r="K6846" s="10" t="inlineStr">
        <is>
          <t>N/A</t>
        </is>
      </c>
      <c r="L6846" s="10" t="inlineStr">
        <is>
          <t>Education Management, Tư Duy Chiến Lược, Quản Lý Tuyển Sinh, Quản Trị Vận Hành, Kiểm Soát Tài Chính</t>
        </is>
      </c>
      <c r="M6846" s="10" t="inlineStr">
        <is>
          <t>Healthcare Plan, Training, Team Activities</t>
        </is>
      </c>
      <c r="N6846" s="11">
        <f>HYPERLINK("https://www.vietnamworks.com/hieu-truong-truong-cao-dang-2014570-jv","Xem chi tiết")</f>
        <v/>
      </c>
      <c r="O6846" s="10" t="n"/>
    </row>
    <row r="6847">
      <c r="B6847" s="7" t="n">
        <v>6845</v>
      </c>
      <c r="C6847" t="inlineStr">
        <is>
          <t>Kế Toán Tổng Hợp</t>
        </is>
      </c>
      <c r="D6847" t="inlineStr">
        <is>
          <t>CÔNG TY TNHH PHÁT TRIỂN GIÁO DỤC EMPIRE</t>
        </is>
      </c>
      <c r="E6847" t="inlineStr">
        <is>
          <t>Thương lượng</t>
        </is>
      </c>
      <c r="F6847" t="inlineStr">
        <is>
          <t>Hà Nội</t>
        </is>
      </c>
      <c r="G6847" t="inlineStr">
        <is>
          <t>Nhân viên</t>
        </is>
      </c>
      <c r="H6847" t="inlineStr">
        <is>
          <t>02/03/2026</t>
        </is>
      </c>
      <c r="I6847" t="inlineStr">
        <is>
          <t>03/04/2026</t>
        </is>
      </c>
      <c r="J6847" t="inlineStr">
        <is>
          <t>17/03/2026</t>
        </is>
      </c>
      <c r="K6847" t="inlineStr">
        <is>
          <t>N/A</t>
        </is>
      </c>
      <c r="L6847" t="inlineStr">
        <is>
          <t>Kế Toán Thuế, Kế Toán Tổng Hợp, Phân Tích Số Liệu, Giao Tiếp, Lưu Trữ Hồ Sơ Kế Toán</t>
        </is>
      </c>
      <c r="M6847" t="inlineStr">
        <is>
          <t>Bonus, Healthcare Plan, Paid Leave, Team Activities, Others</t>
        </is>
      </c>
      <c r="N6847" s="8">
        <f>HYPERLINK("https://www.vietnamworks.com/ke-toan-tong-hop-2016559-jv","Xem chi tiết")</f>
        <v/>
      </c>
    </row>
    <row r="6848">
      <c r="B6848" s="9" t="n">
        <v>6846</v>
      </c>
      <c r="C6848" s="10" t="inlineStr">
        <is>
          <t>Digital Operation Manager - Marketing</t>
        </is>
      </c>
      <c r="D6848" s="10" t="inlineStr">
        <is>
          <t>Công Ty Easia Travel</t>
        </is>
      </c>
      <c r="E6848" s="10" t="inlineStr">
        <is>
          <t>Thương lượng</t>
        </is>
      </c>
      <c r="F6848" s="10" t="inlineStr">
        <is>
          <t>Hà Nội</t>
        </is>
      </c>
      <c r="G6848" s="10" t="inlineStr">
        <is>
          <t>Trưởng phòng</t>
        </is>
      </c>
      <c r="H6848" s="10" t="inlineStr">
        <is>
          <t>26/02/2026</t>
        </is>
      </c>
      <c r="I6848" s="10" t="inlineStr">
        <is>
          <t>03/04/2026</t>
        </is>
      </c>
      <c r="J6848" s="10" t="inlineStr">
        <is>
          <t>17/03/2026</t>
        </is>
      </c>
      <c r="K6848" s="10" t="inlineStr">
        <is>
          <t>N/A</t>
        </is>
      </c>
      <c r="L6848" s="10" t="inlineStr">
        <is>
          <t>Tourism Industry, Marketing, Digital Product Management</t>
        </is>
      </c>
      <c r="M6848" s="10" t="inlineStr">
        <is>
          <t>Bonus, Healthcare Plan, Travel Opportunities</t>
        </is>
      </c>
      <c r="N6848" s="11">
        <f>HYPERLINK("https://www.vietnamworks.com/digital-operation-manager-marketing-2014719-jv","Xem chi tiết")</f>
        <v/>
      </c>
      <c r="O6848" s="10" t="n"/>
    </row>
    <row r="6849">
      <c r="B6849" s="7" t="n">
        <v>6847</v>
      </c>
      <c r="C6849" t="inlineStr">
        <is>
          <t>Logistics Staff</t>
        </is>
      </c>
      <c r="D6849" t="inlineStr">
        <is>
          <t>VIETNAM HOUSEWARES CORP</t>
        </is>
      </c>
      <c r="E6849" t="inlineStr">
        <is>
          <t>Thương lượng</t>
        </is>
      </c>
      <c r="F6849" t="inlineStr">
        <is>
          <t>Bình Dương</t>
        </is>
      </c>
      <c r="G6849" t="inlineStr">
        <is>
          <t>Nhân viên</t>
        </is>
      </c>
      <c r="H6849" t="inlineStr">
        <is>
          <t>03/03/2026</t>
        </is>
      </c>
      <c r="I6849" t="inlineStr">
        <is>
          <t>03/04/2026</t>
        </is>
      </c>
      <c r="J6849" t="inlineStr">
        <is>
          <t>17/03/2026</t>
        </is>
      </c>
      <c r="K6849" t="inlineStr">
        <is>
          <t>N/A</t>
        </is>
      </c>
      <c r="L6849" t="inlineStr">
        <is>
          <t>Incoterms 2000, Customs Regulation, Logistics, ERP, Shipping Operations</t>
        </is>
      </c>
      <c r="M6849" t="inlineStr">
        <is>
          <t>Awards</t>
        </is>
      </c>
      <c r="N6849" s="8">
        <f>HYPERLINK("https://www.vietnamworks.com/logistics-staff-2017376-jv","Xem chi tiết")</f>
        <v/>
      </c>
    </row>
    <row r="6850">
      <c r="B6850" s="9" t="n">
        <v>6848</v>
      </c>
      <c r="C6850" s="10" t="inlineStr">
        <is>
          <t>Ecommerce Team Leader</t>
        </is>
      </c>
      <c r="D6850" s="10" t="inlineStr">
        <is>
          <t>CÔNG TY TNHH DƯỢC PHẨM LAVIFA</t>
        </is>
      </c>
      <c r="E6850" s="10" t="inlineStr">
        <is>
          <t>15tr-22tr ₫/tháng</t>
        </is>
      </c>
      <c r="F6850" s="10" t="inlineStr">
        <is>
          <t>Hồ Chí Minh</t>
        </is>
      </c>
      <c r="G6850" s="10" t="inlineStr">
        <is>
          <t>Trưởng phòng</t>
        </is>
      </c>
      <c r="H6850" s="10" t="inlineStr">
        <is>
          <t>03/03/2026</t>
        </is>
      </c>
      <c r="I6850" s="10" t="inlineStr">
        <is>
          <t>03/04/2026</t>
        </is>
      </c>
      <c r="J6850" s="10" t="inlineStr">
        <is>
          <t>17/03/2026</t>
        </is>
      </c>
      <c r="K6850" s="10" t="inlineStr">
        <is>
          <t>N/A</t>
        </is>
      </c>
      <c r="L6850" s="10" t="inlineStr">
        <is>
          <t>Ecommerce, Paid Ads &amp; Performance Marketing, Affiliate marketing on TikTok &amp; Shopee, KOL/KOC &amp; Affiliate, Livestream</t>
        </is>
      </c>
      <c r="M6850" s="10" t="inlineStr">
        <is>
          <t>Bonus, Healthcare Plan, Paid Leave, Training, Team Activities</t>
        </is>
      </c>
      <c r="N6850" s="11">
        <f>HYPERLINK("https://www.vietnamworks.com/ecommerce-team-leader-2017428-jv","Xem chi tiết")</f>
        <v/>
      </c>
      <c r="O6850" s="10" t="n"/>
    </row>
    <row r="6851">
      <c r="B6851" s="7" t="n">
        <v>6849</v>
      </c>
      <c r="C6851" t="inlineStr">
        <is>
          <t>Chuyên Viên Mua Hàng Cơ Điện (MEP)</t>
        </is>
      </c>
      <c r="D6851" t="inlineStr">
        <is>
          <t>Tập Đoàn Bất Động Sản An Gia</t>
        </is>
      </c>
      <c r="E6851" t="inlineStr">
        <is>
          <t>Thương lượng</t>
        </is>
      </c>
      <c r="F6851" t="inlineStr">
        <is>
          <t>Hồ Chí Minh</t>
        </is>
      </c>
      <c r="G6851" t="inlineStr">
        <is>
          <t>Nhân viên</t>
        </is>
      </c>
      <c r="H6851" t="inlineStr">
        <is>
          <t>03/03/2026</t>
        </is>
      </c>
      <c r="I6851" t="inlineStr">
        <is>
          <t>03/04/2026</t>
        </is>
      </c>
      <c r="J6851" t="inlineStr">
        <is>
          <t>17/03/2026</t>
        </is>
      </c>
      <c r="K6851" t="inlineStr">
        <is>
          <t>N/A</t>
        </is>
      </c>
      <c r="L6851" t="inlineStr">
        <is>
          <t>Bất Động Sản, Mua Hàng, Procurement, Cơ Điện, MEP</t>
        </is>
      </c>
      <c r="M6851" t="inlineStr">
        <is>
          <t>Bonus, Healthcare Plan, Paid Leave, Training, Laptop, Travel Opportunities, Vouchers</t>
        </is>
      </c>
      <c r="N6851" s="8">
        <f>HYPERLINK("https://www.vietnamworks.com/chuyen-vien-mua-hang-co-djien-mep-2017674-jv","Xem chi tiết")</f>
        <v/>
      </c>
    </row>
    <row r="6852">
      <c r="B6852" s="9" t="n">
        <v>6850</v>
      </c>
      <c r="C6852" s="10" t="inlineStr">
        <is>
          <t>Trưởng Phòng Kỹ Thuật Lắp Đặt (Operations Team Leader)</t>
        </is>
      </c>
      <c r="D6852" s="10" t="inlineStr">
        <is>
          <t>CÔNG TY TNHH ASIA SHOPPER MARKETING</t>
        </is>
      </c>
      <c r="E6852" s="10" t="inlineStr">
        <is>
          <t>$$ 25tr-35tr /tháng</t>
        </is>
      </c>
      <c r="F6852" s="10" t="inlineStr">
        <is>
          <t>Hồ Chí Minh</t>
        </is>
      </c>
      <c r="G6852" s="10" t="inlineStr">
        <is>
          <t>Nhân viên</t>
        </is>
      </c>
      <c r="H6852" s="10" t="inlineStr">
        <is>
          <t>03/03/2026</t>
        </is>
      </c>
      <c r="I6852" s="10" t="inlineStr">
        <is>
          <t>03/04/2026</t>
        </is>
      </c>
      <c r="J6852" s="10" t="inlineStr">
        <is>
          <t>17/03/2026</t>
        </is>
      </c>
      <c r="K6852" s="10" t="inlineStr">
        <is>
          <t>N/A</t>
        </is>
      </c>
      <c r="L6852" s="10" t="inlineStr">
        <is>
          <t>Cơ Điện Tử, Quản Lý Đội Ngũ, Tự Động Hóa, Điện Công Nghiệp, Điện Gia Dụng</t>
        </is>
      </c>
      <c r="M6852" s="10" t="inlineStr">
        <is>
          <t>Bonus, Healthcare Plan, Transportation, Canteen</t>
        </is>
      </c>
      <c r="N6852" s="11">
        <f>HYPERLINK("https://www.vietnamworks.com/truong-phong-ky-thuat-lap-djat-operations-team-leader-2017723-jv","Xem chi tiết")</f>
        <v/>
      </c>
      <c r="O6852" s="10" t="n"/>
    </row>
    <row r="6853">
      <c r="B6853" s="7" t="n">
        <v>6851</v>
      </c>
      <c r="C6853" t="inlineStr">
        <is>
          <t>Trưởng Nhóm Kỹ Thuật Mẫu / Thiết Kế Kỹ Thuật (Đồ Tập/activewear)</t>
        </is>
      </c>
      <c r="D6853" t="inlineStr">
        <is>
          <t>Project Backlit</t>
        </is>
      </c>
      <c r="E6853" t="inlineStr">
        <is>
          <t>Thương lượng</t>
        </is>
      </c>
      <c r="F6853" t="inlineStr">
        <is>
          <t>Hà Nội</t>
        </is>
      </c>
      <c r="G6853" t="inlineStr">
        <is>
          <t>Nhân viên</t>
        </is>
      </c>
      <c r="H6853" t="inlineStr">
        <is>
          <t>04/03/2026</t>
        </is>
      </c>
      <c r="I6853" t="inlineStr">
        <is>
          <t>03/04/2026</t>
        </is>
      </c>
      <c r="J6853" t="inlineStr">
        <is>
          <t>17/03/2026</t>
        </is>
      </c>
      <c r="K6853" t="inlineStr">
        <is>
          <t>N/A</t>
        </is>
      </c>
      <c r="L6853" t="inlineStr">
        <is>
          <t>Design, Tech Pack Creation, Fashion Design, Pattern Design, Garment Sample</t>
        </is>
      </c>
      <c r="M6853" t="inlineStr">
        <is>
          <t>Others</t>
        </is>
      </c>
      <c r="N6853" s="8">
        <f>HYPERLINK("https://www.vietnamworks.com/truong-nhom-ky-thuat-mau-thiet-ke-ky-thuat-do-tap-activewear--2017848-jv","Xem chi tiết")</f>
        <v/>
      </c>
    </row>
    <row r="6854">
      <c r="B6854" s="9" t="n">
        <v>6852</v>
      </c>
      <c r="C6854" s="10" t="inlineStr">
        <is>
          <t>Trưởng Nhóm Kinh Doanh</t>
        </is>
      </c>
      <c r="D6854" s="10" t="inlineStr">
        <is>
          <t>CÔNG TY TNHH YBM VIỆT NAM</t>
        </is>
      </c>
      <c r="E6854" s="10" t="inlineStr">
        <is>
          <t>Thương lượng</t>
        </is>
      </c>
      <c r="F6854" s="10" t="inlineStr">
        <is>
          <t>Hà Nội</t>
        </is>
      </c>
      <c r="G6854" s="10" t="inlineStr">
        <is>
          <t>Trưởng phòng</t>
        </is>
      </c>
      <c r="H6854" s="10" t="inlineStr">
        <is>
          <t>03/03/2026</t>
        </is>
      </c>
      <c r="I6854" s="10" t="inlineStr">
        <is>
          <t>03/04/2026</t>
        </is>
      </c>
      <c r="J6854" s="10" t="inlineStr">
        <is>
          <t>17/03/2026</t>
        </is>
      </c>
      <c r="K6854" s="10" t="inlineStr">
        <is>
          <t>N/A</t>
        </is>
      </c>
      <c r="L6854" s="10" t="inlineStr">
        <is>
          <t>Kinh Doanh Giáo Cụ, Quản Lý Đội Nhóm, Giao Tiếp Tiếng Anh, Phân Tích Chiến Lược, Tiếng Hàn Giao Tiếp</t>
        </is>
      </c>
      <c r="M6854" s="10" t="inlineStr">
        <is>
          <t>Bonus, Healthcare Plan, Training, Team Activities, Others</t>
        </is>
      </c>
      <c r="N6854" s="11">
        <f>HYPERLINK("https://www.vietnamworks.com/truong-nhom-kinh-doanh-2017825-jv","Xem chi tiết")</f>
        <v/>
      </c>
      <c r="O6854" s="10" t="n"/>
    </row>
    <row r="6855">
      <c r="B6855" s="7" t="n">
        <v>6853</v>
      </c>
      <c r="C6855" t="inlineStr">
        <is>
          <t>Kỹ Sư Vận Hành (Chưa Có Kinh Nghiệm Sẽ Được Tào Tạo)</t>
        </is>
      </c>
      <c r="D6855" t="inlineStr">
        <is>
          <t>Soft Chemical Coporation</t>
        </is>
      </c>
      <c r="E6855" t="inlineStr">
        <is>
          <t>Thương lượng</t>
        </is>
      </c>
      <c r="F6855" t="inlineStr">
        <is>
          <t>Hải Phòng</t>
        </is>
      </c>
      <c r="G6855" t="inlineStr">
        <is>
          <t>Nhân viên</t>
        </is>
      </c>
      <c r="H6855" t="inlineStr">
        <is>
          <t>03/03/2026</t>
        </is>
      </c>
      <c r="I6855" t="inlineStr">
        <is>
          <t>03/04/2026</t>
        </is>
      </c>
      <c r="J6855" t="inlineStr">
        <is>
          <t>17/03/2026</t>
        </is>
      </c>
      <c r="K6855" t="inlineStr">
        <is>
          <t>N/A</t>
        </is>
      </c>
      <c r="L6855" t="inlineStr">
        <is>
          <t>Cơ Khí, Điện tử, Tự Động Hóa, Vận Hành Máy CNC, Quản Lý Thiết Bị</t>
        </is>
      </c>
      <c r="M6855" t="inlineStr">
        <is>
          <t>Bonus, Healthcare Plan, Paid Leave</t>
        </is>
      </c>
      <c r="N6855" s="8">
        <f>HYPERLINK("https://www.vietnamworks.com/ky-su-van-hanh-chua-co-kinh-nghiem-se-duoc-tao-tao-2017797-jv","Xem chi tiết")</f>
        <v/>
      </c>
    </row>
    <row r="6856">
      <c r="B6856" s="9" t="n">
        <v>6854</v>
      </c>
      <c r="C6856" s="10" t="inlineStr">
        <is>
          <t>Nhân Viên Môi Trường</t>
        </is>
      </c>
      <c r="D6856" s="10" t="inlineStr">
        <is>
          <t>Công Ty TNHH Hệ Thống Dây Sumi-Hanel</t>
        </is>
      </c>
      <c r="E6856" s="10" t="inlineStr">
        <is>
          <t>Thương lượng</t>
        </is>
      </c>
      <c r="F6856" s="10" t="inlineStr">
        <is>
          <t>Hà Nội</t>
        </is>
      </c>
      <c r="G6856" s="10" t="inlineStr">
        <is>
          <t>Nhân viên</t>
        </is>
      </c>
      <c r="H6856" s="10" t="inlineStr">
        <is>
          <t>03/03/2026</t>
        </is>
      </c>
      <c r="I6856" s="10" t="inlineStr">
        <is>
          <t>03/04/2026</t>
        </is>
      </c>
      <c r="J6856" s="10" t="inlineStr">
        <is>
          <t>17/03/2026</t>
        </is>
      </c>
      <c r="K6856" s="10" t="inlineStr">
        <is>
          <t>N/A</t>
        </is>
      </c>
      <c r="L6856" s="10" t="inlineStr">
        <is>
          <t>Môi Trường, Tiếng Anh Căn Bản, Word, Excel, PowerPoint</t>
        </is>
      </c>
      <c r="M6856" s="10" t="inlineStr">
        <is>
          <t>Bonus, Travel Opportunities, Transportation</t>
        </is>
      </c>
      <c r="N6856" s="11">
        <f>HYPERLINK("https://www.vietnamworks.com/nhan-vien-moi-truong-2017800-jv","Xem chi tiết")</f>
        <v/>
      </c>
      <c r="O6856" s="10" t="n"/>
    </row>
    <row r="6857">
      <c r="B6857" s="7" t="n">
        <v>6855</v>
      </c>
      <c r="C6857" t="inlineStr">
        <is>
          <t>[Tuyển Gấp] Nhân Viên Marketing</t>
        </is>
      </c>
      <c r="D6857" t="inlineStr">
        <is>
          <t>Công Ty Cổ Phần Công Nghệ PAC Việt Nam</t>
        </is>
      </c>
      <c r="E6857" t="inlineStr">
        <is>
          <t>15tr-25tr ₫/tháng</t>
        </is>
      </c>
      <c r="F6857" t="inlineStr">
        <is>
          <t>Hà Nội</t>
        </is>
      </c>
      <c r="G6857" t="inlineStr">
        <is>
          <t>Nhân viên</t>
        </is>
      </c>
      <c r="H6857" t="inlineStr">
        <is>
          <t>03/03/2026</t>
        </is>
      </c>
      <c r="I6857" t="inlineStr">
        <is>
          <t>03/04/2026</t>
        </is>
      </c>
      <c r="J6857" t="inlineStr">
        <is>
          <t>17/03/2026</t>
        </is>
      </c>
      <c r="K6857" t="inlineStr">
        <is>
          <t>N/A</t>
        </is>
      </c>
      <c r="L6857" t="inlineStr">
        <is>
          <t>Truyền Thông, SEO, Quảng Cáo, Digital Marketing, Công Nghệ Thông Tin</t>
        </is>
      </c>
      <c r="M6857" t="inlineStr">
        <is>
          <t>Bonus, Training, Laptop</t>
        </is>
      </c>
      <c r="N6857" s="8">
        <f>HYPERLINK("https://www.vietnamworks.com/tuyen-gap-nhan-vien-marketing--2017813-jv","Xem chi tiết")</f>
        <v/>
      </c>
    </row>
    <row r="6858">
      <c r="B6858" s="9" t="n">
        <v>6856</v>
      </c>
      <c r="C6858" s="10" t="inlineStr">
        <is>
          <t>Nhân Viên Pháp Lý Thu Hồi Công Nợ (Hà Nội, Hải Phòng)</t>
        </is>
      </c>
      <c r="D6858" s="10" t="inlineStr">
        <is>
          <t>Chailease</t>
        </is>
      </c>
      <c r="E6858" s="10" t="inlineStr">
        <is>
          <t>Thương lượng</t>
        </is>
      </c>
      <c r="F6858" s="10" t="inlineStr">
        <is>
          <t>Hà Nội, Hải Phòng</t>
        </is>
      </c>
      <c r="G6858" s="10" t="inlineStr">
        <is>
          <t>Nhân viên</t>
        </is>
      </c>
      <c r="H6858" s="10" t="inlineStr">
        <is>
          <t>03/03/2026</t>
        </is>
      </c>
      <c r="I6858" s="10" t="inlineStr">
        <is>
          <t>03/04/2026</t>
        </is>
      </c>
      <c r="J6858" s="10" t="inlineStr">
        <is>
          <t>17/03/2026</t>
        </is>
      </c>
      <c r="K6858" s="10" t="inlineStr">
        <is>
          <t>N/A</t>
        </is>
      </c>
      <c r="L6858" s="10" t="inlineStr">
        <is>
          <t>Pháp Lý, Thu Hồi Nợ Pháp Lý, Thu Hồi Công Nợ, Kiểm Kê Tài Sản, Tiếng Anh Giao Tiếp</t>
        </is>
      </c>
      <c r="M6858" s="10" t="inlineStr">
        <is>
          <t>Bonus, Healthcare Plan, Transportation</t>
        </is>
      </c>
      <c r="N6858" s="11">
        <f>HYPERLINK("https://www.vietnamworks.com/nhan-vien-phap-ly-thu-hoi-cong-no-ha-noi-hai-phong--2017801-jv","Xem chi tiết")</f>
        <v/>
      </c>
      <c r="O6858" s="10" t="n"/>
    </row>
    <row r="6859">
      <c r="B6859" s="7" t="n">
        <v>6857</v>
      </c>
      <c r="C6859" t="inlineStr">
        <is>
          <t>[Hà Nội] Cashier</t>
        </is>
      </c>
      <c r="D6859" t="inlineStr">
        <is>
          <t>Công Ty TNHH Phát Triển Phú Mỹ Hưng</t>
        </is>
      </c>
      <c r="E6859" t="inlineStr">
        <is>
          <t>Thương lượng</t>
        </is>
      </c>
      <c r="F6859" t="inlineStr">
        <is>
          <t>Hà Nội</t>
        </is>
      </c>
      <c r="G6859" t="inlineStr">
        <is>
          <t>Nhân viên</t>
        </is>
      </c>
      <c r="H6859" t="inlineStr">
        <is>
          <t>03/03/2026</t>
        </is>
      </c>
      <c r="I6859" t="inlineStr">
        <is>
          <t>03/04/2026</t>
        </is>
      </c>
      <c r="J6859" t="inlineStr">
        <is>
          <t>17/03/2026</t>
        </is>
      </c>
      <c r="K6859" t="inlineStr">
        <is>
          <t>N/A</t>
        </is>
      </c>
      <c r="L6859" t="inlineStr">
        <is>
          <t>Thu Ngân, Accounting, Cashier Management, Quản Lý Thu Ngân, Financial Reporting</t>
        </is>
      </c>
      <c r="M6859" t="inlineStr">
        <is>
          <t>Healthcare Plan, Paid Leave, Training</t>
        </is>
      </c>
      <c r="N6859" s="8">
        <f>HYPERLINK("https://www.vietnamworks.com/ha-noi-cashier-2017783-jv","Xem chi tiết")</f>
        <v/>
      </c>
    </row>
    <row r="6860">
      <c r="B6860" s="9" t="n">
        <v>6858</v>
      </c>
      <c r="C6860" s="10" t="inlineStr">
        <is>
          <t>Kỹ Sư Thiết Kế Cơ Khí</t>
        </is>
      </c>
      <c r="D6860" s="10" t="inlineStr">
        <is>
          <t>Narita Techno</t>
        </is>
      </c>
      <c r="E6860" s="10" t="inlineStr">
        <is>
          <t>Thương lượng</t>
        </is>
      </c>
      <c r="F6860" s="10" t="inlineStr">
        <is>
          <t>Hồ Chí Minh</t>
        </is>
      </c>
      <c r="G6860" s="10" t="inlineStr">
        <is>
          <t>Mới Tốt Nghiệp</t>
        </is>
      </c>
      <c r="H6860" s="10" t="inlineStr">
        <is>
          <t>04/03/2026</t>
        </is>
      </c>
      <c r="I6860" s="10" t="inlineStr">
        <is>
          <t>03/04/2026</t>
        </is>
      </c>
      <c r="J6860" s="10" t="inlineStr">
        <is>
          <t>17/03/2026</t>
        </is>
      </c>
      <c r="K6860" s="10" t="inlineStr">
        <is>
          <t>N/A</t>
        </is>
      </c>
      <c r="L6860" s="10" t="inlineStr">
        <is>
          <t>Thiết Kế Cơ Khí, SolidWorks, CAD, Cơ Điện Tử, Giao Tiếp</t>
        </is>
      </c>
      <c r="M6860" s="10" t="inlineStr">
        <is>
          <t>Bonus, Paid Leave, Training, Travel Opportunities, Others</t>
        </is>
      </c>
      <c r="N6860" s="11">
        <f>HYPERLINK("https://www.vietnamworks.com/ky-su-thiet-ke-co-khi-2017867-jv","Xem chi tiết")</f>
        <v/>
      </c>
      <c r="O6860" s="10" t="n"/>
    </row>
    <row r="6861">
      <c r="B6861" s="7" t="n">
        <v>6859</v>
      </c>
      <c r="C6861" t="inlineStr">
        <is>
          <t>Nhân Viên Bán Hàng Tại Siêu Thị</t>
        </is>
      </c>
      <c r="D6861" t="inlineStr">
        <is>
          <t>CÔNG TY CỔ PHẦN ĐIỆN MÁY GIA DỤNG HOÀ PHÁT HÀ NAM</t>
        </is>
      </c>
      <c r="E6861" t="inlineStr">
        <is>
          <t>$$ 400-700 /tháng</t>
        </is>
      </c>
      <c r="F6861" t="inlineStr">
        <is>
          <t>Hà Nội, Hồ Chí Minh</t>
        </is>
      </c>
      <c r="G6861" t="inlineStr">
        <is>
          <t>Mới Tốt Nghiệp</t>
        </is>
      </c>
      <c r="H6861" t="inlineStr">
        <is>
          <t>04/03/2026</t>
        </is>
      </c>
      <c r="I6861" t="inlineStr">
        <is>
          <t>03/04/2026</t>
        </is>
      </c>
      <c r="J6861" t="inlineStr">
        <is>
          <t>17/03/2026</t>
        </is>
      </c>
      <c r="K6861" t="inlineStr">
        <is>
          <t>N/A</t>
        </is>
      </c>
      <c r="L6861" t="inlineStr">
        <is>
          <t>Bán Hàng, Chăm sóc, Giao Tiếp, Làm Việc Nhóm, Điện Máy Gia Dụng</t>
        </is>
      </c>
      <c r="M6861" t="inlineStr">
        <is>
          <t>Bonus, Training, Team Activities, Others</t>
        </is>
      </c>
      <c r="N6861" s="8">
        <f>HYPERLINK("https://www.vietnamworks.com/nhan-vien-ban-hang-tai-sieu-thi-2017869-jv","Xem chi tiết")</f>
        <v/>
      </c>
    </row>
    <row r="6862">
      <c r="B6862" s="9" t="n">
        <v>6860</v>
      </c>
      <c r="C6862" s="10" t="inlineStr">
        <is>
          <t>[Accept Fresher] Mold Engineer/ Kỹ Sư Phòng Khuôn</t>
        </is>
      </c>
      <c r="D6862" s="10" t="inlineStr">
        <is>
          <t>LG Electronics Việt Nam Hải Phòng</t>
        </is>
      </c>
      <c r="E6862" s="10" t="inlineStr">
        <is>
          <t>$$ 400-1,000 /tháng</t>
        </is>
      </c>
      <c r="F6862" s="10" t="inlineStr">
        <is>
          <t>Hải Phòng</t>
        </is>
      </c>
      <c r="G6862" s="10" t="inlineStr">
        <is>
          <t>Mới Tốt Nghiệp</t>
        </is>
      </c>
      <c r="H6862" s="10" t="inlineStr">
        <is>
          <t>04/03/2026</t>
        </is>
      </c>
      <c r="I6862" s="10" t="inlineStr">
        <is>
          <t>03/04/2026</t>
        </is>
      </c>
      <c r="J6862" s="10" t="inlineStr">
        <is>
          <t>17/03/2026</t>
        </is>
      </c>
      <c r="K6862" s="10" t="inlineStr">
        <is>
          <t>N/A</t>
        </is>
      </c>
      <c r="L6862" s="10" t="inlineStr">
        <is>
          <t>Mold Design, Mold Maintenance, Mechanical, Molding Machine, Plastic Injection</t>
        </is>
      </c>
      <c r="M6862" s="10" t="inlineStr">
        <is>
          <t>Bonus, Laptop, Team Activities, Transportation, Canteen</t>
        </is>
      </c>
      <c r="N6862" s="11">
        <f>HYPERLINK("https://www.vietnamworks.com/accept-fresher-mold-engineer-ky-su-phong-khuon-2017866-jv","Xem chi tiết")</f>
        <v/>
      </c>
      <c r="O6862" s="10" t="n"/>
    </row>
    <row r="6863">
      <c r="B6863" s="7" t="n">
        <v>6861</v>
      </c>
      <c r="C6863" t="inlineStr">
        <is>
          <t>Kế Toán Trưởng (Chief Accountant)</t>
        </is>
      </c>
      <c r="D6863" t="inlineStr">
        <is>
          <t>Long star</t>
        </is>
      </c>
      <c r="E6863" t="inlineStr">
        <is>
          <t>Thương lượng</t>
        </is>
      </c>
      <c r="F6863" t="inlineStr">
        <is>
          <t>Hải Dương</t>
        </is>
      </c>
      <c r="G6863" t="inlineStr">
        <is>
          <t>Trưởng phòng</t>
        </is>
      </c>
      <c r="H6863" t="inlineStr">
        <is>
          <t>04/03/2026</t>
        </is>
      </c>
      <c r="I6863" t="inlineStr">
        <is>
          <t>03/04/2026</t>
        </is>
      </c>
      <c r="J6863" t="inlineStr">
        <is>
          <t>17/03/2026</t>
        </is>
      </c>
      <c r="K6863" t="inlineStr">
        <is>
          <t>N/A</t>
        </is>
      </c>
      <c r="L6863" t="inlineStr">
        <is>
          <t>Kế Toán, Quản Lý, Báo Cáo Tài Chính, Kiểm Soát Chi Phí, Quyết Toán Thuế</t>
        </is>
      </c>
      <c r="M6863" t="inlineStr">
        <is>
          <t>Bonus, Healthcare Plan, Others</t>
        </is>
      </c>
      <c r="N6863" s="8">
        <f>HYPERLINK("https://www.vietnamworks.com/ke-toan-truong-chief-accountant-2017862-jv","Xem chi tiết")</f>
        <v/>
      </c>
    </row>
    <row r="6864">
      <c r="B6864" s="9" t="n">
        <v>6862</v>
      </c>
      <c r="C6864" s="10" t="inlineStr">
        <is>
          <t>Online Sales Staff</t>
        </is>
      </c>
      <c r="D6864" s="10" t="inlineStr">
        <is>
          <t>Công Ty TNHH Lock&amp;Lock HCM</t>
        </is>
      </c>
      <c r="E6864" s="10" t="inlineStr">
        <is>
          <t>Thương lượng</t>
        </is>
      </c>
      <c r="F6864" s="10" t="inlineStr">
        <is>
          <t>Hồ Chí Minh</t>
        </is>
      </c>
      <c r="G6864" s="10" t="inlineStr">
        <is>
          <t>Nhân viên</t>
        </is>
      </c>
      <c r="H6864" s="10" t="inlineStr">
        <is>
          <t>04/03/2026</t>
        </is>
      </c>
      <c r="I6864" s="10" t="inlineStr">
        <is>
          <t>03/04/2026</t>
        </is>
      </c>
      <c r="J6864" s="10" t="inlineStr">
        <is>
          <t>17/03/2026</t>
        </is>
      </c>
      <c r="K6864" s="10" t="inlineStr">
        <is>
          <t>N/A</t>
        </is>
      </c>
      <c r="L6864" s="10" t="inlineStr">
        <is>
          <t>Market Research, English, Relationship Management, Customer Planning, B2B Sales</t>
        </is>
      </c>
      <c r="M6864" s="10" t="inlineStr">
        <is>
          <t>Bonus, Healthcare Plan, Training, Team Activities, Vouchers, Others</t>
        </is>
      </c>
      <c r="N6864" s="11">
        <f>HYPERLINK("https://www.vietnamworks.com/online-sales-staff-2017870-jv","Xem chi tiết")</f>
        <v/>
      </c>
      <c r="O6864" s="10" t="n"/>
    </row>
    <row r="6865">
      <c r="B6865" s="7" t="n">
        <v>6863</v>
      </c>
      <c r="C6865" t="inlineStr">
        <is>
          <t>QA-QC Engineer (Tiếng Anh Giao Tiếp)</t>
        </is>
      </c>
      <c r="D6865" t="inlineStr">
        <is>
          <t>LG Electronics Việt Nam Hải Phòng</t>
        </is>
      </c>
      <c r="E6865" t="inlineStr">
        <is>
          <t>Thương lượng</t>
        </is>
      </c>
      <c r="F6865" t="inlineStr">
        <is>
          <t>Hải Phòng</t>
        </is>
      </c>
      <c r="G6865" t="inlineStr">
        <is>
          <t>Mới Tốt Nghiệp</t>
        </is>
      </c>
      <c r="H6865" t="inlineStr">
        <is>
          <t>04/03/2026</t>
        </is>
      </c>
      <c r="I6865" t="inlineStr">
        <is>
          <t>03/04/2026</t>
        </is>
      </c>
      <c r="J6865" t="inlineStr">
        <is>
          <t>17/03/2026</t>
        </is>
      </c>
      <c r="K6865" t="inlineStr">
        <is>
          <t>N/A</t>
        </is>
      </c>
      <c r="L6865" t="inlineStr">
        <is>
          <t>Quality Assurance, Sampling Plan, Testing Process, Electronics, Mechanical</t>
        </is>
      </c>
      <c r="M6865" t="inlineStr">
        <is>
          <t>Bonus, Paid Leave, Transportation</t>
        </is>
      </c>
      <c r="N6865" s="8">
        <f>HYPERLINK("https://www.vietnamworks.com/qa-qc-engineer-tieng-anh-giao-tiep-2017865-jv","Xem chi tiết")</f>
        <v/>
      </c>
    </row>
    <row r="6866">
      <c r="B6866" s="9" t="n">
        <v>6864</v>
      </c>
      <c r="C6866" s="10" t="inlineStr">
        <is>
          <t>Technical Engineer (Working At VSIP Quang Ngai)</t>
        </is>
      </c>
      <c r="D6866" s="10" t="inlineStr">
        <is>
          <t>Hoya Lens Viet Nam Ltd - Quang Ngai Branch</t>
        </is>
      </c>
      <c r="E6866" s="10" t="inlineStr">
        <is>
          <t>Thương lượng</t>
        </is>
      </c>
      <c r="F6866" s="10" t="inlineStr">
        <is>
          <t>Quảng Ngãi</t>
        </is>
      </c>
      <c r="G6866" s="10" t="inlineStr">
        <is>
          <t>Nhân viên</t>
        </is>
      </c>
      <c r="H6866" s="10" t="inlineStr">
        <is>
          <t>04/03/2026</t>
        </is>
      </c>
      <c r="I6866" s="10" t="inlineStr">
        <is>
          <t>03/04/2026</t>
        </is>
      </c>
      <c r="J6866" s="10" t="inlineStr">
        <is>
          <t>17/03/2026</t>
        </is>
      </c>
      <c r="K6866" s="10" t="inlineStr">
        <is>
          <t>N/A</t>
        </is>
      </c>
      <c r="L6866" s="10" t="inlineStr">
        <is>
          <t>Technical Engineering, Mechanical engineer, Chemical Engineering</t>
        </is>
      </c>
      <c r="M6866" s="10" t="inlineStr">
        <is>
          <t>Bonus, Healthcare Plan, Others</t>
        </is>
      </c>
      <c r="N6866" s="11">
        <f>HYPERLINK("https://www.vietnamworks.com/technical-engineer-working-at-vsip-quang-ngai--2017852-jv","Xem chi tiết")</f>
        <v/>
      </c>
      <c r="O6866" s="10" t="n"/>
    </row>
    <row r="6867">
      <c r="B6867" s="7" t="n">
        <v>6865</v>
      </c>
      <c r="C6867" t="inlineStr">
        <is>
          <t>Senior Finance &amp; Accounting Leader</t>
        </is>
      </c>
      <c r="D6867" t="inlineStr">
        <is>
          <t>BUPBES</t>
        </is>
      </c>
      <c r="E6867" t="inlineStr">
        <is>
          <t>Thương lượng</t>
        </is>
      </c>
      <c r="F6867" t="inlineStr">
        <is>
          <t>Hồ Chí Minh</t>
        </is>
      </c>
      <c r="G6867" t="inlineStr">
        <is>
          <t>Nhân viên</t>
        </is>
      </c>
      <c r="H6867" t="inlineStr">
        <is>
          <t>03/03/2026</t>
        </is>
      </c>
      <c r="I6867" t="inlineStr">
        <is>
          <t>03/04/2026</t>
        </is>
      </c>
      <c r="J6867" t="inlineStr">
        <is>
          <t>17/03/2026</t>
        </is>
      </c>
      <c r="K6867" t="inlineStr">
        <is>
          <t>N/A</t>
        </is>
      </c>
      <c r="L6867" t="inlineStr">
        <is>
          <t>Accounting, Analytical Skills, Financial Management, Problem Solving, Stakeholder Management</t>
        </is>
      </c>
      <c r="M6867" t="inlineStr">
        <is>
          <t>Bonus, Paid Leave</t>
        </is>
      </c>
      <c r="N6867" s="8">
        <f>HYPERLINK("https://www.vietnamworks.com/senior-finance-and-accounting-leader-2017842-jv","Xem chi tiết")</f>
        <v/>
      </c>
    </row>
    <row r="6868">
      <c r="B6868" s="9" t="n">
        <v>6866</v>
      </c>
      <c r="C6868" s="10" t="inlineStr">
        <is>
          <t>Chuyên Viên Quản Lý Tài Sản (Thu Nhập Hấp Dẫn - Nghỉ Thứ 7, Chủ Nhật)</t>
        </is>
      </c>
      <c r="D6868" s="10" t="inlineStr">
        <is>
          <t>Công Ty TNHH Thịnh Điền (Prosland)</t>
        </is>
      </c>
      <c r="E6868" s="10" t="inlineStr">
        <is>
          <t>15tr-20tr ₫/tháng</t>
        </is>
      </c>
      <c r="F6868" s="10" t="inlineStr">
        <is>
          <t>Hà Nội</t>
        </is>
      </c>
      <c r="G6868" s="10" t="inlineStr">
        <is>
          <t>Nhân viên</t>
        </is>
      </c>
      <c r="H6868" s="10" t="inlineStr">
        <is>
          <t>04/03/2026</t>
        </is>
      </c>
      <c r="I6868" s="10" t="inlineStr">
        <is>
          <t>03/04/2026</t>
        </is>
      </c>
      <c r="J6868" s="10" t="inlineStr">
        <is>
          <t>17/03/2026</t>
        </is>
      </c>
      <c r="K6868" s="10" t="inlineStr">
        <is>
          <t>N/A</t>
        </is>
      </c>
      <c r="L6868" s="10" t="inlineStr">
        <is>
          <t>Quản Lý Tài Sản, Kiểm Kê Tài Sản, Phân Tích Số Liệu, Tin Học Văn Phòng, Giao Tiếp</t>
        </is>
      </c>
      <c r="M6868" s="10" t="inlineStr">
        <is>
          <t>Bonus, Healthcare Plan, Mobile, Team Activities, Canteen, Others</t>
        </is>
      </c>
      <c r="N6868" s="11">
        <f>HYPERLINK("https://www.vietnamworks.com/chuyen-vien-quan-ly-tai-san-thu-nhap-hap-dan-nghi-thu-7-chu-nhat-2017858-jv","Xem chi tiết")</f>
        <v/>
      </c>
      <c r="O6868" s="10" t="n"/>
    </row>
    <row r="6869">
      <c r="B6869" s="7" t="n">
        <v>6867</v>
      </c>
      <c r="C6869" t="inlineStr">
        <is>
          <t>[ Hot Job ] Chuyên Viên Kiểm Soát Hợp Đồng</t>
        </is>
      </c>
      <c r="D6869" t="inlineStr">
        <is>
          <t>Trần Hồng Quân Holdings</t>
        </is>
      </c>
      <c r="E6869" t="inlineStr">
        <is>
          <t>Thương lượng</t>
        </is>
      </c>
      <c r="F6869" t="inlineStr">
        <is>
          <t>Hà Nội</t>
        </is>
      </c>
      <c r="G6869" t="inlineStr">
        <is>
          <t>Nhân viên</t>
        </is>
      </c>
      <c r="H6869" t="inlineStr">
        <is>
          <t>04/03/2026</t>
        </is>
      </c>
      <c r="I6869" t="inlineStr">
        <is>
          <t>03/04/2026</t>
        </is>
      </c>
      <c r="J6869" t="inlineStr">
        <is>
          <t>17/03/2026</t>
        </is>
      </c>
      <c r="K6869" t="inlineStr">
        <is>
          <t>N/A</t>
        </is>
      </c>
      <c r="L6869" t="inlineStr">
        <is>
          <t>Kiểm Soát Hợp Đồng, Kiểm Soát Nội Bộ, Kiểm Soát Tuân Thủ, Quản Lý Rủi Ro, Quy Trình Mua Sắm</t>
        </is>
      </c>
      <c r="M6869" t="inlineStr">
        <is>
          <t>Bonus, Healthcare Plan, Laptop, Team Activities, Canteen, Others</t>
        </is>
      </c>
      <c r="N6869" s="8">
        <f>HYPERLINK("https://www.vietnamworks.com/hot-job-chuyen-vien-kiem-soat-hop-djong-2017855-jv","Xem chi tiết")</f>
        <v/>
      </c>
    </row>
    <row r="6870">
      <c r="B6870" s="9" t="n">
        <v>6868</v>
      </c>
      <c r="C6870" s="10" t="inlineStr">
        <is>
          <t>SMT Technicial Specialist - Nghỉ Thứ 7 và Chủ Nhật (Có Xe Đưa Đón)</t>
        </is>
      </c>
      <c r="D6870" s="10" t="inlineStr">
        <is>
          <t>Mektec Manufacturing Corporation (Vietnam) Ltd.</t>
        </is>
      </c>
      <c r="E6870" s="10" t="inlineStr">
        <is>
          <t>$$ 800-1,200 /tháng</t>
        </is>
      </c>
      <c r="F6870" s="10" t="inlineStr">
        <is>
          <t>Hưng Yên, Hải Dương, Hà Nội</t>
        </is>
      </c>
      <c r="G6870" s="10" t="inlineStr">
        <is>
          <t>Nhân viên</t>
        </is>
      </c>
      <c r="H6870" s="10" t="inlineStr">
        <is>
          <t>04/03/2026</t>
        </is>
      </c>
      <c r="I6870" s="10" t="inlineStr">
        <is>
          <t>03/04/2026</t>
        </is>
      </c>
      <c r="J6870" s="10" t="inlineStr">
        <is>
          <t>17/03/2026</t>
        </is>
      </c>
      <c r="K6870" s="10" t="inlineStr">
        <is>
          <t>N/A</t>
        </is>
      </c>
      <c r="L6870" s="10" t="inlineStr">
        <is>
          <t>SMT Technology, Reporting Skill, English</t>
        </is>
      </c>
      <c r="M6870" s="10" t="inlineStr">
        <is>
          <t>Bonus</t>
        </is>
      </c>
      <c r="N6870" s="11">
        <f>HYPERLINK("https://www.vietnamworks.com/smt-technicial-specialist-nghi-thu-7-va-chu-nhat-co-xe-dua-don-2017859-jv","Xem chi tiết")</f>
        <v/>
      </c>
      <c r="O6870" s="10" t="n"/>
    </row>
    <row r="6871">
      <c r="B6871" s="7" t="n">
        <v>6869</v>
      </c>
      <c r="C6871" t="inlineStr">
        <is>
          <t>Nhân viên quản lý dự án Mua Hàng Cho Đời Xe Mới</t>
        </is>
      </c>
      <c r="D6871" t="inlineStr">
        <is>
          <t>Yamaha Motor Vietnam</t>
        </is>
      </c>
      <c r="E6871" t="inlineStr">
        <is>
          <t>Thương lượng</t>
        </is>
      </c>
      <c r="F6871" t="inlineStr">
        <is>
          <t>Hà Nội</t>
        </is>
      </c>
      <c r="G6871" t="inlineStr">
        <is>
          <t>Nhân viên</t>
        </is>
      </c>
      <c r="H6871" t="inlineStr">
        <is>
          <t>04/03/2026</t>
        </is>
      </c>
      <c r="I6871" t="inlineStr">
        <is>
          <t>03/04/2026</t>
        </is>
      </c>
      <c r="J6871" t="inlineStr">
        <is>
          <t>17/03/2026</t>
        </is>
      </c>
      <c r="K6871" t="inlineStr">
        <is>
          <t>N/A</t>
        </is>
      </c>
      <c r="L6871" t="inlineStr">
        <is>
          <t>Giao Tiếp Tiếng Anh, Quản Lý Mua Hàng, Tư Duy Logic, Kĩ Năng Ms Office, Áp Dụng Ai</t>
        </is>
      </c>
      <c r="M6871" t="inlineStr">
        <is>
          <t>Bonus, Healthcare Plan, Training, Laptop, Travel Opportunities, Team Activities, Transportation, Canteen</t>
        </is>
      </c>
      <c r="N6871" s="8">
        <f>HYPERLINK("https://www.vietnamworks.com/nhan-vien-quan-ly-du-an-mua-hang-cho-djoi-xe-moi-2017850-jv","Xem chi tiết")</f>
        <v/>
      </c>
    </row>
    <row r="6872">
      <c r="B6872" s="9" t="n">
        <v>6870</v>
      </c>
      <c r="C6872" s="10" t="inlineStr">
        <is>
          <t>Mechanical Engineer / Kỹ Sư Cơ Khí (Làm Việc Tại Nhà Máy: KCN Cái Mép, Bà Rịa - Vũng Tàu)</t>
        </is>
      </c>
      <c r="D6872" s="10" t="inlineStr">
        <is>
          <t>Công ty TNHH Hóa chất AGC Việt Nam / AGC Chemicals Vietnam Co., Ltd.</t>
        </is>
      </c>
      <c r="E6872" s="10" t="inlineStr">
        <is>
          <t>Thương lượng</t>
        </is>
      </c>
      <c r="F6872" s="10" t="inlineStr">
        <is>
          <t>Hồ Chí Minh, Bà Rịa - Vũng Tàu</t>
        </is>
      </c>
      <c r="G6872" s="10" t="inlineStr">
        <is>
          <t>Nhân viên</t>
        </is>
      </c>
      <c r="H6872" s="10" t="inlineStr">
        <is>
          <t>04/03/2026</t>
        </is>
      </c>
      <c r="I6872" s="10" t="inlineStr">
        <is>
          <t>03/04/2026</t>
        </is>
      </c>
      <c r="J6872" s="10" t="inlineStr">
        <is>
          <t>17/03/2026</t>
        </is>
      </c>
      <c r="K6872" s="10" t="inlineStr">
        <is>
          <t>N/A</t>
        </is>
      </c>
      <c r="L6872" s="10" t="inlineStr">
        <is>
          <t>AutoCAD 2D, English Language Proficiency, Mechanical Maintenance, Preventive Maintenance, Root Cause Analysis</t>
        </is>
      </c>
      <c r="M6872" s="10" t="inlineStr">
        <is>
          <t>Bonus, Healthcare Plan</t>
        </is>
      </c>
      <c r="N6872" s="11">
        <f>HYPERLINK("https://www.vietnamworks.com/mechanical-engineer-ky-su-co-khi-lam-viec-tai-nha-may-kcn-cai-mep-ba-ria-vung-tau-2017846-jv","Xem chi tiết")</f>
        <v/>
      </c>
      <c r="O6872" s="10" t="n"/>
    </row>
    <row r="6873">
      <c r="B6873" s="7" t="n">
        <v>6871</v>
      </c>
      <c r="C6873" t="inlineStr">
        <is>
          <t>Kỹ Sư Kỹ Thuật</t>
        </is>
      </c>
      <c r="D6873" t="inlineStr">
        <is>
          <t>Công Ty TNHH LITEON Việt Nam</t>
        </is>
      </c>
      <c r="E6873" t="inlineStr">
        <is>
          <t>Thương lượng</t>
        </is>
      </c>
      <c r="F6873" t="inlineStr">
        <is>
          <t>Quảng Ninh, Hải Phòng</t>
        </is>
      </c>
      <c r="G6873" t="inlineStr">
        <is>
          <t>Nhân viên</t>
        </is>
      </c>
      <c r="H6873" t="inlineStr">
        <is>
          <t>04/03/2026</t>
        </is>
      </c>
      <c r="I6873" t="inlineStr">
        <is>
          <t>03/04/2026</t>
        </is>
      </c>
      <c r="J6873" t="inlineStr">
        <is>
          <t>17/03/2026</t>
        </is>
      </c>
      <c r="K6873" t="inlineStr">
        <is>
          <t>N/A</t>
        </is>
      </c>
      <c r="L6873" t="inlineStr">
        <is>
          <t>Điện Tử, Điện, Tự Động Hóa, Kỹ Thuật Điện, AutoCAD</t>
        </is>
      </c>
      <c r="M6873" t="inlineStr">
        <is>
          <t>Healthcare Plan, Team Activities, Canteen</t>
        </is>
      </c>
      <c r="N6873" s="8">
        <f>HYPERLINK("https://www.vietnamworks.com/ky-su-ky-thuat--2017856-jv","Xem chi tiết")</f>
        <v/>
      </c>
    </row>
    <row r="6874">
      <c r="B6874" s="9" t="n">
        <v>6872</v>
      </c>
      <c r="C6874" s="10" t="inlineStr">
        <is>
          <t>Kỹ Sư Thiết Kế - Bộ Phận Kỹ Thuật Sản Phẩm (PE)</t>
        </is>
      </c>
      <c r="D6874" s="10" t="inlineStr">
        <is>
          <t>Yamaha Motor Vietnam</t>
        </is>
      </c>
      <c r="E6874" s="10" t="inlineStr">
        <is>
          <t>Thương lượng</t>
        </is>
      </c>
      <c r="F6874" s="10" t="inlineStr">
        <is>
          <t>Hà Nội</t>
        </is>
      </c>
      <c r="G6874" s="10" t="inlineStr">
        <is>
          <t>Nhân viên</t>
        </is>
      </c>
      <c r="H6874" s="10" t="inlineStr">
        <is>
          <t>04/03/2026</t>
        </is>
      </c>
      <c r="I6874" s="10" t="inlineStr">
        <is>
          <t>03/04/2026</t>
        </is>
      </c>
      <c r="J6874" s="10" t="inlineStr">
        <is>
          <t>17/03/2026</t>
        </is>
      </c>
      <c r="K6874" s="10" t="inlineStr">
        <is>
          <t>N/A</t>
        </is>
      </c>
      <c r="L6874" s="10" t="inlineStr">
        <is>
          <t>Kỹ Thuật Cơ Khí, Kỹ Thuật Cơ Điện Tử, Kỹ Thuật Điện, Phần Mềm 3D, Thuyết Trình</t>
        </is>
      </c>
      <c r="M6874" s="10" t="inlineStr">
        <is>
          <t>Bonus, Healthcare Plan, Training, Laptop, Travel Opportunities, Team Activities, Transportation, Canteen</t>
        </is>
      </c>
      <c r="N6874" s="11">
        <f>HYPERLINK("https://www.vietnamworks.com/ky-su-thiet-ke-bo-phan-ky-thuat-san-pham-pe-2017849-jv","Xem chi tiết")</f>
        <v/>
      </c>
      <c r="O6874" s="10" t="n"/>
    </row>
    <row r="6875">
      <c r="B6875" s="7" t="n">
        <v>6873</v>
      </c>
      <c r="C6875" t="inlineStr">
        <is>
          <t>Kế Toán Tổng Hợp Thu Nhập 16-20Tr</t>
        </is>
      </c>
      <c r="D6875" t="inlineStr">
        <is>
          <t>Công Ty Cổ Phần Thương Mại VJO Việt Nam</t>
        </is>
      </c>
      <c r="E6875" t="inlineStr">
        <is>
          <t>16tr-20tr ₫/tháng</t>
        </is>
      </c>
      <c r="F6875" t="inlineStr">
        <is>
          <t>Hà Nội</t>
        </is>
      </c>
      <c r="G6875" t="inlineStr">
        <is>
          <t>Nhân viên</t>
        </is>
      </c>
      <c r="H6875" t="inlineStr">
        <is>
          <t>03/03/2026</t>
        </is>
      </c>
      <c r="I6875" t="inlineStr">
        <is>
          <t>03/04/2026</t>
        </is>
      </c>
      <c r="J6875" t="inlineStr">
        <is>
          <t>17/03/2026</t>
        </is>
      </c>
      <c r="K6875" t="inlineStr">
        <is>
          <t>N/A</t>
        </is>
      </c>
      <c r="L6875" t="inlineStr">
        <is>
          <t>Kế Toán Tổng Hợp, Phần mềm kế toán, Tư Vấn Thuế, Tài Chính Kế Toán, Thuế</t>
        </is>
      </c>
      <c r="M6875" t="inlineStr">
        <is>
          <t>Bonus, Healthcare Plan, Paid Leave, Others</t>
        </is>
      </c>
      <c r="N6875" s="8">
        <f>HYPERLINK("https://www.vietnamworks.com/ke-toan-tong-hop-thu-nhap-16-20tr-2017824-jv","Xem chi tiết")</f>
        <v/>
      </c>
    </row>
    <row r="6876">
      <c r="B6876" s="9" t="n">
        <v>6874</v>
      </c>
      <c r="C6876" s="10" t="inlineStr">
        <is>
          <t>Kỹ Sư Thiết Kế Điện (Lương Lên Đến 25 Triệu/ Tháng)</t>
        </is>
      </c>
      <c r="D6876" s="10" t="inlineStr">
        <is>
          <t>Công Ty Cổ Phần Meiko Automation</t>
        </is>
      </c>
      <c r="E6876" s="10" t="inlineStr">
        <is>
          <t>9tr-25tr ₫/tháng</t>
        </is>
      </c>
      <c r="F6876" s="10" t="inlineStr">
        <is>
          <t>Hà Nội</t>
        </is>
      </c>
      <c r="G6876" s="10" t="inlineStr">
        <is>
          <t>Nhân viên</t>
        </is>
      </c>
      <c r="H6876" s="10" t="inlineStr">
        <is>
          <t>04/03/2026</t>
        </is>
      </c>
      <c r="I6876" s="10" t="inlineStr">
        <is>
          <t>03/04/2026</t>
        </is>
      </c>
      <c r="J6876" s="10" t="inlineStr">
        <is>
          <t>17/03/2026</t>
        </is>
      </c>
      <c r="K6876" s="10" t="inlineStr">
        <is>
          <t>N/A</t>
        </is>
      </c>
      <c r="L6876" s="10" t="inlineStr">
        <is>
          <t>PLC, Robot Cylinder, Thiết Kế Điện, Thiêt Kế Điện Điều Khiển, Tự Động Hóa</t>
        </is>
      </c>
      <c r="M6876" s="10" t="inlineStr">
        <is>
          <t>Bonus, Healthcare Plan, Paid Leave, Awards, Travel Opportunities, Transportation</t>
        </is>
      </c>
      <c r="N6876" s="11">
        <f>HYPERLINK("https://www.vietnamworks.com/ky-su-thiet-ke-dien-luong-len-den-25-trieu-thang-2017871-jv","Xem chi tiết")</f>
        <v/>
      </c>
      <c r="O6876" s="10" t="n"/>
    </row>
    <row r="6877">
      <c r="B6877" s="7" t="n">
        <v>6875</v>
      </c>
      <c r="C6877" t="inlineStr">
        <is>
          <t>Tpbank Bắc Đà Nẵng Tuyển Dụng Chuyên Viên - Tập Sự Tiềm Năng Quan Hệ Khách Hàng Cá Nhân</t>
        </is>
      </c>
      <c r="D6877" t="inlineStr">
        <is>
          <t>Ngân Hàng TMCP Tiên Phong - CN Bắc Đà Nẵng</t>
        </is>
      </c>
      <c r="E6877" t="inlineStr">
        <is>
          <t>$$ 700-2,000 /tháng</t>
        </is>
      </c>
      <c r="F6877" t="inlineStr">
        <is>
          <t>Đà Nẵng</t>
        </is>
      </c>
      <c r="G6877" t="inlineStr">
        <is>
          <t>Nhân viên</t>
        </is>
      </c>
      <c r="H6877" t="inlineStr">
        <is>
          <t>04/03/2026</t>
        </is>
      </c>
      <c r="I6877" t="inlineStr">
        <is>
          <t>03/04/2026</t>
        </is>
      </c>
      <c r="J6877" t="inlineStr">
        <is>
          <t>17/03/2026</t>
        </is>
      </c>
      <c r="K6877" t="inlineStr">
        <is>
          <t>N/A</t>
        </is>
      </c>
      <c r="L6877" t="inlineStr">
        <is>
          <t>Tài Chính Ngân Hàng, Tín Dụng Cá Nhân, Quan Hệ Khách Hàng Cá Nhân</t>
        </is>
      </c>
      <c r="M6877" t="inlineStr">
        <is>
          <t>Bonus, Healthcare Plan, Travel Opportunities</t>
        </is>
      </c>
      <c r="N6877" s="8">
        <f>HYPERLINK("https://www.vietnamworks.com/tpbank-bac-da-nang-tuyen-dung-chuyen-vien-tap-su-tiem-nang-quan-he-khach-hang-ca-nhan-2017861-jv","Xem chi tiết")</f>
        <v/>
      </c>
    </row>
    <row r="6878">
      <c r="B6878" s="9" t="n">
        <v>6876</v>
      </c>
      <c r="C6878" s="10" t="inlineStr">
        <is>
          <t>[ Hot Job ] Global Recruitment</t>
        </is>
      </c>
      <c r="D6878" s="10" t="inlineStr">
        <is>
          <t>Seoul Semiconductor Vina</t>
        </is>
      </c>
      <c r="E6878" s="10" t="inlineStr">
        <is>
          <t>Thương lượng</t>
        </is>
      </c>
      <c r="F6878" s="10" t="inlineStr">
        <is>
          <t>Hà Nội, Hà Nam, Hưng Yên</t>
        </is>
      </c>
      <c r="G6878" s="10" t="inlineStr">
        <is>
          <t>Nhân viên</t>
        </is>
      </c>
      <c r="H6878" s="10" t="inlineStr">
        <is>
          <t>04/03/2026</t>
        </is>
      </c>
      <c r="I6878" s="10" t="inlineStr">
        <is>
          <t>03/04/2026</t>
        </is>
      </c>
      <c r="J6878" s="10" t="inlineStr">
        <is>
          <t>17/03/2026</t>
        </is>
      </c>
      <c r="K6878" s="10" t="inlineStr">
        <is>
          <t>N/A</t>
        </is>
      </c>
      <c r="L6878" s="10" t="inlineStr">
        <is>
          <t>Tuyển Dụng, Quản Lý Nhân Sự, Tiếng Anh, Lập Kế Hoạch Tuyển Dụng, Global Recruitment</t>
        </is>
      </c>
      <c r="M6878" s="10" t="inlineStr">
        <is>
          <t>Bonus, Laptop, Transportation</t>
        </is>
      </c>
      <c r="N6878" s="11">
        <f>HYPERLINK("https://www.vietnamworks.com/hot-job-global-recruitment-2017853-jv","Xem chi tiết")</f>
        <v/>
      </c>
      <c r="O6878" s="10" t="n"/>
    </row>
    <row r="6879">
      <c r="B6879" s="7" t="n">
        <v>6877</v>
      </c>
      <c r="C6879" t="inlineStr">
        <is>
          <t>Finance Supervisor, Supply Chain</t>
        </is>
      </c>
      <c r="D6879" t="inlineStr">
        <is>
          <t>Masan Consumer Holdings</t>
        </is>
      </c>
      <c r="E6879" t="inlineStr">
        <is>
          <t>Thương lượng</t>
        </is>
      </c>
      <c r="F6879" t="inlineStr">
        <is>
          <t>Hồ Chí Minh</t>
        </is>
      </c>
      <c r="G6879" t="inlineStr">
        <is>
          <t>Nhân viên</t>
        </is>
      </c>
      <c r="H6879" t="inlineStr">
        <is>
          <t>04/03/2026</t>
        </is>
      </c>
      <c r="I6879" t="inlineStr">
        <is>
          <t>03/04/2026</t>
        </is>
      </c>
      <c r="J6879" t="inlineStr">
        <is>
          <t>17/03/2026</t>
        </is>
      </c>
      <c r="K6879" t="inlineStr">
        <is>
          <t>N/A</t>
        </is>
      </c>
      <c r="L6879" t="inlineStr">
        <is>
          <t>Finance, FMCG, Data Analytics, Power BI, ROI</t>
        </is>
      </c>
      <c r="M6879" t="inlineStr">
        <is>
          <t>Others</t>
        </is>
      </c>
      <c r="N6879" s="8">
        <f>HYPERLINK("https://www.vietnamworks.com/finance-supervisor-supply-chain-2017863-jv","Xem chi tiết")</f>
        <v/>
      </c>
    </row>
    <row r="6880">
      <c r="B6880" s="9" t="n">
        <v>6878</v>
      </c>
      <c r="C6880" s="10" t="inlineStr">
        <is>
          <t>SAS Event &amp; Communication Intern</t>
        </is>
      </c>
      <c r="D6880" s="10" t="inlineStr">
        <is>
          <t>British University Vietnam (Buv)</t>
        </is>
      </c>
      <c r="E6880" s="10" t="inlineStr">
        <is>
          <t>Thương lượng</t>
        </is>
      </c>
      <c r="F6880" s="10" t="inlineStr">
        <is>
          <t>Hà Nội</t>
        </is>
      </c>
      <c r="G6880" s="10" t="inlineStr">
        <is>
          <t>Thực tập sinh/Sinh viên</t>
        </is>
      </c>
      <c r="H6880" s="10" t="inlineStr">
        <is>
          <t>04/03/2026</t>
        </is>
      </c>
      <c r="I6880" s="10" t="inlineStr">
        <is>
          <t>03/04/2026</t>
        </is>
      </c>
      <c r="J6880" s="10" t="inlineStr">
        <is>
          <t>17/03/2026</t>
        </is>
      </c>
      <c r="K6880" s="10" t="inlineStr">
        <is>
          <t>N/A</t>
        </is>
      </c>
      <c r="L6880" s="10" t="inlineStr">
        <is>
          <t>Content Creation, Effective Communication, Event Coordination, Organizational skills, Project Management</t>
        </is>
      </c>
      <c r="M6880" s="10" t="inlineStr">
        <is>
          <t>Transportation, Others</t>
        </is>
      </c>
      <c r="N6880" s="11">
        <f>HYPERLINK("https://www.vietnamworks.com/sas-event-and-communication-intern-2017874-jv","Xem chi tiết")</f>
        <v/>
      </c>
      <c r="O6880" s="10" t="n"/>
    </row>
    <row r="6881">
      <c r="B6881" s="7" t="n">
        <v>6879</v>
      </c>
      <c r="C6881" t="inlineStr">
        <is>
          <t>Tuyển Kĩ Sư Điện Lương Hấp Dẫn</t>
        </is>
      </c>
      <c r="D6881" t="inlineStr">
        <is>
          <t>Công Ty TNHH Việt Nam Kandenko</t>
        </is>
      </c>
      <c r="E6881" t="inlineStr">
        <is>
          <t>Thương lượng</t>
        </is>
      </c>
      <c r="F6881" t="inlineStr">
        <is>
          <t>Hải Phòng</t>
        </is>
      </c>
      <c r="G6881" t="inlineStr">
        <is>
          <t>Nhân viên</t>
        </is>
      </c>
      <c r="H6881" t="inlineStr">
        <is>
          <t>04/03/2026</t>
        </is>
      </c>
      <c r="I6881" t="inlineStr">
        <is>
          <t>03/04/2026</t>
        </is>
      </c>
      <c r="J6881" t="inlineStr">
        <is>
          <t>17/03/2026</t>
        </is>
      </c>
      <c r="K6881" t="inlineStr">
        <is>
          <t>N/A</t>
        </is>
      </c>
      <c r="L6881" t="inlineStr">
        <is>
          <t>Xây Dựng Dân Dụng, Revit, BIM Revit, BIM Application, Kỹ Thuật Thi Công</t>
        </is>
      </c>
      <c r="M6881" t="inlineStr">
        <is>
          <t>Bonus, Healthcare Plan, Others</t>
        </is>
      </c>
      <c r="N6881" s="8">
        <f>HYPERLINK("https://www.vietnamworks.com/tuyen-ki-su-dien-luong-hap-dan--2017875-jv","Xem chi tiết")</f>
        <v/>
      </c>
    </row>
    <row r="6882">
      <c r="B6882" s="9" t="n">
        <v>6880</v>
      </c>
      <c r="C6882" s="10" t="inlineStr">
        <is>
          <t>Assistant Relationship Manager (ARM)</t>
        </is>
      </c>
      <c r="D6882" s="10" t="inlineStr">
        <is>
          <t>Hua Nan Commercial Bank – Ho Chi Minh City Branch</t>
        </is>
      </c>
      <c r="E6882" s="10" t="inlineStr">
        <is>
          <t>Thương lượng</t>
        </is>
      </c>
      <c r="F6882" s="10" t="inlineStr">
        <is>
          <t>Hồ Chí Minh</t>
        </is>
      </c>
      <c r="G6882" s="10" t="inlineStr">
        <is>
          <t>Nhân viên</t>
        </is>
      </c>
      <c r="H6882" s="10" t="inlineStr">
        <is>
          <t>04/03/2026</t>
        </is>
      </c>
      <c r="I6882" s="10" t="inlineStr">
        <is>
          <t>03/04/2026</t>
        </is>
      </c>
      <c r="J6882" s="10" t="inlineStr">
        <is>
          <t>17/03/2026</t>
        </is>
      </c>
      <c r="K6882" s="10" t="inlineStr">
        <is>
          <t>N/A</t>
        </is>
      </c>
      <c r="L6882" s="10" t="inlineStr">
        <is>
          <t>ARM, Customer Service, Commercial Banking, Credit Analysis, Relationship Management</t>
        </is>
      </c>
      <c r="M6882" s="10" t="inlineStr">
        <is>
          <t>Bonus, Training, Others</t>
        </is>
      </c>
      <c r="N6882" s="11">
        <f>HYPERLINK("https://www.vietnamworks.com/assistant-relationship-manager-arm--2017887-jv","Xem chi tiết")</f>
        <v/>
      </c>
      <c r="O6882" s="10" t="n"/>
    </row>
    <row r="6883">
      <c r="B6883" s="7" t="n">
        <v>6881</v>
      </c>
      <c r="C6883" t="inlineStr">
        <is>
          <t>Junior Business Analyst</t>
        </is>
      </c>
      <c r="D6883" t="inlineStr">
        <is>
          <t>CÔNG TY TNHH MVC &amp; CO</t>
        </is>
      </c>
      <c r="E6883" t="inlineStr">
        <is>
          <t>Thương lượng</t>
        </is>
      </c>
      <c r="F6883" t="inlineStr">
        <is>
          <t>Hà Nội</t>
        </is>
      </c>
      <c r="G6883" t="inlineStr">
        <is>
          <t>Mới Tốt Nghiệp</t>
        </is>
      </c>
      <c r="H6883" t="inlineStr">
        <is>
          <t>04/03/2026</t>
        </is>
      </c>
      <c r="I6883" t="inlineStr">
        <is>
          <t>03/04/2026</t>
        </is>
      </c>
      <c r="J6883" t="inlineStr">
        <is>
          <t>17/03/2026</t>
        </is>
      </c>
      <c r="K6883" t="inlineStr">
        <is>
          <t>N/A</t>
        </is>
      </c>
      <c r="L6883" t="inlineStr">
        <is>
          <t>English, Business Analysis, SRS Document, UAT, User Stories</t>
        </is>
      </c>
      <c r="M6883" t="inlineStr">
        <is>
          <t>Bonus, Healthcare Plan, Paid Leave, Awards, Laptop, Team Activities, Others</t>
        </is>
      </c>
      <c r="N6883" s="8">
        <f>HYPERLINK("https://www.vietnamworks.com/junior-business-analyst-2017878-jv","Xem chi tiết")</f>
        <v/>
      </c>
    </row>
    <row r="6884">
      <c r="B6884" s="9" t="n">
        <v>6882</v>
      </c>
      <c r="C6884" s="10" t="inlineStr">
        <is>
          <t>Regional Sales Manager Pharmacy (National)</t>
        </is>
      </c>
      <c r="D6884" s="10" t="inlineStr">
        <is>
          <t>Hetero Labs Limited</t>
        </is>
      </c>
      <c r="E6884" s="10" t="inlineStr">
        <is>
          <t>Thương lượng</t>
        </is>
      </c>
      <c r="F6884" s="10" t="inlineStr">
        <is>
          <t>Hồ Chí Minh</t>
        </is>
      </c>
      <c r="G6884" s="10" t="inlineStr">
        <is>
          <t>Trưởng phòng</t>
        </is>
      </c>
      <c r="H6884" s="10" t="inlineStr">
        <is>
          <t>04/03/2026</t>
        </is>
      </c>
      <c r="I6884" s="10" t="inlineStr">
        <is>
          <t>03/04/2026</t>
        </is>
      </c>
      <c r="J6884" s="10" t="inlineStr">
        <is>
          <t>17/03/2026</t>
        </is>
      </c>
      <c r="K6884" s="10" t="inlineStr">
        <is>
          <t>N/A</t>
        </is>
      </c>
      <c r="L6884" s="10" t="inlineStr">
        <is>
          <t>Pharmaceutical Manufacturing, Negotiation Skills, Strategic Planning, Leadership, Pharmacy</t>
        </is>
      </c>
      <c r="M6884" s="10" t="inlineStr">
        <is>
          <t>Bonus, Healthcare Plan, Team Activities</t>
        </is>
      </c>
      <c r="N6884" s="11">
        <f>HYPERLINK("https://www.vietnamworks.com/regional-sales-manager-pharmacy-national-2017876-jv","Xem chi tiết")</f>
        <v/>
      </c>
      <c r="O6884" s="10" t="n"/>
    </row>
    <row r="6885">
      <c r="B6885" s="7" t="n">
        <v>6883</v>
      </c>
      <c r="C6885" t="inlineStr">
        <is>
          <t>Account Manager ( Junior/Middle/Senior)</t>
        </is>
      </c>
      <c r="D6885" t="inlineStr">
        <is>
          <t>Công Ty TNHH Viettel - CHT (Viettel Idc)</t>
        </is>
      </c>
      <c r="E6885" t="inlineStr">
        <is>
          <t>Thương lượng</t>
        </is>
      </c>
      <c r="F6885" t="inlineStr">
        <is>
          <t>Hà Nội, Hồ Chí Minh</t>
        </is>
      </c>
      <c r="G6885" t="inlineStr">
        <is>
          <t>Nhân viên</t>
        </is>
      </c>
      <c r="H6885" t="inlineStr">
        <is>
          <t>04/03/2026</t>
        </is>
      </c>
      <c r="I6885" t="inlineStr">
        <is>
          <t>03/04/2026</t>
        </is>
      </c>
      <c r="J6885" t="inlineStr">
        <is>
          <t>17/03/2026</t>
        </is>
      </c>
      <c r="K6885" t="inlineStr">
        <is>
          <t>N/A</t>
        </is>
      </c>
      <c r="L6885" t="inlineStr">
        <is>
          <t>Kế Hoạch Bán Hàng, Kinh Doanh, Sales &amp; Account Management, Technical Sales, Technical Consulting</t>
        </is>
      </c>
      <c r="M6885" t="inlineStr">
        <is>
          <t>Bonus, Healthcare Plan, Training, Travel Opportunities, Others</t>
        </is>
      </c>
      <c r="N6885" s="8">
        <f>HYPERLINK("https://www.vietnamworks.com/account-manager-juniormiddlesenior-2017877-jv","Xem chi tiết")</f>
        <v/>
      </c>
    </row>
    <row r="6886">
      <c r="B6886" s="9" t="n">
        <v>6884</v>
      </c>
      <c r="C6886" s="10" t="inlineStr">
        <is>
          <t>Trưởng Ban Quản Lý Công Trình (Dự Án Hà Nội)</t>
        </is>
      </c>
      <c r="D6886" s="10" t="inlineStr">
        <is>
          <t>Công Ty CP Tập Đoàn Công Nghệ CMC</t>
        </is>
      </c>
      <c r="E6886" s="10" t="inlineStr">
        <is>
          <t>Tới $ 2,200 /tháng</t>
        </is>
      </c>
      <c r="F6886" s="10" t="inlineStr">
        <is>
          <t>Hà Nội</t>
        </is>
      </c>
      <c r="G6886" s="10" t="inlineStr">
        <is>
          <t>Trưởng phòng</t>
        </is>
      </c>
      <c r="H6886" s="10" t="inlineStr">
        <is>
          <t>04/03/2026</t>
        </is>
      </c>
      <c r="I6886" s="10" t="inlineStr">
        <is>
          <t>03/04/2026</t>
        </is>
      </c>
      <c r="J6886" s="10" t="inlineStr">
        <is>
          <t>17/03/2026</t>
        </is>
      </c>
      <c r="K6886" s="10" t="inlineStr">
        <is>
          <t>N/A</t>
        </is>
      </c>
      <c r="L6886" s="10" t="inlineStr">
        <is>
          <t>Quản Lý Dự Án, Công Trình Dân Dụng, Quản Lý Công Trình Xây Dựng, Giám Sát Xây Dựng Công Trình</t>
        </is>
      </c>
      <c r="M6886" s="10" t="inlineStr">
        <is>
          <t>Bonus, Awards, Travel Opportunities</t>
        </is>
      </c>
      <c r="N6886" s="11">
        <f>HYPERLINK("https://www.vietnamworks.com/truong-ban-quan-ly-cong-trinh-du-an-ha-noi--2017873-jv","Xem chi tiết")</f>
        <v/>
      </c>
      <c r="O6886" s="10" t="n"/>
    </row>
    <row r="6887">
      <c r="B6887" s="7" t="n">
        <v>6885</v>
      </c>
      <c r="C6887" t="inlineStr">
        <is>
          <t>Senior Content Creator (Dự Án Truyền Thông - Media Agency)</t>
        </is>
      </c>
      <c r="D6887" t="inlineStr">
        <is>
          <t>Công Ty Cổ phần TAJ Việt Nam</t>
        </is>
      </c>
      <c r="E6887" t="inlineStr">
        <is>
          <t>16tr-22tr ₫/tháng</t>
        </is>
      </c>
      <c r="F6887" t="inlineStr">
        <is>
          <t>Hà Nội</t>
        </is>
      </c>
      <c r="G6887" t="inlineStr">
        <is>
          <t>Nhân viên</t>
        </is>
      </c>
      <c r="H6887" t="inlineStr">
        <is>
          <t>04/03/2026</t>
        </is>
      </c>
      <c r="I6887" t="inlineStr">
        <is>
          <t>03/04/2026</t>
        </is>
      </c>
      <c r="J6887" t="inlineStr">
        <is>
          <t>17/03/2026</t>
        </is>
      </c>
      <c r="K6887" t="inlineStr">
        <is>
          <t>N/A</t>
        </is>
      </c>
      <c r="L6887" t="inlineStr">
        <is>
          <t>Quản Lý Công Việc, Content Creating, Marketing Planning, Sáng Tạo Nội Dung, Truyền Thông</t>
        </is>
      </c>
      <c r="M6887" t="inlineStr">
        <is>
          <t>Bonus, Healthcare Plan, Paid Leave, Training, Travel Opportunities, Canteen, Others</t>
        </is>
      </c>
      <c r="N6887" s="8">
        <f>HYPERLINK("https://www.vietnamworks.com/senior-content-creator-du-an-truyen-thong-media-agency-2017898-jv","Xem chi tiết")</f>
        <v/>
      </c>
    </row>
    <row r="6888">
      <c r="B6888" s="9" t="n">
        <v>6886</v>
      </c>
      <c r="C6888" s="10" t="inlineStr">
        <is>
          <t>Investment Analyst</t>
        </is>
      </c>
      <c r="D6888" s="10" t="inlineStr">
        <is>
          <t>CÔNG TY CỔ PHẦN QUẢN LÝ ĐẦU TƯ ACD</t>
        </is>
      </c>
      <c r="E6888" s="10" t="inlineStr">
        <is>
          <t>$$ 500-1,200 /tháng</t>
        </is>
      </c>
      <c r="F6888" s="10" t="inlineStr">
        <is>
          <t>Hà Nội</t>
        </is>
      </c>
      <c r="G6888" s="10" t="inlineStr">
        <is>
          <t>Nhân viên</t>
        </is>
      </c>
      <c r="H6888" s="10" t="inlineStr">
        <is>
          <t>04/03/2026</t>
        </is>
      </c>
      <c r="I6888" s="10" t="inlineStr">
        <is>
          <t>03/04/2026</t>
        </is>
      </c>
      <c r="J6888" s="10" t="inlineStr">
        <is>
          <t>17/03/2026</t>
        </is>
      </c>
      <c r="K6888" s="10" t="inlineStr">
        <is>
          <t>N/A</t>
        </is>
      </c>
      <c r="L6888" s="10" t="inlineStr">
        <is>
          <t>Corporate Credit, Finance, Investment Analyst, Management Accounting, Real Estate Development</t>
        </is>
      </c>
      <c r="M6888" s="10" t="inlineStr">
        <is>
          <t>Bonus, Healthcare Plan, Training, Laptop, Team Activities, Canteen, Others</t>
        </is>
      </c>
      <c r="N6888" s="11">
        <f>HYPERLINK("https://www.vietnamworks.com/investment-analyst-2017872-jv","Xem chi tiết")</f>
        <v/>
      </c>
      <c r="O6888" s="10" t="n"/>
    </row>
    <row r="6889">
      <c r="B6889" s="7" t="n">
        <v>6887</v>
      </c>
      <c r="C6889" t="inlineStr">
        <is>
          <t>Kỹ Sư Xây Dựng (Upto 25Tr/ Tháng)</t>
        </is>
      </c>
      <c r="D6889" t="inlineStr">
        <is>
          <t>Công Ty TNHH Hồng Hạnh</t>
        </is>
      </c>
      <c r="E6889" t="inlineStr">
        <is>
          <t>15tr-25tr ₫/tháng</t>
        </is>
      </c>
      <c r="F6889" t="inlineStr">
        <is>
          <t>Hà Nội</t>
        </is>
      </c>
      <c r="G6889" t="inlineStr">
        <is>
          <t>Nhân viên</t>
        </is>
      </c>
      <c r="H6889" t="inlineStr">
        <is>
          <t>04/03/2026</t>
        </is>
      </c>
      <c r="I6889" t="inlineStr">
        <is>
          <t>03/04/2026</t>
        </is>
      </c>
      <c r="J6889" t="inlineStr">
        <is>
          <t>17/03/2026</t>
        </is>
      </c>
      <c r="K6889" t="inlineStr">
        <is>
          <t>N/A</t>
        </is>
      </c>
      <c r="L6889" t="inlineStr">
        <is>
          <t>Giám Sát Thi Công, AutoCAD, Quản Lý Dự Án, Microsoft Project, Site Management</t>
        </is>
      </c>
      <c r="M6889" t="inlineStr">
        <is>
          <t>Bonus, Healthcare Plan, Paid Leave</t>
        </is>
      </c>
      <c r="N6889" s="8">
        <f>HYPERLINK("https://www.vietnamworks.com/ky-su-xay-dung-upto-25tr-thang-2017897-jv","Xem chi tiết")</f>
        <v/>
      </c>
    </row>
    <row r="6890">
      <c r="B6890" s="9" t="n">
        <v>6888</v>
      </c>
      <c r="C6890" s="10" t="inlineStr">
        <is>
          <t>Nhân Viên Vận Hành Máy CNC (Thu Nhập Lên Tới 20 Triệu Đồng/tháng)</t>
        </is>
      </c>
      <c r="D6890" s="10" t="inlineStr">
        <is>
          <t>CÔNG TY TNHH VIEDAM MR</t>
        </is>
      </c>
      <c r="E6890" s="10" t="inlineStr">
        <is>
          <t>Tới 20tr ₫/tháng</t>
        </is>
      </c>
      <c r="F6890" s="10" t="inlineStr">
        <is>
          <t>Hồ Chí Minh</t>
        </is>
      </c>
      <c r="G6890" s="10" t="inlineStr">
        <is>
          <t>Nhân viên</t>
        </is>
      </c>
      <c r="H6890" s="10" t="inlineStr">
        <is>
          <t>04/03/2026</t>
        </is>
      </c>
      <c r="I6890" s="10" t="inlineStr">
        <is>
          <t>03/04/2026</t>
        </is>
      </c>
      <c r="J6890" s="10" t="inlineStr">
        <is>
          <t>17/03/2026</t>
        </is>
      </c>
      <c r="K6890" s="10" t="inlineStr">
        <is>
          <t>N/A</t>
        </is>
      </c>
      <c r="L6890" s="10" t="inlineStr">
        <is>
          <t>Vận Hành Máy CNC, Cơ Khí, Hàn Cắt Gọt Kim Loại, Thiết Kế Khuôn Mẫu, Vận Hành Máy Tiện</t>
        </is>
      </c>
      <c r="M6890" s="10" t="inlineStr">
        <is>
          <t>Bonus, Healthcare Plan, Paid Leave, Canteen, Others</t>
        </is>
      </c>
      <c r="N6890" s="11">
        <f>HYPERLINK("https://www.vietnamworks.com/nhan-vien-van-hanh-may-cnc-thu-nhap-len-toi-20-trieu-djongthang-2017879-jv","Xem chi tiết")</f>
        <v/>
      </c>
      <c r="O6890" s="10" t="n"/>
    </row>
    <row r="6891">
      <c r="B6891" s="7" t="n">
        <v>6889</v>
      </c>
      <c r="C6891" t="inlineStr">
        <is>
          <t>Kỹ Sư QS - QA/QC</t>
        </is>
      </c>
      <c r="D6891" t="inlineStr">
        <is>
          <t>CÔNG TY TNHH ĐẦU TƯ VÀ XÂY DỰNG QUẢNG THUẬN - LONG AN</t>
        </is>
      </c>
      <c r="E6891" t="inlineStr">
        <is>
          <t>Thương lượng</t>
        </is>
      </c>
      <c r="F6891" t="inlineStr">
        <is>
          <t>Long An, Tây Ninh</t>
        </is>
      </c>
      <c r="G6891" t="inlineStr">
        <is>
          <t>Nhân viên</t>
        </is>
      </c>
      <c r="H6891" t="inlineStr">
        <is>
          <t>04/03/2026</t>
        </is>
      </c>
      <c r="I6891" t="inlineStr">
        <is>
          <t>03/04/2026</t>
        </is>
      </c>
      <c r="J6891" t="inlineStr">
        <is>
          <t>17/03/2026</t>
        </is>
      </c>
      <c r="K6891" t="inlineStr">
        <is>
          <t>N/A</t>
        </is>
      </c>
      <c r="L6891" t="inlineStr">
        <is>
          <t>Nghiệm Thu, Bóc Tách Khối Lượng, Làm Hồ Sơ Thanh Quyết Toán, Lập Dự Toán, Thẩm Định</t>
        </is>
      </c>
      <c r="M6891" t="inlineStr">
        <is>
          <t>Bonus, Healthcare Plan, Travel Opportunities, Team Activities</t>
        </is>
      </c>
      <c r="N6891" s="8">
        <f>HYPERLINK("https://www.vietnamworks.com/ky-su-qs-qaqc-2017894-jv","Xem chi tiết")</f>
        <v/>
      </c>
    </row>
    <row r="6892">
      <c r="B6892" s="9" t="n">
        <v>6890</v>
      </c>
      <c r="C6892" s="10" t="inlineStr">
        <is>
          <t>Fresh Australian Accountant</t>
        </is>
      </c>
      <c r="D6892" s="10" t="inlineStr">
        <is>
          <t>Odyssey Resources (Vietnam) Limited.</t>
        </is>
      </c>
      <c r="E6892" s="10" t="inlineStr">
        <is>
          <t>Thương lượng</t>
        </is>
      </c>
      <c r="F6892" s="10" t="inlineStr">
        <is>
          <t>Hồ Chí Minh</t>
        </is>
      </c>
      <c r="G6892" s="10" t="inlineStr">
        <is>
          <t>Mới Tốt Nghiệp</t>
        </is>
      </c>
      <c r="H6892" s="10" t="inlineStr">
        <is>
          <t>04/03/2026</t>
        </is>
      </c>
      <c r="I6892" s="10" t="inlineStr">
        <is>
          <t>03/04/2026</t>
        </is>
      </c>
      <c r="J6892" s="10" t="inlineStr">
        <is>
          <t>17/03/2026</t>
        </is>
      </c>
      <c r="K6892" s="10" t="inlineStr">
        <is>
          <t>N/A</t>
        </is>
      </c>
      <c r="L6892" s="10" t="inlineStr">
        <is>
          <t>English, Australian Tax, Xero Accounting Software</t>
        </is>
      </c>
      <c r="M6892" s="10" t="inlineStr">
        <is>
          <t>Bonus, Paid Leave, Team Activities</t>
        </is>
      </c>
      <c r="N6892" s="11">
        <f>HYPERLINK("https://www.vietnamworks.com/fresh-australian-accountant-1-1-1-3-1-1-2-1-1-1-1-1-1-1-1--2017888-jv","Xem chi tiết")</f>
        <v/>
      </c>
      <c r="O6892" s="10" t="n"/>
    </row>
    <row r="6893">
      <c r="B6893" s="7" t="n">
        <v>6891</v>
      </c>
      <c r="C6893" t="inlineStr">
        <is>
          <t>Quản Lý Vận Hành Tòa Nhà/ Tổ Hợp</t>
        </is>
      </c>
      <c r="D6893" t="inlineStr">
        <is>
          <t>LOTTE Properties Hanoi (LOTTE MALL West Lake Hanoi)</t>
        </is>
      </c>
      <c r="E6893" t="inlineStr">
        <is>
          <t>Thương lượng</t>
        </is>
      </c>
      <c r="F6893" t="inlineStr">
        <is>
          <t>Hà Nội</t>
        </is>
      </c>
      <c r="G6893" t="inlineStr">
        <is>
          <t>Trưởng phòng</t>
        </is>
      </c>
      <c r="H6893" t="inlineStr">
        <is>
          <t>04/03/2026</t>
        </is>
      </c>
      <c r="I6893" t="inlineStr">
        <is>
          <t>03/04/2026</t>
        </is>
      </c>
      <c r="J6893" t="inlineStr">
        <is>
          <t>17/03/2026</t>
        </is>
      </c>
      <c r="K6893" t="inlineStr">
        <is>
          <t>N/A</t>
        </is>
      </c>
      <c r="L6893" t="inlineStr">
        <is>
          <t>Management, Coordination Teamwork, Planning, Problem Solving</t>
        </is>
      </c>
      <c r="M6893" t="inlineStr">
        <is>
          <t>Bonus, Paid Leave, Vouchers</t>
        </is>
      </c>
      <c r="N6893" s="8">
        <f>HYPERLINK("https://www.vietnamworks.com/quan-ly-van-hanh-toa-nha-to-hop-2017884-jv","Xem chi tiết")</f>
        <v/>
      </c>
    </row>
    <row r="6894">
      <c r="B6894" s="9" t="n">
        <v>6892</v>
      </c>
      <c r="C6894" s="10" t="inlineStr">
        <is>
          <t>Sales Manager</t>
        </is>
      </c>
      <c r="D6894" s="10" t="inlineStr">
        <is>
          <t>Jebsen &amp; Jessen (Vietnam)</t>
        </is>
      </c>
      <c r="E6894" s="10" t="inlineStr">
        <is>
          <t>Thương lượng</t>
        </is>
      </c>
      <c r="F6894" s="10" t="inlineStr">
        <is>
          <t>Hà Nội</t>
        </is>
      </c>
      <c r="G6894" s="10" t="inlineStr">
        <is>
          <t>Trưởng phòng</t>
        </is>
      </c>
      <c r="H6894" s="10" t="inlineStr">
        <is>
          <t>04/03/2026</t>
        </is>
      </c>
      <c r="I6894" s="10" t="inlineStr">
        <is>
          <t>03/04/2026</t>
        </is>
      </c>
      <c r="J6894" s="10" t="inlineStr">
        <is>
          <t>17/03/2026</t>
        </is>
      </c>
      <c r="K6894" s="10" t="inlineStr">
        <is>
          <t>N/A</t>
        </is>
      </c>
      <c r="L6894" s="10" t="inlineStr">
        <is>
          <t>Sales, Kinh Doanh, Chăm Sóc Khách Hàng, Sales Engineering, Chemical Sales</t>
        </is>
      </c>
      <c r="M6894" s="10" t="inlineStr">
        <is>
          <t>Team Activities</t>
        </is>
      </c>
      <c r="N6894" s="11">
        <f>HYPERLINK("https://www.vietnamworks.com/sales-manager--2017891-jv","Xem chi tiết")</f>
        <v/>
      </c>
      <c r="O6894" s="10" t="n"/>
    </row>
    <row r="6895">
      <c r="B6895" s="7" t="n">
        <v>6893</v>
      </c>
      <c r="C6895" t="inlineStr">
        <is>
          <t>Regional Sales Manager Spectra Products</t>
        </is>
      </c>
      <c r="D6895" t="inlineStr">
        <is>
          <t>Hetero Labs Limited</t>
        </is>
      </c>
      <c r="E6895" t="inlineStr">
        <is>
          <t>Thương lượng</t>
        </is>
      </c>
      <c r="F6895" t="inlineStr">
        <is>
          <t>Hồ Chí Minh</t>
        </is>
      </c>
      <c r="G6895" t="inlineStr">
        <is>
          <t>Trưởng phòng</t>
        </is>
      </c>
      <c r="H6895" t="inlineStr">
        <is>
          <t>04/03/2026</t>
        </is>
      </c>
      <c r="I6895" t="inlineStr">
        <is>
          <t>03/04/2026</t>
        </is>
      </c>
      <c r="J6895" t="inlineStr">
        <is>
          <t>17/03/2026</t>
        </is>
      </c>
      <c r="K6895" t="inlineStr">
        <is>
          <t>N/A</t>
        </is>
      </c>
      <c r="L6895" t="inlineStr">
        <is>
          <t>Pharmaceutical Manufacturing, Hospital Management, Team Management, Strategic Planning, Communication Skill</t>
        </is>
      </c>
      <c r="M6895" t="inlineStr">
        <is>
          <t>Bonus, Healthcare Plan, Team Activities</t>
        </is>
      </c>
      <c r="N6895" s="8">
        <f>HYPERLINK("https://www.vietnamworks.com/regional-sales-manager-spectra-products-2017881-jv","Xem chi tiết")</f>
        <v/>
      </c>
    </row>
    <row r="6896">
      <c r="B6896" s="9" t="n">
        <v>6894</v>
      </c>
      <c r="C6896" s="10" t="inlineStr">
        <is>
          <t>Social Account Executive</t>
        </is>
      </c>
      <c r="D6896" s="10" t="inlineStr">
        <is>
          <t>Rubik Solutions ltd.</t>
        </is>
      </c>
      <c r="E6896" s="10" t="inlineStr">
        <is>
          <t>Thương lượng</t>
        </is>
      </c>
      <c r="F6896" s="10" t="inlineStr">
        <is>
          <t>Hồ Chí Minh</t>
        </is>
      </c>
      <c r="G6896" s="10" t="inlineStr">
        <is>
          <t>Nhân viên</t>
        </is>
      </c>
      <c r="H6896" s="10" t="inlineStr">
        <is>
          <t>04/03/2026</t>
        </is>
      </c>
      <c r="I6896" s="10" t="inlineStr">
        <is>
          <t>03/04/2026</t>
        </is>
      </c>
      <c r="J6896" s="10" t="inlineStr">
        <is>
          <t>17/03/2026</t>
        </is>
      </c>
      <c r="K6896" s="10" t="inlineStr">
        <is>
          <t>N/A</t>
        </is>
      </c>
      <c r="L6896" s="10" t="inlineStr">
        <is>
          <t>Account Management, Communication Skills, Digital Marketing, Social Media Management, Public Relation Management</t>
        </is>
      </c>
      <c r="M6896" s="10" t="inlineStr">
        <is>
          <t>Bonus, Healthcare Plan, Paid Leave, Training, Others</t>
        </is>
      </c>
      <c r="N6896" s="11">
        <f>HYPERLINK("https://www.vietnamworks.com/social-account-executive--2017896-jv","Xem chi tiết")</f>
        <v/>
      </c>
      <c r="O6896" s="10" t="n"/>
    </row>
    <row r="6897">
      <c r="B6897" s="7" t="n">
        <v>6895</v>
      </c>
      <c r="C6897" t="inlineStr">
        <is>
          <t>Kỹ Sư Xây Dựng và Quản Lý Dự Án - Thu Nhập 20-25Tr</t>
        </is>
      </c>
      <c r="D6897" t="inlineStr">
        <is>
          <t>Công Ty Cổ Phần Việt Mỹ. Group</t>
        </is>
      </c>
      <c r="E6897" t="inlineStr">
        <is>
          <t>20tr-25tr ₫/tháng</t>
        </is>
      </c>
      <c r="F6897" t="inlineStr">
        <is>
          <t>Hòa Bình</t>
        </is>
      </c>
      <c r="G6897" t="inlineStr">
        <is>
          <t>Nhân viên</t>
        </is>
      </c>
      <c r="H6897" t="inlineStr">
        <is>
          <t>04/03/2026</t>
        </is>
      </c>
      <c r="I6897" t="inlineStr">
        <is>
          <t>03/04/2026</t>
        </is>
      </c>
      <c r="J6897" t="inlineStr">
        <is>
          <t>17/03/2026</t>
        </is>
      </c>
      <c r="K6897" t="inlineStr">
        <is>
          <t>N/A</t>
        </is>
      </c>
      <c r="L6897" t="inlineStr">
        <is>
          <t>Giám Sát Thi Công, Kiểm Soát Chất Lượng, AutoCAD, Thi Công Hạ Tầng, Công Trình Dân Dụng</t>
        </is>
      </c>
      <c r="M6897" t="inlineStr">
        <is>
          <t>Bonus, Healthcare Plan, Training, Awards, Others</t>
        </is>
      </c>
      <c r="N6897" s="8">
        <f>HYPERLINK("https://www.vietnamworks.com/ky-su-xay-dung-va-quan-ly-du-an-thu-nhap-20-25tr-2017892-jv","Xem chi tiết")</f>
        <v/>
      </c>
    </row>
    <row r="6898">
      <c r="B6898" s="9" t="n">
        <v>6896</v>
      </c>
      <c r="C6898" s="10" t="inlineStr">
        <is>
          <t>Giám Đốc Trung Tâm Khách Hàng Cá Nhân - Khu Vực Ninh Bình</t>
        </is>
      </c>
      <c r="D6898" s="10" t="inlineStr">
        <is>
          <t>Ngân hàng TMCP Đông Nam Á (SeABank)</t>
        </is>
      </c>
      <c r="E6898" s="10" t="inlineStr">
        <is>
          <t>Thương lượng</t>
        </is>
      </c>
      <c r="F6898" s="10" t="inlineStr">
        <is>
          <t>Ninh Bình</t>
        </is>
      </c>
      <c r="G6898" s="10" t="inlineStr">
        <is>
          <t>Trưởng phòng</t>
        </is>
      </c>
      <c r="H6898" s="10" t="inlineStr">
        <is>
          <t>04/03/2026</t>
        </is>
      </c>
      <c r="I6898" s="10" t="inlineStr">
        <is>
          <t>03/04/2026</t>
        </is>
      </c>
      <c r="J6898" s="10" t="inlineStr">
        <is>
          <t>17/03/2026</t>
        </is>
      </c>
      <c r="K6898" s="10" t="inlineStr">
        <is>
          <t>N/A</t>
        </is>
      </c>
      <c r="L6898" s="10" t="inlineStr">
        <is>
          <t>Quản Lý Kinh Doanh, Business Development, Khách Hàng Cá Nhân, Quan Hệ Khách Hàng Cá Nhân, Sales Management</t>
        </is>
      </c>
      <c r="M6898" s="10" t="inlineStr">
        <is>
          <t>Bonus, Healthcare Plan, Training, Mobile, Travel Opportunities, Transportation, Others</t>
        </is>
      </c>
      <c r="N6898" s="11">
        <f>HYPERLINK("https://www.vietnamworks.com/giam-djoc-trung-tam-khach-hang-ca-nhan-khu-vuc-ninh-binh-2017890-jv","Xem chi tiết")</f>
        <v/>
      </c>
      <c r="O6898" s="10" t="n"/>
    </row>
    <row r="6899">
      <c r="B6899" s="7" t="n">
        <v>6897</v>
      </c>
      <c r="C6899" t="inlineStr">
        <is>
          <t>Cán Bộ Nguồn Ban Điều Hành - Mảng Vận Hành Khu Đô Thị</t>
        </is>
      </c>
      <c r="D6899" t="inlineStr">
        <is>
          <t>Công ty Cổ phần Vinhomes</t>
        </is>
      </c>
      <c r="E6899" t="inlineStr">
        <is>
          <t>Thương lượng</t>
        </is>
      </c>
      <c r="F6899" t="inlineStr">
        <is>
          <t>Hà Nội</t>
        </is>
      </c>
      <c r="G6899" t="inlineStr">
        <is>
          <t>Giám Đốc và Cấp Cao Hơn</t>
        </is>
      </c>
      <c r="H6899" t="inlineStr">
        <is>
          <t>04/03/2026</t>
        </is>
      </c>
      <c r="I6899" t="inlineStr">
        <is>
          <t>03/04/2026</t>
        </is>
      </c>
      <c r="J6899" t="inlineStr">
        <is>
          <t>17/03/2026</t>
        </is>
      </c>
      <c r="K6899" t="inlineStr">
        <is>
          <t>N/A</t>
        </is>
      </c>
      <c r="L6899" t="inlineStr">
        <is>
          <t>Giao Tiếp Tiếng Anh, Property Management, Bất Động Sản Thương Mại, Quản Lý Vận Hành Tòa Nhà</t>
        </is>
      </c>
      <c r="M6899" t="inlineStr">
        <is>
          <t>Bonus, Healthcare Plan, Training</t>
        </is>
      </c>
      <c r="N6899" s="8">
        <f>HYPERLINK("https://www.vietnamworks.com/can-bo-nguon-ban-dieu-hanh-mang-van-hanh-khu-do-thi-2017893-jv","Xem chi tiết")</f>
        <v/>
      </c>
    </row>
    <row r="6900">
      <c r="B6900" s="9" t="n">
        <v>6898</v>
      </c>
      <c r="C6900" s="10" t="inlineStr">
        <is>
          <t>Tuyển Kỹ Sư Giám Sát An Toàn</t>
        </is>
      </c>
      <c r="D6900" s="10" t="inlineStr">
        <is>
          <t>Công Ty TNHH Việt Nam Kandenko</t>
        </is>
      </c>
      <c r="E6900" s="10" t="inlineStr">
        <is>
          <t>Thương lượng</t>
        </is>
      </c>
      <c r="F6900" s="10" t="inlineStr">
        <is>
          <t>Hưng Yên, Hà Nội</t>
        </is>
      </c>
      <c r="G6900" s="10" t="inlineStr">
        <is>
          <t>Nhân viên</t>
        </is>
      </c>
      <c r="H6900" s="10" t="inlineStr">
        <is>
          <t>04/03/2026</t>
        </is>
      </c>
      <c r="I6900" s="10" t="inlineStr">
        <is>
          <t>03/04/2026</t>
        </is>
      </c>
      <c r="J6900" s="10" t="inlineStr">
        <is>
          <t>17/03/2026</t>
        </is>
      </c>
      <c r="K6900" s="10" t="inlineStr">
        <is>
          <t>N/A</t>
        </is>
      </c>
      <c r="L6900" s="10" t="inlineStr">
        <is>
          <t>Xây Dựng Dân Dụng, Revit, BIM Revit, BIM Application, Kỹ Thuật Thi Công</t>
        </is>
      </c>
      <c r="M6900" s="10" t="inlineStr">
        <is>
          <t>Bonus, Healthcare Plan, Others</t>
        </is>
      </c>
      <c r="N6900" s="11">
        <f>HYPERLINK("https://www.vietnamworks.com/tuyen-ky-su-giam-sat-an-toan--2017895-jv","Xem chi tiết")</f>
        <v/>
      </c>
      <c r="O6900" s="10" t="n"/>
    </row>
    <row r="6901">
      <c r="B6901" s="7" t="n">
        <v>6899</v>
      </c>
      <c r="C6901" t="inlineStr">
        <is>
          <t>(Senior) Accounting Executive</t>
        </is>
      </c>
      <c r="D6901" t="inlineStr">
        <is>
          <t>Rubik Solutions ltd.</t>
        </is>
      </c>
      <c r="E6901" t="inlineStr">
        <is>
          <t>Thương lượng</t>
        </is>
      </c>
      <c r="F6901" t="inlineStr">
        <is>
          <t>Hồ Chí Minh</t>
        </is>
      </c>
      <c r="G6901" t="inlineStr">
        <is>
          <t>Nhân viên</t>
        </is>
      </c>
      <c r="H6901" t="inlineStr">
        <is>
          <t>04/03/2026</t>
        </is>
      </c>
      <c r="I6901" t="inlineStr">
        <is>
          <t>03/04/2026</t>
        </is>
      </c>
      <c r="J6901" t="inlineStr">
        <is>
          <t>17/03/2026</t>
        </is>
      </c>
      <c r="K6901" t="inlineStr">
        <is>
          <t>N/A</t>
        </is>
      </c>
      <c r="L6901" t="inlineStr">
        <is>
          <t>ACCA, Accounting Standards, Compliance Management, Financial Analysis, Financial Management</t>
        </is>
      </c>
      <c r="M6901" t="inlineStr">
        <is>
          <t>Bonus, Healthcare Plan, Paid Leave, Training, Transportation</t>
        </is>
      </c>
      <c r="N6901" s="8">
        <f>HYPERLINK("https://www.vietnamworks.com/-senior-accounting-executive-2017899-jv","Xem chi tiết")</f>
        <v/>
      </c>
    </row>
    <row r="6902">
      <c r="B6902" s="9" t="n">
        <v>6900</v>
      </c>
      <c r="C6902" s="10" t="inlineStr">
        <is>
          <t>Nhân Viên Kinh Doanh (Lương Base 10Tr5 - Không Yêu Cầu Kinh Nghiệm)</t>
        </is>
      </c>
      <c r="D6902" s="10" t="inlineStr">
        <is>
          <t>CÔNG TY TNHH ZENVIVA</t>
        </is>
      </c>
      <c r="E6902" s="10" t="inlineStr">
        <is>
          <t>10.5tr-15tr ₫/tháng</t>
        </is>
      </c>
      <c r="F6902" s="10" t="inlineStr">
        <is>
          <t>Hồ Chí Minh</t>
        </is>
      </c>
      <c r="G6902" s="10" t="inlineStr">
        <is>
          <t>Mới Tốt Nghiệp</t>
        </is>
      </c>
      <c r="H6902" s="10" t="inlineStr">
        <is>
          <t>04/03/2026</t>
        </is>
      </c>
      <c r="I6902" s="10" t="inlineStr">
        <is>
          <t>03/04/2026</t>
        </is>
      </c>
      <c r="J6902" s="10" t="inlineStr">
        <is>
          <t>17/03/2026</t>
        </is>
      </c>
      <c r="K6902" s="10" t="inlineStr">
        <is>
          <t>N/A</t>
        </is>
      </c>
      <c r="L6902" s="10" t="inlineStr">
        <is>
          <t>Phát Triển Mạng Lưới, Tìm Kiếm Khách Hàng, Kinh Doanh Trang Sức, Quản Lý Kênh Bán Hàng, Quản Lý Nhóm</t>
        </is>
      </c>
      <c r="M6902" s="10" t="inlineStr">
        <is>
          <t>Healthcare Plan, Others</t>
        </is>
      </c>
      <c r="N6902" s="11">
        <f>HYPERLINK("https://www.vietnamworks.com/nhan-vien-kinh-doanh-luong-base-10tr5-khong-yeu-cau-kinh-nghiem-2017900-jv","Xem chi tiết")</f>
        <v/>
      </c>
      <c r="O6902" s="10" t="n"/>
    </row>
    <row r="6903">
      <c r="B6903" s="7" t="n">
        <v>6901</v>
      </c>
      <c r="C6903" t="inlineStr">
        <is>
          <t>Kế Toán Trưởng Công Ty</t>
        </is>
      </c>
      <c r="D6903" t="inlineStr">
        <is>
          <t>CÔNG TY CỔ PHẦN ĐẦU TƯ VÀ XÂY LẮP HƯNG HÀ</t>
        </is>
      </c>
      <c r="E6903" t="inlineStr">
        <is>
          <t>25tr-35tr ₫/tháng</t>
        </is>
      </c>
      <c r="F6903" t="inlineStr">
        <is>
          <t>Hà Nội</t>
        </is>
      </c>
      <c r="G6903" t="inlineStr">
        <is>
          <t>Trưởng phòng</t>
        </is>
      </c>
      <c r="H6903" t="inlineStr">
        <is>
          <t>04/03/2026</t>
        </is>
      </c>
      <c r="I6903" t="inlineStr">
        <is>
          <t>03/04/2026</t>
        </is>
      </c>
      <c r="J6903" t="inlineStr">
        <is>
          <t>17/03/2026</t>
        </is>
      </c>
      <c r="K6903" t="inlineStr">
        <is>
          <t>N/A</t>
        </is>
      </c>
      <c r="L6903" t="inlineStr">
        <is>
          <t>Kế toán trưởng (CTA), Kế Toán Xây Dựng, Tổ chức xây dựng hệ thống kế toán, Báo cáo tài chính &amp; Thuế, Quản lý dòng tiền &amp; ngân sách</t>
        </is>
      </c>
      <c r="M6903" t="inlineStr">
        <is>
          <t>Bonus, Healthcare Plan, Training</t>
        </is>
      </c>
      <c r="N6903" s="8">
        <f>HYPERLINK("https://www.vietnamworks.com/ke-toan-truong-cong-ty-2017902-jv","Xem chi tiết")</f>
        <v/>
      </c>
    </row>
    <row r="6904">
      <c r="B6904" s="9" t="n">
        <v>6902</v>
      </c>
      <c r="C6904" s="10" t="inlineStr">
        <is>
          <t>Accounting Staff</t>
        </is>
      </c>
      <c r="D6904" s="10" t="inlineStr">
        <is>
          <t>Panasonic Appliances Vietnam</t>
        </is>
      </c>
      <c r="E6904" s="10" t="inlineStr">
        <is>
          <t>Thương lượng</t>
        </is>
      </c>
      <c r="F6904" s="10" t="inlineStr">
        <is>
          <t>Hưng Yên</t>
        </is>
      </c>
      <c r="G6904" s="10" t="inlineStr">
        <is>
          <t>Nhân viên</t>
        </is>
      </c>
      <c r="H6904" s="10" t="inlineStr">
        <is>
          <t>04/03/2026</t>
        </is>
      </c>
      <c r="I6904" s="10" t="inlineStr">
        <is>
          <t>03/04/2026</t>
        </is>
      </c>
      <c r="J6904" s="10" t="inlineStr">
        <is>
          <t>17/03/2026</t>
        </is>
      </c>
      <c r="K6904" s="10" t="inlineStr">
        <is>
          <t>N/A</t>
        </is>
      </c>
      <c r="L6904" s="10" t="inlineStr">
        <is>
          <t>Kế Toán, Thanh Toán, Payable Accounting, Payment, Accountant</t>
        </is>
      </c>
      <c r="M6904" s="10" t="inlineStr">
        <is>
          <t>Bonus, Healthcare Plan, Transportation</t>
        </is>
      </c>
      <c r="N6904" s="11">
        <f>HYPERLINK("https://www.vietnamworks.com/accounting-staff--2017904-jv","Xem chi tiết")</f>
        <v/>
      </c>
      <c r="O6904" s="10" t="n"/>
    </row>
    <row r="6905">
      <c r="B6905" s="7" t="n">
        <v>6903</v>
      </c>
      <c r="C6905" t="inlineStr">
        <is>
          <t>Cost and Inventory Control Assistant Manager</t>
        </is>
      </c>
      <c r="D6905" t="inlineStr">
        <is>
          <t>Rochdale Spears Co., Ltd.</t>
        </is>
      </c>
      <c r="E6905" t="inlineStr">
        <is>
          <t>Thương lượng</t>
        </is>
      </c>
      <c r="F6905" t="inlineStr">
        <is>
          <t>Bình Dương</t>
        </is>
      </c>
      <c r="G6905" t="inlineStr">
        <is>
          <t>Nhân viên</t>
        </is>
      </c>
      <c r="H6905" t="inlineStr">
        <is>
          <t>04/03/2026</t>
        </is>
      </c>
      <c r="I6905" t="inlineStr">
        <is>
          <t>03/04/2026</t>
        </is>
      </c>
      <c r="J6905" t="inlineStr">
        <is>
          <t>17/03/2026</t>
        </is>
      </c>
      <c r="K6905" t="inlineStr">
        <is>
          <t>N/A</t>
        </is>
      </c>
      <c r="L6905" t="inlineStr">
        <is>
          <t>Communication Skills, Cost Control, Dynamics 365, Financial Analysis, Inventory Management</t>
        </is>
      </c>
      <c r="M6905" t="inlineStr">
        <is>
          <t>Transportation</t>
        </is>
      </c>
      <c r="N6905" s="8">
        <f>HYPERLINK("https://www.vietnamworks.com/cost-and-inventory-control-assistant-manager-2017901-jv","Xem chi tiết")</f>
        <v/>
      </c>
    </row>
    <row r="6906">
      <c r="B6906" s="9" t="n">
        <v>6904</v>
      </c>
      <c r="C6906" s="10" t="inlineStr">
        <is>
          <t>Livestream Host Manager</t>
        </is>
      </c>
      <c r="D6906" s="10" t="inlineStr">
        <is>
          <t>Công Ty TNHH Onpoint</t>
        </is>
      </c>
      <c r="E6906" s="10" t="inlineStr">
        <is>
          <t>Thương lượng</t>
        </is>
      </c>
      <c r="F6906" s="10" t="inlineStr">
        <is>
          <t>Hồ Chí Minh</t>
        </is>
      </c>
      <c r="G6906" s="10" t="inlineStr">
        <is>
          <t>Trưởng phòng</t>
        </is>
      </c>
      <c r="H6906" s="10" t="inlineStr">
        <is>
          <t>04/03/2026</t>
        </is>
      </c>
      <c r="I6906" s="10" t="inlineStr">
        <is>
          <t>03/04/2026</t>
        </is>
      </c>
      <c r="J6906" s="10" t="inlineStr">
        <is>
          <t>17/03/2026</t>
        </is>
      </c>
      <c r="K6906" s="10" t="inlineStr">
        <is>
          <t>N/A</t>
        </is>
      </c>
      <c r="L6906" s="10" t="inlineStr">
        <is>
          <t>Livestream, KOL/KOC Management, Media Production, Digital Content Marketing, Communication</t>
        </is>
      </c>
      <c r="M6906" s="10" t="inlineStr">
        <is>
          <t>Bonus, Healthcare Plan, Paid Leave, Training, Laptop, Others</t>
        </is>
      </c>
      <c r="N6906" s="11">
        <f>HYPERLINK("https://www.vietnamworks.com/livestream-host-manager-2017903-jv","Xem chi tiết")</f>
        <v/>
      </c>
      <c r="O6906" s="10" t="n"/>
    </row>
    <row r="6907">
      <c r="B6907" s="7" t="n">
        <v>6905</v>
      </c>
      <c r="C6907" t="inlineStr">
        <is>
          <t>Recruitment Officer</t>
        </is>
      </c>
      <c r="D6907" t="inlineStr">
        <is>
          <t>The Grand Ho Tram</t>
        </is>
      </c>
      <c r="E6907" t="inlineStr">
        <is>
          <t>Thương lượng</t>
        </is>
      </c>
      <c r="F6907" t="inlineStr">
        <is>
          <t>Bà Rịa - Vũng Tàu</t>
        </is>
      </c>
      <c r="G6907" t="inlineStr">
        <is>
          <t>Nhân viên</t>
        </is>
      </c>
      <c r="H6907" t="inlineStr">
        <is>
          <t>04/03/2026</t>
        </is>
      </c>
      <c r="I6907" t="inlineStr">
        <is>
          <t>03/04/2026</t>
        </is>
      </c>
      <c r="J6907" t="inlineStr">
        <is>
          <t>17/03/2026</t>
        </is>
      </c>
      <c r="K6907" t="inlineStr">
        <is>
          <t>N/A</t>
        </is>
      </c>
      <c r="L6907" t="inlineStr">
        <is>
          <t>Interview Evaluation, Nhân Sự, Tuyển Dụng, Recruitment Planning, Sourcing CV</t>
        </is>
      </c>
      <c r="M6907" t="inlineStr">
        <is>
          <t>Paid Leave, Training, Transportation</t>
        </is>
      </c>
      <c r="N6907" s="8">
        <f>HYPERLINK("https://www.vietnamworks.com/recruitment-officer-2017905-jv","Xem chi tiết")</f>
        <v/>
      </c>
    </row>
    <row r="6908">
      <c r="B6908" s="9" t="n">
        <v>6906</v>
      </c>
      <c r="C6908" s="10" t="inlineStr">
        <is>
          <t>Sales Engineer 12-100 Tr (Thiết Bị Khí Nén E-MC &amp; Thanh Trượt SHAC)</t>
        </is>
      </c>
      <c r="D6908" s="10" t="inlineStr">
        <is>
          <t>Công Ty TNHH Kỹ Thương Việt Trung</t>
        </is>
      </c>
      <c r="E6908" s="10" t="inlineStr">
        <is>
          <t>$$ 500-4,000 /tháng</t>
        </is>
      </c>
      <c r="F6908" s="10" t="inlineStr">
        <is>
          <t>Hà Nội</t>
        </is>
      </c>
      <c r="G6908" s="10" t="inlineStr">
        <is>
          <t>Nhân viên</t>
        </is>
      </c>
      <c r="H6908" s="10" t="inlineStr">
        <is>
          <t>04/03/2026</t>
        </is>
      </c>
      <c r="I6908" s="10" t="inlineStr">
        <is>
          <t>03/04/2026</t>
        </is>
      </c>
      <c r="J6908" s="10" t="inlineStr">
        <is>
          <t>17/03/2026</t>
        </is>
      </c>
      <c r="K6908" s="10" t="inlineStr">
        <is>
          <t>N/A</t>
        </is>
      </c>
      <c r="L6908" s="10" t="inlineStr">
        <is>
          <t>Tư Vấn Kỹ Thuật, Kinh Doanh, Bán hàng, Bán Hàng Kỹ Thuật, Đàm Phán</t>
        </is>
      </c>
      <c r="M6908" s="10" t="inlineStr">
        <is>
          <t>Bonus, Healthcare Plan, Awards</t>
        </is>
      </c>
      <c r="N6908" s="11">
        <f>HYPERLINK("https://www.vietnamworks.com/sales-engineer-12-100-tr-thiet-bi-khi-nen-e-mc-thanh-truot-shac-2017908-jv","Xem chi tiết")</f>
        <v/>
      </c>
      <c r="O6908" s="10" t="n"/>
    </row>
    <row r="6909">
      <c r="B6909" s="7" t="n">
        <v>6907</v>
      </c>
      <c r="C6909" t="inlineStr">
        <is>
          <t>Logistics Staff</t>
        </is>
      </c>
      <c r="D6909" t="inlineStr">
        <is>
          <t>Công Ty TNHH Giải Pháp Số Tekbox Việt Nam</t>
        </is>
      </c>
      <c r="E6909" t="inlineStr">
        <is>
          <t>Thương lượng</t>
        </is>
      </c>
      <c r="F6909" t="inlineStr">
        <is>
          <t>Hồ Chí Minh</t>
        </is>
      </c>
      <c r="G6909" t="inlineStr">
        <is>
          <t>Mới Tốt Nghiệp</t>
        </is>
      </c>
      <c r="H6909" t="inlineStr">
        <is>
          <t>04/03/2026</t>
        </is>
      </c>
      <c r="I6909" t="inlineStr">
        <is>
          <t>03/04/2026</t>
        </is>
      </c>
      <c r="J6909" t="inlineStr">
        <is>
          <t>17/03/2026</t>
        </is>
      </c>
      <c r="K6909" t="inlineStr">
        <is>
          <t>N/A</t>
        </is>
      </c>
      <c r="L6909" t="inlineStr">
        <is>
          <t>Customs Declaration, English, International Trade, Shipping, Supply Chain</t>
        </is>
      </c>
      <c r="M6909" t="inlineStr">
        <is>
          <t>Bonus, Healthcare Plan, Team Activities</t>
        </is>
      </c>
      <c r="N6909" s="8">
        <f>HYPERLINK("https://www.vietnamworks.com/logistics-staff-2017925-jv","Xem chi tiết")</f>
        <v/>
      </c>
    </row>
    <row r="6910">
      <c r="B6910" s="9" t="n">
        <v>6908</v>
      </c>
      <c r="C6910" s="10" t="inlineStr">
        <is>
          <t>Kỹ Sư Bảo Trì Điện</t>
        </is>
      </c>
      <c r="D6910" s="10" t="inlineStr">
        <is>
          <t>Công Ty TNHH Khí Công Nghiệp Messer Việt Nam</t>
        </is>
      </c>
      <c r="E6910" s="10" t="inlineStr">
        <is>
          <t>9tr-14tr ₫/tháng</t>
        </is>
      </c>
      <c r="F6910" s="10" t="inlineStr">
        <is>
          <t>Long An, Hải Dương</t>
        </is>
      </c>
      <c r="G6910" s="10" t="inlineStr">
        <is>
          <t>Nhân viên</t>
        </is>
      </c>
      <c r="H6910" s="10" t="inlineStr">
        <is>
          <t>04/03/2026</t>
        </is>
      </c>
      <c r="I6910" s="10" t="inlineStr">
        <is>
          <t>03/04/2026</t>
        </is>
      </c>
      <c r="J6910" s="10" t="inlineStr">
        <is>
          <t>17/03/2026</t>
        </is>
      </c>
      <c r="K6910" s="10" t="inlineStr">
        <is>
          <t>N/A</t>
        </is>
      </c>
      <c r="L6910" s="10" t="inlineStr">
        <is>
          <t>Electrical Engineering</t>
        </is>
      </c>
      <c r="M6910" s="10" t="inlineStr">
        <is>
          <t>Bonus, Healthcare Plan, Travel Opportunities</t>
        </is>
      </c>
      <c r="N6910" s="11">
        <f>HYPERLINK("https://www.vietnamworks.com/ky-su-bao-tri-djien-2017927-jv","Xem chi tiết")</f>
        <v/>
      </c>
      <c r="O6910" s="10" t="n"/>
    </row>
    <row r="6911">
      <c r="B6911" s="7" t="n">
        <v>6909</v>
      </c>
      <c r="C6911" t="inlineStr">
        <is>
          <t>Nhân Viên Kỹ Thuật Ngành Dụng Cụ Cơ Khí, Hàng Công Nghiệp</t>
        </is>
      </c>
      <c r="D6911" t="inlineStr">
        <is>
          <t>Công Ty Cổ Phần Công Nghệ PAC Việt Nam</t>
        </is>
      </c>
      <c r="E6911" t="inlineStr">
        <is>
          <t>15tr-20tr ₫/tháng</t>
        </is>
      </c>
      <c r="F6911" t="inlineStr">
        <is>
          <t>Hà Nội</t>
        </is>
      </c>
      <c r="G6911" t="inlineStr">
        <is>
          <t>Nhân viên</t>
        </is>
      </c>
      <c r="H6911" t="inlineStr">
        <is>
          <t>04/03/2026</t>
        </is>
      </c>
      <c r="I6911" t="inlineStr">
        <is>
          <t>03/04/2026</t>
        </is>
      </c>
      <c r="J6911" t="inlineStr">
        <is>
          <t>17/03/2026</t>
        </is>
      </c>
      <c r="K6911" t="inlineStr">
        <is>
          <t>N/A</t>
        </is>
      </c>
      <c r="L6911" t="inlineStr">
        <is>
          <t>Bán Hàng Kỹ Thuật Dụng Cụ Cơ Khí, Sales Engineering, Kinh Doanh Thiết Bị Cơ Khí, Kỹ Thuật CNC, Gia Công CNC</t>
        </is>
      </c>
      <c r="M6911" t="inlineStr">
        <is>
          <t>Bonus, Training, Laptop</t>
        </is>
      </c>
      <c r="N6911" s="8">
        <f>HYPERLINK("https://www.vietnamworks.com/nhan-vien-ky-thuat-nganh-dung-cu-co-khi-hang-cong-nghiep--2017909-jv","Xem chi tiết")</f>
        <v/>
      </c>
    </row>
    <row r="6912">
      <c r="B6912" s="9" t="n">
        <v>6910</v>
      </c>
      <c r="C6912" s="10" t="inlineStr">
        <is>
          <t>Power BI Report Developer</t>
        </is>
      </c>
      <c r="D6912" s="10" t="inlineStr">
        <is>
          <t>Damen Song Cam Shipyard (Dscs)</t>
        </is>
      </c>
      <c r="E6912" s="10" t="inlineStr">
        <is>
          <t>Thương lượng</t>
        </is>
      </c>
      <c r="F6912" s="10" t="inlineStr">
        <is>
          <t>Hải Phòng</t>
        </is>
      </c>
      <c r="G6912" s="10" t="inlineStr">
        <is>
          <t>Nhân viên</t>
        </is>
      </c>
      <c r="H6912" s="10" t="inlineStr">
        <is>
          <t>04/03/2026</t>
        </is>
      </c>
      <c r="I6912" s="10" t="inlineStr">
        <is>
          <t>03/04/2026</t>
        </is>
      </c>
      <c r="J6912" s="10" t="inlineStr">
        <is>
          <t>17/03/2026</t>
        </is>
      </c>
      <c r="K6912" s="10" t="inlineStr">
        <is>
          <t>N/A</t>
        </is>
      </c>
      <c r="L6912" s="10" t="inlineStr">
        <is>
          <t>Database Design, Data Analysis, Power BI, Data Engineering</t>
        </is>
      </c>
      <c r="M6912" s="10" t="inlineStr">
        <is>
          <t>Bonus, Healthcare Plan, Others</t>
        </is>
      </c>
      <c r="N6912" s="11">
        <f>HYPERLINK("https://www.vietnamworks.com/power-bi-report-developer-2017917-jv","Xem chi tiết")</f>
        <v/>
      </c>
      <c r="O6912" s="10" t="n"/>
    </row>
    <row r="6913">
      <c r="B6913" s="7" t="n">
        <v>6911</v>
      </c>
      <c r="C6913" t="inlineStr">
        <is>
          <t>Nhân Viên Thiết Kế Truyền Thông</t>
        </is>
      </c>
      <c r="D6913" t="inlineStr">
        <is>
          <t>Sunjin Vina Co., Ltd</t>
        </is>
      </c>
      <c r="E6913" t="inlineStr">
        <is>
          <t>$$ 500-700 /tháng</t>
        </is>
      </c>
      <c r="F6913" t="inlineStr">
        <is>
          <t>Hồ Chí Minh</t>
        </is>
      </c>
      <c r="G6913" t="inlineStr">
        <is>
          <t>Nhân viên</t>
        </is>
      </c>
      <c r="H6913" t="inlineStr">
        <is>
          <t>04/03/2026</t>
        </is>
      </c>
      <c r="I6913" t="inlineStr">
        <is>
          <t>03/04/2026</t>
        </is>
      </c>
      <c r="J6913" t="inlineStr">
        <is>
          <t>17/03/2026</t>
        </is>
      </c>
      <c r="K6913" t="inlineStr">
        <is>
          <t>N/A</t>
        </is>
      </c>
      <c r="L6913" t="inlineStr">
        <is>
          <t>Public Relation Management, Internal Communications, Photoshop, Photoshop AI, Photoshop Illustrator</t>
        </is>
      </c>
      <c r="M6913" t="inlineStr">
        <is>
          <t>Laptop, Transportation, Others</t>
        </is>
      </c>
      <c r="N6913" s="8">
        <f>HYPERLINK("https://www.vietnamworks.com/nhan-vien-thiet-ke-truyen-thong--2017920-jv","Xem chi tiết")</f>
        <v/>
      </c>
    </row>
    <row r="6914">
      <c r="B6914" s="9" t="n">
        <v>6912</v>
      </c>
      <c r="C6914" s="10" t="inlineStr">
        <is>
          <t>Nhân Viên Kinh Doanh Máy Bơm Công Nghiệp và Thiết Bị Ngành Nước</t>
        </is>
      </c>
      <c r="D6914" s="10" t="inlineStr">
        <is>
          <t>CÔNG TY CP SÀI GÒN CÔNG NGHỆ NƯỚC</t>
        </is>
      </c>
      <c r="E6914" s="10" t="inlineStr">
        <is>
          <t>20tr-30tr ₫/tháng</t>
        </is>
      </c>
      <c r="F6914" s="10" t="inlineStr">
        <is>
          <t>Hà Nội</t>
        </is>
      </c>
      <c r="G6914" s="10" t="inlineStr">
        <is>
          <t>Nhân viên</t>
        </is>
      </c>
      <c r="H6914" s="10" t="inlineStr">
        <is>
          <t>04/03/2026</t>
        </is>
      </c>
      <c r="I6914" s="10" t="inlineStr">
        <is>
          <t>03/04/2026</t>
        </is>
      </c>
      <c r="J6914" s="10" t="inlineStr">
        <is>
          <t>17/03/2026</t>
        </is>
      </c>
      <c r="K6914" s="10" t="inlineStr">
        <is>
          <t>N/A</t>
        </is>
      </c>
      <c r="L6914" s="10" t="inlineStr">
        <is>
          <t>Kinh Doanh, Giao Tiếp, Thành thạo Công Cụ Văn Phòng, Bán Hàng Dự Án, năng động</t>
        </is>
      </c>
      <c r="M6914" s="10" t="inlineStr">
        <is>
          <t>Healthcare Plan, Training, Others</t>
        </is>
      </c>
      <c r="N6914" s="11">
        <f>HYPERLINK("https://www.vietnamworks.com/nhan-vien-kinh-doanh-may-bom-cong-nghiep-va-thiet-bi-nganh-nuoc-2017919-jv","Xem chi tiết")</f>
        <v/>
      </c>
      <c r="O6914" s="10" t="n"/>
    </row>
    <row r="6915">
      <c r="B6915" s="7" t="n">
        <v>6913</v>
      </c>
      <c r="C6915" t="inlineStr">
        <is>
          <t>Chuyên Viên Marketing Và Phát Triển Địa Phương (Local Trade Marketing)</t>
        </is>
      </c>
      <c r="D6915" t="inlineStr">
        <is>
          <t>Vietnamworks' Client</t>
        </is>
      </c>
      <c r="E6915" t="inlineStr">
        <is>
          <t>9tr-16tr ₫/tháng</t>
        </is>
      </c>
      <c r="F6915" t="inlineStr">
        <is>
          <t>Hà Nội, Cần Thơ, Đắk Lắk</t>
        </is>
      </c>
      <c r="G6915" t="inlineStr">
        <is>
          <t>Nhân viên</t>
        </is>
      </c>
      <c r="H6915" t="inlineStr">
        <is>
          <t>04/03/2026</t>
        </is>
      </c>
      <c r="I6915" t="inlineStr">
        <is>
          <t>03/04/2026</t>
        </is>
      </c>
      <c r="J6915" t="inlineStr">
        <is>
          <t>17/03/2026</t>
        </is>
      </c>
      <c r="K6915" t="inlineStr">
        <is>
          <t>N/A</t>
        </is>
      </c>
      <c r="L6915" t="inlineStr">
        <is>
          <t>Communication, Event Marketing, Kinh Doanh B2B, Partnership Development, Trade Marketing</t>
        </is>
      </c>
      <c r="M6915" t="inlineStr">
        <is>
          <t>Bonus, Others</t>
        </is>
      </c>
      <c r="N6915" s="8">
        <f>HYPERLINK("https://www.vietnamworks.com/chuyen-vien-marketing-va-phat-trien-djia-phuong-local-trade-marketing-2017929-jv","Xem chi tiết")</f>
        <v/>
      </c>
    </row>
    <row r="6916">
      <c r="B6916" s="9" t="n">
        <v>6914</v>
      </c>
      <c r="C6916" s="10" t="inlineStr">
        <is>
          <t>Giám Sát Công Trình MEP (Chứng Chỉ Hạng 2)</t>
        </is>
      </c>
      <c r="D6916" s="10" t="inlineStr">
        <is>
          <t>Tasco Joint Stock Company</t>
        </is>
      </c>
      <c r="E6916" s="10" t="inlineStr">
        <is>
          <t>Thương lượng</t>
        </is>
      </c>
      <c r="F6916" s="10" t="inlineStr">
        <is>
          <t>Hà Nội, Hồ Chí Minh</t>
        </is>
      </c>
      <c r="G6916" s="10" t="inlineStr">
        <is>
          <t>Nhân viên</t>
        </is>
      </c>
      <c r="H6916" s="10" t="inlineStr">
        <is>
          <t>04/03/2026</t>
        </is>
      </c>
      <c r="I6916" s="10" t="inlineStr">
        <is>
          <t>03/04/2026</t>
        </is>
      </c>
      <c r="J6916" s="10" t="inlineStr">
        <is>
          <t>17/03/2026</t>
        </is>
      </c>
      <c r="K6916" s="10" t="inlineStr">
        <is>
          <t>N/A</t>
        </is>
      </c>
      <c r="L6916" s="10" t="inlineStr">
        <is>
          <t>cad, Cơ Điện, Giám Sát Công Trình, Làm Việc Nhóm, Điện</t>
        </is>
      </c>
      <c r="M6916" s="10" t="inlineStr">
        <is>
          <t>Bonus, Healthcare Plan, Others</t>
        </is>
      </c>
      <c r="N6916" s="11">
        <f>HYPERLINK("https://www.vietnamworks.com/giam-sat-cong-trinh-mep-chung-chi-hang-2-2017922-jv","Xem chi tiết")</f>
        <v/>
      </c>
      <c r="O6916" s="10" t="n"/>
    </row>
    <row r="6917">
      <c r="B6917" s="7" t="n">
        <v>6915</v>
      </c>
      <c r="C6917" t="inlineStr">
        <is>
          <t>Giám Đốc Trung Tâm Kinh Doanh</t>
        </is>
      </c>
      <c r="D6917" t="inlineStr">
        <is>
          <t>Công Ty Cổ Phần HTC Viễn Thông Quốc Tế</t>
        </is>
      </c>
      <c r="E6917" t="inlineStr">
        <is>
          <t>Thương lượng</t>
        </is>
      </c>
      <c r="F6917" t="inlineStr">
        <is>
          <t>Hà Nội</t>
        </is>
      </c>
      <c r="G6917" t="inlineStr">
        <is>
          <t>Giám Đốc và Cấp Cao Hơn</t>
        </is>
      </c>
      <c r="H6917" t="inlineStr">
        <is>
          <t>04/03/2026</t>
        </is>
      </c>
      <c r="I6917" t="inlineStr">
        <is>
          <t>03/04/2026</t>
        </is>
      </c>
      <c r="J6917" t="inlineStr">
        <is>
          <t>17/03/2026</t>
        </is>
      </c>
      <c r="K6917" t="inlineStr">
        <is>
          <t>N/A</t>
        </is>
      </c>
      <c r="L6917" t="inlineStr">
        <is>
          <t>Quản Lý Kinh Doanh, Bán Hàng B2B, Quản Lý KPI, Network, Quy Trình Công Nghệ</t>
        </is>
      </c>
      <c r="M6917" t="inlineStr">
        <is>
          <t>Bonus, Healthcare Plan, Training, Others</t>
        </is>
      </c>
      <c r="N6917" s="8">
        <f>HYPERLINK("https://www.vietnamworks.com/giam-doc-trung-tam-kinh-doanh--2017911-jv","Xem chi tiết")</f>
        <v/>
      </c>
    </row>
    <row r="6918">
      <c r="B6918" s="9" t="n">
        <v>6916</v>
      </c>
      <c r="C6918" s="10" t="inlineStr">
        <is>
          <t>Chuyên Viên Quy Hoạch (Phát Triển Dự Án)</t>
        </is>
      </c>
      <c r="D6918" s="10" t="inlineStr">
        <is>
          <t>Công Ty Cổ Phần Tập đoàn Đầu tư Thái Nam</t>
        </is>
      </c>
      <c r="E6918" s="10" t="inlineStr">
        <is>
          <t>Thương lượng</t>
        </is>
      </c>
      <c r="F6918" s="10" t="inlineStr">
        <is>
          <t>Hà Nội</t>
        </is>
      </c>
      <c r="G6918" s="10" t="inlineStr">
        <is>
          <t>Nhân viên</t>
        </is>
      </c>
      <c r="H6918" s="10" t="inlineStr">
        <is>
          <t>04/03/2026</t>
        </is>
      </c>
      <c r="I6918" s="10" t="inlineStr">
        <is>
          <t>03/04/2026</t>
        </is>
      </c>
      <c r="J6918" s="10" t="inlineStr">
        <is>
          <t>17/03/2026</t>
        </is>
      </c>
      <c r="K6918" s="10" t="inlineStr">
        <is>
          <t>N/A</t>
        </is>
      </c>
      <c r="L6918" s="10" t="inlineStr">
        <is>
          <t>Kỹ năng giao tiếp, Kỹ Năng Thuyết Trình, Lập Quy Hoạch</t>
        </is>
      </c>
      <c r="M6918" s="10" t="inlineStr">
        <is>
          <t>Bonus, Healthcare Plan, Paid Leave, Training, Laptop, Others</t>
        </is>
      </c>
      <c r="N6918" s="11">
        <f>HYPERLINK("https://www.vietnamworks.com/chuyen-vien-quy-hoach-phat-trien-du-an-2017931-jv","Xem chi tiết")</f>
        <v/>
      </c>
      <c r="O6918" s="10" t="n"/>
    </row>
    <row r="6919">
      <c r="B6919" s="7" t="n">
        <v>6917</v>
      </c>
      <c r="C6919" t="inlineStr">
        <is>
          <t>Senior Account Manager (Labc)</t>
        </is>
      </c>
      <c r="D6919" t="inlineStr">
        <is>
          <t>Công Ty Cổ Phần DatVietVAC Group Holdings</t>
        </is>
      </c>
      <c r="E6919" t="inlineStr">
        <is>
          <t>Thương lượng</t>
        </is>
      </c>
      <c r="F6919" t="inlineStr">
        <is>
          <t>Hồ Chí Minh</t>
        </is>
      </c>
      <c r="G6919" t="inlineStr">
        <is>
          <t>Trưởng phòng</t>
        </is>
      </c>
      <c r="H6919" t="inlineStr">
        <is>
          <t>04/03/2026</t>
        </is>
      </c>
      <c r="I6919" t="inlineStr">
        <is>
          <t>03/04/2026</t>
        </is>
      </c>
      <c r="J6919" t="inlineStr">
        <is>
          <t>17/03/2026</t>
        </is>
      </c>
      <c r="K6919" t="inlineStr">
        <is>
          <t>N/A</t>
        </is>
      </c>
      <c r="L6919" t="inlineStr">
        <is>
          <t>Influencer &amp; KOL Management, Account Relationship Management, Planning Management, Communication and negotiation skills, English Language Proficiency</t>
        </is>
      </c>
      <c r="M6919" t="inlineStr">
        <is>
          <t>Bonus, Healthcare Plan, Paid Leave</t>
        </is>
      </c>
      <c r="N6919" s="8">
        <f>HYPERLINK("https://www.vietnamworks.com/senior-account-manager-labc-2017921-jv","Xem chi tiết")</f>
        <v/>
      </c>
    </row>
    <row r="6920">
      <c r="B6920" s="9" t="n">
        <v>6918</v>
      </c>
      <c r="C6920" s="10" t="inlineStr">
        <is>
          <t>Content Writer</t>
        </is>
      </c>
      <c r="D6920" s="10" t="inlineStr">
        <is>
          <t>Rubik Solutions ltd.</t>
        </is>
      </c>
      <c r="E6920" s="10" t="inlineStr">
        <is>
          <t>Thương lượng</t>
        </is>
      </c>
      <c r="F6920" s="10" t="inlineStr">
        <is>
          <t>Hồ Chí Minh</t>
        </is>
      </c>
      <c r="G6920" s="10" t="inlineStr">
        <is>
          <t>Nhân viên</t>
        </is>
      </c>
      <c r="H6920" s="10" t="inlineStr">
        <is>
          <t>04/03/2026</t>
        </is>
      </c>
      <c r="I6920" s="10" t="inlineStr">
        <is>
          <t>03/04/2026</t>
        </is>
      </c>
      <c r="J6920" s="10" t="inlineStr">
        <is>
          <t>17/03/2026</t>
        </is>
      </c>
      <c r="K6920" s="10" t="inlineStr">
        <is>
          <t>N/A</t>
        </is>
      </c>
      <c r="L6920" s="10" t="inlineStr">
        <is>
          <t>Content Creation, Copywriting, Digital Storytelling, SEO Optimization</t>
        </is>
      </c>
      <c r="M6920" s="10" t="inlineStr">
        <is>
          <t>Bonus, Healthcare Plan, Paid Leave, Training</t>
        </is>
      </c>
      <c r="N6920" s="11">
        <f>HYPERLINK("https://www.vietnamworks.com/content-writer-2017906-jv","Xem chi tiết")</f>
        <v/>
      </c>
      <c r="O6920" s="10" t="n"/>
    </row>
    <row r="6921">
      <c r="B6921" s="7" t="n">
        <v>6919</v>
      </c>
      <c r="C6921" t="inlineStr">
        <is>
          <t>Air Import Document Staff</t>
        </is>
      </c>
      <c r="D6921" t="inlineStr">
        <is>
          <t>Công Ty TNHH Saeyoung Logistics Việt Nam</t>
        </is>
      </c>
      <c r="E6921" t="inlineStr">
        <is>
          <t>600-700 ₫/tháng</t>
        </is>
      </c>
      <c r="F6921" t="inlineStr">
        <is>
          <t>Hà Nội</t>
        </is>
      </c>
      <c r="G6921" t="inlineStr">
        <is>
          <t>Nhân viên</t>
        </is>
      </c>
      <c r="H6921" t="inlineStr">
        <is>
          <t>04/03/2026</t>
        </is>
      </c>
      <c r="I6921" t="inlineStr">
        <is>
          <t>03/04/2026</t>
        </is>
      </c>
      <c r="J6921" t="inlineStr">
        <is>
          <t>17/03/2026</t>
        </is>
      </c>
      <c r="K6921" t="inlineStr">
        <is>
          <t>N/A</t>
        </is>
      </c>
      <c r="L6921" t="inlineStr">
        <is>
          <t>Xuất Nhập Khẩu, Economics, Foreign Trade, Logistics, Air freight knowledge</t>
        </is>
      </c>
      <c r="M6921" t="inlineStr">
        <is>
          <t>Bonus, Training, Travel Opportunities</t>
        </is>
      </c>
      <c r="N6921" s="8">
        <f>HYPERLINK("https://www.vietnamworks.com/air-import-document-staff-2017915-jv","Xem chi tiết")</f>
        <v/>
      </c>
    </row>
    <row r="6922">
      <c r="B6922" s="9" t="n">
        <v>6920</v>
      </c>
      <c r="C6922" s="10" t="inlineStr">
        <is>
          <t>Phụ Trách Hệ Thống Quản Lý Vận Tải &amp; Dự Án Logistics</t>
        </is>
      </c>
      <c r="D6922" s="10" t="inlineStr">
        <is>
          <t>Công Ty TNHH Khí Công Nghiệp Messer Việt Nam</t>
        </is>
      </c>
      <c r="E6922" s="10" t="inlineStr">
        <is>
          <t>Thương lượng</t>
        </is>
      </c>
      <c r="F6922" s="10" t="inlineStr">
        <is>
          <t>Hà Nội, Hải Phòng, Hồ Chí Minh</t>
        </is>
      </c>
      <c r="G6922" s="10" t="inlineStr">
        <is>
          <t>Nhân viên</t>
        </is>
      </c>
      <c r="H6922" s="10" t="inlineStr">
        <is>
          <t>04/03/2026</t>
        </is>
      </c>
      <c r="I6922" s="10" t="inlineStr">
        <is>
          <t>03/04/2026</t>
        </is>
      </c>
      <c r="J6922" s="10" t="inlineStr">
        <is>
          <t>17/03/2026</t>
        </is>
      </c>
      <c r="K6922" s="10" t="inlineStr">
        <is>
          <t>N/A</t>
        </is>
      </c>
      <c r="L6922" s="10" t="inlineStr">
        <is>
          <t>Project Management, Logistics, Optimization, Supply Chain, TMS</t>
        </is>
      </c>
      <c r="M6922" s="10" t="inlineStr">
        <is>
          <t>Bonus, Training, Travel Opportunities</t>
        </is>
      </c>
      <c r="N6922" s="11">
        <f>HYPERLINK("https://www.vietnamworks.com/phu-trach-he-thong-quan-ly-van-tai-and-du-an-logistics-2017912-jv","Xem chi tiết")</f>
        <v/>
      </c>
      <c r="O6922" s="10" t="n"/>
    </row>
    <row r="6923">
      <c r="B6923" s="7" t="n">
        <v>6921</v>
      </c>
      <c r="C6923" t="inlineStr">
        <is>
          <t>IQC Leader (Trưởng Nhóm Quản Lý Chất Lượng Nguyên Vật Liệu Đầu Vào)</t>
        </is>
      </c>
      <c r="D6923" t="inlineStr">
        <is>
          <t>Công Ty TNHH Ariston Việt Nam</t>
        </is>
      </c>
      <c r="E6923" t="inlineStr">
        <is>
          <t>Thương lượng</t>
        </is>
      </c>
      <c r="F6923" t="inlineStr">
        <is>
          <t>Bắc Ninh, Hà Nội</t>
        </is>
      </c>
      <c r="G6923" t="inlineStr">
        <is>
          <t>Trưởng phòng</t>
        </is>
      </c>
      <c r="H6923" t="inlineStr">
        <is>
          <t>04/03/2026</t>
        </is>
      </c>
      <c r="I6923" t="inlineStr">
        <is>
          <t>03/04/2026</t>
        </is>
      </c>
      <c r="J6923" t="inlineStr">
        <is>
          <t>17/03/2026</t>
        </is>
      </c>
      <c r="K6923" t="inlineStr">
        <is>
          <t>N/A</t>
        </is>
      </c>
      <c r="L6923" t="inlineStr">
        <is>
          <t>QMS Management, ISO, QA/ QC, 8D Report, Lean Manufacturing</t>
        </is>
      </c>
      <c r="M6923" t="inlineStr">
        <is>
          <t>Healthcare Plan, Team Activities, Canteen</t>
        </is>
      </c>
      <c r="N6923" s="8">
        <f>HYPERLINK("https://www.vietnamworks.com/iqc-leader-truong-nhom-quan-ly-chat-luong-nguyen-vat-lieu-dau-vao--2017914-jv","Xem chi tiết")</f>
        <v/>
      </c>
    </row>
    <row r="6924">
      <c r="B6924" s="9" t="n">
        <v>6922</v>
      </c>
      <c r="C6924" s="10" t="inlineStr">
        <is>
          <t>Product Manager</t>
        </is>
      </c>
      <c r="D6924" s="10" t="inlineStr">
        <is>
          <t>Reddy</t>
        </is>
      </c>
      <c r="E6924" s="10" t="inlineStr">
        <is>
          <t>Thương lượng</t>
        </is>
      </c>
      <c r="F6924" s="10" t="inlineStr">
        <is>
          <t>Hồ Chí Minh</t>
        </is>
      </c>
      <c r="G6924" s="10" t="inlineStr">
        <is>
          <t>Nhân viên</t>
        </is>
      </c>
      <c r="H6924" s="10" t="inlineStr">
        <is>
          <t>04/03/2026</t>
        </is>
      </c>
      <c r="I6924" s="10" t="inlineStr">
        <is>
          <t>03/04/2026</t>
        </is>
      </c>
      <c r="J6924" s="10" t="inlineStr">
        <is>
          <t>17/03/2026</t>
        </is>
      </c>
      <c r="K6924" s="10" t="inlineStr">
        <is>
          <t>N/A</t>
        </is>
      </c>
      <c r="L6924" s="10" t="inlineStr">
        <is>
          <t>pharmaceutical, Product Management, ETC, Oncology, Kol Management</t>
        </is>
      </c>
      <c r="M6924" s="10" t="inlineStr">
        <is>
          <t>Bonus, Healthcare Plan, Others</t>
        </is>
      </c>
      <c r="N6924" s="11">
        <f>HYPERLINK("https://www.vietnamworks.com/product-manager--2017928-jv","Xem chi tiết")</f>
        <v/>
      </c>
      <c r="O6924" s="10" t="n"/>
    </row>
    <row r="6925">
      <c r="B6925" s="7" t="n">
        <v>6923</v>
      </c>
      <c r="C6925" t="inlineStr">
        <is>
          <t>Chuyên Viên Kỹ Thuật Hạ Tầng</t>
        </is>
      </c>
      <c r="D6925" t="inlineStr">
        <is>
          <t>Công ty CP Xây Dựng và Lắp Máy Trung Nam</t>
        </is>
      </c>
      <c r="E6925" t="inlineStr">
        <is>
          <t>Thương lượng</t>
        </is>
      </c>
      <c r="F6925" t="inlineStr">
        <is>
          <t>Hồ Chí Minh</t>
        </is>
      </c>
      <c r="G6925" t="inlineStr">
        <is>
          <t>Nhân viên</t>
        </is>
      </c>
      <c r="H6925" t="inlineStr">
        <is>
          <t>04/03/2026</t>
        </is>
      </c>
      <c r="I6925" t="inlineStr">
        <is>
          <t>03/04/2026</t>
        </is>
      </c>
      <c r="J6925" t="inlineStr">
        <is>
          <t>17/03/2026</t>
        </is>
      </c>
      <c r="K6925" t="inlineStr">
        <is>
          <t>N/A</t>
        </is>
      </c>
      <c r="L6925" t="inlineStr">
        <is>
          <t>An Toàn Lao Động, Giám Sát Thi Công, Hạ Tầng Kỹ Thuật, Luật Xây Dựng, Đấu Thầu</t>
        </is>
      </c>
      <c r="M6925" t="inlineStr">
        <is>
          <t>Bonus, Training, Others</t>
        </is>
      </c>
      <c r="N6925" s="8">
        <f>HYPERLINK("https://www.vietnamworks.com/chuyen-vien-ky-thuat-ha-tang-2017930-jv","Xem chi tiết")</f>
        <v/>
      </c>
    </row>
    <row r="6926">
      <c r="B6926" s="9" t="n">
        <v>6924</v>
      </c>
      <c r="C6926" s="10" t="inlineStr">
        <is>
          <t>Senior Vendor Acquisition (Enterprise)</t>
        </is>
      </c>
      <c r="D6926" s="10" t="inlineStr">
        <is>
          <t>Công Ty TNHH Onpoint</t>
        </is>
      </c>
      <c r="E6926" s="10" t="inlineStr">
        <is>
          <t>Thương lượng</t>
        </is>
      </c>
      <c r="F6926" s="10" t="inlineStr">
        <is>
          <t>Hồ Chí Minh</t>
        </is>
      </c>
      <c r="G6926" s="10" t="inlineStr">
        <is>
          <t>Nhân viên</t>
        </is>
      </c>
      <c r="H6926" s="10" t="inlineStr">
        <is>
          <t>04/03/2026</t>
        </is>
      </c>
      <c r="I6926" s="10" t="inlineStr">
        <is>
          <t>03/04/2026</t>
        </is>
      </c>
      <c r="J6926" s="10" t="inlineStr">
        <is>
          <t>17/03/2026</t>
        </is>
      </c>
      <c r="K6926" s="10" t="inlineStr">
        <is>
          <t>N/A</t>
        </is>
      </c>
      <c r="L6926" s="10" t="inlineStr">
        <is>
          <t>Business Development, Account Management, B2B Sales, Sales Planning, Partnership Development</t>
        </is>
      </c>
      <c r="M6926" s="10" t="inlineStr">
        <is>
          <t>Bonus, Healthcare Plan, Paid Leave, Laptop, Others</t>
        </is>
      </c>
      <c r="N6926" s="11">
        <f>HYPERLINK("https://www.vietnamworks.com/senior-vendor-acquisition-enterprise-2017926-jv","Xem chi tiết")</f>
        <v/>
      </c>
      <c r="O6926" s="10" t="n"/>
    </row>
    <row r="6927">
      <c r="B6927" s="7" t="n">
        <v>6925</v>
      </c>
      <c r="C6927" t="inlineStr">
        <is>
          <t>Chuyên Viên Phân Tích Dữ Liệu</t>
        </is>
      </c>
      <c r="D6927" t="inlineStr">
        <is>
          <t>CÔNG TY CỔ PHẦN TƯ VẤN QUẢN TRỊ &amp; TÀI CHÍNH VIỆT NAM</t>
        </is>
      </c>
      <c r="E6927" t="inlineStr">
        <is>
          <t>10tr-15tr ₫/tháng</t>
        </is>
      </c>
      <c r="F6927" t="inlineStr">
        <is>
          <t>Hà Nội</t>
        </is>
      </c>
      <c r="G6927" t="inlineStr">
        <is>
          <t>Trưởng phòng</t>
        </is>
      </c>
      <c r="H6927" t="inlineStr">
        <is>
          <t>04/03/2026</t>
        </is>
      </c>
      <c r="I6927" t="inlineStr">
        <is>
          <t>19/03/2026</t>
        </is>
      </c>
      <c r="J6927" t="inlineStr">
        <is>
          <t>17/03/2026</t>
        </is>
      </c>
      <c r="K6927" t="inlineStr">
        <is>
          <t>N/A</t>
        </is>
      </c>
      <c r="L6927" t="inlineStr">
        <is>
          <t>Tài Chính Doanh Nghiệp, Báo Cáo Quản Trị, Data Analytics, Power BI, Quản Trị Dữ Liệu</t>
        </is>
      </c>
      <c r="M6927" t="inlineStr">
        <is>
          <t>Bonus, Training, Team Activities, Others</t>
        </is>
      </c>
      <c r="N6927" s="8">
        <f>HYPERLINK("https://www.vietnamworks.com/chuyen-vien-phan-tich-du-lieu-2017934-jv","Xem chi tiết")</f>
        <v/>
      </c>
    </row>
    <row r="6928">
      <c r="B6928" s="9" t="n">
        <v>6926</v>
      </c>
      <c r="C6928" s="10" t="inlineStr">
        <is>
          <t>Sales Staff in HN (Women) and HCMC (Women and Men)</t>
        </is>
      </c>
      <c r="D6928" s="10" t="inlineStr">
        <is>
          <t>CÔNG TY TNHH TSUBACO VIỆT NAM</t>
        </is>
      </c>
      <c r="E6928" s="10" t="inlineStr">
        <is>
          <t>14tr-24tr ₫/tháng</t>
        </is>
      </c>
      <c r="F6928" s="10" t="inlineStr">
        <is>
          <t>Hồ Chí Minh, Hà Nội</t>
        </is>
      </c>
      <c r="G6928" s="10" t="inlineStr">
        <is>
          <t>Nhân viên</t>
        </is>
      </c>
      <c r="H6928" s="10" t="inlineStr">
        <is>
          <t>04/03/2026</t>
        </is>
      </c>
      <c r="I6928" s="10" t="inlineStr">
        <is>
          <t>03/04/2026</t>
        </is>
      </c>
      <c r="J6928" s="10" t="inlineStr">
        <is>
          <t>17/03/2026</t>
        </is>
      </c>
      <c r="K6928" s="10" t="inlineStr">
        <is>
          <t>N/A</t>
        </is>
      </c>
      <c r="L6928" s="10" t="inlineStr">
        <is>
          <t>Mechanical Products, Relationship Maintaining, Sales Planning, Technical Sales, Kinh Doanh</t>
        </is>
      </c>
      <c r="M6928" s="10" t="inlineStr">
        <is>
          <t>Bonus, Others</t>
        </is>
      </c>
      <c r="N6928" s="11">
        <f>HYPERLINK("https://www.vietnamworks.com/sales-staff-in-hn-women-and-hcmc-women-and-men-2017916-jv","Xem chi tiết")</f>
        <v/>
      </c>
      <c r="O6928" s="10" t="n"/>
    </row>
    <row r="6929">
      <c r="B6929" s="7" t="n">
        <v>6927</v>
      </c>
      <c r="C6929" t="inlineStr">
        <is>
          <t>Relationship Supervisor (Elt/rs) ( Phỏng Vấn Trước Tết - Nhận Việc Sau Tết )</t>
        </is>
      </c>
      <c r="D6929" t="inlineStr">
        <is>
          <t>ILA Vietnam</t>
        </is>
      </c>
      <c r="E6929" t="inlineStr">
        <is>
          <t>$$ 700-800 /tháng</t>
        </is>
      </c>
      <c r="F6929" t="inlineStr">
        <is>
          <t>Hồ Chí Minh</t>
        </is>
      </c>
      <c r="G6929" t="inlineStr">
        <is>
          <t>Trưởng phòng</t>
        </is>
      </c>
      <c r="H6929" t="inlineStr">
        <is>
          <t>04/03/2026</t>
        </is>
      </c>
      <c r="I6929" t="inlineStr">
        <is>
          <t>03/04/2026</t>
        </is>
      </c>
      <c r="J6929" t="inlineStr">
        <is>
          <t>17/03/2026</t>
        </is>
      </c>
      <c r="K6929" t="inlineStr">
        <is>
          <t>N/A</t>
        </is>
      </c>
      <c r="L6929" t="inlineStr">
        <is>
          <t>Communication, Customer Service, Leadership Skills, Sales Management, Training Development</t>
        </is>
      </c>
      <c r="M6929" t="inlineStr">
        <is>
          <t>Bonus, Healthcare Plan, Laptop, Vouchers, Others</t>
        </is>
      </c>
      <c r="N6929" s="8">
        <f>HYPERLINK("https://www.vietnamworks.com/relationship-supervisor-eltrs-phong-van-truoc-tet-nhan-viec-sau-tet-2017924-jv","Xem chi tiết")</f>
        <v/>
      </c>
    </row>
    <row r="6930">
      <c r="B6930" s="9" t="n">
        <v>6928</v>
      </c>
      <c r="C6930" s="10" t="inlineStr">
        <is>
          <t>Kỹ Sư Xây Dựng (Không Yêu Cầu Kinh Nghiệm) - Upto 24Tr</t>
        </is>
      </c>
      <c r="D6930" s="10" t="inlineStr">
        <is>
          <t>Công Ty TNHH Sugiko Việt Nam</t>
        </is>
      </c>
      <c r="E6930" s="10" t="inlineStr">
        <is>
          <t>Tới 24tr ₫/tháng</t>
        </is>
      </c>
      <c r="F6930" s="10" t="inlineStr">
        <is>
          <t>Hà Nội</t>
        </is>
      </c>
      <c r="G6930" s="10" t="inlineStr">
        <is>
          <t>Mới Tốt Nghiệp</t>
        </is>
      </c>
      <c r="H6930" s="10" t="inlineStr">
        <is>
          <t>04/03/2026</t>
        </is>
      </c>
      <c r="I6930" s="10" t="inlineStr">
        <is>
          <t>03/04/2026</t>
        </is>
      </c>
      <c r="J6930" s="10" t="inlineStr">
        <is>
          <t>17/03/2026</t>
        </is>
      </c>
      <c r="K6930" s="10" t="inlineStr">
        <is>
          <t>N/A</t>
        </is>
      </c>
      <c r="L6930" s="10" t="inlineStr">
        <is>
          <t>Xây Dựng, Autocad, Tin Học Văn Phòng, Giao Tiếp Đàm Phán, Bóc Tách Khối Lượng</t>
        </is>
      </c>
      <c r="M6930" s="10" t="inlineStr">
        <is>
          <t>Bonus, Healthcare Plan, Paid Leave</t>
        </is>
      </c>
      <c r="N6930" s="11">
        <f>HYPERLINK("https://www.vietnamworks.com/ky-su-xay-dung-khong-yeu-cau-kinh-nghiem-upto-24tr-2017939-jv","Xem chi tiết")</f>
        <v/>
      </c>
      <c r="O6930" s="10" t="n"/>
    </row>
    <row r="6931">
      <c r="B6931" s="7" t="n">
        <v>6929</v>
      </c>
      <c r="C6931" t="inlineStr">
        <is>
          <t>Senior FP&amp;A (Quantity Surveying Background)</t>
        </is>
      </c>
      <c r="D6931" t="inlineStr">
        <is>
          <t>Novaland</t>
        </is>
      </c>
      <c r="E6931" t="inlineStr">
        <is>
          <t>Thương lượng</t>
        </is>
      </c>
      <c r="F6931" t="inlineStr">
        <is>
          <t>Hồ Chí Minh</t>
        </is>
      </c>
      <c r="G6931" t="inlineStr">
        <is>
          <t>Nhân viên</t>
        </is>
      </c>
      <c r="H6931" t="inlineStr">
        <is>
          <t>04/03/2026</t>
        </is>
      </c>
      <c r="I6931" t="inlineStr">
        <is>
          <t>03/04/2026</t>
        </is>
      </c>
      <c r="J6931" t="inlineStr">
        <is>
          <t>17/03/2026</t>
        </is>
      </c>
      <c r="K6931" t="inlineStr">
        <is>
          <t>N/A</t>
        </is>
      </c>
      <c r="L6931" t="inlineStr">
        <is>
          <t>QS, Quantity Surveyor, Budget and Contract Management, Cost Controlling, Construction Project</t>
        </is>
      </c>
      <c r="M6931" t="inlineStr">
        <is>
          <t>Bonus, Healthcare Plan, Awards</t>
        </is>
      </c>
      <c r="N6931" s="8">
        <f>HYPERLINK("https://www.vietnamworks.com/senior-fp-a-quantity-surveying-background-2017940-jv","Xem chi tiết")</f>
        <v/>
      </c>
    </row>
    <row r="6932">
      <c r="B6932" s="9" t="n">
        <v>6930</v>
      </c>
      <c r="C6932" s="10" t="inlineStr">
        <is>
          <t>Sales Admin - MT Channel</t>
        </is>
      </c>
      <c r="D6932" s="10" t="inlineStr">
        <is>
          <t>Betagen Vietnam Co., Ltd.</t>
        </is>
      </c>
      <c r="E6932" s="10" t="inlineStr">
        <is>
          <t>Thương lượng</t>
        </is>
      </c>
      <c r="F6932" s="10" t="inlineStr">
        <is>
          <t>Đà Nẵng</t>
        </is>
      </c>
      <c r="G6932" s="10" t="inlineStr">
        <is>
          <t>Nhân viên</t>
        </is>
      </c>
      <c r="H6932" s="10" t="inlineStr">
        <is>
          <t>04/03/2026</t>
        </is>
      </c>
      <c r="I6932" s="10" t="inlineStr">
        <is>
          <t>03/04/2026</t>
        </is>
      </c>
      <c r="J6932" s="10" t="inlineStr">
        <is>
          <t>17/03/2026</t>
        </is>
      </c>
      <c r="K6932" s="10" t="inlineStr">
        <is>
          <t>N/A</t>
        </is>
      </c>
      <c r="L6932" s="10" t="inlineStr">
        <is>
          <t>Sales Administration, FMCG, SAP, Excel, MT Channel</t>
        </is>
      </c>
      <c r="M6932" s="10" t="inlineStr">
        <is>
          <t>Bonus, Paid Leave, Others</t>
        </is>
      </c>
      <c r="N6932" s="11">
        <f>HYPERLINK("https://www.vietnamworks.com/sales-admin-mt-channel--2017935-jv","Xem chi tiết")</f>
        <v/>
      </c>
      <c r="O6932" s="10" t="n"/>
    </row>
    <row r="6933">
      <c r="B6933" s="7" t="n">
        <v>6931</v>
      </c>
      <c r="C6933" t="inlineStr">
        <is>
          <t>Giám đốc kinh doanh dự án</t>
        </is>
      </c>
      <c r="D6933" t="inlineStr">
        <is>
          <t>Công ty Cổ phần Tập đoàn Thép Poshaco</t>
        </is>
      </c>
      <c r="E6933" t="inlineStr">
        <is>
          <t>40tr-50tr ₫/tháng</t>
        </is>
      </c>
      <c r="F6933" t="inlineStr">
        <is>
          <t>Hà Nội</t>
        </is>
      </c>
      <c r="G6933" t="inlineStr">
        <is>
          <t>Giám Đốc và Cấp Cao Hơn</t>
        </is>
      </c>
      <c r="H6933" t="inlineStr">
        <is>
          <t>04/03/2026</t>
        </is>
      </c>
      <c r="I6933" t="inlineStr">
        <is>
          <t>03/04/2026</t>
        </is>
      </c>
      <c r="J6933" t="inlineStr">
        <is>
          <t>17/03/2026</t>
        </is>
      </c>
      <c r="K6933" t="inlineStr">
        <is>
          <t>N/A</t>
        </is>
      </c>
      <c r="L6933" t="inlineStr">
        <is>
          <t>Giao Tiếp, Phân Tích Dữ Liệu, Quản Trị Kinh Doanh, Quản Trị Đội Ngũ, Đàm Phán</t>
        </is>
      </c>
      <c r="M6933" t="inlineStr">
        <is>
          <t>Bonus, Healthcare Plan, Paid Leave, Others</t>
        </is>
      </c>
      <c r="N6933" s="8">
        <f>HYPERLINK("https://www.vietnamworks.com/giam-djoc-kinh-doanh-du-an-2017947-jv","Xem chi tiết")</f>
        <v/>
      </c>
    </row>
    <row r="6934">
      <c r="B6934" s="9" t="n">
        <v>6932</v>
      </c>
      <c r="C6934" s="10" t="inlineStr">
        <is>
          <t>Senior Revit Draftsperson (Architectural Documentation)</t>
        </is>
      </c>
      <c r="D6934" s="10" t="inlineStr">
        <is>
          <t>Hanna Digital Design</t>
        </is>
      </c>
      <c r="E6934" s="10" t="inlineStr">
        <is>
          <t>Thương lượng</t>
        </is>
      </c>
      <c r="F6934" s="10" t="inlineStr">
        <is>
          <t>Đà Nẵng, Hồ Chí Minh</t>
        </is>
      </c>
      <c r="G6934" s="10" t="inlineStr">
        <is>
          <t>Nhân viên</t>
        </is>
      </c>
      <c r="H6934" s="10" t="inlineStr">
        <is>
          <t>04/03/2026</t>
        </is>
      </c>
      <c r="I6934" s="10" t="inlineStr">
        <is>
          <t>03/04/2026</t>
        </is>
      </c>
      <c r="J6934" s="10" t="inlineStr">
        <is>
          <t>17/03/2026</t>
        </is>
      </c>
      <c r="K6934" s="10" t="inlineStr">
        <is>
          <t>N/A</t>
        </is>
      </c>
      <c r="L6934" s="10" t="inlineStr">
        <is>
          <t>Autocad Structural Detailing, Construction Design, English Communication, Quality Control, Revit</t>
        </is>
      </c>
      <c r="M6934" s="10" t="inlineStr">
        <is>
          <t>Bonus, Paid Leave, Training, Team Activities</t>
        </is>
      </c>
      <c r="N6934" s="11">
        <f>HYPERLINK("https://www.vietnamworks.com/senior-revit-draftsperson-architectural-documentation-2017944-jv","Xem chi tiết")</f>
        <v/>
      </c>
      <c r="O6934" s="10" t="n"/>
    </row>
    <row r="6935">
      <c r="B6935" s="7" t="n">
        <v>6933</v>
      </c>
      <c r="C6935" t="inlineStr">
        <is>
          <t>Senior Vendor Acquisition (Cross Border US Tiktok Market)</t>
        </is>
      </c>
      <c r="D6935" t="inlineStr">
        <is>
          <t>Công Ty TNHH Onpoint</t>
        </is>
      </c>
      <c r="E6935" t="inlineStr">
        <is>
          <t>Thương lượng</t>
        </is>
      </c>
      <c r="F6935" t="inlineStr">
        <is>
          <t>Hồ Chí Minh</t>
        </is>
      </c>
      <c r="G6935" t="inlineStr">
        <is>
          <t>Nhân viên</t>
        </is>
      </c>
      <c r="H6935" t="inlineStr">
        <is>
          <t>04/03/2026</t>
        </is>
      </c>
      <c r="I6935" t="inlineStr">
        <is>
          <t>03/04/2026</t>
        </is>
      </c>
      <c r="J6935" t="inlineStr">
        <is>
          <t>17/03/2026</t>
        </is>
      </c>
      <c r="K6935" t="inlineStr">
        <is>
          <t>N/A</t>
        </is>
      </c>
      <c r="L6935" t="inlineStr">
        <is>
          <t>Business Development, Software Acquisition, Partnership Relation, E-commerce, English</t>
        </is>
      </c>
      <c r="M6935" t="inlineStr">
        <is>
          <t>Bonus, Healthcare Plan, Paid Leave, Laptop, Others</t>
        </is>
      </c>
      <c r="N6935" s="8">
        <f>HYPERLINK("https://www.vietnamworks.com/senior-vendor-acquisition-cross-border-us-tiktok-market-2017936-jv","Xem chi tiết")</f>
        <v/>
      </c>
    </row>
    <row r="6936">
      <c r="B6936" s="9" t="n">
        <v>6934</v>
      </c>
      <c r="C6936" s="10" t="inlineStr">
        <is>
          <t xml:space="preserve">Giám Đốc Tài Chính </t>
        </is>
      </c>
      <c r="D6936" s="10" t="inlineStr">
        <is>
          <t>Trần Hồng Quân Holdings</t>
        </is>
      </c>
      <c r="E6936" s="10" t="inlineStr">
        <is>
          <t>Thương lượng</t>
        </is>
      </c>
      <c r="F6936" s="10" t="inlineStr">
        <is>
          <t>Hà Nội</t>
        </is>
      </c>
      <c r="G6936" s="10" t="inlineStr">
        <is>
          <t>Giám Đốc và Cấp Cao Hơn</t>
        </is>
      </c>
      <c r="H6936" s="10" t="inlineStr">
        <is>
          <t>04/03/2026</t>
        </is>
      </c>
      <c r="I6936" s="10" t="inlineStr">
        <is>
          <t>03/04/2026</t>
        </is>
      </c>
      <c r="J6936" s="10" t="inlineStr">
        <is>
          <t>17/03/2026</t>
        </is>
      </c>
      <c r="K6936" s="10" t="inlineStr">
        <is>
          <t>N/A</t>
        </is>
      </c>
      <c r="L6936" s="10" t="inlineStr">
        <is>
          <t>Kế Toán, Quản Lý Nhân Sự, Quản Lý Rủi Ro, Tài Chính, Tiếng Anh</t>
        </is>
      </c>
      <c r="M6936" s="10" t="inlineStr">
        <is>
          <t>Bonus, Healthcare Plan, Laptop, Team Activities, Canteen, Others</t>
        </is>
      </c>
      <c r="N6936" s="11">
        <f>HYPERLINK("https://www.vietnamworks.com/giam-djoc-tai-chinh-2017943-jv","Xem chi tiết")</f>
        <v/>
      </c>
      <c r="O6936" s="10" t="n"/>
    </row>
    <row r="6937">
      <c r="B6937" s="7" t="n">
        <v>6935</v>
      </c>
      <c r="C6937" t="inlineStr">
        <is>
          <t>Young Talents Program</t>
        </is>
      </c>
      <c r="D6937" t="inlineStr">
        <is>
          <t>GSM - Xanh SM</t>
        </is>
      </c>
      <c r="E6937" t="inlineStr">
        <is>
          <t>Thương lượng</t>
        </is>
      </c>
      <c r="F6937" t="inlineStr">
        <is>
          <t>Hà Nội</t>
        </is>
      </c>
      <c r="G6937" t="inlineStr">
        <is>
          <t>Mới Tốt Nghiệp</t>
        </is>
      </c>
      <c r="H6937" t="inlineStr">
        <is>
          <t>04/03/2026</t>
        </is>
      </c>
      <c r="I6937" t="inlineStr">
        <is>
          <t>03/04/2026</t>
        </is>
      </c>
      <c r="J6937" t="inlineStr">
        <is>
          <t>17/03/2026</t>
        </is>
      </c>
      <c r="K6937" t="inlineStr">
        <is>
          <t>N/A</t>
        </is>
      </c>
      <c r="L6937" t="inlineStr">
        <is>
          <t>Analytical Thinking, Customer Retention, Data Analysis, Growth Marketing, Kinh Doanh B2B</t>
        </is>
      </c>
      <c r="M6937" t="inlineStr">
        <is>
          <t>Bonus</t>
        </is>
      </c>
      <c r="N6937" s="8">
        <f>HYPERLINK("https://www.vietnamworks.com/young-talents-program-2017951-jv","Xem chi tiết")</f>
        <v/>
      </c>
    </row>
    <row r="6938">
      <c r="B6938" s="9" t="n">
        <v>6936</v>
      </c>
      <c r="C6938" s="10" t="inlineStr">
        <is>
          <t>Nhân Viên Kế Toán</t>
        </is>
      </c>
      <c r="D6938" s="10" t="inlineStr">
        <is>
          <t>Công Ty Cổ Phần Onefood Việt Nam</t>
        </is>
      </c>
      <c r="E6938" s="10" t="inlineStr">
        <is>
          <t>10tr-15tr ₫/tháng</t>
        </is>
      </c>
      <c r="F6938" s="10" t="inlineStr">
        <is>
          <t>Hồ Chí Minh</t>
        </is>
      </c>
      <c r="G6938" s="10" t="inlineStr">
        <is>
          <t>Nhân viên</t>
        </is>
      </c>
      <c r="H6938" s="10" t="inlineStr">
        <is>
          <t>04/03/2026</t>
        </is>
      </c>
      <c r="I6938" s="10" t="inlineStr">
        <is>
          <t>03/04/2026</t>
        </is>
      </c>
      <c r="J6938" s="10" t="inlineStr">
        <is>
          <t>17/03/2026</t>
        </is>
      </c>
      <c r="K6938" s="10" t="inlineStr">
        <is>
          <t>N/A</t>
        </is>
      </c>
      <c r="L6938" s="10" t="inlineStr">
        <is>
          <t>Excel, Kế Toán, Kiểm Toán, Làm Việc Nhóm, Phần mềm kế toán</t>
        </is>
      </c>
      <c r="M6938" s="10" t="inlineStr">
        <is>
          <t>Healthcare Plan, Training, Others</t>
        </is>
      </c>
      <c r="N6938" s="11">
        <f>HYPERLINK("https://www.vietnamworks.com/nhan-vien-ke-toan-2017946-jv","Xem chi tiết")</f>
        <v/>
      </c>
      <c r="O6938" s="10" t="n"/>
    </row>
    <row r="6939">
      <c r="B6939" s="7" t="n">
        <v>6937</v>
      </c>
      <c r="C6939" t="inlineStr">
        <is>
          <t>Medical Lead - Oncology</t>
        </is>
      </c>
      <c r="D6939" t="inlineStr">
        <is>
          <t>Servier (Vietnam) Pharmaceutical Company</t>
        </is>
      </c>
      <c r="E6939" t="inlineStr">
        <is>
          <t>Thương lượng</t>
        </is>
      </c>
      <c r="F6939" t="inlineStr">
        <is>
          <t>Hồ Chí Minh</t>
        </is>
      </c>
      <c r="G6939" t="inlineStr">
        <is>
          <t>Nhân viên</t>
        </is>
      </c>
      <c r="H6939" t="inlineStr">
        <is>
          <t>04/03/2026</t>
        </is>
      </c>
      <c r="I6939" t="inlineStr">
        <is>
          <t>03/04/2026</t>
        </is>
      </c>
      <c r="J6939" t="inlineStr">
        <is>
          <t>17/03/2026</t>
        </is>
      </c>
      <c r="K6939" t="inlineStr">
        <is>
          <t>N/A</t>
        </is>
      </c>
      <c r="L6939" t="inlineStr">
        <is>
          <t>Clinical Research, Communication Skills, Oncology, Regulatory Knowledge</t>
        </is>
      </c>
      <c r="M6939" t="inlineStr">
        <is>
          <t>Bonus, Healthcare Plan, Training, Others</t>
        </is>
      </c>
      <c r="N6939" s="8">
        <f>HYPERLINK("https://www.vietnamworks.com/medical-lead-oncology-2017948-jv","Xem chi tiết")</f>
        <v/>
      </c>
    </row>
    <row r="6940">
      <c r="B6940" s="9" t="n">
        <v>6938</v>
      </c>
      <c r="C6940" s="10" t="inlineStr">
        <is>
          <t>Kỹ Sư Kỹ Thuật Thi Công</t>
        </is>
      </c>
      <c r="D6940" s="10" t="inlineStr">
        <is>
          <t>TỔNG CÔNG TY XÂY DỰNG SỐ 1 - CTCP</t>
        </is>
      </c>
      <c r="E6940" s="10" t="inlineStr">
        <is>
          <t>$$ 500-1,000 /tháng</t>
        </is>
      </c>
      <c r="F6940" s="10" t="inlineStr">
        <is>
          <t>Hồ Chí Minh</t>
        </is>
      </c>
      <c r="G6940" s="10" t="inlineStr">
        <is>
          <t>Nhân viên</t>
        </is>
      </c>
      <c r="H6940" s="10" t="inlineStr">
        <is>
          <t>04/03/2026</t>
        </is>
      </c>
      <c r="I6940" s="10" t="inlineStr">
        <is>
          <t>03/04/2026</t>
        </is>
      </c>
      <c r="J6940" s="10" t="inlineStr">
        <is>
          <t>17/03/2026</t>
        </is>
      </c>
      <c r="K6940" s="10" t="inlineStr">
        <is>
          <t>N/A</t>
        </is>
      </c>
      <c r="L6940" s="10" t="inlineStr">
        <is>
          <t>Kỹ Thuật Thi Công, Xây Dựng</t>
        </is>
      </c>
      <c r="M6940" s="10" t="inlineStr">
        <is>
          <t>Bonus, Healthcare Plan, Team Activities</t>
        </is>
      </c>
      <c r="N6940" s="11">
        <f>HYPERLINK("https://www.vietnamworks.com/ky-su-ky-thuat-thi-cong--2017950-jv","Xem chi tiết")</f>
        <v/>
      </c>
      <c r="O6940" s="10" t="n"/>
    </row>
    <row r="6941">
      <c r="B6941" s="7" t="n">
        <v>6939</v>
      </c>
      <c r="C6941" t="inlineStr">
        <is>
          <t>Kỹ Sư Cơ Khí (Gia Công Cửa)</t>
        </is>
      </c>
      <c r="D6941" t="inlineStr">
        <is>
          <t>Công Ty TNHH YKK AP Việt Nam</t>
        </is>
      </c>
      <c r="E6941" t="inlineStr">
        <is>
          <t>Thương lượng</t>
        </is>
      </c>
      <c r="F6941" t="inlineStr">
        <is>
          <t>Hà Nội</t>
        </is>
      </c>
      <c r="G6941" t="inlineStr">
        <is>
          <t>Nhân viên</t>
        </is>
      </c>
      <c r="H6941" t="inlineStr">
        <is>
          <t>04/03/2026</t>
        </is>
      </c>
      <c r="I6941" t="inlineStr">
        <is>
          <t>03/04/2026</t>
        </is>
      </c>
      <c r="J6941" t="inlineStr">
        <is>
          <t>17/03/2026</t>
        </is>
      </c>
      <c r="K6941" t="inlineStr">
        <is>
          <t>N/A</t>
        </is>
      </c>
      <c r="L6941" t="inlineStr">
        <is>
          <t>Mechanical Engineering, 3D Software Knowledge, Gia Công Cơ Khí, Cửa Nhôm</t>
        </is>
      </c>
      <c r="M6941" t="inlineStr">
        <is>
          <t>Bonus, Healthcare Plan, Training, Others</t>
        </is>
      </c>
      <c r="N6941" s="8">
        <f>HYPERLINK("https://www.vietnamworks.com/ky-su-co-khi-gia-cong-cua-2017945-jv","Xem chi tiết")</f>
        <v/>
      </c>
    </row>
    <row r="6942">
      <c r="B6942" s="9" t="n">
        <v>6940</v>
      </c>
      <c r="C6942" s="10" t="inlineStr">
        <is>
          <t>Kỹ Thuật Viên PE - Không Yêu Cầu Kinh Nghiệm</t>
        </is>
      </c>
      <c r="D6942" s="10" t="inlineStr">
        <is>
          <t>Kaga Electronics (Viet Nam) Co.,Ltd</t>
        </is>
      </c>
      <c r="E6942" s="10" t="inlineStr">
        <is>
          <t>Thương lượng</t>
        </is>
      </c>
      <c r="F6942" s="10" t="inlineStr">
        <is>
          <t>Hưng Yên</t>
        </is>
      </c>
      <c r="G6942" s="10" t="inlineStr">
        <is>
          <t>Nhân viên</t>
        </is>
      </c>
      <c r="H6942" s="10" t="inlineStr">
        <is>
          <t>04/03/2026</t>
        </is>
      </c>
      <c r="I6942" s="10" t="inlineStr">
        <is>
          <t>03/04/2026</t>
        </is>
      </c>
      <c r="J6942" s="10" t="inlineStr">
        <is>
          <t>17/03/2026</t>
        </is>
      </c>
      <c r="K6942" s="10" t="inlineStr">
        <is>
          <t>N/A</t>
        </is>
      </c>
      <c r="L6942" s="10" t="inlineStr">
        <is>
          <t>Thiết Lập Máy Móc, Xử Lý Sự Cố, Điện Tử, Production Engineer, Vận Hành Sản Xuất</t>
        </is>
      </c>
      <c r="M6942" s="10" t="inlineStr">
        <is>
          <t>Bonus, Healthcare Plan, Paid Leave, Canteen, Others</t>
        </is>
      </c>
      <c r="N6942" s="11">
        <f>HYPERLINK("https://www.vietnamworks.com/ky-thuat-vien-pe-khong-yeu-cau-kinh-nghiem-2017969-jv","Xem chi tiết")</f>
        <v/>
      </c>
      <c r="O6942" s="10" t="n"/>
    </row>
    <row r="6943">
      <c r="B6943" s="7" t="n">
        <v>6941</v>
      </c>
      <c r="C6943" t="inlineStr">
        <is>
          <t>Merchandiser - Operations Coordinator</t>
        </is>
      </c>
      <c r="D6943" t="inlineStr">
        <is>
          <t>Vietnamworks' Client</t>
        </is>
      </c>
      <c r="E6943" t="inlineStr">
        <is>
          <t>Thương lượng</t>
        </is>
      </c>
      <c r="F6943" t="inlineStr">
        <is>
          <t>Hồ Chí Minh</t>
        </is>
      </c>
      <c r="G6943" t="inlineStr">
        <is>
          <t>Nhân viên</t>
        </is>
      </c>
      <c r="H6943" t="inlineStr">
        <is>
          <t>04/03/2026</t>
        </is>
      </c>
      <c r="I6943" t="inlineStr">
        <is>
          <t>03/04/2026</t>
        </is>
      </c>
      <c r="J6943" t="inlineStr">
        <is>
          <t>17/03/2026</t>
        </is>
      </c>
      <c r="K6943" t="inlineStr">
        <is>
          <t>N/A</t>
        </is>
      </c>
      <c r="L6943" t="inlineStr">
        <is>
          <t>English, International Business, Merchandising, Operations Planning, Purchasing</t>
        </is>
      </c>
      <c r="M6943" t="inlineStr">
        <is>
          <t>Bonus, Healthcare Plan, Paid Leave, Travel Opportunities</t>
        </is>
      </c>
      <c r="N6943" s="8">
        <f>HYPERLINK("https://www.vietnamworks.com/merchandiser-operations-coordinator-2017970-jv","Xem chi tiết")</f>
        <v/>
      </c>
    </row>
    <row r="6944">
      <c r="B6944" s="9" t="n">
        <v>6942</v>
      </c>
      <c r="C6944" s="10" t="inlineStr">
        <is>
          <t>LOGISTICS Coordinator</t>
        </is>
      </c>
      <c r="D6944" s="10" t="inlineStr">
        <is>
          <t>Truelog Pte Ltd</t>
        </is>
      </c>
      <c r="E6944" s="10" t="inlineStr">
        <is>
          <t>Thương lượng</t>
        </is>
      </c>
      <c r="F6944" s="10" t="inlineStr">
        <is>
          <t>Hồ Chí Minh</t>
        </is>
      </c>
      <c r="G6944" s="10" t="inlineStr">
        <is>
          <t>Nhân viên</t>
        </is>
      </c>
      <c r="H6944" s="10" t="inlineStr">
        <is>
          <t>04/03/2026</t>
        </is>
      </c>
      <c r="I6944" s="10" t="inlineStr">
        <is>
          <t>03/04/2026</t>
        </is>
      </c>
      <c r="J6944" s="10" t="inlineStr">
        <is>
          <t>17/03/2026</t>
        </is>
      </c>
      <c r="K6944" s="10" t="inlineStr">
        <is>
          <t>N/A</t>
        </is>
      </c>
      <c r="L6944" s="10" t="inlineStr">
        <is>
          <t>Xuất Nhập Khẩu, Warehouse Management, Shipping Business, Logistics, Import-Export</t>
        </is>
      </c>
      <c r="M6944" s="10" t="inlineStr">
        <is>
          <t>Bonus, Healthcare Plan, Team Activities</t>
        </is>
      </c>
      <c r="N6944" s="11">
        <f>HYPERLINK("https://www.vietnamworks.com/logistics-coordinator--2017954-jv","Xem chi tiết")</f>
        <v/>
      </c>
      <c r="O6944" s="10" t="n"/>
    </row>
    <row r="6945">
      <c r="B6945" s="7" t="n">
        <v>6943</v>
      </c>
      <c r="C6945" t="inlineStr">
        <is>
          <t>Kỹ Sư Cầu Đường</t>
        </is>
      </c>
      <c r="D6945" t="inlineStr">
        <is>
          <t>CÔNG TY TNHH ĐẦU TƯ VÀ XÂY DỰNG QUẢNG THUẬN - LONG AN</t>
        </is>
      </c>
      <c r="E6945" t="inlineStr">
        <is>
          <t>Thương lượng</t>
        </is>
      </c>
      <c r="F6945" t="inlineStr">
        <is>
          <t>Long An, Tây Ninh</t>
        </is>
      </c>
      <c r="G6945" t="inlineStr">
        <is>
          <t>Nhân viên</t>
        </is>
      </c>
      <c r="H6945" t="inlineStr">
        <is>
          <t>04/03/2026</t>
        </is>
      </c>
      <c r="I6945" t="inlineStr">
        <is>
          <t>03/04/2026</t>
        </is>
      </c>
      <c r="J6945" t="inlineStr">
        <is>
          <t>17/03/2026</t>
        </is>
      </c>
      <c r="K6945" t="inlineStr">
        <is>
          <t>N/A</t>
        </is>
      </c>
      <c r="L6945" t="inlineStr">
        <is>
          <t>Bóc Tách Khối Lượng, Cầu Đường, Giám Sát Thi Công, Quản Lý Tiến Độ, Thi Công Công Trình</t>
        </is>
      </c>
      <c r="M6945" t="inlineStr">
        <is>
          <t>Bonus, Healthcare Plan, Travel Opportunities, Team Activities</t>
        </is>
      </c>
      <c r="N6945" s="8">
        <f>HYPERLINK("https://www.vietnamworks.com/ky-su-cau-djuong-2017959-jv","Xem chi tiết")</f>
        <v/>
      </c>
    </row>
    <row r="6946">
      <c r="B6946" s="9" t="n">
        <v>6944</v>
      </c>
      <c r="C6946" s="10" t="inlineStr">
        <is>
          <t>Chuyên Viên Tuyển Dụng Nhân Sự</t>
        </is>
      </c>
      <c r="D6946" s="10" t="inlineStr">
        <is>
          <t>Công Ty Cổ Phần Tập Đoàn Gỗ Minh Long</t>
        </is>
      </c>
      <c r="E6946" s="10" t="inlineStr">
        <is>
          <t>500-1,000 ₫/tháng</t>
        </is>
      </c>
      <c r="F6946" s="10" t="inlineStr">
        <is>
          <t>Hà Nội, Hưng Yên</t>
        </is>
      </c>
      <c r="G6946" s="10" t="inlineStr">
        <is>
          <t>Nhân viên</t>
        </is>
      </c>
      <c r="H6946" s="10" t="inlineStr">
        <is>
          <t>04/03/2026</t>
        </is>
      </c>
      <c r="I6946" s="10" t="inlineStr">
        <is>
          <t>03/04/2026</t>
        </is>
      </c>
      <c r="J6946" s="10" t="inlineStr">
        <is>
          <t>17/03/2026</t>
        </is>
      </c>
      <c r="K6946" s="10" t="inlineStr">
        <is>
          <t>N/A</t>
        </is>
      </c>
      <c r="L6946" s="10" t="inlineStr">
        <is>
          <t>Tuyển Dụng Nhân Sự, Tuyển Dụng, Talent Acquisition, Recruitment, Nhân Sự</t>
        </is>
      </c>
      <c r="M6946" s="10" t="inlineStr">
        <is>
          <t>Paid Leave, Training, Library</t>
        </is>
      </c>
      <c r="N6946" s="11">
        <f>HYPERLINK("https://www.vietnamworks.com/chuyen-vien-tuyen-dung-nhan-su--2017953-jv","Xem chi tiết")</f>
        <v/>
      </c>
      <c r="O6946" s="10" t="n"/>
    </row>
    <row r="6947">
      <c r="B6947" s="7" t="n">
        <v>6945</v>
      </c>
      <c r="C6947" t="inlineStr">
        <is>
          <t>Nhân Viên Tư Vấn Khóa Học, Du Học Tại Trung Tâm Tiếng Anh Lớn Nhất Quận 6</t>
        </is>
      </c>
      <c r="D6947" t="inlineStr">
        <is>
          <t>Ms Ngân English</t>
        </is>
      </c>
      <c r="E6947" t="inlineStr">
        <is>
          <t>$$ 350-1,500 /tháng</t>
        </is>
      </c>
      <c r="F6947" t="inlineStr">
        <is>
          <t>Hồ Chí Minh</t>
        </is>
      </c>
      <c r="G6947" t="inlineStr">
        <is>
          <t>Nhân viên</t>
        </is>
      </c>
      <c r="H6947" t="inlineStr">
        <is>
          <t>04/03/2026</t>
        </is>
      </c>
      <c r="I6947" t="inlineStr">
        <is>
          <t>03/04/2026</t>
        </is>
      </c>
      <c r="J6947" t="inlineStr">
        <is>
          <t>17/03/2026</t>
        </is>
      </c>
      <c r="K6947" t="inlineStr">
        <is>
          <t>N/A</t>
        </is>
      </c>
      <c r="L6947" t="inlineStr">
        <is>
          <t>Telesales, Tư Vấn Khóa Học, Sales, Tư Vấn, Business Development</t>
        </is>
      </c>
      <c r="M6947" t="inlineStr">
        <is>
          <t>Bonus, Healthcare Plan, Training</t>
        </is>
      </c>
      <c r="N6947" s="8">
        <f>HYPERLINK("https://www.vietnamworks.com/nhan-vien-tu-van-khoa-hoc-du-hoc-tai-trung-tam-tieng-anh-lon-nhat-quan-6-2017972-jv","Xem chi tiết")</f>
        <v/>
      </c>
    </row>
    <row r="6948">
      <c r="B6948" s="9" t="n">
        <v>6946</v>
      </c>
      <c r="C6948" s="10" t="inlineStr">
        <is>
          <t>Quality Control Specialist</t>
        </is>
      </c>
      <c r="D6948" s="10" t="inlineStr">
        <is>
          <t>Galaxy Digital Holdings Co., Ltd (GH)</t>
        </is>
      </c>
      <c r="E6948" s="10" t="inlineStr">
        <is>
          <t>Thương lượng</t>
        </is>
      </c>
      <c r="F6948" s="10" t="inlineStr">
        <is>
          <t>Hồ Chí Minh</t>
        </is>
      </c>
      <c r="G6948" s="10" t="inlineStr">
        <is>
          <t>Nhân viên</t>
        </is>
      </c>
      <c r="H6948" s="10" t="inlineStr">
        <is>
          <t>04/03/2026</t>
        </is>
      </c>
      <c r="I6948" s="10" t="inlineStr">
        <is>
          <t>03/04/2026</t>
        </is>
      </c>
      <c r="J6948" s="10" t="inlineStr">
        <is>
          <t>17/03/2026</t>
        </is>
      </c>
      <c r="K6948" s="10" t="inlineStr">
        <is>
          <t>N/A</t>
        </is>
      </c>
      <c r="L6948" s="10" t="inlineStr">
        <is>
          <t>Agile, API Testing, Automation Testing, Manual Testing, SQL</t>
        </is>
      </c>
      <c r="M6948" s="10" t="inlineStr">
        <is>
          <t>Bonus, Healthcare Plan, Paid Leave, Laptop, Others</t>
        </is>
      </c>
      <c r="N6948" s="11">
        <f>HYPERLINK("https://www.vietnamworks.com/quality-control-specialist-2017952-jv","Xem chi tiết")</f>
        <v/>
      </c>
      <c r="O6948" s="10" t="n"/>
    </row>
    <row r="6949">
      <c r="B6949" s="7" t="n">
        <v>6947</v>
      </c>
      <c r="C6949" t="inlineStr">
        <is>
          <t>Part-time Customer Service Advisor For Store Department</t>
        </is>
      </c>
      <c r="D6949" t="inlineStr">
        <is>
          <t>Mascot International Company Limited, Hanoi Rep., Office</t>
        </is>
      </c>
      <c r="E6949" t="inlineStr">
        <is>
          <t>Thương lượng</t>
        </is>
      </c>
      <c r="F6949" t="inlineStr">
        <is>
          <t>Hà Nội</t>
        </is>
      </c>
      <c r="G6949" t="inlineStr">
        <is>
          <t>Nhân viên</t>
        </is>
      </c>
      <c r="H6949" t="inlineStr">
        <is>
          <t>04/03/2026</t>
        </is>
      </c>
      <c r="I6949" t="inlineStr">
        <is>
          <t>03/04/2026</t>
        </is>
      </c>
      <c r="J6949" t="inlineStr">
        <is>
          <t>17/03/2026</t>
        </is>
      </c>
      <c r="K6949" t="inlineStr">
        <is>
          <t>N/A</t>
        </is>
      </c>
      <c r="L6949" t="inlineStr">
        <is>
          <t>B2 English, Microsoft Office, Repetitive Tasks, Validity, Long-Term Employment</t>
        </is>
      </c>
      <c r="M6949" t="inlineStr">
        <is>
          <t>Others</t>
        </is>
      </c>
      <c r="N6949" s="8">
        <f>HYPERLINK("https://www.vietnamworks.com/part-time-customer-service-advisor-for-store-department-2017958-jv","Xem chi tiết")</f>
        <v/>
      </c>
    </row>
    <row r="6950">
      <c r="B6950" s="9" t="n">
        <v>6948</v>
      </c>
      <c r="C6950" s="10" t="inlineStr">
        <is>
          <t>Chuyên Viên Tuyển Dụng</t>
        </is>
      </c>
      <c r="D6950" s="10" t="inlineStr">
        <is>
          <t>Công Ty Cổ Phần Thaiholdings</t>
        </is>
      </c>
      <c r="E6950" s="10" t="inlineStr">
        <is>
          <t>Thương lượng</t>
        </is>
      </c>
      <c r="F6950" s="10" t="inlineStr">
        <is>
          <t>Hà Nội</t>
        </is>
      </c>
      <c r="G6950" s="10" t="inlineStr">
        <is>
          <t>Nhân viên</t>
        </is>
      </c>
      <c r="H6950" s="10" t="inlineStr">
        <is>
          <t>04/03/2026</t>
        </is>
      </c>
      <c r="I6950" s="10" t="inlineStr">
        <is>
          <t>03/04/2026</t>
        </is>
      </c>
      <c r="J6950" s="10" t="inlineStr">
        <is>
          <t>17/03/2026</t>
        </is>
      </c>
      <c r="K6950" s="10" t="inlineStr">
        <is>
          <t>N/A</t>
        </is>
      </c>
      <c r="L6950" s="10" t="inlineStr">
        <is>
          <t>Tuyển Dụng, HR, Talent Acquisition, Nhân Sự, Tuyển Dụng Nhân Sự</t>
        </is>
      </c>
      <c r="M6950" s="10" t="inlineStr">
        <is>
          <t>Bonus, Healthcare Plan, Team Activities</t>
        </is>
      </c>
      <c r="N6950" s="11">
        <f>HYPERLINK("https://www.vietnamworks.com/chuyen-vien-tuyen-dung--2017956-jv","Xem chi tiết")</f>
        <v/>
      </c>
      <c r="O6950" s="10" t="n"/>
    </row>
    <row r="6951">
      <c r="B6951" s="7" t="n">
        <v>6949</v>
      </c>
      <c r="C6951" t="inlineStr">
        <is>
          <t>Trưởng Phòng QC</t>
        </is>
      </c>
      <c r="D6951" t="inlineStr">
        <is>
          <t>Công Ty Cổ Phần Technokom</t>
        </is>
      </c>
      <c r="E6951" t="inlineStr">
        <is>
          <t>$$ 1,000-1,200 /tháng</t>
        </is>
      </c>
      <c r="F6951" t="inlineStr">
        <is>
          <t>Hưng Yên</t>
        </is>
      </c>
      <c r="G6951" t="inlineStr">
        <is>
          <t>Trưởng phòng</t>
        </is>
      </c>
      <c r="H6951" t="inlineStr">
        <is>
          <t>04/03/2026</t>
        </is>
      </c>
      <c r="I6951" t="inlineStr">
        <is>
          <t>03/04/2026</t>
        </is>
      </c>
      <c r="J6951" t="inlineStr">
        <is>
          <t>17/03/2026</t>
        </is>
      </c>
      <c r="K6951" t="inlineStr">
        <is>
          <t>N/A</t>
        </is>
      </c>
      <c r="L6951" t="inlineStr">
        <is>
          <t>QC, Cơ Khí Chế Tạo Máy, Triển Khai Kế Hoạch, Kaizen 5S, Quality Control</t>
        </is>
      </c>
      <c r="M6951" t="inlineStr">
        <is>
          <t>Bonus, Healthcare Plan, Training</t>
        </is>
      </c>
      <c r="N6951" s="8">
        <f>HYPERLINK("https://www.vietnamworks.com/truong-phong-qc--2017960-jv","Xem chi tiết")</f>
        <v/>
      </c>
    </row>
    <row r="6952">
      <c r="B6952" s="9" t="n">
        <v>6950</v>
      </c>
      <c r="C6952" s="10" t="inlineStr">
        <is>
          <t>HR Senior Staff</t>
        </is>
      </c>
      <c r="D6952" s="10" t="inlineStr">
        <is>
          <t>Panasonic Appliances Vietnam</t>
        </is>
      </c>
      <c r="E6952" s="10" t="inlineStr">
        <is>
          <t>Thương lượng</t>
        </is>
      </c>
      <c r="F6952" s="10" t="inlineStr">
        <is>
          <t>Hà Nội</t>
        </is>
      </c>
      <c r="G6952" s="10" t="inlineStr">
        <is>
          <t>Nhân viên</t>
        </is>
      </c>
      <c r="H6952" s="10" t="inlineStr">
        <is>
          <t>04/03/2026</t>
        </is>
      </c>
      <c r="I6952" s="10" t="inlineStr">
        <is>
          <t>03/04/2026</t>
        </is>
      </c>
      <c r="J6952" s="10" t="inlineStr">
        <is>
          <t>17/03/2026</t>
        </is>
      </c>
      <c r="K6952" s="10" t="inlineStr">
        <is>
          <t>N/A</t>
        </is>
      </c>
      <c r="L6952" s="10" t="inlineStr">
        <is>
          <t>Tuyển Dụng, Talent Acquisition, Recruitment, Sourcing, Hiring</t>
        </is>
      </c>
      <c r="M6952" s="10" t="inlineStr">
        <is>
          <t>Bonus, Healthcare Plan, Transportation</t>
        </is>
      </c>
      <c r="N6952" s="11">
        <f>HYPERLINK("https://www.vietnamworks.com/hr-senior-staff--2017973-jv","Xem chi tiết")</f>
        <v/>
      </c>
      <c r="O6952" s="10" t="n"/>
    </row>
    <row r="6953">
      <c r="B6953" s="7" t="n">
        <v>6951</v>
      </c>
      <c r="C6953" t="inlineStr">
        <is>
          <t>Human Resources Director</t>
        </is>
      </c>
      <c r="D6953" t="inlineStr">
        <is>
          <t>ILA Vietnam</t>
        </is>
      </c>
      <c r="E6953" t="inlineStr">
        <is>
          <t>Thương lượng</t>
        </is>
      </c>
      <c r="F6953" t="inlineStr">
        <is>
          <t>Hồ Chí Minh</t>
        </is>
      </c>
      <c r="G6953" t="inlineStr">
        <is>
          <t>Trưởng phòng</t>
        </is>
      </c>
      <c r="H6953" t="inlineStr">
        <is>
          <t>04/03/2026</t>
        </is>
      </c>
      <c r="I6953" t="inlineStr">
        <is>
          <t>03/04/2026</t>
        </is>
      </c>
      <c r="J6953" t="inlineStr">
        <is>
          <t>17/03/2026</t>
        </is>
      </c>
      <c r="K6953" t="inlineStr">
        <is>
          <t>N/A</t>
        </is>
      </c>
      <c r="L6953" t="inlineStr">
        <is>
          <t>Compliance, HR Strategy, Leadership, Organization Development, Talent Acquisition</t>
        </is>
      </c>
      <c r="M6953" t="inlineStr">
        <is>
          <t>Bonus, Training, Travel Opportunities</t>
        </is>
      </c>
      <c r="N6953" s="8">
        <f>HYPERLINK("https://www.vietnamworks.com/human-resources-director-2017957-jv","Xem chi tiết")</f>
        <v/>
      </c>
    </row>
    <row r="6954">
      <c r="B6954" s="9" t="n">
        <v>6952</v>
      </c>
      <c r="C6954" s="10" t="inlineStr">
        <is>
          <t>Nhân Viên Phòng Kiểm Tra Chất Lượng</t>
        </is>
      </c>
      <c r="D6954" s="10" t="inlineStr">
        <is>
          <t>Công Ty CP Dược – VTYT Thanh Hóa</t>
        </is>
      </c>
      <c r="E6954" s="10" t="inlineStr">
        <is>
          <t>Thương lượng</t>
        </is>
      </c>
      <c r="F6954" s="10" t="inlineStr">
        <is>
          <t>Thanh Hóa</t>
        </is>
      </c>
      <c r="G6954" s="10" t="inlineStr">
        <is>
          <t>Nhân viên</t>
        </is>
      </c>
      <c r="H6954" s="10" t="inlineStr">
        <is>
          <t>04/03/2026</t>
        </is>
      </c>
      <c r="I6954" s="10" t="inlineStr">
        <is>
          <t>03/04/2026</t>
        </is>
      </c>
      <c r="J6954" s="10" t="inlineStr">
        <is>
          <t>17/03/2026</t>
        </is>
      </c>
      <c r="K6954" s="10" t="inlineStr">
        <is>
          <t>N/A</t>
        </is>
      </c>
      <c r="L6954" s="10" t="inlineStr">
        <is>
          <t>QC, Kiểm Tra Chất Lượng, Dược, Hóa Dược Phẩm</t>
        </is>
      </c>
      <c r="M6954" s="10" t="inlineStr">
        <is>
          <t>Bonus, Travel Opportunities, Team Activities</t>
        </is>
      </c>
      <c r="N6954" s="11">
        <f>HYPERLINK("https://www.vietnamworks.com/nhan-vien-phong-kiem-tra-chat-luong--2017963-jv","Xem chi tiết")</f>
        <v/>
      </c>
      <c r="O6954" s="10" t="n"/>
    </row>
    <row r="6955">
      <c r="B6955" s="7" t="n">
        <v>6953</v>
      </c>
      <c r="C6955" t="inlineStr">
        <is>
          <t>Senior Sales Engineer- Salary Negotiation from 25 Million VND + Kpi. Apply Now!</t>
        </is>
      </c>
      <c r="D6955" t="inlineStr">
        <is>
          <t>Công Ty TNHH Kỹ Thuật Công Nghệ Hợp Tiến</t>
        </is>
      </c>
      <c r="E6955" t="inlineStr">
        <is>
          <t>25tr-45tr ₫/tháng</t>
        </is>
      </c>
      <c r="F6955" t="inlineStr">
        <is>
          <t>Hồ Chí Minh</t>
        </is>
      </c>
      <c r="G6955" t="inlineStr">
        <is>
          <t>Nhân viên</t>
        </is>
      </c>
      <c r="H6955" t="inlineStr">
        <is>
          <t>04/03/2026</t>
        </is>
      </c>
      <c r="I6955" t="inlineStr">
        <is>
          <t>03/04/2026</t>
        </is>
      </c>
      <c r="J6955" t="inlineStr">
        <is>
          <t>17/03/2026</t>
        </is>
      </c>
      <c r="K6955" t="inlineStr">
        <is>
          <t>N/A</t>
        </is>
      </c>
      <c r="L6955" t="inlineStr">
        <is>
          <t>Tư Vấn Bán Hàng, Business Development, Sales Kỹ Thuật, Chăm Sóc Khách Hàng, Sales Engineering</t>
        </is>
      </c>
      <c r="M6955" t="inlineStr">
        <is>
          <t>Bonus, Healthcare Plan, Others</t>
        </is>
      </c>
      <c r="N6955" s="8">
        <f>HYPERLINK("https://www.vietnamworks.com/senior-sales-engineer-salary-negotiation-from-25-million-vnd-kpi-apply-now-2017977-jv","Xem chi tiết")</f>
        <v/>
      </c>
    </row>
    <row r="6956">
      <c r="B6956" s="9" t="n">
        <v>6954</v>
      </c>
      <c r="C6956" s="10" t="inlineStr">
        <is>
          <t>Kế Toán Viên</t>
        </is>
      </c>
      <c r="D6956" s="10" t="inlineStr">
        <is>
          <t>CÔNG TY TNHH YINGKE VIỆT NAM</t>
        </is>
      </c>
      <c r="E6956" s="10" t="inlineStr">
        <is>
          <t>$$ 460-690 /tháng</t>
        </is>
      </c>
      <c r="F6956" s="10" t="inlineStr">
        <is>
          <t>Đồng Nai</t>
        </is>
      </c>
      <c r="G6956" s="10" t="inlineStr">
        <is>
          <t>Nhân viên</t>
        </is>
      </c>
      <c r="H6956" s="10" t="inlineStr">
        <is>
          <t>04/03/2026</t>
        </is>
      </c>
      <c r="I6956" s="10" t="inlineStr">
        <is>
          <t>03/04/2026</t>
        </is>
      </c>
      <c r="J6956" s="10" t="inlineStr">
        <is>
          <t>17/03/2026</t>
        </is>
      </c>
      <c r="K6956" s="10" t="inlineStr">
        <is>
          <t>N/A</t>
        </is>
      </c>
      <c r="L6956" s="10" t="inlineStr">
        <is>
          <t>Kiểm Toán, Kế Toán Tổng Hợp, Kế Toán, Tài Chính, Kế toán &amp; Tài chính</t>
        </is>
      </c>
      <c r="M6956" s="10" t="inlineStr">
        <is>
          <t>Team Activities</t>
        </is>
      </c>
      <c r="N6956" s="11">
        <f>HYPERLINK("https://www.vietnamworks.com/ke-toan-vien--2017978-jv","Xem chi tiết")</f>
        <v/>
      </c>
      <c r="O6956" s="10" t="n"/>
    </row>
    <row r="6957">
      <c r="B6957" s="7" t="n">
        <v>6955</v>
      </c>
      <c r="C6957" t="inlineStr">
        <is>
          <t>Chuyên Viên Kế Hoạch &amp; Kiểm Soát Nội Bộ</t>
        </is>
      </c>
      <c r="D6957" t="inlineStr">
        <is>
          <t>Công Ty Cổ Phần Giao Nhận Vận Tải Hải An</t>
        </is>
      </c>
      <c r="E6957" t="inlineStr">
        <is>
          <t>400-700 ₫/tháng</t>
        </is>
      </c>
      <c r="F6957" t="inlineStr">
        <is>
          <t>Hà Nội</t>
        </is>
      </c>
      <c r="G6957" t="inlineStr">
        <is>
          <t>Nhân viên</t>
        </is>
      </c>
      <c r="H6957" t="inlineStr">
        <is>
          <t>04/03/2026</t>
        </is>
      </c>
      <c r="I6957" t="inlineStr">
        <is>
          <t>03/04/2026</t>
        </is>
      </c>
      <c r="J6957" t="inlineStr">
        <is>
          <t>17/03/2026</t>
        </is>
      </c>
      <c r="K6957" t="inlineStr">
        <is>
          <t>N/A</t>
        </is>
      </c>
      <c r="L6957" t="inlineStr">
        <is>
          <t>Logistics, Tài Chính, Kế Toán Doanh Thu, Thống Kê, Kế Toán Tổng Hợp</t>
        </is>
      </c>
      <c r="M6957" t="inlineStr">
        <is>
          <t>Bonus, Healthcare Plan, Team Activities</t>
        </is>
      </c>
      <c r="N6957" s="8">
        <f>HYPERLINK("https://www.vietnamworks.com/chuyen-vien-ke-hoach-kiem-soat-noi-bo-2017974-jv","Xem chi tiết")</f>
        <v/>
      </c>
    </row>
    <row r="6958">
      <c r="B6958" s="9" t="n">
        <v>6956</v>
      </c>
      <c r="C6958" s="10" t="inlineStr">
        <is>
          <t>[ Hot Job ] Kỹ Sư Thiết Kế - Cơ Khí</t>
        </is>
      </c>
      <c r="D6958" s="10" t="inlineStr">
        <is>
          <t>Masan High-Tech Materials</t>
        </is>
      </c>
      <c r="E6958" s="10" t="inlineStr">
        <is>
          <t>Thương lượng</t>
        </is>
      </c>
      <c r="F6958" s="10" t="inlineStr">
        <is>
          <t>Hà Nội, Thái Nguyên</t>
        </is>
      </c>
      <c r="G6958" s="10" t="inlineStr">
        <is>
          <t>Nhân viên</t>
        </is>
      </c>
      <c r="H6958" s="10" t="inlineStr">
        <is>
          <t>04/03/2026</t>
        </is>
      </c>
      <c r="I6958" s="10" t="inlineStr">
        <is>
          <t>03/04/2026</t>
        </is>
      </c>
      <c r="J6958" s="10" t="inlineStr">
        <is>
          <t>17/03/2026</t>
        </is>
      </c>
      <c r="K6958" s="10" t="inlineStr">
        <is>
          <t>N/A</t>
        </is>
      </c>
      <c r="L6958" s="10" t="inlineStr">
        <is>
          <t>Thiết Kế Cơ Khí, Đọc Hiểu Bản Vẽ, ASME, Autocad, 3D</t>
        </is>
      </c>
      <c r="M6958" s="10" t="inlineStr">
        <is>
          <t>Bonus, Healthcare Plan, Others</t>
        </is>
      </c>
      <c r="N6958" s="11">
        <f>HYPERLINK("https://www.vietnamworks.com/hot-job-ky-su-thiet-ke-co-khi-2017971-jv","Xem chi tiết")</f>
        <v/>
      </c>
      <c r="O6958" s="10" t="n"/>
    </row>
    <row r="6959">
      <c r="B6959" s="7" t="n">
        <v>6957</v>
      </c>
      <c r="C6959" t="inlineStr">
        <is>
          <t>Chuyên Viên Marketing &amp; Cho Thuê (Tiếng Trung Thành Thạo)</t>
        </is>
      </c>
      <c r="D6959" t="inlineStr">
        <is>
          <t>Soilbuild Asset Management &amp; Service Company Limited</t>
        </is>
      </c>
      <c r="E6959" t="inlineStr">
        <is>
          <t>Thương lượng</t>
        </is>
      </c>
      <c r="F6959" t="inlineStr">
        <is>
          <t>Hà Nội</t>
        </is>
      </c>
      <c r="G6959" t="inlineStr">
        <is>
          <t>Nhân viên</t>
        </is>
      </c>
      <c r="H6959" t="inlineStr">
        <is>
          <t>04/03/2026</t>
        </is>
      </c>
      <c r="I6959" t="inlineStr">
        <is>
          <t>03/04/2026</t>
        </is>
      </c>
      <c r="J6959" t="inlineStr">
        <is>
          <t>17/03/2026</t>
        </is>
      </c>
      <c r="K6959" t="inlineStr">
        <is>
          <t>N/A</t>
        </is>
      </c>
      <c r="L6959" t="inlineStr">
        <is>
          <t>Marketing Development, Bất Động Sản cho thuê, Marketing Event Planning, Quản Lý Cho Thuê, Tiếng Trung</t>
        </is>
      </c>
      <c r="M6959" t="inlineStr">
        <is>
          <t>Bonus, Healthcare Plan, Paid Leave, Others</t>
        </is>
      </c>
      <c r="N6959" s="8">
        <f>HYPERLINK("https://www.vietnamworks.com/chuyen-vien-marketing-and-cho-thue-tieng-trung-thanh-thao-2017980-jv","Xem chi tiết")</f>
        <v/>
      </c>
    </row>
    <row r="6960">
      <c r="B6960" s="9" t="n">
        <v>6958</v>
      </c>
      <c r="C6960" s="10" t="inlineStr">
        <is>
          <t>Chuyên Viên Kinh Doanh</t>
        </is>
      </c>
      <c r="D6960" s="10" t="inlineStr">
        <is>
          <t>Công ty cổ phần quản lí dịch vụ Cao Cấp đồi ngọc Sa Pa (Ville De Mont Mountain Resort)</t>
        </is>
      </c>
      <c r="E6960" s="10" t="inlineStr">
        <is>
          <t>Thương lượng</t>
        </is>
      </c>
      <c r="F6960" s="10" t="inlineStr">
        <is>
          <t>Hà Nội</t>
        </is>
      </c>
      <c r="G6960" s="10" t="inlineStr">
        <is>
          <t>Nhân viên</t>
        </is>
      </c>
      <c r="H6960" s="10" t="inlineStr">
        <is>
          <t>04/03/2026</t>
        </is>
      </c>
      <c r="I6960" s="10" t="inlineStr">
        <is>
          <t>03/04/2026</t>
        </is>
      </c>
      <c r="J6960" s="10" t="inlineStr">
        <is>
          <t>17/03/2026</t>
        </is>
      </c>
      <c r="K6960" s="10" t="inlineStr">
        <is>
          <t>N/A</t>
        </is>
      </c>
      <c r="L6960" s="10" t="inlineStr">
        <is>
          <t>Du Lịch Khách Sạn, Tiếng Anh, Chăm Sóc Khách Hàng, Sales, Tư Vấn Dịch Vụ</t>
        </is>
      </c>
      <c r="M6960" s="10" t="inlineStr">
        <is>
          <t>Bonus, Healthcare Plan, Paid Leave</t>
        </is>
      </c>
      <c r="N6960" s="11">
        <f>HYPERLINK("https://www.vietnamworks.com/chuyen-vien-kinh-doanh--2017979-jv","Xem chi tiết")</f>
        <v/>
      </c>
      <c r="O6960" s="10" t="n"/>
    </row>
    <row r="6961">
      <c r="B6961" s="7" t="n">
        <v>6959</v>
      </c>
      <c r="C6961" t="inlineStr">
        <is>
          <t>Talent Acquisition Manager</t>
        </is>
      </c>
      <c r="D6961" t="inlineStr">
        <is>
          <t>ILA Vietnam</t>
        </is>
      </c>
      <c r="E6961" t="inlineStr">
        <is>
          <t>Thương lượng</t>
        </is>
      </c>
      <c r="F6961" t="inlineStr">
        <is>
          <t>Hồ Chí Minh</t>
        </is>
      </c>
      <c r="G6961" t="inlineStr">
        <is>
          <t>Trưởng phòng</t>
        </is>
      </c>
      <c r="H6961" t="inlineStr">
        <is>
          <t>04/03/2026</t>
        </is>
      </c>
      <c r="I6961" t="inlineStr">
        <is>
          <t>03/04/2026</t>
        </is>
      </c>
      <c r="J6961" t="inlineStr">
        <is>
          <t>17/03/2026</t>
        </is>
      </c>
      <c r="K6961" t="inlineStr">
        <is>
          <t>N/A</t>
        </is>
      </c>
      <c r="L6961" t="inlineStr">
        <is>
          <t>Data Collection, HRIS System, Leadership, Office Software, Recruitment Tools</t>
        </is>
      </c>
      <c r="M6961" t="inlineStr">
        <is>
          <t>Bonus, Training, Travel Opportunities</t>
        </is>
      </c>
      <c r="N6961" s="8">
        <f>HYPERLINK("https://www.vietnamworks.com/talent-acquisition-manager-2017981-jv","Xem chi tiết")</f>
        <v/>
      </c>
    </row>
    <row r="6962">
      <c r="B6962" s="9" t="n">
        <v>6960</v>
      </c>
      <c r="C6962" s="10" t="inlineStr">
        <is>
          <t>Trợ Lý Kinh Doanh</t>
        </is>
      </c>
      <c r="D6962" s="10" t="inlineStr">
        <is>
          <t>Chicilon Media</t>
        </is>
      </c>
      <c r="E6962" s="10" t="inlineStr">
        <is>
          <t>Thương lượng</t>
        </is>
      </c>
      <c r="F6962" s="10" t="inlineStr">
        <is>
          <t>Hồ Chí Minh</t>
        </is>
      </c>
      <c r="G6962" s="10" t="inlineStr">
        <is>
          <t>Mới Tốt Nghiệp</t>
        </is>
      </c>
      <c r="H6962" s="10" t="inlineStr">
        <is>
          <t>04/03/2026</t>
        </is>
      </c>
      <c r="I6962" s="10" t="inlineStr">
        <is>
          <t>03/04/2026</t>
        </is>
      </c>
      <c r="J6962" s="10" t="inlineStr">
        <is>
          <t>17/03/2026</t>
        </is>
      </c>
      <c r="K6962" s="10" t="inlineStr">
        <is>
          <t>N/A</t>
        </is>
      </c>
      <c r="L6962" s="10" t="inlineStr">
        <is>
          <t>Kế Toán, Excel, Phân Tích Dữ Liệu, Sales Admin, Sales Support</t>
        </is>
      </c>
      <c r="M6962" s="10" t="inlineStr">
        <is>
          <t>Bonus, Healthcare Plan, Training, Team Activities, Transportation, Canteen, Others</t>
        </is>
      </c>
      <c r="N6962" s="11">
        <f>HYPERLINK("https://www.vietnamworks.com/tro-ly-kinh-doanh-2017984-jv","Xem chi tiết")</f>
        <v/>
      </c>
      <c r="O6962" s="10" t="n"/>
    </row>
    <row r="6963">
      <c r="B6963" s="7" t="n">
        <v>6961</v>
      </c>
      <c r="C6963" t="inlineStr">
        <is>
          <t>Production Manager</t>
        </is>
      </c>
      <c r="D6963" t="inlineStr">
        <is>
          <t>Indorama Ventures Vietnam</t>
        </is>
      </c>
      <c r="E6963" t="inlineStr">
        <is>
          <t>Thương lượng</t>
        </is>
      </c>
      <c r="F6963" t="inlineStr">
        <is>
          <t>Tây Ninh, Hồ Chí Minh</t>
        </is>
      </c>
      <c r="G6963" t="inlineStr">
        <is>
          <t>Trưởng phòng</t>
        </is>
      </c>
      <c r="H6963" t="inlineStr">
        <is>
          <t>04/03/2026</t>
        </is>
      </c>
      <c r="I6963" t="inlineStr">
        <is>
          <t>03/04/2026</t>
        </is>
      </c>
      <c r="J6963" t="inlineStr">
        <is>
          <t>17/03/2026</t>
        </is>
      </c>
      <c r="K6963" t="inlineStr">
        <is>
          <t>N/A</t>
        </is>
      </c>
      <c r="L6963" t="inlineStr">
        <is>
          <t>Electronic Engineering, Leadership Skills, Mechanical Engineering, Production Management, Time Management</t>
        </is>
      </c>
      <c r="M6963" t="inlineStr">
        <is>
          <t>Transportation, Others</t>
        </is>
      </c>
      <c r="N6963" s="8">
        <f>HYPERLINK("https://www.vietnamworks.com/production-manager-2017982-jv","Xem chi tiết")</f>
        <v/>
      </c>
    </row>
    <row r="6964">
      <c r="B6964" s="9" t="n">
        <v>6962</v>
      </c>
      <c r="C6964" s="10" t="inlineStr">
        <is>
          <t>Trợ Lý Tiếng Trung (Thu Nhập Từ 17-25 Triệu/ Tháng)</t>
        </is>
      </c>
      <c r="D6964" s="10" t="inlineStr">
        <is>
          <t>Chicilon Media</t>
        </is>
      </c>
      <c r="E6964" s="10" t="inlineStr">
        <is>
          <t>17tr-25tr ₫/tháng</t>
        </is>
      </c>
      <c r="F6964" s="10" t="inlineStr">
        <is>
          <t>Hồ Chí Minh</t>
        </is>
      </c>
      <c r="G6964" s="10" t="inlineStr">
        <is>
          <t>Nhân viên</t>
        </is>
      </c>
      <c r="H6964" s="10" t="inlineStr">
        <is>
          <t>04/03/2026</t>
        </is>
      </c>
      <c r="I6964" s="10" t="inlineStr">
        <is>
          <t>03/04/2026</t>
        </is>
      </c>
      <c r="J6964" s="10" t="inlineStr">
        <is>
          <t>17/03/2026</t>
        </is>
      </c>
      <c r="K6964" s="10" t="inlineStr">
        <is>
          <t>N/A</t>
        </is>
      </c>
      <c r="L6964" s="10" t="inlineStr">
        <is>
          <t>Tiếng Trung, Biên Phiên Dịch, Thương Mại, HSK, Trợ Lý</t>
        </is>
      </c>
      <c r="M6964" s="10" t="inlineStr">
        <is>
          <t>Bonus, Paid Leave, Training, Team Activities, Others</t>
        </is>
      </c>
      <c r="N6964" s="11">
        <f>HYPERLINK("https://www.vietnamworks.com/tro-ly-tieng-trung-thu-nhap-tu-17-25-trieu-thang-2017985-jv","Xem chi tiết")</f>
        <v/>
      </c>
      <c r="O6964" s="10" t="n"/>
    </row>
    <row r="6965">
      <c r="B6965" s="7" t="n">
        <v>6963</v>
      </c>
      <c r="C6965" t="inlineStr">
        <is>
          <t>Senior Admin Staff</t>
        </is>
      </c>
      <c r="D6965" t="inlineStr">
        <is>
          <t>LOTTE Properties Hanoi (LOTTE MALL West Lake Hanoi)</t>
        </is>
      </c>
      <c r="E6965" t="inlineStr">
        <is>
          <t>Thương lượng</t>
        </is>
      </c>
      <c r="F6965" t="inlineStr">
        <is>
          <t>Hà Nội</t>
        </is>
      </c>
      <c r="G6965" t="inlineStr">
        <is>
          <t>Nhân viên</t>
        </is>
      </c>
      <c r="H6965" t="inlineStr">
        <is>
          <t>04/03/2026</t>
        </is>
      </c>
      <c r="I6965" t="inlineStr">
        <is>
          <t>03/04/2026</t>
        </is>
      </c>
      <c r="J6965" t="inlineStr">
        <is>
          <t>17/03/2026</t>
        </is>
      </c>
      <c r="K6965" t="inlineStr">
        <is>
          <t>N/A</t>
        </is>
      </c>
      <c r="L6965" t="inlineStr">
        <is>
          <t>Tiếng Anh, Genenal Affair, Communication Skills, Administration, Hành Chính</t>
        </is>
      </c>
      <c r="M6965" t="inlineStr">
        <is>
          <t>Bonus, Paid Leave, Vouchers</t>
        </is>
      </c>
      <c r="N6965" s="8">
        <f>HYPERLINK("https://www.vietnamworks.com/senior-admin-staff--2017987-jv","Xem chi tiết")</f>
        <v/>
      </c>
    </row>
    <row r="6966">
      <c r="B6966" s="9" t="n">
        <v>6964</v>
      </c>
      <c r="C6966" s="10" t="inlineStr">
        <is>
          <t>Project Cargo Operations (Breakbulk / OOG / Flatrack)</t>
        </is>
      </c>
      <c r="D6966" s="10" t="inlineStr">
        <is>
          <t>Prime Global Logistics Vietnam</t>
        </is>
      </c>
      <c r="E6966" s="10" t="inlineStr">
        <is>
          <t>Thương lượng</t>
        </is>
      </c>
      <c r="F6966" s="10" t="inlineStr">
        <is>
          <t>Hồ Chí Minh</t>
        </is>
      </c>
      <c r="G6966" s="10" t="inlineStr">
        <is>
          <t>Nhân viên</t>
        </is>
      </c>
      <c r="H6966" s="10" t="inlineStr">
        <is>
          <t>04/03/2026</t>
        </is>
      </c>
      <c r="I6966" s="10" t="inlineStr">
        <is>
          <t>03/04/2026</t>
        </is>
      </c>
      <c r="J6966" s="10" t="inlineStr">
        <is>
          <t>17/03/2026</t>
        </is>
      </c>
      <c r="K6966" s="10" t="inlineStr">
        <is>
          <t>N/A</t>
        </is>
      </c>
      <c r="L6966" s="10" t="inlineStr">
        <is>
          <t>\tHeavy Lifting, Freight Forwarder, Operations, Project Cargo</t>
        </is>
      </c>
      <c r="M6966" s="10" t="inlineStr">
        <is>
          <t>Bonus, Healthcare Plan, Others</t>
        </is>
      </c>
      <c r="N6966" s="11">
        <f>HYPERLINK("https://www.vietnamworks.com/project-cargo-operations-breakbulk-oog-flatrack-2017999-jv","Xem chi tiết")</f>
        <v/>
      </c>
      <c r="O6966" s="10" t="n"/>
    </row>
    <row r="6967">
      <c r="B6967" s="7" t="n">
        <v>6965</v>
      </c>
      <c r="C6967" t="inlineStr">
        <is>
          <t>Kỹ Sư/ Nhân Viên Thí Nghiệm Điện – Thu Nhập 15–25 Triệu + Thưởng Dự Án</t>
        </is>
      </c>
      <c r="D6967" t="inlineStr">
        <is>
          <t>CÔNG TY CỔ PHẦN KỸ THUẬT CÔNG NGHỆ NETECH</t>
        </is>
      </c>
      <c r="E6967" t="inlineStr">
        <is>
          <t>8tr-25tr ₫/tháng</t>
        </is>
      </c>
      <c r="F6967" t="inlineStr">
        <is>
          <t>Hà Nội</t>
        </is>
      </c>
      <c r="G6967" t="inlineStr">
        <is>
          <t>Nhân viên</t>
        </is>
      </c>
      <c r="H6967" t="inlineStr">
        <is>
          <t>04/03/2026</t>
        </is>
      </c>
      <c r="I6967" t="inlineStr">
        <is>
          <t>03/04/2026</t>
        </is>
      </c>
      <c r="J6967" t="inlineStr">
        <is>
          <t>17/03/2026</t>
        </is>
      </c>
      <c r="K6967" t="inlineStr">
        <is>
          <t>N/A</t>
        </is>
      </c>
      <c r="L6967" t="inlineStr">
        <is>
          <t>Thí Nghiệm, Thiết Kế Điện, Hệ Thống Điện, Phân Tích Thí Nghiệm, Điện</t>
        </is>
      </c>
      <c r="M6967" t="inlineStr">
        <is>
          <t>Bonus, Healthcare Plan, Training, Others</t>
        </is>
      </c>
      <c r="N6967" s="8">
        <f>HYPERLINK("https://www.vietnamworks.com/ky-su-nhan-vien-thi-nghiem-dien-thu-nhap-15-25-trieu-thuong-du-an-2017989-jv","Xem chi tiết")</f>
        <v/>
      </c>
    </row>
    <row r="6968">
      <c r="B6968" s="9" t="n">
        <v>6966</v>
      </c>
      <c r="C6968" s="10" t="inlineStr">
        <is>
          <t>Digital Designer (Amazon &amp; AI Workflow Focused)</t>
        </is>
      </c>
      <c r="D6968" s="10" t="inlineStr">
        <is>
          <t>Vietnamworks' Client</t>
        </is>
      </c>
      <c r="E6968" s="10" t="inlineStr">
        <is>
          <t>13tr-19tr ₫/tháng</t>
        </is>
      </c>
      <c r="F6968" s="10" t="inlineStr">
        <is>
          <t>Hồ Chí Minh</t>
        </is>
      </c>
      <c r="G6968" s="10" t="inlineStr">
        <is>
          <t>Nhân viên</t>
        </is>
      </c>
      <c r="H6968" s="10" t="inlineStr">
        <is>
          <t>04/03/2026</t>
        </is>
      </c>
      <c r="I6968" s="10" t="inlineStr">
        <is>
          <t>03/04/2026</t>
        </is>
      </c>
      <c r="J6968" s="10" t="inlineStr">
        <is>
          <t>17/03/2026</t>
        </is>
      </c>
      <c r="K6968" s="10" t="inlineStr">
        <is>
          <t>N/A</t>
        </is>
      </c>
      <c r="L6968" s="10" t="inlineStr">
        <is>
          <t>Thiết Kế Hình Ảnh, Editing Video, Digital Marketing, ESS Tools, Systemic Thinking</t>
        </is>
      </c>
      <c r="M6968" s="10" t="inlineStr">
        <is>
          <t>Bonus, Training, Team Activities, Others</t>
        </is>
      </c>
      <c r="N6968" s="11">
        <f>HYPERLINK("https://www.vietnamworks.com/digital-designer-amazon-ai-workflow-focused-2017992-jv","Xem chi tiết")</f>
        <v/>
      </c>
      <c r="O6968" s="10" t="n"/>
    </row>
    <row r="6969">
      <c r="B6969" s="7" t="n">
        <v>6967</v>
      </c>
      <c r="C6969" t="inlineStr">
        <is>
          <t>E-commerce Manager</t>
        </is>
      </c>
      <c r="D6969" t="inlineStr">
        <is>
          <t>CÔNG TY CỔ PHẦN CHẾ BIẾN NÔNG SẢN SAO MAI</t>
        </is>
      </c>
      <c r="E6969" t="inlineStr">
        <is>
          <t>Thương lượng</t>
        </is>
      </c>
      <c r="F6969" t="inlineStr">
        <is>
          <t>Hồ Chí Minh</t>
        </is>
      </c>
      <c r="G6969" t="inlineStr">
        <is>
          <t>Trưởng phòng</t>
        </is>
      </c>
      <c r="H6969" t="inlineStr">
        <is>
          <t>04/03/2026</t>
        </is>
      </c>
      <c r="I6969" t="inlineStr">
        <is>
          <t>03/04/2026</t>
        </is>
      </c>
      <c r="J6969" t="inlineStr">
        <is>
          <t>17/03/2026</t>
        </is>
      </c>
      <c r="K6969" t="inlineStr">
        <is>
          <t>N/A</t>
        </is>
      </c>
      <c r="L6969" t="inlineStr">
        <is>
          <t>B2B Service, Digital Advertising, Sales Ecommerce, Seo, Strategic Thinking</t>
        </is>
      </c>
      <c r="M6969" t="inlineStr">
        <is>
          <t>Bonus, Training, Laptop, Team Activities, Others</t>
        </is>
      </c>
      <c r="N6969" s="8">
        <f>HYPERLINK("https://www.vietnamworks.com/e-commerce-manager-2017991-jv","Xem chi tiết")</f>
        <v/>
      </c>
    </row>
    <row r="6970">
      <c r="B6970" s="9" t="n">
        <v>6968</v>
      </c>
      <c r="C6970" s="10" t="inlineStr">
        <is>
          <t>Senior Developer</t>
        </is>
      </c>
      <c r="D6970" s="10" t="inlineStr">
        <is>
          <t>Công Ty TNHH Giải Pháp Công Nghệ Cộng</t>
        </is>
      </c>
      <c r="E6970" s="10" t="inlineStr">
        <is>
          <t>$$ 800-1,300 /tháng</t>
        </is>
      </c>
      <c r="F6970" s="10" t="inlineStr">
        <is>
          <t>Hà Nội</t>
        </is>
      </c>
      <c r="G6970" s="10" t="inlineStr">
        <is>
          <t>Nhân viên</t>
        </is>
      </c>
      <c r="H6970" s="10" t="inlineStr">
        <is>
          <t>04/03/2026</t>
        </is>
      </c>
      <c r="I6970" s="10" t="inlineStr">
        <is>
          <t>03/04/2026</t>
        </is>
      </c>
      <c r="J6970" s="10" t="inlineStr">
        <is>
          <t>17/03/2026</t>
        </is>
      </c>
      <c r="K6970" s="10" t="inlineStr">
        <is>
          <t>N/A</t>
        </is>
      </c>
      <c r="L6970" s="10" t="inlineStr">
        <is>
          <t>.Net, Full Stack Development, Design Pattern, Docker, Angular</t>
        </is>
      </c>
      <c r="M6970" s="10" t="inlineStr">
        <is>
          <t>Healthcare Plan, Travel Opportunities, Others</t>
        </is>
      </c>
      <c r="N6970" s="11">
        <f>HYPERLINK("https://www.vietnamworks.com/senior-developer--2017990-jv","Xem chi tiết")</f>
        <v/>
      </c>
      <c r="O6970" s="10" t="n"/>
    </row>
    <row r="6971">
      <c r="B6971" s="7" t="n">
        <v>6969</v>
      </c>
      <c r="C6971" t="inlineStr">
        <is>
          <t>Marketing Manager</t>
        </is>
      </c>
      <c r="D6971" t="inlineStr">
        <is>
          <t>EEO Việt Nam</t>
        </is>
      </c>
      <c r="E6971" t="inlineStr">
        <is>
          <t>Thương lượng</t>
        </is>
      </c>
      <c r="F6971" t="inlineStr">
        <is>
          <t>Hồ Chí Minh</t>
        </is>
      </c>
      <c r="G6971" t="inlineStr">
        <is>
          <t>Nhân viên</t>
        </is>
      </c>
      <c r="H6971" t="inlineStr">
        <is>
          <t>04/03/2026</t>
        </is>
      </c>
      <c r="I6971" t="inlineStr">
        <is>
          <t>03/04/2026</t>
        </is>
      </c>
      <c r="J6971" t="inlineStr">
        <is>
          <t>17/03/2026</t>
        </is>
      </c>
      <c r="K6971" t="inlineStr">
        <is>
          <t>N/A</t>
        </is>
      </c>
      <c r="L6971" t="inlineStr">
        <is>
          <t>Content Marketing, Digital Marketing, Lead Generation, Marketing Strategy, Stakeholder Management</t>
        </is>
      </c>
      <c r="M6971" t="inlineStr">
        <is>
          <t>Paid Leave, Laptop, Team Activities, Others</t>
        </is>
      </c>
      <c r="N6971" s="8">
        <f>HYPERLINK("https://www.vietnamworks.com/marketing-manager-2018011-jv","Xem chi tiết")</f>
        <v/>
      </c>
    </row>
    <row r="6972">
      <c r="B6972" s="9" t="n">
        <v>6970</v>
      </c>
      <c r="C6972" s="10" t="inlineStr">
        <is>
          <t>Sales Support (Ưu Tiên Nam)</t>
        </is>
      </c>
      <c r="D6972" s="10" t="inlineStr">
        <is>
          <t>CTY TNHH Thương Mại Dịch Vụ Phương Đài (FUDA Co. LTD)</t>
        </is>
      </c>
      <c r="E6972" s="10" t="inlineStr">
        <is>
          <t>Thương lượng</t>
        </is>
      </c>
      <c r="F6972" s="10" t="inlineStr">
        <is>
          <t>Hồ Chí Minh</t>
        </is>
      </c>
      <c r="G6972" s="10" t="inlineStr">
        <is>
          <t>Nhân viên</t>
        </is>
      </c>
      <c r="H6972" s="10" t="inlineStr">
        <is>
          <t>04/03/2026</t>
        </is>
      </c>
      <c r="I6972" s="10" t="inlineStr">
        <is>
          <t>03/04/2026</t>
        </is>
      </c>
      <c r="J6972" s="10" t="inlineStr">
        <is>
          <t>17/03/2026</t>
        </is>
      </c>
      <c r="K6972" s="10" t="inlineStr">
        <is>
          <t>N/A</t>
        </is>
      </c>
      <c r="L6972" s="10" t="inlineStr">
        <is>
          <t>Sales Support, Hỗ Trợ Kinh Doanh, Sales Admin, Nhận Đơn Đặt Hàng, Quản Lý Chứng Từ</t>
        </is>
      </c>
      <c r="M6972" s="10" t="inlineStr">
        <is>
          <t>Bonus, Healthcare Plan, Paid Leave</t>
        </is>
      </c>
      <c r="N6972" s="11">
        <f>HYPERLINK("https://www.vietnamworks.com/sales-support-uu-tien-nam--2017994-jv","Xem chi tiết")</f>
        <v/>
      </c>
      <c r="O6972" s="10" t="n"/>
    </row>
    <row r="6973">
      <c r="B6973" s="7" t="n">
        <v>6971</v>
      </c>
      <c r="C6973" t="inlineStr">
        <is>
          <t>Head of It_A Globally Established Manufacturing Company</t>
        </is>
      </c>
      <c r="D6973" t="inlineStr">
        <is>
          <t>Michael Page Vietnam</t>
        </is>
      </c>
      <c r="E6973" t="inlineStr">
        <is>
          <t>Thương lượng</t>
        </is>
      </c>
      <c r="F6973" t="inlineStr">
        <is>
          <t>Bình Dương</t>
        </is>
      </c>
      <c r="G6973" t="inlineStr">
        <is>
          <t>Trưởng phòng</t>
        </is>
      </c>
      <c r="H6973" t="inlineStr">
        <is>
          <t>04/03/2026</t>
        </is>
      </c>
      <c r="I6973" t="inlineStr">
        <is>
          <t>03/04/2026</t>
        </is>
      </c>
      <c r="J6973" t="inlineStr">
        <is>
          <t>17/03/2026</t>
        </is>
      </c>
      <c r="K6973" t="inlineStr">
        <is>
          <t>N/A</t>
        </is>
      </c>
      <c r="L6973" t="inlineStr">
        <is>
          <t>ERP, Cyber Security, Server Management, Infrastructure, IT Operations</t>
        </is>
      </c>
      <c r="M6973" t="inlineStr">
        <is>
          <t>Awards</t>
        </is>
      </c>
      <c r="N6973" s="8">
        <f>HYPERLINK("https://www.vietnamworks.com/head-of-it-a-globally-established-manufacturing-company-2017993-jv","Xem chi tiết")</f>
        <v/>
      </c>
    </row>
    <row r="6974">
      <c r="B6974" s="9" t="n">
        <v>6972</v>
      </c>
      <c r="C6974" s="10" t="inlineStr">
        <is>
          <t>Kế Toán Tổng Hợp</t>
        </is>
      </c>
      <c r="D6974" s="10" t="inlineStr">
        <is>
          <t>Công Ty TNHH Dược Phẩm Thăng Long</t>
        </is>
      </c>
      <c r="E6974" s="10" t="inlineStr">
        <is>
          <t>Từ 15tr ₫/tháng</t>
        </is>
      </c>
      <c r="F6974" s="10" t="inlineStr">
        <is>
          <t>Hồ Chí Minh</t>
        </is>
      </c>
      <c r="G6974" s="10" t="inlineStr">
        <is>
          <t>Nhân viên</t>
        </is>
      </c>
      <c r="H6974" s="10" t="inlineStr">
        <is>
          <t>04/03/2026</t>
        </is>
      </c>
      <c r="I6974" s="10" t="inlineStr">
        <is>
          <t>03/04/2026</t>
        </is>
      </c>
      <c r="J6974" s="10" t="inlineStr">
        <is>
          <t>17/03/2026</t>
        </is>
      </c>
      <c r="K6974" s="10" t="inlineStr">
        <is>
          <t>N/A</t>
        </is>
      </c>
      <c r="L6974" s="10" t="inlineStr">
        <is>
          <t>Kế Toán Tổng Hợp, Phần mềm kế toán, Quản Lý Kho, Kiểm Soát Chi Phí, Quyết Toán Thuế</t>
        </is>
      </c>
      <c r="M6974" s="10" t="inlineStr">
        <is>
          <t>Bonus, Healthcare Plan, Travel Opportunities, Others</t>
        </is>
      </c>
      <c r="N6974" s="11">
        <f>HYPERLINK("https://www.vietnamworks.com/ke-toan-tong-hop-2017997-jv","Xem chi tiết")</f>
        <v/>
      </c>
      <c r="O6974" s="10" t="n"/>
    </row>
    <row r="6975">
      <c r="B6975" s="7" t="n">
        <v>6973</v>
      </c>
      <c r="C6975" t="inlineStr">
        <is>
          <t>Nhân Viên Chứng Từ</t>
        </is>
      </c>
      <c r="D6975" t="inlineStr">
        <is>
          <t>CHI NHÁNH CÔNG TY TNHH SANKYU (VIỆT NAM) TẠI HẢI DƯƠNG</t>
        </is>
      </c>
      <c r="E6975" t="inlineStr">
        <is>
          <t>Thương lượng</t>
        </is>
      </c>
      <c r="F6975" t="inlineStr">
        <is>
          <t>Ninh Bình, Hà Nội</t>
        </is>
      </c>
      <c r="G6975" t="inlineStr">
        <is>
          <t>Nhân viên</t>
        </is>
      </c>
      <c r="H6975" t="inlineStr">
        <is>
          <t>04/03/2026</t>
        </is>
      </c>
      <c r="I6975" t="inlineStr">
        <is>
          <t>03/04/2026</t>
        </is>
      </c>
      <c r="J6975" t="inlineStr">
        <is>
          <t>17/03/2026</t>
        </is>
      </c>
      <c r="K6975" t="inlineStr">
        <is>
          <t>N/A</t>
        </is>
      </c>
      <c r="L6975" t="inlineStr">
        <is>
          <t>Logistics, Customs, Documentation, Khai Báo Hải Quan, VNACCS</t>
        </is>
      </c>
      <c r="M6975" t="inlineStr">
        <is>
          <t>Bonus, Healthcare Plan, Training, Others</t>
        </is>
      </c>
      <c r="N6975" s="8">
        <f>HYPERLINK("https://www.vietnamworks.com/nhan-vien-chung-tu-2018010-jv","Xem chi tiết")</f>
        <v/>
      </c>
    </row>
    <row r="6976">
      <c r="B6976" s="9" t="n">
        <v>6974</v>
      </c>
      <c r="C6976" s="10" t="inlineStr">
        <is>
          <t>Cross Boarder Ecommerce Listing (Amazon Seller)</t>
        </is>
      </c>
      <c r="D6976" s="10" t="inlineStr">
        <is>
          <t>Vietnamworks' Client</t>
        </is>
      </c>
      <c r="E6976" s="10" t="inlineStr">
        <is>
          <t>$$ 600-1,000 /tháng</t>
        </is>
      </c>
      <c r="F6976" s="10" t="inlineStr">
        <is>
          <t>Hồ Chí Minh</t>
        </is>
      </c>
      <c r="G6976" s="10" t="inlineStr">
        <is>
          <t>Nhân viên</t>
        </is>
      </c>
      <c r="H6976" s="10" t="inlineStr">
        <is>
          <t>04/03/2026</t>
        </is>
      </c>
      <c r="I6976" s="10" t="inlineStr">
        <is>
          <t>03/04/2026</t>
        </is>
      </c>
      <c r="J6976" s="10" t="inlineStr">
        <is>
          <t>17/03/2026</t>
        </is>
      </c>
      <c r="K6976" s="10" t="inlineStr">
        <is>
          <t>N/A</t>
        </is>
      </c>
      <c r="L6976" s="10" t="inlineStr">
        <is>
          <t>Amazon Web Service, SEO Optimization, Data Analysis, Project Management, Team Work</t>
        </is>
      </c>
      <c r="M6976" s="10" t="inlineStr">
        <is>
          <t>Bonus</t>
        </is>
      </c>
      <c r="N6976" s="11">
        <f>HYPERLINK("https://www.vietnamworks.com/cross-boarder-ecommerce-listing-amazon-seller-2017998-jv","Xem chi tiết")</f>
        <v/>
      </c>
      <c r="O6976" s="10" t="n"/>
    </row>
    <row r="6977">
      <c r="B6977" s="7" t="n">
        <v>6975</v>
      </c>
      <c r="C6977" t="inlineStr">
        <is>
          <t>Production Assistant</t>
        </is>
      </c>
      <c r="D6977" t="inlineStr">
        <is>
          <t>Nestlé Vietnam LTD.</t>
        </is>
      </c>
      <c r="E6977" t="inlineStr">
        <is>
          <t>Thương lượng</t>
        </is>
      </c>
      <c r="F6977" t="inlineStr">
        <is>
          <t>Đồng Nai</t>
        </is>
      </c>
      <c r="G6977" t="inlineStr">
        <is>
          <t>Nhân viên</t>
        </is>
      </c>
      <c r="H6977" t="inlineStr">
        <is>
          <t>04/03/2026</t>
        </is>
      </c>
      <c r="I6977" t="inlineStr">
        <is>
          <t>03/04/2026</t>
        </is>
      </c>
      <c r="J6977" t="inlineStr">
        <is>
          <t>17/03/2026</t>
        </is>
      </c>
      <c r="K6977" t="inlineStr">
        <is>
          <t>N/A</t>
        </is>
      </c>
      <c r="L6977" t="inlineStr">
        <is>
          <t>Production Planning, SAP, MS Office, Industrial Management, Supply Chain Management</t>
        </is>
      </c>
      <c r="M6977" t="inlineStr">
        <is>
          <t>Bonus, Healthcare Plan, Laptop, Canteen, Others</t>
        </is>
      </c>
      <c r="N6977" s="8">
        <f>HYPERLINK("https://www.vietnamworks.com/production-assistant-2018018-jv","Xem chi tiết")</f>
        <v/>
      </c>
    </row>
    <row r="6978">
      <c r="B6978" s="9" t="n">
        <v>6976</v>
      </c>
      <c r="C6978" s="10" t="inlineStr">
        <is>
          <t>Senior Executive / Deputy Manager - B2B Clients Service</t>
        </is>
      </c>
      <c r="D6978" s="10" t="inlineStr">
        <is>
          <t>MSIG Insurance (Vietnam) Co., Ltd.</t>
        </is>
      </c>
      <c r="E6978" s="10" t="inlineStr">
        <is>
          <t>Thương lượng</t>
        </is>
      </c>
      <c r="F6978" s="10" t="inlineStr">
        <is>
          <t>Hà Nội, Hồ Chí Minh</t>
        </is>
      </c>
      <c r="G6978" s="10" t="inlineStr">
        <is>
          <t>Nhân viên</t>
        </is>
      </c>
      <c r="H6978" s="10" t="inlineStr">
        <is>
          <t>04/03/2026</t>
        </is>
      </c>
      <c r="I6978" s="10" t="inlineStr">
        <is>
          <t>03/04/2026</t>
        </is>
      </c>
      <c r="J6978" s="10" t="inlineStr">
        <is>
          <t>17/03/2026</t>
        </is>
      </c>
      <c r="K6978" s="10" t="inlineStr">
        <is>
          <t>N/A</t>
        </is>
      </c>
      <c r="L6978" s="10" t="inlineStr">
        <is>
          <t>B2B Sales, Client Service, Client Management, Customer Service, Non-life Insurance</t>
        </is>
      </c>
      <c r="M6978" s="10" t="inlineStr">
        <is>
          <t>Paid Leave, Travel Opportunities, Others</t>
        </is>
      </c>
      <c r="N6978" s="11">
        <f>HYPERLINK("https://www.vietnamworks.com/senior-executive-deputy-manager-b2b-clients-service-2018004-jv","Xem chi tiết")</f>
        <v/>
      </c>
      <c r="O6978" s="10" t="n"/>
    </row>
    <row r="6979">
      <c r="B6979" s="7" t="n">
        <v>6977</v>
      </c>
      <c r="C6979" t="inlineStr">
        <is>
          <t>Fasttrack 2026 - Chuyên Viên Tư Vấn Khách Hàng Cá Nhân</t>
        </is>
      </c>
      <c r="D6979" t="inlineStr">
        <is>
          <t>ABBank - Ngân Hàng TMCP An Bình</t>
        </is>
      </c>
      <c r="E6979" t="inlineStr">
        <is>
          <t>$$ 200-500 /tháng</t>
        </is>
      </c>
      <c r="F6979" t="inlineStr">
        <is>
          <t>Hồ Chí Minh</t>
        </is>
      </c>
      <c r="G6979" t="inlineStr">
        <is>
          <t>Mới Tốt Nghiệp</t>
        </is>
      </c>
      <c r="H6979" t="inlineStr">
        <is>
          <t>04/03/2026</t>
        </is>
      </c>
      <c r="I6979" t="inlineStr">
        <is>
          <t>03/04/2026</t>
        </is>
      </c>
      <c r="J6979" t="inlineStr">
        <is>
          <t>17/03/2026</t>
        </is>
      </c>
      <c r="K6979" t="inlineStr">
        <is>
          <t>N/A</t>
        </is>
      </c>
      <c r="L6979" t="inlineStr">
        <is>
          <t>Tư Vấn Tài Chính, ngân hàng, Giao Tiếp, Bán Hàng</t>
        </is>
      </c>
      <c r="M6979" t="inlineStr">
        <is>
          <t>Bonus, Training, Others</t>
        </is>
      </c>
      <c r="N6979" s="8">
        <f>HYPERLINK("https://www.vietnamworks.com/fasttrack-2026-chuyen-vien-tu-van-khach-hang-ca-nhan-2018000-jv","Xem chi tiết")</f>
        <v/>
      </c>
    </row>
    <row r="6980">
      <c r="B6980" s="9" t="n">
        <v>6978</v>
      </c>
      <c r="C6980" s="10" t="inlineStr">
        <is>
          <t>Trưởng Phòng Lab Độ Bền (Reliability Lab) - Nghỉ Thứ 7 và Chủ Nhật</t>
        </is>
      </c>
      <c r="D6980" s="10" t="inlineStr">
        <is>
          <t>Mektec Manufacturing Corporation (Vietnam) Ltd.</t>
        </is>
      </c>
      <c r="E6980" s="10" t="inlineStr">
        <is>
          <t>$$ 950-1,200 /tháng</t>
        </is>
      </c>
      <c r="F6980" s="10" t="inlineStr">
        <is>
          <t>Hưng Yên, Hà Nội, Hải Dương</t>
        </is>
      </c>
      <c r="G6980" s="10" t="inlineStr">
        <is>
          <t>Trưởng phòng</t>
        </is>
      </c>
      <c r="H6980" s="10" t="inlineStr">
        <is>
          <t>04/03/2026</t>
        </is>
      </c>
      <c r="I6980" s="10" t="inlineStr">
        <is>
          <t>03/04/2026</t>
        </is>
      </c>
      <c r="J6980" s="10" t="inlineStr">
        <is>
          <t>17/03/2026</t>
        </is>
      </c>
      <c r="K6980" s="10" t="inlineStr">
        <is>
          <t>N/A</t>
        </is>
      </c>
      <c r="L6980" s="10" t="inlineStr">
        <is>
          <t>Management experience, English Communicate, Audit Experience, Quality Tools, Laboratory</t>
        </is>
      </c>
      <c r="M6980" s="10" t="inlineStr">
        <is>
          <t>Bonus</t>
        </is>
      </c>
      <c r="N6980" s="11">
        <f>HYPERLINK("https://www.vietnamworks.com/truong-phong-lab-do-ben-reliability-lab-nghi-thu-7-va-chu-nhat-2018009-jv","Xem chi tiết")</f>
        <v/>
      </c>
      <c r="O6980" s="10" t="n"/>
    </row>
    <row r="6981">
      <c r="B6981" s="7" t="n">
        <v>6979</v>
      </c>
      <c r="C6981" t="inlineStr">
        <is>
          <t>Telesales &amp; Chat Representative (TSR)</t>
        </is>
      </c>
      <c r="D6981" t="inlineStr">
        <is>
          <t>Rabbit Care Co., Ltd.</t>
        </is>
      </c>
      <c r="E6981" t="inlineStr">
        <is>
          <t>Từ 10tr ₫/tháng</t>
        </is>
      </c>
      <c r="F6981" t="inlineStr">
        <is>
          <t>Hồ Chí Minh</t>
        </is>
      </c>
      <c r="G6981" t="inlineStr">
        <is>
          <t>Nhân viên</t>
        </is>
      </c>
      <c r="H6981" t="inlineStr">
        <is>
          <t>04/03/2026</t>
        </is>
      </c>
      <c r="I6981" t="inlineStr">
        <is>
          <t>03/04/2026</t>
        </is>
      </c>
      <c r="J6981" t="inlineStr">
        <is>
          <t>17/03/2026</t>
        </is>
      </c>
      <c r="K6981" t="inlineStr">
        <is>
          <t>N/A</t>
        </is>
      </c>
      <c r="L6981" t="inlineStr">
        <is>
          <t>Computer Skills, Customer Service, Microsoft Office, Problem-solving, Telesales</t>
        </is>
      </c>
      <c r="M6981" t="inlineStr">
        <is>
          <t>Others</t>
        </is>
      </c>
      <c r="N6981" s="8">
        <f>HYPERLINK("https://www.vietnamworks.com/telesales-and-chat-representative-tsr-2018012-jv","Xem chi tiết")</f>
        <v/>
      </c>
    </row>
    <row r="6982">
      <c r="B6982" s="9" t="n">
        <v>6980</v>
      </c>
      <c r="C6982" s="10" t="inlineStr">
        <is>
          <t>Senior Real Estate Sales Executive (Foreign Clients Focus)</t>
        </is>
      </c>
      <c r="D6982" s="10" t="inlineStr">
        <is>
          <t>Công Ty TNHH N-Asset Việt Nam</t>
        </is>
      </c>
      <c r="E6982" s="10" t="inlineStr">
        <is>
          <t>25tr-30tr ₫/tháng</t>
        </is>
      </c>
      <c r="F6982" s="10" t="inlineStr">
        <is>
          <t>Hồ Chí Minh</t>
        </is>
      </c>
      <c r="G6982" s="10" t="inlineStr">
        <is>
          <t>Nhân viên</t>
        </is>
      </c>
      <c r="H6982" s="10" t="inlineStr">
        <is>
          <t>04/03/2026</t>
        </is>
      </c>
      <c r="I6982" s="10" t="inlineStr">
        <is>
          <t>03/04/2026</t>
        </is>
      </c>
      <c r="J6982" s="10" t="inlineStr">
        <is>
          <t>17/03/2026</t>
        </is>
      </c>
      <c r="K6982" s="10" t="inlineStr">
        <is>
          <t>N/A</t>
        </is>
      </c>
      <c r="L6982" s="10" t="inlineStr">
        <is>
          <t>Bất Động Sản, Real Estate Sales, Sales, Property Investment and Development, Bđs</t>
        </is>
      </c>
      <c r="M6982" s="10" t="inlineStr">
        <is>
          <t>Bonus, Healthcare Plan, Laptop, Others</t>
        </is>
      </c>
      <c r="N6982" s="11">
        <f>HYPERLINK("https://www.vietnamworks.com/senior-real-estate-sales-executive-foreign-clients-focus-2018008-jv","Xem chi tiết")</f>
        <v/>
      </c>
      <c r="O6982" s="10" t="n"/>
    </row>
    <row r="6983">
      <c r="B6983" s="7" t="n">
        <v>6981</v>
      </c>
      <c r="C6983" t="inlineStr">
        <is>
          <t>NHÂN VIÊN CHỨNG TỪ KHO</t>
        </is>
      </c>
      <c r="D6983" t="inlineStr">
        <is>
          <t>CHI NHÁNH CÔNG TY TNHH SANKYU (VIỆT NAM) TẠI HẢI DƯƠNG</t>
        </is>
      </c>
      <c r="E6983" t="inlineStr">
        <is>
          <t>Thương lượng</t>
        </is>
      </c>
      <c r="F6983" t="inlineStr">
        <is>
          <t>Hải Dương</t>
        </is>
      </c>
      <c r="G6983" t="inlineStr">
        <is>
          <t>Nhân viên</t>
        </is>
      </c>
      <c r="H6983" t="inlineStr">
        <is>
          <t>04/03/2026</t>
        </is>
      </c>
      <c r="I6983" t="inlineStr">
        <is>
          <t>03/04/2026</t>
        </is>
      </c>
      <c r="J6983" t="inlineStr">
        <is>
          <t>17/03/2026</t>
        </is>
      </c>
      <c r="K6983" t="inlineStr">
        <is>
          <t>N/A</t>
        </is>
      </c>
      <c r="L6983" t="inlineStr">
        <is>
          <t>Customer Service, Documentation, English</t>
        </is>
      </c>
      <c r="M6983" t="inlineStr">
        <is>
          <t>Bonus, Healthcare Plan, Paid Leave, Training, Others</t>
        </is>
      </c>
      <c r="N6983" s="8">
        <f>HYPERLINK("https://www.vietnamworks.com/nhan-vien-chung-tu-kho-2018007-jv","Xem chi tiết")</f>
        <v/>
      </c>
    </row>
    <row r="6984">
      <c r="B6984" s="9" t="n">
        <v>6982</v>
      </c>
      <c r="C6984" s="10" t="inlineStr">
        <is>
          <t>Head Of Procurement - Indirect</t>
        </is>
      </c>
      <c r="D6984" s="10" t="inlineStr">
        <is>
          <t>Công Ty Cổ Phần Vàng Bạc Đá Quý Phú Nhuận (PNJ)</t>
        </is>
      </c>
      <c r="E6984" s="10" t="inlineStr">
        <is>
          <t>Thương lượng</t>
        </is>
      </c>
      <c r="F6984" s="10" t="inlineStr">
        <is>
          <t>Hồ Chí Minh</t>
        </is>
      </c>
      <c r="G6984" s="10" t="inlineStr">
        <is>
          <t>Giám Đốc và Cấp Cao Hơn</t>
        </is>
      </c>
      <c r="H6984" s="10" t="inlineStr">
        <is>
          <t>04/03/2026</t>
        </is>
      </c>
      <c r="I6984" s="10" t="inlineStr">
        <is>
          <t>03/04/2026</t>
        </is>
      </c>
      <c r="J6984" s="10" t="inlineStr">
        <is>
          <t>17/03/2026</t>
        </is>
      </c>
      <c r="K6984" s="10" t="inlineStr">
        <is>
          <t>N/A</t>
        </is>
      </c>
      <c r="L6984" s="10" t="inlineStr">
        <is>
          <t>Cost Management, Procurement Strategy, Stakeholder Management, Supplier Sourcing, Team Management</t>
        </is>
      </c>
      <c r="M6984" s="10" t="inlineStr">
        <is>
          <t>Bonus, Others</t>
        </is>
      </c>
      <c r="N6984" s="11">
        <f>HYPERLINK("https://www.vietnamworks.com/head-of-procurement-indirect-2017996-jv","Xem chi tiết")</f>
        <v/>
      </c>
      <c r="O6984" s="10" t="n"/>
    </row>
    <row r="6985">
      <c r="B6985" s="7" t="n">
        <v>6983</v>
      </c>
      <c r="C6985" t="inlineStr">
        <is>
          <t>Sales Assistant (Back Office) / Trợ Lý KD Bán &amp; Cho thuê Căn Hộ Tại Bình Dương</t>
        </is>
      </c>
      <c r="D6985" t="inlineStr">
        <is>
          <t>Công Ty TNHH N-Asset Việt Nam</t>
        </is>
      </c>
      <c r="E6985" t="inlineStr">
        <is>
          <t>15tr-18tr ₫/tháng</t>
        </is>
      </c>
      <c r="F6985" t="inlineStr">
        <is>
          <t>Bình Dương</t>
        </is>
      </c>
      <c r="G6985" t="inlineStr">
        <is>
          <t>Nhân viên</t>
        </is>
      </c>
      <c r="H6985" t="inlineStr">
        <is>
          <t>04/03/2026</t>
        </is>
      </c>
      <c r="I6985" t="inlineStr">
        <is>
          <t>03/04/2026</t>
        </is>
      </c>
      <c r="J6985" t="inlineStr">
        <is>
          <t>17/03/2026</t>
        </is>
      </c>
      <c r="K6985" t="inlineStr">
        <is>
          <t>N/A</t>
        </is>
      </c>
      <c r="L6985" t="inlineStr">
        <is>
          <t>Real Estate, Administrative Support, Document Management, Sales Support, Sales Assistance</t>
        </is>
      </c>
      <c r="M6985" t="inlineStr">
        <is>
          <t>Bonus, Healthcare Plan, Laptop, Others</t>
        </is>
      </c>
      <c r="N6985" s="8">
        <f>HYPERLINK("https://www.vietnamworks.com/sales-assistant-back-office-tro-ly-kd-ban-and-cho-thue-can-ho-tai-binh-duong-2018005-jv","Xem chi tiết")</f>
        <v/>
      </c>
    </row>
    <row r="6986">
      <c r="B6986" s="9" t="n">
        <v>6984</v>
      </c>
      <c r="C6986" s="10" t="inlineStr">
        <is>
          <t>Marketing Manager</t>
        </is>
      </c>
      <c r="D6986" s="10" t="inlineStr">
        <is>
          <t>CÔNG TY CỔ PHẦN CHẾ BIẾN NÔNG SẢN SAO MAI</t>
        </is>
      </c>
      <c r="E6986" s="10" t="inlineStr">
        <is>
          <t>Thương lượng</t>
        </is>
      </c>
      <c r="F6986" s="10" t="inlineStr">
        <is>
          <t>Hồ Chí Minh</t>
        </is>
      </c>
      <c r="G6986" s="10" t="inlineStr">
        <is>
          <t>Trưởng phòng</t>
        </is>
      </c>
      <c r="H6986" s="10" t="inlineStr">
        <is>
          <t>04/03/2026</t>
        </is>
      </c>
      <c r="I6986" s="10" t="inlineStr">
        <is>
          <t>03/04/2026</t>
        </is>
      </c>
      <c r="J6986" s="10" t="inlineStr">
        <is>
          <t>17/03/2026</t>
        </is>
      </c>
      <c r="K6986" s="10" t="inlineStr">
        <is>
          <t>N/A</t>
        </is>
      </c>
      <c r="L6986" s="10" t="inlineStr">
        <is>
          <t>B2B Marketing, Digital Content Marketing, Marketing Intelligence Analysis, Marketing Materials Creation, Team Management</t>
        </is>
      </c>
      <c r="M6986" s="10" t="inlineStr">
        <is>
          <t>Bonus, Training, Laptop, Team Activities, Others</t>
        </is>
      </c>
      <c r="N6986" s="11">
        <f>HYPERLINK("https://www.vietnamworks.com/marketing-manager-2018006-jv","Xem chi tiết")</f>
        <v/>
      </c>
      <c r="O6986" s="10" t="n"/>
    </row>
    <row r="6987">
      <c r="B6987" s="7" t="n">
        <v>6985</v>
      </c>
      <c r="C6987" t="inlineStr">
        <is>
          <t>Chuyên Viên Pháp Chế Y/c Kinh Nghiệm Ngân Hàng (Thu Nhập Up to 30 Triệu)</t>
        </is>
      </c>
      <c r="D6987" t="inlineStr">
        <is>
          <t>Ngân Hàng TNHH MTV Woori Việt Nam</t>
        </is>
      </c>
      <c r="E6987" t="inlineStr">
        <is>
          <t>Từ $ 800 /tháng</t>
        </is>
      </c>
      <c r="F6987" t="inlineStr">
        <is>
          <t>Hà Nội</t>
        </is>
      </c>
      <c r="G6987" t="inlineStr">
        <is>
          <t>Nhân viên</t>
        </is>
      </c>
      <c r="H6987" t="inlineStr">
        <is>
          <t>04/03/2026</t>
        </is>
      </c>
      <c r="I6987" t="inlineStr">
        <is>
          <t>03/04/2026</t>
        </is>
      </c>
      <c r="J6987" t="inlineStr">
        <is>
          <t>17/03/2026</t>
        </is>
      </c>
      <c r="K6987" t="inlineStr">
        <is>
          <t>N/A</t>
        </is>
      </c>
      <c r="L6987" t="inlineStr">
        <is>
          <t>Pháp Chế, Tài Chính Ngân Hàng, Luật Ngân Hàng</t>
        </is>
      </c>
      <c r="M6987" t="inlineStr">
        <is>
          <t>Bonus, Healthcare Plan, Travel Opportunities</t>
        </is>
      </c>
      <c r="N6987" s="8">
        <f>HYPERLINK("https://www.vietnamworks.com/chuyen-vien-phap-che-y-c-kinh-nghiem-ngan-hang-thu-nhap-up-to-30-trieu--2018013-jv","Xem chi tiết")</f>
        <v/>
      </c>
    </row>
    <row r="6988">
      <c r="B6988" s="9" t="n">
        <v>6986</v>
      </c>
      <c r="C6988" s="10" t="inlineStr">
        <is>
          <t>Chuyên Viên Khách Hàng Cá Nhân Ưu Tiên - Hồ Chí Minh</t>
        </is>
      </c>
      <c r="D6988" s="10" t="inlineStr">
        <is>
          <t>ABBank - Ngân Hàng TMCP An Bình</t>
        </is>
      </c>
      <c r="E6988" s="10" t="inlineStr">
        <is>
          <t>$$ 100-500 /tháng</t>
        </is>
      </c>
      <c r="F6988" s="10" t="inlineStr">
        <is>
          <t>Hồ Chí Minh</t>
        </is>
      </c>
      <c r="G6988" s="10" t="inlineStr">
        <is>
          <t>Nhân viên</t>
        </is>
      </c>
      <c r="H6988" s="10" t="inlineStr">
        <is>
          <t>04/03/2026</t>
        </is>
      </c>
      <c r="I6988" s="10" t="inlineStr">
        <is>
          <t>03/04/2026</t>
        </is>
      </c>
      <c r="J6988" s="10" t="inlineStr">
        <is>
          <t>17/03/2026</t>
        </is>
      </c>
      <c r="K6988" s="10" t="inlineStr">
        <is>
          <t>N/A</t>
        </is>
      </c>
      <c r="L6988" s="10" t="inlineStr">
        <is>
          <t>Banking, Tư Vấn, Giao Tiếp, Chăm Sóc Khách Hàng, Giải Quyết Vấn Đề</t>
        </is>
      </c>
      <c r="M6988" s="10" t="inlineStr">
        <is>
          <t>Bonus, Training, Others</t>
        </is>
      </c>
      <c r="N6988" s="11">
        <f>HYPERLINK("https://www.vietnamworks.com/chuyen-vien-khach-hang-ca-nhan-uu-tien-ho-chi-minh-2018014-jv","Xem chi tiết")</f>
        <v/>
      </c>
      <c r="O6988" s="10" t="n"/>
    </row>
    <row r="6989">
      <c r="B6989" s="7" t="n">
        <v>6987</v>
      </c>
      <c r="C6989" t="inlineStr">
        <is>
          <t>Nhân Viên Phòng Đảm Bảo Chất Lượng</t>
        </is>
      </c>
      <c r="D6989" t="inlineStr">
        <is>
          <t>Công Ty CP Dược – VTYT Thanh Hóa</t>
        </is>
      </c>
      <c r="E6989" t="inlineStr">
        <is>
          <t>Thương lượng</t>
        </is>
      </c>
      <c r="F6989" t="inlineStr">
        <is>
          <t>Thanh Hóa</t>
        </is>
      </c>
      <c r="G6989" t="inlineStr">
        <is>
          <t>Nhân viên</t>
        </is>
      </c>
      <c r="H6989" t="inlineStr">
        <is>
          <t>04/03/2026</t>
        </is>
      </c>
      <c r="I6989" t="inlineStr">
        <is>
          <t>03/04/2026</t>
        </is>
      </c>
      <c r="J6989" t="inlineStr">
        <is>
          <t>17/03/2026</t>
        </is>
      </c>
      <c r="K6989" t="inlineStr">
        <is>
          <t>N/A</t>
        </is>
      </c>
      <c r="L6989" t="inlineStr">
        <is>
          <t>Đảm Bảo Chất Lượng, QA, Kiểm Soát Chất Lượng</t>
        </is>
      </c>
      <c r="M6989" t="inlineStr">
        <is>
          <t>Bonus, Travel Opportunities, Team Activities</t>
        </is>
      </c>
      <c r="N6989" s="8">
        <f>HYPERLINK("https://www.vietnamworks.com/nhan-vien-phong-dam-bao-chat-luong--2018017-jv","Xem chi tiết")</f>
        <v/>
      </c>
    </row>
    <row r="6990">
      <c r="B6990" s="9" t="n">
        <v>6988</v>
      </c>
      <c r="C6990" s="10" t="inlineStr">
        <is>
          <t>Senior Digital Business Intelligence And Sales Planning Executive</t>
        </is>
      </c>
      <c r="D6990" s="10" t="inlineStr">
        <is>
          <t>Công Ty Tài Chính TNHH Ngân Hàng TMCP Sài Gòn - Hà Nội (SHBFinance)</t>
        </is>
      </c>
      <c r="E6990" s="10" t="inlineStr">
        <is>
          <t>Thương lượng</t>
        </is>
      </c>
      <c r="F6990" s="10" t="inlineStr">
        <is>
          <t>Hồ Chí Minh</t>
        </is>
      </c>
      <c r="G6990" s="10" t="inlineStr">
        <is>
          <t>Nhân viên</t>
        </is>
      </c>
      <c r="H6990" s="10" t="inlineStr">
        <is>
          <t>04/03/2026</t>
        </is>
      </c>
      <c r="I6990" s="10" t="inlineStr">
        <is>
          <t>03/04/2026</t>
        </is>
      </c>
      <c r="J6990" s="10" t="inlineStr">
        <is>
          <t>17/03/2026</t>
        </is>
      </c>
      <c r="K6990" s="10" t="inlineStr">
        <is>
          <t>N/A</t>
        </is>
      </c>
      <c r="L6990" s="10" t="inlineStr">
        <is>
          <t>Analytical Skills, Creativity, Project Management, Python, SQL</t>
        </is>
      </c>
      <c r="M6990" s="10" t="inlineStr">
        <is>
          <t>Bonus, Healthcare Plan, Paid Leave, Training, Laptop, Travel Opportunities, Team Activities, Others</t>
        </is>
      </c>
      <c r="N6990" s="11">
        <f>HYPERLINK("https://www.vietnamworks.com/senior-digital-business-intelligence-and-sales-planning-executive-2018015-jv","Xem chi tiết")</f>
        <v/>
      </c>
      <c r="O6990" s="10" t="n"/>
    </row>
    <row r="6991">
      <c r="B6991" s="7" t="n">
        <v>6989</v>
      </c>
      <c r="C6991" t="inlineStr">
        <is>
          <t>Kỹ Sư Công Đoạn - Nghỉ Thứ 7 và Chủ Nhật, Có Xe Đưa Đón</t>
        </is>
      </c>
      <c r="D6991" t="inlineStr">
        <is>
          <t>Mektec Manufacturing Corporation (Vietnam) Ltd.</t>
        </is>
      </c>
      <c r="E6991" t="inlineStr">
        <is>
          <t>$$ 400-550 /tháng</t>
        </is>
      </c>
      <c r="F6991" t="inlineStr">
        <is>
          <t>Hà Nội, Hải Dương, Hưng Yên</t>
        </is>
      </c>
      <c r="G6991" t="inlineStr">
        <is>
          <t>Nhân viên</t>
        </is>
      </c>
      <c r="H6991" t="inlineStr">
        <is>
          <t>04/03/2026</t>
        </is>
      </c>
      <c r="I6991" t="inlineStr">
        <is>
          <t>03/04/2026</t>
        </is>
      </c>
      <c r="J6991" t="inlineStr">
        <is>
          <t>17/03/2026</t>
        </is>
      </c>
      <c r="K6991" t="inlineStr">
        <is>
          <t>N/A</t>
        </is>
      </c>
      <c r="L6991" t="inlineStr">
        <is>
          <t>Mechanical, Chemical, English, Process Engineering, Process Manufacturing</t>
        </is>
      </c>
      <c r="M6991" t="inlineStr">
        <is>
          <t>Bonus</t>
        </is>
      </c>
      <c r="N6991" s="8">
        <f>HYPERLINK("https://www.vietnamworks.com/ky-su-cong-doan-nghi-thu-7-va-chu-nhat-co-xe-dua-don-2018016-jv","Xem chi tiết")</f>
        <v/>
      </c>
    </row>
    <row r="6992">
      <c r="B6992" s="9" t="n">
        <v>6990</v>
      </c>
      <c r="C6992" s="10" t="inlineStr">
        <is>
          <t>Purchasing &amp; Sales Executive</t>
        </is>
      </c>
      <c r="D6992" s="10" t="inlineStr">
        <is>
          <t>CÔNG TY TNHH INDOFISH ASIA</t>
        </is>
      </c>
      <c r="E6992" s="10" t="inlineStr">
        <is>
          <t>14tr-16tr ₫/tháng</t>
        </is>
      </c>
      <c r="F6992" s="10" t="inlineStr">
        <is>
          <t>Hồ Chí Minh</t>
        </is>
      </c>
      <c r="G6992" s="10" t="inlineStr">
        <is>
          <t>Nhân viên</t>
        </is>
      </c>
      <c r="H6992" s="10" t="inlineStr">
        <is>
          <t>04/03/2026</t>
        </is>
      </c>
      <c r="I6992" s="10" t="inlineStr">
        <is>
          <t>03/04/2026</t>
        </is>
      </c>
      <c r="J6992" s="10" t="inlineStr">
        <is>
          <t>17/03/2026</t>
        </is>
      </c>
      <c r="K6992" s="10" t="inlineStr">
        <is>
          <t>N/A</t>
        </is>
      </c>
      <c r="L6992" s="10" t="inlineStr">
        <is>
          <t>Agricultural Sales, Kinh Doanh, Purchasing, Export-Import Knowledge</t>
        </is>
      </c>
      <c r="M6992" s="10" t="inlineStr">
        <is>
          <t>Bonus, Healthcare Plan, Team Activities, Others</t>
        </is>
      </c>
      <c r="N6992" s="11">
        <f>HYPERLINK("https://www.vietnamworks.com/purchasing-and-sales-executive-2018019-jv","Xem chi tiết")</f>
        <v/>
      </c>
      <c r="O6992" s="10" t="n"/>
    </row>
    <row r="6993">
      <c r="B6993" s="7" t="n">
        <v>6991</v>
      </c>
      <c r="C6993" t="inlineStr">
        <is>
          <t>Passenger Service Representative</t>
        </is>
      </c>
      <c r="D6993" t="inlineStr">
        <is>
          <t>Aero K Airlines Co. Ltd.</t>
        </is>
      </c>
      <c r="E6993" t="inlineStr">
        <is>
          <t>Thương lượng</t>
        </is>
      </c>
      <c r="F6993" t="inlineStr">
        <is>
          <t>Đà Nẵng</t>
        </is>
      </c>
      <c r="G6993" t="inlineStr">
        <is>
          <t>Nhân viên</t>
        </is>
      </c>
      <c r="H6993" t="inlineStr">
        <is>
          <t>04/03/2026</t>
        </is>
      </c>
      <c r="I6993" t="inlineStr">
        <is>
          <t>03/04/2026</t>
        </is>
      </c>
      <c r="J6993" t="inlineStr">
        <is>
          <t>17/03/2026</t>
        </is>
      </c>
      <c r="K6993" t="inlineStr">
        <is>
          <t>N/A</t>
        </is>
      </c>
      <c r="L6993" t="inlineStr">
        <is>
          <t>Airline Operations, Customer Care, Customer Service, Flight Operations, Korean Language</t>
        </is>
      </c>
      <c r="M6993" t="inlineStr">
        <is>
          <t>Others</t>
        </is>
      </c>
      <c r="N6993" s="8">
        <f>HYPERLINK("https://www.vietnamworks.com/passenger-service-representative-2018031-jv","Xem chi tiết")</f>
        <v/>
      </c>
    </row>
    <row r="6994">
      <c r="B6994" s="9" t="n">
        <v>6992</v>
      </c>
      <c r="C6994" s="10" t="inlineStr">
        <is>
          <t>Junior Civil Engineer (Openroads – Infrastructure) / Kỹ Sư Hạ Tầng</t>
        </is>
      </c>
      <c r="D6994" s="10" t="inlineStr">
        <is>
          <t>Atlas Industries (Vietnam) Limited</t>
        </is>
      </c>
      <c r="E6994" s="10" t="inlineStr">
        <is>
          <t>Thương lượng</t>
        </is>
      </c>
      <c r="F6994" s="10" t="inlineStr">
        <is>
          <t>Hồ Chí Minh</t>
        </is>
      </c>
      <c r="G6994" s="10" t="inlineStr">
        <is>
          <t>Nhân viên</t>
        </is>
      </c>
      <c r="H6994" s="10" t="inlineStr">
        <is>
          <t>04/03/2026</t>
        </is>
      </c>
      <c r="I6994" s="10" t="inlineStr">
        <is>
          <t>03/04/2026</t>
        </is>
      </c>
      <c r="J6994" s="10" t="inlineStr">
        <is>
          <t>17/03/2026</t>
        </is>
      </c>
      <c r="K6994" s="10" t="inlineStr">
        <is>
          <t>N/A</t>
        </is>
      </c>
      <c r="L6994" s="10" t="inlineStr">
        <is>
          <t>English, Civil 3D, MicroStation</t>
        </is>
      </c>
      <c r="M6994" s="10" t="inlineStr">
        <is>
          <t>Bonus, Healthcare Plan, Paid Leave</t>
        </is>
      </c>
      <c r="N6994" s="11">
        <f>HYPERLINK("https://www.vietnamworks.com/junior-civil-engineer-openroads-infrastructure-ky-su-ha-tang-2018024-jv","Xem chi tiết")</f>
        <v/>
      </c>
      <c r="O6994" s="10" t="n"/>
    </row>
    <row r="6995">
      <c r="B6995" s="7" t="n">
        <v>6993</v>
      </c>
      <c r="C6995" t="inlineStr">
        <is>
          <t>Nhân Viên Khai Báo Hải Quan</t>
        </is>
      </c>
      <c r="D6995" t="inlineStr">
        <is>
          <t>Công ty TNHH MTV Logistics Viettel</t>
        </is>
      </c>
      <c r="E6995" t="inlineStr">
        <is>
          <t>10tr-14tr ₫/tháng</t>
        </is>
      </c>
      <c r="F6995" t="inlineStr">
        <is>
          <t>Hà Nội</t>
        </is>
      </c>
      <c r="G6995" t="inlineStr">
        <is>
          <t>Nhân viên</t>
        </is>
      </c>
      <c r="H6995" t="inlineStr">
        <is>
          <t>04/03/2026</t>
        </is>
      </c>
      <c r="I6995" t="inlineStr">
        <is>
          <t>03/04/2026</t>
        </is>
      </c>
      <c r="J6995" t="inlineStr">
        <is>
          <t>17/03/2026</t>
        </is>
      </c>
      <c r="K6995" t="inlineStr">
        <is>
          <t>N/A</t>
        </is>
      </c>
      <c r="L6995" t="inlineStr">
        <is>
          <t>Xuất Nhập Khẩu, Logistics, Thủ Tục Hải Quan, Chứng Từ Xuất Nhập Khẩu, Khai Báo Hải Quan</t>
        </is>
      </c>
      <c r="M6995" t="inlineStr">
        <is>
          <t>Healthcare Plan, Training, Travel Opportunities</t>
        </is>
      </c>
      <c r="N6995" s="8">
        <f>HYPERLINK("https://www.vietnamworks.com/nhan-vien-khai-bao-hai-quan--2018022-jv","Xem chi tiết")</f>
        <v/>
      </c>
    </row>
    <row r="6996">
      <c r="B6996" s="9" t="n">
        <v>6994</v>
      </c>
      <c r="C6996" s="10" t="inlineStr">
        <is>
          <t>Giám Đốc Sản Xuất</t>
        </is>
      </c>
      <c r="D6996" s="10" t="inlineStr">
        <is>
          <t>Công Ty Cổ Phần Thiết Bị Điện Simon Việt Nam</t>
        </is>
      </c>
      <c r="E6996" s="10" t="inlineStr">
        <is>
          <t>Thương lượng</t>
        </is>
      </c>
      <c r="F6996" s="10" t="inlineStr">
        <is>
          <t>Hưng Yên</t>
        </is>
      </c>
      <c r="G6996" s="10" t="inlineStr">
        <is>
          <t>Nhân viên</t>
        </is>
      </c>
      <c r="H6996" s="10" t="inlineStr">
        <is>
          <t>04/03/2026</t>
        </is>
      </c>
      <c r="I6996" s="10" t="inlineStr">
        <is>
          <t>03/04/2026</t>
        </is>
      </c>
      <c r="J6996" s="10" t="inlineStr">
        <is>
          <t>17/03/2026</t>
        </is>
      </c>
      <c r="K6996" s="10" t="inlineStr">
        <is>
          <t>N/A</t>
        </is>
      </c>
      <c r="L6996" s="10" t="inlineStr">
        <is>
          <t>ISO 9001, KAIZEN, Lean Manufacturing, Plant Management, Production Planning</t>
        </is>
      </c>
      <c r="M6996" s="10" t="inlineStr">
        <is>
          <t>Bonus, Training, Others</t>
        </is>
      </c>
      <c r="N6996" s="11">
        <f>HYPERLINK("https://www.vietnamworks.com/giam-doc-san-xuat--2018027-jv","Xem chi tiết")</f>
        <v/>
      </c>
      <c r="O6996" s="10" t="n"/>
    </row>
    <row r="6997">
      <c r="B6997" s="7" t="n">
        <v>6995</v>
      </c>
      <c r="C6997" t="inlineStr">
        <is>
          <t>Senior Business Analyst</t>
        </is>
      </c>
      <c r="D6997" t="inlineStr">
        <is>
          <t>Công Ty TNHH Giải Pháp Công Nghệ Cộng</t>
        </is>
      </c>
      <c r="E6997" t="inlineStr">
        <is>
          <t>$$ 800-1,300 /tháng</t>
        </is>
      </c>
      <c r="F6997" t="inlineStr">
        <is>
          <t>Hà Nội</t>
        </is>
      </c>
      <c r="G6997" t="inlineStr">
        <is>
          <t>Nhân viên</t>
        </is>
      </c>
      <c r="H6997" t="inlineStr">
        <is>
          <t>04/03/2026</t>
        </is>
      </c>
      <c r="I6997" t="inlineStr">
        <is>
          <t>03/04/2026</t>
        </is>
      </c>
      <c r="J6997" t="inlineStr">
        <is>
          <t>17/03/2026</t>
        </is>
      </c>
      <c r="K6997" t="inlineStr">
        <is>
          <t>N/A</t>
        </is>
      </c>
      <c r="L6997" t="inlineStr">
        <is>
          <t>Business Analysis, Data Analysis, Figma, UML, Bank</t>
        </is>
      </c>
      <c r="M6997" t="inlineStr">
        <is>
          <t>Healthcare Plan, Travel Opportunities, Others</t>
        </is>
      </c>
      <c r="N6997" s="8">
        <f>HYPERLINK("https://www.vietnamworks.com/senior-business-analyst--2018030-jv","Xem chi tiết")</f>
        <v/>
      </c>
    </row>
    <row r="6998">
      <c r="B6998" s="9" t="n">
        <v>6996</v>
      </c>
      <c r="C6998" s="10" t="inlineStr">
        <is>
          <t>Nhân Viên Kinh Doanh Kỹ Thuật - Thu Nhập 15-40 Triệu/tháng và Không Giới Hạn</t>
        </is>
      </c>
      <c r="D6998" s="10" t="inlineStr">
        <is>
          <t>Công Ty CP Hyesungtech Viet Nam</t>
        </is>
      </c>
      <c r="E6998" s="10" t="inlineStr">
        <is>
          <t>15tr-40tr ₫/tháng</t>
        </is>
      </c>
      <c r="F6998" s="10" t="inlineStr">
        <is>
          <t>Hà Nội, Hồ Chí Minh</t>
        </is>
      </c>
      <c r="G6998" s="10" t="inlineStr">
        <is>
          <t>Mới Tốt Nghiệp</t>
        </is>
      </c>
      <c r="H6998" s="10" t="inlineStr">
        <is>
          <t>04/03/2026</t>
        </is>
      </c>
      <c r="I6998" s="10" t="inlineStr">
        <is>
          <t>03/04/2026</t>
        </is>
      </c>
      <c r="J6998" s="10" t="inlineStr">
        <is>
          <t>17/03/2026</t>
        </is>
      </c>
      <c r="K6998" s="10" t="inlineStr">
        <is>
          <t>N/A</t>
        </is>
      </c>
      <c r="L6998" s="10" t="inlineStr">
        <is>
          <t>Kinh Doanh, Giao Tiếp, Chăm Sóc Khách Hàng, Kế Hoạch Kinh Doanh, Sales Planning</t>
        </is>
      </c>
      <c r="M6998" s="10" t="inlineStr">
        <is>
          <t>Bonus, Training, Travel Opportunities, Others</t>
        </is>
      </c>
      <c r="N6998" s="11">
        <f>HYPERLINK("https://www.vietnamworks.com/nhan-vien-kinh-doanh-ky-thuat-thu-nhap-15-40-trieu-thang-va-khong-gioi-han-2018037-jv","Xem chi tiết")</f>
        <v/>
      </c>
      <c r="O6998" s="10" t="n"/>
    </row>
    <row r="6999">
      <c r="B6999" s="7" t="n">
        <v>6997</v>
      </c>
      <c r="C6999" t="inlineStr">
        <is>
          <t>Nhân Viên Kỹ Thuật</t>
        </is>
      </c>
      <c r="D6999" t="inlineStr">
        <is>
          <t>Công Ty CP Hyesungtech Viet Nam</t>
        </is>
      </c>
      <c r="E6999" t="inlineStr">
        <is>
          <t>8tr-15tr ₫/tháng</t>
        </is>
      </c>
      <c r="F6999" t="inlineStr">
        <is>
          <t>Hồ Chí Minh</t>
        </is>
      </c>
      <c r="G6999" t="inlineStr">
        <is>
          <t>Mới Tốt Nghiệp</t>
        </is>
      </c>
      <c r="H6999" t="inlineStr">
        <is>
          <t>04/03/2026</t>
        </is>
      </c>
      <c r="I6999" t="inlineStr">
        <is>
          <t>03/04/2026</t>
        </is>
      </c>
      <c r="J6999" t="inlineStr">
        <is>
          <t>17/03/2026</t>
        </is>
      </c>
      <c r="K6999" t="inlineStr">
        <is>
          <t>N/A</t>
        </is>
      </c>
      <c r="L6999" t="inlineStr">
        <is>
          <t>Kỹ Thuật Điện, Cơ Khí, Tự Động Hóa, Điện Tử, Nhiệt tình</t>
        </is>
      </c>
      <c r="M6999" t="inlineStr">
        <is>
          <t>Bonus, Training, Travel Opportunities, Others</t>
        </is>
      </c>
      <c r="N6999" s="8">
        <f>HYPERLINK("https://www.vietnamworks.com/nhan-vien-ky-thuat-2018041-jv","Xem chi tiết")</f>
        <v/>
      </c>
    </row>
    <row r="7000">
      <c r="B7000" s="9" t="n">
        <v>6998</v>
      </c>
      <c r="C7000" s="10" t="inlineStr">
        <is>
          <t>Sales Executive</t>
        </is>
      </c>
      <c r="D7000" s="10" t="inlineStr">
        <is>
          <t>CÔNG TY TNHH CAFETECH</t>
        </is>
      </c>
      <c r="E7000" s="10" t="inlineStr">
        <is>
          <t>Thương lượng</t>
        </is>
      </c>
      <c r="F7000" s="10" t="inlineStr">
        <is>
          <t>Hồ Chí Minh, Hà Nội</t>
        </is>
      </c>
      <c r="G7000" s="10" t="inlineStr">
        <is>
          <t>Nhân viên</t>
        </is>
      </c>
      <c r="H7000" s="10" t="inlineStr">
        <is>
          <t>04/03/2026</t>
        </is>
      </c>
      <c r="I7000" s="10" t="inlineStr">
        <is>
          <t>03/04/2026</t>
        </is>
      </c>
      <c r="J7000" s="10" t="inlineStr">
        <is>
          <t>17/03/2026</t>
        </is>
      </c>
      <c r="K7000" s="10" t="inlineStr">
        <is>
          <t>N/A</t>
        </is>
      </c>
      <c r="L7000" s="10" t="inlineStr">
        <is>
          <t>Bán hàng, Food and Beverage, Business Development, Sale Executive, Nhân viên kinh doanh</t>
        </is>
      </c>
      <c r="M7000" s="10" t="inlineStr">
        <is>
          <t>Bonus, Healthcare Plan, Paid Leave, Travel Opportunities</t>
        </is>
      </c>
      <c r="N7000" s="11">
        <f>HYPERLINK("https://www.vietnamworks.com/sales-executive-2018029-jv","Xem chi tiết")</f>
        <v/>
      </c>
      <c r="O7000" s="10" t="n"/>
    </row>
    <row r="7001">
      <c r="B7001" s="7" t="n">
        <v>6999</v>
      </c>
      <c r="C7001" t="inlineStr">
        <is>
          <t>Key Account Manager</t>
        </is>
      </c>
      <c r="D7001" t="inlineStr">
        <is>
          <t>CÔNG TY TNHH GARMIN VIỆT NAM</t>
        </is>
      </c>
      <c r="E7001" t="inlineStr">
        <is>
          <t>Thương lượng</t>
        </is>
      </c>
      <c r="F7001" t="inlineStr">
        <is>
          <t>Hồ Chí Minh</t>
        </is>
      </c>
      <c r="G7001" t="inlineStr">
        <is>
          <t>Nhân viên</t>
        </is>
      </c>
      <c r="H7001" t="inlineStr">
        <is>
          <t>04/03/2026</t>
        </is>
      </c>
      <c r="I7001" t="inlineStr">
        <is>
          <t>03/04/2026</t>
        </is>
      </c>
      <c r="J7001" t="inlineStr">
        <is>
          <t>17/03/2026</t>
        </is>
      </c>
      <c r="K7001" t="inlineStr">
        <is>
          <t>N/A</t>
        </is>
      </c>
      <c r="L7001" t="inlineStr">
        <is>
          <t>Sales Strategy, Business Development, Account Management, Consumer insights, Negotiation</t>
        </is>
      </c>
      <c r="M7001" t="inlineStr">
        <is>
          <t>Bonus, Healthcare Plan, Travel Opportunities</t>
        </is>
      </c>
      <c r="N7001" s="8">
        <f>HYPERLINK("https://www.vietnamworks.com/key-account-manager-2018039-jv","Xem chi tiết")</f>
        <v/>
      </c>
    </row>
    <row r="7002">
      <c r="B7002" s="9" t="n">
        <v>7000</v>
      </c>
      <c r="C7002" s="10" t="inlineStr">
        <is>
          <t>Sales &amp; Marketing</t>
        </is>
      </c>
      <c r="D7002" s="10" t="inlineStr">
        <is>
          <t>Công Ty Cổ Phần Tư Vấn Và Đầu Tư Nam Sơn</t>
        </is>
      </c>
      <c r="E7002" s="10" t="inlineStr">
        <is>
          <t>Thương lượng</t>
        </is>
      </c>
      <c r="F7002" s="10" t="inlineStr">
        <is>
          <t>Hà Nội, Lạng Sơn, Thái Nguyên</t>
        </is>
      </c>
      <c r="G7002" s="10" t="inlineStr">
        <is>
          <t>Nhân viên</t>
        </is>
      </c>
      <c r="H7002" s="10" t="inlineStr">
        <is>
          <t>04/03/2026</t>
        </is>
      </c>
      <c r="I7002" s="10" t="inlineStr">
        <is>
          <t>03/04/2026</t>
        </is>
      </c>
      <c r="J7002" s="10" t="inlineStr">
        <is>
          <t>17/03/2026</t>
        </is>
      </c>
      <c r="K7002" s="10" t="inlineStr">
        <is>
          <t>N/A</t>
        </is>
      </c>
      <c r="L7002" s="10" t="inlineStr">
        <is>
          <t>Kinh Doanh, International Sales &amp; Marketing, Chăm Sóc Khách Hàng, Business Development, Bán Hàng</t>
        </is>
      </c>
      <c r="M7002" s="10" t="inlineStr">
        <is>
          <t>Bonus, Healthcare Plan, Others</t>
        </is>
      </c>
      <c r="N7002" s="11">
        <f>HYPERLINK("https://www.vietnamworks.com/sales-marketing--2018021-jv","Xem chi tiết")</f>
        <v/>
      </c>
      <c r="O7002" s="10" t="n"/>
    </row>
    <row r="7003">
      <c r="B7003" s="7" t="n">
        <v>7001</v>
      </c>
      <c r="C7003" t="inlineStr">
        <is>
          <t>Trưởng Phòng Kho/ Quản Lý Kho - Tối Thiểu 2 Năm Kinh Nghiệm</t>
        </is>
      </c>
      <c r="D7003" t="inlineStr">
        <is>
          <t>DARA GROUP</t>
        </is>
      </c>
      <c r="E7003" t="inlineStr">
        <is>
          <t>Tới 20tr ₫/tháng</t>
        </is>
      </c>
      <c r="F7003" t="inlineStr">
        <is>
          <t>Hà Nội</t>
        </is>
      </c>
      <c r="G7003" t="inlineStr">
        <is>
          <t>Nhân viên</t>
        </is>
      </c>
      <c r="H7003" t="inlineStr">
        <is>
          <t>04/03/2026</t>
        </is>
      </c>
      <c r="I7003" t="inlineStr">
        <is>
          <t>03/04/2026</t>
        </is>
      </c>
      <c r="J7003" t="inlineStr">
        <is>
          <t>17/03/2026</t>
        </is>
      </c>
      <c r="K7003" t="inlineStr">
        <is>
          <t>N/A</t>
        </is>
      </c>
      <c r="L7003" t="inlineStr">
        <is>
          <t>Quản Lý Kho, Warehouse Management, Supply Chain Management, Quản Lý Tồn Kho, Điều Phối Vận Chuyển</t>
        </is>
      </c>
      <c r="M7003" t="inlineStr">
        <is>
          <t>Bonus, Healthcare Plan, Awards, Others</t>
        </is>
      </c>
      <c r="N7003" s="8">
        <f>HYPERLINK("https://www.vietnamworks.com/truong-phong-kho-quan-ly-kho-toi-thieu-2-nam-kinh-nghiem-2018042-jv","Xem chi tiết")</f>
        <v/>
      </c>
    </row>
    <row r="7004">
      <c r="B7004" s="9" t="n">
        <v>7002</v>
      </c>
      <c r="C7004" s="10" t="inlineStr">
        <is>
          <t>Trưởng Phòng Kinh Doanh - Sales Manager</t>
        </is>
      </c>
      <c r="D7004" s="10" t="inlineStr">
        <is>
          <t>Công Ty Cổ Phần Tập Đoàn Gỗ Minh Long</t>
        </is>
      </c>
      <c r="E7004" s="10" t="inlineStr">
        <is>
          <t>$$ 1,500-2,500 /tháng</t>
        </is>
      </c>
      <c r="F7004" s="10" t="inlineStr">
        <is>
          <t>Hà Nội, Nghệ An, Hồ Chí Minh</t>
        </is>
      </c>
      <c r="G7004" s="10" t="inlineStr">
        <is>
          <t>Trưởng phòng</t>
        </is>
      </c>
      <c r="H7004" s="10" t="inlineStr">
        <is>
          <t>04/03/2026</t>
        </is>
      </c>
      <c r="I7004" s="10" t="inlineStr">
        <is>
          <t>03/04/2026</t>
        </is>
      </c>
      <c r="J7004" s="10" t="inlineStr">
        <is>
          <t>17/03/2026</t>
        </is>
      </c>
      <c r="K7004" s="10" t="inlineStr">
        <is>
          <t>N/A</t>
        </is>
      </c>
      <c r="L7004" s="10" t="inlineStr">
        <is>
          <t>Sales Management, B2B Sales, Bán Hàng Dự Án, Kinh Nghiệm Vật Liệu Xây Dựng, Kinh doanh &amp; Phát triển khách hàng</t>
        </is>
      </c>
      <c r="M7004" s="10" t="inlineStr">
        <is>
          <t>Bonus, Healthcare Plan, Others</t>
        </is>
      </c>
      <c r="N7004" s="11">
        <f>HYPERLINK("https://www.vietnamworks.com/truong-phong-kinh-doanh-sales-manager--2018033-jv","Xem chi tiết")</f>
        <v/>
      </c>
      <c r="O7004" s="10" t="n"/>
    </row>
    <row r="7005">
      <c r="B7005" s="7" t="n">
        <v>7003</v>
      </c>
      <c r="C7005" t="inlineStr">
        <is>
          <t>Kỹ Sư Thiết Kế AutoCAD - Công Ty Điện Tử - Nghỉ Thứ 7 và Chủ Nhật</t>
        </is>
      </c>
      <c r="D7005" t="inlineStr">
        <is>
          <t>Mektec Manufacturing Corporation (Vietnam) Ltd.</t>
        </is>
      </c>
      <c r="E7005" t="inlineStr">
        <is>
          <t>$$ 380-540 /tháng</t>
        </is>
      </c>
      <c r="F7005" t="inlineStr">
        <is>
          <t>Hưng Yên, Hà Nội, Hải Dương</t>
        </is>
      </c>
      <c r="G7005" t="inlineStr">
        <is>
          <t>Mới Tốt Nghiệp</t>
        </is>
      </c>
      <c r="H7005" t="inlineStr">
        <is>
          <t>04/03/2026</t>
        </is>
      </c>
      <c r="I7005" t="inlineStr">
        <is>
          <t>03/04/2026</t>
        </is>
      </c>
      <c r="J7005" t="inlineStr">
        <is>
          <t>17/03/2026</t>
        </is>
      </c>
      <c r="K7005" t="inlineStr">
        <is>
          <t>N/A</t>
        </is>
      </c>
      <c r="L7005" t="inlineStr">
        <is>
          <t>Design, Jig Design, English, AutoCAD 2D, AutoCAD 3D</t>
        </is>
      </c>
      <c r="M7005" t="inlineStr">
        <is>
          <t>Bonus</t>
        </is>
      </c>
      <c r="N7005" s="8">
        <f>HYPERLINK("https://www.vietnamworks.com/ky-su-thiet-ke-autocad-cong-ty-dien-tu-nghi-thu-7-va-chu-nhat-2018028-jv","Xem chi tiết")</f>
        <v/>
      </c>
    </row>
    <row r="7006">
      <c r="B7006" s="9" t="n">
        <v>7004</v>
      </c>
      <c r="C7006" s="10" t="inlineStr">
        <is>
          <t>Nhân Viên Kế Hoạch Sản Xuất - Có Xe Đưa Đón</t>
        </is>
      </c>
      <c r="D7006" s="10" t="inlineStr">
        <is>
          <t>Mektec Manufacturing Corporation (Vietnam) Ltd.</t>
        </is>
      </c>
      <c r="E7006" s="10" t="inlineStr">
        <is>
          <t>$$ 380-540 /tháng</t>
        </is>
      </c>
      <c r="F7006" s="10" t="inlineStr">
        <is>
          <t>Hà Nội, Hải Dương, Hưng Yên</t>
        </is>
      </c>
      <c r="G7006" s="10" t="inlineStr">
        <is>
          <t>Nhân viên</t>
        </is>
      </c>
      <c r="H7006" s="10" t="inlineStr">
        <is>
          <t>04/03/2026</t>
        </is>
      </c>
      <c r="I7006" s="10" t="inlineStr">
        <is>
          <t>03/04/2026</t>
        </is>
      </c>
      <c r="J7006" s="10" t="inlineStr">
        <is>
          <t>17/03/2026</t>
        </is>
      </c>
      <c r="K7006" s="10" t="inlineStr">
        <is>
          <t>N/A</t>
        </is>
      </c>
      <c r="L7006" s="10" t="inlineStr">
        <is>
          <t>Lập Kế Hoạch Sản Xuất, Planning Management, English, Manufacturing</t>
        </is>
      </c>
      <c r="M7006" s="10" t="inlineStr">
        <is>
          <t>Bonus</t>
        </is>
      </c>
      <c r="N7006" s="11">
        <f>HYPERLINK("https://www.vietnamworks.com/nhan-vien-ke-hoach-san-xuat-co-xe-dua-don-2018040-jv","Xem chi tiết")</f>
        <v/>
      </c>
      <c r="O7006" s="10" t="n"/>
    </row>
    <row r="7007">
      <c r="B7007" s="7" t="n">
        <v>7005</v>
      </c>
      <c r="C7007" t="inlineStr">
        <is>
          <t>Kỹ Sư Cơ Điện</t>
        </is>
      </c>
      <c r="D7007" t="inlineStr">
        <is>
          <t>Công Ty CP Dược – VTYT Thanh Hóa</t>
        </is>
      </c>
      <c r="E7007" t="inlineStr">
        <is>
          <t>Thương lượng</t>
        </is>
      </c>
      <c r="F7007" t="inlineStr">
        <is>
          <t>Thanh Hóa</t>
        </is>
      </c>
      <c r="G7007" t="inlineStr">
        <is>
          <t>Nhân viên</t>
        </is>
      </c>
      <c r="H7007" t="inlineStr">
        <is>
          <t>04/03/2026</t>
        </is>
      </c>
      <c r="I7007" t="inlineStr">
        <is>
          <t>03/04/2026</t>
        </is>
      </c>
      <c r="J7007" t="inlineStr">
        <is>
          <t>17/03/2026</t>
        </is>
      </c>
      <c r="K7007" t="inlineStr">
        <is>
          <t>N/A</t>
        </is>
      </c>
      <c r="L7007" t="inlineStr">
        <is>
          <t>Điện, M&amp;E, Electrical, Cơ Điện, AutoCAD</t>
        </is>
      </c>
      <c r="M7007" t="inlineStr">
        <is>
          <t>Bonus, Travel Opportunities, Team Activities</t>
        </is>
      </c>
      <c r="N7007" s="8">
        <f>HYPERLINK("https://www.vietnamworks.com/ky-su-co-dien--2018020-jv","Xem chi tiết")</f>
        <v/>
      </c>
    </row>
    <row r="7008">
      <c r="B7008" s="9" t="n">
        <v>7006</v>
      </c>
      <c r="C7008" s="10" t="inlineStr">
        <is>
          <t>Giám Đốc Kinh Doanh Quốc Tế</t>
        </is>
      </c>
      <c r="D7008" s="10" t="inlineStr">
        <is>
          <t>Công Ty Cổ Phần Nhựa Tiến Đức</t>
        </is>
      </c>
      <c r="E7008" s="10" t="inlineStr">
        <is>
          <t>Thương lượng</t>
        </is>
      </c>
      <c r="F7008" s="10" t="inlineStr">
        <is>
          <t>Hà Nội</t>
        </is>
      </c>
      <c r="G7008" s="10" t="inlineStr">
        <is>
          <t>Giám Đốc và Cấp Cao Hơn</t>
        </is>
      </c>
      <c r="H7008" s="10" t="inlineStr">
        <is>
          <t>04/03/2026</t>
        </is>
      </c>
      <c r="I7008" s="10" t="inlineStr">
        <is>
          <t>03/04/2026</t>
        </is>
      </c>
      <c r="J7008" s="10" t="inlineStr">
        <is>
          <t>17/03/2026</t>
        </is>
      </c>
      <c r="K7008" s="10" t="inlineStr">
        <is>
          <t>N/A</t>
        </is>
      </c>
      <c r="L7008" s="10" t="inlineStr">
        <is>
          <t>Chiến Lược Kinh Doanh, Kinh Doanh Quốc Tế, Phát Triển Thị Trường, Quản Lý Khách Hàng, Xuất Nhập Khẩu</t>
        </is>
      </c>
      <c r="M7008" s="10" t="inlineStr">
        <is>
          <t>Bonus, Awards, Laptop, Others</t>
        </is>
      </c>
      <c r="N7008" s="11">
        <f>HYPERLINK("https://www.vietnamworks.com/giam-djoc-kinh-doanh-quoc-te-2018038-jv","Xem chi tiết")</f>
        <v/>
      </c>
      <c r="O7008" s="10" t="n"/>
    </row>
    <row r="7009">
      <c r="B7009" s="7" t="n">
        <v>7007</v>
      </c>
      <c r="C7009" t="inlineStr">
        <is>
          <t>Nhân Viên Back Office / Hỗ Trợ Hồ Sơ Thầu</t>
        </is>
      </c>
      <c r="D7009" t="inlineStr">
        <is>
          <t>Công Ty Cổ Phần Đầu Tư Và Kinh Doanh Trọng Tín</t>
        </is>
      </c>
      <c r="E7009" t="inlineStr">
        <is>
          <t>15tr-25tr ₫/tháng</t>
        </is>
      </c>
      <c r="F7009" t="inlineStr">
        <is>
          <t>Hà Nội</t>
        </is>
      </c>
      <c r="G7009" t="inlineStr">
        <is>
          <t>Nhân viên</t>
        </is>
      </c>
      <c r="H7009" t="inlineStr">
        <is>
          <t>04/03/2026</t>
        </is>
      </c>
      <c r="I7009" t="inlineStr">
        <is>
          <t>03/04/2026</t>
        </is>
      </c>
      <c r="J7009" t="inlineStr">
        <is>
          <t>17/03/2026</t>
        </is>
      </c>
      <c r="K7009" t="inlineStr">
        <is>
          <t>N/A</t>
        </is>
      </c>
      <c r="L7009" t="inlineStr">
        <is>
          <t>Quy Trình Đấu Thầu, Làm Hồ Sơ Thầu, Lái Xe Ô Tô, Soạn Thảo Hồ Sơ</t>
        </is>
      </c>
      <c r="M7009" t="inlineStr">
        <is>
          <t>Healthcare Plan, Others</t>
        </is>
      </c>
      <c r="N7009" s="8">
        <f>HYPERLINK("https://www.vietnamworks.com/nhan-vien-back-office-ho-tro-ho-so-thau-2018036-jv","Xem chi tiết")</f>
        <v/>
      </c>
    </row>
    <row r="7010">
      <c r="B7010" s="9" t="n">
        <v>7008</v>
      </c>
      <c r="C7010" s="10" t="inlineStr">
        <is>
          <t>Customer Satisfaction Officer (QA - CS)</t>
        </is>
      </c>
      <c r="D7010" s="10" t="inlineStr">
        <is>
          <t>SEI Electronic Components (Vietnam), Ltd.</t>
        </is>
      </c>
      <c r="E7010" s="10" t="inlineStr">
        <is>
          <t>Thương lượng</t>
        </is>
      </c>
      <c r="F7010" s="10" t="inlineStr">
        <is>
          <t>Hà Nội</t>
        </is>
      </c>
      <c r="G7010" s="10" t="inlineStr">
        <is>
          <t>Nhân viên</t>
        </is>
      </c>
      <c r="H7010" s="10" t="inlineStr">
        <is>
          <t>04/03/2026</t>
        </is>
      </c>
      <c r="I7010" s="10" t="inlineStr">
        <is>
          <t>03/04/2026</t>
        </is>
      </c>
      <c r="J7010" s="10" t="inlineStr">
        <is>
          <t>17/03/2026</t>
        </is>
      </c>
      <c r="K7010" s="10" t="inlineStr">
        <is>
          <t>N/A</t>
        </is>
      </c>
      <c r="L7010" s="10" t="inlineStr">
        <is>
          <t>Quality Assurance, Customer Quality, Chemistry, Electrical, Automation</t>
        </is>
      </c>
      <c r="M7010" s="10" t="inlineStr">
        <is>
          <t>Bonus, Paid Leave, Transportation</t>
        </is>
      </c>
      <c r="N7010" s="11">
        <f>HYPERLINK("https://www.vietnamworks.com/customer-satisfaction-officer-qa-cs-2018043-jv","Xem chi tiết")</f>
        <v/>
      </c>
      <c r="O7010" s="10" t="n"/>
    </row>
    <row r="7011">
      <c r="B7011" s="7" t="n">
        <v>7009</v>
      </c>
      <c r="C7011" t="inlineStr">
        <is>
          <t>Kỹ Sư QA QC (Tiếng Anh/trung/nhật) - Nghỉ Thứ 7 và Chủ Nhật</t>
        </is>
      </c>
      <c r="D7011" t="inlineStr">
        <is>
          <t>Mektec Manufacturing Corporation (Vietnam) Ltd.</t>
        </is>
      </c>
      <c r="E7011" t="inlineStr">
        <is>
          <t>$$ 380-540 /tháng</t>
        </is>
      </c>
      <c r="F7011" t="inlineStr">
        <is>
          <t>Hà Nội, Hải Dương, Hưng Yên</t>
        </is>
      </c>
      <c r="G7011" t="inlineStr">
        <is>
          <t>Nhân viên</t>
        </is>
      </c>
      <c r="H7011" t="inlineStr">
        <is>
          <t>04/03/2026</t>
        </is>
      </c>
      <c r="I7011" t="inlineStr">
        <is>
          <t>03/04/2026</t>
        </is>
      </c>
      <c r="J7011" t="inlineStr">
        <is>
          <t>17/03/2026</t>
        </is>
      </c>
      <c r="K7011" t="inlineStr">
        <is>
          <t>N/A</t>
        </is>
      </c>
      <c r="L7011" t="inlineStr">
        <is>
          <t>Quality Control, Quality Assurance, English, Chinese, Japanese</t>
        </is>
      </c>
      <c r="M7011" t="inlineStr">
        <is>
          <t>Bonus</t>
        </is>
      </c>
      <c r="N7011" s="8">
        <f>HYPERLINK("https://www.vietnamworks.com/ky-su-qa-qc-tieng-anh-trung-nhat-nghi-thu-7-va-chu-nhat--2018035-jv","Xem chi tiết")</f>
        <v/>
      </c>
    </row>
    <row r="7012">
      <c r="B7012" s="9" t="n">
        <v>7010</v>
      </c>
      <c r="C7012" s="10" t="inlineStr">
        <is>
          <t>Kế Toán Tổng Hợp</t>
        </is>
      </c>
      <c r="D7012" s="10" t="inlineStr">
        <is>
          <t>Công ty Cổ phần Đầu tư và Thương mại JDR Việt Nam</t>
        </is>
      </c>
      <c r="E7012" s="10" t="inlineStr">
        <is>
          <t>17tr-20tr ₫/tháng</t>
        </is>
      </c>
      <c r="F7012" s="10" t="inlineStr">
        <is>
          <t>Hà Nội</t>
        </is>
      </c>
      <c r="G7012" s="10" t="inlineStr">
        <is>
          <t>Nhân viên</t>
        </is>
      </c>
      <c r="H7012" s="10" t="inlineStr">
        <is>
          <t>04/03/2026</t>
        </is>
      </c>
      <c r="I7012" s="10" t="inlineStr">
        <is>
          <t>03/04/2026</t>
        </is>
      </c>
      <c r="J7012" s="10" t="inlineStr">
        <is>
          <t>17/03/2026</t>
        </is>
      </c>
      <c r="K7012" s="10" t="inlineStr">
        <is>
          <t>N/A</t>
        </is>
      </c>
      <c r="L7012" s="10" t="inlineStr">
        <is>
          <t>Giao Tiếp, Kế Toán Tổng Hợp, Phần mềm kế toán, Tài Chính Kế Toán, Tin Học Văn Phòng</t>
        </is>
      </c>
      <c r="M7012" s="10" t="inlineStr">
        <is>
          <t>Healthcare Plan, Paid Leave, Team Activities, Others</t>
        </is>
      </c>
      <c r="N7012" s="11">
        <f>HYPERLINK("https://www.vietnamworks.com/ke-toan-tong-hop-2018032-jv","Xem chi tiết")</f>
        <v/>
      </c>
      <c r="O7012" s="10" t="n"/>
    </row>
    <row r="7013">
      <c r="B7013" s="7" t="n">
        <v>7011</v>
      </c>
      <c r="C7013" t="inlineStr">
        <is>
          <t>Trưởng Phòng Marketing Nội Thất</t>
        </is>
      </c>
      <c r="D7013" t="inlineStr">
        <is>
          <t>Công ty Cổ phần Nội thất Chân Tâm</t>
        </is>
      </c>
      <c r="E7013" t="inlineStr">
        <is>
          <t>30tr-35tr ₫/tháng</t>
        </is>
      </c>
      <c r="F7013" t="inlineStr">
        <is>
          <t>Hà Nội</t>
        </is>
      </c>
      <c r="G7013" t="inlineStr">
        <is>
          <t>Trưởng phòng</t>
        </is>
      </c>
      <c r="H7013" t="inlineStr">
        <is>
          <t>04/03/2026</t>
        </is>
      </c>
      <c r="I7013" t="inlineStr">
        <is>
          <t>03/04/2026</t>
        </is>
      </c>
      <c r="J7013" t="inlineStr">
        <is>
          <t>17/03/2026</t>
        </is>
      </c>
      <c r="K7013" t="inlineStr">
        <is>
          <t>N/A</t>
        </is>
      </c>
      <c r="L7013" t="inlineStr">
        <is>
          <t>Ads Marketing, Facebook Ads campaigns, Market Analysis, Marketing Strategy, Media Campaign</t>
        </is>
      </c>
      <c r="M7013" t="inlineStr">
        <is>
          <t>Healthcare Plan, Others</t>
        </is>
      </c>
      <c r="N7013" s="8">
        <f>HYPERLINK("https://www.vietnamworks.com/truong-phong-marketing-noi-that-2018052-jv","Xem chi tiết")</f>
        <v/>
      </c>
    </row>
    <row r="7014">
      <c r="B7014" s="9" t="n">
        <v>7012</v>
      </c>
      <c r="C7014" s="10" t="inlineStr">
        <is>
          <t>Nhân Viên HSE</t>
        </is>
      </c>
      <c r="D7014" s="10" t="inlineStr">
        <is>
          <t>Công Ty Cổ Phần Songwol Vina</t>
        </is>
      </c>
      <c r="E7014" s="10" t="inlineStr">
        <is>
          <t>Thương lượng</t>
        </is>
      </c>
      <c r="F7014" s="10" t="inlineStr">
        <is>
          <t>Long An</t>
        </is>
      </c>
      <c r="G7014" s="10" t="inlineStr">
        <is>
          <t>Nhân viên</t>
        </is>
      </c>
      <c r="H7014" s="10" t="inlineStr">
        <is>
          <t>04/03/2026</t>
        </is>
      </c>
      <c r="I7014" s="10" t="inlineStr">
        <is>
          <t>03/04/2026</t>
        </is>
      </c>
      <c r="J7014" s="10" t="inlineStr">
        <is>
          <t>17/03/2026</t>
        </is>
      </c>
      <c r="K7014" s="10" t="inlineStr">
        <is>
          <t>N/A</t>
        </is>
      </c>
      <c r="L7014" s="10" t="inlineStr">
        <is>
          <t>Compliance, Environment, HSE, Risk Assessment, Safety Inspection</t>
        </is>
      </c>
      <c r="M7014" s="10" t="inlineStr">
        <is>
          <t>Bonus, Healthcare Plan, Transportation, Canteen, Others</t>
        </is>
      </c>
      <c r="N7014" s="11">
        <f>HYPERLINK("https://www.vietnamworks.com/nhan-vien-hse-2018053-jv","Xem chi tiết")</f>
        <v/>
      </c>
      <c r="O7014" s="10" t="n"/>
    </row>
    <row r="7015">
      <c r="B7015" s="7" t="n">
        <v>7013</v>
      </c>
      <c r="C7015" t="inlineStr">
        <is>
          <t>Kỹ Sư Bảo Dưỡng Sửa Chữa</t>
        </is>
      </c>
      <c r="D7015" t="inlineStr">
        <is>
          <t>SEI Electronic Components (Vietnam), Ltd.</t>
        </is>
      </c>
      <c r="E7015" t="inlineStr">
        <is>
          <t>Thương lượng</t>
        </is>
      </c>
      <c r="F7015" t="inlineStr">
        <is>
          <t>Hà Nội</t>
        </is>
      </c>
      <c r="G7015" t="inlineStr">
        <is>
          <t>Nhân viên</t>
        </is>
      </c>
      <c r="H7015" t="inlineStr">
        <is>
          <t>04/03/2026</t>
        </is>
      </c>
      <c r="I7015" t="inlineStr">
        <is>
          <t>03/04/2026</t>
        </is>
      </c>
      <c r="J7015" t="inlineStr">
        <is>
          <t>17/03/2026</t>
        </is>
      </c>
      <c r="K7015" t="inlineStr">
        <is>
          <t>N/A</t>
        </is>
      </c>
      <c r="L7015" t="inlineStr">
        <is>
          <t>Tự Động Hóa, Maintenance, Cơ Khí, Bảo Trì, Bảo Dưỡng</t>
        </is>
      </c>
      <c r="M7015" t="inlineStr">
        <is>
          <t>Bonus, Paid Leave, Transportation</t>
        </is>
      </c>
      <c r="N7015" s="8">
        <f>HYPERLINK("https://www.vietnamworks.com/ky-su-bao-duong-sua-chua--2018048-jv","Xem chi tiết")</f>
        <v/>
      </c>
    </row>
    <row r="7016">
      <c r="B7016" s="9" t="n">
        <v>7014</v>
      </c>
      <c r="C7016" s="10" t="inlineStr">
        <is>
          <t>Customer Experience Team Leader</t>
        </is>
      </c>
      <c r="D7016" s="10" t="inlineStr">
        <is>
          <t>Maersk Vietnam Ltd.</t>
        </is>
      </c>
      <c r="E7016" s="10" t="inlineStr">
        <is>
          <t>Thương lượng</t>
        </is>
      </c>
      <c r="F7016" s="10" t="inlineStr">
        <is>
          <t>Hồ Chí Minh</t>
        </is>
      </c>
      <c r="G7016" s="10" t="inlineStr">
        <is>
          <t>Nhân viên</t>
        </is>
      </c>
      <c r="H7016" s="10" t="inlineStr">
        <is>
          <t>04/03/2026</t>
        </is>
      </c>
      <c r="I7016" s="10" t="inlineStr">
        <is>
          <t>03/04/2026</t>
        </is>
      </c>
      <c r="J7016" s="10" t="inlineStr">
        <is>
          <t>17/03/2026</t>
        </is>
      </c>
      <c r="K7016" s="10" t="inlineStr">
        <is>
          <t>N/A</t>
        </is>
      </c>
      <c r="L7016" s="10" t="inlineStr">
        <is>
          <t>Customer Service, Interpersonal Skills, Logistics, Problem-solving, Supply Chain Management</t>
        </is>
      </c>
      <c r="M7016" s="10" t="inlineStr">
        <is>
          <t>Bonus, Healthcare Plan, Paid Leave, Laptop</t>
        </is>
      </c>
      <c r="N7016" s="11">
        <f>HYPERLINK("https://www.vietnamworks.com/customer-experience-team-leader-2018044-jv","Xem chi tiết")</f>
        <v/>
      </c>
      <c r="O7016" s="10" t="n"/>
    </row>
    <row r="7017">
      <c r="B7017" s="7" t="n">
        <v>7015</v>
      </c>
      <c r="C7017" t="inlineStr">
        <is>
          <t>Chuyên Viên Đào Tạo</t>
        </is>
      </c>
      <c r="D7017" t="inlineStr">
        <is>
          <t>Forval Vietnam Co.,ltd</t>
        </is>
      </c>
      <c r="E7017" t="inlineStr">
        <is>
          <t>$$ 1,600-2,000 /tháng</t>
        </is>
      </c>
      <c r="F7017" t="inlineStr">
        <is>
          <t>Hồ Chí Minh</t>
        </is>
      </c>
      <c r="G7017" t="inlineStr">
        <is>
          <t>Nhân viên</t>
        </is>
      </c>
      <c r="H7017" t="inlineStr">
        <is>
          <t>04/03/2026</t>
        </is>
      </c>
      <c r="I7017" t="inlineStr">
        <is>
          <t>03/04/2026</t>
        </is>
      </c>
      <c r="J7017" t="inlineStr">
        <is>
          <t>17/03/2026</t>
        </is>
      </c>
      <c r="K7017" t="inlineStr">
        <is>
          <t>N/A</t>
        </is>
      </c>
      <c r="L7017" t="inlineStr">
        <is>
          <t>Kỹ Năng Quản Lý, Tiếng Nhật, Tiếng Anh, Đọc Hiểu Bản Vẽ, Nhiệt Lạnh</t>
        </is>
      </c>
      <c r="M7017" t="inlineStr">
        <is>
          <t>Bonus, Others</t>
        </is>
      </c>
      <c r="N7017" s="8">
        <f>HYPERLINK("https://www.vietnamworks.com/chuyen-vien-djao-tao-2018046-jv","Xem chi tiết")</f>
        <v/>
      </c>
    </row>
    <row r="7018">
      <c r="B7018" s="9" t="n">
        <v>7016</v>
      </c>
      <c r="C7018" s="10" t="inlineStr">
        <is>
          <t>Marcom Manager</t>
        </is>
      </c>
      <c r="D7018" s="10" t="inlineStr">
        <is>
          <t>Công ty TNHH Hanoia</t>
        </is>
      </c>
      <c r="E7018" s="10" t="inlineStr">
        <is>
          <t>Thương lượng</t>
        </is>
      </c>
      <c r="F7018" s="10" t="inlineStr">
        <is>
          <t>Hà Nội</t>
        </is>
      </c>
      <c r="G7018" s="10" t="inlineStr">
        <is>
          <t>Trưởng phòng</t>
        </is>
      </c>
      <c r="H7018" s="10" t="inlineStr">
        <is>
          <t>04/03/2026</t>
        </is>
      </c>
      <c r="I7018" s="10" t="inlineStr">
        <is>
          <t>03/04/2026</t>
        </is>
      </c>
      <c r="J7018" s="10" t="inlineStr">
        <is>
          <t>17/03/2026</t>
        </is>
      </c>
      <c r="K7018" s="10" t="inlineStr">
        <is>
          <t>N/A</t>
        </is>
      </c>
      <c r="L7018" s="10" t="inlineStr">
        <is>
          <t>Marketing Strategy, Visual Merchandising, Customer Experience Management, Leadership</t>
        </is>
      </c>
      <c r="M7018" s="10" t="inlineStr">
        <is>
          <t>Bonus, Healthcare Plan, Paid Leave, Training, Team Activities</t>
        </is>
      </c>
      <c r="N7018" s="11">
        <f>HYPERLINK("https://www.vietnamworks.com/marcom-manager-2018045-jv","Xem chi tiết")</f>
        <v/>
      </c>
      <c r="O7018" s="10" t="n"/>
    </row>
    <row r="7019">
      <c r="B7019" s="7" t="n">
        <v>7017</v>
      </c>
      <c r="C7019" t="inlineStr">
        <is>
          <t>Phó Giám Đốc Điều Hành</t>
        </is>
      </c>
      <c r="D7019" t="inlineStr">
        <is>
          <t>Công ty Cổ phần Nội thất Chân Tâm</t>
        </is>
      </c>
      <c r="E7019" t="inlineStr">
        <is>
          <t>30tr-40tr ₫/tháng</t>
        </is>
      </c>
      <c r="F7019" t="inlineStr">
        <is>
          <t>Hà Nội</t>
        </is>
      </c>
      <c r="G7019" t="inlineStr">
        <is>
          <t>Giám Đốc và Cấp Cao Hơn</t>
        </is>
      </c>
      <c r="H7019" t="inlineStr">
        <is>
          <t>04/03/2026</t>
        </is>
      </c>
      <c r="I7019" t="inlineStr">
        <is>
          <t>03/04/2026</t>
        </is>
      </c>
      <c r="J7019" t="inlineStr">
        <is>
          <t>17/03/2026</t>
        </is>
      </c>
      <c r="K7019" t="inlineStr">
        <is>
          <t>N/A</t>
        </is>
      </c>
      <c r="L7019" t="inlineStr">
        <is>
          <t>Quản Lý Dự Án Công Trình, Quản Lý Kỹ Thuật, Quản Lý Sản Xuất, Thi Công Nội Thất, Thiết Kế Nội Thất</t>
        </is>
      </c>
      <c r="M7019" t="inlineStr">
        <is>
          <t>Others</t>
        </is>
      </c>
      <c r="N7019" s="8">
        <f>HYPERLINK("https://www.vietnamworks.com/pho-giam-djoc-djieu-hanh-2018058-jv","Xem chi tiết")</f>
        <v/>
      </c>
    </row>
    <row r="7020">
      <c r="B7020" s="9" t="n">
        <v>7018</v>
      </c>
      <c r="C7020" s="10" t="inlineStr">
        <is>
          <t>Host Livestream Management Team Leader</t>
        </is>
      </c>
      <c r="D7020" s="10" t="inlineStr">
        <is>
          <t>Công Ty TNHH Onpoint</t>
        </is>
      </c>
      <c r="E7020" s="10" t="inlineStr">
        <is>
          <t>Thương lượng</t>
        </is>
      </c>
      <c r="F7020" s="10" t="inlineStr">
        <is>
          <t>Hồ Chí Minh</t>
        </is>
      </c>
      <c r="G7020" s="10" t="inlineStr">
        <is>
          <t>Trưởng phòng</t>
        </is>
      </c>
      <c r="H7020" s="10" t="inlineStr">
        <is>
          <t>04/03/2026</t>
        </is>
      </c>
      <c r="I7020" s="10" t="inlineStr">
        <is>
          <t>03/04/2026</t>
        </is>
      </c>
      <c r="J7020" s="10" t="inlineStr">
        <is>
          <t>17/03/2026</t>
        </is>
      </c>
      <c r="K7020" s="10" t="inlineStr">
        <is>
          <t>N/A</t>
        </is>
      </c>
      <c r="L7020" s="10" t="inlineStr">
        <is>
          <t>Team Management, Collaboration, Livestream Management, Performance Campaign, Performance Management</t>
        </is>
      </c>
      <c r="M7020" s="10" t="inlineStr">
        <is>
          <t>Healthcare Plan, Paid Leave, Laptop</t>
        </is>
      </c>
      <c r="N7020" s="11">
        <f>HYPERLINK("https://www.vietnamworks.com/host-livestream-management-team-leader-2018051-jv","Xem chi tiết")</f>
        <v/>
      </c>
      <c r="O7020" s="10" t="n"/>
    </row>
    <row r="7021">
      <c r="B7021" s="7" t="n">
        <v>7019</v>
      </c>
      <c r="C7021" t="inlineStr">
        <is>
          <t>Nhân Viên Thu Ngân - Lotte Mall West Lake Hanoi</t>
        </is>
      </c>
      <c r="D7021" t="inlineStr">
        <is>
          <t>LOTTE Properties Hanoi (LOTTE MALL West Lake Hanoi)</t>
        </is>
      </c>
      <c r="E7021" t="inlineStr">
        <is>
          <t>Thương lượng</t>
        </is>
      </c>
      <c r="F7021" t="inlineStr">
        <is>
          <t>Hà Nội</t>
        </is>
      </c>
      <c r="G7021" t="inlineStr">
        <is>
          <t>Nhân viên</t>
        </is>
      </c>
      <c r="H7021" t="inlineStr">
        <is>
          <t>04/03/2026</t>
        </is>
      </c>
      <c r="I7021" t="inlineStr">
        <is>
          <t>03/04/2026</t>
        </is>
      </c>
      <c r="J7021" t="inlineStr">
        <is>
          <t>17/03/2026</t>
        </is>
      </c>
      <c r="K7021" t="inlineStr">
        <is>
          <t>N/A</t>
        </is>
      </c>
      <c r="L7021" t="inlineStr">
        <is>
          <t>Accounting</t>
        </is>
      </c>
      <c r="M7021" t="inlineStr">
        <is>
          <t>Bonus, Paid Leave, Vouchers</t>
        </is>
      </c>
      <c r="N7021" s="8">
        <f>HYPERLINK("https://www.vietnamworks.com/nhan-vien-thu-ngan-lotte-mall-west-lake-hanoi-2018060-jv","Xem chi tiết")</f>
        <v/>
      </c>
    </row>
    <row r="7022">
      <c r="B7022" s="9" t="n">
        <v>7020</v>
      </c>
      <c r="C7022" s="10" t="inlineStr">
        <is>
          <t>Investment Senior Manager</t>
        </is>
      </c>
      <c r="D7022" s="10" t="inlineStr">
        <is>
          <t>Renn Labs</t>
        </is>
      </c>
      <c r="E7022" s="10" t="inlineStr">
        <is>
          <t>$$ 2,000-3,000 /tháng</t>
        </is>
      </c>
      <c r="F7022" s="10" t="inlineStr">
        <is>
          <t>Hồ Chí Minh</t>
        </is>
      </c>
      <c r="G7022" s="10" t="inlineStr">
        <is>
          <t>Nhân viên</t>
        </is>
      </c>
      <c r="H7022" s="10" t="inlineStr">
        <is>
          <t>04/03/2026</t>
        </is>
      </c>
      <c r="I7022" s="10" t="inlineStr">
        <is>
          <t>03/04/2026</t>
        </is>
      </c>
      <c r="J7022" s="10" t="inlineStr">
        <is>
          <t>17/03/2026</t>
        </is>
      </c>
      <c r="K7022" s="10" t="inlineStr">
        <is>
          <t>N/A</t>
        </is>
      </c>
      <c r="L7022" s="10" t="inlineStr">
        <is>
          <t>Financial Modeling, Investment Analysis, Stakeholder Management, Negotiation Skills, Communication</t>
        </is>
      </c>
      <c r="M7022" s="10" t="inlineStr">
        <is>
          <t>Paid Leave, Training, Team Activities</t>
        </is>
      </c>
      <c r="N7022" s="11">
        <f>HYPERLINK("https://www.vietnamworks.com/investment-senior-manager-2018061-jv","Xem chi tiết")</f>
        <v/>
      </c>
      <c r="O7022" s="10" t="n"/>
    </row>
    <row r="7023">
      <c r="B7023" s="7" t="n">
        <v>7021</v>
      </c>
      <c r="C7023" t="inlineStr">
        <is>
          <t>Phó Giám Đốc Phát Triển Thương Hiệu (Deputy Brand Director)</t>
        </is>
      </c>
      <c r="D7023" t="inlineStr">
        <is>
          <t>Tập Đoàn Đất Xanh</t>
        </is>
      </c>
      <c r="E7023" t="inlineStr">
        <is>
          <t>Thương lượng</t>
        </is>
      </c>
      <c r="F7023" t="inlineStr">
        <is>
          <t>Hồ Chí Minh</t>
        </is>
      </c>
      <c r="G7023" t="inlineStr">
        <is>
          <t>Giám Đốc và Cấp Cao Hơn</t>
        </is>
      </c>
      <c r="H7023" t="inlineStr">
        <is>
          <t>04/03/2026</t>
        </is>
      </c>
      <c r="I7023" t="inlineStr">
        <is>
          <t>03/04/2026</t>
        </is>
      </c>
      <c r="J7023" t="inlineStr">
        <is>
          <t>17/03/2026</t>
        </is>
      </c>
      <c r="K7023" t="inlineStr">
        <is>
          <t>N/A</t>
        </is>
      </c>
      <c r="L7023" t="inlineStr">
        <is>
          <t>Brand Marketing, Brand Strategy, Consumer Insight, Leadership, Marketing Strategy</t>
        </is>
      </c>
      <c r="M7023" t="inlineStr">
        <is>
          <t>Bonus, Healthcare Plan, Laptop, Travel Opportunities</t>
        </is>
      </c>
      <c r="N7023" s="8">
        <f>HYPERLINK("https://www.vietnamworks.com/pho-giam-djoc-phat-trien-thuong-hieu-deputy-brand-director-2018050-jv","Xem chi tiết")</f>
        <v/>
      </c>
    </row>
    <row r="7024">
      <c r="B7024" s="9" t="n">
        <v>7022</v>
      </c>
      <c r="C7024" s="10" t="inlineStr">
        <is>
          <t>Kỹ Sư Kỹ Thuật Công Đoạn SMT</t>
        </is>
      </c>
      <c r="D7024" s="10" t="inlineStr">
        <is>
          <t>SEI Electronic Components (Vietnam), Ltd.</t>
        </is>
      </c>
      <c r="E7024" s="10" t="inlineStr">
        <is>
          <t>Thương lượng</t>
        </is>
      </c>
      <c r="F7024" s="10" t="inlineStr">
        <is>
          <t>Hà Nội</t>
        </is>
      </c>
      <c r="G7024" s="10" t="inlineStr">
        <is>
          <t>Nhân viên</t>
        </is>
      </c>
      <c r="H7024" s="10" t="inlineStr">
        <is>
          <t>04/03/2026</t>
        </is>
      </c>
      <c r="I7024" s="10" t="inlineStr">
        <is>
          <t>03/04/2026</t>
        </is>
      </c>
      <c r="J7024" s="10" t="inlineStr">
        <is>
          <t>17/03/2026</t>
        </is>
      </c>
      <c r="K7024" s="10" t="inlineStr">
        <is>
          <t>N/A</t>
        </is>
      </c>
      <c r="L7024" s="10" t="inlineStr">
        <is>
          <t>SMT, Điện, Cải Tiến Chất Lượng, Process Engineering, Process Quality Improvement</t>
        </is>
      </c>
      <c r="M7024" s="10" t="inlineStr">
        <is>
          <t>Bonus, Healthcare Plan, Transportation</t>
        </is>
      </c>
      <c r="N7024" s="11">
        <f>HYPERLINK("https://www.vietnamworks.com/ky-su-ky-thuat-cong-doan-smt--2018049-jv","Xem chi tiết")</f>
        <v/>
      </c>
      <c r="O7024" s="10" t="n"/>
    </row>
    <row r="7025">
      <c r="B7025" s="7" t="n">
        <v>7023</v>
      </c>
      <c r="C7025" t="inlineStr">
        <is>
          <t>Kế Toán Trưởng (Lương 20-25tr, nghỉ 2 thứ 7/tháng)</t>
        </is>
      </c>
      <c r="D7025" t="inlineStr">
        <is>
          <t>CÔNG TY TNHH MÁY CHÍNH XÁC AMC</t>
        </is>
      </c>
      <c r="E7025" t="inlineStr">
        <is>
          <t>20tr-25tr ₫/tháng</t>
        </is>
      </c>
      <c r="F7025" t="inlineStr">
        <is>
          <t>Hà Nội</t>
        </is>
      </c>
      <c r="G7025" t="inlineStr">
        <is>
          <t>Nhân viên</t>
        </is>
      </c>
      <c r="H7025" t="inlineStr">
        <is>
          <t>04/03/2026</t>
        </is>
      </c>
      <c r="I7025" t="inlineStr">
        <is>
          <t>03/04/2026</t>
        </is>
      </c>
      <c r="J7025" t="inlineStr">
        <is>
          <t>17/03/2026</t>
        </is>
      </c>
      <c r="K7025" t="inlineStr">
        <is>
          <t>N/A</t>
        </is>
      </c>
      <c r="L7025" t="inlineStr">
        <is>
          <t>Quản Lý Kế Toán, Tài Chính, Phân Tích Tài Chính, Báo Cáo Thuế, Quyết Toán Thuế</t>
        </is>
      </c>
      <c r="M7025" t="inlineStr">
        <is>
          <t>Bonus, Healthcare Plan, Awards, Others</t>
        </is>
      </c>
      <c r="N7025" s="8">
        <f>HYPERLINK("https://www.vietnamworks.com/ke-toan-truong-luong-20-25tr-nghi-2-thu-7thang-2018062-jv","Xem chi tiết")</f>
        <v/>
      </c>
    </row>
    <row r="7026">
      <c r="B7026" s="9" t="n">
        <v>7024</v>
      </c>
      <c r="C7026" s="10" t="inlineStr">
        <is>
          <t>Kế Toán Trưởng - Lương Upto 30 Triệu/tháng</t>
        </is>
      </c>
      <c r="D7026" s="10" t="inlineStr">
        <is>
          <t>CÔNG TY CỔ PHẦN NÔNG NGHIỆP EASYFARM VIỆT NAM</t>
        </is>
      </c>
      <c r="E7026" s="10" t="inlineStr">
        <is>
          <t>22tr-30tr ₫/tháng</t>
        </is>
      </c>
      <c r="F7026" s="10" t="inlineStr">
        <is>
          <t>Hà Nội</t>
        </is>
      </c>
      <c r="G7026" s="10" t="inlineStr">
        <is>
          <t>Nhân viên</t>
        </is>
      </c>
      <c r="H7026" s="10" t="inlineStr">
        <is>
          <t>04/03/2026</t>
        </is>
      </c>
      <c r="I7026" s="10" t="inlineStr">
        <is>
          <t>03/04/2026</t>
        </is>
      </c>
      <c r="J7026" s="10" t="inlineStr">
        <is>
          <t>17/03/2026</t>
        </is>
      </c>
      <c r="K7026" s="10" t="inlineStr">
        <is>
          <t>N/A</t>
        </is>
      </c>
      <c r="L7026" s="10" t="inlineStr">
        <is>
          <t>Kế Toán, Kiểm Toán, Quản Lý, Tài Chính Doanh Nghiệp, Báo Cáo Thuế</t>
        </is>
      </c>
      <c r="M7026" s="10" t="inlineStr">
        <is>
          <t>Bonus, Healthcare Plan, Team Activities, Others</t>
        </is>
      </c>
      <c r="N7026" s="11">
        <f>HYPERLINK("https://www.vietnamworks.com/ke-toan-truong-luong-upto-30-trieu-thang--2018059-jv","Xem chi tiết")</f>
        <v/>
      </c>
      <c r="O7026" s="10" t="n"/>
    </row>
    <row r="7027">
      <c r="B7027" s="7" t="n">
        <v>7025</v>
      </c>
      <c r="C7027" t="inlineStr">
        <is>
          <t>Kinh Doanh Phụ Tùng Biết Tiếng Trung (Không Yêu Cầu Kinh Nghiệm)</t>
        </is>
      </c>
      <c r="D7027" t="inlineStr">
        <is>
          <t>FOTON VIETNAM VEHICLE COMPANY LIMITED</t>
        </is>
      </c>
      <c r="E7027" t="inlineStr">
        <is>
          <t>25tr-50tr ₫/tháng</t>
        </is>
      </c>
      <c r="F7027" t="inlineStr">
        <is>
          <t>Hồ Chí Minh</t>
        </is>
      </c>
      <c r="G7027" t="inlineStr">
        <is>
          <t>Nhân viên</t>
        </is>
      </c>
      <c r="H7027" t="inlineStr">
        <is>
          <t>04/03/2026</t>
        </is>
      </c>
      <c r="I7027" t="inlineStr">
        <is>
          <t>03/04/2026</t>
        </is>
      </c>
      <c r="J7027" t="inlineStr">
        <is>
          <t>17/03/2026</t>
        </is>
      </c>
      <c r="K7027" t="inlineStr">
        <is>
          <t>N/A</t>
        </is>
      </c>
      <c r="L7027" t="inlineStr">
        <is>
          <t>Tiếng Trung, Kinh Doanh Phụ Tùng, Quản Trị Khách Hàng, Bán hàng, Phát Triển Khách Hàng</t>
        </is>
      </c>
      <c r="M7027" t="inlineStr">
        <is>
          <t>Bonus, Healthcare Plan, Paid Leave, Training, Others</t>
        </is>
      </c>
      <c r="N7027" s="8">
        <f>HYPERLINK("https://www.vietnamworks.com/kinh-doanh-phu-tung-biet-tieng-trung-khong-yeu-cau-kinh-nghiem-2018063-jv","Xem chi tiết")</f>
        <v/>
      </c>
    </row>
    <row r="7028">
      <c r="B7028" s="9" t="n">
        <v>7026</v>
      </c>
      <c r="C7028" s="10" t="inlineStr">
        <is>
          <t>Strategic Partnerships Analyst</t>
        </is>
      </c>
      <c r="D7028" s="10" t="inlineStr">
        <is>
          <t>CÔNG TY TNHH MAISA WORLD (VIỆT NAM)</t>
        </is>
      </c>
      <c r="E7028" s="10" t="inlineStr">
        <is>
          <t>Thương lượng</t>
        </is>
      </c>
      <c r="F7028" s="10" t="inlineStr">
        <is>
          <t>Hồ Chí Minh</t>
        </is>
      </c>
      <c r="G7028" s="10" t="inlineStr">
        <is>
          <t>Nhân viên</t>
        </is>
      </c>
      <c r="H7028" s="10" t="inlineStr">
        <is>
          <t>04/03/2026</t>
        </is>
      </c>
      <c r="I7028" s="10" t="inlineStr">
        <is>
          <t>03/04/2026</t>
        </is>
      </c>
      <c r="J7028" s="10" t="inlineStr">
        <is>
          <t>17/03/2026</t>
        </is>
      </c>
      <c r="K7028" s="10" t="inlineStr">
        <is>
          <t>N/A</t>
        </is>
      </c>
      <c r="L7028" s="10" t="inlineStr">
        <is>
          <t>Data Visualization, Deal Structuring, Financial Modeling, Market Evaluation</t>
        </is>
      </c>
      <c r="M7028" s="10" t="inlineStr">
        <is>
          <t>Healthcare Plan, Paid Leave, Others</t>
        </is>
      </c>
      <c r="N7028" s="11">
        <f>HYPERLINK("https://www.vietnamworks.com/strategic-partnerships-analyst-2018054-jv","Xem chi tiết")</f>
        <v/>
      </c>
      <c r="O7028" s="10" t="n"/>
    </row>
    <row r="7029">
      <c r="B7029" s="7" t="n">
        <v>7027</v>
      </c>
      <c r="C7029" t="inlineStr">
        <is>
          <t>New Store Development Assistant Manager</t>
        </is>
      </c>
      <c r="D7029" t="inlineStr">
        <is>
          <t>Pizza 4P's</t>
        </is>
      </c>
      <c r="E7029" t="inlineStr">
        <is>
          <t>Thương lượng</t>
        </is>
      </c>
      <c r="F7029" t="inlineStr">
        <is>
          <t>Hồ Chí Minh</t>
        </is>
      </c>
      <c r="G7029" t="inlineStr">
        <is>
          <t>Trưởng phòng</t>
        </is>
      </c>
      <c r="H7029" t="inlineStr">
        <is>
          <t>04/03/2026</t>
        </is>
      </c>
      <c r="I7029" t="inlineStr">
        <is>
          <t>03/04/2026</t>
        </is>
      </c>
      <c r="J7029" t="inlineStr">
        <is>
          <t>17/03/2026</t>
        </is>
      </c>
      <c r="K7029" t="inlineStr">
        <is>
          <t>N/A</t>
        </is>
      </c>
      <c r="L7029" t="inlineStr">
        <is>
          <t>Budgeting, Design Consultancy, IT Infrastructure, Leadership, Project Management</t>
        </is>
      </c>
      <c r="M7029" t="inlineStr">
        <is>
          <t>Others</t>
        </is>
      </c>
      <c r="N7029" s="8">
        <f>HYPERLINK("https://www.vietnamworks.com/new-store-development-assistant-manager-2018056-jv","Xem chi tiết")</f>
        <v/>
      </c>
    </row>
    <row r="7030">
      <c r="B7030" s="9" t="n">
        <v>7028</v>
      </c>
      <c r="C7030" s="10" t="inlineStr">
        <is>
          <t>Quản Lý Kho Dược Lương Lên Đến 20 Triệu</t>
        </is>
      </c>
      <c r="D7030" s="10" t="inlineStr">
        <is>
          <t>CÔNG TY TNHH SAINT P</t>
        </is>
      </c>
      <c r="E7030" s="10" t="inlineStr">
        <is>
          <t>17tr-20tr ₫/tháng</t>
        </is>
      </c>
      <c r="F7030" s="10" t="inlineStr">
        <is>
          <t>Hồ Chí Minh</t>
        </is>
      </c>
      <c r="G7030" s="10" t="inlineStr">
        <is>
          <t>Mới Tốt Nghiệp</t>
        </is>
      </c>
      <c r="H7030" s="10" t="inlineStr">
        <is>
          <t>04/03/2026</t>
        </is>
      </c>
      <c r="I7030" s="10" t="inlineStr">
        <is>
          <t>03/04/2026</t>
        </is>
      </c>
      <c r="J7030" s="10" t="inlineStr">
        <is>
          <t>17/03/2026</t>
        </is>
      </c>
      <c r="K7030" s="10" t="inlineStr">
        <is>
          <t>N/A</t>
        </is>
      </c>
      <c r="L7030" s="10" t="inlineStr">
        <is>
          <t>Quản Lý Kho, Kiểm Soát Chất Lượng, Bảo Quản Thuốc, Kiểm kê định kỳ, không cần kinh nghiệm</t>
        </is>
      </c>
      <c r="M7030" s="10" t="inlineStr">
        <is>
          <t>Bonus, Healthcare Plan, Paid Leave, Training, Travel Opportunities, Others</t>
        </is>
      </c>
      <c r="N7030" s="11">
        <f>HYPERLINK("https://www.vietnamworks.com/quan-ly-kho-duoc-luong-len-den-20-trieu-2018064-jv","Xem chi tiết")</f>
        <v/>
      </c>
      <c r="O7030" s="10" t="n"/>
    </row>
    <row r="7031">
      <c r="B7031" s="7" t="n">
        <v>7029</v>
      </c>
      <c r="C7031" t="inlineStr">
        <is>
          <t>Chuyên Viên Khách Hàng Cá Nhân/ Doanh Nghiệp SMEs [Hồ Chí Minh]</t>
        </is>
      </c>
      <c r="D7031" t="inlineStr">
        <is>
          <t>ABBank - Ngân Hàng TMCP An Bình</t>
        </is>
      </c>
      <c r="E7031" t="inlineStr">
        <is>
          <t>$$ 100-500 /tháng</t>
        </is>
      </c>
      <c r="F7031" t="inlineStr">
        <is>
          <t>Hồ Chí Minh</t>
        </is>
      </c>
      <c r="G7031" t="inlineStr">
        <is>
          <t>Nhân viên</t>
        </is>
      </c>
      <c r="H7031" t="inlineStr">
        <is>
          <t>04/03/2026</t>
        </is>
      </c>
      <c r="I7031" t="inlineStr">
        <is>
          <t>03/04/2026</t>
        </is>
      </c>
      <c r="J7031" t="inlineStr">
        <is>
          <t>17/03/2026</t>
        </is>
      </c>
      <c r="K7031" t="inlineStr">
        <is>
          <t>N/A</t>
        </is>
      </c>
      <c r="L7031" t="inlineStr">
        <is>
          <t>Giao Tiếp, Giải quyết vấn đề, Chăm Sóc Khách Hàng, Tài Chính</t>
        </is>
      </c>
      <c r="M7031" t="inlineStr">
        <is>
          <t>Bonus, Training, Others</t>
        </is>
      </c>
      <c r="N7031" s="8">
        <f>HYPERLINK("https://www.vietnamworks.com/chuyen-vien-khach-hang-ca-nhan-doanh-nghiep-smes-ho-chi-minh-2018057-jv","Xem chi tiết")</f>
        <v/>
      </c>
    </row>
    <row r="7032">
      <c r="B7032" s="9" t="n">
        <v>7030</v>
      </c>
      <c r="C7032" s="10" t="inlineStr">
        <is>
          <t>Nhân Viên Lễ Tân Tòa Nhà Văn Phòng/receptionist (Nam)</t>
        </is>
      </c>
      <c r="D7032" s="10" t="inlineStr">
        <is>
          <t>Tập Đoàn Bất Động Sản An Gia</t>
        </is>
      </c>
      <c r="E7032" s="10" t="inlineStr">
        <is>
          <t>Thương lượng</t>
        </is>
      </c>
      <c r="F7032" s="10" t="inlineStr">
        <is>
          <t>Hồ Chí Minh</t>
        </is>
      </c>
      <c r="G7032" s="10" t="inlineStr">
        <is>
          <t>Nhân viên</t>
        </is>
      </c>
      <c r="H7032" s="10" t="inlineStr">
        <is>
          <t>04/03/2026</t>
        </is>
      </c>
      <c r="I7032" s="10" t="inlineStr">
        <is>
          <t>03/04/2026</t>
        </is>
      </c>
      <c r="J7032" s="10" t="inlineStr">
        <is>
          <t>17/03/2026</t>
        </is>
      </c>
      <c r="K7032" s="10" t="inlineStr">
        <is>
          <t>N/A</t>
        </is>
      </c>
      <c r="L7032" s="10" t="inlineStr">
        <is>
          <t>Kỹ Năng Quản Lý, Lập Báo Cáo, Tiếng Anh Căn Bản</t>
        </is>
      </c>
      <c r="M7032" s="10" t="inlineStr">
        <is>
          <t>Bonus, Healthcare Plan, Paid Leave, Training, Laptop, Travel Opportunities, Vouchers</t>
        </is>
      </c>
      <c r="N7032" s="11">
        <f>HYPERLINK("https://www.vietnamworks.com/nhan-vien-le-tan-toa-nha-van-phongreceptionist-nam-2018055-jv","Xem chi tiết")</f>
        <v/>
      </c>
      <c r="O7032" s="10" t="n"/>
    </row>
    <row r="7033">
      <c r="B7033" s="7" t="n">
        <v>7031</v>
      </c>
      <c r="C7033" t="inlineStr">
        <is>
          <t>Accounting Specialist</t>
        </is>
      </c>
      <c r="D7033" t="inlineStr">
        <is>
          <t>Công Ty TNHH Jupiter Việt Nam</t>
        </is>
      </c>
      <c r="E7033" t="inlineStr">
        <is>
          <t>Thương lượng</t>
        </is>
      </c>
      <c r="F7033" t="inlineStr">
        <is>
          <t>Hồ Chí Minh</t>
        </is>
      </c>
      <c r="G7033" t="inlineStr">
        <is>
          <t>Nhân viên</t>
        </is>
      </c>
      <c r="H7033" t="inlineStr">
        <is>
          <t>04/03/2026</t>
        </is>
      </c>
      <c r="I7033" t="inlineStr">
        <is>
          <t>03/04/2026</t>
        </is>
      </c>
      <c r="J7033" t="inlineStr">
        <is>
          <t>17/03/2026</t>
        </is>
      </c>
      <c r="K7033" t="inlineStr">
        <is>
          <t>N/A</t>
        </is>
      </c>
      <c r="L7033" t="inlineStr">
        <is>
          <t>Financial Reporting, Tax Compliance, ERP Systems, English proficiency</t>
        </is>
      </c>
      <c r="M7033" t="inlineStr">
        <is>
          <t>Bonus, Healthcare Plan, Awards</t>
        </is>
      </c>
      <c r="N7033" s="8">
        <f>HYPERLINK("https://www.vietnamworks.com/accounting-specialist-2018065-jv","Xem chi tiết")</f>
        <v/>
      </c>
    </row>
    <row r="7034">
      <c r="B7034" s="9" t="n">
        <v>7032</v>
      </c>
      <c r="C7034" s="10" t="inlineStr">
        <is>
          <t>Nhân Viên Hành Chính Nhân Sự Tiếng Nhật</t>
        </is>
      </c>
      <c r="D7034" s="10" t="inlineStr">
        <is>
          <t>A.I.S Vietnam Co., Ltd</t>
        </is>
      </c>
      <c r="E7034" s="10" t="inlineStr">
        <is>
          <t>Thương lượng</t>
        </is>
      </c>
      <c r="F7034" s="10" t="inlineStr">
        <is>
          <t>Bắc Ninh</t>
        </is>
      </c>
      <c r="G7034" s="10" t="inlineStr">
        <is>
          <t>Nhân viên</t>
        </is>
      </c>
      <c r="H7034" s="10" t="inlineStr">
        <is>
          <t>04/03/2026</t>
        </is>
      </c>
      <c r="I7034" s="10" t="inlineStr">
        <is>
          <t>03/04/2026</t>
        </is>
      </c>
      <c r="J7034" s="10" t="inlineStr">
        <is>
          <t>17/03/2026</t>
        </is>
      </c>
      <c r="K7034" s="10" t="inlineStr">
        <is>
          <t>N/A</t>
        </is>
      </c>
      <c r="L7034" s="10" t="inlineStr">
        <is>
          <t>Tuyển Dụng, Đào Tạo, Phiên Dịch Tiếng Nhật, Dịch Thuật, Đào Tạo Nhân Viên</t>
        </is>
      </c>
      <c r="M7034" s="10" t="inlineStr">
        <is>
          <t>Bonus, Healthcare Plan, Others</t>
        </is>
      </c>
      <c r="N7034" s="11">
        <f>HYPERLINK("https://www.vietnamworks.com/nhan-vien-hanh-chinh-nhan-su-tieng-nhat-2018072-jv","Xem chi tiết")</f>
        <v/>
      </c>
      <c r="O7034" s="10" t="n"/>
    </row>
    <row r="7035">
      <c r="B7035" s="7" t="n">
        <v>7033</v>
      </c>
      <c r="C7035" t="inlineStr">
        <is>
          <t>Phó Giám Đốc Nhà Máy Sản Xuất Nội Thất</t>
        </is>
      </c>
      <c r="D7035" t="inlineStr">
        <is>
          <t>Công ty Cổ phần Nội thất Chân Tâm</t>
        </is>
      </c>
      <c r="E7035" t="inlineStr">
        <is>
          <t>25tr-30tr ₫/tháng</t>
        </is>
      </c>
      <c r="F7035" t="inlineStr">
        <is>
          <t>Bắc Ninh</t>
        </is>
      </c>
      <c r="G7035" t="inlineStr">
        <is>
          <t>Trưởng phòng</t>
        </is>
      </c>
      <c r="H7035" t="inlineStr">
        <is>
          <t>04/03/2026</t>
        </is>
      </c>
      <c r="I7035" t="inlineStr">
        <is>
          <t>03/04/2026</t>
        </is>
      </c>
      <c r="J7035" t="inlineStr">
        <is>
          <t>17/03/2026</t>
        </is>
      </c>
      <c r="K7035" t="inlineStr">
        <is>
          <t>N/A</t>
        </is>
      </c>
      <c r="L7035" t="inlineStr">
        <is>
          <t>Chế Biến Gỗ, CNC Operation, Lập Kế Hoạch Sản Xuất, Quản Lý Công Nghiệp, Sản xuất nội thất</t>
        </is>
      </c>
      <c r="M7035" t="inlineStr">
        <is>
          <t>Healthcare Plan, Canteen, Others</t>
        </is>
      </c>
      <c r="N7035" s="8">
        <f>HYPERLINK("https://www.vietnamworks.com/pho-giam-djoc-nha-may-san-xuat-noi-that-2018067-jv","Xem chi tiết")</f>
        <v/>
      </c>
    </row>
    <row r="7036">
      <c r="B7036" s="9" t="n">
        <v>7034</v>
      </c>
      <c r="C7036" s="10" t="inlineStr">
        <is>
          <t>Tax Manager</t>
        </is>
      </c>
      <c r="D7036" s="10" t="inlineStr">
        <is>
          <t>Michael Page Vietnam</t>
        </is>
      </c>
      <c r="E7036" s="10" t="inlineStr">
        <is>
          <t>Thương lượng</t>
        </is>
      </c>
      <c r="F7036" s="10" t="inlineStr">
        <is>
          <t>Hồ Chí Minh</t>
        </is>
      </c>
      <c r="G7036" s="10" t="inlineStr">
        <is>
          <t>Trưởng phòng</t>
        </is>
      </c>
      <c r="H7036" s="10" t="inlineStr">
        <is>
          <t>04/03/2026</t>
        </is>
      </c>
      <c r="I7036" s="10" t="inlineStr">
        <is>
          <t>03/04/2026</t>
        </is>
      </c>
      <c r="J7036" s="10" t="inlineStr">
        <is>
          <t>17/03/2026</t>
        </is>
      </c>
      <c r="K7036" s="10" t="inlineStr">
        <is>
          <t>N/A</t>
        </is>
      </c>
      <c r="L7036" s="10" t="inlineStr">
        <is>
          <t>Transfer Pricing, Tax Management, Tax Consulting, Tax Compliance, Tax Accounting</t>
        </is>
      </c>
      <c r="M7036" s="10" t="inlineStr">
        <is>
          <t>Bonus</t>
        </is>
      </c>
      <c r="N7036" s="11">
        <f>HYPERLINK("https://www.vietnamworks.com/tax-manager-116-2018075-jv","Xem chi tiết")</f>
        <v/>
      </c>
      <c r="O7036" s="10" t="n"/>
    </row>
    <row r="7037">
      <c r="B7037" s="7" t="n">
        <v>7035</v>
      </c>
      <c r="C7037" t="inlineStr">
        <is>
          <t>Nhân Viên Thanh Quyết Toán (Qss) - Công Trình (Hoàn Thiện Nội Thất)</t>
        </is>
      </c>
      <c r="D7037" t="inlineStr">
        <is>
          <t>AA Corporation</t>
        </is>
      </c>
      <c r="E7037" t="inlineStr">
        <is>
          <t>$$ 500-1,000 /tháng</t>
        </is>
      </c>
      <c r="F7037" t="inlineStr">
        <is>
          <t>Bà Rịa - Vũng Tàu, Hà Nội, Kiên Giang</t>
        </is>
      </c>
      <c r="G7037" t="inlineStr">
        <is>
          <t>Nhân viên</t>
        </is>
      </c>
      <c r="H7037" t="inlineStr">
        <is>
          <t>04/03/2026</t>
        </is>
      </c>
      <c r="I7037" t="inlineStr">
        <is>
          <t>03/04/2026</t>
        </is>
      </c>
      <c r="J7037" t="inlineStr">
        <is>
          <t>17/03/2026</t>
        </is>
      </c>
      <c r="K7037" t="inlineStr">
        <is>
          <t>N/A</t>
        </is>
      </c>
      <c r="L7037" t="inlineStr">
        <is>
          <t>Settlement Analysis, Dự Toán Công Trình, AutoCAD, Cost Control, Quantity Survey</t>
        </is>
      </c>
      <c r="M7037" t="inlineStr">
        <is>
          <t>Bonus, Healthcare Plan, Others</t>
        </is>
      </c>
      <c r="N7037" s="8">
        <f>HYPERLINK("https://www.vietnamworks.com/nhan-vien-thanh-quyet-toan-qss-cong-trinh-hoan-thien-noi-that-2018071-jv","Xem chi tiết")</f>
        <v/>
      </c>
    </row>
    <row r="7038">
      <c r="B7038" s="9" t="n">
        <v>7036</v>
      </c>
      <c r="C7038" s="10" t="inlineStr">
        <is>
          <t>Credit Control Officer (Good English, Support Singapore Finance Team)</t>
        </is>
      </c>
      <c r="D7038" s="10" t="inlineStr">
        <is>
          <t>Rentokil Initial (Viet Nam) Limited Company</t>
        </is>
      </c>
      <c r="E7038" s="10" t="inlineStr">
        <is>
          <t>$$ 600-700 /tháng</t>
        </is>
      </c>
      <c r="F7038" s="10" t="inlineStr">
        <is>
          <t>Hồ Chí Minh</t>
        </is>
      </c>
      <c r="G7038" s="10" t="inlineStr">
        <is>
          <t>Mới Tốt Nghiệp</t>
        </is>
      </c>
      <c r="H7038" s="10" t="inlineStr">
        <is>
          <t>04/03/2026</t>
        </is>
      </c>
      <c r="I7038" s="10" t="inlineStr">
        <is>
          <t>03/04/2026</t>
        </is>
      </c>
      <c r="J7038" s="10" t="inlineStr">
        <is>
          <t>17/03/2026</t>
        </is>
      </c>
      <c r="K7038" s="10" t="inlineStr">
        <is>
          <t>N/A</t>
        </is>
      </c>
      <c r="L7038" s="10" t="inlineStr">
        <is>
          <t>Credit Control, Account Receivable, Kế Toán Công Nợ, Thu Hồi Công Nợ, Payment Control</t>
        </is>
      </c>
      <c r="M7038" s="10" t="inlineStr">
        <is>
          <t>Bonus</t>
        </is>
      </c>
      <c r="N7038" s="11">
        <f>HYPERLINK("https://www.vietnamworks.com/credit-control-officer-good-english-support-singapore-finance-team-2018077-jv","Xem chi tiết")</f>
        <v/>
      </c>
      <c r="O7038" s="10" t="n"/>
    </row>
    <row r="7039">
      <c r="B7039" s="7" t="n">
        <v>7037</v>
      </c>
      <c r="C7039" t="inlineStr">
        <is>
          <t>Phụ Trách Kế Toán (Accounting Officer)</t>
        </is>
      </c>
      <c r="D7039" t="inlineStr">
        <is>
          <t>Công Ty Cổ Phần Tổ Chức Hội Nghị Việt Nam</t>
        </is>
      </c>
      <c r="E7039" t="inlineStr">
        <is>
          <t>$$ 520-1,000 /tháng</t>
        </is>
      </c>
      <c r="F7039" t="inlineStr">
        <is>
          <t>Hà Nội</t>
        </is>
      </c>
      <c r="G7039" t="inlineStr">
        <is>
          <t>Trưởng phòng</t>
        </is>
      </c>
      <c r="H7039" t="inlineStr">
        <is>
          <t>04/03/2026</t>
        </is>
      </c>
      <c r="I7039" t="inlineStr">
        <is>
          <t>03/04/2026</t>
        </is>
      </c>
      <c r="J7039" t="inlineStr">
        <is>
          <t>17/03/2026</t>
        </is>
      </c>
      <c r="K7039" t="inlineStr">
        <is>
          <t>N/A</t>
        </is>
      </c>
      <c r="L7039" t="inlineStr">
        <is>
          <t>Giao Tiếp, Kế Toán, Microsoft Office, Phân Tích Số Liệu, Tài Chính</t>
        </is>
      </c>
      <c r="M7039" t="inlineStr">
        <is>
          <t>Bonus, Training, Others</t>
        </is>
      </c>
      <c r="N7039" s="8">
        <f>HYPERLINK("https://www.vietnamworks.com/phu-trach-ke-toan-accounting-officer-2018080-jv","Xem chi tiết")</f>
        <v/>
      </c>
    </row>
    <row r="7040">
      <c r="B7040" s="9" t="n">
        <v>7038</v>
      </c>
      <c r="C7040" s="10" t="inlineStr">
        <is>
          <t>Kỹ Sư/kỹ Sư Cao Cấp Về Tự Động Hóa (Team Expansion/mở Rộng Team)</t>
        </is>
      </c>
      <c r="D7040" s="10" t="inlineStr">
        <is>
          <t>Hoya Glass Disk Vietnam</t>
        </is>
      </c>
      <c r="E7040" s="10" t="inlineStr">
        <is>
          <t>Thương lượng</t>
        </is>
      </c>
      <c r="F7040" s="10" t="inlineStr">
        <is>
          <t>Hà Nội</t>
        </is>
      </c>
      <c r="G7040" s="10" t="inlineStr">
        <is>
          <t>Nhân viên</t>
        </is>
      </c>
      <c r="H7040" s="10" t="inlineStr">
        <is>
          <t>04/03/2026</t>
        </is>
      </c>
      <c r="I7040" s="10" t="inlineStr">
        <is>
          <t>03/04/2026</t>
        </is>
      </c>
      <c r="J7040" s="10" t="inlineStr">
        <is>
          <t>17/03/2026</t>
        </is>
      </c>
      <c r="K7040" s="10" t="inlineStr">
        <is>
          <t>N/A</t>
        </is>
      </c>
      <c r="L7040" s="10" t="inlineStr">
        <is>
          <t>Automation Engineering, Control System, Data Analysis, PLC Programming, Problem-solving</t>
        </is>
      </c>
      <c r="M7040" s="10" t="inlineStr">
        <is>
          <t>Bonus, Healthcare Plan, Training, Team Activities, Others</t>
        </is>
      </c>
      <c r="N7040" s="11">
        <f>HYPERLINK("https://www.vietnamworks.com/ky-suky-su-cao-cap-ve-tu-djong-hoa-team-expansionmo-rong-team-2018082-jv","Xem chi tiết")</f>
        <v/>
      </c>
      <c r="O7040" s="10" t="n"/>
    </row>
    <row r="7041">
      <c r="B7041" s="7" t="n">
        <v>7039</v>
      </c>
      <c r="C7041" t="inlineStr">
        <is>
          <t>Technical Sales Engineer</t>
        </is>
      </c>
      <c r="D7041" t="inlineStr">
        <is>
          <t>CÔNG TY TNHH ALLALLOY VIỆT NAM</t>
        </is>
      </c>
      <c r="E7041" t="inlineStr">
        <is>
          <t>Thương lượng</t>
        </is>
      </c>
      <c r="F7041" t="inlineStr">
        <is>
          <t>Hồ Chí Minh, Bà Rịa - Vũng Tàu</t>
        </is>
      </c>
      <c r="G7041" t="inlineStr">
        <is>
          <t>Nhân viên</t>
        </is>
      </c>
      <c r="H7041" t="inlineStr">
        <is>
          <t>04/03/2026</t>
        </is>
      </c>
      <c r="I7041" t="inlineStr">
        <is>
          <t>03/04/2026</t>
        </is>
      </c>
      <c r="J7041" t="inlineStr">
        <is>
          <t>17/03/2026</t>
        </is>
      </c>
      <c r="K7041" t="inlineStr">
        <is>
          <t>N/A</t>
        </is>
      </c>
      <c r="L7041" t="inlineStr">
        <is>
          <t>Technical Sales, Mechanical Engineering, Problem Solving, Customer Relation, English Communication</t>
        </is>
      </c>
      <c r="M7041" t="inlineStr">
        <is>
          <t>Bonus, Healthcare Plan, Team Activities</t>
        </is>
      </c>
      <c r="N7041" s="8">
        <f>HYPERLINK("https://www.vietnamworks.com/technical-sales-engineer-2018091-jv","Xem chi tiết")</f>
        <v/>
      </c>
    </row>
    <row r="7042">
      <c r="B7042" s="9" t="n">
        <v>7040</v>
      </c>
      <c r="C7042" s="10" t="inlineStr">
        <is>
          <t>Airline Staff</t>
        </is>
      </c>
      <c r="D7042" s="10" t="inlineStr">
        <is>
          <t>EVA Airways Corp</t>
        </is>
      </c>
      <c r="E7042" s="10" t="inlineStr">
        <is>
          <t>Thương lượng</t>
        </is>
      </c>
      <c r="F7042" s="10" t="inlineStr">
        <is>
          <t>Đà Nẵng</t>
        </is>
      </c>
      <c r="G7042" s="10" t="inlineStr">
        <is>
          <t>Nhân viên</t>
        </is>
      </c>
      <c r="H7042" s="10" t="inlineStr">
        <is>
          <t>04/03/2026</t>
        </is>
      </c>
      <c r="I7042" s="10" t="inlineStr">
        <is>
          <t>03/04/2026</t>
        </is>
      </c>
      <c r="J7042" s="10" t="inlineStr">
        <is>
          <t>17/03/2026</t>
        </is>
      </c>
      <c r="K7042" s="10" t="inlineStr">
        <is>
          <t>N/A</t>
        </is>
      </c>
      <c r="L7042" s="10" t="inlineStr">
        <is>
          <t>Financial Background, MS Office, Communication Skills, Time Management, Problem-solving</t>
        </is>
      </c>
      <c r="M7042" s="10" t="inlineStr">
        <is>
          <t>Bonus, Healthcare Plan, Training, Others</t>
        </is>
      </c>
      <c r="N7042" s="11">
        <f>HYPERLINK("https://www.vietnamworks.com/airline-staff-2018085-jv","Xem chi tiết")</f>
        <v/>
      </c>
      <c r="O7042" s="10" t="n"/>
    </row>
    <row r="7043">
      <c r="B7043" s="7" t="n">
        <v>7041</v>
      </c>
      <c r="C7043" t="inlineStr">
        <is>
          <t>Chuyên Viên Hành Chính Nhân Sự (Lương Từ 15-18 Triệu/tháng)</t>
        </is>
      </c>
      <c r="D7043" t="inlineStr">
        <is>
          <t>Công Ty Cổ Phần Anvy</t>
        </is>
      </c>
      <c r="E7043" t="inlineStr">
        <is>
          <t>$$ 600-800 /tháng</t>
        </is>
      </c>
      <c r="F7043" t="inlineStr">
        <is>
          <t>Hà Nội, Hồ Chí Minh</t>
        </is>
      </c>
      <c r="G7043" t="inlineStr">
        <is>
          <t>Trưởng phòng</t>
        </is>
      </c>
      <c r="H7043" t="inlineStr">
        <is>
          <t>04/03/2026</t>
        </is>
      </c>
      <c r="I7043" t="inlineStr">
        <is>
          <t>03/04/2026</t>
        </is>
      </c>
      <c r="J7043" t="inlineStr">
        <is>
          <t>17/03/2026</t>
        </is>
      </c>
      <c r="K7043" t="inlineStr">
        <is>
          <t>N/A</t>
        </is>
      </c>
      <c r="L7043" t="inlineStr">
        <is>
          <t>Quản Trị Nguồn Nhân Lực, Dược, Tuyển Dụng, Hành Chính Nhân Sự, C&amp;B</t>
        </is>
      </c>
      <c r="M7043" t="inlineStr">
        <is>
          <t>Bonus, Awards, Vouchers</t>
        </is>
      </c>
      <c r="N7043" s="8">
        <f>HYPERLINK("https://www.vietnamworks.com/chuyen-vien-hanh-chinh-nhan-su-luong-tu-15-18-trieu-thang-2018084-jv","Xem chi tiết")</f>
        <v/>
      </c>
    </row>
    <row r="7044">
      <c r="B7044" s="9" t="n">
        <v>7042</v>
      </c>
      <c r="C7044" s="10" t="inlineStr">
        <is>
          <t>Nhân Viên Kinh Doanh Làm Việc Các Khu Vực (Toàn Quốc)</t>
        </is>
      </c>
      <c r="D7044" s="10" t="inlineStr">
        <is>
          <t>Công Ty Cổ Phần Công Nghiệp Và Thiết Bị Chiếu Sáng Duhal</t>
        </is>
      </c>
      <c r="E7044" s="10" t="inlineStr">
        <is>
          <t>10tr-20tr ₫/tháng</t>
        </is>
      </c>
      <c r="F7044" s="10" t="inlineStr">
        <is>
          <t>Hồ Chí Minh</t>
        </is>
      </c>
      <c r="G7044" s="10" t="inlineStr">
        <is>
          <t>Nhân viên</t>
        </is>
      </c>
      <c r="H7044" s="10" t="inlineStr">
        <is>
          <t>04/03/2026</t>
        </is>
      </c>
      <c r="I7044" s="10" t="inlineStr">
        <is>
          <t>03/04/2026</t>
        </is>
      </c>
      <c r="J7044" s="10" t="inlineStr">
        <is>
          <t>17/03/2026</t>
        </is>
      </c>
      <c r="K7044" s="10" t="inlineStr">
        <is>
          <t>N/A</t>
        </is>
      </c>
      <c r="L7044" s="10" t="inlineStr">
        <is>
          <t>Giám Sát Chất Lượng Dịch Vụ, Kinh Doanh, Marketing, Phát triển doanh số</t>
        </is>
      </c>
      <c r="M7044" s="10" t="inlineStr">
        <is>
          <t>Bonus, Paid Leave, Others</t>
        </is>
      </c>
      <c r="N7044" s="11">
        <f>HYPERLINK("https://www.vietnamworks.com/nhan-vien-kinh-doanh-lam-viec-cac-khu-vuc-toan-quoc-2018088-jv","Xem chi tiết")</f>
        <v/>
      </c>
      <c r="O7044" s="10" t="n"/>
    </row>
    <row r="7045">
      <c r="B7045" s="7" t="n">
        <v>7043</v>
      </c>
      <c r="C7045" t="inlineStr">
        <is>
          <t>Nhân Viên Phòng Kỹ Thuật Cộng Nghệ</t>
        </is>
      </c>
      <c r="D7045" t="inlineStr">
        <is>
          <t>Công Ty Cổ Phần Elmich</t>
        </is>
      </c>
      <c r="E7045" t="inlineStr">
        <is>
          <t>13tr-15tr ₫/tháng</t>
        </is>
      </c>
      <c r="F7045" t="inlineStr">
        <is>
          <t>Ninh Bình, Hà Nam</t>
        </is>
      </c>
      <c r="G7045" t="inlineStr">
        <is>
          <t>Nhân viên</t>
        </is>
      </c>
      <c r="H7045" t="inlineStr">
        <is>
          <t>04/03/2026</t>
        </is>
      </c>
      <c r="I7045" t="inlineStr">
        <is>
          <t>03/04/2026</t>
        </is>
      </c>
      <c r="J7045" t="inlineStr">
        <is>
          <t>17/03/2026</t>
        </is>
      </c>
      <c r="K7045" t="inlineStr">
        <is>
          <t>N/A</t>
        </is>
      </c>
      <c r="L7045" t="inlineStr">
        <is>
          <t>Bản Vẽ Kỹ Thuật, ISO Standards, Kỹ Thuật Dập, Thử Nghiệm Sản Phẩm, Đào Tạo Nhân Viên</t>
        </is>
      </c>
      <c r="M7045" t="inlineStr">
        <is>
          <t>Bonus, Healthcare Plan, Paid Leave, Travel Opportunities, Vouchers</t>
        </is>
      </c>
      <c r="N7045" s="8">
        <f>HYPERLINK("https://www.vietnamworks.com/nhan-vien-phong-ky-thuat-cong-nghe-2018073-jv","Xem chi tiết")</f>
        <v/>
      </c>
    </row>
    <row r="7046">
      <c r="B7046" s="9" t="n">
        <v>7044</v>
      </c>
      <c r="C7046" s="10" t="inlineStr">
        <is>
          <t>Senior SAP MM Consultant</t>
        </is>
      </c>
      <c r="D7046" s="10" t="inlineStr">
        <is>
          <t>Bosch Global Software Technologies Company Limited</t>
        </is>
      </c>
      <c r="E7046" s="10" t="inlineStr">
        <is>
          <t>Thương lượng</t>
        </is>
      </c>
      <c r="F7046" s="10" t="inlineStr">
        <is>
          <t>Hồ Chí Minh</t>
        </is>
      </c>
      <c r="G7046" s="10" t="inlineStr">
        <is>
          <t>Nhân viên</t>
        </is>
      </c>
      <c r="H7046" s="10" t="inlineStr">
        <is>
          <t>04/03/2026</t>
        </is>
      </c>
      <c r="I7046" s="10" t="inlineStr">
        <is>
          <t>03/04/2026</t>
        </is>
      </c>
      <c r="J7046" s="10" t="inlineStr">
        <is>
          <t>17/03/2026</t>
        </is>
      </c>
      <c r="K7046" s="10" t="inlineStr">
        <is>
          <t>N/A</t>
        </is>
      </c>
      <c r="L7046" s="10" t="inlineStr">
        <is>
          <t>P2P Process, Requirements Analysis, SAP Configuration, SAP Material Management, Sap Mm</t>
        </is>
      </c>
      <c r="M7046" s="10" t="inlineStr">
        <is>
          <t>Bonus, Healthcare Plan, Paid Leave, Training, Team Activities, Others</t>
        </is>
      </c>
      <c r="N7046" s="11">
        <f>HYPERLINK("https://www.vietnamworks.com/senior-sap-mm-consultant-2018087-jv","Xem chi tiết")</f>
        <v/>
      </c>
      <c r="O7046" s="10" t="n"/>
    </row>
    <row r="7047">
      <c r="B7047" s="7" t="n">
        <v>7045</v>
      </c>
      <c r="C7047" t="inlineStr">
        <is>
          <t>Assistant Manager/ Senior Consultant, Internal Audit, Risk &amp; Compliance</t>
        </is>
      </c>
      <c r="D7047" t="inlineStr">
        <is>
          <t>KPMG Việt Nam</t>
        </is>
      </c>
      <c r="E7047" t="inlineStr">
        <is>
          <t>Thương lượng</t>
        </is>
      </c>
      <c r="F7047" t="inlineStr">
        <is>
          <t>Hồ Chí Minh</t>
        </is>
      </c>
      <c r="G7047" t="inlineStr">
        <is>
          <t>Nhân viên</t>
        </is>
      </c>
      <c r="H7047" t="inlineStr">
        <is>
          <t>04/03/2026</t>
        </is>
      </c>
      <c r="I7047" t="inlineStr">
        <is>
          <t>03/04/2026</t>
        </is>
      </c>
      <c r="J7047" t="inlineStr">
        <is>
          <t>17/03/2026</t>
        </is>
      </c>
      <c r="K7047" t="inlineStr">
        <is>
          <t>N/A</t>
        </is>
      </c>
      <c r="L7047" t="inlineStr">
        <is>
          <t>Audit, Governance, Internal Audit, Risk Management, Internal Control</t>
        </is>
      </c>
      <c r="M7047" t="inlineStr">
        <is>
          <t>Bonus, Healthcare Plan, Training, Laptop, Team Activities</t>
        </is>
      </c>
      <c r="N7047" s="8">
        <f>HYPERLINK("https://www.vietnamworks.com/assistant-manager-senior-consultant-internal-audit-risk-and-compliance-2018090-jv","Xem chi tiết")</f>
        <v/>
      </c>
    </row>
    <row r="7048">
      <c r="B7048" s="9" t="n">
        <v>7046</v>
      </c>
      <c r="C7048" s="10" t="inlineStr">
        <is>
          <t>Chuyên Viên Ứng Dụng (Microsoft)</t>
        </is>
      </c>
      <c r="D7048" s="10" t="inlineStr">
        <is>
          <t>Công Ty Cổ Phần Tin Học Viễn Thông Petrolimex (PIACOM)</t>
        </is>
      </c>
      <c r="E7048" s="10" t="inlineStr">
        <is>
          <t>Thương lượng</t>
        </is>
      </c>
      <c r="F7048" s="10" t="inlineStr">
        <is>
          <t>Hà Nội</t>
        </is>
      </c>
      <c r="G7048" s="10" t="inlineStr">
        <is>
          <t>Nhân viên</t>
        </is>
      </c>
      <c r="H7048" s="10" t="inlineStr">
        <is>
          <t>04/03/2026</t>
        </is>
      </c>
      <c r="I7048" s="10" t="inlineStr">
        <is>
          <t>03/04/2026</t>
        </is>
      </c>
      <c r="J7048" s="10" t="inlineStr">
        <is>
          <t>17/03/2026</t>
        </is>
      </c>
      <c r="K7048" s="10" t="inlineStr">
        <is>
          <t>N/A</t>
        </is>
      </c>
      <c r="L7048" s="10" t="inlineStr">
        <is>
          <t>System Administration, Quản Trị Hệ Thống, Windows Server, Windows Backup</t>
        </is>
      </c>
      <c r="M7048" s="10" t="inlineStr">
        <is>
          <t>Paid Leave, Others</t>
        </is>
      </c>
      <c r="N7048" s="11">
        <f>HYPERLINK("https://www.vietnamworks.com/chuyen-vien-ung-dung-microsoft-2018095-jv","Xem chi tiết")</f>
        <v/>
      </c>
      <c r="O7048" s="10" t="n"/>
    </row>
    <row r="7049">
      <c r="B7049" s="7" t="n">
        <v>7047</v>
      </c>
      <c r="C7049" t="inlineStr">
        <is>
          <t>Senior SAP SD Consultant</t>
        </is>
      </c>
      <c r="D7049" t="inlineStr">
        <is>
          <t>Bosch Global Software Technologies Company Limited</t>
        </is>
      </c>
      <c r="E7049" t="inlineStr">
        <is>
          <t>Thương lượng</t>
        </is>
      </c>
      <c r="F7049" t="inlineStr">
        <is>
          <t>Hồ Chí Minh</t>
        </is>
      </c>
      <c r="G7049" t="inlineStr">
        <is>
          <t>Nhân viên</t>
        </is>
      </c>
      <c r="H7049" t="inlineStr">
        <is>
          <t>04/03/2026</t>
        </is>
      </c>
      <c r="I7049" t="inlineStr">
        <is>
          <t>03/04/2026</t>
        </is>
      </c>
      <c r="J7049" t="inlineStr">
        <is>
          <t>17/03/2026</t>
        </is>
      </c>
      <c r="K7049" t="inlineStr">
        <is>
          <t>N/A</t>
        </is>
      </c>
      <c r="L7049" t="inlineStr">
        <is>
          <t>OTC, S4 Hana, SAP, SAP ABAP</t>
        </is>
      </c>
      <c r="M7049" t="inlineStr">
        <is>
          <t>Bonus, Healthcare Plan, Paid Leave, Training, Team Activities, Others</t>
        </is>
      </c>
      <c r="N7049" s="8">
        <f>HYPERLINK("https://www.vietnamworks.com/senior-sap-sd-consultant-2018089-jv","Xem chi tiết")</f>
        <v/>
      </c>
    </row>
    <row r="7050">
      <c r="B7050" s="9" t="n">
        <v>7048</v>
      </c>
      <c r="C7050" s="10" t="inlineStr">
        <is>
          <t>Income Auditor | Nhân Viên Kế Toán Kiểm Toán</t>
        </is>
      </c>
      <c r="D7050" s="10" t="inlineStr">
        <is>
          <t>JW Marriott Hanoi</t>
        </is>
      </c>
      <c r="E7050" s="10" t="inlineStr">
        <is>
          <t>Thương lượng</t>
        </is>
      </c>
      <c r="F7050" s="10" t="inlineStr">
        <is>
          <t>Hà Nội</t>
        </is>
      </c>
      <c r="G7050" s="10" t="inlineStr">
        <is>
          <t>Nhân viên</t>
        </is>
      </c>
      <c r="H7050" s="10" t="inlineStr">
        <is>
          <t>04/03/2026</t>
        </is>
      </c>
      <c r="I7050" s="10" t="inlineStr">
        <is>
          <t>03/04/2026</t>
        </is>
      </c>
      <c r="J7050" s="10" t="inlineStr">
        <is>
          <t>17/03/2026</t>
        </is>
      </c>
      <c r="K7050" s="10" t="inlineStr">
        <is>
          <t>N/A</t>
        </is>
      </c>
      <c r="L7050" s="10" t="inlineStr">
        <is>
          <t>Financial Reporting, Cash Management, Discrepancy Investigation, Accounting Standards, Financial Control</t>
        </is>
      </c>
      <c r="M7050" s="10" t="inlineStr">
        <is>
          <t>Bonus, Healthcare Plan, Training, Team Activities, Canteen, Vouchers, Others</t>
        </is>
      </c>
      <c r="N7050" s="11">
        <f>HYPERLINK("https://www.vietnamworks.com/income-auditor-or-nhan-vien-ke-toan-kiem-toan-2018096-jv","Xem chi tiết")</f>
        <v/>
      </c>
      <c r="O7050" s="10" t="n"/>
    </row>
    <row r="7051">
      <c r="B7051" s="7" t="n">
        <v>7049</v>
      </c>
      <c r="C7051" t="inlineStr">
        <is>
          <t>Director Of Sales (Based in HCM City)| Trợ Lý Giám Đốc Bộ Phận Quản Lý Kinh Doanh (MICE &amp; Corporate) (Làm Việc tại HCM)</t>
        </is>
      </c>
      <c r="D7051" t="inlineStr">
        <is>
          <t>JW Marriott Hanoi</t>
        </is>
      </c>
      <c r="E7051" t="inlineStr">
        <is>
          <t>Thương lượng</t>
        </is>
      </c>
      <c r="F7051" t="inlineStr">
        <is>
          <t>Hà Nội</t>
        </is>
      </c>
      <c r="G7051" t="inlineStr">
        <is>
          <t>Giám Đốc và Cấp Cao Hơn</t>
        </is>
      </c>
      <c r="H7051" t="inlineStr">
        <is>
          <t>04/03/2026</t>
        </is>
      </c>
      <c r="I7051" t="inlineStr">
        <is>
          <t>03/04/2026</t>
        </is>
      </c>
      <c r="J7051" t="inlineStr">
        <is>
          <t>17/03/2026</t>
        </is>
      </c>
      <c r="K7051" t="inlineStr">
        <is>
          <t>N/A</t>
        </is>
      </c>
      <c r="L7051" t="inlineStr">
        <is>
          <t>Sales Management, Customer Relation, Negotiation Skills, Market Analysis, Team Management</t>
        </is>
      </c>
      <c r="M7051" t="inlineStr">
        <is>
          <t>Bonus, Canteen, Vouchers</t>
        </is>
      </c>
      <c r="N7051" s="8">
        <f>HYPERLINK("https://www.vietnamworks.com/director-of-sales-based-in-hcm-city-or-tro-ly-giam-djoc-bo-phan-quan-ly-kinh-doanh-mice-and-corporate-lam-viec-tai-hcm-2018094-jv","Xem chi tiết")</f>
        <v/>
      </c>
    </row>
    <row r="7052">
      <c r="B7052" s="9" t="n">
        <v>7050</v>
      </c>
      <c r="C7052" s="10" t="inlineStr">
        <is>
          <t>Executive Recruiter (Salary Upto $1200, Consulting/research)</t>
        </is>
      </c>
      <c r="D7052" s="10" t="inlineStr">
        <is>
          <t>Arches Corporation</t>
        </is>
      </c>
      <c r="E7052" s="10" t="inlineStr">
        <is>
          <t>Tới $ 1,200 /tháng</t>
        </is>
      </c>
      <c r="F7052" s="10" t="inlineStr">
        <is>
          <t>Hồ Chí Minh</t>
        </is>
      </c>
      <c r="G7052" s="10" t="inlineStr">
        <is>
          <t>Nhân viên</t>
        </is>
      </c>
      <c r="H7052" s="10" t="inlineStr">
        <is>
          <t>04/03/2026</t>
        </is>
      </c>
      <c r="I7052" s="10" t="inlineStr">
        <is>
          <t>03/04/2026</t>
        </is>
      </c>
      <c r="J7052" s="10" t="inlineStr">
        <is>
          <t>17/03/2026</t>
        </is>
      </c>
      <c r="K7052" s="10" t="inlineStr">
        <is>
          <t>N/A</t>
        </is>
      </c>
      <c r="L7052" s="10" t="inlineStr">
        <is>
          <t>Recruitment Tools, Client Service, Consulting, Recruitment Consulting, Sales Recruitment</t>
        </is>
      </c>
      <c r="M7052" s="10" t="inlineStr">
        <is>
          <t>Bonus, Healthcare Plan, Paid Leave, Training, Team Activities, Others</t>
        </is>
      </c>
      <c r="N7052" s="11">
        <f>HYPERLINK("https://www.vietnamworks.com/executive-recruiter-salary-upto-1200-consulting-research-2018083-jv","Xem chi tiết")</f>
        <v/>
      </c>
      <c r="O7052" s="10" t="n"/>
    </row>
    <row r="7053">
      <c r="B7053" s="7" t="n">
        <v>7051</v>
      </c>
      <c r="C7053" t="inlineStr">
        <is>
          <t>Giám Đốc Điều Hành (CEO / Managing Director)</t>
        </is>
      </c>
      <c r="D7053" t="inlineStr">
        <is>
          <t>Công Ty CP Ideaz Việt Nam</t>
        </is>
      </c>
      <c r="E7053" t="inlineStr">
        <is>
          <t>Thương lượng</t>
        </is>
      </c>
      <c r="F7053" t="inlineStr">
        <is>
          <t>Hà Nội</t>
        </is>
      </c>
      <c r="G7053" t="inlineStr">
        <is>
          <t>Giám Đốc và Cấp Cao Hơn</t>
        </is>
      </c>
      <c r="H7053" t="inlineStr">
        <is>
          <t>04/03/2026</t>
        </is>
      </c>
      <c r="I7053" t="inlineStr">
        <is>
          <t>03/04/2026</t>
        </is>
      </c>
      <c r="J7053" t="inlineStr">
        <is>
          <t>17/03/2026</t>
        </is>
      </c>
      <c r="K7053" t="inlineStr">
        <is>
          <t>N/A</t>
        </is>
      </c>
      <c r="L7053" t="inlineStr">
        <is>
          <t>Chiến Lược Sản Phẩm, Lãnh Đạo, Phát Triển Kinh Doanh, Quản Trị Tài Chính, Đàm Phán</t>
        </is>
      </c>
      <c r="M7053" t="inlineStr">
        <is>
          <t>Bonus, Others</t>
        </is>
      </c>
      <c r="N7053" s="8">
        <f>HYPERLINK("https://www.vietnamworks.com/giam-doc-dieu-hanh-ceo-managing-director-2018100-jv","Xem chi tiết")</f>
        <v/>
      </c>
    </row>
    <row r="7054">
      <c r="B7054" s="9" t="n">
        <v>7052</v>
      </c>
      <c r="C7054" s="10" t="inlineStr">
        <is>
          <t>Phó Phòng Thiết Kế</t>
        </is>
      </c>
      <c r="D7054" s="10" t="inlineStr">
        <is>
          <t>Công Ty CP Ideaz Việt Nam</t>
        </is>
      </c>
      <c r="E7054" s="10" t="inlineStr">
        <is>
          <t>25tr-35tr ₫/tháng</t>
        </is>
      </c>
      <c r="F7054" s="10" t="inlineStr">
        <is>
          <t>Hà Nội</t>
        </is>
      </c>
      <c r="G7054" s="10" t="inlineStr">
        <is>
          <t>Nhân viên</t>
        </is>
      </c>
      <c r="H7054" s="10" t="inlineStr">
        <is>
          <t>04/03/2026</t>
        </is>
      </c>
      <c r="I7054" s="10" t="inlineStr">
        <is>
          <t>03/04/2026</t>
        </is>
      </c>
      <c r="J7054" s="10" t="inlineStr">
        <is>
          <t>17/03/2026</t>
        </is>
      </c>
      <c r="K7054" s="10" t="inlineStr">
        <is>
          <t>N/A</t>
        </is>
      </c>
      <c r="L7054" s="10" t="inlineStr">
        <is>
          <t>Autocad, Furniture Design, Quản Lý Nhóm, Sketchup, Thiết Kế Nội Thất</t>
        </is>
      </c>
      <c r="M7054" s="10" t="inlineStr">
        <is>
          <t>Healthcare Plan, Training, Travel Opportunities, Others</t>
        </is>
      </c>
      <c r="N7054" s="11">
        <f>HYPERLINK("https://www.vietnamworks.com/pho-phong-thiet-ke-2018103-jv","Xem chi tiết")</f>
        <v/>
      </c>
      <c r="O7054" s="10" t="n"/>
    </row>
    <row r="7055">
      <c r="B7055" s="7" t="n">
        <v>7053</v>
      </c>
      <c r="C7055" t="inlineStr">
        <is>
          <t>Nhân Viên Lái Xe</t>
        </is>
      </c>
      <c r="D7055" t="inlineStr">
        <is>
          <t>Vietnamworks' Client</t>
        </is>
      </c>
      <c r="E7055" t="inlineStr">
        <is>
          <t>Thương lượng</t>
        </is>
      </c>
      <c r="F7055" t="inlineStr">
        <is>
          <t>Hà Nội</t>
        </is>
      </c>
      <c r="G7055" t="inlineStr">
        <is>
          <t>Nhân viên</t>
        </is>
      </c>
      <c r="H7055" t="inlineStr">
        <is>
          <t>04/03/2026</t>
        </is>
      </c>
      <c r="I7055" t="inlineStr">
        <is>
          <t>03/04/2026</t>
        </is>
      </c>
      <c r="J7055" t="inlineStr">
        <is>
          <t>17/03/2026</t>
        </is>
      </c>
      <c r="K7055" t="inlineStr">
        <is>
          <t>N/A</t>
        </is>
      </c>
      <c r="L7055" t="inlineStr">
        <is>
          <t>Bằng Lái Xe B2, Lái Xe Văn Phòng, Tiếng Anh, Bảo Dưỡng Xe, Lái Xe</t>
        </is>
      </c>
      <c r="M7055" t="inlineStr">
        <is>
          <t>Bonus, Healthcare Plan, Travel Opportunities</t>
        </is>
      </c>
      <c r="N7055" s="8">
        <f>HYPERLINK("https://www.vietnamworks.com/nhan-vien-lai-xe--2018109-jv","Xem chi tiết")</f>
        <v/>
      </c>
    </row>
    <row r="7056">
      <c r="B7056" s="9" t="n">
        <v>7054</v>
      </c>
      <c r="C7056" s="10" t="inlineStr">
        <is>
          <t xml:space="preserve">Sales Manager MT &amp; GT Ngành Điện Gia dụng &amp; Thiết bị Công nghệ </t>
        </is>
      </c>
      <c r="D7056" s="10" t="inlineStr">
        <is>
          <t>CÔNG TY TNHH CÔNG NGHỆ SMART- LINK VIỆT NAM</t>
        </is>
      </c>
      <c r="E7056" s="10" t="inlineStr">
        <is>
          <t>20tr-40tr ₫/tháng</t>
        </is>
      </c>
      <c r="F7056" s="10" t="inlineStr">
        <is>
          <t>Hồ Chí Minh</t>
        </is>
      </c>
      <c r="G7056" s="10" t="inlineStr">
        <is>
          <t>Trưởng phòng</t>
        </is>
      </c>
      <c r="H7056" s="10" t="inlineStr">
        <is>
          <t>04/03/2026</t>
        </is>
      </c>
      <c r="I7056" s="10" t="inlineStr">
        <is>
          <t>03/04/2026</t>
        </is>
      </c>
      <c r="J7056" s="10" t="inlineStr">
        <is>
          <t>17/03/2026</t>
        </is>
      </c>
      <c r="K7056" s="10" t="inlineStr">
        <is>
          <t>N/A</t>
        </is>
      </c>
      <c r="L7056" s="10" t="inlineStr">
        <is>
          <t>Lãnh Đạo, Lập Kế Hoạch Kinh Doanh, Quản Lý Sales, Tiếng Anh, Kinh Nghiệm Kênh Mt &amp; Gt</t>
        </is>
      </c>
      <c r="M7056" s="10" t="inlineStr">
        <is>
          <t>Bonus, Healthcare Plan, Team Activities, Others</t>
        </is>
      </c>
      <c r="N7056" s="11">
        <f>HYPERLINK("https://www.vietnamworks.com/sales-manager-mt-and-gt-nganh-djien-gia-dung-and-thiet-bi-cong-nghe-2018111-jv","Xem chi tiết")</f>
        <v/>
      </c>
      <c r="O7056" s="10" t="n"/>
    </row>
    <row r="7057">
      <c r="B7057" s="7" t="n">
        <v>7055</v>
      </c>
      <c r="C7057" t="inlineStr">
        <is>
          <t>Sales Assistant</t>
        </is>
      </c>
      <c r="D7057" t="inlineStr">
        <is>
          <t>Viet Nam Golf Distribution Co., Ltd</t>
        </is>
      </c>
      <c r="E7057" t="inlineStr">
        <is>
          <t>10tr-15tr ₫/tháng</t>
        </is>
      </c>
      <c r="F7057" t="inlineStr">
        <is>
          <t>Hồ Chí Minh, Hà Nội</t>
        </is>
      </c>
      <c r="G7057" t="inlineStr">
        <is>
          <t>Mới Tốt Nghiệp</t>
        </is>
      </c>
      <c r="H7057" t="inlineStr">
        <is>
          <t>04/03/2026</t>
        </is>
      </c>
      <c r="I7057" t="inlineStr">
        <is>
          <t>03/04/2026</t>
        </is>
      </c>
      <c r="J7057" t="inlineStr">
        <is>
          <t>17/03/2026</t>
        </is>
      </c>
      <c r="K7057" t="inlineStr">
        <is>
          <t>N/A</t>
        </is>
      </c>
      <c r="L7057" t="inlineStr">
        <is>
          <t>Business Development, Kinh Doanh, Bán Hàng, English, Sales Planning</t>
        </is>
      </c>
      <c r="M7057" t="inlineStr">
        <is>
          <t>Bonus, Training, Team Activities</t>
        </is>
      </c>
      <c r="N7057" s="8">
        <f>HYPERLINK("https://www.vietnamworks.com/sales-assistant--2018114-jv","Xem chi tiết")</f>
        <v/>
      </c>
    </row>
    <row r="7058">
      <c r="B7058" s="9" t="n">
        <v>7056</v>
      </c>
      <c r="C7058" s="10" t="inlineStr">
        <is>
          <t>Kỹ Sư Sản Xuất - Mức Lương 12-15Tr (Chấp Nhận Sinh Viên Mới Ra Trường)</t>
        </is>
      </c>
      <c r="D7058" s="10" t="inlineStr">
        <is>
          <t>Công Ty Cổ Phần Technokom</t>
        </is>
      </c>
      <c r="E7058" s="10" t="inlineStr">
        <is>
          <t>12tr-15tr ₫/tháng</t>
        </is>
      </c>
      <c r="F7058" s="10" t="inlineStr">
        <is>
          <t>Hưng Yên</t>
        </is>
      </c>
      <c r="G7058" s="10" t="inlineStr">
        <is>
          <t>Nhân viên</t>
        </is>
      </c>
      <c r="H7058" s="10" t="inlineStr">
        <is>
          <t>04/03/2026</t>
        </is>
      </c>
      <c r="I7058" s="10" t="inlineStr">
        <is>
          <t>03/04/2026</t>
        </is>
      </c>
      <c r="J7058" s="10" t="inlineStr">
        <is>
          <t>17/03/2026</t>
        </is>
      </c>
      <c r="K7058" s="10" t="inlineStr">
        <is>
          <t>N/A</t>
        </is>
      </c>
      <c r="L7058" s="10" t="inlineStr">
        <is>
          <t>Lập Kế Hoạch Sản Xuất, Phần Mềm 2D, Quản Lý Chất Lượng, Quản Trị Sản Xuất, Đào Tạo Nhân Sự</t>
        </is>
      </c>
      <c r="M7058" s="10" t="inlineStr">
        <is>
          <t>Others</t>
        </is>
      </c>
      <c r="N7058" s="11">
        <f>HYPERLINK("https://www.vietnamworks.com/ky-su-san-xuat-muc-luong-12-15tr-chap-nhan-sinh-vien-moi-ra-truong-2018106-jv","Xem chi tiết")</f>
        <v/>
      </c>
      <c r="O7058" s="10" t="n"/>
    </row>
    <row r="7059">
      <c r="B7059" s="7" t="n">
        <v>7057</v>
      </c>
      <c r="C7059" t="inlineStr">
        <is>
          <t>Chuyên Viên Thiết Kế Tủ (Cabinet Designer)</t>
        </is>
      </c>
      <c r="D7059" t="inlineStr">
        <is>
          <t>Công Ty CP Ideaz Việt Nam</t>
        </is>
      </c>
      <c r="E7059" t="inlineStr">
        <is>
          <t>18tr-25tr ₫/tháng</t>
        </is>
      </c>
      <c r="F7059" t="inlineStr">
        <is>
          <t>Hà Nội</t>
        </is>
      </c>
      <c r="G7059" t="inlineStr">
        <is>
          <t>Nhân viên</t>
        </is>
      </c>
      <c r="H7059" t="inlineStr">
        <is>
          <t>04/03/2026</t>
        </is>
      </c>
      <c r="I7059" t="inlineStr">
        <is>
          <t>03/04/2026</t>
        </is>
      </c>
      <c r="J7059" t="inlineStr">
        <is>
          <t>17/03/2026</t>
        </is>
      </c>
      <c r="K7059" t="inlineStr">
        <is>
          <t>N/A</t>
        </is>
      </c>
      <c r="L7059" t="inlineStr">
        <is>
          <t>Autocad, Furniture Design, Interior Design, Shop Drawing, Sketchup</t>
        </is>
      </c>
      <c r="M7059" t="inlineStr">
        <is>
          <t>Healthcare Plan, Training, Travel Opportunities, Others</t>
        </is>
      </c>
      <c r="N7059" s="8">
        <f>HYPERLINK("https://www.vietnamworks.com/chuyen-vien-thiet-ke-tu-cabinet-designer-2018097-jv","Xem chi tiết")</f>
        <v/>
      </c>
    </row>
    <row r="7060">
      <c r="B7060" s="9" t="n">
        <v>7058</v>
      </c>
      <c r="C7060" s="10" t="inlineStr">
        <is>
          <t>Quản Lý Nhóm Cơ Khí Bảo Trì</t>
        </is>
      </c>
      <c r="D7060" s="10" t="inlineStr">
        <is>
          <t>Công Ty Cổ Phần Chế Biến Thực Phẩm Lê Nguyễn Dương</t>
        </is>
      </c>
      <c r="E7060" s="10" t="inlineStr">
        <is>
          <t>15tr-20tr ₫/tháng</t>
        </is>
      </c>
      <c r="F7060" s="10" t="inlineStr">
        <is>
          <t>Long An</t>
        </is>
      </c>
      <c r="G7060" s="10" t="inlineStr">
        <is>
          <t>Trưởng phòng</t>
        </is>
      </c>
      <c r="H7060" s="10" t="inlineStr">
        <is>
          <t>04/03/2026</t>
        </is>
      </c>
      <c r="I7060" s="10" t="inlineStr">
        <is>
          <t>03/04/2026</t>
        </is>
      </c>
      <c r="J7060" s="10" t="inlineStr">
        <is>
          <t>17/03/2026</t>
        </is>
      </c>
      <c r="K7060" s="10" t="inlineStr">
        <is>
          <t>N/A</t>
        </is>
      </c>
      <c r="L7060" s="10" t="inlineStr">
        <is>
          <t>Gia Công Cơ Khí, Bảo Trì Cơ Khí, Thiết Kế Máy Móc, Lập Kế Hoạch, Bảo Dưỡng Bảo Trì</t>
        </is>
      </c>
      <c r="M7060" s="10" t="inlineStr">
        <is>
          <t>Bonus, Healthcare Plan, Training, Others</t>
        </is>
      </c>
      <c r="N7060" s="11">
        <f>HYPERLINK("https://www.vietnamworks.com/quan-ly-nhom-co-khi-bao-tri-2018102-jv","Xem chi tiết")</f>
        <v/>
      </c>
      <c r="O7060" s="10" t="n"/>
    </row>
    <row r="7061">
      <c r="B7061" s="7" t="n">
        <v>7059</v>
      </c>
      <c r="C7061" t="inlineStr">
        <is>
          <t>Chuyên Viên Ứng Dụng (Vmware/linux)</t>
        </is>
      </c>
      <c r="D7061" t="inlineStr">
        <is>
          <t>Công Ty Cổ Phần Tin Học Viễn Thông Petrolimex (PIACOM)</t>
        </is>
      </c>
      <c r="E7061" t="inlineStr">
        <is>
          <t>27tr-37tr ₫/tháng</t>
        </is>
      </c>
      <c r="F7061" t="inlineStr">
        <is>
          <t>Hà Nội</t>
        </is>
      </c>
      <c r="G7061" t="inlineStr">
        <is>
          <t>Nhân viên</t>
        </is>
      </c>
      <c r="H7061" t="inlineStr">
        <is>
          <t>04/03/2026</t>
        </is>
      </c>
      <c r="I7061" t="inlineStr">
        <is>
          <t>03/04/2026</t>
        </is>
      </c>
      <c r="J7061" t="inlineStr">
        <is>
          <t>17/03/2026</t>
        </is>
      </c>
      <c r="K7061" t="inlineStr">
        <is>
          <t>N/A</t>
        </is>
      </c>
      <c r="L7061" t="inlineStr">
        <is>
          <t>Server, VMware, Linux, IBM, HPE</t>
        </is>
      </c>
      <c r="M7061" t="inlineStr">
        <is>
          <t>Bonus, Healthcare Plan, Paid Leave, Training, Team Activities, Others</t>
        </is>
      </c>
      <c r="N7061" s="8">
        <f>HYPERLINK("https://www.vietnamworks.com/chuyen-vien-ung-dung-vmware-linux-2018101-jv","Xem chi tiết")</f>
        <v/>
      </c>
    </row>
    <row r="7062">
      <c r="B7062" s="9" t="n">
        <v>7060</v>
      </c>
      <c r="C7062" s="10" t="inlineStr">
        <is>
          <t>Furniture Supply Chain Merchandiser</t>
        </is>
      </c>
      <c r="D7062" s="10" t="inlineStr">
        <is>
          <t>Công Ty TNHH Gigacloud Trading Việt Nam</t>
        </is>
      </c>
      <c r="E7062" s="10" t="inlineStr">
        <is>
          <t>Từ 18tr ₫/tháng</t>
        </is>
      </c>
      <c r="F7062" s="10" t="inlineStr">
        <is>
          <t>Hà Nội, Bình Dương, Bình Định</t>
        </is>
      </c>
      <c r="G7062" s="10" t="inlineStr">
        <is>
          <t>Nhân viên</t>
        </is>
      </c>
      <c r="H7062" s="10" t="inlineStr">
        <is>
          <t>04/03/2026</t>
        </is>
      </c>
      <c r="I7062" s="10" t="inlineStr">
        <is>
          <t>03/04/2026</t>
        </is>
      </c>
      <c r="J7062" s="10" t="inlineStr">
        <is>
          <t>17/03/2026</t>
        </is>
      </c>
      <c r="K7062" s="10" t="inlineStr">
        <is>
          <t>N/A</t>
        </is>
      </c>
      <c r="L7062" s="10" t="inlineStr">
        <is>
          <t>Product Development, Quality Control, Factory Management, Merchandise Planning, Supply Chain Management</t>
        </is>
      </c>
      <c r="M7062" s="10" t="inlineStr">
        <is>
          <t>Bonus, Healthcare Plan, Paid Leave, Awards, Travel Opportunities, Team Activities, Others</t>
        </is>
      </c>
      <c r="N7062" s="11">
        <f>HYPERLINK("https://www.vietnamworks.com/furniture-supply-chain-merchandiser-2018098-jv","Xem chi tiết")</f>
        <v/>
      </c>
      <c r="O7062" s="10" t="n"/>
    </row>
    <row r="7063">
      <c r="B7063" s="7" t="n">
        <v>7061</v>
      </c>
      <c r="C7063" t="inlineStr">
        <is>
          <t>[Bắc Ninh] Kỹ Sư Công Nghệ/ Technology Engineer</t>
        </is>
      </c>
      <c r="D7063" t="inlineStr">
        <is>
          <t>Diana Unicharm JSC</t>
        </is>
      </c>
      <c r="E7063" t="inlineStr">
        <is>
          <t>20tr-28tr ₫/tháng</t>
        </is>
      </c>
      <c r="F7063" t="inlineStr">
        <is>
          <t>Bắc Ninh</t>
        </is>
      </c>
      <c r="G7063" t="inlineStr">
        <is>
          <t>Nhân viên</t>
        </is>
      </c>
      <c r="H7063" t="inlineStr">
        <is>
          <t>04/03/2026</t>
        </is>
      </c>
      <c r="I7063" t="inlineStr">
        <is>
          <t>03/04/2026</t>
        </is>
      </c>
      <c r="J7063" t="inlineStr">
        <is>
          <t>17/03/2026</t>
        </is>
      </c>
      <c r="K7063" t="inlineStr">
        <is>
          <t>N/A</t>
        </is>
      </c>
      <c r="L7063" t="inlineStr">
        <is>
          <t>Analytical Skills, Autocad, Machine Production, Mechanical Engineering, Mechatronics Engineering</t>
        </is>
      </c>
      <c r="M7063" t="inlineStr">
        <is>
          <t>Bonus, Healthcare Plan, Travel Opportunities, Transportation, Others</t>
        </is>
      </c>
      <c r="N7063" s="8">
        <f>HYPERLINK("https://www.vietnamworks.com/bac-ninh-ky-su-cong-nghe-technology-engineer-2018105-jv","Xem chi tiết")</f>
        <v/>
      </c>
    </row>
    <row r="7064">
      <c r="B7064" s="9" t="n">
        <v>7062</v>
      </c>
      <c r="C7064" s="10" t="inlineStr">
        <is>
          <t>Trưởng Phòng Quản Lý Dự Án</t>
        </is>
      </c>
      <c r="D7064" s="10" t="inlineStr">
        <is>
          <t>Công Ty Cổ Phần Tư Vấn Và Đầu Tư Nam Sơn</t>
        </is>
      </c>
      <c r="E7064" s="10" t="inlineStr">
        <is>
          <t>Thương lượng</t>
        </is>
      </c>
      <c r="F7064" s="10" t="inlineStr">
        <is>
          <t>Hà Nội, Lạng Sơn, Thái Nguyên</t>
        </is>
      </c>
      <c r="G7064" s="10" t="inlineStr">
        <is>
          <t>Trưởng phòng</t>
        </is>
      </c>
      <c r="H7064" s="10" t="inlineStr">
        <is>
          <t>04/03/2026</t>
        </is>
      </c>
      <c r="I7064" s="10" t="inlineStr">
        <is>
          <t>03/04/2026</t>
        </is>
      </c>
      <c r="J7064" s="10" t="inlineStr">
        <is>
          <t>17/03/2026</t>
        </is>
      </c>
      <c r="K7064" s="10" t="inlineStr">
        <is>
          <t>N/A</t>
        </is>
      </c>
      <c r="L7064" s="10" t="inlineStr">
        <is>
          <t>Xây Dựng, Quản Lý Dự Án, Project Management, Theo Dõi Tiến Độ, Làm Hồ Sơ Hoàn Công</t>
        </is>
      </c>
      <c r="M7064" s="10" t="inlineStr">
        <is>
          <t>Bonus, Healthcare Plan, Others</t>
        </is>
      </c>
      <c r="N7064" s="11">
        <f>HYPERLINK("https://www.vietnamworks.com/truong-phong-quan-ly-du-an--2018112-jv","Xem chi tiết")</f>
        <v/>
      </c>
      <c r="O7064" s="10" t="n"/>
    </row>
    <row r="7065">
      <c r="B7065" s="7" t="n">
        <v>7063</v>
      </c>
      <c r="C7065" t="inlineStr">
        <is>
          <t>Trưởng Ban Kế Hoạch Chiến Lược Tập Đoàn (Kinh Nghiệm Chủ Đầu Tư Bất Động Sản Lớn)</t>
        </is>
      </c>
      <c r="D7065" t="inlineStr">
        <is>
          <t>CÔNG TY CỔ PHẦN TẬP ĐOÀN ĐẦU TƯ TÀI CHÍNH QUỐC TẾ VFI</t>
        </is>
      </c>
      <c r="E7065" t="inlineStr">
        <is>
          <t>Thương lượng</t>
        </is>
      </c>
      <c r="F7065" t="inlineStr">
        <is>
          <t>Hà Nội</t>
        </is>
      </c>
      <c r="G7065" t="inlineStr">
        <is>
          <t>Trưởng phòng</t>
        </is>
      </c>
      <c r="H7065" t="inlineStr">
        <is>
          <t>04/03/2026</t>
        </is>
      </c>
      <c r="I7065" t="inlineStr">
        <is>
          <t>03/04/2026</t>
        </is>
      </c>
      <c r="J7065" t="inlineStr">
        <is>
          <t>17/03/2026</t>
        </is>
      </c>
      <c r="K7065" t="inlineStr">
        <is>
          <t>N/A</t>
        </is>
      </c>
      <c r="L7065" t="inlineStr">
        <is>
          <t>Xây Dựng, Hồ Sơ Mời Thầu, Quản Trị Rủi Ro, Tìm Kiếm Nhà Thầu Thi Công, Đấu Thầu</t>
        </is>
      </c>
      <c r="M7065" t="inlineStr">
        <is>
          <t>Bonus, Healthcare Plan, Others</t>
        </is>
      </c>
      <c r="N7065" s="8">
        <f>HYPERLINK("https://www.vietnamworks.com/truong-ban-ke-hoach-chien-luoc-tap-djoan-kinh-nghiem-chu-djau-tu-bat-djong-san-lon-2018113-jv","Xem chi tiết")</f>
        <v/>
      </c>
    </row>
    <row r="7066">
      <c r="B7066" s="9" t="n">
        <v>7064</v>
      </c>
      <c r="C7066" s="10" t="inlineStr">
        <is>
          <t>Chuyên Viên/ Chuyên Viên Cao Cấp Quan Hệ Khách Hàng Cá Nhân/ Doanh Nghiệp - Khu Vực Tây Nguyên, Miền Trung</t>
        </is>
      </c>
      <c r="D7066" s="10" t="inlineStr">
        <is>
          <t>Ngân Hàng TMCP Phát Triển TP.HCM (HDBank)</t>
        </is>
      </c>
      <c r="E7066" s="10" t="inlineStr">
        <is>
          <t>Từ $ 2,000 /tháng</t>
        </is>
      </c>
      <c r="F7066" s="10" t="inlineStr">
        <is>
          <t>Lâm Đồng, Đắk Nông, Đắk Lắk</t>
        </is>
      </c>
      <c r="G7066" s="10" t="inlineStr">
        <is>
          <t>Nhân viên</t>
        </is>
      </c>
      <c r="H7066" s="10" t="inlineStr">
        <is>
          <t>04/03/2026</t>
        </is>
      </c>
      <c r="I7066" s="10" t="inlineStr">
        <is>
          <t>03/04/2026</t>
        </is>
      </c>
      <c r="J7066" s="10" t="inlineStr">
        <is>
          <t>17/03/2026</t>
        </is>
      </c>
      <c r="K7066" s="10" t="inlineStr">
        <is>
          <t>N/A</t>
        </is>
      </c>
      <c r="L7066" s="10" t="inlineStr">
        <is>
          <t>Quan Hệ Khách Hàng, Tài Chính Ngân Hàng, Quan Hệ Doanh Nghiệp, Quản Trị Kinh Doanh, Khách Hàng Doanh Nghiệp</t>
        </is>
      </c>
      <c r="M7066" s="10" t="inlineStr">
        <is>
          <t>Bonus, Healthcare Plan, Training</t>
        </is>
      </c>
      <c r="N7066" s="11">
        <f>HYPERLINK("https://www.vietnamworks.com/chuyen-vien-chuyen-vien-cao-cap-quan-he-khach-hang-ca-nhan-doanh-nghiep-khu-vuc-tay-nguyen-mien-trung-2018104-jv","Xem chi tiết")</f>
        <v/>
      </c>
      <c r="O7066" s="10" t="n"/>
    </row>
    <row r="7067">
      <c r="B7067" s="7" t="n">
        <v>7065</v>
      </c>
      <c r="C7067" t="inlineStr">
        <is>
          <t>Phó Giám Đốc Sản Xuất</t>
        </is>
      </c>
      <c r="D7067" t="inlineStr">
        <is>
          <t>Công Ty TNHH Thương Mại Và Sản Xuất Đức Minh</t>
        </is>
      </c>
      <c r="E7067" t="inlineStr">
        <is>
          <t>Thương lượng</t>
        </is>
      </c>
      <c r="F7067" t="inlineStr">
        <is>
          <t>Hà Nội</t>
        </is>
      </c>
      <c r="G7067" t="inlineStr">
        <is>
          <t>Nhân viên</t>
        </is>
      </c>
      <c r="H7067" t="inlineStr">
        <is>
          <t>04/03/2026</t>
        </is>
      </c>
      <c r="I7067" t="inlineStr">
        <is>
          <t>03/04/2026</t>
        </is>
      </c>
      <c r="J7067" t="inlineStr">
        <is>
          <t>17/03/2026</t>
        </is>
      </c>
      <c r="K7067" t="inlineStr">
        <is>
          <t>N/A</t>
        </is>
      </c>
      <c r="L7067" t="inlineStr">
        <is>
          <t>Quản Lý Sản Xuất, Kỹ Thuật Công Nghiệp, Lean Production, Sản xuất, Sản Xuất Công Nghiệp</t>
        </is>
      </c>
      <c r="M7067" t="inlineStr">
        <is>
          <t>Bonus, Healthcare Plan, Paid Leave, Laptop, Canteen, Others</t>
        </is>
      </c>
      <c r="N7067" s="8">
        <f>HYPERLINK("https://www.vietnamworks.com/pho-giam-djoc-san-xuat-2018108-jv","Xem chi tiết")</f>
        <v/>
      </c>
    </row>
    <row r="7068">
      <c r="B7068" s="9" t="n">
        <v>7066</v>
      </c>
      <c r="C7068" s="10" t="inlineStr">
        <is>
          <t>Giám Đốc Nhà Máy</t>
        </is>
      </c>
      <c r="D7068" s="10" t="inlineStr">
        <is>
          <t>Công Ty Cổ Phần Thương Mại Dịch Vụ Taco Việt Nam</t>
        </is>
      </c>
      <c r="E7068" s="10" t="inlineStr">
        <is>
          <t>Thương lượng</t>
        </is>
      </c>
      <c r="F7068" s="10" t="inlineStr">
        <is>
          <t>N/A</t>
        </is>
      </c>
      <c r="G7068" s="10" t="inlineStr">
        <is>
          <t>Giám Đốc và Cấp Cao Hơn</t>
        </is>
      </c>
      <c r="H7068" s="10" t="inlineStr">
        <is>
          <t>04/03/2026</t>
        </is>
      </c>
      <c r="I7068" s="10" t="inlineStr">
        <is>
          <t>03/04/2026</t>
        </is>
      </c>
      <c r="J7068" s="10" t="inlineStr">
        <is>
          <t>17/03/2026</t>
        </is>
      </c>
      <c r="K7068" s="10" t="inlineStr">
        <is>
          <t>N/A</t>
        </is>
      </c>
      <c r="L7068" s="10" t="inlineStr">
        <is>
          <t>Gia Công Áp Lực, Kinh Tế, Kỹ năng giao tiếp, Kỹ Năng Quản Lý, Quản Trị Doanh Nghiệp</t>
        </is>
      </c>
      <c r="M7068" s="10" t="inlineStr">
        <is>
          <t>Bonus, Paid Leave, Others</t>
        </is>
      </c>
      <c r="N7068" s="11">
        <f>HYPERLINK("https://www.vietnamworks.com/giam-djoc-nha-may-2018123-jv","Xem chi tiết")</f>
        <v/>
      </c>
      <c r="O7068" s="10" t="n"/>
    </row>
    <row r="7069">
      <c r="B7069" s="7" t="n">
        <v>7067</v>
      </c>
      <c r="C7069" t="inlineStr">
        <is>
          <t>Planner</t>
        </is>
      </c>
      <c r="D7069" t="inlineStr">
        <is>
          <t>Công Ty TNHH Mattel Việt Nam</t>
        </is>
      </c>
      <c r="E7069" t="inlineStr">
        <is>
          <t>Thương lượng</t>
        </is>
      </c>
      <c r="F7069" t="inlineStr">
        <is>
          <t>Hải Phòng</t>
        </is>
      </c>
      <c r="G7069" t="inlineStr">
        <is>
          <t>Nhân viên</t>
        </is>
      </c>
      <c r="H7069" t="inlineStr">
        <is>
          <t>04/03/2026</t>
        </is>
      </c>
      <c r="I7069" t="inlineStr">
        <is>
          <t>03/04/2026</t>
        </is>
      </c>
      <c r="J7069" t="inlineStr">
        <is>
          <t>17/03/2026</t>
        </is>
      </c>
      <c r="K7069" t="inlineStr">
        <is>
          <t>N/A</t>
        </is>
      </c>
      <c r="L7069" t="inlineStr">
        <is>
          <t>Production Planning, English Communication, Material Planning, MRP System, Vendor Management</t>
        </is>
      </c>
      <c r="M7069" t="inlineStr">
        <is>
          <t>Bonus, Paid Leave, Others</t>
        </is>
      </c>
      <c r="N7069" s="8">
        <f>HYPERLINK("https://www.vietnamworks.com/planner-2018121-jv","Xem chi tiết")</f>
        <v/>
      </c>
    </row>
    <row r="7070">
      <c r="B7070" s="9" t="n">
        <v>7068</v>
      </c>
      <c r="C7070" s="10" t="inlineStr">
        <is>
          <t>Nhân Viên Chăm Sóc Khách Hàng (Thành thạo Tiếng Trung)</t>
        </is>
      </c>
      <c r="D7070" s="10" t="inlineStr">
        <is>
          <t>Soilbuild Asset Management &amp; Service Company Limited</t>
        </is>
      </c>
      <c r="E7070" s="10" t="inlineStr">
        <is>
          <t>Thương lượng</t>
        </is>
      </c>
      <c r="F7070" s="10" t="inlineStr">
        <is>
          <t>Hà Nội</t>
        </is>
      </c>
      <c r="G7070" s="10" t="inlineStr">
        <is>
          <t>Nhân viên</t>
        </is>
      </c>
      <c r="H7070" s="10" t="inlineStr">
        <is>
          <t>04/03/2026</t>
        </is>
      </c>
      <c r="I7070" s="10" t="inlineStr">
        <is>
          <t>03/04/2026</t>
        </is>
      </c>
      <c r="J7070" s="10" t="inlineStr">
        <is>
          <t>17/03/2026</t>
        </is>
      </c>
      <c r="K7070" s="10" t="inlineStr">
        <is>
          <t>N/A</t>
        </is>
      </c>
      <c r="L7070" s="10" t="inlineStr">
        <is>
          <t>Customer Service, Chinese Speaking, Industrial Real Estate, Property Management, Chăm Sóc Khách Hàng</t>
        </is>
      </c>
      <c r="M7070" s="10" t="inlineStr">
        <is>
          <t>Bonus, Healthcare Plan, Paid Leave, Others</t>
        </is>
      </c>
      <c r="N7070" s="11">
        <f>HYPERLINK("https://www.vietnamworks.com/nhan-vien-cham-soc-khach-hang-thanh-thao-tieng-trung-2018116-jv","Xem chi tiết")</f>
        <v/>
      </c>
      <c r="O7070" s="10" t="n"/>
    </row>
    <row r="7071">
      <c r="B7071" s="7" t="n">
        <v>7069</v>
      </c>
      <c r="C7071" t="inlineStr">
        <is>
          <t>Area Sales Manager</t>
        </is>
      </c>
      <c r="D7071" t="inlineStr">
        <is>
          <t>Vietnamworks' Client</t>
        </is>
      </c>
      <c r="E7071" t="inlineStr">
        <is>
          <t>Thương lượng</t>
        </is>
      </c>
      <c r="F7071" t="inlineStr">
        <is>
          <t>Đắk Lắk, Gia Lai, Khánh Hòa</t>
        </is>
      </c>
      <c r="G7071" t="inlineStr">
        <is>
          <t>Nhân viên</t>
        </is>
      </c>
      <c r="H7071" t="inlineStr">
        <is>
          <t>04/03/2026</t>
        </is>
      </c>
      <c r="I7071" t="inlineStr">
        <is>
          <t>03/04/2026</t>
        </is>
      </c>
      <c r="J7071" t="inlineStr">
        <is>
          <t>17/03/2026</t>
        </is>
      </c>
      <c r="K7071" t="inlineStr">
        <is>
          <t>N/A</t>
        </is>
      </c>
      <c r="L7071" t="inlineStr">
        <is>
          <t>Sales, Business Development, Quản Lý Bán Hàng, Sales Management, Quản Lý Kinh Doanh</t>
        </is>
      </c>
      <c r="M7071" t="inlineStr">
        <is>
          <t>Bonus, Healthcare Plan, Others</t>
        </is>
      </c>
      <c r="N7071" s="8">
        <f>HYPERLINK("https://www.vietnamworks.com/area-sales-manager-2018122-jv","Xem chi tiết")</f>
        <v/>
      </c>
    </row>
    <row r="7072">
      <c r="B7072" s="9" t="n">
        <v>7070</v>
      </c>
      <c r="C7072" s="10" t="inlineStr">
        <is>
          <t>Kỹ Sư HVAC</t>
        </is>
      </c>
      <c r="D7072" s="10" t="inlineStr">
        <is>
          <t>Công ty TNHH EDEEC</t>
        </is>
      </c>
      <c r="E7072" s="10" t="inlineStr">
        <is>
          <t>Thương lượng</t>
        </is>
      </c>
      <c r="F7072" s="10" t="inlineStr">
        <is>
          <t>Hà Nội</t>
        </is>
      </c>
      <c r="G7072" s="10" t="inlineStr">
        <is>
          <t>Nhân viên</t>
        </is>
      </c>
      <c r="H7072" s="10" t="inlineStr">
        <is>
          <t>04/03/2026</t>
        </is>
      </c>
      <c r="I7072" s="10" t="inlineStr">
        <is>
          <t>03/04/2026</t>
        </is>
      </c>
      <c r="J7072" s="10" t="inlineStr">
        <is>
          <t>17/03/2026</t>
        </is>
      </c>
      <c r="K7072" s="10" t="inlineStr">
        <is>
          <t>N/A</t>
        </is>
      </c>
      <c r="L7072" s="10" t="inlineStr">
        <is>
          <t>HVAC Design, MEP Design, Autocad, BIM, CFD Simulation</t>
        </is>
      </c>
      <c r="M7072" s="10" t="inlineStr">
        <is>
          <t>Bonus, Healthcare Plan, Training, Team Activities, Others</t>
        </is>
      </c>
      <c r="N7072" s="11">
        <f>HYPERLINK("https://www.vietnamworks.com/ky-su-hvac-2018120-jv","Xem chi tiết")</f>
        <v/>
      </c>
      <c r="O7072" s="10" t="n"/>
    </row>
    <row r="7073">
      <c r="B7073" s="7" t="n">
        <v>7071</v>
      </c>
      <c r="C7073" t="inlineStr">
        <is>
          <t>Tuyển Gấp - Nhân Viên Kỹ Thuật Phòng Bảo Dưỡng (Chuyên Ngành Điện, Tự Động Hóa) - Nhà Máy KCN VSIP Bắc Ninh</t>
        </is>
      </c>
      <c r="D7073" t="inlineStr">
        <is>
          <t>Công Ty TNHH Ogino Việt Nam</t>
        </is>
      </c>
      <c r="E7073" t="inlineStr">
        <is>
          <t>$$ 400-500 /tháng</t>
        </is>
      </c>
      <c r="F7073" t="inlineStr">
        <is>
          <t>Bắc Ninh</t>
        </is>
      </c>
      <c r="G7073" t="inlineStr">
        <is>
          <t>Nhân viên</t>
        </is>
      </c>
      <c r="H7073" t="inlineStr">
        <is>
          <t>04/03/2026</t>
        </is>
      </c>
      <c r="I7073" t="inlineStr">
        <is>
          <t>03/04/2026</t>
        </is>
      </c>
      <c r="J7073" t="inlineStr">
        <is>
          <t>17/03/2026</t>
        </is>
      </c>
      <c r="K7073" t="inlineStr">
        <is>
          <t>N/A</t>
        </is>
      </c>
      <c r="L7073" t="inlineStr">
        <is>
          <t>CNC, Tự Động Hóa, Điện điện tử, Kỹ Thuật Điện, Điện Công Nghiệp</t>
        </is>
      </c>
      <c r="M7073" t="inlineStr">
        <is>
          <t>Bonus, Healthcare Plan, Paid Leave, Team Activities, Others</t>
        </is>
      </c>
      <c r="N7073" s="8">
        <f>HYPERLINK("https://www.vietnamworks.com/tuyen-gap-nhan-vien-ky-thuat-phong-bao-duong-chuyen-nganh-dien-tu-dong-hoa-nha-may-kcn-vsip-bac-ninh--2018133-jv","Xem chi tiết")</f>
        <v/>
      </c>
    </row>
    <row r="7074">
      <c r="B7074" s="9" t="n">
        <v>7072</v>
      </c>
      <c r="C7074" s="10" t="inlineStr">
        <is>
          <t>Nhân Viên Kinh Doanh / Sales Representative (B2B)</t>
        </is>
      </c>
      <c r="D7074" s="10" t="inlineStr">
        <is>
          <t>Würth Industry Service (Vietnam) Company</t>
        </is>
      </c>
      <c r="E7074" s="10" t="inlineStr">
        <is>
          <t>Thương lượng</t>
        </is>
      </c>
      <c r="F7074" s="10" t="inlineStr">
        <is>
          <t>Hồ Chí Minh</t>
        </is>
      </c>
      <c r="G7074" s="10" t="inlineStr">
        <is>
          <t>Nhân viên</t>
        </is>
      </c>
      <c r="H7074" s="10" t="inlineStr">
        <is>
          <t>04/03/2026</t>
        </is>
      </c>
      <c r="I7074" s="10" t="inlineStr">
        <is>
          <t>03/04/2026</t>
        </is>
      </c>
      <c r="J7074" s="10" t="inlineStr">
        <is>
          <t>17/03/2026</t>
        </is>
      </c>
      <c r="K7074" s="10" t="inlineStr">
        <is>
          <t>N/A</t>
        </is>
      </c>
      <c r="L7074" s="10" t="inlineStr">
        <is>
          <t>Sales Development, English, Customer Service, B2B Sales, Mechanical Engineering</t>
        </is>
      </c>
      <c r="M7074" s="10" t="inlineStr">
        <is>
          <t>Bonus, Healthcare Plan, Training</t>
        </is>
      </c>
      <c r="N7074" s="11">
        <f>HYPERLINK("https://www.vietnamworks.com/nhan-vien-kinh-doanh-sales-representative-b2b-2018125-jv","Xem chi tiết")</f>
        <v/>
      </c>
      <c r="O7074" s="10" t="n"/>
    </row>
    <row r="7075">
      <c r="B7075" s="7" t="n">
        <v>7073</v>
      </c>
      <c r="C7075" t="inlineStr">
        <is>
          <t>Account Manager, Aftermarket (Chinese Speaking)</t>
        </is>
      </c>
      <c r="D7075" t="inlineStr">
        <is>
          <t>Ingersoll Rand Vietnam</t>
        </is>
      </c>
      <c r="E7075" t="inlineStr">
        <is>
          <t>Thương lượng</t>
        </is>
      </c>
      <c r="F7075" t="inlineStr">
        <is>
          <t>Hà Nội</t>
        </is>
      </c>
      <c r="G7075" t="inlineStr">
        <is>
          <t>Nhân viên</t>
        </is>
      </c>
      <c r="H7075" t="inlineStr">
        <is>
          <t>04/03/2026</t>
        </is>
      </c>
      <c r="I7075" t="inlineStr">
        <is>
          <t>03/04/2026</t>
        </is>
      </c>
      <c r="J7075" t="inlineStr">
        <is>
          <t>17/03/2026</t>
        </is>
      </c>
      <c r="K7075" t="inlineStr">
        <is>
          <t>N/A</t>
        </is>
      </c>
      <c r="L7075" t="inlineStr">
        <is>
          <t>Account Management, Air Compressor System, Electrical, English, Mechanical</t>
        </is>
      </c>
      <c r="M7075" t="inlineStr">
        <is>
          <t>Bonus</t>
        </is>
      </c>
      <c r="N7075" s="8">
        <f>HYPERLINK("https://www.vietnamworks.com/account-manager-aftermarket-chinese-speaking-2018129-jv","Xem chi tiết")</f>
        <v/>
      </c>
    </row>
    <row r="7076">
      <c r="B7076" s="9" t="n">
        <v>7074</v>
      </c>
      <c r="C7076" s="10" t="inlineStr">
        <is>
          <t>Nhân Viên Kinh Doanh</t>
        </is>
      </c>
      <c r="D7076" s="10" t="inlineStr">
        <is>
          <t>CÔNG TY TNHH SX TM BAO BÌ NAM VIỆT</t>
        </is>
      </c>
      <c r="E7076" s="10" t="inlineStr">
        <is>
          <t>8tr-20tr ₫/tháng</t>
        </is>
      </c>
      <c r="F7076" s="10" t="inlineStr">
        <is>
          <t>Long An, Hồ Chí Minh</t>
        </is>
      </c>
      <c r="G7076" s="10" t="inlineStr">
        <is>
          <t>Mới Tốt Nghiệp</t>
        </is>
      </c>
      <c r="H7076" s="10" t="inlineStr">
        <is>
          <t>04/03/2026</t>
        </is>
      </c>
      <c r="I7076" s="10" t="inlineStr">
        <is>
          <t>03/04/2026</t>
        </is>
      </c>
      <c r="J7076" s="10" t="inlineStr">
        <is>
          <t>17/03/2026</t>
        </is>
      </c>
      <c r="K7076" s="10" t="inlineStr">
        <is>
          <t>N/A</t>
        </is>
      </c>
      <c r="L7076" s="10" t="inlineStr">
        <is>
          <t>Kinh Doanh, Mở rộng thị trường, Phát Triển Khách Hàng</t>
        </is>
      </c>
      <c r="M7076" s="10" t="inlineStr">
        <is>
          <t>Bonus, Training, Others</t>
        </is>
      </c>
      <c r="N7076" s="11">
        <f>HYPERLINK("https://www.vietnamworks.com/nhan-vien-kinh-doanh-2018144-jv","Xem chi tiết")</f>
        <v/>
      </c>
      <c r="O7076" s="10" t="n"/>
    </row>
    <row r="7077">
      <c r="B7077" s="7" t="n">
        <v>7075</v>
      </c>
      <c r="C7077" t="inlineStr">
        <is>
          <t>Phiên Dịch Tiếng Hàn (Korean Interpreter)</t>
        </is>
      </c>
      <c r="D7077" t="inlineStr">
        <is>
          <t>CÔNG TY TNHH HANMIR</t>
        </is>
      </c>
      <c r="E7077" t="inlineStr">
        <is>
          <t>20tr-25tr ₫/tháng</t>
        </is>
      </c>
      <c r="F7077" t="inlineStr">
        <is>
          <t>Hồ Chí Minh</t>
        </is>
      </c>
      <c r="G7077" t="inlineStr">
        <is>
          <t>Nhân viên</t>
        </is>
      </c>
      <c r="H7077" t="inlineStr">
        <is>
          <t>04/03/2026</t>
        </is>
      </c>
      <c r="I7077" t="inlineStr">
        <is>
          <t>03/04/2026</t>
        </is>
      </c>
      <c r="J7077" t="inlineStr">
        <is>
          <t>17/03/2026</t>
        </is>
      </c>
      <c r="K7077" t="inlineStr">
        <is>
          <t>N/A</t>
        </is>
      </c>
      <c r="L7077" t="inlineStr">
        <is>
          <t>Document Translating, Topik 4, Phiên Dịch Tiếng Hàn, Korean Interpretation, Tiếng Hàn</t>
        </is>
      </c>
      <c r="M7077" t="inlineStr">
        <is>
          <t>Bonus, Healthcare Plan, Paid Leave, Transportation, Others</t>
        </is>
      </c>
      <c r="N7077" s="8">
        <f>HYPERLINK("https://www.vietnamworks.com/phien-dich-tieng-han-korean-interpreter-2018138-jv","Xem chi tiết")</f>
        <v/>
      </c>
    </row>
    <row r="7078">
      <c r="B7078" s="9" t="n">
        <v>7076</v>
      </c>
      <c r="C7078" s="10" t="inlineStr">
        <is>
          <t>Showroom and Customer Experience Manager</t>
        </is>
      </c>
      <c r="D7078" s="10" t="inlineStr">
        <is>
          <t>Rochdale Spears Co., Ltd.</t>
        </is>
      </c>
      <c r="E7078" s="10" t="inlineStr">
        <is>
          <t>Thương lượng</t>
        </is>
      </c>
      <c r="F7078" s="10" t="inlineStr">
        <is>
          <t>Hồ Chí Minh</t>
        </is>
      </c>
      <c r="G7078" s="10" t="inlineStr">
        <is>
          <t>Trưởng phòng</t>
        </is>
      </c>
      <c r="H7078" s="10" t="inlineStr">
        <is>
          <t>04/03/2026</t>
        </is>
      </c>
      <c r="I7078" s="10" t="inlineStr">
        <is>
          <t>03/04/2026</t>
        </is>
      </c>
      <c r="J7078" s="10" t="inlineStr">
        <is>
          <t>17/03/2026</t>
        </is>
      </c>
      <c r="K7078" s="10" t="inlineStr">
        <is>
          <t>N/A</t>
        </is>
      </c>
      <c r="L7078" s="10" t="inlineStr">
        <is>
          <t>Sales, English, Interpersonal Skills, Collaboration Skills</t>
        </is>
      </c>
      <c r="M7078" s="10" t="inlineStr">
        <is>
          <t>Bonus, Transportation</t>
        </is>
      </c>
      <c r="N7078" s="11">
        <f>HYPERLINK("https://www.vietnamworks.com/showroom-and-customer-experience-manager-2018150-jv","Xem chi tiết")</f>
        <v/>
      </c>
      <c r="O7078" s="10" t="n"/>
    </row>
    <row r="7079">
      <c r="B7079" s="7" t="n">
        <v>7077</v>
      </c>
      <c r="C7079" t="inlineStr">
        <is>
          <t>Training &amp; Development Manager</t>
        </is>
      </c>
      <c r="D7079" t="inlineStr">
        <is>
          <t>Wanek Furniture CO., LTD.</t>
        </is>
      </c>
      <c r="E7079" t="inlineStr">
        <is>
          <t>Thương lượng</t>
        </is>
      </c>
      <c r="F7079" t="inlineStr">
        <is>
          <t>Quảng Ngãi</t>
        </is>
      </c>
      <c r="G7079" t="inlineStr">
        <is>
          <t>Trưởng phòng</t>
        </is>
      </c>
      <c r="H7079" t="inlineStr">
        <is>
          <t>04/03/2026</t>
        </is>
      </c>
      <c r="I7079" t="inlineStr">
        <is>
          <t>03/04/2026</t>
        </is>
      </c>
      <c r="J7079" t="inlineStr">
        <is>
          <t>17/03/2026</t>
        </is>
      </c>
      <c r="K7079" t="inlineStr">
        <is>
          <t>N/A</t>
        </is>
      </c>
      <c r="L7079" t="inlineStr">
        <is>
          <t>Communication, Instructional Design, Lms Administration, Succession Planning, Talent Development</t>
        </is>
      </c>
      <c r="M7079" t="inlineStr">
        <is>
          <t>Healthcare Plan, Paid Leave, Training, Laptop</t>
        </is>
      </c>
      <c r="N7079" s="8">
        <f>HYPERLINK("https://www.vietnamworks.com/training-and-development-manager-2018124-jv","Xem chi tiết")</f>
        <v/>
      </c>
    </row>
    <row r="7080">
      <c r="B7080" s="9" t="n">
        <v>7078</v>
      </c>
      <c r="C7080" s="10" t="inlineStr">
        <is>
          <t>Chuyên Viên Khách Hàng Doanh Nghiệp FDI Tiếng Anh</t>
        </is>
      </c>
      <c r="D7080" s="10" t="inlineStr">
        <is>
          <t>Ngân Hàng TMCP Công Thương Việt Nam (VietinBank)</t>
        </is>
      </c>
      <c r="E7080" s="10" t="inlineStr">
        <is>
          <t>Thương lượng</t>
        </is>
      </c>
      <c r="F7080" s="10" t="inlineStr">
        <is>
          <t>Hà Nội</t>
        </is>
      </c>
      <c r="G7080" s="10" t="inlineStr">
        <is>
          <t>Nhân viên</t>
        </is>
      </c>
      <c r="H7080" s="10" t="inlineStr">
        <is>
          <t>04/03/2026</t>
        </is>
      </c>
      <c r="I7080" s="10" t="inlineStr">
        <is>
          <t>03/04/2026</t>
        </is>
      </c>
      <c r="J7080" s="10" t="inlineStr">
        <is>
          <t>17/03/2026</t>
        </is>
      </c>
      <c r="K7080" s="10" t="inlineStr">
        <is>
          <t>N/A</t>
        </is>
      </c>
      <c r="L7080" s="10" t="inlineStr">
        <is>
          <t>Tài Chính, Quan Hệ Doanh Nghiệp, Ngân hàng, Thẩm Định Tín Dụng, Bán hàng</t>
        </is>
      </c>
      <c r="M7080" s="10" t="inlineStr">
        <is>
          <t>Bonus, Healthcare Plan, Paid Leave</t>
        </is>
      </c>
      <c r="N7080" s="11">
        <f>HYPERLINK("https://www.vietnamworks.com/chuyen-vien-khach-hang-doanh-nghiep-fdi-tieng-anh-2018143-jv","Xem chi tiết")</f>
        <v/>
      </c>
      <c r="O7080" s="10" t="n"/>
    </row>
    <row r="7081">
      <c r="B7081" s="7" t="n">
        <v>7079</v>
      </c>
      <c r="C7081" t="inlineStr">
        <is>
          <t>Trưởng Nhóm Marketing Ngành Hàng</t>
        </is>
      </c>
      <c r="D7081" t="inlineStr">
        <is>
          <t>Công Ty Cổ Phần Tập Đoàn Sunhouse</t>
        </is>
      </c>
      <c r="E7081" t="inlineStr">
        <is>
          <t>Thương lượng</t>
        </is>
      </c>
      <c r="F7081" t="inlineStr">
        <is>
          <t>Hà Nội</t>
        </is>
      </c>
      <c r="G7081" t="inlineStr">
        <is>
          <t>Nhân viên</t>
        </is>
      </c>
      <c r="H7081" t="inlineStr">
        <is>
          <t>04/03/2026</t>
        </is>
      </c>
      <c r="I7081" t="inlineStr">
        <is>
          <t>03/04/2026</t>
        </is>
      </c>
      <c r="J7081" t="inlineStr">
        <is>
          <t>17/03/2026</t>
        </is>
      </c>
      <c r="K7081" t="inlineStr">
        <is>
          <t>N/A</t>
        </is>
      </c>
      <c r="L7081" t="inlineStr">
        <is>
          <t>Truyền Thông, Quảng Cáo, Lập Kế Hoạch, Quảng Cáo Thương Hiệu, Gia Dụng</t>
        </is>
      </c>
      <c r="M7081" t="inlineStr">
        <is>
          <t>Bonus, Travel Opportunities, Others</t>
        </is>
      </c>
      <c r="N7081" s="8">
        <f>HYPERLINK("https://www.vietnamworks.com/truong-nhom-marketing-nganh-hang-2018145-jv","Xem chi tiết")</f>
        <v/>
      </c>
    </row>
    <row r="7082">
      <c r="B7082" s="9" t="n">
        <v>7080</v>
      </c>
      <c r="C7082" s="10" t="inlineStr">
        <is>
          <t>Nhân Viên Digital Marketing</t>
        </is>
      </c>
      <c r="D7082" s="10" t="inlineStr">
        <is>
          <t>VTC Online</t>
        </is>
      </c>
      <c r="E7082" s="10" t="inlineStr">
        <is>
          <t>Thương lượng</t>
        </is>
      </c>
      <c r="F7082" s="10" t="inlineStr">
        <is>
          <t>Hà Nội</t>
        </is>
      </c>
      <c r="G7082" s="10" t="inlineStr">
        <is>
          <t>Nhân viên</t>
        </is>
      </c>
      <c r="H7082" s="10" t="inlineStr">
        <is>
          <t>04/03/2026</t>
        </is>
      </c>
      <c r="I7082" s="10" t="inlineStr">
        <is>
          <t>03/04/2026</t>
        </is>
      </c>
      <c r="J7082" s="10" t="inlineStr">
        <is>
          <t>17/03/2026</t>
        </is>
      </c>
      <c r="K7082" s="10" t="inlineStr">
        <is>
          <t>N/A</t>
        </is>
      </c>
      <c r="L7082" s="10" t="inlineStr">
        <is>
          <t>Digital ADS, Facebook Ads, Google Ads, Data-Driven, A/B Testing</t>
        </is>
      </c>
      <c r="M7082" s="10" t="inlineStr">
        <is>
          <t>Bonus, Healthcare Plan, Paid Leave, Laptop, Team Activities, Others</t>
        </is>
      </c>
      <c r="N7082" s="11">
        <f>HYPERLINK("https://www.vietnamworks.com/nhan-vien-digital-marketing-2018137-jv","Xem chi tiết")</f>
        <v/>
      </c>
      <c r="O7082" s="10" t="n"/>
    </row>
    <row r="7083">
      <c r="B7083" s="7" t="n">
        <v>7081</v>
      </c>
      <c r="C7083" t="inlineStr">
        <is>
          <t>Collection Planning Operation Manager</t>
        </is>
      </c>
      <c r="D7083" t="inlineStr">
        <is>
          <t>CÔNG TY TNHH HANMIR</t>
        </is>
      </c>
      <c r="E7083" t="inlineStr">
        <is>
          <t>Thương lượng</t>
        </is>
      </c>
      <c r="F7083" t="inlineStr">
        <is>
          <t>Hồ Chí Minh</t>
        </is>
      </c>
      <c r="G7083" t="inlineStr">
        <is>
          <t>Trưởng phòng</t>
        </is>
      </c>
      <c r="H7083" t="inlineStr">
        <is>
          <t>04/03/2026</t>
        </is>
      </c>
      <c r="I7083" t="inlineStr">
        <is>
          <t>03/04/2026</t>
        </is>
      </c>
      <c r="J7083" t="inlineStr">
        <is>
          <t>17/03/2026</t>
        </is>
      </c>
      <c r="K7083" t="inlineStr">
        <is>
          <t>N/A</t>
        </is>
      </c>
      <c r="L7083" t="inlineStr">
        <is>
          <t>Debt Collection, Giám Sát Thu Nợ, Quản Lý Thu Hồi Nợ, Thu Hồi Công Nợ, Xử Lý Nợ</t>
        </is>
      </c>
      <c r="M7083" t="inlineStr">
        <is>
          <t>Bonus, Healthcare Plan, Paid Leave, Transportation, Others</t>
        </is>
      </c>
      <c r="N7083" s="8">
        <f>HYPERLINK("https://www.vietnamworks.com/collection-planning-operation-manager-2018139-jv","Xem chi tiết")</f>
        <v/>
      </c>
    </row>
    <row r="7084">
      <c r="B7084" s="9" t="n">
        <v>7082</v>
      </c>
      <c r="C7084" s="10" t="inlineStr">
        <is>
          <t>Chuyên Viên Giải Phóng Mặt Bằng</t>
        </is>
      </c>
      <c r="D7084" s="10" t="inlineStr">
        <is>
          <t>Công Ty Cổ Phần Địa ốc Tsan Group</t>
        </is>
      </c>
      <c r="E7084" s="10" t="inlineStr">
        <is>
          <t>Thương lượng</t>
        </is>
      </c>
      <c r="F7084" s="10" t="inlineStr">
        <is>
          <t>Hải Dương, Hải Phòng, Hà Nội</t>
        </is>
      </c>
      <c r="G7084" s="10" t="inlineStr">
        <is>
          <t>Nhân viên</t>
        </is>
      </c>
      <c r="H7084" s="10" t="inlineStr">
        <is>
          <t>04/03/2026</t>
        </is>
      </c>
      <c r="I7084" s="10" t="inlineStr">
        <is>
          <t>03/04/2026</t>
        </is>
      </c>
      <c r="J7084" s="10" t="inlineStr">
        <is>
          <t>17/03/2026</t>
        </is>
      </c>
      <c r="K7084" s="10" t="inlineStr">
        <is>
          <t>N/A</t>
        </is>
      </c>
      <c r="L7084" s="10" t="inlineStr">
        <is>
          <t>Gia Công Áp Lực, Giải Phóng Mặt Bằng, Giao Tiếp, Quản Lý, Đàm Phán</t>
        </is>
      </c>
      <c r="M7084" s="10" t="inlineStr">
        <is>
          <t>Bonus, Healthcare Plan, Travel Opportunities, Others</t>
        </is>
      </c>
      <c r="N7084" s="11">
        <f>HYPERLINK("https://www.vietnamworks.com/chuyen-vien-giai-phong-mat-bang--2018134-jv","Xem chi tiết")</f>
        <v/>
      </c>
      <c r="O7084" s="10" t="n"/>
    </row>
    <row r="7085">
      <c r="B7085" s="7" t="n">
        <v>7083</v>
      </c>
      <c r="C7085" t="inlineStr">
        <is>
          <t>Trưởng/ Phó Phòng Phát Triển Thị Trường</t>
        </is>
      </c>
      <c r="D7085" t="inlineStr">
        <is>
          <t>Công Ty Cổ Phần Prowtech International Vina</t>
        </is>
      </c>
      <c r="E7085" t="inlineStr">
        <is>
          <t>Thương lượng</t>
        </is>
      </c>
      <c r="F7085" t="inlineStr">
        <is>
          <t>Hồ Chí Minh</t>
        </is>
      </c>
      <c r="G7085" t="inlineStr">
        <is>
          <t>Nhân viên</t>
        </is>
      </c>
      <c r="H7085" t="inlineStr">
        <is>
          <t>04/03/2026</t>
        </is>
      </c>
      <c r="I7085" t="inlineStr">
        <is>
          <t>03/04/2026</t>
        </is>
      </c>
      <c r="J7085" t="inlineStr">
        <is>
          <t>17/03/2026</t>
        </is>
      </c>
      <c r="K7085" t="inlineStr">
        <is>
          <t>N/A</t>
        </is>
      </c>
      <c r="L7085" t="inlineStr">
        <is>
          <t>Microsoft Office, OOH, POSM, Truyền Thông, Phát Triển Đối Tác</t>
        </is>
      </c>
      <c r="M7085" t="inlineStr">
        <is>
          <t>Bonus, Healthcare Plan, Training, Laptop, Travel Opportunities, Team Activities, Others</t>
        </is>
      </c>
      <c r="N7085" s="8">
        <f>HYPERLINK("https://www.vietnamworks.com/truong-pho-phong-phat-trien-thi-truong-2018147-jv","Xem chi tiết")</f>
        <v/>
      </c>
    </row>
    <row r="7086">
      <c r="B7086" s="9" t="n">
        <v>7084</v>
      </c>
      <c r="C7086" s="10" t="inlineStr">
        <is>
          <t>Warehouse Manager (Work in Quang Ngai)</t>
        </is>
      </c>
      <c r="D7086" s="10" t="inlineStr">
        <is>
          <t>Wanek Furniture CO., LTD.</t>
        </is>
      </c>
      <c r="E7086" s="10" t="inlineStr">
        <is>
          <t>20tr-40tr ₫/tháng</t>
        </is>
      </c>
      <c r="F7086" s="10" t="inlineStr">
        <is>
          <t>Quảng Ngãi</t>
        </is>
      </c>
      <c r="G7086" s="10" t="inlineStr">
        <is>
          <t>Trưởng phòng</t>
        </is>
      </c>
      <c r="H7086" s="10" t="inlineStr">
        <is>
          <t>04/03/2026</t>
        </is>
      </c>
      <c r="I7086" s="10" t="inlineStr">
        <is>
          <t>03/04/2026</t>
        </is>
      </c>
      <c r="J7086" s="10" t="inlineStr">
        <is>
          <t>17/03/2026</t>
        </is>
      </c>
      <c r="K7086" s="10" t="inlineStr">
        <is>
          <t>N/A</t>
        </is>
      </c>
      <c r="L7086" s="10" t="inlineStr">
        <is>
          <t>Inventory Management, Logistics Control, Organizational skills, Statistical Process Control, Warehouse Management</t>
        </is>
      </c>
      <c r="M7086" s="10" t="inlineStr">
        <is>
          <t>Healthcare Plan, Paid Leave, Training, Laptop</t>
        </is>
      </c>
      <c r="N7086" s="11">
        <f>HYPERLINK("https://www.vietnamworks.com/warehouse-manager-work-in-quang-ngai-2018135-jv","Xem chi tiết")</f>
        <v/>
      </c>
      <c r="O7086" s="10" t="n"/>
    </row>
    <row r="7087">
      <c r="B7087" s="7" t="n">
        <v>7085</v>
      </c>
      <c r="C7087" t="inlineStr">
        <is>
          <t>Trưởng Nhóm Dịch Vụ Chăm Sóc Khách Hàng</t>
        </is>
      </c>
      <c r="D7087" t="inlineStr">
        <is>
          <t>Công Ty Cổ Phần Tập Đoàn BRG</t>
        </is>
      </c>
      <c r="E7087" t="inlineStr">
        <is>
          <t>Thương lượng</t>
        </is>
      </c>
      <c r="F7087" t="inlineStr">
        <is>
          <t>Đà Nẵng, Hà Nội, Hồ Chí Minh</t>
        </is>
      </c>
      <c r="G7087" t="inlineStr">
        <is>
          <t>Trưởng phòng</t>
        </is>
      </c>
      <c r="H7087" t="inlineStr">
        <is>
          <t>04/03/2026</t>
        </is>
      </c>
      <c r="I7087" t="inlineStr">
        <is>
          <t>03/04/2026</t>
        </is>
      </c>
      <c r="J7087" t="inlineStr">
        <is>
          <t>17/03/2026</t>
        </is>
      </c>
      <c r="K7087" t="inlineStr">
        <is>
          <t>N/A</t>
        </is>
      </c>
      <c r="L7087" t="inlineStr">
        <is>
          <t>Tiếng anh cơ bản</t>
        </is>
      </c>
      <c r="M7087" t="inlineStr">
        <is>
          <t>Bonus, Healthcare Plan, Travel Opportunities</t>
        </is>
      </c>
      <c r="N7087" s="8">
        <f>HYPERLINK("https://www.vietnamworks.com/truong-nhom-dich-vu-cham-soc-khach-hang-2018151-jv","Xem chi tiết")</f>
        <v/>
      </c>
    </row>
    <row r="7088">
      <c r="B7088" s="9" t="n">
        <v>7086</v>
      </c>
      <c r="C7088" s="10" t="inlineStr">
        <is>
          <t>Chuyên Viên Phát Triển Sản Phẩm Khách Hàng Cá Nhân - Retail Product Specialist - Ban Sản Phẩm và Marketing (HO26.67)</t>
        </is>
      </c>
      <c r="D7088" s="10" t="inlineStr">
        <is>
          <t>NGÂN HÀNG TMCP QUÂN ĐỘI – MBBANK</t>
        </is>
      </c>
      <c r="E7088" s="10" t="inlineStr">
        <is>
          <t>Thương lượng</t>
        </is>
      </c>
      <c r="F7088" s="10" t="inlineStr">
        <is>
          <t>Hà Nội</t>
        </is>
      </c>
      <c r="G7088" s="10" t="inlineStr">
        <is>
          <t>Nhân viên</t>
        </is>
      </c>
      <c r="H7088" s="10" t="inlineStr">
        <is>
          <t>04/03/2026</t>
        </is>
      </c>
      <c r="I7088" s="10" t="inlineStr">
        <is>
          <t>03/04/2026</t>
        </is>
      </c>
      <c r="J7088" s="10" t="inlineStr">
        <is>
          <t>17/03/2026</t>
        </is>
      </c>
      <c r="K7088" s="10" t="inlineStr">
        <is>
          <t>N/A</t>
        </is>
      </c>
      <c r="L7088" s="10" t="inlineStr">
        <is>
          <t>Retail banking, Market Research, Customer Experience, Risk Management, Product Management</t>
        </is>
      </c>
      <c r="M7088" s="10" t="inlineStr">
        <is>
          <t>Bonus, Laptop, Mobile, Travel Opportunities, Team Activities, Transportation, Canteen, Vouchers, Kindergarten</t>
        </is>
      </c>
      <c r="N7088" s="11">
        <f>HYPERLINK("https://www.vietnamworks.com/chuyen-vien-phat-trien-san-pham-khach-hang-ca-nhan-retail-product-specialist-ban-san-pham-va-marketing-ho26-67-2018141-jv","Xem chi tiết")</f>
        <v/>
      </c>
      <c r="O7088" s="10" t="n"/>
    </row>
    <row r="7089">
      <c r="B7089" s="7" t="n">
        <v>7087</v>
      </c>
      <c r="C7089" t="inlineStr">
        <is>
          <t>Technical Training Manager (Work in Quang Ngai)</t>
        </is>
      </c>
      <c r="D7089" t="inlineStr">
        <is>
          <t>Wanek Furniture CO., LTD.</t>
        </is>
      </c>
      <c r="E7089" t="inlineStr">
        <is>
          <t>Thương lượng</t>
        </is>
      </c>
      <c r="F7089" t="inlineStr">
        <is>
          <t>Quảng Ngãi</t>
        </is>
      </c>
      <c r="G7089" t="inlineStr">
        <is>
          <t>Trưởng phòng</t>
        </is>
      </c>
      <c r="H7089" t="inlineStr">
        <is>
          <t>04/03/2026</t>
        </is>
      </c>
      <c r="I7089" t="inlineStr">
        <is>
          <t>03/04/2026</t>
        </is>
      </c>
      <c r="J7089" t="inlineStr">
        <is>
          <t>17/03/2026</t>
        </is>
      </c>
      <c r="K7089" t="inlineStr">
        <is>
          <t>N/A</t>
        </is>
      </c>
      <c r="L7089" t="inlineStr">
        <is>
          <t>Communication Skills, Planning Skills, Problem Solving, Teamwork, Technical Training</t>
        </is>
      </c>
      <c r="M7089" t="inlineStr">
        <is>
          <t>Healthcare Plan, Paid Leave, Training, Laptop</t>
        </is>
      </c>
      <c r="N7089" s="8">
        <f>HYPERLINK("https://www.vietnamworks.com/technical-training-manager-work-in-quang-ngai-2018130-jv","Xem chi tiết")</f>
        <v/>
      </c>
    </row>
    <row r="7090">
      <c r="B7090" s="9" t="n">
        <v>7088</v>
      </c>
      <c r="C7090" s="10" t="inlineStr">
        <is>
          <t>Chuyên Viên Khách Hàng Doanh Nghiệp FDI Tiếng Trung</t>
        </is>
      </c>
      <c r="D7090" s="10" t="inlineStr">
        <is>
          <t>Ngân Hàng TMCP Công Thương Việt Nam (VietinBank)</t>
        </is>
      </c>
      <c r="E7090" s="10" t="inlineStr">
        <is>
          <t>Thương lượng</t>
        </is>
      </c>
      <c r="F7090" s="10" t="inlineStr">
        <is>
          <t>Hà Nội</t>
        </is>
      </c>
      <c r="G7090" s="10" t="inlineStr">
        <is>
          <t>Nhân viên</t>
        </is>
      </c>
      <c r="H7090" s="10" t="inlineStr">
        <is>
          <t>04/03/2026</t>
        </is>
      </c>
      <c r="I7090" s="10" t="inlineStr">
        <is>
          <t>03/04/2026</t>
        </is>
      </c>
      <c r="J7090" s="10" t="inlineStr">
        <is>
          <t>17/03/2026</t>
        </is>
      </c>
      <c r="K7090" s="10" t="inlineStr">
        <is>
          <t>N/A</t>
        </is>
      </c>
      <c r="L7090" s="10" t="inlineStr">
        <is>
          <t>Tài Chính, Quan Hệ Doanh Nghiệp, Ngân hàng, Bán hàng, Tìm Kiếm Khách Hàng</t>
        </is>
      </c>
      <c r="M7090" s="10" t="inlineStr">
        <is>
          <t>Bonus, Healthcare Plan, Paid Leave</t>
        </is>
      </c>
      <c r="N7090" s="11">
        <f>HYPERLINK("https://www.vietnamworks.com/chuyen-vien-khach-hang-doanh-nghiep-fdi-tieng-trung--2018142-jv","Xem chi tiết")</f>
        <v/>
      </c>
      <c r="O7090" s="10" t="n"/>
    </row>
    <row r="7091">
      <c r="B7091" s="7" t="n">
        <v>7089</v>
      </c>
      <c r="C7091" t="inlineStr">
        <is>
          <t>Phiên Dịch Viên Tiếng Hàn</t>
        </is>
      </c>
      <c r="D7091" t="inlineStr">
        <is>
          <t>LOTTE Properties Hanoi (LOTTE MALL West Lake Hanoi)</t>
        </is>
      </c>
      <c r="E7091" t="inlineStr">
        <is>
          <t>Thương lượng</t>
        </is>
      </c>
      <c r="F7091" t="inlineStr">
        <is>
          <t>Hà Nội</t>
        </is>
      </c>
      <c r="G7091" t="inlineStr">
        <is>
          <t>Nhân viên</t>
        </is>
      </c>
      <c r="H7091" t="inlineStr">
        <is>
          <t>04/03/2026</t>
        </is>
      </c>
      <c r="I7091" t="inlineStr">
        <is>
          <t>03/04/2026</t>
        </is>
      </c>
      <c r="J7091" t="inlineStr">
        <is>
          <t>17/03/2026</t>
        </is>
      </c>
      <c r="K7091" t="inlineStr">
        <is>
          <t>N/A</t>
        </is>
      </c>
      <c r="L7091" t="inlineStr">
        <is>
          <t>Tiếng Hàn, Phiên Dịch Tiếng Hàn, Korean Language, Biên Phiên Dịch</t>
        </is>
      </c>
      <c r="M7091" t="inlineStr">
        <is>
          <t>Bonus, Paid Leave, Vouchers</t>
        </is>
      </c>
      <c r="N7091" s="8">
        <f>HYPERLINK("https://www.vietnamworks.com/phien-dich-vien-tieng-han--2018146-jv","Xem chi tiết")</f>
        <v/>
      </c>
    </row>
    <row r="7092">
      <c r="B7092" s="9" t="n">
        <v>7090</v>
      </c>
      <c r="C7092" s="10" t="inlineStr">
        <is>
          <t>GT Sales Executive (Electronics) - HCM</t>
        </is>
      </c>
      <c r="D7092" s="10" t="inlineStr">
        <is>
          <t>Công Ty TNHH Cuckoovina</t>
        </is>
      </c>
      <c r="E7092" s="10" t="inlineStr">
        <is>
          <t>Thương lượng</t>
        </is>
      </c>
      <c r="F7092" s="10" t="inlineStr">
        <is>
          <t>Hồ Chí Minh</t>
        </is>
      </c>
      <c r="G7092" s="10" t="inlineStr">
        <is>
          <t>Nhân viên</t>
        </is>
      </c>
      <c r="H7092" s="10" t="inlineStr">
        <is>
          <t>04/03/2026</t>
        </is>
      </c>
      <c r="I7092" s="10" t="inlineStr">
        <is>
          <t>03/04/2026</t>
        </is>
      </c>
      <c r="J7092" s="10" t="inlineStr">
        <is>
          <t>17/03/2026</t>
        </is>
      </c>
      <c r="K7092" s="10" t="inlineStr">
        <is>
          <t>N/A</t>
        </is>
      </c>
      <c r="L7092" s="10" t="inlineStr">
        <is>
          <t>Sales Channel Development, Customers Portfolio Management, Marketing Intelligence Analysis, Office Software, Communication Skills</t>
        </is>
      </c>
      <c r="M7092" s="10" t="inlineStr">
        <is>
          <t>Healthcare Plan, Team Activities, Others</t>
        </is>
      </c>
      <c r="N7092" s="11">
        <f>HYPERLINK("https://www.vietnamworks.com/gt-sales-executive-electronics-hcm-2018132-jv","Xem chi tiết")</f>
        <v/>
      </c>
      <c r="O7092" s="10" t="n"/>
    </row>
    <row r="7093">
      <c r="B7093" s="7" t="n">
        <v>7091</v>
      </c>
      <c r="C7093" t="inlineStr">
        <is>
          <t>Nhân Viên Tiếng Nhật</t>
        </is>
      </c>
      <c r="D7093" t="inlineStr">
        <is>
          <t>CÔNG TY TNHH ĐẦU TƯ VÀ THƯƠNG MẠI NAM HỒNG</t>
        </is>
      </c>
      <c r="E7093" t="inlineStr">
        <is>
          <t>$$ 500-1,500 /tháng</t>
        </is>
      </c>
      <c r="F7093" t="inlineStr">
        <is>
          <t>Hà Nội</t>
        </is>
      </c>
      <c r="G7093" t="inlineStr">
        <is>
          <t>Nhân viên</t>
        </is>
      </c>
      <c r="H7093" t="inlineStr">
        <is>
          <t>04/03/2026</t>
        </is>
      </c>
      <c r="I7093" t="inlineStr">
        <is>
          <t>03/04/2026</t>
        </is>
      </c>
      <c r="J7093" t="inlineStr">
        <is>
          <t>17/03/2026</t>
        </is>
      </c>
      <c r="K7093" t="inlineStr">
        <is>
          <t>N/A</t>
        </is>
      </c>
      <c r="L7093" t="inlineStr">
        <is>
          <t>Tiếng Nhật N2, Biên Phiên Dịch Nhật</t>
        </is>
      </c>
      <c r="M7093" t="inlineStr">
        <is>
          <t>Bonus, Healthcare Plan, Travel Opportunities</t>
        </is>
      </c>
      <c r="N7093" s="8">
        <f>HYPERLINK("https://www.vietnamworks.com/nhan-vien-tieng-nhat--2018156-jv","Xem chi tiết")</f>
        <v/>
      </c>
    </row>
    <row r="7094">
      <c r="B7094" s="9" t="n">
        <v>7092</v>
      </c>
      <c r="C7094" s="10" t="inlineStr">
        <is>
          <t>Nhân Viên Bảo Dưỡng Nhà Máy (Vận Hành Hệ Thống Xử Lý Nước)</t>
        </is>
      </c>
      <c r="D7094" s="10" t="inlineStr">
        <is>
          <t>Terumo Vietnam Co., Ltd</t>
        </is>
      </c>
      <c r="E7094" s="10" t="inlineStr">
        <is>
          <t>Thương lượng</t>
        </is>
      </c>
      <c r="F7094" s="10" t="inlineStr">
        <is>
          <t>Hà Nội</t>
        </is>
      </c>
      <c r="G7094" s="10" t="inlineStr">
        <is>
          <t>Nhân viên</t>
        </is>
      </c>
      <c r="H7094" s="10" t="inlineStr">
        <is>
          <t>04/03/2026</t>
        </is>
      </c>
      <c r="I7094" s="10" t="inlineStr">
        <is>
          <t>03/04/2026</t>
        </is>
      </c>
      <c r="J7094" s="10" t="inlineStr">
        <is>
          <t>17/03/2026</t>
        </is>
      </c>
      <c r="K7094" s="10" t="inlineStr">
        <is>
          <t>N/A</t>
        </is>
      </c>
      <c r="L7094" s="10" t="inlineStr">
        <is>
          <t>Môi Trường, Cơ Khí, Bảo Trì Hệ Thống Nước, Industrial Water Treatment, Xử Lý Nước</t>
        </is>
      </c>
      <c r="M7094" s="10" t="inlineStr">
        <is>
          <t>Bonus, Healthcare Plan, Transportation</t>
        </is>
      </c>
      <c r="N7094" s="11">
        <f>HYPERLINK("https://www.vietnamworks.com/nhan-vien-bao-duong-nha-may-van-hanh-he-thong-xu-ly-nuoc--2018157-jv","Xem chi tiết")</f>
        <v/>
      </c>
      <c r="O7094" s="10" t="n"/>
    </row>
    <row r="7095">
      <c r="B7095" s="7" t="n">
        <v>7093</v>
      </c>
      <c r="C7095" t="inlineStr">
        <is>
          <t>Chuyên Viên BIM Developer</t>
        </is>
      </c>
      <c r="D7095" t="inlineStr">
        <is>
          <t>CÔNG TY CỔ PHẦN XÂY DỰNG ENTIZ</t>
        </is>
      </c>
      <c r="E7095" t="inlineStr">
        <is>
          <t>Thương lượng</t>
        </is>
      </c>
      <c r="F7095" t="inlineStr">
        <is>
          <t>Nghệ An</t>
        </is>
      </c>
      <c r="G7095" t="inlineStr">
        <is>
          <t>Nhân viên</t>
        </is>
      </c>
      <c r="H7095" t="inlineStr">
        <is>
          <t>04/03/2026</t>
        </is>
      </c>
      <c r="I7095" t="inlineStr">
        <is>
          <t>03/04/2026</t>
        </is>
      </c>
      <c r="J7095" t="inlineStr">
        <is>
          <t>17/03/2026</t>
        </is>
      </c>
      <c r="K7095" t="inlineStr">
        <is>
          <t>N/A</t>
        </is>
      </c>
      <c r="L7095" t="inlineStr">
        <is>
          <t>BIM Application, C#, Data Management, Python Programming, Technical Support</t>
        </is>
      </c>
      <c r="M7095" t="inlineStr">
        <is>
          <t>Bonus</t>
        </is>
      </c>
      <c r="N7095" s="8">
        <f>HYPERLINK("https://www.vietnamworks.com/chuyen-vien-bim-developer-2018172-jv","Xem chi tiết")</f>
        <v/>
      </c>
    </row>
    <row r="7096">
      <c r="B7096" s="9" t="n">
        <v>7094</v>
      </c>
      <c r="C7096" s="10" t="inlineStr">
        <is>
          <t>Chuyên Viên Kiến Trúc</t>
        </is>
      </c>
      <c r="D7096" s="10" t="inlineStr">
        <is>
          <t>CÔNG TY CỔ PHẦN XÂY DỰNG ENTIZ</t>
        </is>
      </c>
      <c r="E7096" s="10" t="inlineStr">
        <is>
          <t>18tr-30tr ₫/tháng</t>
        </is>
      </c>
      <c r="F7096" s="10" t="inlineStr">
        <is>
          <t>Nghệ An</t>
        </is>
      </c>
      <c r="G7096" s="10" t="inlineStr">
        <is>
          <t>Nhân viên</t>
        </is>
      </c>
      <c r="H7096" s="10" t="inlineStr">
        <is>
          <t>04/03/2026</t>
        </is>
      </c>
      <c r="I7096" s="10" t="inlineStr">
        <is>
          <t>03/04/2026</t>
        </is>
      </c>
      <c r="J7096" s="10" t="inlineStr">
        <is>
          <t>17/03/2026</t>
        </is>
      </c>
      <c r="K7096" s="10" t="inlineStr">
        <is>
          <t>N/A</t>
        </is>
      </c>
      <c r="L7096" s="10" t="inlineStr">
        <is>
          <t>Autocad, Quản Lý Hồ Sơ, Revit, Sketchup, Thiết Kế Kiến Trúc</t>
        </is>
      </c>
      <c r="M7096" s="10" t="inlineStr">
        <is>
          <t>Others</t>
        </is>
      </c>
      <c r="N7096" s="11">
        <f>HYPERLINK("https://www.vietnamworks.com/chuyen-vien-kien-truc-2018163-jv","Xem chi tiết")</f>
        <v/>
      </c>
      <c r="O7096" s="10" t="n"/>
    </row>
    <row r="7097">
      <c r="B7097" s="7" t="n">
        <v>7095</v>
      </c>
      <c r="C7097" t="inlineStr">
        <is>
          <t>Chuyên Viên MEP (Điện)</t>
        </is>
      </c>
      <c r="D7097" t="inlineStr">
        <is>
          <t>CÔNG TY CỔ PHẦN XÂY DỰNG ENTIZ</t>
        </is>
      </c>
      <c r="E7097" t="inlineStr">
        <is>
          <t>18tr-30tr ₫/tháng</t>
        </is>
      </c>
      <c r="F7097" t="inlineStr">
        <is>
          <t>Nghệ An</t>
        </is>
      </c>
      <c r="G7097" t="inlineStr">
        <is>
          <t>Nhân viên</t>
        </is>
      </c>
      <c r="H7097" t="inlineStr">
        <is>
          <t>04/03/2026</t>
        </is>
      </c>
      <c r="I7097" t="inlineStr">
        <is>
          <t>03/04/2026</t>
        </is>
      </c>
      <c r="J7097" t="inlineStr">
        <is>
          <t>17/03/2026</t>
        </is>
      </c>
      <c r="K7097" t="inlineStr">
        <is>
          <t>N/A</t>
        </is>
      </c>
      <c r="L7097" t="inlineStr">
        <is>
          <t>Autocad, Revit, Sketchup, MEP, Điện</t>
        </is>
      </c>
      <c r="M7097" t="inlineStr">
        <is>
          <t>Others</t>
        </is>
      </c>
      <c r="N7097" s="8">
        <f>HYPERLINK("https://www.vietnamworks.com/chuyen-vien-mep-dien-2018167-jv","Xem chi tiết")</f>
        <v/>
      </c>
    </row>
    <row r="7098">
      <c r="B7098" s="9" t="n">
        <v>7096</v>
      </c>
      <c r="C7098" s="10" t="inlineStr">
        <is>
          <t>Chuyên Viên Kết Cấu</t>
        </is>
      </c>
      <c r="D7098" s="10" t="inlineStr">
        <is>
          <t>CÔNG TY CỔ PHẦN XÂY DỰNG ENTIZ</t>
        </is>
      </c>
      <c r="E7098" s="10" t="inlineStr">
        <is>
          <t>18tr-30tr ₫/tháng</t>
        </is>
      </c>
      <c r="F7098" s="10" t="inlineStr">
        <is>
          <t>Nghệ An</t>
        </is>
      </c>
      <c r="G7098" s="10" t="inlineStr">
        <is>
          <t>Nhân viên</t>
        </is>
      </c>
      <c r="H7098" s="10" t="inlineStr">
        <is>
          <t>04/03/2026</t>
        </is>
      </c>
      <c r="I7098" s="10" t="inlineStr">
        <is>
          <t>03/04/2026</t>
        </is>
      </c>
      <c r="J7098" s="10" t="inlineStr">
        <is>
          <t>17/03/2026</t>
        </is>
      </c>
      <c r="K7098" s="10" t="inlineStr">
        <is>
          <t>N/A</t>
        </is>
      </c>
      <c r="L7098" s="10" t="inlineStr">
        <is>
          <t>Autocad, Revit, Sketchup, Kết cấu</t>
        </is>
      </c>
      <c r="M7098" s="10" t="inlineStr">
        <is>
          <t>Others</t>
        </is>
      </c>
      <c r="N7098" s="11">
        <f>HYPERLINK("https://www.vietnamworks.com/chuyen-vien-ket-cau-2018171-jv","Xem chi tiết")</f>
        <v/>
      </c>
      <c r="O7098" s="10" t="n"/>
    </row>
    <row r="7099">
      <c r="B7099" s="7" t="n">
        <v>7097</v>
      </c>
      <c r="C7099" t="inlineStr">
        <is>
          <t>Nhân Viên Mua Hàng</t>
        </is>
      </c>
      <c r="D7099" t="inlineStr">
        <is>
          <t>CÔNG TY TNHH LEGACY VOYAGES VIỆT NAM</t>
        </is>
      </c>
      <c r="E7099" t="inlineStr">
        <is>
          <t>15tr-19tr ₫/tháng</t>
        </is>
      </c>
      <c r="F7099" t="inlineStr">
        <is>
          <t>Hà Nội</t>
        </is>
      </c>
      <c r="G7099" t="inlineStr">
        <is>
          <t>Nhân viên</t>
        </is>
      </c>
      <c r="H7099" t="inlineStr">
        <is>
          <t>04/03/2026</t>
        </is>
      </c>
      <c r="I7099" t="inlineStr">
        <is>
          <t>03/04/2026</t>
        </is>
      </c>
      <c r="J7099" t="inlineStr">
        <is>
          <t>17/03/2026</t>
        </is>
      </c>
      <c r="K7099" t="inlineStr">
        <is>
          <t>N/A</t>
        </is>
      </c>
      <c r="L7099" t="inlineStr">
        <is>
          <t>Thu Mua, Mua Hàng, Vận Tải, Du lịch, Thu Mua Hàng Hóa</t>
        </is>
      </c>
      <c r="M7099" t="inlineStr">
        <is>
          <t>Bonus, Paid Leave, Travel Opportunities</t>
        </is>
      </c>
      <c r="N7099" s="8">
        <f>HYPERLINK("https://www.vietnamworks.com/nhan-vien-mua-hang--2018177-jv","Xem chi tiết")</f>
        <v/>
      </c>
    </row>
    <row r="7100">
      <c r="B7100" s="9" t="n">
        <v>7098</v>
      </c>
      <c r="C7100" s="10" t="inlineStr">
        <is>
          <t>Assistant Manager, Treasury (Capital Markets/Fundraising) (HN/HCM)</t>
        </is>
      </c>
      <c r="D7100" s="10" t="inlineStr">
        <is>
          <t>CapitaLand Development (Vietnam)</t>
        </is>
      </c>
      <c r="E7100" s="10" t="inlineStr">
        <is>
          <t>Thương lượng</t>
        </is>
      </c>
      <c r="F7100" s="10" t="inlineStr">
        <is>
          <t>Hồ Chí Minh, Hà Nội</t>
        </is>
      </c>
      <c r="G7100" s="10" t="inlineStr">
        <is>
          <t>Nhân viên</t>
        </is>
      </c>
      <c r="H7100" s="10" t="inlineStr">
        <is>
          <t>04/03/2026</t>
        </is>
      </c>
      <c r="I7100" s="10" t="inlineStr">
        <is>
          <t>03/04/2026</t>
        </is>
      </c>
      <c r="J7100" s="10" t="inlineStr">
        <is>
          <t>17/03/2026</t>
        </is>
      </c>
      <c r="K7100" s="10" t="inlineStr">
        <is>
          <t>N/A</t>
        </is>
      </c>
      <c r="L7100" s="10" t="inlineStr">
        <is>
          <t>Banking, Cash Management, Financial Analysis Tools, Treasury &amp; Capital Markets Management, Treasury Support</t>
        </is>
      </c>
      <c r="M7100" s="10" t="inlineStr">
        <is>
          <t>Bonus, Healthcare Plan, Training, Laptop</t>
        </is>
      </c>
      <c r="N7100" s="11">
        <f>HYPERLINK("https://www.vietnamworks.com/assistant-manager-treasury-capital-marketsfundraising-hnhcm-2018165-jv","Xem chi tiết")</f>
        <v/>
      </c>
      <c r="O7100" s="10" t="n"/>
    </row>
    <row r="7101">
      <c r="B7101" s="7" t="n">
        <v>7099</v>
      </c>
      <c r="C7101" t="inlineStr">
        <is>
          <t>Quản Lý &amp; Vận Hành Livestream</t>
        </is>
      </c>
      <c r="D7101" t="inlineStr">
        <is>
          <t>EZVIZ Việt Nam</t>
        </is>
      </c>
      <c r="E7101" t="inlineStr">
        <is>
          <t>Thương lượng</t>
        </is>
      </c>
      <c r="F7101" t="inlineStr">
        <is>
          <t>Hồ Chí Minh</t>
        </is>
      </c>
      <c r="G7101" t="inlineStr">
        <is>
          <t>Nhân viên</t>
        </is>
      </c>
      <c r="H7101" t="inlineStr">
        <is>
          <t>04/03/2026</t>
        </is>
      </c>
      <c r="I7101" t="inlineStr">
        <is>
          <t>03/04/2026</t>
        </is>
      </c>
      <c r="J7101" t="inlineStr">
        <is>
          <t>17/03/2026</t>
        </is>
      </c>
      <c r="K7101" t="inlineStr">
        <is>
          <t>N/A</t>
        </is>
      </c>
      <c r="L7101" t="inlineStr">
        <is>
          <t>Livestream, Communication Skills, Data Analysis, Livestream Coordination</t>
        </is>
      </c>
      <c r="M7101" t="inlineStr">
        <is>
          <t>Healthcare Plan, Training, Team Activities</t>
        </is>
      </c>
      <c r="N7101" s="8">
        <f>HYPERLINK("https://www.vietnamworks.com/quan-ly-and-van-hanh-livestream-2018169-jv","Xem chi tiết")</f>
        <v/>
      </c>
    </row>
    <row r="7102">
      <c r="B7102" s="9" t="n">
        <v>7100</v>
      </c>
      <c r="C7102" s="10" t="inlineStr">
        <is>
          <t>Group Head of IT &amp; Security</t>
        </is>
      </c>
      <c r="D7102" s="10" t="inlineStr">
        <is>
          <t>Wall Street English</t>
        </is>
      </c>
      <c r="E7102" s="10" t="inlineStr">
        <is>
          <t>Thương lượng</t>
        </is>
      </c>
      <c r="F7102" s="10" t="inlineStr">
        <is>
          <t>Hồ Chí Minh</t>
        </is>
      </c>
      <c r="G7102" s="10" t="inlineStr">
        <is>
          <t>Giám Đốc và Cấp Cao Hơn</t>
        </is>
      </c>
      <c r="H7102" s="10" t="inlineStr">
        <is>
          <t>04/03/2026</t>
        </is>
      </c>
      <c r="I7102" s="10" t="inlineStr">
        <is>
          <t>03/04/2026</t>
        </is>
      </c>
      <c r="J7102" s="10" t="inlineStr">
        <is>
          <t>17/03/2026</t>
        </is>
      </c>
      <c r="K7102" s="10" t="inlineStr">
        <is>
          <t>N/A</t>
        </is>
      </c>
      <c r="L7102" s="10" t="inlineStr">
        <is>
          <t>IT Governance, Security Management, Cloud Infrastructure, Service Management, Strategic Thinking</t>
        </is>
      </c>
      <c r="M7102" s="10" t="inlineStr">
        <is>
          <t>Bonus, Training</t>
        </is>
      </c>
      <c r="N7102" s="11">
        <f>HYPERLINK("https://www.vietnamworks.com/group-head-of-it-and-security-2018159-jv","Xem chi tiết")</f>
        <v/>
      </c>
      <c r="O7102" s="10" t="n"/>
    </row>
    <row r="7103">
      <c r="B7103" s="7" t="n">
        <v>7101</v>
      </c>
      <c r="C7103" t="inlineStr">
        <is>
          <t>D2C Sales Executive</t>
        </is>
      </c>
      <c r="D7103" t="inlineStr">
        <is>
          <t>Bosch Home Appliances Vietnam</t>
        </is>
      </c>
      <c r="E7103" t="inlineStr">
        <is>
          <t>Thương lượng</t>
        </is>
      </c>
      <c r="F7103" t="inlineStr">
        <is>
          <t>Hồ Chí Minh</t>
        </is>
      </c>
      <c r="G7103" t="inlineStr">
        <is>
          <t>Nhân viên</t>
        </is>
      </c>
      <c r="H7103" t="inlineStr">
        <is>
          <t>04/03/2026</t>
        </is>
      </c>
      <c r="I7103" t="inlineStr">
        <is>
          <t>03/04/2026</t>
        </is>
      </c>
      <c r="J7103" t="inlineStr">
        <is>
          <t>17/03/2026</t>
        </is>
      </c>
      <c r="K7103" t="inlineStr">
        <is>
          <t>N/A</t>
        </is>
      </c>
      <c r="L7103" t="inlineStr">
        <is>
          <t>D2C Operations, Ecommerce Operations, Order Management, Retail Operations, Sales Administration</t>
        </is>
      </c>
      <c r="M7103" t="inlineStr">
        <is>
          <t>Bonus, Healthcare Plan, Vouchers</t>
        </is>
      </c>
      <c r="N7103" s="8">
        <f>HYPERLINK("https://www.vietnamworks.com/d2c-sales-executive-2018173-jv","Xem chi tiết")</f>
        <v/>
      </c>
    </row>
    <row r="7104">
      <c r="B7104" s="9" t="n">
        <v>7102</v>
      </c>
      <c r="C7104" s="10" t="inlineStr">
        <is>
          <t>Sales Manager Kitchen Studio (Hanoi Province)</t>
        </is>
      </c>
      <c r="D7104" s="10" t="inlineStr">
        <is>
          <t>Bosch Home Appliances Vietnam</t>
        </is>
      </c>
      <c r="E7104" s="10" t="inlineStr">
        <is>
          <t>Thương lượng</t>
        </is>
      </c>
      <c r="F7104" s="10" t="inlineStr">
        <is>
          <t>Hà Nội</t>
        </is>
      </c>
      <c r="G7104" s="10" t="inlineStr">
        <is>
          <t>Trưởng phòng</t>
        </is>
      </c>
      <c r="H7104" s="10" t="inlineStr">
        <is>
          <t>04/03/2026</t>
        </is>
      </c>
      <c r="I7104" s="10" t="inlineStr">
        <is>
          <t>03/04/2026</t>
        </is>
      </c>
      <c r="J7104" s="10" t="inlineStr">
        <is>
          <t>17/03/2026</t>
        </is>
      </c>
      <c r="K7104" s="10" t="inlineStr">
        <is>
          <t>N/A</t>
        </is>
      </c>
      <c r="L7104" s="10" t="inlineStr">
        <is>
          <t>Commercial, Key Account Management, Kitchen Experience, Relationship Management, Sales manager</t>
        </is>
      </c>
      <c r="M7104" s="10" t="inlineStr">
        <is>
          <t>Bonus, Healthcare Plan, Vouchers, Others</t>
        </is>
      </c>
      <c r="N7104" s="11">
        <f>HYPERLINK("https://www.vietnamworks.com/sales-manager-kitchen-studio-hanoi-province-2018183-jv","Xem chi tiết")</f>
        <v/>
      </c>
      <c r="O7104" s="10" t="n"/>
    </row>
    <row r="7105">
      <c r="B7105" s="7" t="n">
        <v>7103</v>
      </c>
      <c r="C7105" t="inlineStr">
        <is>
          <t>[Hai Phong] Associate Coordinator, Warehouse Operations</t>
        </is>
      </c>
      <c r="D7105" t="inlineStr">
        <is>
          <t>APL Logistics Vietnam Company Limited</t>
        </is>
      </c>
      <c r="E7105" t="inlineStr">
        <is>
          <t>Thương lượng</t>
        </is>
      </c>
      <c r="F7105" t="inlineStr">
        <is>
          <t>Hải Phòng</t>
        </is>
      </c>
      <c r="G7105" t="inlineStr">
        <is>
          <t>Nhân viên</t>
        </is>
      </c>
      <c r="H7105" t="inlineStr">
        <is>
          <t>04/03/2026</t>
        </is>
      </c>
      <c r="I7105" t="inlineStr">
        <is>
          <t>03/04/2026</t>
        </is>
      </c>
      <c r="J7105" t="inlineStr">
        <is>
          <t>17/03/2026</t>
        </is>
      </c>
      <c r="K7105" t="inlineStr">
        <is>
          <t>N/A</t>
        </is>
      </c>
      <c r="L7105" t="inlineStr">
        <is>
          <t>3PL, Supply Chain Logistics, Warehouse Operation, WMS</t>
        </is>
      </c>
      <c r="M7105" t="inlineStr">
        <is>
          <t>Bonus, Healthcare Plan, Paid Leave, Training</t>
        </is>
      </c>
      <c r="N7105" s="8">
        <f>HYPERLINK("https://www.vietnamworks.com/hai-phong-associate-coordinator-warehouse-operations-2018164-jv","Xem chi tiết")</f>
        <v/>
      </c>
    </row>
    <row r="7106">
      <c r="B7106" s="9" t="n">
        <v>7104</v>
      </c>
      <c r="C7106" s="10" t="inlineStr">
        <is>
          <t>English and Communication Trainer</t>
        </is>
      </c>
      <c r="D7106" s="10" t="inlineStr">
        <is>
          <t>Crossian Việt Nam</t>
        </is>
      </c>
      <c r="E7106" s="10" t="inlineStr">
        <is>
          <t>Thương lượng</t>
        </is>
      </c>
      <c r="F7106" s="10" t="inlineStr">
        <is>
          <t>Hà Nội</t>
        </is>
      </c>
      <c r="G7106" s="10" t="inlineStr">
        <is>
          <t>Nhân viên</t>
        </is>
      </c>
      <c r="H7106" s="10" t="inlineStr">
        <is>
          <t>04/03/2026</t>
        </is>
      </c>
      <c r="I7106" s="10" t="inlineStr">
        <is>
          <t>03/04/2026</t>
        </is>
      </c>
      <c r="J7106" s="10" t="inlineStr">
        <is>
          <t>17/03/2026</t>
        </is>
      </c>
      <c r="K7106" s="10" t="inlineStr">
        <is>
          <t>N/A</t>
        </is>
      </c>
      <c r="L7106" s="10" t="inlineStr">
        <is>
          <t>Coaching, communication, English, presentation, Teaching</t>
        </is>
      </c>
      <c r="M7106" s="10" t="inlineStr">
        <is>
          <t>Bonus, Healthcare Plan, Paid Leave, Training, Team Activities</t>
        </is>
      </c>
      <c r="N7106" s="11">
        <f>HYPERLINK("https://www.vietnamworks.com/english-and-communication-trainer-2018184-jv","Xem chi tiết")</f>
        <v/>
      </c>
      <c r="O7106" s="10" t="n"/>
    </row>
    <row r="7107">
      <c r="B7107" s="7" t="n">
        <v>7105</v>
      </c>
      <c r="C7107" t="inlineStr">
        <is>
          <t>Logistics Staff (temporary contract) in Long Hau Industrial Park</t>
        </is>
      </c>
      <c r="D7107" t="inlineStr">
        <is>
          <t>Air Liquide Viet Nam</t>
        </is>
      </c>
      <c r="E7107" t="inlineStr">
        <is>
          <t>Thương lượng</t>
        </is>
      </c>
      <c r="F7107" t="inlineStr">
        <is>
          <t>Long An</t>
        </is>
      </c>
      <c r="G7107" t="inlineStr">
        <is>
          <t>Nhân viên</t>
        </is>
      </c>
      <c r="H7107" t="inlineStr">
        <is>
          <t>04/03/2026</t>
        </is>
      </c>
      <c r="I7107" t="inlineStr">
        <is>
          <t>03/04/2026</t>
        </is>
      </c>
      <c r="J7107" t="inlineStr">
        <is>
          <t>17/03/2026</t>
        </is>
      </c>
      <c r="K7107" t="inlineStr">
        <is>
          <t>N/A</t>
        </is>
      </c>
      <c r="L7107" t="inlineStr">
        <is>
          <t>Attention To Detail, MS Excel, Powerpoint, Transportation Management System, Warehouse Management</t>
        </is>
      </c>
      <c r="M7107" t="inlineStr">
        <is>
          <t>Bonus, Healthcare Plan, Training</t>
        </is>
      </c>
      <c r="N7107" s="8">
        <f>HYPERLINK("https://www.vietnamworks.com/logistics-staff-temporary-contract-in-long-hau-industrial-park-2018170-jv","Xem chi tiết")</f>
        <v/>
      </c>
    </row>
    <row r="7108">
      <c r="B7108" s="9" t="n">
        <v>7106</v>
      </c>
      <c r="C7108" s="10" t="inlineStr">
        <is>
          <t>Giám Đốc Điều Hành (CEO) - Biết Tiếng Trung</t>
        </is>
      </c>
      <c r="D7108" s="10" t="inlineStr">
        <is>
          <t>CÔNG TY TNHH NƯỚC GIẢI KHÁT EASTROC (VIỆT NAM)</t>
        </is>
      </c>
      <c r="E7108" s="10" t="inlineStr">
        <is>
          <t>80tr-100tr ₫/tháng</t>
        </is>
      </c>
      <c r="F7108" s="10" t="inlineStr">
        <is>
          <t>Hồ Chí Minh</t>
        </is>
      </c>
      <c r="G7108" s="10" t="inlineStr">
        <is>
          <t>Giám Đốc và Cấp Cao Hơn</t>
        </is>
      </c>
      <c r="H7108" s="10" t="inlineStr">
        <is>
          <t>04/03/2026</t>
        </is>
      </c>
      <c r="I7108" s="10" t="inlineStr">
        <is>
          <t>03/04/2026</t>
        </is>
      </c>
      <c r="J7108" s="10" t="inlineStr">
        <is>
          <t>17/03/2026</t>
        </is>
      </c>
      <c r="K7108" s="10" t="inlineStr">
        <is>
          <t>N/A</t>
        </is>
      </c>
      <c r="L7108" s="10" t="inlineStr">
        <is>
          <t>Business Strategy, Chinese Speaking, FMCG, Operations Management, Strategic Planning</t>
        </is>
      </c>
      <c r="M7108" s="10" t="inlineStr">
        <is>
          <t>Bonus, Healthcare Plan, Training, Team Activities, Others</t>
        </is>
      </c>
      <c r="N7108" s="11">
        <f>HYPERLINK("https://www.vietnamworks.com/giam-doc-dieu-hanh-ceo-biet-tieng-trung-2018181-jv","Xem chi tiết")</f>
        <v/>
      </c>
      <c r="O7108" s="10" t="n"/>
    </row>
    <row r="7109">
      <c r="B7109" s="7" t="n">
        <v>7107</v>
      </c>
      <c r="C7109" t="inlineStr">
        <is>
          <t>Chuyên viên BIM Coordinator</t>
        </is>
      </c>
      <c r="D7109" t="inlineStr">
        <is>
          <t>CÔNG TY CỔ PHẦN XÂY DỰNG ENTIZ</t>
        </is>
      </c>
      <c r="E7109" t="inlineStr">
        <is>
          <t>Thương lượng</t>
        </is>
      </c>
      <c r="F7109" t="inlineStr">
        <is>
          <t>Nghệ An</t>
        </is>
      </c>
      <c r="G7109" t="inlineStr">
        <is>
          <t>Nhân viên</t>
        </is>
      </c>
      <c r="H7109" t="inlineStr">
        <is>
          <t>04/03/2026</t>
        </is>
      </c>
      <c r="I7109" t="inlineStr">
        <is>
          <t>03/04/2026</t>
        </is>
      </c>
      <c r="J7109" t="inlineStr">
        <is>
          <t>17/03/2026</t>
        </is>
      </c>
      <c r="K7109" t="inlineStr">
        <is>
          <t>N/A</t>
        </is>
      </c>
      <c r="L7109" t="inlineStr">
        <is>
          <t>C#, BIM Coordination, Clash Detection, Kiểm Soát Chất Lượng, Navisworks</t>
        </is>
      </c>
      <c r="M7109" t="inlineStr">
        <is>
          <t>Bonus</t>
        </is>
      </c>
      <c r="N7109" s="8">
        <f>HYPERLINK("https://www.vietnamworks.com/chuyen-vien-bim-coordinator-2018175-jv","Xem chi tiết")</f>
        <v/>
      </c>
    </row>
    <row r="7110">
      <c r="B7110" s="9" t="n">
        <v>7108</v>
      </c>
      <c r="C7110" s="10" t="inlineStr">
        <is>
          <t>Sale Admin Tiếng Trung</t>
        </is>
      </c>
      <c r="D7110" s="10" t="inlineStr">
        <is>
          <t>Công ty TNHH Công nghệ TTGH</t>
        </is>
      </c>
      <c r="E7110" s="10" t="inlineStr">
        <is>
          <t>Tới 12tr ₫/tháng</t>
        </is>
      </c>
      <c r="F7110" s="10" t="inlineStr">
        <is>
          <t>Hồ Chí Minh</t>
        </is>
      </c>
      <c r="G7110" s="10" t="inlineStr">
        <is>
          <t>Mới Tốt Nghiệp</t>
        </is>
      </c>
      <c r="H7110" s="10" t="inlineStr">
        <is>
          <t>04/03/2026</t>
        </is>
      </c>
      <c r="I7110" s="10" t="inlineStr">
        <is>
          <t>03/04/2026</t>
        </is>
      </c>
      <c r="J7110" s="10" t="inlineStr">
        <is>
          <t>17/03/2026</t>
        </is>
      </c>
      <c r="K7110" s="10" t="inlineStr">
        <is>
          <t>N/A</t>
        </is>
      </c>
      <c r="L7110" s="10" t="inlineStr">
        <is>
          <t>Tiếng Trung, Quản Lý Đơn Hàng, Hỗ Trợ Kinh Doanh, HSK3, Soạn Thảo Hợp Đồng</t>
        </is>
      </c>
      <c r="M7110" s="10" t="inlineStr">
        <is>
          <t>Training, Mobile, Others</t>
        </is>
      </c>
      <c r="N7110" s="11">
        <f>HYPERLINK("https://www.vietnamworks.com/sale-admin-tieng-trung-2018185-jv","Xem chi tiết")</f>
        <v/>
      </c>
      <c r="O7110" s="10" t="n"/>
    </row>
    <row r="7111">
      <c r="B7111" s="7" t="n">
        <v>7109</v>
      </c>
      <c r="C7111" t="inlineStr">
        <is>
          <t>Chuyên Viên BIM Modeler</t>
        </is>
      </c>
      <c r="D7111" t="inlineStr">
        <is>
          <t>CÔNG TY CỔ PHẦN XÂY DỰNG ENTIZ</t>
        </is>
      </c>
      <c r="E7111" t="inlineStr">
        <is>
          <t>Thương lượng</t>
        </is>
      </c>
      <c r="F7111" t="inlineStr">
        <is>
          <t>Nghệ An</t>
        </is>
      </c>
      <c r="G7111" t="inlineStr">
        <is>
          <t>Nhân viên</t>
        </is>
      </c>
      <c r="H7111" t="inlineStr">
        <is>
          <t>04/03/2026</t>
        </is>
      </c>
      <c r="I7111" t="inlineStr">
        <is>
          <t>03/04/2026</t>
        </is>
      </c>
      <c r="J7111" t="inlineStr">
        <is>
          <t>17/03/2026</t>
        </is>
      </c>
      <c r="K7111" t="inlineStr">
        <is>
          <t>N/A</t>
        </is>
      </c>
      <c r="L7111" t="inlineStr">
        <is>
          <t>Navisworks, BIM Model, Cơ Điện, Revit, Triển Khai Mô Hình 3D</t>
        </is>
      </c>
      <c r="M7111" t="inlineStr">
        <is>
          <t>Bonus</t>
        </is>
      </c>
      <c r="N7111" s="8">
        <f>HYPERLINK("https://www.vietnamworks.com/chuyen-vien-bim-modeler-2018178-jv","Xem chi tiết")</f>
        <v/>
      </c>
    </row>
    <row r="7112">
      <c r="B7112" s="9" t="n">
        <v>7110</v>
      </c>
      <c r="C7112" s="10" t="inlineStr">
        <is>
          <t>[Bắc Ninh] Kỹ Sư Đánh Giá - Cải Tiến Phần Mềm (QA)</t>
        </is>
      </c>
      <c r="D7112" s="10" t="inlineStr">
        <is>
          <t>Hanwha Vision Viet Nam Company Limited (Tên cũ là HanwhaTechwin Security Vietnam)</t>
        </is>
      </c>
      <c r="E7112" s="10" t="inlineStr">
        <is>
          <t>$$ 260-290 /tháng</t>
        </is>
      </c>
      <c r="F7112" s="10" t="inlineStr">
        <is>
          <t>Bắc Ninh</t>
        </is>
      </c>
      <c r="G7112" s="10" t="inlineStr">
        <is>
          <t>Mới Tốt Nghiệp</t>
        </is>
      </c>
      <c r="H7112" s="10" t="inlineStr">
        <is>
          <t>04/03/2026</t>
        </is>
      </c>
      <c r="I7112" s="10" t="inlineStr">
        <is>
          <t>03/04/2026</t>
        </is>
      </c>
      <c r="J7112" s="10" t="inlineStr">
        <is>
          <t>17/03/2026</t>
        </is>
      </c>
      <c r="K7112" s="10" t="inlineStr">
        <is>
          <t>N/A</t>
        </is>
      </c>
      <c r="L7112" s="10" t="inlineStr">
        <is>
          <t>Quản Lý Chất Lượng Phần Mềm, Waterfall, Agile, CCTV, Recorder</t>
        </is>
      </c>
      <c r="M7112" s="10" t="inlineStr">
        <is>
          <t>Bonus, Paid Leave, Transportation</t>
        </is>
      </c>
      <c r="N7112" s="11">
        <f>HYPERLINK("https://www.vietnamworks.com/bac-ninh-ky-su-danh-gia-cai-tien-phan-mem-qa-2018186-jv","Xem chi tiết")</f>
        <v/>
      </c>
      <c r="O7112" s="10" t="n"/>
    </row>
    <row r="7113">
      <c r="B7113" s="7" t="n">
        <v>7111</v>
      </c>
      <c r="C7113" t="inlineStr">
        <is>
          <t>Leader Kế Toán</t>
        </is>
      </c>
      <c r="D7113" t="inlineStr">
        <is>
          <t>Công Ty TNHH Kai Việt Nam</t>
        </is>
      </c>
      <c r="E7113" t="inlineStr">
        <is>
          <t>Thương lượng</t>
        </is>
      </c>
      <c r="F7113" t="inlineStr">
        <is>
          <t>Hà Nội</t>
        </is>
      </c>
      <c r="G7113" t="inlineStr">
        <is>
          <t>Trưởng phòng</t>
        </is>
      </c>
      <c r="H7113" t="inlineStr">
        <is>
          <t>04/03/2026</t>
        </is>
      </c>
      <c r="I7113" t="inlineStr">
        <is>
          <t>03/04/2026</t>
        </is>
      </c>
      <c r="J7113" t="inlineStr">
        <is>
          <t>17/03/2026</t>
        </is>
      </c>
      <c r="K7113" t="inlineStr">
        <is>
          <t>N/A</t>
        </is>
      </c>
      <c r="L7113" t="inlineStr">
        <is>
          <t>Chính Sách Của Nhà Nước Về Thuế, ERP, Hạch Toán, Kiểm Soát Chứng Từ, Đối Chiếu Công Nợ</t>
        </is>
      </c>
      <c r="M7113" t="inlineStr">
        <is>
          <t>Bonus, Healthcare Plan, Paid Leave, Training, Others</t>
        </is>
      </c>
      <c r="N7113" s="8">
        <f>HYPERLINK("https://www.vietnamworks.com/leader-ke-toan-2018194-jv","Xem chi tiết")</f>
        <v/>
      </c>
    </row>
    <row r="7114">
      <c r="B7114" s="9" t="n">
        <v>7112</v>
      </c>
      <c r="C7114" s="10" t="inlineStr">
        <is>
          <t>Nhân Viên Kinh Doanh (Kỹ Sư)</t>
        </is>
      </c>
      <c r="D7114" s="10" t="inlineStr">
        <is>
          <t>Công ty TNHH Đầu Tư Carbon Việt Nam</t>
        </is>
      </c>
      <c r="E7114" s="10" t="inlineStr">
        <is>
          <t>10tr-20tr ₫/tháng</t>
        </is>
      </c>
      <c r="F7114" s="10" t="inlineStr">
        <is>
          <t>Hải Phòng, Thái Nguyên, Hà Nội</t>
        </is>
      </c>
      <c r="G7114" s="10" t="inlineStr">
        <is>
          <t>Mới Tốt Nghiệp</t>
        </is>
      </c>
      <c r="H7114" s="10" t="inlineStr">
        <is>
          <t>04/03/2026</t>
        </is>
      </c>
      <c r="I7114" s="10" t="inlineStr">
        <is>
          <t>03/04/2026</t>
        </is>
      </c>
      <c r="J7114" s="10" t="inlineStr">
        <is>
          <t>17/03/2026</t>
        </is>
      </c>
      <c r="K7114" s="10" t="inlineStr">
        <is>
          <t>N/A</t>
        </is>
      </c>
      <c r="L7114" s="10" t="inlineStr">
        <is>
          <t>Kỹ Thuật, Cơ Khí, Tiếng Anh, Chăm Sóc Khách Hàng, năng động</t>
        </is>
      </c>
      <c r="M7114" s="10" t="inlineStr">
        <is>
          <t>Bonus, Healthcare Plan, Paid Leave, Training, Awards, Laptop, Team Activities</t>
        </is>
      </c>
      <c r="N7114" s="11">
        <f>HYPERLINK("https://www.vietnamworks.com/nhan-vien-kinh-doanh-ky-su-2018187-jv","Xem chi tiết")</f>
        <v/>
      </c>
      <c r="O7114" s="10" t="n"/>
    </row>
    <row r="7115">
      <c r="B7115" s="7" t="n">
        <v>7113</v>
      </c>
      <c r="C7115" t="inlineStr">
        <is>
          <t>Pricing Specialist</t>
        </is>
      </c>
      <c r="D7115" t="inlineStr">
        <is>
          <t>CÔNG TY TNHH INTERSLOG &amp; FORWARDING</t>
        </is>
      </c>
      <c r="E7115" t="inlineStr">
        <is>
          <t>Thương lượng</t>
        </is>
      </c>
      <c r="F7115" t="inlineStr">
        <is>
          <t>Hồ Chí Minh</t>
        </is>
      </c>
      <c r="G7115" t="inlineStr">
        <is>
          <t>Nhân viên</t>
        </is>
      </c>
      <c r="H7115" t="inlineStr">
        <is>
          <t>04/03/2026</t>
        </is>
      </c>
      <c r="I7115" t="inlineStr">
        <is>
          <t>03/04/2026</t>
        </is>
      </c>
      <c r="J7115" t="inlineStr">
        <is>
          <t>17/03/2026</t>
        </is>
      </c>
      <c r="K7115" t="inlineStr">
        <is>
          <t>N/A</t>
        </is>
      </c>
      <c r="L7115" t="inlineStr">
        <is>
          <t>Shipping Logistics, Us Routes Experience, Foreign Trade, Excel proficiency, English Writing</t>
        </is>
      </c>
      <c r="M7115" t="inlineStr">
        <is>
          <t>Bonus, Healthcare Plan, Paid Leave, Others</t>
        </is>
      </c>
      <c r="N7115" s="8">
        <f>HYPERLINK("https://www.vietnamworks.com/pricing-specialist-2018199-jv","Xem chi tiết")</f>
        <v/>
      </c>
    </row>
    <row r="7116">
      <c r="B7116" s="9" t="n">
        <v>7114</v>
      </c>
      <c r="C7116" s="10" t="inlineStr">
        <is>
          <t>Senior Total Rewards Specialist</t>
        </is>
      </c>
      <c r="D7116" s="10" t="inlineStr">
        <is>
          <t>Công Ty TNHH Hữu Toàn Group</t>
        </is>
      </c>
      <c r="E7116" s="10" t="inlineStr">
        <is>
          <t>15tr-30tr ₫/tháng</t>
        </is>
      </c>
      <c r="F7116" s="10" t="inlineStr">
        <is>
          <t>Hồ Chí Minh</t>
        </is>
      </c>
      <c r="G7116" s="10" t="inlineStr">
        <is>
          <t>Nhân viên</t>
        </is>
      </c>
      <c r="H7116" s="10" t="inlineStr">
        <is>
          <t>04/03/2026</t>
        </is>
      </c>
      <c r="I7116" s="10" t="inlineStr">
        <is>
          <t>03/04/2026</t>
        </is>
      </c>
      <c r="J7116" s="10" t="inlineStr">
        <is>
          <t>17/03/2026</t>
        </is>
      </c>
      <c r="K7116" s="10" t="inlineStr">
        <is>
          <t>N/A</t>
        </is>
      </c>
      <c r="L7116" s="10" t="inlineStr">
        <is>
          <t>Compensation &amp; Benefits, Data Analysis, Excel Proficiency, Payroll Management, Vietnam Labor Laws</t>
        </is>
      </c>
      <c r="M7116" s="10" t="inlineStr">
        <is>
          <t>Bonus, Healthcare Plan, Paid Leave, Training, Awards, Others</t>
        </is>
      </c>
      <c r="N7116" s="11">
        <f>HYPERLINK("https://www.vietnamworks.com/senior-total-rewards-specialist-2018191-jv","Xem chi tiết")</f>
        <v/>
      </c>
      <c r="O7116" s="10" t="n"/>
    </row>
    <row r="7117">
      <c r="B7117" s="7" t="n">
        <v>7115</v>
      </c>
      <c r="C7117" t="inlineStr">
        <is>
          <t>Logistics Warehouse Supervisor</t>
        </is>
      </c>
      <c r="D7117" t="inlineStr">
        <is>
          <t>Công Ty TNHH Găng Tay Sri Trang Việt Nam</t>
        </is>
      </c>
      <c r="E7117" t="inlineStr">
        <is>
          <t>Thương lượng</t>
        </is>
      </c>
      <c r="F7117" t="inlineStr">
        <is>
          <t>Hồ Chí Minh</t>
        </is>
      </c>
      <c r="G7117" t="inlineStr">
        <is>
          <t>Nhân viên</t>
        </is>
      </c>
      <c r="H7117" t="inlineStr">
        <is>
          <t>04/03/2026</t>
        </is>
      </c>
      <c r="I7117" t="inlineStr">
        <is>
          <t>03/04/2026</t>
        </is>
      </c>
      <c r="J7117" t="inlineStr">
        <is>
          <t>17/03/2026</t>
        </is>
      </c>
      <c r="K7117" t="inlineStr">
        <is>
          <t>N/A</t>
        </is>
      </c>
      <c r="L7117" t="inlineStr">
        <is>
          <t>Warehouse Operation, Transport Coordination, Supply Planning, Inventory Management, Problem-solving</t>
        </is>
      </c>
      <c r="M7117" t="inlineStr">
        <is>
          <t>Bonus, Healthcare Plan, Training, Laptop, Team Activities, Others</t>
        </is>
      </c>
      <c r="N7117" s="8">
        <f>HYPERLINK("https://www.vietnamworks.com/logistics-warehouse-supervisor-2018201-jv","Xem chi tiết")</f>
        <v/>
      </c>
    </row>
    <row r="7118">
      <c r="B7118" s="9" t="n">
        <v>7116</v>
      </c>
      <c r="C7118" s="10" t="inlineStr">
        <is>
          <t>South Project Sales Manager</t>
        </is>
      </c>
      <c r="D7118" s="10" t="inlineStr">
        <is>
          <t>Bosch Home Appliances Vietnam</t>
        </is>
      </c>
      <c r="E7118" s="10" t="inlineStr">
        <is>
          <t>Thương lượng</t>
        </is>
      </c>
      <c r="F7118" s="10" t="inlineStr">
        <is>
          <t>Hồ Chí Minh</t>
        </is>
      </c>
      <c r="G7118" s="10" t="inlineStr">
        <is>
          <t>Trưởng phòng</t>
        </is>
      </c>
      <c r="H7118" s="10" t="inlineStr">
        <is>
          <t>04/03/2026</t>
        </is>
      </c>
      <c r="I7118" s="10" t="inlineStr">
        <is>
          <t>03/04/2026</t>
        </is>
      </c>
      <c r="J7118" s="10" t="inlineStr">
        <is>
          <t>17/03/2026</t>
        </is>
      </c>
      <c r="K7118" s="10" t="inlineStr">
        <is>
          <t>N/A</t>
        </is>
      </c>
      <c r="L7118" s="10" t="inlineStr">
        <is>
          <t>Kinh Doanh B2B, Negotiation Skills, Sales Development, Tender Management</t>
        </is>
      </c>
      <c r="M7118" s="10" t="inlineStr">
        <is>
          <t>Bonus, Healthcare Plan, Paid Leave, Vouchers, Others</t>
        </is>
      </c>
      <c r="N7118" s="11">
        <f>HYPERLINK("https://www.vietnamworks.com/south-project-sales-manager-2018196-jv","Xem chi tiết")</f>
        <v/>
      </c>
      <c r="O7118" s="10" t="n"/>
    </row>
    <row r="7119">
      <c r="B7119" s="7" t="n">
        <v>7117</v>
      </c>
      <c r="C7119" t="inlineStr">
        <is>
          <t>Tuyển Gấp Media Quay Dựng - Thu Nhập Hấp Dẫn Upto 15 Triệu/tháng</t>
        </is>
      </c>
      <c r="D7119" t="inlineStr">
        <is>
          <t>Công Ty CP Đầu Tư Và Phát Triển TM Tân Thời Đại</t>
        </is>
      </c>
      <c r="E7119" t="inlineStr">
        <is>
          <t>13tr-15tr ₫/tháng</t>
        </is>
      </c>
      <c r="F7119" t="inlineStr">
        <is>
          <t>Hà Nội</t>
        </is>
      </c>
      <c r="G7119" t="inlineStr">
        <is>
          <t>Nhân viên</t>
        </is>
      </c>
      <c r="H7119" t="inlineStr">
        <is>
          <t>04/03/2026</t>
        </is>
      </c>
      <c r="I7119" t="inlineStr">
        <is>
          <t>03/04/2026</t>
        </is>
      </c>
      <c r="J7119" t="inlineStr">
        <is>
          <t>17/03/2026</t>
        </is>
      </c>
      <c r="K7119" t="inlineStr">
        <is>
          <t>N/A</t>
        </is>
      </c>
      <c r="L7119" t="inlineStr">
        <is>
          <t>Quay Dựng Video, Adobe Premiere, After Effects, Capcut PC, Tư Duy Thẩm Mỹ</t>
        </is>
      </c>
      <c r="M7119" t="inlineStr">
        <is>
          <t>Bonus, Training, Team Activities, Others</t>
        </is>
      </c>
      <c r="N7119" s="8">
        <f>HYPERLINK("https://www.vietnamworks.com/tuyen-gap-media-quay-dung-thu-nhap-hap-dan-upto-15-trieuthang-2018202-jv","Xem chi tiết")</f>
        <v/>
      </c>
    </row>
    <row r="7120">
      <c r="B7120" s="9" t="n">
        <v>7118</v>
      </c>
      <c r="C7120" s="10" t="inlineStr">
        <is>
          <t>Kỹ Sư Kỹ Thuật Công Đoạn UV Laser</t>
        </is>
      </c>
      <c r="D7120" s="10" t="inlineStr">
        <is>
          <t>SEI Electronic Components (Vietnam), Ltd.</t>
        </is>
      </c>
      <c r="E7120" s="10" t="inlineStr">
        <is>
          <t>Thương lượng</t>
        </is>
      </c>
      <c r="F7120" s="10" t="inlineStr">
        <is>
          <t>Hà Nội</t>
        </is>
      </c>
      <c r="G7120" s="10" t="inlineStr">
        <is>
          <t>Nhân viên</t>
        </is>
      </c>
      <c r="H7120" s="10" t="inlineStr">
        <is>
          <t>04/03/2026</t>
        </is>
      </c>
      <c r="I7120" s="10" t="inlineStr">
        <is>
          <t>03/04/2026</t>
        </is>
      </c>
      <c r="J7120" s="10" t="inlineStr">
        <is>
          <t>17/03/2026</t>
        </is>
      </c>
      <c r="K7120" s="10" t="inlineStr">
        <is>
          <t>N/A</t>
        </is>
      </c>
      <c r="L7120" s="10" t="inlineStr">
        <is>
          <t>Tự Động Hóa, Cơ Khí, Vật lý kỹ thuật, Cơ Điện Tử, Laser</t>
        </is>
      </c>
      <c r="M7120" s="10" t="inlineStr">
        <is>
          <t>Bonus, Healthcare Plan, Transportation</t>
        </is>
      </c>
      <c r="N7120" s="11">
        <f>HYPERLINK("https://www.vietnamworks.com/ky-su-ky-thuat-cong-doan-uv-laser-2018203-jv","Xem chi tiết")</f>
        <v/>
      </c>
      <c r="O7120" s="10" t="n"/>
    </row>
    <row r="7121">
      <c r="B7121" s="7" t="n">
        <v>7119</v>
      </c>
      <c r="C7121" t="inlineStr">
        <is>
          <t>Trưởng Bộ Phận Kho - Vận</t>
        </is>
      </c>
      <c r="D7121" t="inlineStr">
        <is>
          <t>Công Ty Cổ Phần Phương Tiện Điện Thông Minh Selex</t>
        </is>
      </c>
      <c r="E7121" t="inlineStr">
        <is>
          <t>$$ 600-900 /tháng</t>
        </is>
      </c>
      <c r="F7121" t="inlineStr">
        <is>
          <t>Hà Nội</t>
        </is>
      </c>
      <c r="G7121" t="inlineStr">
        <is>
          <t>Nhân viên</t>
        </is>
      </c>
      <c r="H7121" t="inlineStr">
        <is>
          <t>04/03/2026</t>
        </is>
      </c>
      <c r="I7121" t="inlineStr">
        <is>
          <t>03/04/2026</t>
        </is>
      </c>
      <c r="J7121" t="inlineStr">
        <is>
          <t>17/03/2026</t>
        </is>
      </c>
      <c r="K7121" t="inlineStr">
        <is>
          <t>N/A</t>
        </is>
      </c>
      <c r="L7121" t="inlineStr">
        <is>
          <t>Warehouse Management, Quản Lý Kho Hàng Hóa, Quản Lý Kho, Kho Vận, Logistics</t>
        </is>
      </c>
      <c r="M7121" t="inlineStr">
        <is>
          <t>Bonus, Awards, Others</t>
        </is>
      </c>
      <c r="N7121" s="8">
        <f>HYPERLINK("https://www.vietnamworks.com/truong-bo-phan-kho-van--2018211-jv","Xem chi tiết")</f>
        <v/>
      </c>
    </row>
    <row r="7122">
      <c r="B7122" s="9" t="n">
        <v>7120</v>
      </c>
      <c r="C7122" s="10" t="inlineStr">
        <is>
          <t>Electrical Design (12/24 Vac/dc) / Thiết Kế Điện (12/24 Vac/dc)</t>
        </is>
      </c>
      <c r="D7122" s="10" t="inlineStr">
        <is>
          <t>CÔNG TY TNHH KỸ THUẬT &amp; SẢN XUẤT S4T</t>
        </is>
      </c>
      <c r="E7122" s="10" t="inlineStr">
        <is>
          <t>15tr-25tr ₫/tháng</t>
        </is>
      </c>
      <c r="F7122" s="10" t="inlineStr">
        <is>
          <t>Hồ Chí Minh</t>
        </is>
      </c>
      <c r="G7122" s="10" t="inlineStr">
        <is>
          <t>Nhân viên</t>
        </is>
      </c>
      <c r="H7122" s="10" t="inlineStr">
        <is>
          <t>04/03/2026</t>
        </is>
      </c>
      <c r="I7122" s="10" t="inlineStr">
        <is>
          <t>03/04/2026</t>
        </is>
      </c>
      <c r="J7122" s="10" t="inlineStr">
        <is>
          <t>17/03/2026</t>
        </is>
      </c>
      <c r="K7122" s="10" t="inlineStr">
        <is>
          <t>N/A</t>
        </is>
      </c>
      <c r="L7122" s="10" t="inlineStr">
        <is>
          <t>Electrical Design, Producing Wire Harness, Low Voltage System, Software Prototyping, Problem-solving</t>
        </is>
      </c>
      <c r="M7122" s="10" t="inlineStr">
        <is>
          <t>Healthcare Plan, Training, Travel Opportunities, Team Activities, Others</t>
        </is>
      </c>
      <c r="N7122" s="11">
        <f>HYPERLINK("https://www.vietnamworks.com/electrical-design-1224-vacdc-thiet-ke-djien-1224-vacdc-2018205-jv","Xem chi tiết")</f>
        <v/>
      </c>
      <c r="O7122" s="10" t="n"/>
    </row>
    <row r="7123">
      <c r="B7123" s="7" t="n">
        <v>7121</v>
      </c>
      <c r="C7123" t="inlineStr">
        <is>
          <t>Nhân Viên Kế Toán Chi Nhánh Hà Nam</t>
        </is>
      </c>
      <c r="D7123" t="inlineStr">
        <is>
          <t>Tập đoàn VINASEED</t>
        </is>
      </c>
      <c r="E7123" t="inlineStr">
        <is>
          <t>Thương lượng</t>
        </is>
      </c>
      <c r="F7123" t="inlineStr">
        <is>
          <t>Hà Nội</t>
        </is>
      </c>
      <c r="G7123" t="inlineStr">
        <is>
          <t>Nhân viên</t>
        </is>
      </c>
      <c r="H7123" t="inlineStr">
        <is>
          <t>04/03/2026</t>
        </is>
      </c>
      <c r="I7123" t="inlineStr">
        <is>
          <t>03/04/2026</t>
        </is>
      </c>
      <c r="J7123" t="inlineStr">
        <is>
          <t>17/03/2026</t>
        </is>
      </c>
      <c r="K7123" t="inlineStr">
        <is>
          <t>N/A</t>
        </is>
      </c>
      <c r="L7123" t="inlineStr">
        <is>
          <t xml:space="preserve"> Chứng Từ Kế Toán, Báo Cáo Thuế, Hạch Toán, Tài Chính Kế Toán, Theo Dõi Công Nợ</t>
        </is>
      </c>
      <c r="M7123" t="inlineStr">
        <is>
          <t>Bonus, Healthcare Plan, Training, Others</t>
        </is>
      </c>
      <c r="N7123" s="8">
        <f>HYPERLINK("https://www.vietnamworks.com/nhan-vien-ke-toan-chi-nhanh-ha-nam-2018189-jv","Xem chi tiết")</f>
        <v/>
      </c>
    </row>
    <row r="7124">
      <c r="B7124" s="9" t="n">
        <v>7122</v>
      </c>
      <c r="C7124" s="10" t="inlineStr">
        <is>
          <t>Nhân Viên Kỹ Thuật Bảo Trì / Maintenance Technician</t>
        </is>
      </c>
      <c r="D7124" s="10" t="inlineStr">
        <is>
          <t>Sonova Operations Center Vietnam</t>
        </is>
      </c>
      <c r="E7124" s="10" t="inlineStr">
        <is>
          <t>Thương lượng</t>
        </is>
      </c>
      <c r="F7124" s="10" t="inlineStr">
        <is>
          <t>Bình Dương</t>
        </is>
      </c>
      <c r="G7124" s="10" t="inlineStr">
        <is>
          <t>Nhân viên</t>
        </is>
      </c>
      <c r="H7124" s="10" t="inlineStr">
        <is>
          <t>04/03/2026</t>
        </is>
      </c>
      <c r="I7124" s="10" t="inlineStr">
        <is>
          <t>03/04/2026</t>
        </is>
      </c>
      <c r="J7124" s="10" t="inlineStr">
        <is>
          <t>17/03/2026</t>
        </is>
      </c>
      <c r="K7124" s="10" t="inlineStr">
        <is>
          <t>N/A</t>
        </is>
      </c>
      <c r="L7124" s="10" t="inlineStr">
        <is>
          <t>Electrical Engineer, Maintenance, Facilities Management, Bảo Trì, Bảo Trì Điện Công Nghiệp</t>
        </is>
      </c>
      <c r="M7124" s="10" t="inlineStr">
        <is>
          <t>Others</t>
        </is>
      </c>
      <c r="N7124" s="11">
        <f>HYPERLINK("https://www.vietnamworks.com/nhan-vien-ky-thuat-bao-tri-maintenance-technician--2018188-jv","Xem chi tiết")</f>
        <v/>
      </c>
      <c r="O7124" s="10" t="n"/>
    </row>
    <row r="7125">
      <c r="B7125" s="7" t="n">
        <v>7123</v>
      </c>
      <c r="C7125" t="inlineStr">
        <is>
          <t>Content Marketing</t>
        </is>
      </c>
      <c r="D7125" t="inlineStr">
        <is>
          <t>Công Ty Cổ Phần Công Nghệ Tiên Phát - Tpcoms</t>
        </is>
      </c>
      <c r="E7125" t="inlineStr">
        <is>
          <t>Thương lượng</t>
        </is>
      </c>
      <c r="F7125" t="inlineStr">
        <is>
          <t>Hồ Chí Minh</t>
        </is>
      </c>
      <c r="G7125" t="inlineStr">
        <is>
          <t>Nhân viên</t>
        </is>
      </c>
      <c r="H7125" t="inlineStr">
        <is>
          <t>04/03/2026</t>
        </is>
      </c>
      <c r="I7125" t="inlineStr">
        <is>
          <t>03/04/2026</t>
        </is>
      </c>
      <c r="J7125" t="inlineStr">
        <is>
          <t>17/03/2026</t>
        </is>
      </c>
      <c r="K7125" t="inlineStr">
        <is>
          <t>N/A</t>
        </is>
      </c>
      <c r="L7125" t="inlineStr">
        <is>
          <t>SEO Marketing, Hệ Thống Nhận Diện Thương Hiệu, Google Analytics, Tổ Chức Sự Kiện, Sáng Tạo Nội Dung</t>
        </is>
      </c>
      <c r="M7125" t="inlineStr">
        <is>
          <t>Bonus, Training, Others</t>
        </is>
      </c>
      <c r="N7125" s="8">
        <f>HYPERLINK("https://www.vietnamworks.com/content-marketing--2018195-jv","Xem chi tiết")</f>
        <v/>
      </c>
    </row>
    <row r="7126">
      <c r="B7126" s="9" t="n">
        <v>7124</v>
      </c>
      <c r="C7126" s="10" t="inlineStr">
        <is>
          <t>Medical Product Manager</t>
        </is>
      </c>
      <c r="D7126" s="10" t="inlineStr">
        <is>
          <t>The Vigo</t>
        </is>
      </c>
      <c r="E7126" s="10" t="inlineStr">
        <is>
          <t>$$ 1,000-2,000 /tháng</t>
        </is>
      </c>
      <c r="F7126" s="10" t="inlineStr">
        <is>
          <t>Hà Nội</t>
        </is>
      </c>
      <c r="G7126" s="10" t="inlineStr">
        <is>
          <t>Trưởng phòng</t>
        </is>
      </c>
      <c r="H7126" s="10" t="inlineStr">
        <is>
          <t>04/03/2026</t>
        </is>
      </c>
      <c r="I7126" s="10" t="inlineStr">
        <is>
          <t>03/04/2026</t>
        </is>
      </c>
      <c r="J7126" s="10" t="inlineStr">
        <is>
          <t>17/03/2026</t>
        </is>
      </c>
      <c r="K7126" s="10" t="inlineStr">
        <is>
          <t>N/A</t>
        </is>
      </c>
      <c r="L7126" s="10" t="inlineStr">
        <is>
          <t>Dược, Biotechnology, Da Liễu</t>
        </is>
      </c>
      <c r="M7126" s="10" t="inlineStr">
        <is>
          <t>Bonus, Training, Team Activities</t>
        </is>
      </c>
      <c r="N7126" s="11">
        <f>HYPERLINK("https://www.vietnamworks.com/medical-product-manager--2018209-jv","Xem chi tiết")</f>
        <v/>
      </c>
      <c r="O7126" s="10" t="n"/>
    </row>
    <row r="7127">
      <c r="B7127" s="7" t="n">
        <v>7125</v>
      </c>
      <c r="C7127" t="inlineStr">
        <is>
          <t>[Gấp] Kế Toán Tổng Hợp - General Accountant - Thu Nhập Upto 17Tr/ Tháng</t>
        </is>
      </c>
      <c r="D7127" t="inlineStr">
        <is>
          <t>Công Ty CP Đầu Tư Và Phát Triển TM Tân Thời Đại</t>
        </is>
      </c>
      <c r="E7127" t="inlineStr">
        <is>
          <t>12tr-17tr ₫/tháng</t>
        </is>
      </c>
      <c r="F7127" t="inlineStr">
        <is>
          <t>Hà Nội</t>
        </is>
      </c>
      <c r="G7127" t="inlineStr">
        <is>
          <t>Nhân viên</t>
        </is>
      </c>
      <c r="H7127" t="inlineStr">
        <is>
          <t>04/03/2026</t>
        </is>
      </c>
      <c r="I7127" t="inlineStr">
        <is>
          <t>03/04/2026</t>
        </is>
      </c>
      <c r="J7127" t="inlineStr">
        <is>
          <t>17/03/2026</t>
        </is>
      </c>
      <c r="K7127" t="inlineStr">
        <is>
          <t>N/A</t>
        </is>
      </c>
      <c r="L7127" t="inlineStr">
        <is>
          <t>Kế Toán Tổng Hợp, Kiểm Toán, Tài Chính, Phần mềm kế toán, Theo Dõi Công Nợ</t>
        </is>
      </c>
      <c r="M7127" t="inlineStr">
        <is>
          <t>Bonus, Healthcare Plan, Team Activities, Others</t>
        </is>
      </c>
      <c r="N7127" s="8">
        <f>HYPERLINK("https://www.vietnamworks.com/gap-ke-toan-tong-hop-general-accountant-thu-nhap-upto-17tr-thang-2018198-jv","Xem chi tiết")</f>
        <v/>
      </c>
    </row>
    <row r="7128">
      <c r="B7128" s="9" t="n">
        <v>7126</v>
      </c>
      <c r="C7128" s="10" t="inlineStr">
        <is>
          <t>Trưởng Phòng Tài Chính Kế Toán</t>
        </is>
      </c>
      <c r="D7128" s="10" t="inlineStr">
        <is>
          <t>Công Ty TNHH X.E Việt Nam</t>
        </is>
      </c>
      <c r="E7128" s="10" t="inlineStr">
        <is>
          <t>40tr-50tr ₫/tháng</t>
        </is>
      </c>
      <c r="F7128" s="10" t="inlineStr">
        <is>
          <t>Hà Nội</t>
        </is>
      </c>
      <c r="G7128" s="10" t="inlineStr">
        <is>
          <t>Trưởng phòng</t>
        </is>
      </c>
      <c r="H7128" s="10" t="inlineStr">
        <is>
          <t>04/03/2026</t>
        </is>
      </c>
      <c r="I7128" s="10" t="inlineStr">
        <is>
          <t>03/04/2026</t>
        </is>
      </c>
      <c r="J7128" s="10" t="inlineStr">
        <is>
          <t>17/03/2026</t>
        </is>
      </c>
      <c r="K7128" s="10" t="inlineStr">
        <is>
          <t>N/A</t>
        </is>
      </c>
      <c r="L7128" s="10" t="inlineStr">
        <is>
          <t>Tài Chính Kế Toán, Quản Lý Tài Chính, Báo Cáo Tài Chính, Kiểm Toán Nội Bộ, Quản Trị Rủi Ro</t>
        </is>
      </c>
      <c r="M7128" s="10" t="inlineStr">
        <is>
          <t>Healthcare Plan, Awards, Laptop, Team Activities, Others</t>
        </is>
      </c>
      <c r="N7128" s="11">
        <f>HYPERLINK("https://www.vietnamworks.com/truong-phong-tai-chinh-ke-toan-2018206-jv","Xem chi tiết")</f>
        <v/>
      </c>
      <c r="O7128" s="10" t="n"/>
    </row>
    <row r="7129">
      <c r="B7129" s="7" t="n">
        <v>7127</v>
      </c>
      <c r="C7129" t="inlineStr">
        <is>
          <t>Giám Đốc Tư Vấn Pháp Lý Đầu Tư Nước Ngoài - HO - 4H104</t>
        </is>
      </c>
      <c r="D7129" t="inlineStr">
        <is>
          <t>Tập đoàn ROX (ROX Group)</t>
        </is>
      </c>
      <c r="E7129" t="inlineStr">
        <is>
          <t>Thương lượng</t>
        </is>
      </c>
      <c r="F7129" t="inlineStr">
        <is>
          <t>Hà Nội</t>
        </is>
      </c>
      <c r="G7129" t="inlineStr">
        <is>
          <t>Giám Đốc và Cấp Cao Hơn</t>
        </is>
      </c>
      <c r="H7129" t="inlineStr">
        <is>
          <t>04/03/2026</t>
        </is>
      </c>
      <c r="I7129" t="inlineStr">
        <is>
          <t>03/04/2026</t>
        </is>
      </c>
      <c r="J7129" t="inlineStr">
        <is>
          <t>17/03/2026</t>
        </is>
      </c>
      <c r="K7129" t="inlineStr">
        <is>
          <t>N/A</t>
        </is>
      </c>
      <c r="L7129" t="inlineStr">
        <is>
          <t>Giao Tiếp, Luật, Ngoại ngữ, Tin Học Nâng Cao, Tư Vấn Pháp Lý</t>
        </is>
      </c>
      <c r="M7129" t="inlineStr">
        <is>
          <t>Bonus, Healthcare Plan, Paid Leave, Training, Laptop, Travel Opportunities, Others</t>
        </is>
      </c>
      <c r="N7129" s="8">
        <f>HYPERLINK("https://www.vietnamworks.com/giam-djoc-tu-van-phap-ly-djau-tu-nuoc-ngoai-ho-4h104-2018197-jv","Xem chi tiết")</f>
        <v/>
      </c>
    </row>
    <row r="7130">
      <c r="B7130" s="9" t="n">
        <v>7128</v>
      </c>
      <c r="C7130" s="10" t="inlineStr">
        <is>
          <t>Nhân Viên Bán Hàng</t>
        </is>
      </c>
      <c r="D7130" s="10" t="inlineStr">
        <is>
          <t>CÔNG TY TNHH THƯƠNG MẠI VÀ XÂY DỰNG ANT VIỆT NAM</t>
        </is>
      </c>
      <c r="E7130" s="10" t="inlineStr">
        <is>
          <t>Từ 8tr ₫/tháng</t>
        </is>
      </c>
      <c r="F7130" s="10" t="inlineStr">
        <is>
          <t>Hà Nội</t>
        </is>
      </c>
      <c r="G7130" s="10" t="inlineStr">
        <is>
          <t>Mới Tốt Nghiệp</t>
        </is>
      </c>
      <c r="H7130" s="10" t="inlineStr">
        <is>
          <t>04/03/2026</t>
        </is>
      </c>
      <c r="I7130" s="10" t="inlineStr">
        <is>
          <t>03/04/2026</t>
        </is>
      </c>
      <c r="J7130" s="10" t="inlineStr">
        <is>
          <t>17/03/2026</t>
        </is>
      </c>
      <c r="K7130" s="10" t="inlineStr">
        <is>
          <t>N/A</t>
        </is>
      </c>
      <c r="L7130" s="10" t="inlineStr">
        <is>
          <t>Giao Tiếp, Thuyết Phục Bán Hàng, Bán Hàng, năng động, Tư Vấn Sản Phẩm</t>
        </is>
      </c>
      <c r="M7130" s="10" t="inlineStr">
        <is>
          <t>Healthcare Plan, Training, Others</t>
        </is>
      </c>
      <c r="N7130" s="11">
        <f>HYPERLINK("https://www.vietnamworks.com/nhan-vien-ban-hang-2018221-jv","Xem chi tiết")</f>
        <v/>
      </c>
      <c r="O7130" s="10" t="n"/>
    </row>
    <row r="7131">
      <c r="B7131" s="7" t="n">
        <v>7129</v>
      </c>
      <c r="C7131" t="inlineStr">
        <is>
          <t>Giám Đốc Vận Hành</t>
        </is>
      </c>
      <c r="D7131" t="inlineStr">
        <is>
          <t>CÔNG TY CỔ PHẦN TẬP ĐOÀN Y KHOA SÀI GÒN</t>
        </is>
      </c>
      <c r="E7131" t="inlineStr">
        <is>
          <t>Thương lượng</t>
        </is>
      </c>
      <c r="F7131" t="inlineStr">
        <is>
          <t>Quảng Ninh</t>
        </is>
      </c>
      <c r="G7131" t="inlineStr">
        <is>
          <t>Giám Đốc và Cấp Cao Hơn</t>
        </is>
      </c>
      <c r="H7131" t="inlineStr">
        <is>
          <t>04/03/2026</t>
        </is>
      </c>
      <c r="I7131" t="inlineStr">
        <is>
          <t>03/04/2026</t>
        </is>
      </c>
      <c r="J7131" t="inlineStr">
        <is>
          <t>17/03/2026</t>
        </is>
      </c>
      <c r="K7131" t="inlineStr">
        <is>
          <t>N/A</t>
        </is>
      </c>
      <c r="L7131" t="inlineStr">
        <is>
          <t>Quản Lý Vận Hành, Phát Triển Kinh Doanh, Phát Triển Khách Hàng, Quản Lý Tài Chính, Chăm Sóc Khách Hàng</t>
        </is>
      </c>
      <c r="M7131" t="inlineStr">
        <is>
          <t>Bonus, Healthcare Plan</t>
        </is>
      </c>
      <c r="N7131" s="8">
        <f>HYPERLINK("https://www.vietnamworks.com/giam-doc-van-hanh--2018228-jv","Xem chi tiết")</f>
        <v/>
      </c>
    </row>
    <row r="7132">
      <c r="B7132" s="9" t="n">
        <v>7130</v>
      </c>
      <c r="C7132" s="10" t="inlineStr">
        <is>
          <t>Vice Director</t>
        </is>
      </c>
      <c r="D7132" s="10" t="inlineStr">
        <is>
          <t>The Vigo</t>
        </is>
      </c>
      <c r="E7132" s="10" t="inlineStr">
        <is>
          <t>$$ 2,500-4,000 /tháng</t>
        </is>
      </c>
      <c r="F7132" s="10" t="inlineStr">
        <is>
          <t>Hà Nội</t>
        </is>
      </c>
      <c r="G7132" s="10" t="inlineStr">
        <is>
          <t>Giám Đốc và Cấp Cao Hơn</t>
        </is>
      </c>
      <c r="H7132" s="10" t="inlineStr">
        <is>
          <t>04/03/2026</t>
        </is>
      </c>
      <c r="I7132" s="10" t="inlineStr">
        <is>
          <t>03/04/2026</t>
        </is>
      </c>
      <c r="J7132" s="10" t="inlineStr">
        <is>
          <t>17/03/2026</t>
        </is>
      </c>
      <c r="K7132" s="10" t="inlineStr">
        <is>
          <t>N/A</t>
        </is>
      </c>
      <c r="L7132" s="10" t="inlineStr">
        <is>
          <t>Phát Triển Kinh Doanh, Quản Lý Kinh Doanh, Dermatology, Cosmetic</t>
        </is>
      </c>
      <c r="M7132" s="10" t="inlineStr">
        <is>
          <t>Bonus, Training, Team Activities</t>
        </is>
      </c>
      <c r="N7132" s="11">
        <f>HYPERLINK("https://www.vietnamworks.com/vice-director--2018219-jv","Xem chi tiết")</f>
        <v/>
      </c>
      <c r="O7132" s="10" t="n"/>
    </row>
    <row r="7133">
      <c r="B7133" s="7" t="n">
        <v>7131</v>
      </c>
      <c r="C7133" t="inlineStr">
        <is>
          <t>Customer Service Officer - Female Preferred</t>
        </is>
      </c>
      <c r="D7133" t="inlineStr">
        <is>
          <t>Công Ty TNHH A-Sung International VINA</t>
        </is>
      </c>
      <c r="E7133" t="inlineStr">
        <is>
          <t>$$ 15tr-25tr /tháng</t>
        </is>
      </c>
      <c r="F7133" t="inlineStr">
        <is>
          <t>Hà Nội</t>
        </is>
      </c>
      <c r="G7133" t="inlineStr">
        <is>
          <t>Nhân viên</t>
        </is>
      </c>
      <c r="H7133" t="inlineStr">
        <is>
          <t>04/03/2026</t>
        </is>
      </c>
      <c r="I7133" t="inlineStr">
        <is>
          <t>03/04/2026</t>
        </is>
      </c>
      <c r="J7133" t="inlineStr">
        <is>
          <t>17/03/2026</t>
        </is>
      </c>
      <c r="K7133" t="inlineStr">
        <is>
          <t>N/A</t>
        </is>
      </c>
      <c r="L7133" t="inlineStr">
        <is>
          <t>communication, Customer Support, Electronic, SAP, Trading Platforms</t>
        </is>
      </c>
      <c r="M7133" t="inlineStr">
        <is>
          <t>Bonus, Healthcare Plan, Paid Leave, Training, Awards, Team Activities, Others</t>
        </is>
      </c>
      <c r="N7133" s="8">
        <f>HYPERLINK("https://www.vietnamworks.com/customer-service-officer-female-preferred-2018226-jv","Xem chi tiết")</f>
        <v/>
      </c>
    </row>
    <row r="7134">
      <c r="B7134" s="9" t="n">
        <v>7132</v>
      </c>
      <c r="C7134" s="10" t="inlineStr">
        <is>
          <t>CSR Manager/junior (Garment Industry)</t>
        </is>
      </c>
      <c r="D7134" s="10" t="inlineStr">
        <is>
          <t>Tp Inc. - Hanoi Business Center</t>
        </is>
      </c>
      <c r="E7134" s="10" t="inlineStr">
        <is>
          <t>Thương lượng</t>
        </is>
      </c>
      <c r="F7134" s="10" t="inlineStr">
        <is>
          <t>Hà Nội</t>
        </is>
      </c>
      <c r="G7134" s="10" t="inlineStr">
        <is>
          <t>Nhân viên</t>
        </is>
      </c>
      <c r="H7134" s="10" t="inlineStr">
        <is>
          <t>04/03/2026</t>
        </is>
      </c>
      <c r="I7134" s="10" t="inlineStr">
        <is>
          <t>03/04/2026</t>
        </is>
      </c>
      <c r="J7134" s="10" t="inlineStr">
        <is>
          <t>17/03/2026</t>
        </is>
      </c>
      <c r="K7134" s="10" t="inlineStr">
        <is>
          <t>N/A</t>
        </is>
      </c>
      <c r="L7134" s="10" t="inlineStr">
        <is>
          <t>Garment Textile, CSR Audit, Compliance Assessment, Compliance, Compliance Management</t>
        </is>
      </c>
      <c r="M7134" s="10" t="inlineStr">
        <is>
          <t>Bonus, Training, Team Activities</t>
        </is>
      </c>
      <c r="N7134" s="11">
        <f>HYPERLINK("https://www.vietnamworks.com/csr-manager-junior-garment-industry-2018216-jv","Xem chi tiết")</f>
        <v/>
      </c>
      <c r="O7134" s="10" t="n"/>
    </row>
    <row r="7135">
      <c r="B7135" s="7" t="n">
        <v>7133</v>
      </c>
      <c r="C7135" t="inlineStr">
        <is>
          <t>Nhân Viên Kinh Doanh</t>
        </is>
      </c>
      <c r="D7135" t="inlineStr">
        <is>
          <t>CÔNG TY CỔ PHẦN ĐẦU TƯ DƯỢC PHẨM SUM</t>
        </is>
      </c>
      <c r="E7135" t="inlineStr">
        <is>
          <t>8tr-12tr ₫/tháng</t>
        </is>
      </c>
      <c r="F7135" t="inlineStr">
        <is>
          <t>Hà Nội</t>
        </is>
      </c>
      <c r="G7135" t="inlineStr">
        <is>
          <t>Nhân viên</t>
        </is>
      </c>
      <c r="H7135" t="inlineStr">
        <is>
          <t>04/03/2026</t>
        </is>
      </c>
      <c r="I7135" t="inlineStr">
        <is>
          <t>03/04/2026</t>
        </is>
      </c>
      <c r="J7135" t="inlineStr">
        <is>
          <t>17/03/2026</t>
        </is>
      </c>
      <c r="K7135" t="inlineStr">
        <is>
          <t>N/A</t>
        </is>
      </c>
      <c r="L7135" t="inlineStr">
        <is>
          <t>Marketing Development, B2B Sales, Kế Hoạch Kinh Doanh, Phân Phối Dược Phẩm, Tìm Kiếm Khách Hàng</t>
        </is>
      </c>
      <c r="M7135" t="inlineStr">
        <is>
          <t>Bonus, Healthcare Plan, Paid Leave, Training, Others</t>
        </is>
      </c>
      <c r="N7135" s="8">
        <f>HYPERLINK("https://www.vietnamworks.com/nhan-vien-kinh-doanh-2018213-jv","Xem chi tiết")</f>
        <v/>
      </c>
    </row>
    <row r="7136">
      <c r="B7136" s="9" t="n">
        <v>7134</v>
      </c>
      <c r="C7136" s="10" t="inlineStr">
        <is>
          <t>Kế Toán Bán Hàng/ Sales Accountant</t>
        </is>
      </c>
      <c r="D7136" s="10" t="inlineStr">
        <is>
          <t>Công Ty TNHH Thiết Kế Và Quảng Cáo Kim Nam</t>
        </is>
      </c>
      <c r="E7136" s="10" t="inlineStr">
        <is>
          <t>8tr-10tr ₫/tháng</t>
        </is>
      </c>
      <c r="F7136" s="10" t="inlineStr">
        <is>
          <t>Hồ Chí Minh</t>
        </is>
      </c>
      <c r="G7136" s="10" t="inlineStr">
        <is>
          <t>Mới Tốt Nghiệp</t>
        </is>
      </c>
      <c r="H7136" s="10" t="inlineStr">
        <is>
          <t>04/03/2026</t>
        </is>
      </c>
      <c r="I7136" s="10" t="inlineStr">
        <is>
          <t>03/04/2026</t>
        </is>
      </c>
      <c r="J7136" s="10" t="inlineStr">
        <is>
          <t>17/03/2026</t>
        </is>
      </c>
      <c r="K7136" s="10" t="inlineStr">
        <is>
          <t>N/A</t>
        </is>
      </c>
      <c r="L7136" s="10" t="inlineStr">
        <is>
          <t>Báo Cáo Số Liệu, Kế Toán Bán Hàng, Misa, Quản Lý Chứng Từ, Thiết Lập Báo Giá</t>
        </is>
      </c>
      <c r="M7136" s="10" t="inlineStr">
        <is>
          <t>Paid Leave</t>
        </is>
      </c>
      <c r="N7136" s="11">
        <f>HYPERLINK("https://www.vietnamworks.com/ke-toan-ban-hang-sales-accountant--2018222-jv","Xem chi tiết")</f>
        <v/>
      </c>
      <c r="O7136" s="10" t="n"/>
    </row>
    <row r="7137">
      <c r="B7137" s="7" t="n">
        <v>7135</v>
      </c>
      <c r="C7137" t="inlineStr">
        <is>
          <t>Senior Commercial Management Accountant Specialist</t>
        </is>
      </c>
      <c r="D7137" t="inlineStr">
        <is>
          <t>Công Ty Cổ Phần Sữa Việt Nam (Vinamilk)</t>
        </is>
      </c>
      <c r="E7137" t="inlineStr">
        <is>
          <t>Thương lượng</t>
        </is>
      </c>
      <c r="F7137" t="inlineStr">
        <is>
          <t>Hồ Chí Minh</t>
        </is>
      </c>
      <c r="G7137" t="inlineStr">
        <is>
          <t>Nhân viên</t>
        </is>
      </c>
      <c r="H7137" t="inlineStr">
        <is>
          <t>04/03/2026</t>
        </is>
      </c>
      <c r="I7137" t="inlineStr">
        <is>
          <t>03/04/2026</t>
        </is>
      </c>
      <c r="J7137" t="inlineStr">
        <is>
          <t>17/03/2026</t>
        </is>
      </c>
      <c r="K7137" t="inlineStr">
        <is>
          <t>N/A</t>
        </is>
      </c>
      <c r="L7137" t="inlineStr">
        <is>
          <t>Finance Planning, Financial Auditing, Finance &amp; Accounting</t>
        </is>
      </c>
      <c r="M7137" t="inlineStr">
        <is>
          <t>Bonus, Healthcare Plan, Training</t>
        </is>
      </c>
      <c r="N7137" s="8">
        <f>HYPERLINK("https://www.vietnamworks.com/senior-commercial-management-accountant-specialist-2018232-jv","Xem chi tiết")</f>
        <v/>
      </c>
    </row>
    <row r="7138">
      <c r="B7138" s="9" t="n">
        <v>7136</v>
      </c>
      <c r="C7138" s="10" t="inlineStr">
        <is>
          <t>Chuyên Viên Dịch Vụ Khách Hàng</t>
        </is>
      </c>
      <c r="D7138" s="10" t="inlineStr">
        <is>
          <t>Công Ty Cổ Phần Quản Lý Quỹ Đầu Tư Chứng Khoán An Bình</t>
        </is>
      </c>
      <c r="E7138" s="10" t="inlineStr">
        <is>
          <t>Thương lượng</t>
        </is>
      </c>
      <c r="F7138" s="10" t="inlineStr">
        <is>
          <t>Hà Nội</t>
        </is>
      </c>
      <c r="G7138" s="10" t="inlineStr">
        <is>
          <t>Nhân viên</t>
        </is>
      </c>
      <c r="H7138" s="10" t="inlineStr">
        <is>
          <t>04/03/2026</t>
        </is>
      </c>
      <c r="I7138" s="10" t="inlineStr">
        <is>
          <t>03/04/2026</t>
        </is>
      </c>
      <c r="J7138" s="10" t="inlineStr">
        <is>
          <t>17/03/2026</t>
        </is>
      </c>
      <c r="K7138" s="10" t="inlineStr">
        <is>
          <t>N/A</t>
        </is>
      </c>
      <c r="L7138" s="10" t="inlineStr">
        <is>
          <t>Dịch Vụ Khách Hàng, Customer Support, Chăm Sóc Khách Hàng, Lập Hồ Sơ Thanh Toán, English</t>
        </is>
      </c>
      <c r="M7138" s="10" t="inlineStr">
        <is>
          <t>Bonus, Awards, Canteen</t>
        </is>
      </c>
      <c r="N7138" s="11">
        <f>HYPERLINK("https://www.vietnamworks.com/chuyen-vien-dich-vu-khach-hang--2018233-jv","Xem chi tiết")</f>
        <v/>
      </c>
      <c r="O7138" s="10" t="n"/>
    </row>
    <row r="7139">
      <c r="B7139" s="7" t="n">
        <v>7137</v>
      </c>
      <c r="C7139" t="inlineStr">
        <is>
          <t>Nhân Viên Mua Hàng</t>
        </is>
      </c>
      <c r="D7139" t="inlineStr">
        <is>
          <t>Công Ty TNHH Vinatech Vina</t>
        </is>
      </c>
      <c r="E7139" t="inlineStr">
        <is>
          <t>$$ 700-1,500 /tháng</t>
        </is>
      </c>
      <c r="F7139" t="inlineStr">
        <is>
          <t>Bắc Ninh</t>
        </is>
      </c>
      <c r="G7139" t="inlineStr">
        <is>
          <t>Nhân viên</t>
        </is>
      </c>
      <c r="H7139" t="inlineStr">
        <is>
          <t>04/03/2026</t>
        </is>
      </c>
      <c r="I7139" t="inlineStr">
        <is>
          <t>03/04/2026</t>
        </is>
      </c>
      <c r="J7139" t="inlineStr">
        <is>
          <t>17/03/2026</t>
        </is>
      </c>
      <c r="K7139" t="inlineStr">
        <is>
          <t>N/A</t>
        </is>
      </c>
      <c r="L7139" t="inlineStr">
        <is>
          <t>Thu Mua, Mua Hàng, Purchase Management, Tiếng Anh, Xuất Nhập Khẩu</t>
        </is>
      </c>
      <c r="M7139" t="inlineStr">
        <is>
          <t>Bonus, Healthcare Plan, Training</t>
        </is>
      </c>
      <c r="N7139" s="8">
        <f>HYPERLINK("https://www.vietnamworks.com/nhan-vien-mua-hang--2018235-jv","Xem chi tiết")</f>
        <v/>
      </c>
    </row>
    <row r="7140">
      <c r="B7140" s="9" t="n">
        <v>7138</v>
      </c>
      <c r="C7140" s="10" t="inlineStr">
        <is>
          <t>Kế Toán Tổng Hợp</t>
        </is>
      </c>
      <c r="D7140" s="10" t="inlineStr">
        <is>
          <t>Công Ty Cổ Phần Phương Tiện Điện Thông Minh Selex</t>
        </is>
      </c>
      <c r="E7140" s="10" t="inlineStr">
        <is>
          <t>$$ 800-1,000 /tháng</t>
        </is>
      </c>
      <c r="F7140" s="10" t="inlineStr">
        <is>
          <t>Hà Nội</t>
        </is>
      </c>
      <c r="G7140" s="10" t="inlineStr">
        <is>
          <t>Nhân viên</t>
        </is>
      </c>
      <c r="H7140" s="10" t="inlineStr">
        <is>
          <t>04/03/2026</t>
        </is>
      </c>
      <c r="I7140" s="10" t="inlineStr">
        <is>
          <t>03/04/2026</t>
        </is>
      </c>
      <c r="J7140" s="10" t="inlineStr">
        <is>
          <t>17/03/2026</t>
        </is>
      </c>
      <c r="K7140" s="10" t="inlineStr">
        <is>
          <t>N/A</t>
        </is>
      </c>
      <c r="L7140" s="10" t="inlineStr">
        <is>
          <t>Tài Chính, Kiểm Toán, Kế Toán Tổng Hợp, Kế Toán, Báo Cáo Tài Chính</t>
        </is>
      </c>
      <c r="M7140" s="10" t="inlineStr">
        <is>
          <t>Bonus, Awards, Others</t>
        </is>
      </c>
      <c r="N7140" s="11">
        <f>HYPERLINK("https://www.vietnamworks.com/ke-toan-tong-hop--2018230-jv","Xem chi tiết")</f>
        <v/>
      </c>
      <c r="O7140" s="10" t="n"/>
    </row>
    <row r="7141">
      <c r="B7141" s="7" t="n">
        <v>7139</v>
      </c>
      <c r="C7141" t="inlineStr">
        <is>
          <t>Senior Chemical Process Engineer</t>
        </is>
      </c>
      <c r="D7141" t="inlineStr">
        <is>
          <t>Coherent Vietnam</t>
        </is>
      </c>
      <c r="E7141" t="inlineStr">
        <is>
          <t>Thương lượng</t>
        </is>
      </c>
      <c r="F7141" t="inlineStr">
        <is>
          <t>Bình Dương</t>
        </is>
      </c>
      <c r="G7141" t="inlineStr">
        <is>
          <t>Nhân viên</t>
        </is>
      </c>
      <c r="H7141" t="inlineStr">
        <is>
          <t>04/03/2026</t>
        </is>
      </c>
      <c r="I7141" t="inlineStr">
        <is>
          <t>03/04/2026</t>
        </is>
      </c>
      <c r="J7141" t="inlineStr">
        <is>
          <t>17/03/2026</t>
        </is>
      </c>
      <c r="K7141" t="inlineStr">
        <is>
          <t>N/A</t>
        </is>
      </c>
      <c r="L7141" t="inlineStr">
        <is>
          <t>Engineering Chemical, English Communication, Physical Chemistry, Process Design, Six Sigma</t>
        </is>
      </c>
      <c r="M7141" t="inlineStr">
        <is>
          <t>Bonus, Healthcare Plan, Transportation, Others</t>
        </is>
      </c>
      <c r="N7141" s="8">
        <f>HYPERLINK("https://www.vietnamworks.com/senior-chemical-process-engineer-2018224-jv","Xem chi tiết")</f>
        <v/>
      </c>
    </row>
    <row r="7142">
      <c r="B7142" s="9" t="n">
        <v>7140</v>
      </c>
      <c r="C7142" s="10" t="inlineStr">
        <is>
          <t>Front End Developer</t>
        </is>
      </c>
      <c r="D7142" s="10" t="inlineStr">
        <is>
          <t>CMPartners</t>
        </is>
      </c>
      <c r="E7142" s="10" t="inlineStr">
        <is>
          <t>Thương lượng</t>
        </is>
      </c>
      <c r="F7142" s="10" t="inlineStr">
        <is>
          <t>Hồ Chí Minh</t>
        </is>
      </c>
      <c r="G7142" s="10" t="inlineStr">
        <is>
          <t>Nhân viên</t>
        </is>
      </c>
      <c r="H7142" s="10" t="inlineStr">
        <is>
          <t>04/03/2026</t>
        </is>
      </c>
      <c r="I7142" s="10" t="inlineStr">
        <is>
          <t>03/04/2026</t>
        </is>
      </c>
      <c r="J7142" s="10" t="inlineStr">
        <is>
          <t>17/03/2026</t>
        </is>
      </c>
      <c r="K7142" s="10" t="inlineStr">
        <is>
          <t>N/A</t>
        </is>
      </c>
      <c r="L7142" s="10" t="inlineStr">
        <is>
          <t>Devexpress, NextJs, React JS, Typescript, Azure B2C</t>
        </is>
      </c>
      <c r="M7142" s="10" t="inlineStr">
        <is>
          <t>Bonus, Paid Leave, Training, Travel Opportunities, Team Activities, Others</t>
        </is>
      </c>
      <c r="N7142" s="11">
        <f>HYPERLINK("https://www.vietnamworks.com/front-end-developer-2018231-jv","Xem chi tiết")</f>
        <v/>
      </c>
      <c r="O7142" s="10" t="n"/>
    </row>
    <row r="7143">
      <c r="B7143" s="7" t="n">
        <v>7141</v>
      </c>
      <c r="C7143" t="inlineStr">
        <is>
          <t>R&amp;D Manager (Noodle)</t>
        </is>
      </c>
      <c r="D7143" t="inlineStr">
        <is>
          <t>Công ty TNHH CJ Foods Việt Nam/ CJ Foods Vietnam Company Limited</t>
        </is>
      </c>
      <c r="E7143" t="inlineStr">
        <is>
          <t>Thương lượng</t>
        </is>
      </c>
      <c r="F7143" t="inlineStr">
        <is>
          <t>Tây Ninh</t>
        </is>
      </c>
      <c r="G7143" t="inlineStr">
        <is>
          <t>Trưởng phòng</t>
        </is>
      </c>
      <c r="H7143" t="inlineStr">
        <is>
          <t>04/03/2026</t>
        </is>
      </c>
      <c r="I7143" t="inlineStr">
        <is>
          <t>03/04/2026</t>
        </is>
      </c>
      <c r="J7143" t="inlineStr">
        <is>
          <t>17/03/2026</t>
        </is>
      </c>
      <c r="K7143" t="inlineStr">
        <is>
          <t>N/A</t>
        </is>
      </c>
      <c r="L7143" t="inlineStr">
        <is>
          <t>FMCG &amp; Manufacturing, Food Packaging, Packaging, Packaging Development, Paper Technology</t>
        </is>
      </c>
      <c r="M7143" t="inlineStr">
        <is>
          <t>Bonus, Awards, Laptop, Mobile, Transportation, Canteen</t>
        </is>
      </c>
      <c r="N7143" s="8">
        <f>HYPERLINK("https://www.vietnamworks.com/randd-manager-noodle-2018229-jv","Xem chi tiết")</f>
        <v/>
      </c>
    </row>
    <row r="7144">
      <c r="B7144" s="9" t="n">
        <v>7142</v>
      </c>
      <c r="C7144" s="10" t="inlineStr">
        <is>
          <t>Nhân Viên Kinh Doanh (Thu Nhập 250-300Tr/Năm + Thưởng Doanh Số)</t>
        </is>
      </c>
      <c r="D7144" s="10" t="inlineStr">
        <is>
          <t>Công Ty CP Đầu Tư Và Xuất Bản Giáo Dục</t>
        </is>
      </c>
      <c r="E7144" s="10" t="inlineStr">
        <is>
          <t>250tr-300tr ₫/năm</t>
        </is>
      </c>
      <c r="F7144" s="10" t="inlineStr">
        <is>
          <t>Hà Nội</t>
        </is>
      </c>
      <c r="G7144" s="10" t="inlineStr">
        <is>
          <t>Nhân viên</t>
        </is>
      </c>
      <c r="H7144" s="10" t="inlineStr">
        <is>
          <t>04/03/2026</t>
        </is>
      </c>
      <c r="I7144" s="10" t="inlineStr">
        <is>
          <t>03/04/2026</t>
        </is>
      </c>
      <c r="J7144" s="10" t="inlineStr">
        <is>
          <t>17/03/2026</t>
        </is>
      </c>
      <c r="K7144" s="10" t="inlineStr">
        <is>
          <t>N/A</t>
        </is>
      </c>
      <c r="L7144" s="10" t="inlineStr">
        <is>
          <t>Quản Trị Kinh Doanh, Kế Hoạch Kinh Doanh, Marketing, Quan Hệ Khách Hàng, Thu Hồi Công Nợ</t>
        </is>
      </c>
      <c r="M7144" s="10" t="inlineStr">
        <is>
          <t>Bonus</t>
        </is>
      </c>
      <c r="N7144" s="11">
        <f>HYPERLINK("https://www.vietnamworks.com/nhan-vien-kinh-doanh-thu-nhap-250-300trnam-thuong-doanh-so-2018234-jv","Xem chi tiết")</f>
        <v/>
      </c>
      <c r="O7144" s="10" t="n"/>
    </row>
    <row r="7145">
      <c r="B7145" s="7" t="n">
        <v>7143</v>
      </c>
      <c r="C7145" t="inlineStr">
        <is>
          <t>[Bình Dương] HR Leader</t>
        </is>
      </c>
      <c r="D7145" t="inlineStr">
        <is>
          <t>Công Ty TNHH Aeon Việt Nam</t>
        </is>
      </c>
      <c r="E7145" t="inlineStr">
        <is>
          <t>Thương lượng</t>
        </is>
      </c>
      <c r="F7145" t="inlineStr">
        <is>
          <t>Hồ Chí Minh</t>
        </is>
      </c>
      <c r="G7145" t="inlineStr">
        <is>
          <t>Trưởng phòng</t>
        </is>
      </c>
      <c r="H7145" t="inlineStr">
        <is>
          <t>04/03/2026</t>
        </is>
      </c>
      <c r="I7145" t="inlineStr">
        <is>
          <t>03/04/2026</t>
        </is>
      </c>
      <c r="J7145" t="inlineStr">
        <is>
          <t>17/03/2026</t>
        </is>
      </c>
      <c r="K7145" t="inlineStr">
        <is>
          <t>N/A</t>
        </is>
      </c>
      <c r="L7145" t="inlineStr">
        <is>
          <t>Nhân Sự Tổng Hợp, Tuyển Dụng Nhân Sự, Nhân sự C&amp;B, Đào Tạo và Phát Triển, Quan Hệ Lao Động</t>
        </is>
      </c>
      <c r="M7145" t="inlineStr">
        <is>
          <t>Bonus, Healthcare Plan, Training</t>
        </is>
      </c>
      <c r="N7145" s="8">
        <f>HYPERLINK("https://www.vietnamworks.com/binh-duong-hr-leader-2018227-jv","Xem chi tiết")</f>
        <v/>
      </c>
    </row>
    <row r="7146">
      <c r="B7146" s="9" t="n">
        <v>7144</v>
      </c>
      <c r="C7146" s="10" t="inlineStr">
        <is>
          <t>Adhesive &amp; Tape - Sales (Salary $700~$1300)</t>
        </is>
      </c>
      <c r="D7146" s="10" t="inlineStr">
        <is>
          <t>Công Ty TNHH A-Sung International VINA</t>
        </is>
      </c>
      <c r="E7146" s="10" t="inlineStr">
        <is>
          <t>Thương lượng</t>
        </is>
      </c>
      <c r="F7146" s="10" t="inlineStr">
        <is>
          <t>Hà Nội</t>
        </is>
      </c>
      <c r="G7146" s="10" t="inlineStr">
        <is>
          <t>Nhân viên</t>
        </is>
      </c>
      <c r="H7146" s="10" t="inlineStr">
        <is>
          <t>04/03/2026</t>
        </is>
      </c>
      <c r="I7146" s="10" t="inlineStr">
        <is>
          <t>03/04/2026</t>
        </is>
      </c>
      <c r="J7146" s="10" t="inlineStr">
        <is>
          <t>17/03/2026</t>
        </is>
      </c>
      <c r="K7146" s="10" t="inlineStr">
        <is>
          <t>N/A</t>
        </is>
      </c>
      <c r="L7146" s="10" t="inlineStr">
        <is>
          <t>English, Chinese, Sales, communication, Customer Support</t>
        </is>
      </c>
      <c r="M7146" s="10" t="inlineStr">
        <is>
          <t>Healthcare Plan, Awards, Team Activities</t>
        </is>
      </c>
      <c r="N7146" s="11">
        <f>HYPERLINK("https://www.vietnamworks.com/adhesive-tape-sales-salary-700-1300--2018220-jv","Xem chi tiết")</f>
        <v/>
      </c>
      <c r="O7146" s="10" t="n"/>
    </row>
    <row r="7147">
      <c r="B7147" s="7" t="n">
        <v>7145</v>
      </c>
      <c r="C7147" t="inlineStr">
        <is>
          <t>Trưởng Phòng Logistics</t>
        </is>
      </c>
      <c r="D7147" t="inlineStr">
        <is>
          <t>Trần Hồng Quân Holdings</t>
        </is>
      </c>
      <c r="E7147" t="inlineStr">
        <is>
          <t>Thương lượng</t>
        </is>
      </c>
      <c r="F7147" t="inlineStr">
        <is>
          <t>Lâm Đồng</t>
        </is>
      </c>
      <c r="G7147" t="inlineStr">
        <is>
          <t>Trưởng phòng</t>
        </is>
      </c>
      <c r="H7147" t="inlineStr">
        <is>
          <t>04/03/2026</t>
        </is>
      </c>
      <c r="I7147" t="inlineStr">
        <is>
          <t>03/04/2026</t>
        </is>
      </c>
      <c r="J7147" t="inlineStr">
        <is>
          <t>17/03/2026</t>
        </is>
      </c>
      <c r="K7147" t="inlineStr">
        <is>
          <t>N/A</t>
        </is>
      </c>
      <c r="L7147" t="inlineStr">
        <is>
          <t>Data Analysis, English Communication, Logistics Management, Supply Chain Management, Team Management</t>
        </is>
      </c>
      <c r="M7147" t="inlineStr">
        <is>
          <t>Bonus, Healthcare Plan, Paid Leave, Laptop, Team Activities, Canteen, Others</t>
        </is>
      </c>
      <c r="N7147" s="8">
        <f>HYPERLINK("https://www.vietnamworks.com/truong-phong-logistics-2018214-jv","Xem chi tiết")</f>
        <v/>
      </c>
    </row>
    <row r="7148">
      <c r="B7148" s="9" t="n">
        <v>7146</v>
      </c>
      <c r="C7148" s="10" t="inlineStr">
        <is>
          <t>Technical Services Engineer (Automotive Oil)</t>
        </is>
      </c>
      <c r="D7148" s="10" t="inlineStr">
        <is>
          <t>TotalEnergies Việt Nam</t>
        </is>
      </c>
      <c r="E7148" s="10" t="inlineStr">
        <is>
          <t>Thương lượng</t>
        </is>
      </c>
      <c r="F7148" s="10" t="inlineStr">
        <is>
          <t>Hồ Chí Minh</t>
        </is>
      </c>
      <c r="G7148" s="10" t="inlineStr">
        <is>
          <t>Nhân viên</t>
        </is>
      </c>
      <c r="H7148" s="10" t="inlineStr">
        <is>
          <t>04/03/2026</t>
        </is>
      </c>
      <c r="I7148" s="10" t="inlineStr">
        <is>
          <t>03/04/2026</t>
        </is>
      </c>
      <c r="J7148" s="10" t="inlineStr">
        <is>
          <t>17/03/2026</t>
        </is>
      </c>
      <c r="K7148" s="10" t="inlineStr">
        <is>
          <t>N/A</t>
        </is>
      </c>
      <c r="L7148" s="10" t="inlineStr">
        <is>
          <t>Technical Service, Field Services, Service Sales, Manufacturing Engineering, Automotive Sales</t>
        </is>
      </c>
      <c r="M7148" s="10" t="inlineStr">
        <is>
          <t>Bonus, Paid Leave, Training</t>
        </is>
      </c>
      <c r="N7148" s="11">
        <f>HYPERLINK("https://www.vietnamworks.com/technical-services-engineer-automotive-oil-2018218-jv","Xem chi tiết")</f>
        <v/>
      </c>
      <c r="O7148" s="10" t="n"/>
    </row>
    <row r="7149">
      <c r="B7149" s="7" t="n">
        <v>7147</v>
      </c>
      <c r="C7149" t="inlineStr">
        <is>
          <t>Quản Lý Kho Vận</t>
        </is>
      </c>
      <c r="D7149" t="inlineStr">
        <is>
          <t>Tập Đoàn Thiên Long - Thien Long Corporation</t>
        </is>
      </c>
      <c r="E7149" t="inlineStr">
        <is>
          <t>$$ 1,000-1,100 /tháng</t>
        </is>
      </c>
      <c r="F7149" t="inlineStr">
        <is>
          <t>Hồ Chí Minh</t>
        </is>
      </c>
      <c r="G7149" t="inlineStr">
        <is>
          <t>Nhân viên</t>
        </is>
      </c>
      <c r="H7149" t="inlineStr">
        <is>
          <t>04/03/2026</t>
        </is>
      </c>
      <c r="I7149" t="inlineStr">
        <is>
          <t>03/04/2026</t>
        </is>
      </c>
      <c r="J7149" t="inlineStr">
        <is>
          <t>17/03/2026</t>
        </is>
      </c>
      <c r="K7149" t="inlineStr">
        <is>
          <t>N/A</t>
        </is>
      </c>
      <c r="L7149" t="inlineStr">
        <is>
          <t>Logistic, Warehouse Management, Quản Lý Vận Hành Kho, Quản Lý Kho, Procurement &amp; Inventory Control</t>
        </is>
      </c>
      <c r="M7149" t="inlineStr">
        <is>
          <t>Bonus, Paid Leave, Training</t>
        </is>
      </c>
      <c r="N7149" s="8">
        <f>HYPERLINK("https://www.vietnamworks.com/quan-ly-kho-van--2018215-jv","Xem chi tiết")</f>
        <v/>
      </c>
    </row>
    <row r="7150">
      <c r="B7150" s="9" t="n">
        <v>7148</v>
      </c>
      <c r="C7150" s="10" t="inlineStr">
        <is>
          <t>Order Control (OC)</t>
        </is>
      </c>
      <c r="D7150" s="10" t="inlineStr">
        <is>
          <t>Công Ty Sae-A Vina</t>
        </is>
      </c>
      <c r="E7150" s="10" t="inlineStr">
        <is>
          <t>Thương lượng</t>
        </is>
      </c>
      <c r="F7150" s="10" t="inlineStr">
        <is>
          <t>Hà Nội</t>
        </is>
      </c>
      <c r="G7150" s="10" t="inlineStr">
        <is>
          <t>Nhân viên</t>
        </is>
      </c>
      <c r="H7150" s="10" t="inlineStr">
        <is>
          <t>04/03/2026</t>
        </is>
      </c>
      <c r="I7150" s="10" t="inlineStr">
        <is>
          <t>03/04/2026</t>
        </is>
      </c>
      <c r="J7150" s="10" t="inlineStr">
        <is>
          <t>17/03/2026</t>
        </is>
      </c>
      <c r="K7150" s="10" t="inlineStr">
        <is>
          <t>N/A</t>
        </is>
      </c>
      <c r="L7150" s="10" t="inlineStr">
        <is>
          <t>Fabric Production, Garment, Garment Production, Order Management, Production Process</t>
        </is>
      </c>
      <c r="M7150" s="10" t="inlineStr">
        <is>
          <t>Bonus, Healthcare Plan, Others</t>
        </is>
      </c>
      <c r="N7150" s="11">
        <f>HYPERLINK("https://www.vietnamworks.com/order-control-oc-2018269-jv","Xem chi tiết")</f>
        <v/>
      </c>
      <c r="O7150" s="10" t="n"/>
    </row>
    <row r="7151">
      <c r="B7151" s="7" t="n">
        <v>7149</v>
      </c>
      <c r="C7151" t="inlineStr">
        <is>
          <t>Sourcing Specialist - Fluent in Spoken Chinese (English is A Plus)</t>
        </is>
      </c>
      <c r="D7151" t="inlineStr">
        <is>
          <t>VĂN PHÒNG ĐẠI ĐIỆN CÔNG TY TNHH TƯ VẤN THÔNG TIN DOANH NGHIỆP DIPINSHI ( THƯỢNG HẢI) TẠI HẢI DƯƠNG</t>
        </is>
      </c>
      <c r="E7151" t="inlineStr">
        <is>
          <t>Thương lượng</t>
        </is>
      </c>
      <c r="F7151" t="inlineStr">
        <is>
          <t>Hồ Chí Minh</t>
        </is>
      </c>
      <c r="G7151" t="inlineStr">
        <is>
          <t>Nhân viên</t>
        </is>
      </c>
      <c r="H7151" t="inlineStr">
        <is>
          <t>04/03/2026</t>
        </is>
      </c>
      <c r="I7151" t="inlineStr">
        <is>
          <t>03/04/2026</t>
        </is>
      </c>
      <c r="J7151" t="inlineStr">
        <is>
          <t>17/03/2026</t>
        </is>
      </c>
      <c r="K7151" t="inlineStr">
        <is>
          <t>N/A</t>
        </is>
      </c>
      <c r="L7151" t="inlineStr">
        <is>
          <t>Sourcing Management, Vendor Management, Cost Analysis, Product Development, Category Management</t>
        </is>
      </c>
      <c r="M7151" t="inlineStr">
        <is>
          <t>Mobile, Travel Opportunities, Transportation</t>
        </is>
      </c>
      <c r="N7151" s="8">
        <f>HYPERLINK("https://www.vietnamworks.com/sourcing-specialist-fluent-in-spoken-chinese-english-is-a-plus-2018270-jv","Xem chi tiết")</f>
        <v/>
      </c>
    </row>
    <row r="7152">
      <c r="B7152" s="9" t="n">
        <v>7150</v>
      </c>
      <c r="C7152" s="10" t="inlineStr">
        <is>
          <t>IP Practice – Enforcement Team/ Nhân Viên Sở Hữu Trí Tuệ - Mảng Xử Lý Xâm Phạm</t>
        </is>
      </c>
      <c r="D7152" s="10" t="inlineStr">
        <is>
          <t>Vision &amp; Associates</t>
        </is>
      </c>
      <c r="E7152" s="10" t="inlineStr">
        <is>
          <t>15tr-20tr ₫/tháng</t>
        </is>
      </c>
      <c r="F7152" s="10" t="inlineStr">
        <is>
          <t>Hà Nội</t>
        </is>
      </c>
      <c r="G7152" s="10" t="inlineStr">
        <is>
          <t>Nhân viên</t>
        </is>
      </c>
      <c r="H7152" s="10" t="inlineStr">
        <is>
          <t>04/03/2026</t>
        </is>
      </c>
      <c r="I7152" s="10" t="inlineStr">
        <is>
          <t>03/04/2026</t>
        </is>
      </c>
      <c r="J7152" s="10" t="inlineStr">
        <is>
          <t>17/03/2026</t>
        </is>
      </c>
      <c r="K7152" s="10" t="inlineStr">
        <is>
          <t>N/A</t>
        </is>
      </c>
      <c r="L7152" s="10" t="inlineStr">
        <is>
          <t>Legal Consulting, Analytical Skills, Contract Enforcement, Intellectual Property Protection, Luật Sở Hữu Trí Tuệ</t>
        </is>
      </c>
      <c r="M7152" s="10" t="inlineStr">
        <is>
          <t>Bonus, Healthcare Plan, Paid Leave, Travel Opportunities, Team Activities, Others</t>
        </is>
      </c>
      <c r="N7152" s="11">
        <f>HYPERLINK("https://www.vietnamworks.com/ip-practice-enforcement-team-nhan-vien-so-huu-tri-tue-mang-xu-ly-xam-pham-2018239-jv","Xem chi tiết")</f>
        <v/>
      </c>
      <c r="O7152" s="10" t="n"/>
    </row>
    <row r="7153">
      <c r="B7153" s="7" t="n">
        <v>7151</v>
      </c>
      <c r="C7153" t="inlineStr">
        <is>
          <t>VTN Sales 3 W-mart</t>
        </is>
      </c>
      <c r="D7153" t="inlineStr">
        <is>
          <t>Công Ty Sae-A Vina</t>
        </is>
      </c>
      <c r="E7153" t="inlineStr">
        <is>
          <t>Thương lượng</t>
        </is>
      </c>
      <c r="F7153" t="inlineStr">
        <is>
          <t>Hà Nội</t>
        </is>
      </c>
      <c r="G7153" t="inlineStr">
        <is>
          <t>Nhân viên</t>
        </is>
      </c>
      <c r="H7153" t="inlineStr">
        <is>
          <t>04/03/2026</t>
        </is>
      </c>
      <c r="I7153" t="inlineStr">
        <is>
          <t>03/04/2026</t>
        </is>
      </c>
      <c r="J7153" t="inlineStr">
        <is>
          <t>17/03/2026</t>
        </is>
      </c>
      <c r="K7153" t="inlineStr">
        <is>
          <t>N/A</t>
        </is>
      </c>
      <c r="L7153" t="inlineStr">
        <is>
          <t>Bulk Production, ERP, Garment, Kinh Doanh, Sales Planning</t>
        </is>
      </c>
      <c r="M7153" t="inlineStr">
        <is>
          <t>Bonus, Healthcare Plan, Others</t>
        </is>
      </c>
      <c r="N7153" s="8">
        <f>HYPERLINK("https://www.vietnamworks.com/vtn-sales-3-w-mart-2018262-jv","Xem chi tiết")</f>
        <v/>
      </c>
    </row>
    <row r="7154">
      <c r="B7154" s="9" t="n">
        <v>7152</v>
      </c>
      <c r="C7154" s="10" t="inlineStr">
        <is>
          <t>Research &amp; Development Specialist (Formulation Development)</t>
        </is>
      </c>
      <c r="D7154" s="10" t="inlineStr">
        <is>
          <t>OPELLA</t>
        </is>
      </c>
      <c r="E7154" s="10" t="inlineStr">
        <is>
          <t>Thương lượng</t>
        </is>
      </c>
      <c r="F7154" s="10" t="inlineStr">
        <is>
          <t>Hồ Chí Minh</t>
        </is>
      </c>
      <c r="G7154" s="10" t="inlineStr">
        <is>
          <t>Nhân viên</t>
        </is>
      </c>
      <c r="H7154" s="10" t="inlineStr">
        <is>
          <t>04/03/2026</t>
        </is>
      </c>
      <c r="I7154" s="10" t="inlineStr">
        <is>
          <t>03/04/2026</t>
        </is>
      </c>
      <c r="J7154" s="10" t="inlineStr">
        <is>
          <t>17/03/2026</t>
        </is>
      </c>
      <c r="K7154" s="10" t="inlineStr">
        <is>
          <t>N/A</t>
        </is>
      </c>
      <c r="L7154" s="10" t="inlineStr">
        <is>
          <t>R&amp;D, Formulation Development, pharmaceutical</t>
        </is>
      </c>
      <c r="M7154" s="10" t="inlineStr">
        <is>
          <t>Bonus, Healthcare Plan, Paid Leave</t>
        </is>
      </c>
      <c r="N7154" s="11">
        <f>HYPERLINK("https://www.vietnamworks.com/research-development-specialist-formulation-development-2018258-jv","Xem chi tiết")</f>
        <v/>
      </c>
      <c r="O7154" s="10" t="n"/>
    </row>
    <row r="7155">
      <c r="B7155" s="7" t="n">
        <v>7153</v>
      </c>
      <c r="C7155" t="inlineStr">
        <is>
          <t>Senior Supply Chain Planner - Chinese Speaking</t>
        </is>
      </c>
      <c r="D7155" t="inlineStr">
        <is>
          <t>Sharkninja Vietnam</t>
        </is>
      </c>
      <c r="E7155" t="inlineStr">
        <is>
          <t>Thương lượng</t>
        </is>
      </c>
      <c r="F7155" t="inlineStr">
        <is>
          <t>Hồ Chí Minh</t>
        </is>
      </c>
      <c r="G7155" t="inlineStr">
        <is>
          <t>Nhân viên</t>
        </is>
      </c>
      <c r="H7155" t="inlineStr">
        <is>
          <t>04/03/2026</t>
        </is>
      </c>
      <c r="I7155" t="inlineStr">
        <is>
          <t>03/04/2026</t>
        </is>
      </c>
      <c r="J7155" t="inlineStr">
        <is>
          <t>17/03/2026</t>
        </is>
      </c>
      <c r="K7155" t="inlineStr">
        <is>
          <t>N/A</t>
        </is>
      </c>
      <c r="L7155" t="inlineStr">
        <is>
          <t>Planning &amp; Analysis, Production Planning, Erp System Experience, Supply Chain &amp; Demand Planning, Demand Forecasting</t>
        </is>
      </c>
      <c r="M7155" t="inlineStr">
        <is>
          <t>Bonus, Healthcare Plan, Training</t>
        </is>
      </c>
      <c r="N7155" s="8">
        <f>HYPERLINK("https://www.vietnamworks.com/senior-supply-chain-planner-chinese-speaking--2018252-jv","Xem chi tiết")</f>
        <v/>
      </c>
    </row>
    <row r="7156">
      <c r="B7156" s="9" t="n">
        <v>7154</v>
      </c>
      <c r="C7156" s="10" t="inlineStr">
        <is>
          <t>Hành Chính Nhân Sự</t>
        </is>
      </c>
      <c r="D7156" s="10" t="inlineStr">
        <is>
          <t>Công Ty TNHH Tư Vấn Thiết Kế Xây Dựng Hòa Chính</t>
        </is>
      </c>
      <c r="E7156" s="10" t="inlineStr">
        <is>
          <t>Thương lượng</t>
        </is>
      </c>
      <c r="F7156" s="10" t="inlineStr">
        <is>
          <t>Hà Nội</t>
        </is>
      </c>
      <c r="G7156" s="10" t="inlineStr">
        <is>
          <t>Nhân viên</t>
        </is>
      </c>
      <c r="H7156" s="10" t="inlineStr">
        <is>
          <t>04/03/2026</t>
        </is>
      </c>
      <c r="I7156" s="10" t="inlineStr">
        <is>
          <t>03/04/2026</t>
        </is>
      </c>
      <c r="J7156" s="10" t="inlineStr">
        <is>
          <t>17/03/2026</t>
        </is>
      </c>
      <c r="K7156" s="10" t="inlineStr">
        <is>
          <t>N/A</t>
        </is>
      </c>
      <c r="L7156" s="10" t="inlineStr">
        <is>
          <t>Quản Trị Nguồn Nhân Lực, Chấm Công, Hành Chính Nhân Sự, Lập Kế Hoạch Tuyển Dụng, Phỏng Vấn Tuyển Dụng</t>
        </is>
      </c>
      <c r="M7156" s="10" t="inlineStr">
        <is>
          <t>Bonus, Healthcare Plan, Paid Leave, Others</t>
        </is>
      </c>
      <c r="N7156" s="11">
        <f>HYPERLINK("https://www.vietnamworks.com/hanh-chinh-nhan-su-2018236-jv","Xem chi tiết")</f>
        <v/>
      </c>
      <c r="O7156" s="10" t="n"/>
    </row>
    <row r="7157">
      <c r="B7157" s="7" t="n">
        <v>7155</v>
      </c>
      <c r="C7157" t="inlineStr">
        <is>
          <t>Area Sales Manager (ASM) Topicals Product Group</t>
        </is>
      </c>
      <c r="D7157" t="inlineStr">
        <is>
          <t>Công Ty Cổ Phần Nền Tảng</t>
        </is>
      </c>
      <c r="E7157" t="inlineStr">
        <is>
          <t>Thương lượng</t>
        </is>
      </c>
      <c r="F7157" t="inlineStr">
        <is>
          <t>Hồ Chí Minh</t>
        </is>
      </c>
      <c r="G7157" t="inlineStr">
        <is>
          <t>Trưởng phòng</t>
        </is>
      </c>
      <c r="H7157" t="inlineStr">
        <is>
          <t>04/03/2026</t>
        </is>
      </c>
      <c r="I7157" t="inlineStr">
        <is>
          <t>03/04/2026</t>
        </is>
      </c>
      <c r="J7157" t="inlineStr">
        <is>
          <t>17/03/2026</t>
        </is>
      </c>
      <c r="K7157" t="inlineStr">
        <is>
          <t>N/A</t>
        </is>
      </c>
      <c r="L7157" t="inlineStr">
        <is>
          <t>Tiếng Anh Giao Tiếp, Kỹ Năng Lãnh Đạo Tốt, Kỹ năng làm việc nhóm, Kỹ năng bán hàng, Dược mỹ phẩm</t>
        </is>
      </c>
      <c r="M7157" t="inlineStr">
        <is>
          <t>Bonus, Travel Opportunities, Others</t>
        </is>
      </c>
      <c r="N7157" s="8">
        <f>HYPERLINK("https://www.vietnamworks.com/area-sales-manager-asm-topicals-product-group-2018251-jv","Xem chi tiết")</f>
        <v/>
      </c>
    </row>
    <row r="7158">
      <c r="B7158" s="9" t="n">
        <v>7156</v>
      </c>
      <c r="C7158" s="10" t="inlineStr">
        <is>
          <t>Chuyên Viên Cao Cấp Quản Lý Chính Sách và Quy Trình</t>
        </is>
      </c>
      <c r="D7158" s="10" t="inlineStr">
        <is>
          <t>Novaland</t>
        </is>
      </c>
      <c r="E7158" s="10" t="inlineStr">
        <is>
          <t>Thương lượng</t>
        </is>
      </c>
      <c r="F7158" s="10" t="inlineStr">
        <is>
          <t>Hồ Chí Minh</t>
        </is>
      </c>
      <c r="G7158" s="10" t="inlineStr">
        <is>
          <t>Nhân viên</t>
        </is>
      </c>
      <c r="H7158" s="10" t="inlineStr">
        <is>
          <t>04/03/2026</t>
        </is>
      </c>
      <c r="I7158" s="10" t="inlineStr">
        <is>
          <t>03/04/2026</t>
        </is>
      </c>
      <c r="J7158" s="10" t="inlineStr">
        <is>
          <t>17/03/2026</t>
        </is>
      </c>
      <c r="K7158" s="10" t="inlineStr">
        <is>
          <t>N/A</t>
        </is>
      </c>
      <c r="L7158" s="10" t="inlineStr">
        <is>
          <t>Compliance Auditing</t>
        </is>
      </c>
      <c r="M7158" s="10" t="inlineStr">
        <is>
          <t>Bonus, Healthcare Plan, Awards</t>
        </is>
      </c>
      <c r="N7158" s="11">
        <f>HYPERLINK("https://www.vietnamworks.com/chuyen-vien-cao-cap-quan-ly-chinh-sach-va-quy-trinh-2018261-jv","Xem chi tiết")</f>
        <v/>
      </c>
      <c r="O7158" s="10" t="n"/>
    </row>
    <row r="7159">
      <c r="B7159" s="7" t="n">
        <v>7157</v>
      </c>
      <c r="C7159" t="inlineStr">
        <is>
          <t>Senior Accountant</t>
        </is>
      </c>
      <c r="D7159" t="inlineStr">
        <is>
          <t>CÔNG TY TNHH TƯ VẤN GIẢI PHÁP CFT</t>
        </is>
      </c>
      <c r="E7159" t="inlineStr">
        <is>
          <t>Thương lượng</t>
        </is>
      </c>
      <c r="F7159" t="inlineStr">
        <is>
          <t>Hồ Chí Minh</t>
        </is>
      </c>
      <c r="G7159" t="inlineStr">
        <is>
          <t>Nhân viên</t>
        </is>
      </c>
      <c r="H7159" t="inlineStr">
        <is>
          <t>04/03/2026</t>
        </is>
      </c>
      <c r="I7159" t="inlineStr">
        <is>
          <t>03/04/2026</t>
        </is>
      </c>
      <c r="J7159" t="inlineStr">
        <is>
          <t>17/03/2026</t>
        </is>
      </c>
      <c r="K7159" t="inlineStr">
        <is>
          <t>N/A</t>
        </is>
      </c>
      <c r="L7159" t="inlineStr">
        <is>
          <t>Accounting, Tax Compliance, Misa software, Compliance Control, Kế Toán Tài Chính</t>
        </is>
      </c>
      <c r="M7159" t="inlineStr">
        <is>
          <t>Bonus, Paid Leave, Team Activities, Others</t>
        </is>
      </c>
      <c r="N7159" s="8">
        <f>HYPERLINK("https://www.vietnamworks.com/senior-accountant-2018263-jv","Xem chi tiết")</f>
        <v/>
      </c>
    </row>
    <row r="7160">
      <c r="B7160" s="9" t="n">
        <v>7158</v>
      </c>
      <c r="C7160" s="10" t="inlineStr">
        <is>
          <t>Nhân Viên Quản Lý Chất Lượng</t>
        </is>
      </c>
      <c r="D7160" s="10" t="inlineStr">
        <is>
          <t>Công Ty Cổ Phần Dược Phẩm Thiết Bị Y Tế Hà Nội - Hapharco</t>
        </is>
      </c>
      <c r="E7160" s="10" t="inlineStr">
        <is>
          <t>Thương lượng</t>
        </is>
      </c>
      <c r="F7160" s="10" t="inlineStr">
        <is>
          <t>Hà Nội</t>
        </is>
      </c>
      <c r="G7160" s="10" t="inlineStr">
        <is>
          <t>Nhân viên</t>
        </is>
      </c>
      <c r="H7160" s="10" t="inlineStr">
        <is>
          <t>04/03/2026</t>
        </is>
      </c>
      <c r="I7160" s="10" t="inlineStr">
        <is>
          <t>03/04/2026</t>
        </is>
      </c>
      <c r="J7160" s="10" t="inlineStr">
        <is>
          <t>17/03/2026</t>
        </is>
      </c>
      <c r="K7160" s="10" t="inlineStr">
        <is>
          <t>N/A</t>
        </is>
      </c>
      <c r="L7160" s="10" t="inlineStr">
        <is>
          <t>Dược, ISO, Kiểm Tra Pháp Lý, Quản lý chất lượng, Đảm Bảo Chất Lượng</t>
        </is>
      </c>
      <c r="M7160" s="10" t="inlineStr">
        <is>
          <t>Bonus, Healthcare Plan, Training, Travel Opportunities, Team Activities, Canteen, Others</t>
        </is>
      </c>
      <c r="N7160" s="11">
        <f>HYPERLINK("https://www.vietnamworks.com/nhan-vien-quan-ly-chat-luong-2018243-jv","Xem chi tiết")</f>
        <v/>
      </c>
      <c r="O7160" s="10" t="n"/>
    </row>
    <row r="7161">
      <c r="B7161" s="7" t="n">
        <v>7159</v>
      </c>
      <c r="C7161" t="inlineStr">
        <is>
          <t>Senior Accountant - APAC Shared Services Center</t>
        </is>
      </c>
      <c r="D7161" t="inlineStr">
        <is>
          <t>ECS Group</t>
        </is>
      </c>
      <c r="E7161" t="inlineStr">
        <is>
          <t>Từ $ 1,000 /tháng</t>
        </is>
      </c>
      <c r="F7161" t="inlineStr">
        <is>
          <t>Hồ Chí Minh</t>
        </is>
      </c>
      <c r="G7161" t="inlineStr">
        <is>
          <t>Nhân viên</t>
        </is>
      </c>
      <c r="H7161" t="inlineStr">
        <is>
          <t>04/03/2026</t>
        </is>
      </c>
      <c r="I7161" t="inlineStr">
        <is>
          <t>03/04/2026</t>
        </is>
      </c>
      <c r="J7161" t="inlineStr">
        <is>
          <t>17/03/2026</t>
        </is>
      </c>
      <c r="K7161" t="inlineStr">
        <is>
          <t>N/A</t>
        </is>
      </c>
      <c r="L7161" t="inlineStr">
        <is>
          <t>Management Accounting, English proficiency, Receivable Accounting, Payable Accounting, Leadership</t>
        </is>
      </c>
      <c r="M7161" t="inlineStr">
        <is>
          <t>Bonus, Healthcare Plan, Paid Leave</t>
        </is>
      </c>
      <c r="N7161" s="8">
        <f>HYPERLINK("https://www.vietnamworks.com/senior-accountant-apac-shared-services-center-2018259-jv","Xem chi tiết")</f>
        <v/>
      </c>
    </row>
    <row r="7162">
      <c r="B7162" s="9" t="n">
        <v>7160</v>
      </c>
      <c r="C7162" s="10" t="inlineStr">
        <is>
          <t>Chuyên Viên Phân Tích Tài Chính</t>
        </is>
      </c>
      <c r="D7162" s="10" t="inlineStr">
        <is>
          <t>VIFON</t>
        </is>
      </c>
      <c r="E7162" s="10" t="inlineStr">
        <is>
          <t>$$ 500-800 /tháng</t>
        </is>
      </c>
      <c r="F7162" s="10" t="inlineStr">
        <is>
          <t>Hồ Chí Minh</t>
        </is>
      </c>
      <c r="G7162" s="10" t="inlineStr">
        <is>
          <t>Nhân viên</t>
        </is>
      </c>
      <c r="H7162" s="10" t="inlineStr">
        <is>
          <t>04/03/2026</t>
        </is>
      </c>
      <c r="I7162" s="10" t="inlineStr">
        <is>
          <t>03/04/2026</t>
        </is>
      </c>
      <c r="J7162" s="10" t="inlineStr">
        <is>
          <t>17/03/2026</t>
        </is>
      </c>
      <c r="K7162" s="10" t="inlineStr">
        <is>
          <t>N/A</t>
        </is>
      </c>
      <c r="L7162" s="10" t="inlineStr">
        <is>
          <t>Phân Tích Tài Chính, Tài Chính, Báo Cáo Tài Chính, Báo Cáo Quản Trị, Financial Planning</t>
        </is>
      </c>
      <c r="M7162" s="10" t="inlineStr">
        <is>
          <t>Bonus, Healthcare Plan, Paid Leave</t>
        </is>
      </c>
      <c r="N7162" s="11">
        <f>HYPERLINK("https://www.vietnamworks.com/chuyen-vien-phan-tich-tai-chinh--2018271-jv","Xem chi tiết")</f>
        <v/>
      </c>
      <c r="O7162" s="10" t="n"/>
    </row>
    <row r="7163">
      <c r="B7163" s="7" t="n">
        <v>7161</v>
      </c>
      <c r="C7163" t="inlineStr">
        <is>
          <t>Senior Category Management Accountant Specialist</t>
        </is>
      </c>
      <c r="D7163" t="inlineStr">
        <is>
          <t>Công Ty Cổ Phần Sữa Việt Nam (Vinamilk)</t>
        </is>
      </c>
      <c r="E7163" t="inlineStr">
        <is>
          <t>Thương lượng</t>
        </is>
      </c>
      <c r="F7163" t="inlineStr">
        <is>
          <t>Hồ Chí Minh</t>
        </is>
      </c>
      <c r="G7163" t="inlineStr">
        <is>
          <t>Nhân viên</t>
        </is>
      </c>
      <c r="H7163" t="inlineStr">
        <is>
          <t>04/03/2026</t>
        </is>
      </c>
      <c r="I7163" t="inlineStr">
        <is>
          <t>03/04/2026</t>
        </is>
      </c>
      <c r="J7163" t="inlineStr">
        <is>
          <t>17/03/2026</t>
        </is>
      </c>
      <c r="K7163" t="inlineStr">
        <is>
          <t>N/A</t>
        </is>
      </c>
      <c r="L7163" t="inlineStr">
        <is>
          <t>Audit, Accounting &amp; Finance, Finance Business Partnering, Finance Analyst, Finance Accounting</t>
        </is>
      </c>
      <c r="M7163" t="inlineStr">
        <is>
          <t>Bonus, Healthcare Plan, Training</t>
        </is>
      </c>
      <c r="N7163" s="8">
        <f>HYPERLINK("https://www.vietnamworks.com/senior-category-management-accountant-specialist--2018241-jv","Xem chi tiết")</f>
        <v/>
      </c>
    </row>
    <row r="7164">
      <c r="B7164" s="9" t="n">
        <v>7162</v>
      </c>
      <c r="C7164" s="10" t="inlineStr">
        <is>
          <t>Admin Bảo Hành</t>
        </is>
      </c>
      <c r="D7164" s="10" t="inlineStr">
        <is>
          <t>Công Ty Cổ Phần Elmich</t>
        </is>
      </c>
      <c r="E7164" s="10" t="inlineStr">
        <is>
          <t>Thương lượng</t>
        </is>
      </c>
      <c r="F7164" s="10" t="inlineStr">
        <is>
          <t>Hồ Chí Minh</t>
        </is>
      </c>
      <c r="G7164" s="10" t="inlineStr">
        <is>
          <t>Nhân viên</t>
        </is>
      </c>
      <c r="H7164" s="10" t="inlineStr">
        <is>
          <t>04/03/2026</t>
        </is>
      </c>
      <c r="I7164" s="10" t="inlineStr">
        <is>
          <t>03/04/2026</t>
        </is>
      </c>
      <c r="J7164" s="10" t="inlineStr">
        <is>
          <t>17/03/2026</t>
        </is>
      </c>
      <c r="K7164" s="10" t="inlineStr">
        <is>
          <t>N/A</t>
        </is>
      </c>
      <c r="L7164" s="10" t="inlineStr">
        <is>
          <t>Bảo Hành, Chăm Sóc Khách Hàng, Giải Quyết Khiếu Nại, Kiểm Soát Tồn Kho, Tư Vấn Khách Hàng</t>
        </is>
      </c>
      <c r="M7164" s="10" t="inlineStr">
        <is>
          <t>Bonus, Team Activities, Canteen</t>
        </is>
      </c>
      <c r="N7164" s="11">
        <f>HYPERLINK("https://www.vietnamworks.com/admin-bao-hanh-2018268-jv","Xem chi tiết")</f>
        <v/>
      </c>
      <c r="O7164" s="10" t="n"/>
    </row>
    <row r="7165">
      <c r="B7165" s="7" t="n">
        <v>7163</v>
      </c>
      <c r="C7165" t="inlineStr">
        <is>
          <t>Chuyên Viên Phát Triển Thị Trường B2B Làm Việc Tại Bình Dương hoặc Vũng Tàu</t>
        </is>
      </c>
      <c r="D7165" t="inlineStr">
        <is>
          <t>Power English</t>
        </is>
      </c>
      <c r="E7165" t="inlineStr">
        <is>
          <t>10tr-20tr ₫/tháng</t>
        </is>
      </c>
      <c r="F7165" t="inlineStr">
        <is>
          <t>Bà Rịa - Vũng Tàu, Bình Dương, Hồ Chí Minh</t>
        </is>
      </c>
      <c r="G7165" t="inlineStr">
        <is>
          <t>Nhân viên</t>
        </is>
      </c>
      <c r="H7165" t="inlineStr">
        <is>
          <t>04/03/2026</t>
        </is>
      </c>
      <c r="I7165" t="inlineStr">
        <is>
          <t>03/04/2026</t>
        </is>
      </c>
      <c r="J7165" t="inlineStr">
        <is>
          <t>17/03/2026</t>
        </is>
      </c>
      <c r="K7165" t="inlineStr">
        <is>
          <t>N/A</t>
        </is>
      </c>
      <c r="L7165" t="inlineStr">
        <is>
          <t>B2B Sale, B2B Development, Giáo Dục, Kinh doanh &amp; Phát triển khách hàng, Tư vấn &amp; Bán giải pháp giáo dục</t>
        </is>
      </c>
      <c r="M7165" t="inlineStr">
        <is>
          <t>Bonus, Healthcare Plan, Travel Opportunities</t>
        </is>
      </c>
      <c r="N7165" s="8">
        <f>HYPERLINK("https://www.vietnamworks.com/chuyen-vien-phat-trien-thi-truong-b2b-lam-viec-tai-binh-duong-hoac-vung-tau-2018249-jv","Xem chi tiết")</f>
        <v/>
      </c>
    </row>
    <row r="7166">
      <c r="B7166" s="9" t="n">
        <v>7164</v>
      </c>
      <c r="C7166" s="10" t="inlineStr">
        <is>
          <t>Chuyên Viên Kinh Doanh Tiếng Trung</t>
        </is>
      </c>
      <c r="D7166" s="10" t="inlineStr">
        <is>
          <t>CÔNG TY CỔ PHẦN WIN WIN HOLDINGS</t>
        </is>
      </c>
      <c r="E7166" s="10" t="inlineStr">
        <is>
          <t>Thương lượng</t>
        </is>
      </c>
      <c r="F7166" s="10" t="inlineStr">
        <is>
          <t>Bình Dương</t>
        </is>
      </c>
      <c r="G7166" s="10" t="inlineStr">
        <is>
          <t>Nhân viên</t>
        </is>
      </c>
      <c r="H7166" s="10" t="inlineStr">
        <is>
          <t>04/03/2026</t>
        </is>
      </c>
      <c r="I7166" s="10" t="inlineStr">
        <is>
          <t>03/04/2026</t>
        </is>
      </c>
      <c r="J7166" s="10" t="inlineStr">
        <is>
          <t>17/03/2026</t>
        </is>
      </c>
      <c r="K7166" s="10" t="inlineStr">
        <is>
          <t>N/A</t>
        </is>
      </c>
      <c r="L7166" s="10" t="inlineStr">
        <is>
          <t>Tiếng Trung, Tiếng Anh, Giao Tiếp, Quản Lý Dữ Liệu, Kinh Doanh</t>
        </is>
      </c>
      <c r="M7166" s="10" t="inlineStr">
        <is>
          <t>Bonus, Healthcare Plan, Team Activities, Vouchers, Others</t>
        </is>
      </c>
      <c r="N7166" s="11">
        <f>HYPERLINK("https://www.vietnamworks.com/chuyen-vien-kinh-doanh-tieng-trung-2018254-jv","Xem chi tiết")</f>
        <v/>
      </c>
      <c r="O7166" s="10" t="n"/>
    </row>
    <row r="7167">
      <c r="B7167" s="7" t="n">
        <v>7165</v>
      </c>
      <c r="C7167" t="inlineStr">
        <is>
          <t>Brand &amp; Medical Marketing Manager</t>
        </is>
      </c>
      <c r="D7167" t="inlineStr">
        <is>
          <t>The Vigo</t>
        </is>
      </c>
      <c r="E7167" t="inlineStr">
        <is>
          <t>30tr-50tr ₫/tháng</t>
        </is>
      </c>
      <c r="F7167" t="inlineStr">
        <is>
          <t>Hà Nội</t>
        </is>
      </c>
      <c r="G7167" t="inlineStr">
        <is>
          <t>Trưởng phòng</t>
        </is>
      </c>
      <c r="H7167" t="inlineStr">
        <is>
          <t>04/03/2026</t>
        </is>
      </c>
      <c r="I7167" t="inlineStr">
        <is>
          <t>03/04/2026</t>
        </is>
      </c>
      <c r="J7167" t="inlineStr">
        <is>
          <t>17/03/2026</t>
        </is>
      </c>
      <c r="K7167" t="inlineStr">
        <is>
          <t>N/A</t>
        </is>
      </c>
      <c r="L7167" t="inlineStr">
        <is>
          <t>Brand Marketing, Communication, Event Organizing, Marketing Development, Project Management</t>
        </is>
      </c>
      <c r="M7167" t="inlineStr">
        <is>
          <t>Bonus, Healthcare Plan, Training, Team Activities</t>
        </is>
      </c>
      <c r="N7167" s="8">
        <f>HYPERLINK("https://www.vietnamworks.com/brand-and-medical-marketing-manager-2018240-jv","Xem chi tiết")</f>
        <v/>
      </c>
    </row>
    <row r="7168">
      <c r="B7168" s="9" t="n">
        <v>7166</v>
      </c>
      <c r="C7168" s="10" t="inlineStr">
        <is>
          <t>Truyền Thông Booking KOL/KOC</t>
        </is>
      </c>
      <c r="D7168" s="10" t="inlineStr">
        <is>
          <t>CÔNG TY CỔ PHẦN THỰC PHẨM ĂN CÙNG BÀ TUYẾT</t>
        </is>
      </c>
      <c r="E7168" s="10" t="inlineStr">
        <is>
          <t>8tr-10tr ₫/tháng</t>
        </is>
      </c>
      <c r="F7168" s="10" t="inlineStr">
        <is>
          <t>Hà Nội</t>
        </is>
      </c>
      <c r="G7168" s="10" t="inlineStr">
        <is>
          <t>Nhân viên</t>
        </is>
      </c>
      <c r="H7168" s="10" t="inlineStr">
        <is>
          <t>04/03/2026</t>
        </is>
      </c>
      <c r="I7168" s="10" t="inlineStr">
        <is>
          <t>03/04/2026</t>
        </is>
      </c>
      <c r="J7168" s="10" t="inlineStr">
        <is>
          <t>17/03/2026</t>
        </is>
      </c>
      <c r="K7168" s="10" t="inlineStr">
        <is>
          <t>N/A</t>
        </is>
      </c>
      <c r="L7168" s="10" t="inlineStr">
        <is>
          <t>Marketing Development, Content Creation, Trend Analysis, Relationship Management, Kol/Koc Booking</t>
        </is>
      </c>
      <c r="M7168" s="10" t="inlineStr">
        <is>
          <t>Bonus, Healthcare Plan, Team Activities, Others</t>
        </is>
      </c>
      <c r="N7168" s="11">
        <f>HYPERLINK("https://www.vietnamworks.com/truyen-thong-booking-kolkoc-2018278-jv","Xem chi tiết")</f>
        <v/>
      </c>
      <c r="O7168" s="10" t="n"/>
    </row>
    <row r="7169">
      <c r="B7169" s="7" t="n">
        <v>7167</v>
      </c>
      <c r="C7169" t="inlineStr">
        <is>
          <t>Supply Planning Senior Manager - FMCG</t>
        </is>
      </c>
      <c r="D7169" t="inlineStr">
        <is>
          <t>Masan Consumer Holdings</t>
        </is>
      </c>
      <c r="E7169" t="inlineStr">
        <is>
          <t>Thương lượng</t>
        </is>
      </c>
      <c r="F7169" t="inlineStr">
        <is>
          <t>Bình Dương, Hồ Chí Minh</t>
        </is>
      </c>
      <c r="G7169" t="inlineStr">
        <is>
          <t>Trưởng phòng</t>
        </is>
      </c>
      <c r="H7169" t="inlineStr">
        <is>
          <t>04/03/2026</t>
        </is>
      </c>
      <c r="I7169" t="inlineStr">
        <is>
          <t>03/04/2026</t>
        </is>
      </c>
      <c r="J7169" t="inlineStr">
        <is>
          <t>17/03/2026</t>
        </is>
      </c>
      <c r="K7169" t="inlineStr">
        <is>
          <t>N/A</t>
        </is>
      </c>
      <c r="L7169" t="inlineStr">
        <is>
          <t>Supply Planning, Demand Supply Planning, Planning, Planning Skills, Planning and Management</t>
        </is>
      </c>
      <c r="M7169" t="inlineStr">
        <is>
          <t>Bonus, Laptop, Others</t>
        </is>
      </c>
      <c r="N7169" s="8">
        <f>HYPERLINK("https://www.vietnamworks.com/supply-planning-senior-manager-fmcg--2018267-jv","Xem chi tiết")</f>
        <v/>
      </c>
    </row>
    <row r="7170">
      <c r="B7170" s="9" t="n">
        <v>7168</v>
      </c>
      <c r="C7170" s="10" t="inlineStr">
        <is>
          <t>Nhân Viên Kinh Doanh Thiết Bị Công Nghiệp - Thu Nhập Từ 10 - 40 Triệu/tháng - Hà Nội/hồ Chí Minh</t>
        </is>
      </c>
      <c r="D7170" s="10" t="inlineStr">
        <is>
          <t>CÔNG TY TNHH THIẾT BỊ CÔNG NGHIỆP HT SÀI GÒN</t>
        </is>
      </c>
      <c r="E7170" s="10" t="inlineStr">
        <is>
          <t>10tr-40tr ₫/tháng</t>
        </is>
      </c>
      <c r="F7170" s="10" t="inlineStr">
        <is>
          <t>Hà Nội, Hồ Chí Minh</t>
        </is>
      </c>
      <c r="G7170" s="10" t="inlineStr">
        <is>
          <t>Nhân viên</t>
        </is>
      </c>
      <c r="H7170" s="10" t="inlineStr">
        <is>
          <t>04/03/2026</t>
        </is>
      </c>
      <c r="I7170" s="10" t="inlineStr">
        <is>
          <t>03/04/2026</t>
        </is>
      </c>
      <c r="J7170" s="10" t="inlineStr">
        <is>
          <t>17/03/2026</t>
        </is>
      </c>
      <c r="K7170" s="10" t="inlineStr">
        <is>
          <t>N/A</t>
        </is>
      </c>
      <c r="L7170" s="10" t="inlineStr">
        <is>
          <t>Kinh Doanh Thiết Bị Công Nghiệp, Tự Động Hóa, Phát Triển Kinh Doanh, Tìm Kiếm Khách Hàng, Tư Vấn Sản Phẩm</t>
        </is>
      </c>
      <c r="M7170" s="10" t="inlineStr">
        <is>
          <t>Bonus, Paid Leave, Training, Team Activities, Others</t>
        </is>
      </c>
      <c r="N7170" s="11">
        <f>HYPERLINK("https://www.vietnamworks.com/nhan-vien-kinh-doanh-thiet-bi-cong-nghiep-thu-nhap-tu-10-40-trieuthang-ha-noiho-chi-minh-2018255-jv","Xem chi tiết")</f>
        <v/>
      </c>
      <c r="O7170" s="10" t="n"/>
    </row>
    <row r="7171">
      <c r="B7171" s="7" t="n">
        <v>7169</v>
      </c>
      <c r="C7171" t="inlineStr">
        <is>
          <t>[Tuyển Gấp] Kế Toán Tổng Hợp</t>
        </is>
      </c>
      <c r="D7171" t="inlineStr">
        <is>
          <t>Trung tâm Triển lãm Quốc tế I.C.E.Hanoi</t>
        </is>
      </c>
      <c r="E7171" t="inlineStr">
        <is>
          <t>Thương lượng</t>
        </is>
      </c>
      <c r="F7171" t="inlineStr">
        <is>
          <t>Hà Nội</t>
        </is>
      </c>
      <c r="G7171" t="inlineStr">
        <is>
          <t>Nhân viên</t>
        </is>
      </c>
      <c r="H7171" t="inlineStr">
        <is>
          <t>04/03/2026</t>
        </is>
      </c>
      <c r="I7171" t="inlineStr">
        <is>
          <t>03/04/2026</t>
        </is>
      </c>
      <c r="J7171" t="inlineStr">
        <is>
          <t>17/03/2026</t>
        </is>
      </c>
      <c r="K7171" t="inlineStr">
        <is>
          <t>N/A</t>
        </is>
      </c>
      <c r="L7171" t="inlineStr">
        <is>
          <t>Tài Chính, Hạch Toán, Kế Toán Tổng Hợp, Chứng từ, Hóa đơn</t>
        </is>
      </c>
      <c r="M7171" t="inlineStr">
        <is>
          <t>Bonus, Healthcare Plan, Paid Leave</t>
        </is>
      </c>
      <c r="N7171" s="8">
        <f>HYPERLINK("https://www.vietnamworks.com/tuyen-gap-ke-toan-tong-hop--2018279-jv","Xem chi tiết")</f>
        <v/>
      </c>
    </row>
    <row r="7172">
      <c r="B7172" s="9" t="n">
        <v>7170</v>
      </c>
      <c r="C7172" s="10" t="inlineStr">
        <is>
          <t>Kế Toán Công Nợ</t>
        </is>
      </c>
      <c r="D7172" s="10" t="inlineStr">
        <is>
          <t>CÔNG TY CỔ PHẦN THỰC PHẨM ĂN CÙNG BÀ TUYẾT</t>
        </is>
      </c>
      <c r="E7172" s="10" t="inlineStr">
        <is>
          <t>9tr-12tr ₫/tháng</t>
        </is>
      </c>
      <c r="F7172" s="10" t="inlineStr">
        <is>
          <t>Hà Nội</t>
        </is>
      </c>
      <c r="G7172" s="10" t="inlineStr">
        <is>
          <t>Nhân viên</t>
        </is>
      </c>
      <c r="H7172" s="10" t="inlineStr">
        <is>
          <t>04/03/2026</t>
        </is>
      </c>
      <c r="I7172" s="10" t="inlineStr">
        <is>
          <t>03/04/2026</t>
        </is>
      </c>
      <c r="J7172" s="10" t="inlineStr">
        <is>
          <t>17/03/2026</t>
        </is>
      </c>
      <c r="K7172" s="10" t="inlineStr">
        <is>
          <t>N/A</t>
        </is>
      </c>
      <c r="L7172" s="10" t="inlineStr">
        <is>
          <t>Kế Toán, Quản Lý Công Nợ, Kế Hoạch Thanh Toán, Kiểm Soát Giá, Theo Dõi Công Nợ</t>
        </is>
      </c>
      <c r="M7172" s="10" t="inlineStr">
        <is>
          <t>Bonus, Healthcare Plan, Team Activities, Others</t>
        </is>
      </c>
      <c r="N7172" s="11">
        <f>HYPERLINK("https://www.vietnamworks.com/ke-toan-cong-no-2018274-jv","Xem chi tiết")</f>
        <v/>
      </c>
      <c r="O7172" s="10" t="n"/>
    </row>
    <row r="7173">
      <c r="B7173" s="7" t="n">
        <v>7171</v>
      </c>
      <c r="C7173" t="inlineStr">
        <is>
          <t>Pattern</t>
        </is>
      </c>
      <c r="D7173" t="inlineStr">
        <is>
          <t>Công Ty Sae-A Vina</t>
        </is>
      </c>
      <c r="E7173" t="inlineStr">
        <is>
          <t>Thương lượng</t>
        </is>
      </c>
      <c r="F7173" t="inlineStr">
        <is>
          <t>Hà Nội</t>
        </is>
      </c>
      <c r="G7173" t="inlineStr">
        <is>
          <t>Nhân viên</t>
        </is>
      </c>
      <c r="H7173" t="inlineStr">
        <is>
          <t>04/03/2026</t>
        </is>
      </c>
      <c r="I7173" t="inlineStr">
        <is>
          <t>03/04/2026</t>
        </is>
      </c>
      <c r="J7173" t="inlineStr">
        <is>
          <t>17/03/2026</t>
        </is>
      </c>
      <c r="K7173" t="inlineStr">
        <is>
          <t>N/A</t>
        </is>
      </c>
      <c r="L7173" t="inlineStr">
        <is>
          <t>Apparel Production, Garment Construction, Pattern Design, Pattern Making, Style Cad</t>
        </is>
      </c>
      <c r="M7173" t="inlineStr">
        <is>
          <t>Bonus, Healthcare Plan, Others</t>
        </is>
      </c>
      <c r="N7173" s="8">
        <f>HYPERLINK("https://www.vietnamworks.com/pattern-2018273-jv","Xem chi tiết")</f>
        <v/>
      </c>
    </row>
    <row r="7174">
      <c r="B7174" s="9" t="n">
        <v>7172</v>
      </c>
      <c r="C7174" s="10" t="inlineStr">
        <is>
          <t>Giám Sát Tài Chính, Kiểm Soát Kinh Doanh Và Khối Back</t>
        </is>
      </c>
      <c r="D7174" s="10" t="inlineStr">
        <is>
          <t>Công Ty Cổ Phần Elmich</t>
        </is>
      </c>
      <c r="E7174" s="10" t="inlineStr">
        <is>
          <t>20tr-25tr ₫/tháng</t>
        </is>
      </c>
      <c r="F7174" s="10" t="inlineStr">
        <is>
          <t>Hà Nội</t>
        </is>
      </c>
      <c r="G7174" s="10" t="inlineStr">
        <is>
          <t>Trưởng phòng</t>
        </is>
      </c>
      <c r="H7174" s="10" t="inlineStr">
        <is>
          <t>04/03/2026</t>
        </is>
      </c>
      <c r="I7174" s="10" t="inlineStr">
        <is>
          <t>03/04/2026</t>
        </is>
      </c>
      <c r="J7174" s="10" t="inlineStr">
        <is>
          <t>17/03/2026</t>
        </is>
      </c>
      <c r="K7174" s="10" t="inlineStr">
        <is>
          <t>N/A</t>
        </is>
      </c>
      <c r="L7174" s="10" t="inlineStr">
        <is>
          <t>Báo Cáo Tài Chính, Financial Control, Kiểm Soát Chi Phí, Phân Tích Chi Phí, Quản Lý Rủi Ro Tài Chính</t>
        </is>
      </c>
      <c r="M7174" s="10" t="inlineStr">
        <is>
          <t>Bonus, Healthcare Plan, Paid Leave, Travel Opportunities, Vouchers</t>
        </is>
      </c>
      <c r="N7174" s="11">
        <f>HYPERLINK("https://www.vietnamworks.com/giam-sat-tai-chinh-kiem-soat-kinh-doanh-va-khoi-back-2018277-jv","Xem chi tiết")</f>
        <v/>
      </c>
      <c r="O7174" s="10" t="n"/>
    </row>
    <row r="7175">
      <c r="B7175" s="7" t="n">
        <v>7173</v>
      </c>
      <c r="C7175" t="inlineStr">
        <is>
          <t>Lawyer</t>
        </is>
      </c>
      <c r="D7175" t="inlineStr">
        <is>
          <t>Công Ty Luật TNHH Harvey Law Group Ltd.</t>
        </is>
      </c>
      <c r="E7175" t="inlineStr">
        <is>
          <t>Thương lượng</t>
        </is>
      </c>
      <c r="F7175" t="inlineStr">
        <is>
          <t>Hồ Chí Minh</t>
        </is>
      </c>
      <c r="G7175" t="inlineStr">
        <is>
          <t>Nhân viên</t>
        </is>
      </c>
      <c r="H7175" t="inlineStr">
        <is>
          <t>04/03/2026</t>
        </is>
      </c>
      <c r="I7175" t="inlineStr">
        <is>
          <t>03/04/2026</t>
        </is>
      </c>
      <c r="J7175" t="inlineStr">
        <is>
          <t>17/03/2026</t>
        </is>
      </c>
      <c r="K7175" t="inlineStr">
        <is>
          <t>N/A</t>
        </is>
      </c>
      <c r="L7175" t="inlineStr">
        <is>
          <t>Lawyer license, English Fluency, Communication Skills, Analytical Skills, Teamwork</t>
        </is>
      </c>
      <c r="M7175" t="inlineStr">
        <is>
          <t>Bonus, Healthcare Plan, Training, Travel Opportunities, Others</t>
        </is>
      </c>
      <c r="N7175" s="8">
        <f>HYPERLINK("https://www.vietnamworks.com/lawyer-2018272-jv","Xem chi tiết")</f>
        <v/>
      </c>
    </row>
    <row r="7176">
      <c r="B7176" s="9" t="n">
        <v>7174</v>
      </c>
      <c r="C7176" s="10" t="inlineStr">
        <is>
          <t>Business Development- Supervisor/ Senior Executive- Transporation (Logistic &amp; Freight Forwarding)- North</t>
        </is>
      </c>
      <c r="D7176" s="10" t="inlineStr">
        <is>
          <t>Công Ty TNHH Schenker Logistics Việt Nam</t>
        </is>
      </c>
      <c r="E7176" s="10" t="inlineStr">
        <is>
          <t>$$ 826-1,650 /tháng</t>
        </is>
      </c>
      <c r="F7176" s="10" t="inlineStr">
        <is>
          <t>Hà Nội</t>
        </is>
      </c>
      <c r="G7176" s="10" t="inlineStr">
        <is>
          <t>Nhân viên</t>
        </is>
      </c>
      <c r="H7176" s="10" t="inlineStr">
        <is>
          <t>04/03/2026</t>
        </is>
      </c>
      <c r="I7176" s="10" t="inlineStr">
        <is>
          <t>03/04/2026</t>
        </is>
      </c>
      <c r="J7176" s="10" t="inlineStr">
        <is>
          <t>17/03/2026</t>
        </is>
      </c>
      <c r="K7176" s="10" t="inlineStr">
        <is>
          <t>N/A</t>
        </is>
      </c>
      <c r="L7176" s="10" t="inlineStr">
        <is>
          <t>Logistics Industry Knowledge, Logistics operations, Transportation operation, Freight Forwarding Market Knowledge, Business Networking</t>
        </is>
      </c>
      <c r="M7176" s="10" t="inlineStr">
        <is>
          <t>Bonus, Healthcare Plan, Others</t>
        </is>
      </c>
      <c r="N7176" s="11">
        <f>HYPERLINK("https://www.vietnamworks.com/business-development-supervisor-senior-executive-transporation-logistic-freight-forwarding-north-2018275-jv","Xem chi tiết")</f>
        <v/>
      </c>
      <c r="O7176" s="10" t="n"/>
    </row>
    <row r="7177">
      <c r="B7177" s="7" t="n">
        <v>7175</v>
      </c>
      <c r="C7177" t="inlineStr">
        <is>
          <t>Chỉ Huy Trưởng</t>
        </is>
      </c>
      <c r="D7177" t="inlineStr">
        <is>
          <t>China Construction (S.e.a) Co.ltd</t>
        </is>
      </c>
      <c r="E7177" t="inlineStr">
        <is>
          <t>Thương lượng</t>
        </is>
      </c>
      <c r="F7177" t="inlineStr">
        <is>
          <t>Bình Dương</t>
        </is>
      </c>
      <c r="G7177" t="inlineStr">
        <is>
          <t>Trưởng phòng</t>
        </is>
      </c>
      <c r="H7177" t="inlineStr">
        <is>
          <t>04/03/2026</t>
        </is>
      </c>
      <c r="I7177" t="inlineStr">
        <is>
          <t>03/04/2026</t>
        </is>
      </c>
      <c r="J7177" t="inlineStr">
        <is>
          <t>17/03/2026</t>
        </is>
      </c>
      <c r="K7177" t="inlineStr">
        <is>
          <t>N/A</t>
        </is>
      </c>
      <c r="L7177" t="inlineStr">
        <is>
          <t>AutoCAD, Giám Sát Thi Công, Làm Hồ Sơ Thanh Quyết Toán, Nghiệm Thu Công Trình, Xây Dựng Dân Dụng</t>
        </is>
      </c>
      <c r="M7177" t="inlineStr">
        <is>
          <t>Bonus, Healthcare Plan, Training, Awards, Others</t>
        </is>
      </c>
      <c r="N7177" s="8">
        <f>HYPERLINK("https://www.vietnamworks.com/chi-huy-truong-2018287-jv","Xem chi tiết")</f>
        <v/>
      </c>
    </row>
    <row r="7178">
      <c r="B7178" s="9" t="n">
        <v>7176</v>
      </c>
      <c r="C7178" s="10" t="inlineStr">
        <is>
          <t>Store Supervisor</t>
        </is>
      </c>
      <c r="D7178" s="10" t="inlineStr">
        <is>
          <t>Công Ty TNHH Muji Retail (Việt Nam)</t>
        </is>
      </c>
      <c r="E7178" s="10" t="inlineStr">
        <is>
          <t>Thương lượng</t>
        </is>
      </c>
      <c r="F7178" s="10" t="inlineStr">
        <is>
          <t>Bình Dương</t>
        </is>
      </c>
      <c r="G7178" s="10" t="inlineStr">
        <is>
          <t>Nhân viên</t>
        </is>
      </c>
      <c r="H7178" s="10" t="inlineStr">
        <is>
          <t>04/03/2026</t>
        </is>
      </c>
      <c r="I7178" s="10" t="inlineStr">
        <is>
          <t>03/04/2026</t>
        </is>
      </c>
      <c r="J7178" s="10" t="inlineStr">
        <is>
          <t>17/03/2026</t>
        </is>
      </c>
      <c r="K7178" s="10" t="inlineStr">
        <is>
          <t>N/A</t>
        </is>
      </c>
      <c r="L7178" s="10" t="inlineStr">
        <is>
          <t>Leadership Skill, Retail Store Operations, Training Planning, Visual Merchandising, English</t>
        </is>
      </c>
      <c r="M7178" s="10" t="inlineStr">
        <is>
          <t>Bonus, Training, Vouchers</t>
        </is>
      </c>
      <c r="N7178" s="11">
        <f>HYPERLINK("https://www.vietnamworks.com/store-supervisor-11-1-1-1-1-1-2-1-2-1--2018298-jv","Xem chi tiết")</f>
        <v/>
      </c>
      <c r="O7178" s="10" t="n"/>
    </row>
    <row r="7179">
      <c r="B7179" s="7" t="n">
        <v>7177</v>
      </c>
      <c r="C7179" t="inlineStr">
        <is>
          <t>Woven Development (WD)</t>
        </is>
      </c>
      <c r="D7179" t="inlineStr">
        <is>
          <t>Công Ty Sae-A Vina</t>
        </is>
      </c>
      <c r="E7179" t="inlineStr">
        <is>
          <t>Thương lượng</t>
        </is>
      </c>
      <c r="F7179" t="inlineStr">
        <is>
          <t>Hà Nội</t>
        </is>
      </c>
      <c r="G7179" t="inlineStr">
        <is>
          <t>Nhân viên</t>
        </is>
      </c>
      <c r="H7179" t="inlineStr">
        <is>
          <t>04/03/2026</t>
        </is>
      </c>
      <c r="I7179" t="inlineStr">
        <is>
          <t>03/04/2026</t>
        </is>
      </c>
      <c r="J7179" t="inlineStr">
        <is>
          <t>17/03/2026</t>
        </is>
      </c>
      <c r="K7179" t="inlineStr">
        <is>
          <t>N/A</t>
        </is>
      </c>
      <c r="L7179" t="inlineStr">
        <is>
          <t>Garment, Pattern Design, Quality Management, Sample Development, Woven Fabric</t>
        </is>
      </c>
      <c r="M7179" t="inlineStr">
        <is>
          <t>Bonus, Healthcare Plan, Others</t>
        </is>
      </c>
      <c r="N7179" s="8">
        <f>HYPERLINK("https://www.vietnamworks.com/woven-development-wd-2018280-jv","Xem chi tiết")</f>
        <v/>
      </c>
    </row>
    <row r="7180">
      <c r="B7180" s="9" t="n">
        <v>7178</v>
      </c>
      <c r="C7180" s="10" t="inlineStr">
        <is>
          <t>Nhân Viên Kinh Doanh Bất Động Sản</t>
        </is>
      </c>
      <c r="D7180" s="10" t="inlineStr">
        <is>
          <t>Công Ty CP Đầu Tư IMG</t>
        </is>
      </c>
      <c r="E7180" s="10" t="inlineStr">
        <is>
          <t>Thương lượng</t>
        </is>
      </c>
      <c r="F7180" s="10" t="inlineStr">
        <is>
          <t>Hồ Chí Minh</t>
        </is>
      </c>
      <c r="G7180" s="10" t="inlineStr">
        <is>
          <t>Trưởng phòng</t>
        </is>
      </c>
      <c r="H7180" s="10" t="inlineStr">
        <is>
          <t>04/03/2026</t>
        </is>
      </c>
      <c r="I7180" s="10" t="inlineStr">
        <is>
          <t>03/04/2026</t>
        </is>
      </c>
      <c r="J7180" s="10" t="inlineStr">
        <is>
          <t>17/03/2026</t>
        </is>
      </c>
      <c r="K7180" s="10" t="inlineStr">
        <is>
          <t>N/A</t>
        </is>
      </c>
      <c r="L7180" s="10" t="inlineStr">
        <is>
          <t>Kinh Doanh, Phân Tích Số Liệu, Giao Tiếp, Bất Động Sản, Tìm Kiếm Khách Hàng</t>
        </is>
      </c>
      <c r="M7180" s="10" t="inlineStr">
        <is>
          <t>Bonus</t>
        </is>
      </c>
      <c r="N7180" s="11">
        <f>HYPERLINK("https://www.vietnamworks.com/nhan-vien-kinh-doanh-bat-djong-san-2018288-jv","Xem chi tiết")</f>
        <v/>
      </c>
      <c r="O7180" s="10" t="n"/>
    </row>
    <row r="7181">
      <c r="B7181" s="7" t="n">
        <v>7179</v>
      </c>
      <c r="C7181" t="inlineStr">
        <is>
          <t>Nhân Viên Kinh Doanh Quốc Tế</t>
        </is>
      </c>
      <c r="D7181" t="inlineStr">
        <is>
          <t>VIFON</t>
        </is>
      </c>
      <c r="E7181" t="inlineStr">
        <is>
          <t>$$ 500-800 /tháng</t>
        </is>
      </c>
      <c r="F7181" t="inlineStr">
        <is>
          <t>Hồ Chí Minh</t>
        </is>
      </c>
      <c r="G7181" t="inlineStr">
        <is>
          <t>Nhân viên</t>
        </is>
      </c>
      <c r="H7181" t="inlineStr">
        <is>
          <t>04/03/2026</t>
        </is>
      </c>
      <c r="I7181" t="inlineStr">
        <is>
          <t>03/04/2026</t>
        </is>
      </c>
      <c r="J7181" t="inlineStr">
        <is>
          <t>17/03/2026</t>
        </is>
      </c>
      <c r="K7181" t="inlineStr">
        <is>
          <t>N/A</t>
        </is>
      </c>
      <c r="L7181" t="inlineStr">
        <is>
          <t>Trade Marketing, Bán Hàng, Sales xuất khẩu, Kinh Doanh Quốc Tế, Sales</t>
        </is>
      </c>
      <c r="M7181" t="inlineStr">
        <is>
          <t>Bonus, Healthcare Plan, Paid Leave</t>
        </is>
      </c>
      <c r="N7181" s="8">
        <f>HYPERLINK("https://www.vietnamworks.com/nhan-vien-kinh-doanh-quoc-te--2018284-jv","Xem chi tiết")</f>
        <v/>
      </c>
    </row>
    <row r="7182">
      <c r="B7182" s="9" t="n">
        <v>7180</v>
      </c>
      <c r="C7182" s="10" t="inlineStr">
        <is>
          <t>Sales Admin Kênh MT</t>
        </is>
      </c>
      <c r="D7182" s="10" t="inlineStr">
        <is>
          <t>Chi Nhánh Công Ty Cổ Phần Everpia</t>
        </is>
      </c>
      <c r="E7182" s="10" t="inlineStr">
        <is>
          <t>Từ $ 500 /tháng</t>
        </is>
      </c>
      <c r="F7182" s="10" t="inlineStr">
        <is>
          <t>Hồ Chí Minh</t>
        </is>
      </c>
      <c r="G7182" s="10" t="inlineStr">
        <is>
          <t>Mới Tốt Nghiệp</t>
        </is>
      </c>
      <c r="H7182" s="10" t="inlineStr">
        <is>
          <t>04/03/2026</t>
        </is>
      </c>
      <c r="I7182" s="10" t="inlineStr">
        <is>
          <t>03/04/2026</t>
        </is>
      </c>
      <c r="J7182" s="10" t="inlineStr">
        <is>
          <t>17/03/2026</t>
        </is>
      </c>
      <c r="K7182" s="10" t="inlineStr">
        <is>
          <t>N/A</t>
        </is>
      </c>
      <c r="L7182" s="10" t="inlineStr">
        <is>
          <t>Sales Administration, Kế Toán, Admin, Sales Assistant, Hành Chính</t>
        </is>
      </c>
      <c r="M7182" s="10" t="inlineStr">
        <is>
          <t>Bonus, Training, Travel Opportunities</t>
        </is>
      </c>
      <c r="N7182" s="11">
        <f>HYPERLINK("https://www.vietnamworks.com/sales-admin-kenh-mt--2018286-jv","Xem chi tiết")</f>
        <v/>
      </c>
      <c r="O7182" s="10" t="n"/>
    </row>
    <row r="7183">
      <c r="B7183" s="7" t="n">
        <v>7181</v>
      </c>
      <c r="C7183" t="inlineStr">
        <is>
          <t>Business Development Manager</t>
        </is>
      </c>
      <c r="D7183" t="inlineStr">
        <is>
          <t>GreenYellow</t>
        </is>
      </c>
      <c r="E7183" t="inlineStr">
        <is>
          <t>Thương lượng</t>
        </is>
      </c>
      <c r="F7183" t="inlineStr">
        <is>
          <t>Hà Nội</t>
        </is>
      </c>
      <c r="G7183" t="inlineStr">
        <is>
          <t>Trưởng phòng</t>
        </is>
      </c>
      <c r="H7183" t="inlineStr">
        <is>
          <t>04/03/2026</t>
        </is>
      </c>
      <c r="I7183" t="inlineStr">
        <is>
          <t>03/04/2026</t>
        </is>
      </c>
      <c r="J7183" t="inlineStr">
        <is>
          <t>17/03/2026</t>
        </is>
      </c>
      <c r="K7183" t="inlineStr">
        <is>
          <t>N/A</t>
        </is>
      </c>
      <c r="L7183" t="inlineStr">
        <is>
          <t>Sales Management, Quản Lý Kinh Doanh, Kinh Doanh, Business Development, Solar Rooftop Energy Systems</t>
        </is>
      </c>
      <c r="M7183" t="inlineStr">
        <is>
          <t>Bonus, Healthcare Plan, Laptop</t>
        </is>
      </c>
      <c r="N7183" s="8">
        <f>HYPERLINK("https://www.vietnamworks.com/business-development-manager--2018293-jv","Xem chi tiết")</f>
        <v/>
      </c>
    </row>
    <row r="7184">
      <c r="B7184" s="9" t="n">
        <v>7182</v>
      </c>
      <c r="C7184" s="10" t="inlineStr">
        <is>
          <t>Customer Service/ Nhân Viên Chăm Sóc Khách Hàng – Workplace: Ho Chi Minh (Vietnam)</t>
        </is>
      </c>
      <c r="D7184" s="10" t="inlineStr">
        <is>
          <t>Công Ty TNHH Getz Bros &amp; CO., ( Việt Nam)</t>
        </is>
      </c>
      <c r="E7184" s="10" t="inlineStr">
        <is>
          <t>Thương lượng</t>
        </is>
      </c>
      <c r="F7184" s="10" t="inlineStr">
        <is>
          <t>Hồ Chí Minh</t>
        </is>
      </c>
      <c r="G7184" s="10" t="inlineStr">
        <is>
          <t>Nhân viên</t>
        </is>
      </c>
      <c r="H7184" s="10" t="inlineStr">
        <is>
          <t>04/03/2026</t>
        </is>
      </c>
      <c r="I7184" s="10" t="inlineStr">
        <is>
          <t>03/04/2026</t>
        </is>
      </c>
      <c r="J7184" s="10" t="inlineStr">
        <is>
          <t>17/03/2026</t>
        </is>
      </c>
      <c r="K7184" s="10" t="inlineStr">
        <is>
          <t>N/A</t>
        </is>
      </c>
      <c r="L7184" s="10" t="inlineStr">
        <is>
          <t>Chăm Sóc Khách Hàng, Quản Lý Đơn Hàng, Supply Chain Logistics, Supply Chain Management, Supply Chain Operations</t>
        </is>
      </c>
      <c r="M7184" s="10" t="inlineStr">
        <is>
          <t>Bonus, Healthcare Plan, Travel Opportunities, Team Activities</t>
        </is>
      </c>
      <c r="N7184" s="11">
        <f>HYPERLINK("https://www.vietnamworks.com/customer-service-nhan-vien-cham-soc-khach-hang-workplace-ho-chi-minh-vietnam-2018283-jv","Xem chi tiết")</f>
        <v/>
      </c>
      <c r="O7184" s="10" t="n"/>
    </row>
    <row r="7185">
      <c r="B7185" s="7" t="n">
        <v>7183</v>
      </c>
      <c r="C7185" t="inlineStr">
        <is>
          <t>Giám Đốc Điều Hành Dự Án (Logistics Project Director)</t>
        </is>
      </c>
      <c r="D7185" t="inlineStr">
        <is>
          <t>Công Ty Cổ Phần Địa Ốc Thăng Long</t>
        </is>
      </c>
      <c r="E7185" t="inlineStr">
        <is>
          <t>45tr-60tr ₫/tháng</t>
        </is>
      </c>
      <c r="F7185" t="inlineStr">
        <is>
          <t>Hồ Chí Minh</t>
        </is>
      </c>
      <c r="G7185" t="inlineStr">
        <is>
          <t>Giám Đốc và Cấp Cao Hơn</t>
        </is>
      </c>
      <c r="H7185" t="inlineStr">
        <is>
          <t>04/03/2026</t>
        </is>
      </c>
      <c r="I7185" t="inlineStr">
        <is>
          <t>03/04/2026</t>
        </is>
      </c>
      <c r="J7185" t="inlineStr">
        <is>
          <t>17/03/2026</t>
        </is>
      </c>
      <c r="K7185" t="inlineStr">
        <is>
          <t>N/A</t>
        </is>
      </c>
      <c r="L7185" t="inlineStr">
        <is>
          <t>Quản Lý Dự Án, AutoCAD, MS Project, Phân Tích Tài Chính, Xây Dựng</t>
        </is>
      </c>
      <c r="M7185" t="inlineStr">
        <is>
          <t>Bonus, Healthcare Plan, Others</t>
        </is>
      </c>
      <c r="N7185" s="8">
        <f>HYPERLINK("https://www.vietnamworks.com/giam-djoc-djieu-hanh-du-an-logistics-project-director-2018301-jv","Xem chi tiết")</f>
        <v/>
      </c>
    </row>
    <row r="7186">
      <c r="B7186" s="9" t="n">
        <v>7184</v>
      </c>
      <c r="C7186" s="10" t="inlineStr">
        <is>
          <t>Business Solutions Developer</t>
        </is>
      </c>
      <c r="D7186" s="10" t="inlineStr">
        <is>
          <t>CMPartners</t>
        </is>
      </c>
      <c r="E7186" s="10" t="inlineStr">
        <is>
          <t>Thương lượng</t>
        </is>
      </c>
      <c r="F7186" s="10" t="inlineStr">
        <is>
          <t>Hồ Chí Minh</t>
        </is>
      </c>
      <c r="G7186" s="10" t="inlineStr">
        <is>
          <t>Nhân viên</t>
        </is>
      </c>
      <c r="H7186" s="10" t="inlineStr">
        <is>
          <t>04/03/2026</t>
        </is>
      </c>
      <c r="I7186" s="10" t="inlineStr">
        <is>
          <t>03/04/2026</t>
        </is>
      </c>
      <c r="J7186" s="10" t="inlineStr">
        <is>
          <t>17/03/2026</t>
        </is>
      </c>
      <c r="K7186" s="10" t="inlineStr">
        <is>
          <t>N/A</t>
        </is>
      </c>
      <c r="L7186" s="10" t="inlineStr">
        <is>
          <t>API Integration, Business Analysis, JavaScript, TypeScript, Zoho Ecosystem</t>
        </is>
      </c>
      <c r="M7186" s="10" t="inlineStr">
        <is>
          <t>Bonus, Paid Leave, Training, Team Activities, Others</t>
        </is>
      </c>
      <c r="N7186" s="11">
        <f>HYPERLINK("https://www.vietnamworks.com/business-solutions-developer-2018294-jv","Xem chi tiết")</f>
        <v/>
      </c>
      <c r="O7186" s="10" t="n"/>
    </row>
    <row r="7187">
      <c r="B7187" s="7" t="n">
        <v>7185</v>
      </c>
      <c r="C7187" t="inlineStr">
        <is>
          <t>Senior Project Development Lead</t>
        </is>
      </c>
      <c r="D7187" t="inlineStr">
        <is>
          <t>GreenYellow</t>
        </is>
      </c>
      <c r="E7187" t="inlineStr">
        <is>
          <t>Thương lượng</t>
        </is>
      </c>
      <c r="F7187" t="inlineStr">
        <is>
          <t>Hồ Chí Minh</t>
        </is>
      </c>
      <c r="G7187" t="inlineStr">
        <is>
          <t>Nhân viên</t>
        </is>
      </c>
      <c r="H7187" t="inlineStr">
        <is>
          <t>04/03/2026</t>
        </is>
      </c>
      <c r="I7187" t="inlineStr">
        <is>
          <t>03/04/2026</t>
        </is>
      </c>
      <c r="J7187" t="inlineStr">
        <is>
          <t>17/03/2026</t>
        </is>
      </c>
      <c r="K7187" t="inlineStr">
        <is>
          <t>N/A</t>
        </is>
      </c>
      <c r="L7187" t="inlineStr">
        <is>
          <t>Autocad, PV System Design, Electrical Engineering, Solar Energy, Solar Rooftop Energy Systems</t>
        </is>
      </c>
      <c r="M7187" t="inlineStr">
        <is>
          <t>Bonus, Healthcare Plan, Laptop</t>
        </is>
      </c>
      <c r="N7187" s="8">
        <f>HYPERLINK("https://www.vietnamworks.com/senior-project-development-lead-2018300-jv","Xem chi tiết")</f>
        <v/>
      </c>
    </row>
    <row r="7188">
      <c r="B7188" s="9" t="n">
        <v>7186</v>
      </c>
      <c r="C7188" s="10" t="inlineStr">
        <is>
          <t>C&amp;B Manager</t>
        </is>
      </c>
      <c r="D7188" s="10" t="inlineStr">
        <is>
          <t>KPMG Việt Nam</t>
        </is>
      </c>
      <c r="E7188" s="10" t="inlineStr">
        <is>
          <t>Thương lượng</t>
        </is>
      </c>
      <c r="F7188" s="10" t="inlineStr">
        <is>
          <t>Hồ Chí Minh</t>
        </is>
      </c>
      <c r="G7188" s="10" t="inlineStr">
        <is>
          <t>Trưởng phòng</t>
        </is>
      </c>
      <c r="H7188" s="10" t="inlineStr">
        <is>
          <t>04/03/2026</t>
        </is>
      </c>
      <c r="I7188" s="10" t="inlineStr">
        <is>
          <t>03/04/2026</t>
        </is>
      </c>
      <c r="J7188" s="10" t="inlineStr">
        <is>
          <t>17/03/2026</t>
        </is>
      </c>
      <c r="K7188" s="10" t="inlineStr">
        <is>
          <t>N/A</t>
        </is>
      </c>
      <c r="L7188" s="10" t="inlineStr">
        <is>
          <t>C&amp;B, C&amp;B Structuring, Total Rewards, Payroll</t>
        </is>
      </c>
      <c r="M7188" s="10" t="inlineStr">
        <is>
          <t>Bonus, Healthcare Plan, Training</t>
        </is>
      </c>
      <c r="N7188" s="11">
        <f>HYPERLINK("https://www.vietnamworks.com/c-b-manager--2018290-jv","Xem chi tiết")</f>
        <v/>
      </c>
      <c r="O7188" s="10" t="n"/>
    </row>
    <row r="7189">
      <c r="B7189" s="7" t="n">
        <v>7187</v>
      </c>
      <c r="C7189" t="inlineStr">
        <is>
          <t>Kỹ Sư Thiết Kế Điện</t>
        </is>
      </c>
      <c r="D7189" t="inlineStr">
        <is>
          <t>Công Ty Cổ Phần Xây Dựng A&amp;C</t>
        </is>
      </c>
      <c r="E7189" t="inlineStr">
        <is>
          <t>Thương lượng</t>
        </is>
      </c>
      <c r="F7189" t="inlineStr">
        <is>
          <t>Hồ Chí Minh</t>
        </is>
      </c>
      <c r="G7189" t="inlineStr">
        <is>
          <t>Nhân viên</t>
        </is>
      </c>
      <c r="H7189" t="inlineStr">
        <is>
          <t>04/03/2026</t>
        </is>
      </c>
      <c r="I7189" t="inlineStr">
        <is>
          <t>03/04/2026</t>
        </is>
      </c>
      <c r="J7189" t="inlineStr">
        <is>
          <t>17/03/2026</t>
        </is>
      </c>
      <c r="K7189" t="inlineStr">
        <is>
          <t>N/A</t>
        </is>
      </c>
      <c r="L7189" t="inlineStr">
        <is>
          <t>Autocad, Electrical Systems, MEP Design, Revit, Technical Management</t>
        </is>
      </c>
      <c r="M7189" t="inlineStr">
        <is>
          <t>Bonus, Healthcare Plan, Training, Canteen, Others</t>
        </is>
      </c>
      <c r="N7189" s="8">
        <f>HYPERLINK("https://www.vietnamworks.com/ky-su-thiet-ke-djien-2018305-jv","Xem chi tiết")</f>
        <v/>
      </c>
    </row>
    <row r="7190">
      <c r="B7190" s="9" t="n">
        <v>7188</v>
      </c>
      <c r="C7190" s="10" t="inlineStr">
        <is>
          <t>Điều Hành Tour Du Lịch</t>
        </is>
      </c>
      <c r="D7190" s="10" t="inlineStr">
        <is>
          <t>CÔNG TY TNHH DU LỊCH TRẢI NGHIỆM ẤN TƯỢNG VIETNAM</t>
        </is>
      </c>
      <c r="E7190" s="10" t="inlineStr">
        <is>
          <t>500-1,000 ₫/tháng</t>
        </is>
      </c>
      <c r="F7190" s="10" t="inlineStr">
        <is>
          <t>Hà Nội</t>
        </is>
      </c>
      <c r="G7190" s="10" t="inlineStr">
        <is>
          <t>Nhân viên</t>
        </is>
      </c>
      <c r="H7190" s="10" t="inlineStr">
        <is>
          <t>04/03/2026</t>
        </is>
      </c>
      <c r="I7190" s="10" t="inlineStr">
        <is>
          <t>03/04/2026</t>
        </is>
      </c>
      <c r="J7190" s="10" t="inlineStr">
        <is>
          <t>17/03/2026</t>
        </is>
      </c>
      <c r="K7190" s="10" t="inlineStr">
        <is>
          <t>N/A</t>
        </is>
      </c>
      <c r="L7190" s="10" t="inlineStr">
        <is>
          <t>Điều Hành Tour, Điều Hành Du Lịch, Điều Hành, Inbound, Bán Hàng</t>
        </is>
      </c>
      <c r="M7190" s="10" t="inlineStr">
        <is>
          <t>Bonus, Paid Leave, Travel Opportunities</t>
        </is>
      </c>
      <c r="N7190" s="11">
        <f>HYPERLINK("https://www.vietnamworks.com/dieu-hanh-tour-du-lich--2018296-jv","Xem chi tiết")</f>
        <v/>
      </c>
      <c r="O7190" s="10" t="n"/>
    </row>
    <row r="7191">
      <c r="B7191" s="7" t="n">
        <v>7189</v>
      </c>
      <c r="C7191" t="inlineStr">
        <is>
          <t>Import &amp; Export Commercial Staff</t>
        </is>
      </c>
      <c r="D7191" t="inlineStr">
        <is>
          <t>Công ty TNHH Bando Vina</t>
        </is>
      </c>
      <c r="E7191" t="inlineStr">
        <is>
          <t>Thương lượng</t>
        </is>
      </c>
      <c r="F7191" t="inlineStr">
        <is>
          <t>Hồ Chí Minh</t>
        </is>
      </c>
      <c r="G7191" t="inlineStr">
        <is>
          <t>Nhân viên</t>
        </is>
      </c>
      <c r="H7191" t="inlineStr">
        <is>
          <t>04/03/2026</t>
        </is>
      </c>
      <c r="I7191" t="inlineStr">
        <is>
          <t>03/04/2026</t>
        </is>
      </c>
      <c r="J7191" t="inlineStr">
        <is>
          <t>17/03/2026</t>
        </is>
      </c>
      <c r="K7191" t="inlineStr">
        <is>
          <t>N/A</t>
        </is>
      </c>
      <c r="L7191" t="inlineStr">
        <is>
          <t>Garment Manufacturing, Export Documents, Commercial, English, Shipping Documents</t>
        </is>
      </c>
      <c r="M7191" t="inlineStr">
        <is>
          <t>Bonus, Healthcare Plan, Others</t>
        </is>
      </c>
      <c r="N7191" s="8">
        <f>HYPERLINK("https://www.vietnamworks.com/import-and-export-commercial-staff-2018285-jv","Xem chi tiết")</f>
        <v/>
      </c>
    </row>
    <row r="7192">
      <c r="B7192" s="9" t="n">
        <v>7190</v>
      </c>
      <c r="C7192" s="10" t="inlineStr">
        <is>
          <t>Quản Lý Sản Xuất</t>
        </is>
      </c>
      <c r="D7192" s="10" t="inlineStr">
        <is>
          <t>Công Ty Cổ Phần Tập Đoàn Sunhouse</t>
        </is>
      </c>
      <c r="E7192" s="10" t="inlineStr">
        <is>
          <t>$$ 600-900 /tháng</t>
        </is>
      </c>
      <c r="F7192" s="10" t="inlineStr">
        <is>
          <t>Thái Nguyên, Hà Nội</t>
        </is>
      </c>
      <c r="G7192" s="10" t="inlineStr">
        <is>
          <t>Nhân viên</t>
        </is>
      </c>
      <c r="H7192" s="10" t="inlineStr">
        <is>
          <t>04/03/2026</t>
        </is>
      </c>
      <c r="I7192" s="10" t="inlineStr">
        <is>
          <t>03/04/2026</t>
        </is>
      </c>
      <c r="J7192" s="10" t="inlineStr">
        <is>
          <t>17/03/2026</t>
        </is>
      </c>
      <c r="K7192" s="10" t="inlineStr">
        <is>
          <t>N/A</t>
        </is>
      </c>
      <c r="L7192" s="10" t="inlineStr">
        <is>
          <t>Quản Lý Sản Xuất, Cơ Khí, Điện tử, Đồ Gia Dụng, Cải Tiến</t>
        </is>
      </c>
      <c r="M7192" s="10" t="inlineStr">
        <is>
          <t>Bonus, Travel Opportunities, Transportation</t>
        </is>
      </c>
      <c r="N7192" s="11">
        <f>HYPERLINK("https://www.vietnamworks.com/quan-ly-san-xuat--2018299-jv","Xem chi tiết")</f>
        <v/>
      </c>
      <c r="O7192" s="10" t="n"/>
    </row>
    <row r="7193">
      <c r="B7193" s="7" t="n">
        <v>7191</v>
      </c>
      <c r="C7193" t="inlineStr">
        <is>
          <t xml:space="preserve">Marketing Strategy Admin </t>
        </is>
      </c>
      <c r="D7193" t="inlineStr">
        <is>
          <t>HEINEKEN Vietnam</t>
        </is>
      </c>
      <c r="E7193" t="inlineStr">
        <is>
          <t>Thương lượng</t>
        </is>
      </c>
      <c r="F7193" t="inlineStr">
        <is>
          <t>Hồ Chí Minh</t>
        </is>
      </c>
      <c r="G7193" t="inlineStr">
        <is>
          <t>Nhân viên</t>
        </is>
      </c>
      <c r="H7193" t="inlineStr">
        <is>
          <t>04/03/2026</t>
        </is>
      </c>
      <c r="I7193" t="inlineStr">
        <is>
          <t>03/04/2026</t>
        </is>
      </c>
      <c r="J7193" t="inlineStr">
        <is>
          <t>17/03/2026</t>
        </is>
      </c>
      <c r="K7193" t="inlineStr">
        <is>
          <t>N/A</t>
        </is>
      </c>
      <c r="L7193" t="inlineStr">
        <is>
          <t>Branch Handling, Communication Skills, Information Extraction, Logistics Control, Payment Process</t>
        </is>
      </c>
      <c r="M7193" t="inlineStr">
        <is>
          <t>Canteen</t>
        </is>
      </c>
      <c r="N7193" s="8">
        <f>HYPERLINK("https://www.vietnamworks.com/marketing-strategy-admin-2018289-jv","Xem chi tiết")</f>
        <v/>
      </c>
    </row>
    <row r="7194">
      <c r="B7194" s="9" t="n">
        <v>7192</v>
      </c>
      <c r="C7194" s="10" t="inlineStr">
        <is>
          <t>Project Sales - B2B</t>
        </is>
      </c>
      <c r="D7194" s="10" t="inlineStr">
        <is>
          <t>CÔNG TY TNHH KỸ NGHỆ AMS</t>
        </is>
      </c>
      <c r="E7194" s="10" t="inlineStr">
        <is>
          <t>10tr-15tr ₫/tháng</t>
        </is>
      </c>
      <c r="F7194" s="10" t="inlineStr">
        <is>
          <t>Hồ Chí Minh</t>
        </is>
      </c>
      <c r="G7194" s="10" t="inlineStr">
        <is>
          <t>Nhân viên</t>
        </is>
      </c>
      <c r="H7194" s="10" t="inlineStr">
        <is>
          <t>04/03/2026</t>
        </is>
      </c>
      <c r="I7194" s="10" t="inlineStr">
        <is>
          <t>03/04/2026</t>
        </is>
      </c>
      <c r="J7194" s="10" t="inlineStr">
        <is>
          <t>17/03/2026</t>
        </is>
      </c>
      <c r="K7194" s="10" t="inlineStr">
        <is>
          <t>N/A</t>
        </is>
      </c>
      <c r="L7194" s="10" t="inlineStr">
        <is>
          <t>Kinh Doanh B2B, Negotiation Skills, Communication, Kinh Doanh Dự Án, Tư Vấn Giải Pháp Kỹ Thuật</t>
        </is>
      </c>
      <c r="M7194" s="10" t="inlineStr">
        <is>
          <t>Bonus, Healthcare Plan, Paid Leave, Training, Awards, Travel Opportunities, Others</t>
        </is>
      </c>
      <c r="N7194" s="11">
        <f>HYPERLINK("https://www.vietnamworks.com/project-sales-b2b-2018297-jv","Xem chi tiết")</f>
        <v/>
      </c>
      <c r="O7194" s="10" t="n"/>
    </row>
    <row r="7195">
      <c r="B7195" s="7" t="n">
        <v>7193</v>
      </c>
      <c r="C7195" t="inlineStr">
        <is>
          <t>Business Development- Supervisor/ Senior Executive- Transporation (Logistic &amp; Freight Forwarding)- HCM</t>
        </is>
      </c>
      <c r="D7195" t="inlineStr">
        <is>
          <t>Công Ty TNHH Schenker Logistics Việt Nam</t>
        </is>
      </c>
      <c r="E7195" t="inlineStr">
        <is>
          <t>$$ 826-1,650 /tháng</t>
        </is>
      </c>
      <c r="F7195" t="inlineStr">
        <is>
          <t>Hồ Chí Minh</t>
        </is>
      </c>
      <c r="G7195" t="inlineStr">
        <is>
          <t>Nhân viên</t>
        </is>
      </c>
      <c r="H7195" t="inlineStr">
        <is>
          <t>04/03/2026</t>
        </is>
      </c>
      <c r="I7195" t="inlineStr">
        <is>
          <t>03/04/2026</t>
        </is>
      </c>
      <c r="J7195" t="inlineStr">
        <is>
          <t>17/03/2026</t>
        </is>
      </c>
      <c r="K7195" t="inlineStr">
        <is>
          <t>N/A</t>
        </is>
      </c>
      <c r="L7195" t="inlineStr">
        <is>
          <t>Logistics Industry Knowledge, Logistics Knowledge, Transportation Operations, Freight Forwarding Market Knowledge, Transport Coordination</t>
        </is>
      </c>
      <c r="M7195" t="inlineStr">
        <is>
          <t>Bonus, Healthcare Plan, Others</t>
        </is>
      </c>
      <c r="N7195" s="8">
        <f>HYPERLINK("https://www.vietnamworks.com/business-development-supervisor-senior-executive-transporation-logistic-freight-forwarding-hcm-2018302-jv","Xem chi tiết")</f>
        <v/>
      </c>
    </row>
    <row r="7196">
      <c r="B7196" s="9" t="n">
        <v>7194</v>
      </c>
      <c r="C7196" s="10" t="inlineStr">
        <is>
          <t>Nhân Viên Tiếng Hàn - Korean-Speaking Staff (Experienced)</t>
        </is>
      </c>
      <c r="D7196" s="10" t="inlineStr">
        <is>
          <t>Hyosung Vietnam Corp</t>
        </is>
      </c>
      <c r="E7196" s="10" t="inlineStr">
        <is>
          <t>Thương lượng</t>
        </is>
      </c>
      <c r="F7196" s="10" t="inlineStr">
        <is>
          <t>Đồng Nai</t>
        </is>
      </c>
      <c r="G7196" s="10" t="inlineStr">
        <is>
          <t>Nhân viên</t>
        </is>
      </c>
      <c r="H7196" s="10" t="inlineStr">
        <is>
          <t>04/03/2026</t>
        </is>
      </c>
      <c r="I7196" s="10" t="inlineStr">
        <is>
          <t>03/04/2026</t>
        </is>
      </c>
      <c r="J7196" s="10" t="inlineStr">
        <is>
          <t>17/03/2026</t>
        </is>
      </c>
      <c r="K7196" s="10" t="inlineStr">
        <is>
          <t>N/A</t>
        </is>
      </c>
      <c r="L7196" s="10" t="inlineStr">
        <is>
          <t>Korean Language, Korean Interpretation, Phiên Dịch, Tiếng Hàn, Biên Phiên Dịch Tiếng Hàn</t>
        </is>
      </c>
      <c r="M7196" s="10" t="inlineStr">
        <is>
          <t>Bonus</t>
        </is>
      </c>
      <c r="N7196" s="11">
        <f>HYPERLINK("https://www.vietnamworks.com/nhan-vien-tieng-han-korean-speaking-staff-experienced-2018282-jv","Xem chi tiết")</f>
        <v/>
      </c>
      <c r="O7196" s="10" t="n"/>
    </row>
    <row r="7197">
      <c r="B7197" s="7" t="n">
        <v>7195</v>
      </c>
      <c r="C7197" t="inlineStr">
        <is>
          <t>Human Resources Business Partner (HRBP)</t>
        </is>
      </c>
      <c r="D7197" t="inlineStr">
        <is>
          <t>MISA Jointstock Company</t>
        </is>
      </c>
      <c r="E7197" t="inlineStr">
        <is>
          <t>Thương lượng</t>
        </is>
      </c>
      <c r="F7197" t="inlineStr">
        <is>
          <t>Hà Nội</t>
        </is>
      </c>
      <c r="G7197" t="inlineStr">
        <is>
          <t>Nhân viên</t>
        </is>
      </c>
      <c r="H7197" t="inlineStr">
        <is>
          <t>04/03/2026</t>
        </is>
      </c>
      <c r="I7197" t="inlineStr">
        <is>
          <t>03/04/2026</t>
        </is>
      </c>
      <c r="J7197" t="inlineStr">
        <is>
          <t>17/03/2026</t>
        </is>
      </c>
      <c r="K7197" t="inlineStr">
        <is>
          <t>N/A</t>
        </is>
      </c>
      <c r="L7197" t="inlineStr">
        <is>
          <t>Quản Trị Nhân Sự, Quan Hệ Lao Động, Dự Báo Thị Trường, Human Resources Business Partnering, Human Resource</t>
        </is>
      </c>
      <c r="M7197" t="inlineStr">
        <is>
          <t>Bonus, Training, Awards, Others</t>
        </is>
      </c>
      <c r="N7197" s="8">
        <f>HYPERLINK("https://www.vietnamworks.com/human-resources-business-partner-hrbp-2018314-jv","Xem chi tiết")</f>
        <v/>
      </c>
    </row>
    <row r="7198">
      <c r="B7198" s="9" t="n">
        <v>7196</v>
      </c>
      <c r="C7198" s="10" t="inlineStr">
        <is>
          <t>Trình Dược Viên (Hà Nội, HCM, Cần Thơ)</t>
        </is>
      </c>
      <c r="D7198" s="10" t="inlineStr">
        <is>
          <t>CÔNG TY TNHH ORCHID HEALTHCARE</t>
        </is>
      </c>
      <c r="E7198" s="10" t="inlineStr">
        <is>
          <t>Thương lượng</t>
        </is>
      </c>
      <c r="F7198" s="10" t="inlineStr">
        <is>
          <t>Hồ Chí Minh, Hà Nội, Cần Thơ</t>
        </is>
      </c>
      <c r="G7198" s="10" t="inlineStr">
        <is>
          <t>Nhân viên</t>
        </is>
      </c>
      <c r="H7198" s="10" t="inlineStr">
        <is>
          <t>04/03/2026</t>
        </is>
      </c>
      <c r="I7198" s="10" t="inlineStr">
        <is>
          <t>03/04/2026</t>
        </is>
      </c>
      <c r="J7198" s="10" t="inlineStr">
        <is>
          <t>17/03/2026</t>
        </is>
      </c>
      <c r="K7198" s="10" t="inlineStr">
        <is>
          <t>N/A</t>
        </is>
      </c>
      <c r="L7198" s="10" t="inlineStr">
        <is>
          <t>Dược, Kế Hoạch Bán Hàng, Kinh Doanh Thiết Bị Y Tế, Kinh Doanh Thuốc, Sales</t>
        </is>
      </c>
      <c r="M7198" s="10" t="inlineStr">
        <is>
          <t>Bonus, Healthcare Plan, Training, Travel Opportunities, Others</t>
        </is>
      </c>
      <c r="N7198" s="11">
        <f>HYPERLINK("https://www.vietnamworks.com/trinh-duoc-vien-ha-noi-hcm-can-tho-2018330-jv","Xem chi tiết")</f>
        <v/>
      </c>
      <c r="O7198" s="10" t="n"/>
    </row>
    <row r="7199">
      <c r="B7199" s="7" t="n">
        <v>7197</v>
      </c>
      <c r="C7199" t="inlineStr">
        <is>
          <t>Phó Phòng Hành Chính – Nhân Sự</t>
        </is>
      </c>
      <c r="D7199" t="inlineStr">
        <is>
          <t>Công Ty TNHH X.E Việt Nam</t>
        </is>
      </c>
      <c r="E7199" t="inlineStr">
        <is>
          <t>Thương lượng</t>
        </is>
      </c>
      <c r="F7199" t="inlineStr">
        <is>
          <t>Hà Nội</t>
        </is>
      </c>
      <c r="G7199" t="inlineStr">
        <is>
          <t>Trưởng phòng</t>
        </is>
      </c>
      <c r="H7199" t="inlineStr">
        <is>
          <t>04/03/2026</t>
        </is>
      </c>
      <c r="I7199" t="inlineStr">
        <is>
          <t>03/04/2026</t>
        </is>
      </c>
      <c r="J7199" t="inlineStr">
        <is>
          <t>17/03/2026</t>
        </is>
      </c>
      <c r="K7199" t="inlineStr">
        <is>
          <t>N/A</t>
        </is>
      </c>
      <c r="L7199" t="inlineStr">
        <is>
          <t>Luật Lao Động, Quản Trị Nhân Lực, Lập Kế Hoạch, Quản Lý Hành Chính, Hành Chính Nhân Sự</t>
        </is>
      </c>
      <c r="M7199" t="inlineStr">
        <is>
          <t>Bonus, Healthcare Plan, Team Activities</t>
        </is>
      </c>
      <c r="N7199" s="8">
        <f>HYPERLINK("https://www.vietnamworks.com/pho-phong-hanh-chinh-nhan-su--2018328-jv","Xem chi tiết")</f>
        <v/>
      </c>
    </row>
    <row r="7200">
      <c r="B7200" s="9" t="n">
        <v>7198</v>
      </c>
      <c r="C7200" s="10" t="inlineStr">
        <is>
          <t>CHRO - Giám Đốc Nhân Sự Tập Đoàn MISA</t>
        </is>
      </c>
      <c r="D7200" s="10" t="inlineStr">
        <is>
          <t>MISA Jointstock Company</t>
        </is>
      </c>
      <c r="E7200" s="10" t="inlineStr">
        <is>
          <t>Thương lượng</t>
        </is>
      </c>
      <c r="F7200" s="10" t="inlineStr">
        <is>
          <t>Hà Nội</t>
        </is>
      </c>
      <c r="G7200" s="10" t="inlineStr">
        <is>
          <t>Giám Đốc và Cấp Cao Hơn</t>
        </is>
      </c>
      <c r="H7200" s="10" t="inlineStr">
        <is>
          <t>04/03/2026</t>
        </is>
      </c>
      <c r="I7200" s="10" t="inlineStr">
        <is>
          <t>03/04/2026</t>
        </is>
      </c>
      <c r="J7200" s="10" t="inlineStr">
        <is>
          <t>17/03/2026</t>
        </is>
      </c>
      <c r="K7200" s="10" t="inlineStr">
        <is>
          <t>N/A</t>
        </is>
      </c>
      <c r="L7200" s="10" t="inlineStr">
        <is>
          <t>Quản Lý Nhân Sự, Chuyển đổi số, Proposal Analytics, Human Resource, Giám Đốc Nhân Sự</t>
        </is>
      </c>
      <c r="M7200" s="10" t="inlineStr">
        <is>
          <t>Bonus, Healthcare Plan, Training, Awards, Others</t>
        </is>
      </c>
      <c r="N7200" s="11">
        <f>HYPERLINK("https://www.vietnamworks.com/chro-giam-djoc-nhan-su-tap-djoan-misa-2018323-jv","Xem chi tiết")</f>
        <v/>
      </c>
      <c r="O7200" s="10" t="n"/>
    </row>
    <row r="7201">
      <c r="B7201" s="7" t="n">
        <v>7199</v>
      </c>
      <c r="C7201" t="inlineStr">
        <is>
          <t>Chuyên Viên Cao Cấp Kiểm Soát Tuân Thủ</t>
        </is>
      </c>
      <c r="D7201" t="inlineStr">
        <is>
          <t>Novaland</t>
        </is>
      </c>
      <c r="E7201" t="inlineStr">
        <is>
          <t>Thương lượng</t>
        </is>
      </c>
      <c r="F7201" t="inlineStr">
        <is>
          <t>Hồ Chí Minh</t>
        </is>
      </c>
      <c r="G7201" t="inlineStr">
        <is>
          <t>Nhân viên</t>
        </is>
      </c>
      <c r="H7201" t="inlineStr">
        <is>
          <t>04/03/2026</t>
        </is>
      </c>
      <c r="I7201" t="inlineStr">
        <is>
          <t>03/04/2026</t>
        </is>
      </c>
      <c r="J7201" t="inlineStr">
        <is>
          <t>17/03/2026</t>
        </is>
      </c>
      <c r="K7201" t="inlineStr">
        <is>
          <t>N/A</t>
        </is>
      </c>
      <c r="L7201" t="inlineStr">
        <is>
          <t>Audit, Report Writing, ISO</t>
        </is>
      </c>
      <c r="M7201" t="inlineStr">
        <is>
          <t>Bonus, Healthcare Plan, Awards</t>
        </is>
      </c>
      <c r="N7201" s="8">
        <f>HYPERLINK("https://www.vietnamworks.com/chuyen-vien-cao-cap-kiem-soat-tuan-thu--2018309-jv","Xem chi tiết")</f>
        <v/>
      </c>
    </row>
    <row r="7202">
      <c r="B7202" s="9" t="n">
        <v>7200</v>
      </c>
      <c r="C7202" s="10" t="inlineStr">
        <is>
          <t>Hà Nội - Kỹ Sư Lập Trình PLC – Thu Nhập Từ 20 - 40 Triệu +++ Vnd/tháng</t>
        </is>
      </c>
      <c r="D7202" s="10" t="inlineStr">
        <is>
          <t>Công Ty Cổ Phần Giải Pháp Tự Động Hóa Etek</t>
        </is>
      </c>
      <c r="E7202" s="10" t="inlineStr">
        <is>
          <t>20tr-40tr ₫/tháng</t>
        </is>
      </c>
      <c r="F7202" s="10" t="inlineStr">
        <is>
          <t>Hà Nội</t>
        </is>
      </c>
      <c r="G7202" s="10" t="inlineStr">
        <is>
          <t>Nhân viên</t>
        </is>
      </c>
      <c r="H7202" s="10" t="inlineStr">
        <is>
          <t>04/03/2026</t>
        </is>
      </c>
      <c r="I7202" s="10" t="inlineStr">
        <is>
          <t>03/04/2026</t>
        </is>
      </c>
      <c r="J7202" s="10" t="inlineStr">
        <is>
          <t>17/03/2026</t>
        </is>
      </c>
      <c r="K7202" s="10" t="inlineStr">
        <is>
          <t>N/A</t>
        </is>
      </c>
      <c r="L7202" s="10" t="inlineStr">
        <is>
          <t>Điều Khiển Tự Động, Lập Trình PLC, System Integration, Industrial Automation, TIA Portals</t>
        </is>
      </c>
      <c r="M7202" s="10" t="inlineStr">
        <is>
          <t>Bonus, Awards</t>
        </is>
      </c>
      <c r="N7202" s="11">
        <f>HYPERLINK("https://www.vietnamworks.com/ha-noi-ky-su-lap-trinh-plc-thu-nhap-tu-20-40-trieu-vnd-thang--2018327-jv","Xem chi tiết")</f>
        <v/>
      </c>
      <c r="O7202" s="10" t="n"/>
    </row>
    <row r="7203">
      <c r="B7203" s="7" t="n">
        <v>7201</v>
      </c>
      <c r="C7203" t="inlineStr">
        <is>
          <t>Compliance Executive</t>
        </is>
      </c>
      <c r="D7203" t="inlineStr">
        <is>
          <t>TRIWIN GROUP</t>
        </is>
      </c>
      <c r="E7203" t="inlineStr">
        <is>
          <t>Thương lượng</t>
        </is>
      </c>
      <c r="F7203" t="inlineStr">
        <is>
          <t>Hồ Chí Minh</t>
        </is>
      </c>
      <c r="G7203" t="inlineStr">
        <is>
          <t>Nhân viên</t>
        </is>
      </c>
      <c r="H7203" t="inlineStr">
        <is>
          <t>04/03/2026</t>
        </is>
      </c>
      <c r="I7203" t="inlineStr">
        <is>
          <t>03/04/2026</t>
        </is>
      </c>
      <c r="J7203" t="inlineStr">
        <is>
          <t>17/03/2026</t>
        </is>
      </c>
      <c r="K7203" t="inlineStr">
        <is>
          <t>N/A</t>
        </is>
      </c>
      <c r="L7203" t="inlineStr">
        <is>
          <t>Furniture Design, Market Research, Project Management, Furniture, Sourcing</t>
        </is>
      </c>
      <c r="M7203" t="inlineStr">
        <is>
          <t>Healthcare Plan, Training, Others</t>
        </is>
      </c>
      <c r="N7203" s="8">
        <f>HYPERLINK("https://www.vietnamworks.com/compliance-executive-2018307-jv","Xem chi tiết")</f>
        <v/>
      </c>
    </row>
    <row r="7204">
      <c r="B7204" s="9" t="n">
        <v>7202</v>
      </c>
      <c r="C7204" s="10" t="inlineStr">
        <is>
          <t>IT Infrastructure Engineer</t>
        </is>
      </c>
      <c r="D7204" s="10" t="inlineStr">
        <is>
          <t>BIDV MetLife</t>
        </is>
      </c>
      <c r="E7204" s="10" t="inlineStr">
        <is>
          <t>Thương lượng</t>
        </is>
      </c>
      <c r="F7204" s="10" t="inlineStr">
        <is>
          <t>Hà Nội</t>
        </is>
      </c>
      <c r="G7204" s="10" t="inlineStr">
        <is>
          <t>Nhân viên</t>
        </is>
      </c>
      <c r="H7204" s="10" t="inlineStr">
        <is>
          <t>04/03/2026</t>
        </is>
      </c>
      <c r="I7204" s="10" t="inlineStr">
        <is>
          <t>03/04/2026</t>
        </is>
      </c>
      <c r="J7204" s="10" t="inlineStr">
        <is>
          <t>17/03/2026</t>
        </is>
      </c>
      <c r="K7204" s="10" t="inlineStr">
        <is>
          <t>N/A</t>
        </is>
      </c>
      <c r="L7204" s="10" t="inlineStr">
        <is>
          <t>System, IT Infrastructure, Network, Security, System Troubleshooting</t>
        </is>
      </c>
      <c r="M7204" s="10" t="inlineStr">
        <is>
          <t>Healthcare Plan, Training, Others</t>
        </is>
      </c>
      <c r="N7204" s="11">
        <f>HYPERLINK("https://www.vietnamworks.com/it-infrastructure-engineer-2018322-jv","Xem chi tiết")</f>
        <v/>
      </c>
      <c r="O7204" s="10" t="n"/>
    </row>
    <row r="7205">
      <c r="B7205" s="7" t="n">
        <v>7203</v>
      </c>
      <c r="C7205" t="inlineStr">
        <is>
          <t>CEO Assistant</t>
        </is>
      </c>
      <c r="D7205" t="inlineStr">
        <is>
          <t>MISA Jointstock Company</t>
        </is>
      </c>
      <c r="E7205" t="inlineStr">
        <is>
          <t>Thương lượng</t>
        </is>
      </c>
      <c r="F7205" t="inlineStr">
        <is>
          <t>Hà Nội</t>
        </is>
      </c>
      <c r="G7205" t="inlineStr">
        <is>
          <t>Giám Đốc và Cấp Cao Hơn</t>
        </is>
      </c>
      <c r="H7205" t="inlineStr">
        <is>
          <t>04/03/2026</t>
        </is>
      </c>
      <c r="I7205" t="inlineStr">
        <is>
          <t>03/04/2026</t>
        </is>
      </c>
      <c r="J7205" t="inlineStr">
        <is>
          <t>17/03/2026</t>
        </is>
      </c>
      <c r="K7205" t="inlineStr">
        <is>
          <t>N/A</t>
        </is>
      </c>
      <c r="L7205" t="inlineStr">
        <is>
          <t>Business Development, Economics, CEO, Admin, Market Research</t>
        </is>
      </c>
      <c r="M7205" t="inlineStr">
        <is>
          <t>Bonus, Healthcare Plan, Training, Awards, Team Activities, Others</t>
        </is>
      </c>
      <c r="N7205" s="8">
        <f>HYPERLINK("https://www.vietnamworks.com/ceo-assistant-2018320-jv","Xem chi tiết")</f>
        <v/>
      </c>
    </row>
    <row r="7206">
      <c r="B7206" s="9" t="n">
        <v>7204</v>
      </c>
      <c r="C7206" s="10" t="inlineStr">
        <is>
          <t>Phó Giám Đôc Kinh Doanh Nền Tảng Fintech - Công Ty CP Jetpay (Thành Viên Tập Đoàn MISA)</t>
        </is>
      </c>
      <c r="D7206" s="10" t="inlineStr">
        <is>
          <t>MISA Jointstock Company</t>
        </is>
      </c>
      <c r="E7206" s="10" t="inlineStr">
        <is>
          <t>Tới $ 3,500 /tháng</t>
        </is>
      </c>
      <c r="F7206" s="10" t="inlineStr">
        <is>
          <t>Hà Nội</t>
        </is>
      </c>
      <c r="G7206" s="10" t="inlineStr">
        <is>
          <t>Giám Đốc và Cấp Cao Hơn</t>
        </is>
      </c>
      <c r="H7206" s="10" t="inlineStr">
        <is>
          <t>04/03/2026</t>
        </is>
      </c>
      <c r="I7206" s="10" t="inlineStr">
        <is>
          <t>03/04/2026</t>
        </is>
      </c>
      <c r="J7206" s="10" t="inlineStr">
        <is>
          <t>17/03/2026</t>
        </is>
      </c>
      <c r="K7206" s="10" t="inlineStr">
        <is>
          <t>N/A</t>
        </is>
      </c>
      <c r="L7206" s="10" t="inlineStr">
        <is>
          <t>Quản Lý Kinh Doanh, Tín Dụng Ngân Hàng, Fintech, Tài Chính Ngân Hàng, Giám đốc kinh doanh</t>
        </is>
      </c>
      <c r="M7206" s="10" t="inlineStr">
        <is>
          <t>Bonus, Healthcare Plan, Training, Awards, Team Activities, Others</t>
        </is>
      </c>
      <c r="N7206" s="11">
        <f>HYPERLINK("https://www.vietnamworks.com/pho-giam-djoc-kinh-doanh-nen-tang-fintech-cong-ty-cp-jetpay-thanh-vien-tap-djoan-misa-2018325-jv","Xem chi tiết")</f>
        <v/>
      </c>
      <c r="O7206" s="10" t="n"/>
    </row>
    <row r="7207">
      <c r="B7207" s="7" t="n">
        <v>7205</v>
      </c>
      <c r="C7207" t="inlineStr">
        <is>
          <t>Tuyển Gấp - Nhân Viên Thiết Kế Kết Cấu</t>
        </is>
      </c>
      <c r="D7207" t="inlineStr">
        <is>
          <t>Công Ty Cổ Phần Xây Dựng A&amp;C</t>
        </is>
      </c>
      <c r="E7207" t="inlineStr">
        <is>
          <t>Thương lượng</t>
        </is>
      </c>
      <c r="F7207" t="inlineStr">
        <is>
          <t>Hồ Chí Minh</t>
        </is>
      </c>
      <c r="G7207" t="inlineStr">
        <is>
          <t>Nhân viên</t>
        </is>
      </c>
      <c r="H7207" t="inlineStr">
        <is>
          <t>04/03/2026</t>
        </is>
      </c>
      <c r="I7207" t="inlineStr">
        <is>
          <t>03/04/2026</t>
        </is>
      </c>
      <c r="J7207" t="inlineStr">
        <is>
          <t>17/03/2026</t>
        </is>
      </c>
      <c r="K7207" t="inlineStr">
        <is>
          <t>N/A</t>
        </is>
      </c>
      <c r="L7207" t="inlineStr">
        <is>
          <t>Giao Tiếp, Quyết Toán Khối Lượng, Soạn Báo Cáo, Sử Dụng Phần Mềm, Thiết Kế Kết Cấu</t>
        </is>
      </c>
      <c r="M7207" t="inlineStr">
        <is>
          <t>Bonus, Healthcare Plan, Training, Travel Opportunities, Others</t>
        </is>
      </c>
      <c r="N7207" s="8">
        <f>HYPERLINK("https://www.vietnamworks.com/tuyen-gap-nhan-vien-thiet-ke-ket-cau-2018311-jv","Xem chi tiết")</f>
        <v/>
      </c>
    </row>
    <row r="7208">
      <c r="B7208" s="9" t="n">
        <v>7206</v>
      </c>
      <c r="C7208" s="10" t="inlineStr">
        <is>
          <t>Tuyển Gấp - Kỹ Sư Công Trình (Công Trình Công Nghiệp Lớn)</t>
        </is>
      </c>
      <c r="D7208" s="10" t="inlineStr">
        <is>
          <t>Công Ty Cổ Phần Xây Dựng A&amp;C</t>
        </is>
      </c>
      <c r="E7208" s="10" t="inlineStr">
        <is>
          <t>Thương lượng</t>
        </is>
      </c>
      <c r="F7208" s="10" t="inlineStr">
        <is>
          <t>Hồ Chí Minh</t>
        </is>
      </c>
      <c r="G7208" s="10" t="inlineStr">
        <is>
          <t>Nhân viên</t>
        </is>
      </c>
      <c r="H7208" s="10" t="inlineStr">
        <is>
          <t>04/03/2026</t>
        </is>
      </c>
      <c r="I7208" s="10" t="inlineStr">
        <is>
          <t>03/04/2026</t>
        </is>
      </c>
      <c r="J7208" s="10" t="inlineStr">
        <is>
          <t>17/03/2026</t>
        </is>
      </c>
      <c r="K7208" s="10" t="inlineStr">
        <is>
          <t>N/A</t>
        </is>
      </c>
      <c r="L7208" s="10" t="inlineStr">
        <is>
          <t>Kỹ năng giao tiếp, Lập Trình AutoCAD, MS Office, Quản Lý</t>
        </is>
      </c>
      <c r="M7208" s="10" t="inlineStr">
        <is>
          <t>Bonus, Healthcare Plan, Training, Others</t>
        </is>
      </c>
      <c r="N7208" s="11">
        <f>HYPERLINK("https://www.vietnamworks.com/tuyen-gap-ky-su-cong-trinh-cong-trinh-cong-nghiep-lon-2018321-jv","Xem chi tiết")</f>
        <v/>
      </c>
      <c r="O7208" s="10" t="n"/>
    </row>
    <row r="7209">
      <c r="B7209" s="7" t="n">
        <v>7207</v>
      </c>
      <c r="C7209" t="inlineStr">
        <is>
          <t>Senior Talent Acquisition Specialist</t>
        </is>
      </c>
      <c r="D7209" t="inlineStr">
        <is>
          <t>Công ty cổ phần Chứng khoán VPS (VPS)</t>
        </is>
      </c>
      <c r="E7209" t="inlineStr">
        <is>
          <t>Thương lượng</t>
        </is>
      </c>
      <c r="F7209" t="inlineStr">
        <is>
          <t>Hà Nội</t>
        </is>
      </c>
      <c r="G7209" t="inlineStr">
        <is>
          <t>Nhân viên</t>
        </is>
      </c>
      <c r="H7209" t="inlineStr">
        <is>
          <t>04/03/2026</t>
        </is>
      </c>
      <c r="I7209" t="inlineStr">
        <is>
          <t>03/04/2026</t>
        </is>
      </c>
      <c r="J7209" t="inlineStr">
        <is>
          <t>17/03/2026</t>
        </is>
      </c>
      <c r="K7209" t="inlineStr">
        <is>
          <t>N/A</t>
        </is>
      </c>
      <c r="L7209" t="inlineStr">
        <is>
          <t>Talent Recruitment, Talent Acquisition, Recruitment</t>
        </is>
      </c>
      <c r="M7209" t="inlineStr">
        <is>
          <t>Bonus</t>
        </is>
      </c>
      <c r="N7209" s="8">
        <f>HYPERLINK("https://www.vietnamworks.com/senior-talent-acquisition-specialist--2018306-jv","Xem chi tiết")</f>
        <v/>
      </c>
    </row>
    <row r="7210">
      <c r="B7210" s="9" t="n">
        <v>7208</v>
      </c>
      <c r="C7210" s="10" t="inlineStr">
        <is>
          <t>Cán Bộ Tuyển Sinh Quốc Tế</t>
        </is>
      </c>
      <c r="D7210" s="10" t="inlineStr">
        <is>
          <t>Tổ chức Giáo dục FPT - FPT Education Đà Nẵng</t>
        </is>
      </c>
      <c r="E7210" s="10" t="inlineStr">
        <is>
          <t>11tr-15tr ₫/tháng</t>
        </is>
      </c>
      <c r="F7210" s="10" t="inlineStr">
        <is>
          <t>Đà Nẵng</t>
        </is>
      </c>
      <c r="G7210" s="10" t="inlineStr">
        <is>
          <t>Nhân viên</t>
        </is>
      </c>
      <c r="H7210" s="10" t="inlineStr">
        <is>
          <t>04/03/2026</t>
        </is>
      </c>
      <c r="I7210" s="10" t="inlineStr">
        <is>
          <t>03/04/2026</t>
        </is>
      </c>
      <c r="J7210" s="10" t="inlineStr">
        <is>
          <t>17/03/2026</t>
        </is>
      </c>
      <c r="K7210" s="10" t="inlineStr">
        <is>
          <t>N/A</t>
        </is>
      </c>
      <c r="L7210" s="10" t="inlineStr">
        <is>
          <t>Kỹ năng giao tiếp, Tiếng Anh thành thạo, Tiếng Hàn Thành thạo, Tiếng Nhật, Tư Duy Logic</t>
        </is>
      </c>
      <c r="M7210" s="10" t="inlineStr">
        <is>
          <t>Healthcare Plan, Training, Others</t>
        </is>
      </c>
      <c r="N7210" s="11">
        <f>HYPERLINK("https://www.vietnamworks.com/can-bo-tuyen-sinh-quoc-te-2018326-jv","Xem chi tiết")</f>
        <v/>
      </c>
      <c r="O7210" s="10" t="n"/>
    </row>
    <row r="7211">
      <c r="B7211" s="7" t="n">
        <v>7209</v>
      </c>
      <c r="C7211" t="inlineStr">
        <is>
          <t>Nhân Viên Kỹ Thuật Điện</t>
        </is>
      </c>
      <c r="D7211" t="inlineStr">
        <is>
          <t>Trung tâm Triển lãm Quốc tế I.C.E.Hanoi</t>
        </is>
      </c>
      <c r="E7211" t="inlineStr">
        <is>
          <t>Thương lượng</t>
        </is>
      </c>
      <c r="F7211" t="inlineStr">
        <is>
          <t>Hà Nội</t>
        </is>
      </c>
      <c r="G7211" t="inlineStr">
        <is>
          <t>Nhân viên</t>
        </is>
      </c>
      <c r="H7211" t="inlineStr">
        <is>
          <t>04/03/2026</t>
        </is>
      </c>
      <c r="I7211" t="inlineStr">
        <is>
          <t>03/04/2026</t>
        </is>
      </c>
      <c r="J7211" t="inlineStr">
        <is>
          <t>17/03/2026</t>
        </is>
      </c>
      <c r="K7211" t="inlineStr">
        <is>
          <t>N/A</t>
        </is>
      </c>
      <c r="L7211" t="inlineStr">
        <is>
          <t>Kỹ Thuật Điện, Electrical Engineer, Electrical Engineering, Tự Động Hóa, Điện tử</t>
        </is>
      </c>
      <c r="M7211" t="inlineStr">
        <is>
          <t>Bonus, Healthcare Plan, Paid Leave</t>
        </is>
      </c>
      <c r="N7211" s="8">
        <f>HYPERLINK("https://www.vietnamworks.com/nhan-vien-ky-thuat-dien--2018329-jv","Xem chi tiết")</f>
        <v/>
      </c>
    </row>
    <row r="7212">
      <c r="B7212" s="9" t="n">
        <v>7210</v>
      </c>
      <c r="C7212" s="10" t="inlineStr">
        <is>
          <t>Marketing Specialist</t>
        </is>
      </c>
      <c r="D7212" s="10" t="inlineStr">
        <is>
          <t>ISC EDUCATION</t>
        </is>
      </c>
      <c r="E7212" s="10" t="inlineStr">
        <is>
          <t>Thương lượng</t>
        </is>
      </c>
      <c r="F7212" s="10" t="inlineStr">
        <is>
          <t>Hà Nội</t>
        </is>
      </c>
      <c r="G7212" s="10" t="inlineStr">
        <is>
          <t>Nhân viên</t>
        </is>
      </c>
      <c r="H7212" s="10" t="inlineStr">
        <is>
          <t>04/03/2026</t>
        </is>
      </c>
      <c r="I7212" s="10" t="inlineStr">
        <is>
          <t>03/04/2026</t>
        </is>
      </c>
      <c r="J7212" s="10" t="inlineStr">
        <is>
          <t>17/03/2026</t>
        </is>
      </c>
      <c r="K7212" s="10" t="inlineStr">
        <is>
          <t>N/A</t>
        </is>
      </c>
      <c r="L7212" s="10" t="inlineStr">
        <is>
          <t>Ads Marketing, Marketing Campaigns, Marketing Planning, Online Marketing Trends, Truyền Thông</t>
        </is>
      </c>
      <c r="M7212" s="10" t="inlineStr">
        <is>
          <t>Bonus, Healthcare Plan, Training, Travel Opportunities, Others</t>
        </is>
      </c>
      <c r="N7212" s="11">
        <f>HYPERLINK("https://www.vietnamworks.com/marketing-specialist-2018308-jv","Xem chi tiết")</f>
        <v/>
      </c>
      <c r="O7212" s="10" t="n"/>
    </row>
    <row r="7213">
      <c r="B7213" s="7" t="n">
        <v>7211</v>
      </c>
      <c r="C7213" t="inlineStr">
        <is>
          <t>Regulatory Executive</t>
        </is>
      </c>
      <c r="D7213" t="inlineStr">
        <is>
          <t>Masan Consumer Holdings</t>
        </is>
      </c>
      <c r="E7213" t="inlineStr">
        <is>
          <t>Thương lượng</t>
        </is>
      </c>
      <c r="F7213" t="inlineStr">
        <is>
          <t>Hồ Chí Minh</t>
        </is>
      </c>
      <c r="G7213" t="inlineStr">
        <is>
          <t>Nhân viên</t>
        </is>
      </c>
      <c r="H7213" t="inlineStr">
        <is>
          <t>04/03/2026</t>
        </is>
      </c>
      <c r="I7213" t="inlineStr">
        <is>
          <t>03/04/2026</t>
        </is>
      </c>
      <c r="J7213" t="inlineStr">
        <is>
          <t>17/03/2026</t>
        </is>
      </c>
      <c r="K7213" t="inlineStr">
        <is>
          <t>N/A</t>
        </is>
      </c>
      <c r="L7213" t="inlineStr">
        <is>
          <t>Compliance, Regulatory Affairs, Product Declaration, Food Safety Regulation, Labeling Review</t>
        </is>
      </c>
      <c r="M7213" t="inlineStr">
        <is>
          <t>Bonus, Laptop, Others</t>
        </is>
      </c>
      <c r="N7213" s="8">
        <f>HYPERLINK("https://www.vietnamworks.com/regulatory-executive--2018324-jv","Xem chi tiết")</f>
        <v/>
      </c>
    </row>
    <row r="7214">
      <c r="B7214" s="9" t="n">
        <v>7212</v>
      </c>
      <c r="C7214" s="10" t="inlineStr">
        <is>
          <t>Chuyên Viên Cao Cấp ALM Chiến Lược Phòng ALM Khối Thị Trường &amp; Quản Trị Tài Chính</t>
        </is>
      </c>
      <c r="D7214" s="10" t="inlineStr">
        <is>
          <t>Ngân hàng Lộc Phát Việt Nam LPBank</t>
        </is>
      </c>
      <c r="E7214" s="10" t="inlineStr">
        <is>
          <t>Thương lượng</t>
        </is>
      </c>
      <c r="F7214" s="10" t="inlineStr">
        <is>
          <t>Hà Nội</t>
        </is>
      </c>
      <c r="G7214" s="10" t="inlineStr">
        <is>
          <t>Nhân viên</t>
        </is>
      </c>
      <c r="H7214" s="10" t="inlineStr">
        <is>
          <t>04/03/2026</t>
        </is>
      </c>
      <c r="I7214" s="10" t="inlineStr">
        <is>
          <t>03/04/2026</t>
        </is>
      </c>
      <c r="J7214" s="10" t="inlineStr">
        <is>
          <t>17/03/2026</t>
        </is>
      </c>
      <c r="K7214" s="10" t="inlineStr">
        <is>
          <t>N/A</t>
        </is>
      </c>
      <c r="L7214" s="10" t="inlineStr">
        <is>
          <t>ALM, BSM, CFA, Quản Lý Tài Sản, Tài Chính Ngân Hàng</t>
        </is>
      </c>
      <c r="M7214" s="10" t="inlineStr">
        <is>
          <t>Bonus, Healthcare Plan, Paid Leave, Laptop, Canteen, Others</t>
        </is>
      </c>
      <c r="N7214" s="11">
        <f>HYPERLINK("https://www.vietnamworks.com/chuyen-vien-cao-cap-alm-chien-luoc-phong-alm-khoi-thi-truong-and-quan-tri-tai-chinh-2018319-jv","Xem chi tiết")</f>
        <v/>
      </c>
      <c r="O7214" s="10" t="n"/>
    </row>
    <row r="7215">
      <c r="B7215" s="7" t="n">
        <v>7213</v>
      </c>
      <c r="C7215" t="inlineStr">
        <is>
          <t>생산관리 경력사원 | Production Management Staff (Experienced)</t>
        </is>
      </c>
      <c r="D7215" t="inlineStr">
        <is>
          <t>Hyosung Vietnam Corp</t>
        </is>
      </c>
      <c r="E7215" t="inlineStr">
        <is>
          <t>Thương lượng</t>
        </is>
      </c>
      <c r="F7215" t="inlineStr">
        <is>
          <t>Đồng Nai</t>
        </is>
      </c>
      <c r="G7215" t="inlineStr">
        <is>
          <t>Nhân viên</t>
        </is>
      </c>
      <c r="H7215" t="inlineStr">
        <is>
          <t>04/03/2026</t>
        </is>
      </c>
      <c r="I7215" t="inlineStr">
        <is>
          <t>03/04/2026</t>
        </is>
      </c>
      <c r="J7215" t="inlineStr">
        <is>
          <t>17/03/2026</t>
        </is>
      </c>
      <c r="K7215" t="inlineStr">
        <is>
          <t>N/A</t>
        </is>
      </c>
      <c r="L7215" t="inlineStr">
        <is>
          <t>Production Engineer, Yarn, Tire Industry Knowledge, Korean</t>
        </is>
      </c>
      <c r="M7215" t="inlineStr">
        <is>
          <t>Bonus</t>
        </is>
      </c>
      <c r="N7215" s="8">
        <f>HYPERLINK("https://www.vietnamworks.com/piao-ju-yao-gong-dan-bai-lang-subashiri-production-management-staff-experienced-2018333-jv","Xem chi tiết")</f>
        <v/>
      </c>
    </row>
    <row r="7216">
      <c r="B7216" s="9" t="n">
        <v>7214</v>
      </c>
      <c r="C7216" s="10" t="inlineStr">
        <is>
          <t>Project Manager (Fit-Out)</t>
        </is>
      </c>
      <c r="D7216" s="10" t="inlineStr">
        <is>
          <t>Jones Lang LaSalle Vietnam</t>
        </is>
      </c>
      <c r="E7216" s="10" t="inlineStr">
        <is>
          <t>Thương lượng</t>
        </is>
      </c>
      <c r="F7216" s="10" t="inlineStr">
        <is>
          <t>Hồ Chí Minh</t>
        </is>
      </c>
      <c r="G7216" s="10" t="inlineStr">
        <is>
          <t>Trưởng phòng</t>
        </is>
      </c>
      <c r="H7216" s="10" t="inlineStr">
        <is>
          <t>04/03/2026</t>
        </is>
      </c>
      <c r="I7216" s="10" t="inlineStr">
        <is>
          <t>03/04/2026</t>
        </is>
      </c>
      <c r="J7216" s="10" t="inlineStr">
        <is>
          <t>17/03/2026</t>
        </is>
      </c>
      <c r="K7216" s="10" t="inlineStr">
        <is>
          <t>N/A</t>
        </is>
      </c>
      <c r="L7216" s="10" t="inlineStr">
        <is>
          <t>Project Management, PMP, English Language Proficiency, Fit Out, Construction Contracts</t>
        </is>
      </c>
      <c r="M7216" s="10" t="inlineStr">
        <is>
          <t>Bonus, Healthcare Plan, Paid Leave</t>
        </is>
      </c>
      <c r="N7216" s="11">
        <f>HYPERLINK("https://www.vietnamworks.com/project-manager-fit-out--2018317-jv","Xem chi tiết")</f>
        <v/>
      </c>
      <c r="O7216" s="10" t="n"/>
    </row>
    <row r="7217">
      <c r="B7217" s="7" t="n">
        <v>7215</v>
      </c>
      <c r="C7217" t="inlineStr">
        <is>
          <t>Chuyên Viên C&amp;B - Lương Upto 15Tr - Đi Làm Ngay</t>
        </is>
      </c>
      <c r="D7217" t="inlineStr">
        <is>
          <t>Asl LAW</t>
        </is>
      </c>
      <c r="E7217" t="inlineStr">
        <is>
          <t>12tr-15tr ₫/tháng</t>
        </is>
      </c>
      <c r="F7217" t="inlineStr">
        <is>
          <t>Hà Nội</t>
        </is>
      </c>
      <c r="G7217" t="inlineStr">
        <is>
          <t>Nhân viên</t>
        </is>
      </c>
      <c r="H7217" t="inlineStr">
        <is>
          <t>04/03/2026</t>
        </is>
      </c>
      <c r="I7217" t="inlineStr">
        <is>
          <t>03/04/2026</t>
        </is>
      </c>
      <c r="J7217" t="inlineStr">
        <is>
          <t>17/03/2026</t>
        </is>
      </c>
      <c r="K7217" t="inlineStr">
        <is>
          <t>N/A</t>
        </is>
      </c>
      <c r="L7217" t="inlineStr">
        <is>
          <t>Quản Trị Nhân Sự, Excel, Phân Tích Số Liệu, Compensation &amp; Benefits, Tính Lương</t>
        </is>
      </c>
      <c r="M7217" t="inlineStr">
        <is>
          <t>Bonus, Paid Leave, Training, Team Activities, Others</t>
        </is>
      </c>
      <c r="N7217" s="8">
        <f>HYPERLINK("https://www.vietnamworks.com/chuyen-vien-c-b-luong-upto-15tr-di-lam-ngay-2018343-jv","Xem chi tiết")</f>
        <v/>
      </c>
    </row>
    <row r="7218">
      <c r="B7218" s="9" t="n">
        <v>7216</v>
      </c>
      <c r="C7218" s="10" t="inlineStr">
        <is>
          <t>Head of B2B Channel Sales</t>
        </is>
      </c>
      <c r="D7218" s="10" t="inlineStr">
        <is>
          <t>Samsung Vina Electronics (savina-s)</t>
        </is>
      </c>
      <c r="E7218" s="10" t="inlineStr">
        <is>
          <t>Thương lượng</t>
        </is>
      </c>
      <c r="F7218" s="10" t="inlineStr">
        <is>
          <t>Hồ Chí Minh</t>
        </is>
      </c>
      <c r="G7218" s="10" t="inlineStr">
        <is>
          <t>Trưởng phòng</t>
        </is>
      </c>
      <c r="H7218" s="10" t="inlineStr">
        <is>
          <t>04/03/2026</t>
        </is>
      </c>
      <c r="I7218" s="10" t="inlineStr">
        <is>
          <t>03/04/2026</t>
        </is>
      </c>
      <c r="J7218" s="10" t="inlineStr">
        <is>
          <t>17/03/2026</t>
        </is>
      </c>
      <c r="K7218" s="10" t="inlineStr">
        <is>
          <t>N/A</t>
        </is>
      </c>
      <c r="L7218" s="10" t="inlineStr">
        <is>
          <t>B2B Sale, B2B Business Development, Strategic partnerships</t>
        </is>
      </c>
      <c r="M7218" s="10" t="inlineStr">
        <is>
          <t>Bonus, Healthcare Plan</t>
        </is>
      </c>
      <c r="N7218" s="11">
        <f>HYPERLINK("https://www.vietnamworks.com/head-of-b2b-channel-sales-2018350-jv","Xem chi tiết")</f>
        <v/>
      </c>
      <c r="O7218" s="10" t="n"/>
    </row>
    <row r="7219">
      <c r="B7219" s="7" t="n">
        <v>7217</v>
      </c>
      <c r="C7219" t="inlineStr">
        <is>
          <t>Automation Senior Engineer</t>
        </is>
      </c>
      <c r="D7219" t="inlineStr">
        <is>
          <t>Piaggio Vietnam Co., Ltd (Pvn)</t>
        </is>
      </c>
      <c r="E7219" t="inlineStr">
        <is>
          <t>Thương lượng</t>
        </is>
      </c>
      <c r="F7219" t="inlineStr">
        <is>
          <t>Vĩnh Phúc, Hà Nội</t>
        </is>
      </c>
      <c r="G7219" t="inlineStr">
        <is>
          <t>Nhân viên</t>
        </is>
      </c>
      <c r="H7219" t="inlineStr">
        <is>
          <t>04/03/2026</t>
        </is>
      </c>
      <c r="I7219" t="inlineStr">
        <is>
          <t>03/04/2026</t>
        </is>
      </c>
      <c r="J7219" t="inlineStr">
        <is>
          <t>17/03/2026</t>
        </is>
      </c>
      <c r="K7219" t="inlineStr">
        <is>
          <t>N/A</t>
        </is>
      </c>
      <c r="L7219" t="inlineStr">
        <is>
          <t>Cơ Điện Tử, Giao Tiếp Tiếng Anh, Kỹ Thuật Công Nghiệp, Kỹ thuật Tự động hóa, Điều Khiển Tự Động</t>
        </is>
      </c>
      <c r="M7219" t="inlineStr">
        <is>
          <t>Bonus, Healthcare Plan, Paid Leave, Training, Team Activities, Vouchers</t>
        </is>
      </c>
      <c r="N7219" s="8">
        <f>HYPERLINK("https://www.vietnamworks.com/automation-senior-engineer-2018337-jv","Xem chi tiết")</f>
        <v/>
      </c>
    </row>
    <row r="7220">
      <c r="B7220" s="9" t="n">
        <v>7218</v>
      </c>
      <c r="C7220" s="10" t="inlineStr">
        <is>
          <t>Chuyên Viên Cao Cấp - Phát Triển Năng Lực &amp; Vận Hành Kinh Doanh</t>
        </is>
      </c>
      <c r="D7220" s="10" t="inlineStr">
        <is>
          <t>Công Ty Cổ Phần Vàng Bạc Đá Quý Phú Nhuận (PNJ)</t>
        </is>
      </c>
      <c r="E7220" s="10" t="inlineStr">
        <is>
          <t>Thương lượng</t>
        </is>
      </c>
      <c r="F7220" s="10" t="inlineStr">
        <is>
          <t>Hồ Chí Minh</t>
        </is>
      </c>
      <c r="G7220" s="10" t="inlineStr">
        <is>
          <t>Nhân viên</t>
        </is>
      </c>
      <c r="H7220" s="10" t="inlineStr">
        <is>
          <t>04/03/2026</t>
        </is>
      </c>
      <c r="I7220" s="10" t="inlineStr">
        <is>
          <t>03/04/2026</t>
        </is>
      </c>
      <c r="J7220" s="10" t="inlineStr">
        <is>
          <t>17/03/2026</t>
        </is>
      </c>
      <c r="K7220" s="10" t="inlineStr">
        <is>
          <t>N/A</t>
        </is>
      </c>
      <c r="L7220" s="10" t="inlineStr">
        <is>
          <t>Sales Training, Đào Tạo, Huấn Luyện, Training, Giảng Dạy</t>
        </is>
      </c>
      <c r="M7220" s="10" t="inlineStr">
        <is>
          <t>Bonus, Healthcare Plan, Paid Leave</t>
        </is>
      </c>
      <c r="N7220" s="11">
        <f>HYPERLINK("https://www.vietnamworks.com/chuyen-vien-cao-cap-phat-trien-nang-luc-van-hanh-kinh-doanh--2018339-jv","Xem chi tiết")</f>
        <v/>
      </c>
      <c r="O7220" s="10" t="n"/>
    </row>
    <row r="7221">
      <c r="B7221" s="7" t="n">
        <v>7219</v>
      </c>
      <c r="C7221" t="inlineStr">
        <is>
          <t>Kỹ Sư Hệ Thống Điện Tự Động Hóa Điện CN - Kỹ Thuật Điện Tử (Automation Electrical Systems Engineer - Electronics Engineering)</t>
        </is>
      </c>
      <c r="D7221" t="inlineStr">
        <is>
          <t>Công Ty Cổ Phần Đầu Tư Và Xây Lắp Kỹ Thuật Hạ Tầng - Pidi</t>
        </is>
      </c>
      <c r="E7221" t="inlineStr">
        <is>
          <t>$$ 500-700 /tháng</t>
        </is>
      </c>
      <c r="F7221" t="inlineStr">
        <is>
          <t>Hà Nội</t>
        </is>
      </c>
      <c r="G7221" t="inlineStr">
        <is>
          <t>Nhân viên</t>
        </is>
      </c>
      <c r="H7221" t="inlineStr">
        <is>
          <t>04/03/2026</t>
        </is>
      </c>
      <c r="I7221" t="inlineStr">
        <is>
          <t>03/04/2026</t>
        </is>
      </c>
      <c r="J7221" t="inlineStr">
        <is>
          <t>17/03/2026</t>
        </is>
      </c>
      <c r="K7221" t="inlineStr">
        <is>
          <t>N/A</t>
        </is>
      </c>
      <c r="L7221" t="inlineStr">
        <is>
          <t>Kỹ Thuật Điện, Điện Tử, Autocad, EPLAN, Tự Động Hóa</t>
        </is>
      </c>
      <c r="M7221" t="inlineStr">
        <is>
          <t>Bonus, Healthcare Plan, Paid Leave, Training, Team Activities</t>
        </is>
      </c>
      <c r="N7221" s="8">
        <f>HYPERLINK("https://www.vietnamworks.com/ky-su-he-thong-djien-tu-djong-hoa-djien-cn-ky-thuat-djien-tu-automation-electrical-systems-engineer-electronics-engineering-2018335-jv","Xem chi tiết")</f>
        <v/>
      </c>
    </row>
    <row r="7222">
      <c r="B7222" s="9" t="n">
        <v>7220</v>
      </c>
      <c r="C7222" s="10" t="inlineStr">
        <is>
          <t>Tax Accountant</t>
        </is>
      </c>
      <c r="D7222" s="10" t="inlineStr">
        <is>
          <t>Công Ty TNHH Heart Of Darkness Việt Nam</t>
        </is>
      </c>
      <c r="E7222" s="10" t="inlineStr">
        <is>
          <t>Thương lượng</t>
        </is>
      </c>
      <c r="F7222" s="10" t="inlineStr">
        <is>
          <t>Hồ Chí Minh</t>
        </is>
      </c>
      <c r="G7222" s="10" t="inlineStr">
        <is>
          <t>Nhân viên</t>
        </is>
      </c>
      <c r="H7222" s="10" t="inlineStr">
        <is>
          <t>04/03/2026</t>
        </is>
      </c>
      <c r="I7222" s="10" t="inlineStr">
        <is>
          <t>03/04/2026</t>
        </is>
      </c>
      <c r="J7222" s="10" t="inlineStr">
        <is>
          <t>17/03/2026</t>
        </is>
      </c>
      <c r="K7222" s="10" t="inlineStr">
        <is>
          <t>N/A</t>
        </is>
      </c>
      <c r="L7222" s="10" t="inlineStr">
        <is>
          <t>Kế Toán, Kiểm Toán, Tài Chính, Báo Cáo Thuế, Thuế</t>
        </is>
      </c>
      <c r="M7222" s="10" t="inlineStr">
        <is>
          <t>Healthcare Plan, Paid Leave, Team Activities, Others</t>
        </is>
      </c>
      <c r="N7222" s="11">
        <f>HYPERLINK("https://www.vietnamworks.com/tax-accountant-2018344-jv","Xem chi tiết")</f>
        <v/>
      </c>
      <c r="O7222" s="10" t="n"/>
    </row>
    <row r="7223">
      <c r="B7223" s="7" t="n">
        <v>7221</v>
      </c>
      <c r="C7223" t="inlineStr">
        <is>
          <t>Luật Sư (Nữ)</t>
        </is>
      </c>
      <c r="D7223" t="inlineStr">
        <is>
          <t>Luật Nguyễn Lê</t>
        </is>
      </c>
      <c r="E7223" t="inlineStr">
        <is>
          <t>Thương lượng</t>
        </is>
      </c>
      <c r="F7223" t="inlineStr">
        <is>
          <t>Hồ Chí Minh</t>
        </is>
      </c>
      <c r="G7223" t="inlineStr">
        <is>
          <t>Nhân viên</t>
        </is>
      </c>
      <c r="H7223" t="inlineStr">
        <is>
          <t>04/03/2026</t>
        </is>
      </c>
      <c r="I7223" t="inlineStr">
        <is>
          <t>03/04/2026</t>
        </is>
      </c>
      <c r="J7223" t="inlineStr">
        <is>
          <t>17/03/2026</t>
        </is>
      </c>
      <c r="K7223" t="inlineStr">
        <is>
          <t>N/A</t>
        </is>
      </c>
      <c r="L7223" t="inlineStr">
        <is>
          <t>Tư Vấn Pháp Lý, Tranh Tụng, Xử Lý Tình Huống, Soạn Thảo Văn Bản, Giao Tiếp Chủ Động</t>
        </is>
      </c>
      <c r="M7223" t="inlineStr">
        <is>
          <t>Bonus, Healthcare Plan, Training, Awards, Team Activities, Others</t>
        </is>
      </c>
      <c r="N7223" s="8">
        <f>HYPERLINK("https://www.vietnamworks.com/luat-su-nu-2018349-jv","Xem chi tiết")</f>
        <v/>
      </c>
    </row>
    <row r="7224">
      <c r="B7224" s="9" t="n">
        <v>7222</v>
      </c>
      <c r="C7224" s="10" t="inlineStr">
        <is>
          <t>Trưởng Phòng Kỹ Thuật Công Nghệ May (Upto 2000$)</t>
        </is>
      </c>
      <c r="D7224" s="10" t="inlineStr">
        <is>
          <t>Spectre GT Vietnam</t>
        </is>
      </c>
      <c r="E7224" s="10" t="inlineStr">
        <is>
          <t>Thương lượng</t>
        </is>
      </c>
      <c r="F7224" s="10" t="inlineStr">
        <is>
          <t>Thái Bình, Nam Định</t>
        </is>
      </c>
      <c r="G7224" s="10" t="inlineStr">
        <is>
          <t>Trưởng phòng</t>
        </is>
      </c>
      <c r="H7224" s="10" t="inlineStr">
        <is>
          <t>04/03/2026</t>
        </is>
      </c>
      <c r="I7224" s="10" t="inlineStr">
        <is>
          <t>03/04/2026</t>
        </is>
      </c>
      <c r="J7224" s="10" t="inlineStr">
        <is>
          <t>17/03/2026</t>
        </is>
      </c>
      <c r="K7224" s="10" t="inlineStr">
        <is>
          <t>N/A</t>
        </is>
      </c>
      <c r="L7224" s="10" t="inlineStr">
        <is>
          <t>Apparel Technique, Clothing Design, Kỹ Thuật May Mặc, Apparel Production, Apparel</t>
        </is>
      </c>
      <c r="M7224" s="10" t="inlineStr">
        <is>
          <t>Bonus, Healthcare Plan, Others</t>
        </is>
      </c>
      <c r="N7224" s="11">
        <f>HYPERLINK("https://www.vietnamworks.com/truong-phong-ky-thuat-cong-nghe-may-upto-2000-2018345-jv","Xem chi tiết")</f>
        <v/>
      </c>
      <c r="O7224" s="10" t="n"/>
    </row>
    <row r="7225">
      <c r="B7225" s="7" t="n">
        <v>7223</v>
      </c>
      <c r="C7225" t="inlineStr">
        <is>
          <t>Trưởng Phòng Kinh Doanh / Sale Manager (Ngành Hàng Mẹ &amp; Bé)</t>
        </is>
      </c>
      <c r="D7225" t="inlineStr">
        <is>
          <t>TNHH Phân Phối Sapbebe</t>
        </is>
      </c>
      <c r="E7225" t="inlineStr">
        <is>
          <t>$$ 1,500-3,000 /tháng</t>
        </is>
      </c>
      <c r="F7225" t="inlineStr">
        <is>
          <t>Hà Nội</t>
        </is>
      </c>
      <c r="G7225" t="inlineStr">
        <is>
          <t>Trưởng phòng</t>
        </is>
      </c>
      <c r="H7225" t="inlineStr">
        <is>
          <t>04/03/2026</t>
        </is>
      </c>
      <c r="I7225" t="inlineStr">
        <is>
          <t>03/04/2026</t>
        </is>
      </c>
      <c r="J7225" t="inlineStr">
        <is>
          <t>17/03/2026</t>
        </is>
      </c>
      <c r="K7225" t="inlineStr">
        <is>
          <t>N/A</t>
        </is>
      </c>
      <c r="L7225" t="inlineStr">
        <is>
          <t>Kinh Doanh, Quản Lý Đội Nhóm, Lãnh Đạo, Giao Tiếp, Phân Tích Chiến Lược</t>
        </is>
      </c>
      <c r="M7225" t="inlineStr">
        <is>
          <t>Bonus, Healthcare Plan, Team Activities, Others</t>
        </is>
      </c>
      <c r="N7225" s="8">
        <f>HYPERLINK("https://www.vietnamworks.com/truong-phong-kinh-doanh-sale-manager-nganh-hang-me-and-be-2018342-jv","Xem chi tiết")</f>
        <v/>
      </c>
    </row>
    <row r="7226">
      <c r="B7226" s="9" t="n">
        <v>7224</v>
      </c>
      <c r="C7226" s="10" t="inlineStr">
        <is>
          <t>Kỹ Sư Giao Thông (Lương 20-30 Triệu)</t>
        </is>
      </c>
      <c r="D7226" s="10" t="inlineStr">
        <is>
          <t>Công Ty Cổ Phần Giao Thông Xây Dựng Số 1</t>
        </is>
      </c>
      <c r="E7226" s="10" t="inlineStr">
        <is>
          <t>20tr-30tr ₫/tháng</t>
        </is>
      </c>
      <c r="F7226" s="10" t="inlineStr">
        <is>
          <t>Hà Nội, Đà Nẵng, Hà Giang</t>
        </is>
      </c>
      <c r="G7226" s="10" t="inlineStr">
        <is>
          <t>Nhân viên</t>
        </is>
      </c>
      <c r="H7226" s="10" t="inlineStr">
        <is>
          <t>04/03/2026</t>
        </is>
      </c>
      <c r="I7226" s="10" t="inlineStr">
        <is>
          <t>03/04/2026</t>
        </is>
      </c>
      <c r="J7226" s="10" t="inlineStr">
        <is>
          <t>17/03/2026</t>
        </is>
      </c>
      <c r="K7226" s="10" t="inlineStr">
        <is>
          <t>N/A</t>
        </is>
      </c>
      <c r="L7226" s="10" t="inlineStr">
        <is>
          <t>Autocad, Cầu Đường, Giao Thông Vận Tải, Nghiệm Thu Thanh Quyết Toán, Thi Công Cầu Đường</t>
        </is>
      </c>
      <c r="M7226" s="10" t="inlineStr">
        <is>
          <t>Bonus, Healthcare Plan, Team Activities, Vouchers, Others</t>
        </is>
      </c>
      <c r="N7226" s="11">
        <f>HYPERLINK("https://www.vietnamworks.com/ky-su-giao-thong-luong-20-30-trieu-2018353-jv","Xem chi tiết")</f>
        <v/>
      </c>
      <c r="O7226" s="10" t="n"/>
    </row>
    <row r="7227">
      <c r="B7227" s="7" t="n">
        <v>7225</v>
      </c>
      <c r="C7227" t="inlineStr">
        <is>
          <t>Nhân Viên Digital Marketing</t>
        </is>
      </c>
      <c r="D7227" t="inlineStr">
        <is>
          <t>Luật Nguyễn Lê</t>
        </is>
      </c>
      <c r="E7227" t="inlineStr">
        <is>
          <t>Thương lượng</t>
        </is>
      </c>
      <c r="F7227" t="inlineStr">
        <is>
          <t>Hồ Chí Minh</t>
        </is>
      </c>
      <c r="G7227" t="inlineStr">
        <is>
          <t>Nhân viên</t>
        </is>
      </c>
      <c r="H7227" t="inlineStr">
        <is>
          <t>04/03/2026</t>
        </is>
      </c>
      <c r="I7227" t="inlineStr">
        <is>
          <t>03/04/2026</t>
        </is>
      </c>
      <c r="J7227" t="inlineStr">
        <is>
          <t>17/03/2026</t>
        </is>
      </c>
      <c r="K7227" t="inlineStr">
        <is>
          <t>N/A</t>
        </is>
      </c>
      <c r="L7227" t="inlineStr">
        <is>
          <t>Digital Marketing, Google Ads, Facebook Ads, SEO Tools, Content Writing</t>
        </is>
      </c>
      <c r="M7227" t="inlineStr">
        <is>
          <t>Bonus, Healthcare Plan, Training, Awards, Team Activities, Others</t>
        </is>
      </c>
      <c r="N7227" s="8">
        <f>HYPERLINK("https://www.vietnamworks.com/nhan-vien-digital-marketing-2018341-jv","Xem chi tiết")</f>
        <v/>
      </c>
    </row>
    <row r="7228">
      <c r="B7228" s="9" t="n">
        <v>7226</v>
      </c>
      <c r="C7228" s="10" t="inlineStr">
        <is>
          <t>Kỹ Sư Xây Dựng (Lương 20-30 Triệu)</t>
        </is>
      </c>
      <c r="D7228" s="10" t="inlineStr">
        <is>
          <t>Công Ty Cổ Phần Giao Thông Xây Dựng Số 1</t>
        </is>
      </c>
      <c r="E7228" s="10" t="inlineStr">
        <is>
          <t>20tr-30tr ₫/tháng</t>
        </is>
      </c>
      <c r="F7228" s="10" t="inlineStr">
        <is>
          <t>Hà Nội, Hà Giang</t>
        </is>
      </c>
      <c r="G7228" s="10" t="inlineStr">
        <is>
          <t>Nhân viên</t>
        </is>
      </c>
      <c r="H7228" s="10" t="inlineStr">
        <is>
          <t>04/03/2026</t>
        </is>
      </c>
      <c r="I7228" s="10" t="inlineStr">
        <is>
          <t>03/04/2026</t>
        </is>
      </c>
      <c r="J7228" s="10" t="inlineStr">
        <is>
          <t>17/03/2026</t>
        </is>
      </c>
      <c r="K7228" s="10" t="inlineStr">
        <is>
          <t>N/A</t>
        </is>
      </c>
      <c r="L7228" s="10" t="inlineStr">
        <is>
          <t>Autocad, Thi Công Cầu Đường, Giám Sát Thi Công, Kỹ Thuật Xây Dựng, Xây Dựng Dân Dụng và Công Nghiệp</t>
        </is>
      </c>
      <c r="M7228" s="10" t="inlineStr">
        <is>
          <t>Bonus, Healthcare Plan, Team Activities, Vouchers, Others</t>
        </is>
      </c>
      <c r="N7228" s="11">
        <f>HYPERLINK("https://www.vietnamworks.com/ky-su-xay-dung-luong-20-30-trieu-2018356-jv","Xem chi tiết")</f>
        <v/>
      </c>
      <c r="O7228" s="10" t="n"/>
    </row>
    <row r="7229">
      <c r="B7229" s="7" t="n">
        <v>7227</v>
      </c>
      <c r="C7229" t="inlineStr">
        <is>
          <t>Manager, Residential Sales</t>
        </is>
      </c>
      <c r="D7229" t="inlineStr">
        <is>
          <t>Frasers Property Vietnam</t>
        </is>
      </c>
      <c r="E7229" t="inlineStr">
        <is>
          <t>Thương lượng</t>
        </is>
      </c>
      <c r="F7229" t="inlineStr">
        <is>
          <t>Hà Nội, Hải Phòng</t>
        </is>
      </c>
      <c r="G7229" t="inlineStr">
        <is>
          <t>Trưởng phòng</t>
        </is>
      </c>
      <c r="H7229" t="inlineStr">
        <is>
          <t>04/03/2026</t>
        </is>
      </c>
      <c r="I7229" t="inlineStr">
        <is>
          <t>03/04/2026</t>
        </is>
      </c>
      <c r="J7229" t="inlineStr">
        <is>
          <t>17/03/2026</t>
        </is>
      </c>
      <c r="K7229" t="inlineStr">
        <is>
          <t>N/A</t>
        </is>
      </c>
      <c r="L7229" t="inlineStr">
        <is>
          <t>Sales Strategy, Real Estate Business, Property Development, Residential Projects, Sales Planning</t>
        </is>
      </c>
      <c r="M7229" t="inlineStr">
        <is>
          <t>Bonus, Training, Team Activities</t>
        </is>
      </c>
      <c r="N7229" s="8">
        <f>HYPERLINK("https://www.vietnamworks.com/manager-residential-sales-2018357-jv","Xem chi tiết")</f>
        <v/>
      </c>
    </row>
    <row r="7230">
      <c r="B7230" s="9" t="n">
        <v>7228</v>
      </c>
      <c r="C7230" s="10" t="inlineStr">
        <is>
          <t>Quản Lý Kinh Doanh Khu Vực Miền Bắc</t>
        </is>
      </c>
      <c r="D7230" s="10" t="inlineStr">
        <is>
          <t>Bich Chi Food Company</t>
        </is>
      </c>
      <c r="E7230" s="10" t="inlineStr">
        <is>
          <t>Thương lượng</t>
        </is>
      </c>
      <c r="F7230" s="10" t="inlineStr">
        <is>
          <t>Hà Nội</t>
        </is>
      </c>
      <c r="G7230" s="10" t="inlineStr">
        <is>
          <t>Trưởng phòng</t>
        </is>
      </c>
      <c r="H7230" s="10" t="inlineStr">
        <is>
          <t>04/03/2026</t>
        </is>
      </c>
      <c r="I7230" s="10" t="inlineStr">
        <is>
          <t>03/04/2026</t>
        </is>
      </c>
      <c r="J7230" s="10" t="inlineStr">
        <is>
          <t>17/03/2026</t>
        </is>
      </c>
      <c r="K7230" s="10" t="inlineStr">
        <is>
          <t>N/A</t>
        </is>
      </c>
      <c r="L7230" s="10" t="inlineStr">
        <is>
          <t>Kinh Doanh, Đào Tạo, Quản Lý Kinh Doanh, Quản Lý Sales, Đánh Giá Thị Trường</t>
        </is>
      </c>
      <c r="M7230" s="10" t="inlineStr">
        <is>
          <t>Bonus, Healthcare Plan, Training, Awards, Others</t>
        </is>
      </c>
      <c r="N7230" s="11">
        <f>HYPERLINK("https://www.vietnamworks.com/quan-ly-kinh-doanh-khu-vuc-mien-bac-2018338-jv","Xem chi tiết")</f>
        <v/>
      </c>
      <c r="O7230" s="10" t="n"/>
    </row>
    <row r="7231">
      <c r="B7231" s="7" t="n">
        <v>7229</v>
      </c>
      <c r="C7231" t="inlineStr">
        <is>
          <t>TRƯỞNG BỘ PHẬN SẢN PHẨM - PHÒNG KHÁCH HÀNG ƯU TIÊN</t>
        </is>
      </c>
      <c r="D7231" t="inlineStr">
        <is>
          <t>SACOMBANK – NGÂN HÀNG TMCP SÀI GÒN THƯƠNG TÍN</t>
        </is>
      </c>
      <c r="E7231" t="inlineStr">
        <is>
          <t>Thương lượng</t>
        </is>
      </c>
      <c r="F7231" t="inlineStr">
        <is>
          <t>Hồ Chí Minh</t>
        </is>
      </c>
      <c r="G7231" t="inlineStr">
        <is>
          <t>Trưởng phòng</t>
        </is>
      </c>
      <c r="H7231" t="inlineStr">
        <is>
          <t>04/03/2026</t>
        </is>
      </c>
      <c r="I7231" t="inlineStr">
        <is>
          <t>03/04/2026</t>
        </is>
      </c>
      <c r="J7231" t="inlineStr">
        <is>
          <t>17/03/2026</t>
        </is>
      </c>
      <c r="K7231" t="inlineStr">
        <is>
          <t>N/A</t>
        </is>
      </c>
      <c r="L7231" t="inlineStr">
        <is>
          <t>Ngân hàng, Quan Hệ Khách Hàng, Quản Lý Khách Hàng Ưu Tiên, RM, Tài Chính</t>
        </is>
      </c>
      <c r="M7231" t="inlineStr">
        <is>
          <t>Bonus, Training, Travel Opportunities, Others</t>
        </is>
      </c>
      <c r="N7231" s="8">
        <f>HYPERLINK("https://www.vietnamworks.com/truong-bo-phan-san-pham-phong-khach-hang-uu-tien-2018346-jv","Xem chi tiết")</f>
        <v/>
      </c>
    </row>
    <row r="7232">
      <c r="B7232" s="9" t="n">
        <v>7230</v>
      </c>
      <c r="C7232" s="10" t="inlineStr">
        <is>
          <t>Nhân Viên Thiết Kế Nội Thất</t>
        </is>
      </c>
      <c r="D7232" s="10" t="inlineStr">
        <is>
          <t>CÔNG TY TNHH SẢN XUẤT &amp; DỊCH VỤ CDC VIỆT NAM</t>
        </is>
      </c>
      <c r="E7232" s="10" t="inlineStr">
        <is>
          <t>Từ $ 15tr /tháng</t>
        </is>
      </c>
      <c r="F7232" s="10" t="inlineStr">
        <is>
          <t>Hà Nội</t>
        </is>
      </c>
      <c r="G7232" s="10" t="inlineStr">
        <is>
          <t>Nhân viên</t>
        </is>
      </c>
      <c r="H7232" s="10" t="inlineStr">
        <is>
          <t>04/03/2026</t>
        </is>
      </c>
      <c r="I7232" s="10" t="inlineStr">
        <is>
          <t>03/04/2026</t>
        </is>
      </c>
      <c r="J7232" s="10" t="inlineStr">
        <is>
          <t>17/03/2026</t>
        </is>
      </c>
      <c r="K7232" s="10" t="inlineStr">
        <is>
          <t>N/A</t>
        </is>
      </c>
      <c r="L7232" s="10" t="inlineStr">
        <is>
          <t>Thiết Kế Nội Thất, AutoCAD, 3DSMAX, Sketchup, Tư Duy Thẩm Mỹ</t>
        </is>
      </c>
      <c r="M7232" s="10" t="inlineStr">
        <is>
          <t>Bonus, Healthcare Plan, Awards, Others</t>
        </is>
      </c>
      <c r="N7232" s="11">
        <f>HYPERLINK("https://www.vietnamworks.com/nhan-vien-thiet-ke-noi-that--2018352-jv","Xem chi tiết")</f>
        <v/>
      </c>
      <c r="O7232" s="10" t="n"/>
    </row>
    <row r="7233">
      <c r="B7233" s="7" t="n">
        <v>7231</v>
      </c>
      <c r="C7233" t="inlineStr">
        <is>
          <t>Innovation &amp; Application Technical Manager (Food &amp; Nutrition)</t>
        </is>
      </c>
      <c r="D7233" t="inlineStr">
        <is>
          <t>Brenntag Vietnam Co, Ltd</t>
        </is>
      </c>
      <c r="E7233" t="inlineStr">
        <is>
          <t>Thương lượng</t>
        </is>
      </c>
      <c r="F7233" t="inlineStr">
        <is>
          <t>Hồ Chí Minh</t>
        </is>
      </c>
      <c r="G7233" t="inlineStr">
        <is>
          <t>Trưởng phòng</t>
        </is>
      </c>
      <c r="H7233" t="inlineStr">
        <is>
          <t>04/03/2026</t>
        </is>
      </c>
      <c r="I7233" t="inlineStr">
        <is>
          <t>03/04/2026</t>
        </is>
      </c>
      <c r="J7233" t="inlineStr">
        <is>
          <t>17/03/2026</t>
        </is>
      </c>
      <c r="K7233" t="inlineStr">
        <is>
          <t>N/A</t>
        </is>
      </c>
      <c r="L7233" t="inlineStr">
        <is>
          <t>R&amp;D, Food Nutrition, Food Formulation, Chemical Selling, Dairy Technology</t>
        </is>
      </c>
      <c r="M7233" t="inlineStr">
        <is>
          <t>Bonus, Healthcare Plan, Paid Leave</t>
        </is>
      </c>
      <c r="N7233" s="8">
        <f>HYPERLINK("https://www.vietnamworks.com/innovation-application-technical-manager-food-nutrition-2018336-jv","Xem chi tiết")</f>
        <v/>
      </c>
    </row>
    <row r="7234">
      <c r="B7234" s="9" t="n">
        <v>7232</v>
      </c>
      <c r="C7234" s="10" t="inlineStr">
        <is>
          <t>Nhân Viên Kế Hoạch Hàng Hóa</t>
        </is>
      </c>
      <c r="D7234" s="10" t="inlineStr">
        <is>
          <t>Công Ty Cổ Phần Tập Đoàn Sunhouse</t>
        </is>
      </c>
      <c r="E7234" s="10" t="inlineStr">
        <is>
          <t>$$ 450-600 /tháng</t>
        </is>
      </c>
      <c r="F7234" s="10" t="inlineStr">
        <is>
          <t>Hà Nội</t>
        </is>
      </c>
      <c r="G7234" s="10" t="inlineStr">
        <is>
          <t>Nhân viên</t>
        </is>
      </c>
      <c r="H7234" s="10" t="inlineStr">
        <is>
          <t>04/03/2026</t>
        </is>
      </c>
      <c r="I7234" s="10" t="inlineStr">
        <is>
          <t>03/04/2026</t>
        </is>
      </c>
      <c r="J7234" s="10" t="inlineStr">
        <is>
          <t>17/03/2026</t>
        </is>
      </c>
      <c r="K7234" s="10" t="inlineStr">
        <is>
          <t>N/A</t>
        </is>
      </c>
      <c r="L7234" s="10" t="inlineStr">
        <is>
          <t>Logistics, Điều Phối, Vận Tải, Chuỗi cung ứng và logistics, Lên Kế Hoạch</t>
        </is>
      </c>
      <c r="M7234" s="10" t="inlineStr">
        <is>
          <t>Bonus, Travel Opportunities, Transportation</t>
        </is>
      </c>
      <c r="N7234" s="11">
        <f>HYPERLINK("https://www.vietnamworks.com/nhan-vien-ke-hoach-hang-hoa--2018355-jv","Xem chi tiết")</f>
        <v/>
      </c>
      <c r="O7234" s="10" t="n"/>
    </row>
    <row r="7235">
      <c r="B7235" s="7" t="n">
        <v>7233</v>
      </c>
      <c r="C7235" t="inlineStr">
        <is>
          <t>Chuyên Viên Quản Trị Doanh Thu - Revenue Management Executive</t>
        </is>
      </c>
      <c r="D7235" t="inlineStr">
        <is>
          <t>Vietjet Air</t>
        </is>
      </c>
      <c r="E7235" t="inlineStr">
        <is>
          <t>Thương lượng</t>
        </is>
      </c>
      <c r="F7235" t="inlineStr">
        <is>
          <t>Hồ Chí Minh</t>
        </is>
      </c>
      <c r="G7235" t="inlineStr">
        <is>
          <t>Nhân viên</t>
        </is>
      </c>
      <c r="H7235" t="inlineStr">
        <is>
          <t>04/03/2026</t>
        </is>
      </c>
      <c r="I7235" t="inlineStr">
        <is>
          <t>03/04/2026</t>
        </is>
      </c>
      <c r="J7235" t="inlineStr">
        <is>
          <t>17/03/2026</t>
        </is>
      </c>
      <c r="K7235" t="inlineStr">
        <is>
          <t>N/A</t>
        </is>
      </c>
      <c r="L7235" t="inlineStr">
        <is>
          <t>Revenue Management, Data Analysis  (Excel, Power BI...), Business Analysis, Aviation, Finance Management</t>
        </is>
      </c>
      <c r="M7235" t="inlineStr">
        <is>
          <t>Bonus, Training, Travel Opportunities</t>
        </is>
      </c>
      <c r="N7235" s="8">
        <f>HYPERLINK("https://www.vietnamworks.com/chuyen-vien-quan-tri-doanh-thu-revenue-management-executive-2018347-jv","Xem chi tiết")</f>
        <v/>
      </c>
    </row>
    <row r="7236">
      <c r="B7236" s="9" t="n">
        <v>7234</v>
      </c>
      <c r="C7236" s="10" t="inlineStr">
        <is>
          <t>Warehouse Process Specialist</t>
        </is>
      </c>
      <c r="D7236" s="10" t="inlineStr">
        <is>
          <t>Spectre GT Vietnam</t>
        </is>
      </c>
      <c r="E7236" s="10" t="inlineStr">
        <is>
          <t>Thương lượng</t>
        </is>
      </c>
      <c r="F7236" s="10" t="inlineStr">
        <is>
          <t>Nam Định, Thái Bình, Ninh Bình</t>
        </is>
      </c>
      <c r="G7236" s="10" t="inlineStr">
        <is>
          <t>Nhân viên</t>
        </is>
      </c>
      <c r="H7236" s="10" t="inlineStr">
        <is>
          <t>04/03/2026</t>
        </is>
      </c>
      <c r="I7236" s="10" t="inlineStr">
        <is>
          <t>03/04/2026</t>
        </is>
      </c>
      <c r="J7236" s="10" t="inlineStr">
        <is>
          <t>17/03/2026</t>
        </is>
      </c>
      <c r="K7236" s="10" t="inlineStr">
        <is>
          <t>N/A</t>
        </is>
      </c>
      <c r="L7236" s="10" t="inlineStr">
        <is>
          <t>Warehouse Management, ERP Systems, Change Management, Kho Vận, Quản Lý Kho</t>
        </is>
      </c>
      <c r="M7236" s="10" t="inlineStr">
        <is>
          <t>Bonus, Healthcare Plan, Others</t>
        </is>
      </c>
      <c r="N7236" s="11">
        <f>HYPERLINK("https://www.vietnamworks.com/warehouse-process-specialist-2018351-jv","Xem chi tiết")</f>
        <v/>
      </c>
      <c r="O7236" s="10" t="n"/>
    </row>
    <row r="7237">
      <c r="B7237" s="7" t="n">
        <v>7235</v>
      </c>
      <c r="C7237" t="inlineStr">
        <is>
          <t>Chuyên Viên Cao Cấp Quy Hoạch &amp; Phát Triển Dự Án</t>
        </is>
      </c>
      <c r="D7237" t="inlineStr">
        <is>
          <t>Công Ty Cổ Phần Quốc Tế Sơn Hà</t>
        </is>
      </c>
      <c r="E7237" t="inlineStr">
        <is>
          <t>1,000-1,500 ₫/tháng</t>
        </is>
      </c>
      <c r="F7237" t="inlineStr">
        <is>
          <t>Hà Tĩnh, Hà Nội</t>
        </is>
      </c>
      <c r="G7237" t="inlineStr">
        <is>
          <t>Nhân viên</t>
        </is>
      </c>
      <c r="H7237" t="inlineStr">
        <is>
          <t>04/03/2026</t>
        </is>
      </c>
      <c r="I7237" t="inlineStr">
        <is>
          <t>03/04/2026</t>
        </is>
      </c>
      <c r="J7237" t="inlineStr">
        <is>
          <t>17/03/2026</t>
        </is>
      </c>
      <c r="K7237" t="inlineStr">
        <is>
          <t>N/A</t>
        </is>
      </c>
      <c r="L7237" t="inlineStr">
        <is>
          <t>Phát Triển Dự Án, Thủ Tục Đầu Tư Dự Án, Kiếm Soát Thiết Kế, Quy Hoạch Hạ Tầng Kỹ Thuật, Quy hoạch</t>
        </is>
      </c>
      <c r="M7237" t="inlineStr">
        <is>
          <t>Bonus, Healthcare Plan, Laptop</t>
        </is>
      </c>
      <c r="N7237" s="8">
        <f>HYPERLINK("https://www.vietnamworks.com/chuyen-vien-cao-cap-quy-hoach-phat-trien-du-an--2018358-jv","Xem chi tiết")</f>
        <v/>
      </c>
    </row>
    <row r="7238">
      <c r="B7238" s="9" t="n">
        <v>7236</v>
      </c>
      <c r="C7238" s="10" t="inlineStr">
        <is>
          <t>Nhân Viên Kinh Doanh - Sales B2B</t>
        </is>
      </c>
      <c r="D7238" s="10" t="inlineStr">
        <is>
          <t>Công ty TNHH Công nghệ TTGH</t>
        </is>
      </c>
      <c r="E7238" s="10" t="inlineStr">
        <is>
          <t>15tr-20tr ₫/tháng</t>
        </is>
      </c>
      <c r="F7238" s="10" t="inlineStr">
        <is>
          <t>Hồ Chí Minh</t>
        </is>
      </c>
      <c r="G7238" s="10" t="inlineStr">
        <is>
          <t>Nhân viên</t>
        </is>
      </c>
      <c r="H7238" s="10" t="inlineStr">
        <is>
          <t>04/03/2026</t>
        </is>
      </c>
      <c r="I7238" s="10" t="inlineStr">
        <is>
          <t>03/04/2026</t>
        </is>
      </c>
      <c r="J7238" s="10" t="inlineStr">
        <is>
          <t>17/03/2026</t>
        </is>
      </c>
      <c r="K7238" s="10" t="inlineStr">
        <is>
          <t>N/A</t>
        </is>
      </c>
      <c r="L7238" s="10" t="inlineStr">
        <is>
          <t>Sales B2B, Bán hàng, Giới Thiệu Sản Phẩm, Kinh Doanh, Tư Vấn Sản Phẩm</t>
        </is>
      </c>
      <c r="M7238" s="10" t="inlineStr">
        <is>
          <t>Bonus, Healthcare Plan, Others</t>
        </is>
      </c>
      <c r="N7238" s="11">
        <f>HYPERLINK("https://www.vietnamworks.com/nhan-vien-kinh-doanh-sales-b2b-2018371-jv","Xem chi tiết")</f>
        <v/>
      </c>
      <c r="O7238" s="10" t="n"/>
    </row>
    <row r="7239">
      <c r="B7239" s="7" t="n">
        <v>7237</v>
      </c>
      <c r="C7239" t="inlineStr">
        <is>
          <t>Nhân Viên Kinh Doanh - Lương cứng upto 15 triệu + % hoa hồng</t>
        </is>
      </c>
      <c r="D7239" t="inlineStr">
        <is>
          <t>Công Ty TNHH Đầu Tư &amp; Phát Triển Khai Tuệ</t>
        </is>
      </c>
      <c r="E7239" t="inlineStr">
        <is>
          <t>$$ 500-1,000 /tháng</t>
        </is>
      </c>
      <c r="F7239" t="inlineStr">
        <is>
          <t>Hà Nội</t>
        </is>
      </c>
      <c r="G7239" t="inlineStr">
        <is>
          <t>Nhân viên</t>
        </is>
      </c>
      <c r="H7239" t="inlineStr">
        <is>
          <t>04/03/2026</t>
        </is>
      </c>
      <c r="I7239" t="inlineStr">
        <is>
          <t>03/04/2026</t>
        </is>
      </c>
      <c r="J7239" t="inlineStr">
        <is>
          <t>17/03/2026</t>
        </is>
      </c>
      <c r="K7239" t="inlineStr">
        <is>
          <t>N/A</t>
        </is>
      </c>
      <c r="L7239" t="inlineStr">
        <is>
          <t>Quản Lý Thị Trường, Tư Vấn Sản Phẩm, Đàm Phán Hợp Đồng, Kế Hoạch Bán Hàng, Nhân viên kinh doanh</t>
        </is>
      </c>
      <c r="M7239" t="inlineStr">
        <is>
          <t>Bonus, Training, Team Activities, Others</t>
        </is>
      </c>
      <c r="N7239" s="8">
        <f>HYPERLINK("https://www.vietnamworks.com/nhan-vien-kinh-doanh-luong-cung-upto-15-trieu-percent-hoa-hong-2018364-jv","Xem chi tiết")</f>
        <v/>
      </c>
    </row>
    <row r="7240">
      <c r="B7240" s="9" t="n">
        <v>7238</v>
      </c>
      <c r="C7240" s="10" t="inlineStr">
        <is>
          <t>Maintenance &amp; Improvement Technician</t>
        </is>
      </c>
      <c r="D7240" s="10" t="inlineStr">
        <is>
          <t>Nestlé Vietnam LTD.</t>
        </is>
      </c>
      <c r="E7240" s="10" t="inlineStr">
        <is>
          <t>Thương lượng</t>
        </is>
      </c>
      <c r="F7240" s="10" t="inlineStr">
        <is>
          <t>Đồng Nai</t>
        </is>
      </c>
      <c r="G7240" s="10" t="inlineStr">
        <is>
          <t>Nhân viên</t>
        </is>
      </c>
      <c r="H7240" s="10" t="inlineStr">
        <is>
          <t>04/03/2026</t>
        </is>
      </c>
      <c r="I7240" s="10" t="inlineStr">
        <is>
          <t>03/04/2026</t>
        </is>
      </c>
      <c r="J7240" s="10" t="inlineStr">
        <is>
          <t>17/03/2026</t>
        </is>
      </c>
      <c r="K7240" s="10" t="inlineStr">
        <is>
          <t>N/A</t>
        </is>
      </c>
      <c r="L7240" s="10" t="inlineStr">
        <is>
          <t>Equipment Maintenance, Technical Documentation, Process Improvement, Troubleshooting, Repair Machinery</t>
        </is>
      </c>
      <c r="M7240" s="10" t="inlineStr">
        <is>
          <t>Bonus, Healthcare Plan, Laptop, Canteen, Others</t>
        </is>
      </c>
      <c r="N7240" s="11">
        <f>HYPERLINK("https://www.vietnamworks.com/maintenance-improvement-technician--2018372-jv","Xem chi tiết")</f>
        <v/>
      </c>
      <c r="O7240" s="10" t="n"/>
    </row>
    <row r="7241">
      <c r="B7241" s="7" t="n">
        <v>7239</v>
      </c>
      <c r="C7241" t="inlineStr">
        <is>
          <t>Chuyên Viên Cao Cấp Kỹ Thuật</t>
        </is>
      </c>
      <c r="D7241" t="inlineStr">
        <is>
          <t>Công Ty Cổ Phần Tập Đoàn Masterise</t>
        </is>
      </c>
      <c r="E7241" t="inlineStr">
        <is>
          <t>Thương lượng</t>
        </is>
      </c>
      <c r="F7241" t="inlineStr">
        <is>
          <t>Hà Nội</t>
        </is>
      </c>
      <c r="G7241" t="inlineStr">
        <is>
          <t>Nhân viên</t>
        </is>
      </c>
      <c r="H7241" t="inlineStr">
        <is>
          <t>04/03/2026</t>
        </is>
      </c>
      <c r="I7241" t="inlineStr">
        <is>
          <t>03/04/2026</t>
        </is>
      </c>
      <c r="J7241" t="inlineStr">
        <is>
          <t>17/03/2026</t>
        </is>
      </c>
      <c r="K7241" t="inlineStr">
        <is>
          <t>N/A</t>
        </is>
      </c>
      <c r="L7241" t="inlineStr">
        <is>
          <t>Kỹ Thuật, HVAC Control Systems, Mechanical Engineering</t>
        </is>
      </c>
      <c r="M7241" t="inlineStr">
        <is>
          <t>Bonus, Healthcare Plan, Laptop</t>
        </is>
      </c>
      <c r="N7241" s="8">
        <f>HYPERLINK("https://www.vietnamworks.com/chuyen-vien-cao-cap-ky-thuat-2018369-jv","Xem chi tiết")</f>
        <v/>
      </c>
    </row>
    <row r="7242">
      <c r="B7242" s="9" t="n">
        <v>7240</v>
      </c>
      <c r="C7242" s="10" t="inlineStr">
        <is>
          <t>Kỹ Sư Trắc Đạc (Lương 20-30 Triệu)</t>
        </is>
      </c>
      <c r="D7242" s="10" t="inlineStr">
        <is>
          <t>Công Ty Cổ Phần Giao Thông Xây Dựng Số 1</t>
        </is>
      </c>
      <c r="E7242" s="10" t="inlineStr">
        <is>
          <t>20tr-30tr ₫/tháng</t>
        </is>
      </c>
      <c r="F7242" s="10" t="inlineStr">
        <is>
          <t>Hà Nội</t>
        </is>
      </c>
      <c r="G7242" s="10" t="inlineStr">
        <is>
          <t>Nhân viên</t>
        </is>
      </c>
      <c r="H7242" s="10" t="inlineStr">
        <is>
          <t>04/03/2026</t>
        </is>
      </c>
      <c r="I7242" s="10" t="inlineStr">
        <is>
          <t>03/04/2026</t>
        </is>
      </c>
      <c r="J7242" s="10" t="inlineStr">
        <is>
          <t>17/03/2026</t>
        </is>
      </c>
      <c r="K7242" s="10" t="inlineStr">
        <is>
          <t>N/A</t>
        </is>
      </c>
      <c r="L7242" s="10" t="inlineStr">
        <is>
          <t>GPS, Máy Toàn Đạc Leica, Trắc Đạc, Trắc Địa, Đo Đạc Bằng Máy Thủy Bình</t>
        </is>
      </c>
      <c r="M7242" s="10" t="inlineStr">
        <is>
          <t>Bonus, Healthcare Plan, Team Activities, Vouchers, Others</t>
        </is>
      </c>
      <c r="N7242" s="11">
        <f>HYPERLINK("https://www.vietnamworks.com/ky-su-trac-dac-luong-20-30-trieu-2018361-jv","Xem chi tiết")</f>
        <v/>
      </c>
      <c r="O7242" s="10" t="n"/>
    </row>
    <row r="7243">
      <c r="B7243" s="7" t="n">
        <v>7241</v>
      </c>
      <c r="C7243" t="inlineStr">
        <is>
          <t>Nhân Viên Nhân Sự</t>
        </is>
      </c>
      <c r="D7243" t="inlineStr">
        <is>
          <t>CÔNG TY TNHH CƠ KHÍ CHÍNH XÁC KIM MINH</t>
        </is>
      </c>
      <c r="E7243" t="inlineStr">
        <is>
          <t>Thương lượng</t>
        </is>
      </c>
      <c r="F7243" t="inlineStr">
        <is>
          <t>Hà Nội</t>
        </is>
      </c>
      <c r="G7243" t="inlineStr">
        <is>
          <t>Nhân viên</t>
        </is>
      </c>
      <c r="H7243" t="inlineStr">
        <is>
          <t>04/03/2026</t>
        </is>
      </c>
      <c r="I7243" t="inlineStr">
        <is>
          <t>03/04/2026</t>
        </is>
      </c>
      <c r="J7243" t="inlineStr">
        <is>
          <t>17/03/2026</t>
        </is>
      </c>
      <c r="K7243" t="inlineStr">
        <is>
          <t>N/A</t>
        </is>
      </c>
      <c r="L7243" t="inlineStr">
        <is>
          <t>Hành Chính Nhân Sự, MS Office, Tổ Chức Sự Kiện, Tuyển Dụng, Đào Tạo</t>
        </is>
      </c>
      <c r="M7243" t="inlineStr">
        <is>
          <t>Training, Transportation, Canteen</t>
        </is>
      </c>
      <c r="N7243" s="8">
        <f>HYPERLINK("https://www.vietnamworks.com/nhan-vien-nhan-su-2018360-jv","Xem chi tiết")</f>
        <v/>
      </c>
    </row>
    <row r="7244">
      <c r="B7244" s="9" t="n">
        <v>7242</v>
      </c>
      <c r="C7244" s="10" t="inlineStr">
        <is>
          <t>Lái Máy Xúc</t>
        </is>
      </c>
      <c r="D7244" s="10" t="inlineStr">
        <is>
          <t>Công Ty Cổ Phần Giao Thông Xây Dựng Số 1</t>
        </is>
      </c>
      <c r="E7244" s="10" t="inlineStr">
        <is>
          <t>Thương lượng</t>
        </is>
      </c>
      <c r="F7244" s="10" t="inlineStr">
        <is>
          <t>Lào Cai</t>
        </is>
      </c>
      <c r="G7244" s="10" t="inlineStr">
        <is>
          <t>Nhân viên</t>
        </is>
      </c>
      <c r="H7244" s="10" t="inlineStr">
        <is>
          <t>04/03/2026</t>
        </is>
      </c>
      <c r="I7244" s="10" t="inlineStr">
        <is>
          <t>03/04/2026</t>
        </is>
      </c>
      <c r="J7244" s="10" t="inlineStr">
        <is>
          <t>17/03/2026</t>
        </is>
      </c>
      <c r="K7244" s="10" t="inlineStr">
        <is>
          <t>N/A</t>
        </is>
      </c>
      <c r="L7244" s="10" t="inlineStr">
        <is>
          <t>Bảo Dưỡng Máy Móc, Công Trình Giao Thông, Lái Máy Xúc, Sức Khoẻ Tốt, Vận Hành Máy Móc</t>
        </is>
      </c>
      <c r="M7244" s="10" t="inlineStr">
        <is>
          <t>Bonus, Healthcare Plan, Team Activities, Vouchers, Others</t>
        </is>
      </c>
      <c r="N7244" s="11">
        <f>HYPERLINK("https://www.vietnamworks.com/lai-may-xuc-2018370-jv","Xem chi tiết")</f>
        <v/>
      </c>
      <c r="O7244" s="10" t="n"/>
    </row>
    <row r="7245">
      <c r="B7245" s="7" t="n">
        <v>7243</v>
      </c>
      <c r="C7245" t="inlineStr">
        <is>
          <t>Giám Đốc Giải Pháp Thẻ Tín Dụng Và Tín Dụng Tín Chấp - RB - MSB - 1O286</t>
        </is>
      </c>
      <c r="D7245" t="inlineStr">
        <is>
          <t>Ngân Hàng Thương Mại Cổ Phần Hàng Hải Việt Nam (MSB)</t>
        </is>
      </c>
      <c r="E7245" t="inlineStr">
        <is>
          <t>Thương lượng</t>
        </is>
      </c>
      <c r="F7245" t="inlineStr">
        <is>
          <t>Hà Nội</t>
        </is>
      </c>
      <c r="G7245" t="inlineStr">
        <is>
          <t>Giám Đốc và Cấp Cao Hơn</t>
        </is>
      </c>
      <c r="H7245" t="inlineStr">
        <is>
          <t>04/03/2026</t>
        </is>
      </c>
      <c r="I7245" t="inlineStr">
        <is>
          <t>03/04/2026</t>
        </is>
      </c>
      <c r="J7245" t="inlineStr">
        <is>
          <t>17/03/2026</t>
        </is>
      </c>
      <c r="K7245" t="inlineStr">
        <is>
          <t>N/A</t>
        </is>
      </c>
      <c r="L7245" t="inlineStr">
        <is>
          <t>Chiến Lược Bán Lẻ, Giao Tiếp Tiếng Anh, Phát Triển Sản Phẩm, Quản Lý Rủi Ro, Quản Lý Tín Dụng</t>
        </is>
      </c>
      <c r="M7245" t="inlineStr">
        <is>
          <t>Bonus, Healthcare Plan, Paid Leave, Training, Laptop, Travel Opportunities, Others</t>
        </is>
      </c>
      <c r="N7245" s="8">
        <f>HYPERLINK("https://www.vietnamworks.com/giam-djoc-giai-phap-the-tin-dung-va-tin-dung-tin-chap-rb-msb-1o286-2018365-jv","Xem chi tiết")</f>
        <v/>
      </c>
    </row>
    <row r="7246">
      <c r="B7246" s="9" t="n">
        <v>7244</v>
      </c>
      <c r="C7246" s="10" t="inlineStr">
        <is>
          <t>Lái Xe Lu</t>
        </is>
      </c>
      <c r="D7246" s="10" t="inlineStr">
        <is>
          <t>Công Ty Cổ Phần Giao Thông Xây Dựng Số 1</t>
        </is>
      </c>
      <c r="E7246" s="10" t="inlineStr">
        <is>
          <t>Thương lượng</t>
        </is>
      </c>
      <c r="F7246" s="10" t="inlineStr">
        <is>
          <t>Lào Cai</t>
        </is>
      </c>
      <c r="G7246" s="10" t="inlineStr">
        <is>
          <t>Nhân viên</t>
        </is>
      </c>
      <c r="H7246" s="10" t="inlineStr">
        <is>
          <t>04/03/2026</t>
        </is>
      </c>
      <c r="I7246" s="10" t="inlineStr">
        <is>
          <t>03/04/2026</t>
        </is>
      </c>
      <c r="J7246" s="10" t="inlineStr">
        <is>
          <t>17/03/2026</t>
        </is>
      </c>
      <c r="K7246" s="10" t="inlineStr">
        <is>
          <t>N/A</t>
        </is>
      </c>
      <c r="L7246" s="10" t="inlineStr">
        <is>
          <t>Công Trình Giao Thông, Sức Khoẻ Tốt, Vận Hành Máy Móc, Bảo Quản Thiết Bị, Lái Xe Lu</t>
        </is>
      </c>
      <c r="M7246" s="10" t="inlineStr">
        <is>
          <t>Bonus, Healthcare Plan, Team Activities, Vouchers, Others</t>
        </is>
      </c>
      <c r="N7246" s="11">
        <f>HYPERLINK("https://www.vietnamworks.com/lai-xe-lu-2018379-jv","Xem chi tiết")</f>
        <v/>
      </c>
      <c r="O7246" s="10" t="n"/>
    </row>
    <row r="7247">
      <c r="B7247" s="7" t="n">
        <v>7245</v>
      </c>
      <c r="C7247" t="inlineStr">
        <is>
          <t>Project Management</t>
        </is>
      </c>
      <c r="D7247" t="inlineStr">
        <is>
          <t>LS Electric Viet Nam LTD.</t>
        </is>
      </c>
      <c r="E7247" t="inlineStr">
        <is>
          <t>Thương lượng</t>
        </is>
      </c>
      <c r="F7247" t="inlineStr">
        <is>
          <t>Bắc Ninh</t>
        </is>
      </c>
      <c r="G7247" t="inlineStr">
        <is>
          <t>Nhân viên</t>
        </is>
      </c>
      <c r="H7247" t="inlineStr">
        <is>
          <t>04/03/2026</t>
        </is>
      </c>
      <c r="I7247" t="inlineStr">
        <is>
          <t>03/04/2026</t>
        </is>
      </c>
      <c r="J7247" t="inlineStr">
        <is>
          <t>17/03/2026</t>
        </is>
      </c>
      <c r="K7247" t="inlineStr">
        <is>
          <t>N/A</t>
        </is>
      </c>
      <c r="L7247" t="inlineStr">
        <is>
          <t>Project Management, Electrical Engineering, ISO Standards, Negotiation Skills, Problem-solving</t>
        </is>
      </c>
      <c r="M7247" t="inlineStr">
        <is>
          <t>Bonus, Healthcare Plan, Paid Leave, Training</t>
        </is>
      </c>
      <c r="N7247" s="8">
        <f>HYPERLINK("https://www.vietnamworks.com/project-management-2018378-jv","Xem chi tiết")</f>
        <v/>
      </c>
    </row>
    <row r="7248">
      <c r="B7248" s="9" t="n">
        <v>7246</v>
      </c>
      <c r="C7248" s="10" t="inlineStr">
        <is>
          <t>Technical Sales Executive, Argibusiness &amp; Chemicals</t>
        </is>
      </c>
      <c r="D7248" s="10" t="inlineStr">
        <is>
          <t>Michael Page Vietnam</t>
        </is>
      </c>
      <c r="E7248" s="10" t="inlineStr">
        <is>
          <t>Thương lượng</t>
        </is>
      </c>
      <c r="F7248" s="10" t="inlineStr">
        <is>
          <t>Hồ Chí Minh</t>
        </is>
      </c>
      <c r="G7248" s="10" t="inlineStr">
        <is>
          <t>Nhân viên</t>
        </is>
      </c>
      <c r="H7248" s="10" t="inlineStr">
        <is>
          <t>04/03/2026</t>
        </is>
      </c>
      <c r="I7248" s="10" t="inlineStr">
        <is>
          <t>03/04/2026</t>
        </is>
      </c>
      <c r="J7248" s="10" t="inlineStr">
        <is>
          <t>17/03/2026</t>
        </is>
      </c>
      <c r="K7248" s="10" t="inlineStr">
        <is>
          <t>N/A</t>
        </is>
      </c>
      <c r="L7248" s="10" t="inlineStr">
        <is>
          <t>Sales</t>
        </is>
      </c>
      <c r="M7248" s="10" t="inlineStr">
        <is>
          <t>Bonus</t>
        </is>
      </c>
      <c r="N7248" s="11">
        <f>HYPERLINK("https://www.vietnamworks.com/technical-sales-executive-argibusiness-chemicals-2018366-jv","Xem chi tiết")</f>
        <v/>
      </c>
      <c r="O7248" s="10" t="n"/>
    </row>
    <row r="7249">
      <c r="B7249" s="7" t="n">
        <v>7247</v>
      </c>
      <c r="C7249" t="inlineStr">
        <is>
          <t>Electrical &amp; Automation Engineer</t>
        </is>
      </c>
      <c r="D7249" t="inlineStr">
        <is>
          <t>Nestlé Vietnam LTD.</t>
        </is>
      </c>
      <c r="E7249" t="inlineStr">
        <is>
          <t>Thương lượng</t>
        </is>
      </c>
      <c r="F7249" t="inlineStr">
        <is>
          <t>Đồng Nai</t>
        </is>
      </c>
      <c r="G7249" t="inlineStr">
        <is>
          <t>Nhân viên</t>
        </is>
      </c>
      <c r="H7249" t="inlineStr">
        <is>
          <t>04/03/2026</t>
        </is>
      </c>
      <c r="I7249" t="inlineStr">
        <is>
          <t>03/04/2026</t>
        </is>
      </c>
      <c r="J7249" t="inlineStr">
        <is>
          <t>17/03/2026</t>
        </is>
      </c>
      <c r="K7249" t="inlineStr">
        <is>
          <t>N/A</t>
        </is>
      </c>
      <c r="L7249" t="inlineStr">
        <is>
          <t>Calibration Management, Instruments Testing, Mechatronics Engineering, Electrical Engineering, Teamwork</t>
        </is>
      </c>
      <c r="M7249" t="inlineStr">
        <is>
          <t>Bonus, Healthcare Plan, Laptop, Canteen, Others</t>
        </is>
      </c>
      <c r="N7249" s="8">
        <f>HYPERLINK("https://www.vietnamworks.com/electrical-automation-engineer--2018374-jv","Xem chi tiết")</f>
        <v/>
      </c>
    </row>
    <row r="7250">
      <c r="B7250" s="9" t="n">
        <v>7248</v>
      </c>
      <c r="C7250" s="10" t="inlineStr">
        <is>
          <t>Case Officer</t>
        </is>
      </c>
      <c r="D7250" s="10" t="inlineStr">
        <is>
          <t>Công Ty Luật TNHH Harvey Law Group Ltd.</t>
        </is>
      </c>
      <c r="E7250" s="10" t="inlineStr">
        <is>
          <t>Thương lượng</t>
        </is>
      </c>
      <c r="F7250" s="10" t="inlineStr">
        <is>
          <t>Hồ Chí Minh</t>
        </is>
      </c>
      <c r="G7250" s="10" t="inlineStr">
        <is>
          <t>Mới Tốt Nghiệp</t>
        </is>
      </c>
      <c r="H7250" s="10" t="inlineStr">
        <is>
          <t>04/03/2026</t>
        </is>
      </c>
      <c r="I7250" s="10" t="inlineStr">
        <is>
          <t>03/04/2026</t>
        </is>
      </c>
      <c r="J7250" s="10" t="inlineStr">
        <is>
          <t>17/03/2026</t>
        </is>
      </c>
      <c r="K7250" s="10" t="inlineStr">
        <is>
          <t>N/A</t>
        </is>
      </c>
      <c r="L7250" s="10" t="inlineStr">
        <is>
          <t>English Language Proficiency, Construction Degree, Commercial Experience, Document Management</t>
        </is>
      </c>
      <c r="M7250" s="10" t="inlineStr">
        <is>
          <t>Bonus, Healthcare Plan, Training, Travel Opportunities, Others</t>
        </is>
      </c>
      <c r="N7250" s="11">
        <f>HYPERLINK("https://www.vietnamworks.com/case-officer-2018376-jv","Xem chi tiết")</f>
        <v/>
      </c>
      <c r="O7250" s="10" t="n"/>
    </row>
    <row r="7251">
      <c r="B7251" s="7" t="n">
        <v>7249</v>
      </c>
      <c r="C7251" t="inlineStr">
        <is>
          <t>Chuyên Viên Lập Trình / Software Developer</t>
        </is>
      </c>
      <c r="D7251" t="inlineStr">
        <is>
          <t>CÔNG TY CỔ PHẦN SMARTCOM VIỆT NAM</t>
        </is>
      </c>
      <c r="E7251" t="inlineStr">
        <is>
          <t>17tr-25tr ₫/tháng</t>
        </is>
      </c>
      <c r="F7251" t="inlineStr">
        <is>
          <t>Hà Nội</t>
        </is>
      </c>
      <c r="G7251" t="inlineStr">
        <is>
          <t>Nhân viên</t>
        </is>
      </c>
      <c r="H7251" t="inlineStr">
        <is>
          <t>04/03/2026</t>
        </is>
      </c>
      <c r="I7251" t="inlineStr">
        <is>
          <t>03/04/2026</t>
        </is>
      </c>
      <c r="J7251" t="inlineStr">
        <is>
          <t>17/03/2026</t>
        </is>
      </c>
      <c r="K7251" t="inlineStr">
        <is>
          <t>N/A</t>
        </is>
      </c>
      <c r="L7251" t="inlineStr">
        <is>
          <t>Java System, HTML/CSS, Lập Trình, OOP, SQL</t>
        </is>
      </c>
      <c r="M7251" t="inlineStr">
        <is>
          <t>Bonus, Training, Travel Opportunities, Others</t>
        </is>
      </c>
      <c r="N7251" s="8">
        <f>HYPERLINK("https://www.vietnamworks.com/chuyen-vien-lap-trinh-software-developer--2018367-jv","Xem chi tiết")</f>
        <v/>
      </c>
    </row>
    <row r="7252">
      <c r="B7252" s="9" t="n">
        <v>7250</v>
      </c>
      <c r="C7252" s="10" t="inlineStr">
        <is>
          <t>Trưởng Nhóm Nhân Sự Tổng Hợp (General HR Lead)</t>
        </is>
      </c>
      <c r="D7252" s="10" t="inlineStr">
        <is>
          <t>Công Ty TNHH Đầu Tư - Dịch Vụ HumVentures</t>
        </is>
      </c>
      <c r="E7252" s="10" t="inlineStr">
        <is>
          <t>Thương lượng</t>
        </is>
      </c>
      <c r="F7252" s="10" t="inlineStr">
        <is>
          <t>Hồ Chí Minh</t>
        </is>
      </c>
      <c r="G7252" s="10" t="inlineStr">
        <is>
          <t>Nhân viên</t>
        </is>
      </c>
      <c r="H7252" s="10" t="inlineStr">
        <is>
          <t>04/03/2026</t>
        </is>
      </c>
      <c r="I7252" s="10" t="inlineStr">
        <is>
          <t>03/04/2026</t>
        </is>
      </c>
      <c r="J7252" s="10" t="inlineStr">
        <is>
          <t>17/03/2026</t>
        </is>
      </c>
      <c r="K7252" s="10" t="inlineStr">
        <is>
          <t>N/A</t>
        </is>
      </c>
      <c r="L7252" s="10" t="inlineStr">
        <is>
          <t>HRM System, C&amp;B, HR General</t>
        </is>
      </c>
      <c r="M7252" s="10" t="inlineStr">
        <is>
          <t>Bonus, Training, Others</t>
        </is>
      </c>
      <c r="N7252" s="11">
        <f>HYPERLINK("https://www.vietnamworks.com/truong-nhom-nhan-su-tong-hop-general-hr-lead-2018381-jv","Xem chi tiết")</f>
        <v/>
      </c>
      <c r="O7252" s="10" t="n"/>
    </row>
    <row r="7253">
      <c r="B7253" s="7" t="n">
        <v>7251</v>
      </c>
      <c r="C7253" t="inlineStr">
        <is>
          <t>Quản Lý Kinh Doanh (Lưu Trú &amp; F&amp;B)</t>
        </is>
      </c>
      <c r="D7253" t="inlineStr">
        <is>
          <t>Công Ty TNHH Đầu Tư Và Thương Mại Gia Phúc Thịnh</t>
        </is>
      </c>
      <c r="E7253" t="inlineStr">
        <is>
          <t>16tr-20tr ₫/tháng</t>
        </is>
      </c>
      <c r="F7253" t="inlineStr">
        <is>
          <t>Hồ Chí Minh</t>
        </is>
      </c>
      <c r="G7253" t="inlineStr">
        <is>
          <t>Nhân viên</t>
        </is>
      </c>
      <c r="H7253" t="inlineStr">
        <is>
          <t>04/03/2026</t>
        </is>
      </c>
      <c r="I7253" t="inlineStr">
        <is>
          <t>03/04/2026</t>
        </is>
      </c>
      <c r="J7253" t="inlineStr">
        <is>
          <t>17/03/2026</t>
        </is>
      </c>
      <c r="K7253" t="inlineStr">
        <is>
          <t>N/A</t>
        </is>
      </c>
      <c r="L7253" t="inlineStr">
        <is>
          <t>Thiết Lập Báo Giá, Phân Tích Doanh Thu, MS Excel, Theo Dõi Doanh Thu, Tìm Kiếm Khách Hàng</t>
        </is>
      </c>
      <c r="M7253" t="inlineStr">
        <is>
          <t>Bonus, Healthcare Plan, Awards, Others</t>
        </is>
      </c>
      <c r="N7253" s="8">
        <f>HYPERLINK("https://www.vietnamworks.com/quan-ly-kinh-doanh-luu-tru-and-fandb-2018383-jv","Xem chi tiết")</f>
        <v/>
      </c>
    </row>
    <row r="7254">
      <c r="B7254" s="9" t="n">
        <v>7252</v>
      </c>
      <c r="C7254" s="10" t="inlineStr">
        <is>
          <t>Chuyên Viên Dịch Vụ Khách Hàng Cá Nhân (Hà Nội/ Hải Phòng/ Vĩnh Phúc)</t>
        </is>
      </c>
      <c r="D7254" s="10" t="inlineStr">
        <is>
          <t>Ngân Hàng TMCP Á Châu (ACB)</t>
        </is>
      </c>
      <c r="E7254" s="10" t="inlineStr">
        <is>
          <t>Thương lượng</t>
        </is>
      </c>
      <c r="F7254" s="10" t="inlineStr">
        <is>
          <t>Hà Nội, Vĩnh Phúc, Hải Phòng</t>
        </is>
      </c>
      <c r="G7254" s="10" t="inlineStr">
        <is>
          <t>Nhân viên</t>
        </is>
      </c>
      <c r="H7254" s="10" t="inlineStr">
        <is>
          <t>04/03/2026</t>
        </is>
      </c>
      <c r="I7254" s="10" t="inlineStr">
        <is>
          <t>03/04/2026</t>
        </is>
      </c>
      <c r="J7254" s="10" t="inlineStr">
        <is>
          <t>17/03/2026</t>
        </is>
      </c>
      <c r="K7254" s="10" t="inlineStr">
        <is>
          <t>N/A</t>
        </is>
      </c>
      <c r="L7254" s="10" t="inlineStr">
        <is>
          <t>Khách Hàng Doanh Nghiệp, Ngân hàng, Thiết Lập Mối Quan Hệ, Quản trị Kinh doanh</t>
        </is>
      </c>
      <c r="M7254" s="10" t="inlineStr">
        <is>
          <t>Bonus, Healthcare Plan, Training, Awards, Team Activities, Others</t>
        </is>
      </c>
      <c r="N7254" s="11">
        <f>HYPERLINK("https://www.vietnamworks.com/chuyen-vien-dich-vu-khach-hang-ca-nhan-ha-noi-hai-phong-vinh-phuc-2018384-jv","Xem chi tiết")</f>
        <v/>
      </c>
      <c r="O7254" s="10" t="n"/>
    </row>
    <row r="7255">
      <c r="B7255" s="7" t="n">
        <v>7253</v>
      </c>
      <c r="C7255" t="inlineStr">
        <is>
          <t>HCM - Trưởng Phòng/trưởng Bộ Phận Khách Hàng Ưu Tiên</t>
        </is>
      </c>
      <c r="D7255" t="inlineStr">
        <is>
          <t>Ngân Hàng TMCP Á Châu (ACB)</t>
        </is>
      </c>
      <c r="E7255" t="inlineStr">
        <is>
          <t>Thương lượng</t>
        </is>
      </c>
      <c r="F7255" t="inlineStr">
        <is>
          <t>Hồ Chí Minh, Bình Dương, Bà Rịa - Vũng Tàu</t>
        </is>
      </c>
      <c r="G7255" t="inlineStr">
        <is>
          <t>Trưởng phòng</t>
        </is>
      </c>
      <c r="H7255" t="inlineStr">
        <is>
          <t>04/03/2026</t>
        </is>
      </c>
      <c r="I7255" t="inlineStr">
        <is>
          <t>03/04/2026</t>
        </is>
      </c>
      <c r="J7255" t="inlineStr">
        <is>
          <t>17/03/2026</t>
        </is>
      </c>
      <c r="K7255" t="inlineStr">
        <is>
          <t>N/A</t>
        </is>
      </c>
      <c r="L7255" t="inlineStr">
        <is>
          <t>Phát Triển Chiến Lược, Quản Lý Rủi Ro, Ngân hàng, Quản Lý Khách Hàng Ưu Tiên, Relationship Management</t>
        </is>
      </c>
      <c r="M7255" t="inlineStr">
        <is>
          <t>Bonus, Healthcare Plan, Training, Awards, Mobile, Team Activities, Vouchers, Others</t>
        </is>
      </c>
      <c r="N7255" s="8">
        <f>HYPERLINK("https://www.vietnamworks.com/hcm-truong-phongtruong-bo-phan-khach-hang-uu-tien-2018382-jv","Xem chi tiết")</f>
        <v/>
      </c>
    </row>
    <row r="7256">
      <c r="B7256" s="9" t="n">
        <v>7254</v>
      </c>
      <c r="C7256" s="10" t="inlineStr">
        <is>
          <t>Kỹ Sư QS – Phòng Kiểm Soát</t>
        </is>
      </c>
      <c r="D7256" s="10" t="inlineStr">
        <is>
          <t>Công ty Cổ phần Xây dựng Hợp Lực</t>
        </is>
      </c>
      <c r="E7256" s="10" t="inlineStr">
        <is>
          <t>$$ 500-1,000 /tháng</t>
        </is>
      </c>
      <c r="F7256" s="10" t="inlineStr">
        <is>
          <t>Hà Nội, Bắc Ninh, Thái Nguyên</t>
        </is>
      </c>
      <c r="G7256" s="10" t="inlineStr">
        <is>
          <t>Nhân viên</t>
        </is>
      </c>
      <c r="H7256" s="10" t="inlineStr">
        <is>
          <t>04/03/2026</t>
        </is>
      </c>
      <c r="I7256" s="10" t="inlineStr">
        <is>
          <t>03/04/2026</t>
        </is>
      </c>
      <c r="J7256" s="10" t="inlineStr">
        <is>
          <t>17/03/2026</t>
        </is>
      </c>
      <c r="K7256" s="10" t="inlineStr">
        <is>
          <t>N/A</t>
        </is>
      </c>
      <c r="L7256" s="10" t="inlineStr">
        <is>
          <t>Xây Dựng Dân Dụng, Revit, Autocad, Bóc Tách Khối Lượng, Đọc Hiểu Bản Vẽ</t>
        </is>
      </c>
      <c r="M7256" s="10" t="inlineStr">
        <is>
          <t>Bonus, Healthcare Plan, Travel Opportunities</t>
        </is>
      </c>
      <c r="N7256" s="11">
        <f>HYPERLINK("https://www.vietnamworks.com/ky-su-qs-phong-kiem-soat--2018380-jv","Xem chi tiết")</f>
        <v/>
      </c>
      <c r="O7256" s="10" t="n"/>
    </row>
    <row r="7257">
      <c r="B7257" s="7" t="n">
        <v>7255</v>
      </c>
      <c r="C7257" t="inlineStr">
        <is>
          <t>Marketing Manager (F&amp;B)</t>
        </is>
      </c>
      <c r="D7257" t="inlineStr">
        <is>
          <t>Công Ty TNHH Đầu Tư Và Thương Mại Gia Phúc Thịnh</t>
        </is>
      </c>
      <c r="E7257" t="inlineStr">
        <is>
          <t>12tr-16tr ₫/tháng</t>
        </is>
      </c>
      <c r="F7257" t="inlineStr">
        <is>
          <t>Hồ Chí Minh</t>
        </is>
      </c>
      <c r="G7257" t="inlineStr">
        <is>
          <t>Trưởng phòng</t>
        </is>
      </c>
      <c r="H7257" t="inlineStr">
        <is>
          <t>04/03/2026</t>
        </is>
      </c>
      <c r="I7257" t="inlineStr">
        <is>
          <t>03/04/2026</t>
        </is>
      </c>
      <c r="J7257" t="inlineStr">
        <is>
          <t>17/03/2026</t>
        </is>
      </c>
      <c r="K7257" t="inlineStr">
        <is>
          <t>N/A</t>
        </is>
      </c>
      <c r="L7257" t="inlineStr">
        <is>
          <t>Digital Marketing, Phân Tích Số Liệu, Phân Tích Thị Trường, Xây Dựng Chiến Lược, Xây Dựng Thương Hiệu</t>
        </is>
      </c>
      <c r="M7257" t="inlineStr">
        <is>
          <t>Bonus, Healthcare Plan, Training, Others</t>
        </is>
      </c>
      <c r="N7257" s="8">
        <f>HYPERLINK("https://www.vietnamworks.com/marketing-manager-fandb-2018386-jv","Xem chi tiết")</f>
        <v/>
      </c>
    </row>
    <row r="7258">
      <c r="B7258" s="9" t="n">
        <v>7256</v>
      </c>
      <c r="C7258" s="10" t="inlineStr">
        <is>
          <t>Chuyên Viên Pháp Chế</t>
        </is>
      </c>
      <c r="D7258" s="10" t="inlineStr">
        <is>
          <t>Công Ty Cổ Phần Quốc Tế Sơn Hà</t>
        </is>
      </c>
      <c r="E7258" s="10" t="inlineStr">
        <is>
          <t>$$ 700-1,000 /tháng</t>
        </is>
      </c>
      <c r="F7258" s="10" t="inlineStr">
        <is>
          <t>Hà Nội</t>
        </is>
      </c>
      <c r="G7258" s="10" t="inlineStr">
        <is>
          <t>Nhân viên</t>
        </is>
      </c>
      <c r="H7258" s="10" t="inlineStr">
        <is>
          <t>04/03/2026</t>
        </is>
      </c>
      <c r="I7258" s="10" t="inlineStr">
        <is>
          <t>03/04/2026</t>
        </is>
      </c>
      <c r="J7258" s="10" t="inlineStr">
        <is>
          <t>17/03/2026</t>
        </is>
      </c>
      <c r="K7258" s="10" t="inlineStr">
        <is>
          <t>N/A</t>
        </is>
      </c>
      <c r="L7258" s="10" t="inlineStr">
        <is>
          <t>Pháp Chế, Luật, Tư Vấn Pháp Luật, Pháp Lý Bất Động Sản, Pháp Lý Quản Trị Nội Bộ</t>
        </is>
      </c>
      <c r="M7258" s="10" t="inlineStr">
        <is>
          <t>Bonus, Healthcare Plan, Laptop</t>
        </is>
      </c>
      <c r="N7258" s="11">
        <f>HYPERLINK("https://www.vietnamworks.com/chuyen-vien-phap-che--2018406-jv","Xem chi tiết")</f>
        <v/>
      </c>
      <c r="O7258" s="10" t="n"/>
    </row>
    <row r="7259">
      <c r="B7259" s="7" t="n">
        <v>7257</v>
      </c>
      <c r="C7259" t="inlineStr">
        <is>
          <t>Senior Accountant &amp; Finance Analyst</t>
        </is>
      </c>
      <c r="D7259" t="inlineStr">
        <is>
          <t>Công Ty TNHH Plantec Architects</t>
        </is>
      </c>
      <c r="E7259" t="inlineStr">
        <is>
          <t>Thương lượng</t>
        </is>
      </c>
      <c r="F7259" t="inlineStr">
        <is>
          <t>Hồ Chí Minh</t>
        </is>
      </c>
      <c r="G7259" t="inlineStr">
        <is>
          <t>Nhân viên</t>
        </is>
      </c>
      <c r="H7259" t="inlineStr">
        <is>
          <t>04/03/2026</t>
        </is>
      </c>
      <c r="I7259" t="inlineStr">
        <is>
          <t>03/04/2026</t>
        </is>
      </c>
      <c r="J7259" t="inlineStr">
        <is>
          <t>17/03/2026</t>
        </is>
      </c>
      <c r="K7259" t="inlineStr">
        <is>
          <t>N/A</t>
        </is>
      </c>
      <c r="L7259" t="inlineStr">
        <is>
          <t>Financial Forecast, Budget Control, Tax Declaration, Payment Management, Cash Flow Forecasting</t>
        </is>
      </c>
      <c r="M7259" t="inlineStr">
        <is>
          <t>Bonus, Healthcare Plan, Paid Leave</t>
        </is>
      </c>
      <c r="N7259" s="8">
        <f>HYPERLINK("https://www.vietnamworks.com/senior-accountant-finance-analyst-2018398-jv","Xem chi tiết")</f>
        <v/>
      </c>
    </row>
    <row r="7260">
      <c r="B7260" s="9" t="n">
        <v>7258</v>
      </c>
      <c r="C7260" s="10" t="inlineStr">
        <is>
          <t>Chuyên Viên Quản Lý Vận Hành Nhà máy điện - Hà Nội</t>
        </is>
      </c>
      <c r="D7260" s="10" t="inlineStr">
        <is>
          <t>Bitexco Power Corporation</t>
        </is>
      </c>
      <c r="E7260" s="10" t="inlineStr">
        <is>
          <t>Thương lượng</t>
        </is>
      </c>
      <c r="F7260" s="10" t="inlineStr">
        <is>
          <t>Hà Nội</t>
        </is>
      </c>
      <c r="G7260" s="10" t="inlineStr">
        <is>
          <t>Nhân viên</t>
        </is>
      </c>
      <c r="H7260" s="10" t="inlineStr">
        <is>
          <t>04/03/2026</t>
        </is>
      </c>
      <c r="I7260" s="10" t="inlineStr">
        <is>
          <t>03/04/2026</t>
        </is>
      </c>
      <c r="J7260" s="10" t="inlineStr">
        <is>
          <t>17/03/2026</t>
        </is>
      </c>
      <c r="K7260" s="10" t="inlineStr">
        <is>
          <t>N/A</t>
        </is>
      </c>
      <c r="L7260" s="10" t="inlineStr">
        <is>
          <t>Chủ Động Học Hỏi, Giao Tiếp Tốt</t>
        </is>
      </c>
      <c r="M7260" s="10" t="inlineStr">
        <is>
          <t>Bonus, Healthcare Plan, Travel Opportunities</t>
        </is>
      </c>
      <c r="N7260" s="11">
        <f>HYPERLINK("https://www.vietnamworks.com/chuyen-vien-quan-ly-van-hanh-nha-may-djien-ha-noi-2018387-jv","Xem chi tiết")</f>
        <v/>
      </c>
      <c r="O7260" s="10" t="n"/>
    </row>
    <row r="7261">
      <c r="B7261" s="7" t="n">
        <v>7259</v>
      </c>
      <c r="C7261" t="inlineStr">
        <is>
          <t>Phó Tổng Giám Đốc Tập Đoàn Kiêm Tổng Giám Đốc Dự Án Phú Yên</t>
        </is>
      </c>
      <c r="D7261" t="inlineStr">
        <is>
          <t>CÔNG TY CỔ PHẦN TẬP ĐOÀN N&amp;G</t>
        </is>
      </c>
      <c r="E7261" t="inlineStr">
        <is>
          <t>Thương lượng</t>
        </is>
      </c>
      <c r="F7261" t="inlineStr">
        <is>
          <t>Hà Nội</t>
        </is>
      </c>
      <c r="G7261" t="inlineStr">
        <is>
          <t>Giám Đốc và Cấp Cao Hơn</t>
        </is>
      </c>
      <c r="H7261" t="inlineStr">
        <is>
          <t>04/03/2026</t>
        </is>
      </c>
      <c r="I7261" t="inlineStr">
        <is>
          <t>03/04/2026</t>
        </is>
      </c>
      <c r="J7261" t="inlineStr">
        <is>
          <t>17/03/2026</t>
        </is>
      </c>
      <c r="K7261" t="inlineStr">
        <is>
          <t>N/A</t>
        </is>
      </c>
      <c r="L7261" t="inlineStr">
        <is>
          <t>Quản Lý Quỹ Đầu Tư, Lập Kế Hoạch, Giám Sát Kỹ Thuật, Quản Trị Rủi Ro, Lãnh Đạo</t>
        </is>
      </c>
      <c r="M7261" t="inlineStr">
        <is>
          <t>Bonus, Healthcare Plan, Training</t>
        </is>
      </c>
      <c r="N7261" s="8">
        <f>HYPERLINK("https://www.vietnamworks.com/pho-tong-giam-doc-tap-doan-kiem-tong-giam-doc-du-an-phu-yen-2018392-jv","Xem chi tiết")</f>
        <v/>
      </c>
    </row>
    <row r="7262">
      <c r="B7262" s="9" t="n">
        <v>7260</v>
      </c>
      <c r="C7262" s="10" t="inlineStr">
        <is>
          <t>Chuyên Viên Quản Lý Bảo Trì Nhà máy điện - Hà Nội</t>
        </is>
      </c>
      <c r="D7262" s="10" t="inlineStr">
        <is>
          <t>Bitexco Power Corporation</t>
        </is>
      </c>
      <c r="E7262" s="10" t="inlineStr">
        <is>
          <t>Thương lượng</t>
        </is>
      </c>
      <c r="F7262" s="10" t="inlineStr">
        <is>
          <t>Hà Nội</t>
        </is>
      </c>
      <c r="G7262" s="10" t="inlineStr">
        <is>
          <t>Nhân viên</t>
        </is>
      </c>
      <c r="H7262" s="10" t="inlineStr">
        <is>
          <t>04/03/2026</t>
        </is>
      </c>
      <c r="I7262" s="10" t="inlineStr">
        <is>
          <t>03/04/2026</t>
        </is>
      </c>
      <c r="J7262" s="10" t="inlineStr">
        <is>
          <t>17/03/2026</t>
        </is>
      </c>
      <c r="K7262" s="10" t="inlineStr">
        <is>
          <t>N/A</t>
        </is>
      </c>
      <c r="L7262" s="10" t="inlineStr">
        <is>
          <t>Chủ Động Học Hỏi, Giao Tiếp Tốt</t>
        </is>
      </c>
      <c r="M7262" s="10" t="inlineStr">
        <is>
          <t>Bonus, Healthcare Plan, Travel Opportunities</t>
        </is>
      </c>
      <c r="N7262" s="11">
        <f>HYPERLINK("https://www.vietnamworks.com/chuyen-vien-quan-ly-bao-tri-nha-may-djien-ha-noi-2018397-jv","Xem chi tiết")</f>
        <v/>
      </c>
      <c r="O7262" s="10" t="n"/>
    </row>
    <row r="7263">
      <c r="B7263" s="7" t="n">
        <v>7261</v>
      </c>
      <c r="C7263" t="inlineStr">
        <is>
          <t>HCM - Chuyên Viên Dịch Vụ Khách Hàng Cá Nhân</t>
        </is>
      </c>
      <c r="D7263" t="inlineStr">
        <is>
          <t>Ngân Hàng TMCP Á Châu (ACB)</t>
        </is>
      </c>
      <c r="E7263" t="inlineStr">
        <is>
          <t>Thương lượng</t>
        </is>
      </c>
      <c r="F7263" t="inlineStr">
        <is>
          <t>Hồ Chí Minh, Bình Dương, Bà Rịa - Vũng Tàu</t>
        </is>
      </c>
      <c r="G7263" t="inlineStr">
        <is>
          <t>Nhân viên</t>
        </is>
      </c>
      <c r="H7263" t="inlineStr">
        <is>
          <t>04/03/2026</t>
        </is>
      </c>
      <c r="I7263" t="inlineStr">
        <is>
          <t>03/04/2026</t>
        </is>
      </c>
      <c r="J7263" t="inlineStr">
        <is>
          <t>17/03/2026</t>
        </is>
      </c>
      <c r="K7263" t="inlineStr">
        <is>
          <t>N/A</t>
        </is>
      </c>
      <c r="L7263" t="inlineStr">
        <is>
          <t>Khách Hàng Doanh Nghiệp, Ngân hàng, Thiết Lập Mối Quan Hệ, Quản trị Kinh doanh</t>
        </is>
      </c>
      <c r="M7263" t="inlineStr">
        <is>
          <t>Bonus, Healthcare Plan, Training, Awards, Team Activities, Others</t>
        </is>
      </c>
      <c r="N7263" s="8">
        <f>HYPERLINK("https://www.vietnamworks.com/hcm-chuyen-vien-dich-vu-khach-hang-ca-nhan-2018390-jv","Xem chi tiết")</f>
        <v/>
      </c>
    </row>
    <row r="7264">
      <c r="B7264" s="9" t="n">
        <v>7262</v>
      </c>
      <c r="C7264" s="10" t="inlineStr">
        <is>
          <t>Kỹ Sư Nghiên Cứu Phát Triển Sản Phẩm</t>
        </is>
      </c>
      <c r="D7264" s="10" t="inlineStr">
        <is>
          <t>Công Ty Cổ Phần Tập Đoàn Sunhouse</t>
        </is>
      </c>
      <c r="E7264" s="10" t="inlineStr">
        <is>
          <t>$$ 500-1,000 /tháng</t>
        </is>
      </c>
      <c r="F7264" s="10" t="inlineStr">
        <is>
          <t>Hà Nội</t>
        </is>
      </c>
      <c r="G7264" s="10" t="inlineStr">
        <is>
          <t>Nhân viên</t>
        </is>
      </c>
      <c r="H7264" s="10" t="inlineStr">
        <is>
          <t>04/03/2026</t>
        </is>
      </c>
      <c r="I7264" s="10" t="inlineStr">
        <is>
          <t>03/04/2026</t>
        </is>
      </c>
      <c r="J7264" s="10" t="inlineStr">
        <is>
          <t>17/03/2026</t>
        </is>
      </c>
      <c r="K7264" s="10" t="inlineStr">
        <is>
          <t>N/A</t>
        </is>
      </c>
      <c r="L7264" s="10" t="inlineStr">
        <is>
          <t>Mechanical Engineering, Mechanical, SolidWorks, Tự Động Hóa, Cơ Điện Tử</t>
        </is>
      </c>
      <c r="M7264" s="10" t="inlineStr">
        <is>
          <t>Bonus, Travel Opportunities, Transportation</t>
        </is>
      </c>
      <c r="N7264" s="11">
        <f>HYPERLINK("https://www.vietnamworks.com/ky-su-nghien-cuu-phat-trien-san-pham--2018403-jv","Xem chi tiết")</f>
        <v/>
      </c>
      <c r="O7264" s="10" t="n"/>
    </row>
    <row r="7265">
      <c r="B7265" s="7" t="n">
        <v>7263</v>
      </c>
      <c r="C7265" t="inlineStr">
        <is>
          <t>IT Lead (Fluent in English, Upto 2500 USD)</t>
        </is>
      </c>
      <c r="D7265" t="inlineStr">
        <is>
          <t>ITECHWX COMPANY LIMITED</t>
        </is>
      </c>
      <c r="E7265" t="inlineStr">
        <is>
          <t>Tới 2,500 ₫/tháng</t>
        </is>
      </c>
      <c r="F7265" t="inlineStr">
        <is>
          <t>Hồ Chí Minh</t>
        </is>
      </c>
      <c r="G7265" t="inlineStr">
        <is>
          <t>Nhân viên</t>
        </is>
      </c>
      <c r="H7265" t="inlineStr">
        <is>
          <t>04/03/2026</t>
        </is>
      </c>
      <c r="I7265" t="inlineStr">
        <is>
          <t>03/04/2026</t>
        </is>
      </c>
      <c r="J7265" t="inlineStr">
        <is>
          <t>17/03/2026</t>
        </is>
      </c>
      <c r="K7265" t="inlineStr">
        <is>
          <t>N/A</t>
        </is>
      </c>
      <c r="L7265" t="inlineStr">
        <is>
          <t>Operations Management, Information Security, Cloud Platform, Network, English Communication</t>
        </is>
      </c>
      <c r="M7265" t="inlineStr">
        <is>
          <t>Healthcare Plan, Paid Leave, Laptop, Team Activities, Others</t>
        </is>
      </c>
      <c r="N7265" s="8">
        <f>HYPERLINK("https://www.vietnamworks.com/it-lead-fluent-in-english-upto-2500-usd-2018385-jv","Xem chi tiết")</f>
        <v/>
      </c>
    </row>
    <row r="7266">
      <c r="B7266" s="9" t="n">
        <v>7264</v>
      </c>
      <c r="C7266" s="10" t="inlineStr">
        <is>
          <t>Trưởng Phòng Kinh Doanh</t>
        </is>
      </c>
      <c r="D7266" s="10" t="inlineStr">
        <is>
          <t>Công ty cổ phần Lux Decor Việt Nam</t>
        </is>
      </c>
      <c r="E7266" s="10" t="inlineStr">
        <is>
          <t>30tr-60tr ₫/tháng</t>
        </is>
      </c>
      <c r="F7266" s="10" t="inlineStr">
        <is>
          <t>Hà Nội</t>
        </is>
      </c>
      <c r="G7266" s="10" t="inlineStr">
        <is>
          <t>Trưởng phòng</t>
        </is>
      </c>
      <c r="H7266" s="10" t="inlineStr">
        <is>
          <t>04/03/2026</t>
        </is>
      </c>
      <c r="I7266" s="10" t="inlineStr">
        <is>
          <t>03/04/2026</t>
        </is>
      </c>
      <c r="J7266" s="10" t="inlineStr">
        <is>
          <t>17/03/2026</t>
        </is>
      </c>
      <c r="K7266" s="10" t="inlineStr">
        <is>
          <t>N/A</t>
        </is>
      </c>
      <c r="L7266" s="10" t="inlineStr">
        <is>
          <t>Kinh Doanh, Phát Triển Kinh Doanh, Sales, Sales Development, Sales Management</t>
        </is>
      </c>
      <c r="M7266" s="10" t="inlineStr">
        <is>
          <t>Bonus, Healthcare Plan, Training, Travel Opportunities, Team Activities, Others</t>
        </is>
      </c>
      <c r="N7266" s="11">
        <f>HYPERLINK("https://www.vietnamworks.com/truong-phong-kinh-doanh-2018402-jv","Xem chi tiết")</f>
        <v/>
      </c>
      <c r="O7266" s="10" t="n"/>
    </row>
    <row r="7267">
      <c r="B7267" s="7" t="n">
        <v>7265</v>
      </c>
      <c r="C7267" t="inlineStr">
        <is>
          <t>Chuyên Viên Triển Khai &amp; Vận Hành IoT (Technical Support)</t>
        </is>
      </c>
      <c r="D7267" t="inlineStr">
        <is>
          <t>One Mount</t>
        </is>
      </c>
      <c r="E7267" t="inlineStr">
        <is>
          <t>Thương lượng</t>
        </is>
      </c>
      <c r="F7267" t="inlineStr">
        <is>
          <t>Hà Nội, Bắc Ninh, Hồ Chí Minh</t>
        </is>
      </c>
      <c r="G7267" t="inlineStr">
        <is>
          <t>Nhân viên</t>
        </is>
      </c>
      <c r="H7267" t="inlineStr">
        <is>
          <t>04/03/2026</t>
        </is>
      </c>
      <c r="I7267" t="inlineStr">
        <is>
          <t>03/04/2026</t>
        </is>
      </c>
      <c r="J7267" t="inlineStr">
        <is>
          <t>17/03/2026</t>
        </is>
      </c>
      <c r="K7267" t="inlineStr">
        <is>
          <t>N/A</t>
        </is>
      </c>
      <c r="L7267" t="inlineStr">
        <is>
          <t>MEP, Điện Tự Động Hóa, Điện tử, CAD, Cơ Điện Tử</t>
        </is>
      </c>
      <c r="M7267" t="inlineStr">
        <is>
          <t>Healthcare Plan, Laptop, Team Activities</t>
        </is>
      </c>
      <c r="N7267" s="8">
        <f>HYPERLINK("https://www.vietnamworks.com/chuyen-vien-trien-khai-van-hanh-iot-technical-support-2018393-jv","Xem chi tiết")</f>
        <v/>
      </c>
    </row>
    <row r="7268">
      <c r="B7268" s="9" t="n">
        <v>7266</v>
      </c>
      <c r="C7268" s="10" t="inlineStr">
        <is>
          <t>Chuyên Viên Thiết Kế (Xây Dựng)</t>
        </is>
      </c>
      <c r="D7268" s="10" t="inlineStr">
        <is>
          <t>Công Ty TNHH Tư Vấn Thiết Kế Xây Dựng Điện Thành Đạt</t>
        </is>
      </c>
      <c r="E7268" s="10" t="inlineStr">
        <is>
          <t>Thương lượng</t>
        </is>
      </c>
      <c r="F7268" s="10" t="inlineStr">
        <is>
          <t>Hồ Chí Minh</t>
        </is>
      </c>
      <c r="G7268" s="10" t="inlineStr">
        <is>
          <t>Nhân viên</t>
        </is>
      </c>
      <c r="H7268" s="10" t="inlineStr">
        <is>
          <t>04/03/2026</t>
        </is>
      </c>
      <c r="I7268" s="10" t="inlineStr">
        <is>
          <t>03/04/2026</t>
        </is>
      </c>
      <c r="J7268" s="10" t="inlineStr">
        <is>
          <t>17/03/2026</t>
        </is>
      </c>
      <c r="K7268" s="10" t="inlineStr">
        <is>
          <t>N/A</t>
        </is>
      </c>
      <c r="L7268" s="10" t="inlineStr">
        <is>
          <t>AutoCAD, Etab, Bản Vẽ Kiến trúc, Bóc Tách Vật Tư</t>
        </is>
      </c>
      <c r="M7268" s="10" t="inlineStr">
        <is>
          <t>Bonus, Healthcare Plan, Awards, Others</t>
        </is>
      </c>
      <c r="N7268" s="11">
        <f>HYPERLINK("https://www.vietnamworks.com/chuyen-vien-thiet-ke-xay-dung--2018412-jv","Xem chi tiết")</f>
        <v/>
      </c>
      <c r="O7268" s="10" t="n"/>
    </row>
    <row r="7269">
      <c r="B7269" s="7" t="n">
        <v>7267</v>
      </c>
      <c r="C7269" t="inlineStr">
        <is>
          <t>Kỹ Sư Quản Lý Chất Lượng Nhà Cung Cấp</t>
        </is>
      </c>
      <c r="D7269" t="inlineStr">
        <is>
          <t>Công Ty Cổ Phần Tập Đoàn Sunhouse</t>
        </is>
      </c>
      <c r="E7269" t="inlineStr">
        <is>
          <t>$$ 600-1,000 /tháng</t>
        </is>
      </c>
      <c r="F7269" t="inlineStr">
        <is>
          <t>Hà Nội</t>
        </is>
      </c>
      <c r="G7269" t="inlineStr">
        <is>
          <t>Nhân viên</t>
        </is>
      </c>
      <c r="H7269" t="inlineStr">
        <is>
          <t>04/03/2026</t>
        </is>
      </c>
      <c r="I7269" t="inlineStr">
        <is>
          <t>03/04/2026</t>
        </is>
      </c>
      <c r="J7269" t="inlineStr">
        <is>
          <t>17/03/2026</t>
        </is>
      </c>
      <c r="K7269" t="inlineStr">
        <is>
          <t>N/A</t>
        </is>
      </c>
      <c r="L7269" t="inlineStr">
        <is>
          <t>Quản Lý Chất Lượng IQC, QC, SQE, IQC, HSK</t>
        </is>
      </c>
      <c r="M7269" t="inlineStr">
        <is>
          <t>Bonus, Travel Opportunities, Transportation</t>
        </is>
      </c>
      <c r="N7269" s="8">
        <f>HYPERLINK("https://www.vietnamworks.com/ky-su-quan-ly-chat-luong-nha-cung-cap-2018395-jv","Xem chi tiết")</f>
        <v/>
      </c>
    </row>
    <row r="7270">
      <c r="B7270" s="9" t="n">
        <v>7268</v>
      </c>
      <c r="C7270" s="10" t="inlineStr">
        <is>
          <t>Quản Đốc Lắp Ráp</t>
        </is>
      </c>
      <c r="D7270" s="10" t="inlineStr">
        <is>
          <t>Alliance Construction &amp; Fine Furniture Company</t>
        </is>
      </c>
      <c r="E7270" s="10" t="inlineStr">
        <is>
          <t>Thương lượng</t>
        </is>
      </c>
      <c r="F7270" s="10" t="inlineStr">
        <is>
          <t>Long An</t>
        </is>
      </c>
      <c r="G7270" s="10" t="inlineStr">
        <is>
          <t>Trưởng phòng</t>
        </is>
      </c>
      <c r="H7270" s="10" t="inlineStr">
        <is>
          <t>04/03/2026</t>
        </is>
      </c>
      <c r="I7270" s="10" t="inlineStr">
        <is>
          <t>03/04/2026</t>
        </is>
      </c>
      <c r="J7270" s="10" t="inlineStr">
        <is>
          <t>17/03/2026</t>
        </is>
      </c>
      <c r="K7270" s="10" t="inlineStr">
        <is>
          <t>N/A</t>
        </is>
      </c>
      <c r="L7270" s="10" t="inlineStr">
        <is>
          <t>Quản Lý Sản Xuất, MS Office, Giám Sát Quy Trình Sản Xuất, Lập Kế Hoạch Sản Xuất, Đào Tạo Nội Bộ</t>
        </is>
      </c>
      <c r="M7270" s="10" t="inlineStr">
        <is>
          <t>Bonus, Training, Team Activities, Transportation</t>
        </is>
      </c>
      <c r="N7270" s="11">
        <f>HYPERLINK("https://www.vietnamworks.com/quan-djoc-lap-rap-2018400-jv","Xem chi tiết")</f>
        <v/>
      </c>
      <c r="O7270" s="10" t="n"/>
    </row>
    <row r="7271">
      <c r="B7271" s="7" t="n">
        <v>7269</v>
      </c>
      <c r="C7271" t="inlineStr">
        <is>
          <t>Kế Toán Thuế</t>
        </is>
      </c>
      <c r="D7271" t="inlineStr">
        <is>
          <t>CÔNG TY CỔ PHẦN PHÁT TRIỂN CÔNG NGHỆ TECHPRO</t>
        </is>
      </c>
      <c r="E7271" t="inlineStr">
        <is>
          <t>Thương lượng</t>
        </is>
      </c>
      <c r="F7271" t="inlineStr">
        <is>
          <t>Hà Nội</t>
        </is>
      </c>
      <c r="G7271" t="inlineStr">
        <is>
          <t>Nhân viên</t>
        </is>
      </c>
      <c r="H7271" t="inlineStr">
        <is>
          <t>04/03/2026</t>
        </is>
      </c>
      <c r="I7271" t="inlineStr">
        <is>
          <t>03/04/2026</t>
        </is>
      </c>
      <c r="J7271" t="inlineStr">
        <is>
          <t>17/03/2026</t>
        </is>
      </c>
      <c r="K7271" t="inlineStr">
        <is>
          <t>N/A</t>
        </is>
      </c>
      <c r="L7271" t="inlineStr">
        <is>
          <t>Hệ Thống Thuế, Công Nợ, MISA Accounting Software, Thuế, Fast Accounting</t>
        </is>
      </c>
      <c r="M7271" t="inlineStr">
        <is>
          <t>Bonus, Healthcare Plan, Training</t>
        </is>
      </c>
      <c r="N7271" s="8">
        <f>HYPERLINK("https://www.vietnamworks.com/ke-toan-thue--2018409-jv","Xem chi tiết")</f>
        <v/>
      </c>
    </row>
    <row r="7272">
      <c r="B7272" s="9" t="n">
        <v>7270</v>
      </c>
      <c r="C7272" s="10" t="inlineStr">
        <is>
          <t>Chuyên Viên Dịch Vụ Quầy (Counter Service Specialist)</t>
        </is>
      </c>
      <c r="D7272" s="10" t="inlineStr">
        <is>
          <t>Công Ty Cổ Phần Tập Đoàn Masterise</t>
        </is>
      </c>
      <c r="E7272" s="10" t="inlineStr">
        <is>
          <t>13tr-19tr ₫/tháng</t>
        </is>
      </c>
      <c r="F7272" s="10" t="inlineStr">
        <is>
          <t>Hồ Chí Minh, Hà Nội</t>
        </is>
      </c>
      <c r="G7272" s="10" t="inlineStr">
        <is>
          <t>Nhân viên</t>
        </is>
      </c>
      <c r="H7272" s="10" t="inlineStr">
        <is>
          <t>04/03/2026</t>
        </is>
      </c>
      <c r="I7272" s="10" t="inlineStr">
        <is>
          <t>03/04/2026</t>
        </is>
      </c>
      <c r="J7272" s="10" t="inlineStr">
        <is>
          <t>17/03/2026</t>
        </is>
      </c>
      <c r="K7272" s="10" t="inlineStr">
        <is>
          <t>N/A</t>
        </is>
      </c>
      <c r="L7272" s="10" t="inlineStr">
        <is>
          <t>Dịch Vụ Khách Hàng, Kiểm Tra Chứng Từ, Phối hợp giữa các bộ phận, Quản Lý Hồ Sơ, Tin Học Văn Phòng</t>
        </is>
      </c>
      <c r="M7272" s="10" t="inlineStr">
        <is>
          <t>Bonus, Healthcare Plan, Training, Others</t>
        </is>
      </c>
      <c r="N7272" s="11">
        <f>HYPERLINK("https://www.vietnamworks.com/chuyen-vien-dich-vu-quay-counter-service-specialist-2018413-jv","Xem chi tiết")</f>
        <v/>
      </c>
      <c r="O7272" s="10" t="n"/>
    </row>
    <row r="7273">
      <c r="B7273" s="7" t="n">
        <v>7271</v>
      </c>
      <c r="C7273" t="inlineStr">
        <is>
          <t>3D Architectural Visualization Artist</t>
        </is>
      </c>
      <c r="D7273" t="inlineStr">
        <is>
          <t>Daewoo E&amp;C VINA</t>
        </is>
      </c>
      <c r="E7273" t="inlineStr">
        <is>
          <t>Thương lượng</t>
        </is>
      </c>
      <c r="F7273" t="inlineStr">
        <is>
          <t>Hà Nội</t>
        </is>
      </c>
      <c r="G7273" t="inlineStr">
        <is>
          <t>Mới Tốt Nghiệp</t>
        </is>
      </c>
      <c r="H7273" t="inlineStr">
        <is>
          <t>04/03/2026</t>
        </is>
      </c>
      <c r="I7273" t="inlineStr">
        <is>
          <t>03/04/2026</t>
        </is>
      </c>
      <c r="J7273" t="inlineStr">
        <is>
          <t>17/03/2026</t>
        </is>
      </c>
      <c r="K7273" t="inlineStr">
        <is>
          <t>N/A</t>
        </is>
      </c>
      <c r="L7273" t="inlineStr">
        <is>
          <t>Dựng 3D, Render hình ảnh, video, Thiết kế PPT, Photoshop</t>
        </is>
      </c>
      <c r="M7273" t="inlineStr">
        <is>
          <t>Bonus, Healthcare Plan, Paid Leave</t>
        </is>
      </c>
      <c r="N7273" s="8">
        <f>HYPERLINK("https://www.vietnamworks.com/3d-architectural-visualization-artist--2018405-jv","Xem chi tiết")</f>
        <v/>
      </c>
    </row>
    <row r="7274">
      <c r="B7274" s="9" t="n">
        <v>7272</v>
      </c>
      <c r="C7274" s="10" t="inlineStr">
        <is>
          <t>Chỉ Huy Phó Hoàn Thiện</t>
        </is>
      </c>
      <c r="D7274" s="10" t="inlineStr">
        <is>
          <t>CÔNG TY CỔ PHẦN TẬP ĐOÀN ĐẦU TƯ HOÀNG GIA VIỆT NAM</t>
        </is>
      </c>
      <c r="E7274" s="10" t="inlineStr">
        <is>
          <t>Thương lượng</t>
        </is>
      </c>
      <c r="F7274" s="10" t="inlineStr">
        <is>
          <t>Ninh Thuận</t>
        </is>
      </c>
      <c r="G7274" s="10" t="inlineStr">
        <is>
          <t>Trưởng phòng</t>
        </is>
      </c>
      <c r="H7274" s="10" t="inlineStr">
        <is>
          <t>04/03/2026</t>
        </is>
      </c>
      <c r="I7274" s="10" t="inlineStr">
        <is>
          <t>03/04/2026</t>
        </is>
      </c>
      <c r="J7274" s="10" t="inlineStr">
        <is>
          <t>17/03/2026</t>
        </is>
      </c>
      <c r="K7274" s="10" t="inlineStr">
        <is>
          <t>N/A</t>
        </is>
      </c>
      <c r="L7274" s="10" t="inlineStr">
        <is>
          <t>Kỹ Thuật Xây Dựng, Quản Lý Dự Án, Xây Dựng, Chỉ Huy Phó, Giám Sát Xây Dựng</t>
        </is>
      </c>
      <c r="M7274" s="10" t="inlineStr">
        <is>
          <t>Bonus, Healthcare Plan, Paid Leave, Training, Laptop, Travel Opportunities, Transportation, Canteen, Others</t>
        </is>
      </c>
      <c r="N7274" s="11">
        <f>HYPERLINK("https://www.vietnamworks.com/chi-huy-pho-hoan-thien-2018401-jv","Xem chi tiết")</f>
        <v/>
      </c>
      <c r="O7274" s="10" t="n"/>
    </row>
    <row r="7275">
      <c r="B7275" s="7" t="n">
        <v>7273</v>
      </c>
      <c r="C7275" t="inlineStr">
        <is>
          <t>Kỹ Sư Cơ Khí</t>
        </is>
      </c>
      <c r="D7275" t="inlineStr">
        <is>
          <t>Masan Consumer Holdings</t>
        </is>
      </c>
      <c r="E7275" t="inlineStr">
        <is>
          <t>Thương lượng</t>
        </is>
      </c>
      <c r="F7275" t="inlineStr">
        <is>
          <t>Hải Dương</t>
        </is>
      </c>
      <c r="G7275" t="inlineStr">
        <is>
          <t>Nhân viên</t>
        </is>
      </c>
      <c r="H7275" t="inlineStr">
        <is>
          <t>04/03/2026</t>
        </is>
      </c>
      <c r="I7275" t="inlineStr">
        <is>
          <t>03/04/2026</t>
        </is>
      </c>
      <c r="J7275" t="inlineStr">
        <is>
          <t>17/03/2026</t>
        </is>
      </c>
      <c r="K7275" t="inlineStr">
        <is>
          <t>N/A</t>
        </is>
      </c>
      <c r="L7275" t="inlineStr">
        <is>
          <t>Kỹ sư Cơ khí, Mechanical Engineering, Cơ Khí Chế Tạo, Mechanical, Cơ Khí</t>
        </is>
      </c>
      <c r="M7275" t="inlineStr">
        <is>
          <t>Bonus, Laptop, Others</t>
        </is>
      </c>
      <c r="N7275" s="8">
        <f>HYPERLINK("https://www.vietnamworks.com/ky-su-co-khi--2018388-jv","Xem chi tiết")</f>
        <v/>
      </c>
    </row>
    <row r="7276">
      <c r="B7276" s="9" t="n">
        <v>7274</v>
      </c>
      <c r="C7276" s="10" t="inlineStr">
        <is>
          <t>[Hà Nội] Chuyên Viên Kinh Doanh Bảo Hiểm Phi Nhân Thọ - Kênh Đại Lý</t>
        </is>
      </c>
      <c r="D7276" s="10" t="inlineStr">
        <is>
          <t>Công Ty TNHH Bảo Hiểm Liberty</t>
        </is>
      </c>
      <c r="E7276" s="10" t="inlineStr">
        <is>
          <t>Thương lượng</t>
        </is>
      </c>
      <c r="F7276" s="10" t="inlineStr">
        <is>
          <t>Hà Nội</t>
        </is>
      </c>
      <c r="G7276" s="10" t="inlineStr">
        <is>
          <t>Nhân viên</t>
        </is>
      </c>
      <c r="H7276" s="10" t="inlineStr">
        <is>
          <t>04/03/2026</t>
        </is>
      </c>
      <c r="I7276" s="10" t="inlineStr">
        <is>
          <t>03/04/2026</t>
        </is>
      </c>
      <c r="J7276" s="10" t="inlineStr">
        <is>
          <t>17/03/2026</t>
        </is>
      </c>
      <c r="K7276" s="10" t="inlineStr">
        <is>
          <t>N/A</t>
        </is>
      </c>
      <c r="L7276" s="10" t="inlineStr">
        <is>
          <t>Lập Kế Hoạch Kinh Doanh, Phát Triển Đối Tác, Telesales, Xây Dựng Mối Quan Hệ, Đàm Phán</t>
        </is>
      </c>
      <c r="M7276" s="10" t="inlineStr">
        <is>
          <t>Bonus, Healthcare Plan, Training, Others</t>
        </is>
      </c>
      <c r="N7276" s="11">
        <f>HYPERLINK("https://www.vietnamworks.com/ha-noi-chuyen-vien-kinh-doanh-bao-hiem-phi-nhan-tho-kenh-djai-ly-2018396-jv","Xem chi tiết")</f>
        <v/>
      </c>
      <c r="O7276" s="10" t="n"/>
    </row>
    <row r="7277">
      <c r="B7277" s="7" t="n">
        <v>7275</v>
      </c>
      <c r="C7277" t="inlineStr">
        <is>
          <t>Logistics Manager</t>
        </is>
      </c>
      <c r="D7277" t="inlineStr">
        <is>
          <t>Avery Dennison Vietnam</t>
        </is>
      </c>
      <c r="E7277" t="inlineStr">
        <is>
          <t>Thương lượng</t>
        </is>
      </c>
      <c r="F7277" t="inlineStr">
        <is>
          <t>Long An</t>
        </is>
      </c>
      <c r="G7277" t="inlineStr">
        <is>
          <t>Trưởng phòng</t>
        </is>
      </c>
      <c r="H7277" t="inlineStr">
        <is>
          <t>04/03/2026</t>
        </is>
      </c>
      <c r="I7277" t="inlineStr">
        <is>
          <t>03/04/2026</t>
        </is>
      </c>
      <c r="J7277" t="inlineStr">
        <is>
          <t>17/03/2026</t>
        </is>
      </c>
      <c r="K7277" t="inlineStr">
        <is>
          <t>N/A</t>
        </is>
      </c>
      <c r="L7277" t="inlineStr">
        <is>
          <t>Customs Dealing, Digital Innovation, Logistics Management, Team Management</t>
        </is>
      </c>
      <c r="M7277" t="inlineStr">
        <is>
          <t>Bonus, Healthcare Plan, Transportation, Canteen</t>
        </is>
      </c>
      <c r="N7277" s="8">
        <f>HYPERLINK("https://www.vietnamworks.com/logistics-manager-2018416-jv","Xem chi tiết")</f>
        <v/>
      </c>
    </row>
    <row r="7278">
      <c r="B7278" s="9" t="n">
        <v>7276</v>
      </c>
      <c r="C7278" s="10" t="inlineStr">
        <is>
          <t>[Urgent] Customs Clearance Staff (Nhân Viên Khai Báo Hải Quan)</t>
        </is>
      </c>
      <c r="D7278" s="10" t="inlineStr">
        <is>
          <t>Ken Logistics CO., LTD.</t>
        </is>
      </c>
      <c r="E7278" s="10" t="inlineStr">
        <is>
          <t>$$ 400-900 /tháng</t>
        </is>
      </c>
      <c r="F7278" s="10" t="inlineStr">
        <is>
          <t>Hà Nội</t>
        </is>
      </c>
      <c r="G7278" s="10" t="inlineStr">
        <is>
          <t>Nhân viên</t>
        </is>
      </c>
      <c r="H7278" s="10" t="inlineStr">
        <is>
          <t>04/03/2026</t>
        </is>
      </c>
      <c r="I7278" s="10" t="inlineStr">
        <is>
          <t>03/04/2026</t>
        </is>
      </c>
      <c r="J7278" s="10" t="inlineStr">
        <is>
          <t>17/03/2026</t>
        </is>
      </c>
      <c r="K7278" s="10" t="inlineStr">
        <is>
          <t>N/A</t>
        </is>
      </c>
      <c r="L7278" s="10" t="inlineStr">
        <is>
          <t>Xuất Nhập Khẩu, Tiếng Anh, Thủ Tục Hải Quan, Logistics, Chứng Từ Xuất Nhập Khẩu</t>
        </is>
      </c>
      <c r="M7278" s="10" t="inlineStr">
        <is>
          <t>Bonus, Paid Leave, Others</t>
        </is>
      </c>
      <c r="N7278" s="11">
        <f>HYPERLINK("https://www.vietnamworks.com/urgent-customs-clearance-staff-nhan-vien-khai-bao-hai-quan--2018415-jv","Xem chi tiết")</f>
        <v/>
      </c>
      <c r="O7278" s="10" t="n"/>
    </row>
    <row r="7279">
      <c r="B7279" s="7" t="n">
        <v>7277</v>
      </c>
      <c r="C7279" t="inlineStr">
        <is>
          <t>Business Development Manager, F&amp;B Chemicals</t>
        </is>
      </c>
      <c r="D7279" t="inlineStr">
        <is>
          <t>Michael Page Vietnam</t>
        </is>
      </c>
      <c r="E7279" t="inlineStr">
        <is>
          <t>Thương lượng</t>
        </is>
      </c>
      <c r="F7279" t="inlineStr">
        <is>
          <t>Hồ Chí Minh</t>
        </is>
      </c>
      <c r="G7279" t="inlineStr">
        <is>
          <t>Trưởng phòng</t>
        </is>
      </c>
      <c r="H7279" t="inlineStr">
        <is>
          <t>04/03/2026</t>
        </is>
      </c>
      <c r="I7279" t="inlineStr">
        <is>
          <t>03/04/2026</t>
        </is>
      </c>
      <c r="J7279" t="inlineStr">
        <is>
          <t>17/03/2026</t>
        </is>
      </c>
      <c r="K7279" t="inlineStr">
        <is>
          <t>N/A</t>
        </is>
      </c>
      <c r="L7279" t="inlineStr">
        <is>
          <t>Business Development</t>
        </is>
      </c>
      <c r="M7279" t="inlineStr">
        <is>
          <t>Bonus</t>
        </is>
      </c>
      <c r="N7279" s="8">
        <f>HYPERLINK("https://www.vietnamworks.com/business-development-manager-f-amp-b-chemicals-2018421-jv","Xem chi tiết")</f>
        <v/>
      </c>
    </row>
    <row r="7280">
      <c r="B7280" s="9" t="n">
        <v>7278</v>
      </c>
      <c r="C7280" s="10" t="inlineStr">
        <is>
          <t>Sales Engineer Open For Fresher (HCM, Ha Noi) (Salary Upto 25Mil)</t>
        </is>
      </c>
      <c r="D7280" s="10" t="inlineStr">
        <is>
          <t>KINGFA SCIENCE &amp; TECHNOLOGY (VIETNAM) COMPANY LIMITED</t>
        </is>
      </c>
      <c r="E7280" s="10" t="inlineStr">
        <is>
          <t>18tr-25tr ₫/tháng</t>
        </is>
      </c>
      <c r="F7280" s="10" t="inlineStr">
        <is>
          <t>Hà Nội, Hồ Chí Minh</t>
        </is>
      </c>
      <c r="G7280" s="10" t="inlineStr">
        <is>
          <t>Nhân viên</t>
        </is>
      </c>
      <c r="H7280" s="10" t="inlineStr">
        <is>
          <t>04/03/2026</t>
        </is>
      </c>
      <c r="I7280" s="10" t="inlineStr">
        <is>
          <t>03/04/2026</t>
        </is>
      </c>
      <c r="J7280" s="10" t="inlineStr">
        <is>
          <t>17/03/2026</t>
        </is>
      </c>
      <c r="K7280" s="10" t="inlineStr">
        <is>
          <t>N/A</t>
        </is>
      </c>
      <c r="L7280" s="10" t="inlineStr">
        <is>
          <t>Chemical engineering, English, Sales Technical, sales engineer, Material Science</t>
        </is>
      </c>
      <c r="M7280" s="10" t="inlineStr">
        <is>
          <t>Bonus</t>
        </is>
      </c>
      <c r="N7280" s="11">
        <f>HYPERLINK("https://www.vietnamworks.com/sales-engineer-open-for-fresher-hcm-ha-noi-salary-upto-25mil-2018426-jv","Xem chi tiết")</f>
        <v/>
      </c>
      <c r="O7280" s="10" t="n"/>
    </row>
    <row r="7281">
      <c r="B7281" s="7" t="n">
        <v>7279</v>
      </c>
      <c r="C7281" t="inlineStr">
        <is>
          <t>Chuyên Viên Cao Cấp Kiểm Soát Thiết Kế</t>
        </is>
      </c>
      <c r="D7281" t="inlineStr">
        <is>
          <t>Công Ty Cổ Phần Quốc Tế Sơn Hà</t>
        </is>
      </c>
      <c r="E7281" t="inlineStr">
        <is>
          <t>1,000-1,500 ₫/tháng</t>
        </is>
      </c>
      <c r="F7281" t="inlineStr">
        <is>
          <t>Hà Nội</t>
        </is>
      </c>
      <c r="G7281" t="inlineStr">
        <is>
          <t>Nhân viên</t>
        </is>
      </c>
      <c r="H7281" t="inlineStr">
        <is>
          <t>04/03/2026</t>
        </is>
      </c>
      <c r="I7281" t="inlineStr">
        <is>
          <t>03/04/2026</t>
        </is>
      </c>
      <c r="J7281" t="inlineStr">
        <is>
          <t>17/03/2026</t>
        </is>
      </c>
      <c r="K7281" t="inlineStr">
        <is>
          <t>N/A</t>
        </is>
      </c>
      <c r="L7281" t="inlineStr">
        <is>
          <t>Quản Lý Thiết Kế, Bất Động Sản, Tư Vấn Thiết Kế, Kiến Trúc, Hạ Tầng</t>
        </is>
      </c>
      <c r="M7281" t="inlineStr">
        <is>
          <t>Bonus, Healthcare Plan, Laptop</t>
        </is>
      </c>
      <c r="N7281" s="8">
        <f>HYPERLINK("https://www.vietnamworks.com/chuyen-vien-cao-cap-kiem-soat-thiet-ke--2018418-jv","Xem chi tiết")</f>
        <v/>
      </c>
    </row>
    <row r="7282">
      <c r="B7282" s="9" t="n">
        <v>7280</v>
      </c>
      <c r="C7282" s="10" t="inlineStr">
        <is>
          <t>Chuyên Viên Tư Vấn Giải Pháp Phần Mềm (Presales)</t>
        </is>
      </c>
      <c r="D7282" s="10" t="inlineStr">
        <is>
          <t>FPT IS</t>
        </is>
      </c>
      <c r="E7282" s="10" t="inlineStr">
        <is>
          <t>Thương lượng</t>
        </is>
      </c>
      <c r="F7282" s="10" t="inlineStr">
        <is>
          <t>Hà Nội</t>
        </is>
      </c>
      <c r="G7282" s="10" t="inlineStr">
        <is>
          <t>Nhân viên</t>
        </is>
      </c>
      <c r="H7282" s="10" t="inlineStr">
        <is>
          <t>04/03/2026</t>
        </is>
      </c>
      <c r="I7282" s="10" t="inlineStr">
        <is>
          <t>03/04/2026</t>
        </is>
      </c>
      <c r="J7282" s="10" t="inlineStr">
        <is>
          <t>17/03/2026</t>
        </is>
      </c>
      <c r="K7282" s="10" t="inlineStr">
        <is>
          <t>N/A</t>
        </is>
      </c>
      <c r="L7282" s="10" t="inlineStr">
        <is>
          <t>English, Kinh Nghiệm Presale</t>
        </is>
      </c>
      <c r="M7282" s="10" t="inlineStr">
        <is>
          <t>Bonus, Healthcare Plan, Travel Opportunities</t>
        </is>
      </c>
      <c r="N7282" s="11">
        <f>HYPERLINK("https://www.vietnamworks.com/chuyen-vien-tu-van-giai-phap-phan-mem-presales-2018446-jv","Xem chi tiết")</f>
        <v/>
      </c>
      <c r="O7282" s="10" t="n"/>
    </row>
    <row r="7283">
      <c r="B7283" s="7" t="n">
        <v>7281</v>
      </c>
      <c r="C7283" t="inlineStr">
        <is>
          <t>Accounts Receivable</t>
        </is>
      </c>
      <c r="D7283" t="inlineStr">
        <is>
          <t>Meishang Cosmetics Vietnam (Colorkey BRAND)</t>
        </is>
      </c>
      <c r="E7283" t="inlineStr">
        <is>
          <t>Thương lượng</t>
        </is>
      </c>
      <c r="F7283" t="inlineStr">
        <is>
          <t>Hồ Chí Minh</t>
        </is>
      </c>
      <c r="G7283" t="inlineStr">
        <is>
          <t>Nhân viên</t>
        </is>
      </c>
      <c r="H7283" t="inlineStr">
        <is>
          <t>04/03/2026</t>
        </is>
      </c>
      <c r="I7283" t="inlineStr">
        <is>
          <t>03/04/2026</t>
        </is>
      </c>
      <c r="J7283" t="inlineStr">
        <is>
          <t>17/03/2026</t>
        </is>
      </c>
      <c r="K7283" t="inlineStr">
        <is>
          <t>N/A</t>
        </is>
      </c>
      <c r="L7283" t="inlineStr">
        <is>
          <t>Account Receivable, Communication, Data Processing, MS Office, Problem Solving</t>
        </is>
      </c>
      <c r="M7283" t="inlineStr">
        <is>
          <t>Bonus, Healthcare Plan, Training, Others</t>
        </is>
      </c>
      <c r="N7283" s="8">
        <f>HYPERLINK("https://www.vietnamworks.com/accounts-receivable-2018428-jv","Xem chi tiết")</f>
        <v/>
      </c>
    </row>
    <row r="7284">
      <c r="B7284" s="9" t="n">
        <v>7282</v>
      </c>
      <c r="C7284" s="10" t="inlineStr">
        <is>
          <t>Project Manager - Factory Expansion</t>
        </is>
      </c>
      <c r="D7284" s="10" t="inlineStr">
        <is>
          <t>Michael Page Vietnam</t>
        </is>
      </c>
      <c r="E7284" s="10" t="inlineStr">
        <is>
          <t>$$ 4,000-5,000 /tháng</t>
        </is>
      </c>
      <c r="F7284" s="10" t="inlineStr">
        <is>
          <t>Hồ Chí Minh</t>
        </is>
      </c>
      <c r="G7284" s="10" t="inlineStr">
        <is>
          <t>Trưởng phòng</t>
        </is>
      </c>
      <c r="H7284" s="10" t="inlineStr">
        <is>
          <t>04/03/2026</t>
        </is>
      </c>
      <c r="I7284" s="10" t="inlineStr">
        <is>
          <t>03/04/2026</t>
        </is>
      </c>
      <c r="J7284" s="10" t="inlineStr">
        <is>
          <t>17/03/2026</t>
        </is>
      </c>
      <c r="K7284" s="10" t="inlineStr">
        <is>
          <t>N/A</t>
        </is>
      </c>
      <c r="L7284" s="10" t="inlineStr">
        <is>
          <t>Civil engineer, Project Management, CAD Software, Capex management, OPEX</t>
        </is>
      </c>
      <c r="M7284" s="10" t="inlineStr">
        <is>
          <t>Bonus, Healthcare Plan, Transportation</t>
        </is>
      </c>
      <c r="N7284" s="11">
        <f>HYPERLINK("https://www.vietnamworks.com/project-manager-factory-expansion-2018437-jv","Xem chi tiết")</f>
        <v/>
      </c>
      <c r="O7284" s="10" t="n"/>
    </row>
    <row r="7285">
      <c r="B7285" s="7" t="n">
        <v>7283</v>
      </c>
      <c r="C7285" t="inlineStr">
        <is>
          <t>Chuyên Viên Vận Hành &amp; Phát Triển Báo Cáo (Developer/software Engineer)</t>
        </is>
      </c>
      <c r="D7285" t="inlineStr">
        <is>
          <t>Công Ty Cổ Phần Quốc Tế Sơn Hà</t>
        </is>
      </c>
      <c r="E7285" t="inlineStr">
        <is>
          <t>300-700 ₫/tháng</t>
        </is>
      </c>
      <c r="F7285" t="inlineStr">
        <is>
          <t>Hà Nội</t>
        </is>
      </c>
      <c r="G7285" t="inlineStr">
        <is>
          <t>Nhân viên</t>
        </is>
      </c>
      <c r="H7285" t="inlineStr">
        <is>
          <t>04/03/2026</t>
        </is>
      </c>
      <c r="I7285" t="inlineStr">
        <is>
          <t>03/04/2026</t>
        </is>
      </c>
      <c r="J7285" t="inlineStr">
        <is>
          <t>17/03/2026</t>
        </is>
      </c>
      <c r="K7285" t="inlineStr">
        <is>
          <t>N/A</t>
        </is>
      </c>
      <c r="L7285" t="inlineStr">
        <is>
          <t>Phát Triển Phần Mềm, Back End Developer, SQL, Web Development, Report Builder</t>
        </is>
      </c>
      <c r="M7285" t="inlineStr">
        <is>
          <t>Bonus, Healthcare Plan, Laptop</t>
        </is>
      </c>
      <c r="N7285" s="8">
        <f>HYPERLINK("https://www.vietnamworks.com/chuyen-vien-van-hanh-phat-trien-bao-cao-developer-software-engineer-2018425-jv","Xem chi tiết")</f>
        <v/>
      </c>
    </row>
    <row r="7286">
      <c r="B7286" s="9" t="n">
        <v>7284</v>
      </c>
      <c r="C7286" s="10" t="inlineStr">
        <is>
          <t>Senior Global Sales (Up to $3,500++)</t>
        </is>
      </c>
      <c r="D7286" s="10" t="inlineStr">
        <is>
          <t>Tổng Công ty Công nghiệp Công nghệ cao Viettel (Viettel High Tech)</t>
        </is>
      </c>
      <c r="E7286" s="10" t="inlineStr">
        <is>
          <t>$$ 1,000-3,500 /tháng</t>
        </is>
      </c>
      <c r="F7286" s="10" t="inlineStr">
        <is>
          <t>Hà Nội</t>
        </is>
      </c>
      <c r="G7286" s="10" t="inlineStr">
        <is>
          <t>Nhân viên</t>
        </is>
      </c>
      <c r="H7286" s="10" t="inlineStr">
        <is>
          <t>04/03/2026</t>
        </is>
      </c>
      <c r="I7286" s="10" t="inlineStr">
        <is>
          <t>03/04/2026</t>
        </is>
      </c>
      <c r="J7286" s="10" t="inlineStr">
        <is>
          <t>17/03/2026</t>
        </is>
      </c>
      <c r="K7286" s="10" t="inlineStr">
        <is>
          <t>N/A</t>
        </is>
      </c>
      <c r="L7286" s="10" t="inlineStr">
        <is>
          <t>Công Nghệ Thông Tin, Kinh Doanh Quốc Tế, Tìm Kiếm Khách Hàng, Điện tử viễn thông, Global Sales &amp; Market Expansion</t>
        </is>
      </c>
      <c r="M7286" s="10" t="inlineStr">
        <is>
          <t>Bonus, Healthcare Plan, Paid Leave</t>
        </is>
      </c>
      <c r="N7286" s="11">
        <f>HYPERLINK("https://www.vietnamworks.com/senior-global-sales-up-to-dollar3500-2018429-jv","Xem chi tiết")</f>
        <v/>
      </c>
      <c r="O7286" s="10" t="n"/>
    </row>
    <row r="7287">
      <c r="B7287" s="7" t="n">
        <v>7285</v>
      </c>
      <c r="C7287" t="inlineStr">
        <is>
          <t>Senior Employer Branding Specialist</t>
        </is>
      </c>
      <c r="D7287" t="inlineStr">
        <is>
          <t>VINFAST TRADING AND PRODUCTION JSC</t>
        </is>
      </c>
      <c r="E7287" t="inlineStr">
        <is>
          <t>Thương lượng</t>
        </is>
      </c>
      <c r="F7287" t="inlineStr">
        <is>
          <t>Hà Nội</t>
        </is>
      </c>
      <c r="G7287" t="inlineStr">
        <is>
          <t>Nhân viên</t>
        </is>
      </c>
      <c r="H7287" t="inlineStr">
        <is>
          <t>04/03/2026</t>
        </is>
      </c>
      <c r="I7287" t="inlineStr">
        <is>
          <t>03/04/2026</t>
        </is>
      </c>
      <c r="J7287" t="inlineStr">
        <is>
          <t>17/03/2026</t>
        </is>
      </c>
      <c r="K7287" t="inlineStr">
        <is>
          <t>N/A</t>
        </is>
      </c>
      <c r="L7287" t="inlineStr">
        <is>
          <t>Employee Relation, Brand Marketing, Content Marketing, Design</t>
        </is>
      </c>
      <c r="M7287" t="inlineStr">
        <is>
          <t>Bonus, Healthcare Plan, Others</t>
        </is>
      </c>
      <c r="N7287" s="8">
        <f>HYPERLINK("https://www.vietnamworks.com/senior-employer-branding-specialist-1-2018439-jv","Xem chi tiết")</f>
        <v/>
      </c>
    </row>
    <row r="7288">
      <c r="B7288" s="9" t="n">
        <v>7286</v>
      </c>
      <c r="C7288" s="10" t="inlineStr">
        <is>
          <t>Nhân viên Tác nghiệp sau giao dịch</t>
        </is>
      </c>
      <c r="D7288" s="10" t="inlineStr">
        <is>
          <t>Công Ty Cổ Phần Dịch Vụ Đầu tư FETA</t>
        </is>
      </c>
      <c r="E7288" s="10" t="inlineStr">
        <is>
          <t>Thương lượng</t>
        </is>
      </c>
      <c r="F7288" s="10" t="inlineStr">
        <is>
          <t>Hà Nội</t>
        </is>
      </c>
      <c r="G7288" s="10" t="inlineStr">
        <is>
          <t>Nhân viên</t>
        </is>
      </c>
      <c r="H7288" s="10" t="inlineStr">
        <is>
          <t>04/03/2026</t>
        </is>
      </c>
      <c r="I7288" s="10" t="inlineStr">
        <is>
          <t>03/04/2026</t>
        </is>
      </c>
      <c r="J7288" s="10" t="inlineStr">
        <is>
          <t>17/03/2026</t>
        </is>
      </c>
      <c r="K7288" s="10" t="inlineStr">
        <is>
          <t>N/A</t>
        </is>
      </c>
      <c r="L7288" s="10" t="inlineStr">
        <is>
          <t>Excel Cơ Bản, Giải Quyết Vấn Đề, Giao Tiếp, Ngân hàng, Tài Chính</t>
        </is>
      </c>
      <c r="M7288" s="10" t="inlineStr">
        <is>
          <t>Bonus, Healthcare Plan, Training</t>
        </is>
      </c>
      <c r="N7288" s="11">
        <f>HYPERLINK("https://www.vietnamworks.com/nhan-vien-tac-nghiep-sau-giao-dich-2018432-jv","Xem chi tiết")</f>
        <v/>
      </c>
      <c r="O7288" s="10" t="n"/>
    </row>
    <row r="7289">
      <c r="B7289" s="7" t="n">
        <v>7287</v>
      </c>
      <c r="C7289" t="inlineStr">
        <is>
          <t>Giám Đốc Công Nghệ Thông Tin - Mảng Edtech</t>
        </is>
      </c>
      <c r="D7289" t="inlineStr">
        <is>
          <t>Tập Đoàn Giáo Dục Và Đào Tạo Quốc Tế Đại Tây Dương - Atlantic Group</t>
        </is>
      </c>
      <c r="E7289" t="inlineStr">
        <is>
          <t>$$ 3,000-4,000 /tháng</t>
        </is>
      </c>
      <c r="F7289" t="inlineStr">
        <is>
          <t>Hà Nội</t>
        </is>
      </c>
      <c r="G7289" t="inlineStr">
        <is>
          <t>Giám Đốc và Cấp Cao Hơn</t>
        </is>
      </c>
      <c r="H7289" t="inlineStr">
        <is>
          <t>04/03/2026</t>
        </is>
      </c>
      <c r="I7289" t="inlineStr">
        <is>
          <t>03/04/2026</t>
        </is>
      </c>
      <c r="J7289" t="inlineStr">
        <is>
          <t>17/03/2026</t>
        </is>
      </c>
      <c r="K7289" t="inlineStr">
        <is>
          <t>N/A</t>
        </is>
      </c>
      <c r="L7289" t="inlineStr">
        <is>
          <t>CTO</t>
        </is>
      </c>
      <c r="M7289" t="inlineStr">
        <is>
          <t>Bonus, Healthcare Plan, Training</t>
        </is>
      </c>
      <c r="N7289" s="8">
        <f>HYPERLINK("https://www.vietnamworks.com/giam-doc-cong-nghe-thong-tin-mang-edtech-2018420-jv","Xem chi tiết")</f>
        <v/>
      </c>
    </row>
    <row r="7290">
      <c r="B7290" s="9" t="n">
        <v>7288</v>
      </c>
      <c r="C7290" s="10" t="inlineStr">
        <is>
          <t>Event Marketing Senior Executive (Aeon Mall Binh Tan - 603)</t>
        </is>
      </c>
      <c r="D7290" s="10" t="inlineStr">
        <is>
          <t>AEONMALL Vietnam Co., Ltd.</t>
        </is>
      </c>
      <c r="E7290" s="10" t="inlineStr">
        <is>
          <t>$$ 750-950 /tháng</t>
        </is>
      </c>
      <c r="F7290" s="10" t="inlineStr">
        <is>
          <t>Hồ Chí Minh</t>
        </is>
      </c>
      <c r="G7290" s="10" t="inlineStr">
        <is>
          <t>Nhân viên</t>
        </is>
      </c>
      <c r="H7290" s="10" t="inlineStr">
        <is>
          <t>04/03/2026</t>
        </is>
      </c>
      <c r="I7290" s="10" t="inlineStr">
        <is>
          <t>03/04/2026</t>
        </is>
      </c>
      <c r="J7290" s="10" t="inlineStr">
        <is>
          <t>17/03/2026</t>
        </is>
      </c>
      <c r="K7290" s="10" t="inlineStr">
        <is>
          <t>N/A</t>
        </is>
      </c>
      <c r="L7290" s="10" t="inlineStr">
        <is>
          <t>Event Management, Planning/Organizing, Communication Skills, Leadership Skills, Budget Management</t>
        </is>
      </c>
      <c r="M7290" s="10" t="inlineStr">
        <is>
          <t>Healthcare Plan, Training, Others</t>
        </is>
      </c>
      <c r="N7290" s="11">
        <f>HYPERLINK("https://www.vietnamworks.com/event-marketing-senior-executive-aeon-mall-binh-tan-603-2018447-jv","Xem chi tiết")</f>
        <v/>
      </c>
      <c r="O7290" s="10" t="n"/>
    </row>
    <row r="7291">
      <c r="B7291" s="7" t="n">
        <v>7289</v>
      </c>
      <c r="C7291" t="inlineStr">
        <is>
          <t>Legal Director - Education Group</t>
        </is>
      </c>
      <c r="D7291" t="inlineStr">
        <is>
          <t>Michael Page Vietnam</t>
        </is>
      </c>
      <c r="E7291" t="inlineStr">
        <is>
          <t>Thương lượng</t>
        </is>
      </c>
      <c r="F7291" t="inlineStr">
        <is>
          <t>Hồ Chí Minh</t>
        </is>
      </c>
      <c r="G7291" t="inlineStr">
        <is>
          <t>Giám Đốc và Cấp Cao Hơn</t>
        </is>
      </c>
      <c r="H7291" t="inlineStr">
        <is>
          <t>04/03/2026</t>
        </is>
      </c>
      <c r="I7291" t="inlineStr">
        <is>
          <t>03/04/2026</t>
        </is>
      </c>
      <c r="J7291" t="inlineStr">
        <is>
          <t>17/03/2026</t>
        </is>
      </c>
      <c r="K7291" t="inlineStr">
        <is>
          <t>N/A</t>
        </is>
      </c>
      <c r="L7291" t="inlineStr">
        <is>
          <t>Legal &amp; Law, Education</t>
        </is>
      </c>
      <c r="M7291" t="inlineStr">
        <is>
          <t>Awards</t>
        </is>
      </c>
      <c r="N7291" s="8">
        <f>HYPERLINK("https://www.vietnamworks.com/legal-director-education-group-2018461-jv","Xem chi tiết")</f>
        <v/>
      </c>
    </row>
    <row r="7292">
      <c r="B7292" s="9" t="n">
        <v>7290</v>
      </c>
      <c r="C7292" s="10" t="inlineStr">
        <is>
          <t>Trade Marketing Specialist (Open for Fresher)</t>
        </is>
      </c>
      <c r="D7292" s="10" t="inlineStr">
        <is>
          <t>Hayat Việt Nam</t>
        </is>
      </c>
      <c r="E7292" s="10" t="inlineStr">
        <is>
          <t>Thương lượng</t>
        </is>
      </c>
      <c r="F7292" s="10" t="inlineStr">
        <is>
          <t>Hồ Chí Minh</t>
        </is>
      </c>
      <c r="G7292" s="10" t="inlineStr">
        <is>
          <t>Nhân viên</t>
        </is>
      </c>
      <c r="H7292" s="10" t="inlineStr">
        <is>
          <t>04/03/2026</t>
        </is>
      </c>
      <c r="I7292" s="10" t="inlineStr">
        <is>
          <t>03/04/2026</t>
        </is>
      </c>
      <c r="J7292" s="10" t="inlineStr">
        <is>
          <t>17/03/2026</t>
        </is>
      </c>
      <c r="K7292" s="10" t="inlineStr">
        <is>
          <t>N/A</t>
        </is>
      </c>
      <c r="L7292" s="10" t="inlineStr">
        <is>
          <t>MS Office, Trade Marketing, Reporting, Administrative support &amp; coordination</t>
        </is>
      </c>
      <c r="M7292" s="10" t="inlineStr">
        <is>
          <t>Bonus, Healthcare Plan, Laptop</t>
        </is>
      </c>
      <c r="N7292" s="11">
        <f>HYPERLINK("https://www.vietnamworks.com/trade-marketing-specialist-open-for-fresher-2018436-jv","Xem chi tiết")</f>
        <v/>
      </c>
      <c r="O7292" s="10" t="n"/>
    </row>
    <row r="7293">
      <c r="B7293" s="7" t="n">
        <v>7291</v>
      </c>
      <c r="C7293" t="inlineStr">
        <is>
          <t>Quality Assurance Manager</t>
        </is>
      </c>
      <c r="D7293" t="inlineStr">
        <is>
          <t>United Overseas Bank (Vietnam) Limited (UOB)</t>
        </is>
      </c>
      <c r="E7293" t="inlineStr">
        <is>
          <t>Thương lượng</t>
        </is>
      </c>
      <c r="F7293" t="inlineStr">
        <is>
          <t>Hồ Chí Minh</t>
        </is>
      </c>
      <c r="G7293" t="inlineStr">
        <is>
          <t>Nhân viên</t>
        </is>
      </c>
      <c r="H7293" t="inlineStr">
        <is>
          <t>04/03/2026</t>
        </is>
      </c>
      <c r="I7293" t="inlineStr">
        <is>
          <t>03/04/2026</t>
        </is>
      </c>
      <c r="J7293" t="inlineStr">
        <is>
          <t>17/03/2026</t>
        </is>
      </c>
      <c r="K7293" t="inlineStr">
        <is>
          <t>N/A</t>
        </is>
      </c>
      <c r="L7293" t="inlineStr">
        <is>
          <t>Call Center Management, Communication Skills, Project Management, Relationship Management, Team Management</t>
        </is>
      </c>
      <c r="M7293" t="inlineStr">
        <is>
          <t>Bonus, Healthcare Plan, Paid Leave, Others</t>
        </is>
      </c>
      <c r="N7293" s="8">
        <f>HYPERLINK("https://www.vietnamworks.com/quality-assurance-manager-2018460-jv","Xem chi tiết")</f>
        <v/>
      </c>
    </row>
    <row r="7294">
      <c r="B7294" s="9" t="n">
        <v>7292</v>
      </c>
      <c r="C7294" s="10" t="inlineStr">
        <is>
          <t>Project Engineer - LPG Product - Contractor 1 Year - KCN Go Dau, Dong Nai</t>
        </is>
      </c>
      <c r="D7294" s="10" t="inlineStr">
        <is>
          <t>TotalEnergies Việt Nam</t>
        </is>
      </c>
      <c r="E7294" s="10" t="inlineStr">
        <is>
          <t>Thương lượng</t>
        </is>
      </c>
      <c r="F7294" s="10" t="inlineStr">
        <is>
          <t>Đồng Nai</t>
        </is>
      </c>
      <c r="G7294" s="10" t="inlineStr">
        <is>
          <t>Nhân viên</t>
        </is>
      </c>
      <c r="H7294" s="10" t="inlineStr">
        <is>
          <t>04/03/2026</t>
        </is>
      </c>
      <c r="I7294" s="10" t="inlineStr">
        <is>
          <t>03/04/2026</t>
        </is>
      </c>
      <c r="J7294" s="10" t="inlineStr">
        <is>
          <t>17/03/2026</t>
        </is>
      </c>
      <c r="K7294" s="10" t="inlineStr">
        <is>
          <t>N/A</t>
        </is>
      </c>
      <c r="L7294" s="10" t="inlineStr">
        <is>
          <t>project, engineer, Mechanical, Project Management, Oil &amp; Gas Safety</t>
        </is>
      </c>
      <c r="M7294" s="10" t="inlineStr">
        <is>
          <t>Bonus, Paid Leave, Training</t>
        </is>
      </c>
      <c r="N7294" s="11">
        <f>HYPERLINK("https://www.vietnamworks.com/project-engineer-lpg-product-contractor-1-year-kcn-go-dau-dong-nai-2018443-jv","Xem chi tiết")</f>
        <v/>
      </c>
      <c r="O7294" s="10" t="n"/>
    </row>
    <row r="7295">
      <c r="B7295" s="7" t="n">
        <v>7293</v>
      </c>
      <c r="C7295" t="inlineStr">
        <is>
          <t>Senior Accountant (Treasury &amp; Cash Management)</t>
        </is>
      </c>
      <c r="D7295" t="inlineStr">
        <is>
          <t>Công Ty TNHH Onpoint</t>
        </is>
      </c>
      <c r="E7295" t="inlineStr">
        <is>
          <t>Thương lượng</t>
        </is>
      </c>
      <c r="F7295" t="inlineStr">
        <is>
          <t>Hồ Chí Minh</t>
        </is>
      </c>
      <c r="G7295" t="inlineStr">
        <is>
          <t>Nhân viên</t>
        </is>
      </c>
      <c r="H7295" t="inlineStr">
        <is>
          <t>04/03/2026</t>
        </is>
      </c>
      <c r="I7295" t="inlineStr">
        <is>
          <t>03/04/2026</t>
        </is>
      </c>
      <c r="J7295" t="inlineStr">
        <is>
          <t>17/03/2026</t>
        </is>
      </c>
      <c r="K7295" t="inlineStr">
        <is>
          <t>N/A</t>
        </is>
      </c>
      <c r="L7295" t="inlineStr">
        <is>
          <t>Kế Toán Kho, Kế Toán Nội Bộ, Kiểm Toán Kho, Kiểm toán</t>
        </is>
      </c>
      <c r="M7295" t="inlineStr">
        <is>
          <t>Healthcare Plan, Paid Leave, Laptop</t>
        </is>
      </c>
      <c r="N7295" s="8">
        <f>HYPERLINK("https://www.vietnamworks.com/senior-accountant-treasury-cash-management-2018465-jv","Xem chi tiết")</f>
        <v/>
      </c>
    </row>
    <row r="7296">
      <c r="B7296" s="9" t="n">
        <v>7294</v>
      </c>
      <c r="C7296" s="10" t="inlineStr">
        <is>
          <t>Finance Accounting Manager - International Trading Company</t>
        </is>
      </c>
      <c r="D7296" s="10" t="inlineStr">
        <is>
          <t>Michael Page Vietnam</t>
        </is>
      </c>
      <c r="E7296" s="10" t="inlineStr">
        <is>
          <t>Thương lượng</t>
        </is>
      </c>
      <c r="F7296" s="10" t="inlineStr">
        <is>
          <t>Hồ Chí Minh</t>
        </is>
      </c>
      <c r="G7296" s="10" t="inlineStr">
        <is>
          <t>Trưởng phòng</t>
        </is>
      </c>
      <c r="H7296" s="10" t="inlineStr">
        <is>
          <t>04/03/2026</t>
        </is>
      </c>
      <c r="I7296" s="10" t="inlineStr">
        <is>
          <t>03/04/2026</t>
        </is>
      </c>
      <c r="J7296" s="10" t="inlineStr">
        <is>
          <t>17/03/2026</t>
        </is>
      </c>
      <c r="K7296" s="10" t="inlineStr">
        <is>
          <t>N/A</t>
        </is>
      </c>
      <c r="L7296" s="10" t="inlineStr">
        <is>
          <t>Accounting, Finance, Supply Chain Operations</t>
        </is>
      </c>
      <c r="M7296" s="10" t="inlineStr">
        <is>
          <t>Bonus</t>
        </is>
      </c>
      <c r="N7296" s="11">
        <f>HYPERLINK("https://www.vietnamworks.com/finance-accounting-manager-international-trading-company-2018462-jv","Xem chi tiết")</f>
        <v/>
      </c>
      <c r="O7296" s="10" t="n"/>
    </row>
    <row r="7297">
      <c r="B7297" s="7" t="n">
        <v>7295</v>
      </c>
      <c r="C7297" t="inlineStr">
        <is>
          <t>Graduate Engineering Trainee 2026 - Supply Planning</t>
        </is>
      </c>
      <c r="D7297" t="inlineStr">
        <is>
          <t>AkzoNobel Vietnam</t>
        </is>
      </c>
      <c r="E7297" t="inlineStr">
        <is>
          <t>Thương lượng</t>
        </is>
      </c>
      <c r="F7297" t="inlineStr">
        <is>
          <t>Đồng Nai</t>
        </is>
      </c>
      <c r="G7297" t="inlineStr">
        <is>
          <t>Mới Tốt Nghiệp</t>
        </is>
      </c>
      <c r="H7297" t="inlineStr">
        <is>
          <t>04/03/2026</t>
        </is>
      </c>
      <c r="I7297" t="inlineStr">
        <is>
          <t>03/04/2026</t>
        </is>
      </c>
      <c r="J7297" t="inlineStr">
        <is>
          <t>17/03/2026</t>
        </is>
      </c>
      <c r="K7297" t="inlineStr">
        <is>
          <t>N/A</t>
        </is>
      </c>
      <c r="L7297" t="inlineStr">
        <is>
          <t>English, Industrial Engineering, Industrial Management, Logistics, Supply Chain</t>
        </is>
      </c>
      <c r="M7297" t="inlineStr">
        <is>
          <t>Healthcare Plan, Paid Leave, Transportation, Canteen</t>
        </is>
      </c>
      <c r="N7297" s="8">
        <f>HYPERLINK("https://www.vietnamworks.com/graduate-engineering-trainee-2026-supply-planning-2018468-jv","Xem chi tiết")</f>
        <v/>
      </c>
    </row>
    <row r="7298">
      <c r="B7298" s="9" t="n">
        <v>7296</v>
      </c>
      <c r="C7298" s="10" t="inlineStr">
        <is>
          <t>Kế Toán Nội Bộ - Tổng Hợp</t>
        </is>
      </c>
      <c r="D7298" s="10" t="inlineStr">
        <is>
          <t>Công ty TNHH Hồ Bơi 5 Sao Việt Nam</t>
        </is>
      </c>
      <c r="E7298" s="10" t="inlineStr">
        <is>
          <t>12tr-18tr ₫/tháng</t>
        </is>
      </c>
      <c r="F7298" s="10" t="inlineStr">
        <is>
          <t>Hồ Chí Minh</t>
        </is>
      </c>
      <c r="G7298" s="10" t="inlineStr">
        <is>
          <t>Nhân viên</t>
        </is>
      </c>
      <c r="H7298" s="10" t="inlineStr">
        <is>
          <t>04/03/2026</t>
        </is>
      </c>
      <c r="I7298" s="10" t="inlineStr">
        <is>
          <t>03/04/2026</t>
        </is>
      </c>
      <c r="J7298" s="10" t="inlineStr">
        <is>
          <t>17/03/2026</t>
        </is>
      </c>
      <c r="K7298" s="10" t="inlineStr">
        <is>
          <t>N/A</t>
        </is>
      </c>
      <c r="L7298" s="10" t="inlineStr">
        <is>
          <t>Kế Toán, Kiểm Toán, General Accountant, Kế Toán Tổng Hợp, Finance &amp; Accounting</t>
        </is>
      </c>
      <c r="M7298" s="10" t="inlineStr">
        <is>
          <t>Bonus, Healthcare Plan, Paid Leave, Others</t>
        </is>
      </c>
      <c r="N7298" s="11">
        <f>HYPERLINK("https://www.vietnamworks.com/ke-toan-noi-bo-tong-hop-2018473-jv","Xem chi tiết")</f>
        <v/>
      </c>
      <c r="O7298" s="10" t="n"/>
    </row>
    <row r="7299">
      <c r="B7299" s="7" t="n">
        <v>7297</v>
      </c>
      <c r="C7299" t="inlineStr">
        <is>
          <t>Production Team Leader</t>
        </is>
      </c>
      <c r="D7299" t="inlineStr">
        <is>
          <t>Avery Dennison Vietnam</t>
        </is>
      </c>
      <c r="E7299" t="inlineStr">
        <is>
          <t>Thương lượng</t>
        </is>
      </c>
      <c r="F7299" t="inlineStr">
        <is>
          <t>Hồ Chí Minh</t>
        </is>
      </c>
      <c r="G7299" t="inlineStr">
        <is>
          <t>Nhân viên</t>
        </is>
      </c>
      <c r="H7299" t="inlineStr">
        <is>
          <t>04/03/2026</t>
        </is>
      </c>
      <c r="I7299" t="inlineStr">
        <is>
          <t>03/04/2026</t>
        </is>
      </c>
      <c r="J7299" t="inlineStr">
        <is>
          <t>17/03/2026</t>
        </is>
      </c>
      <c r="K7299" t="inlineStr">
        <is>
          <t>N/A</t>
        </is>
      </c>
      <c r="L7299" t="inlineStr">
        <is>
          <t>Production Planning, Production Management, Production Control, Leadership, Production</t>
        </is>
      </c>
      <c r="M7299" t="inlineStr">
        <is>
          <t>Bonus, Healthcare Plan, Paid Leave</t>
        </is>
      </c>
      <c r="N7299" s="8">
        <f>HYPERLINK("https://www.vietnamworks.com/production-team-leader--2018475-jv","Xem chi tiết")</f>
        <v/>
      </c>
    </row>
    <row r="7300">
      <c r="B7300" s="9" t="n">
        <v>7298</v>
      </c>
      <c r="C7300" s="10" t="inlineStr">
        <is>
          <t>Compliance Professional</t>
        </is>
      </c>
      <c r="D7300" s="10" t="inlineStr">
        <is>
          <t>Cathay United Bank</t>
        </is>
      </c>
      <c r="E7300" s="10" t="inlineStr">
        <is>
          <t>Thương lượng</t>
        </is>
      </c>
      <c r="F7300" s="10" t="inlineStr">
        <is>
          <t>Hồ Chí Minh</t>
        </is>
      </c>
      <c r="G7300" s="10" t="inlineStr">
        <is>
          <t>Nhân viên</t>
        </is>
      </c>
      <c r="H7300" s="10" t="inlineStr">
        <is>
          <t>12/01/2026</t>
        </is>
      </c>
      <c r="I7300" s="10" t="inlineStr">
        <is>
          <t>04/04/2026</t>
        </is>
      </c>
      <c r="J7300" s="10" t="inlineStr">
        <is>
          <t>17/03/2026</t>
        </is>
      </c>
      <c r="K7300" s="10" t="inlineStr">
        <is>
          <t>N/A</t>
        </is>
      </c>
      <c r="L7300" s="10" t="inlineStr">
        <is>
          <t>Compliance Management, Law, Legal Regulations Monitoring, Regulatory Guidelines, Stakeholder Management</t>
        </is>
      </c>
      <c r="M7300" s="10" t="inlineStr">
        <is>
          <t>Bonus</t>
        </is>
      </c>
      <c r="N7300" s="11">
        <f>HYPERLINK("https://www.vietnamworks.com/compliance-professional-2001436-jv","Xem chi tiết")</f>
        <v/>
      </c>
      <c r="O7300" s="10" t="n"/>
    </row>
    <row r="7301">
      <c r="B7301" s="7" t="n">
        <v>7299</v>
      </c>
      <c r="C7301" t="inlineStr">
        <is>
          <t>Trợ Giảng Tiếng Anh Mầm Non</t>
        </is>
      </c>
      <c r="D7301" t="inlineStr">
        <is>
          <t>Công ty CP Giáo dục Thế Hệ Trẻ</t>
        </is>
      </c>
      <c r="E7301" t="inlineStr">
        <is>
          <t>Từ 10tr ₫/tháng</t>
        </is>
      </c>
      <c r="F7301" t="inlineStr">
        <is>
          <t>Hà Nội</t>
        </is>
      </c>
      <c r="G7301" t="inlineStr">
        <is>
          <t>Mới Tốt Nghiệp</t>
        </is>
      </c>
      <c r="H7301" t="inlineStr">
        <is>
          <t>12/01/2026</t>
        </is>
      </c>
      <c r="I7301" t="inlineStr">
        <is>
          <t>04/04/2026</t>
        </is>
      </c>
      <c r="J7301" t="inlineStr">
        <is>
          <t>17/03/2026</t>
        </is>
      </c>
      <c r="K7301" t="inlineStr">
        <is>
          <t>N/A</t>
        </is>
      </c>
      <c r="L7301" t="inlineStr">
        <is>
          <t>Giáo Dục Mầm Non, Chăm Sóc Giáo Dục Trẻ, Quản Lý Lớp Học, Trợ Giảng, Dạy Trẻ Mầm Non</t>
        </is>
      </c>
      <c r="M7301" t="inlineStr">
        <is>
          <t>Bonus, Healthcare Plan, Training, Others</t>
        </is>
      </c>
      <c r="N7301" s="8">
        <f>HYPERLINK("https://www.vietnamworks.com/tro-giang-tieng-anh-mam-non-2001894-jv","Xem chi tiết")</f>
        <v/>
      </c>
    </row>
    <row r="7302">
      <c r="B7302" s="9" t="n">
        <v>7300</v>
      </c>
      <c r="C7302" s="10" t="inlineStr">
        <is>
          <t>Sales Executive (Hybrid / Full-Time)</t>
        </is>
      </c>
      <c r="D7302" s="10" t="inlineStr">
        <is>
          <t>CÔNG TY TNHH PHI ƯNG SÀI GÒN</t>
        </is>
      </c>
      <c r="E7302" s="10" t="inlineStr">
        <is>
          <t>Thương lượng</t>
        </is>
      </c>
      <c r="F7302" s="10" t="inlineStr">
        <is>
          <t>Hồ Chí Minh</t>
        </is>
      </c>
      <c r="G7302" s="10" t="inlineStr">
        <is>
          <t>Nhân viên</t>
        </is>
      </c>
      <c r="H7302" s="10" t="inlineStr">
        <is>
          <t>12/01/2026</t>
        </is>
      </c>
      <c r="I7302" s="10" t="inlineStr">
        <is>
          <t>04/04/2026</t>
        </is>
      </c>
      <c r="J7302" s="10" t="inlineStr">
        <is>
          <t>17/03/2026</t>
        </is>
      </c>
      <c r="K7302" s="10" t="inlineStr">
        <is>
          <t>N/A</t>
        </is>
      </c>
      <c r="L7302" s="10" t="inlineStr">
        <is>
          <t>B2B Sales, Cold Call, Consulting, Customer Acquisition, Customer Care</t>
        </is>
      </c>
      <c r="M7302" s="10" t="inlineStr">
        <is>
          <t>Healthcare Plan, Training, Laptop, Others</t>
        </is>
      </c>
      <c r="N7302" s="11">
        <f>HYPERLINK("https://www.vietnamworks.com/sales-executive-hybrid-full-time-2001585-jv","Xem chi tiết")</f>
        <v/>
      </c>
      <c r="O7302" s="10" t="n"/>
    </row>
    <row r="7303">
      <c r="B7303" s="7" t="n">
        <v>7301</v>
      </c>
      <c r="C7303" t="inlineStr">
        <is>
          <t>KIỂM TOÁN VIÊN CÔNG NGHỆ THÔNG TIN - KIỂM TOÁN NỘI BỘ - TRỰC THUỘC BAN KIỂM SOÁT</t>
        </is>
      </c>
      <c r="D7303" t="inlineStr">
        <is>
          <t>SACOMBANK – NGÂN HÀNG TMCP SÀI GÒN THƯƠNG TÍN</t>
        </is>
      </c>
      <c r="E7303" t="inlineStr">
        <is>
          <t>Thương lượng</t>
        </is>
      </c>
      <c r="F7303" t="inlineStr">
        <is>
          <t>Hồ Chí Minh</t>
        </is>
      </c>
      <c r="G7303" t="inlineStr">
        <is>
          <t>Nhân viên</t>
        </is>
      </c>
      <c r="H7303" t="inlineStr">
        <is>
          <t>04/03/2026</t>
        </is>
      </c>
      <c r="I7303" t="inlineStr">
        <is>
          <t>03/04/2026</t>
        </is>
      </c>
      <c r="J7303" t="inlineStr">
        <is>
          <t>17/03/2026</t>
        </is>
      </c>
      <c r="K7303" t="inlineStr">
        <is>
          <t>N/A</t>
        </is>
      </c>
      <c r="L7303" t="inlineStr">
        <is>
          <t>Công Nghệ Thông Tin, Kiểm Toán Nội Bộ, Kiểm toán tài chính, Kiểm Toán Viên Cao Cấp, Kiểm Toán Độc Lập</t>
        </is>
      </c>
      <c r="M7303" t="inlineStr">
        <is>
          <t>Bonus, Training, Travel Opportunities, Others</t>
        </is>
      </c>
      <c r="N7303" s="8">
        <f>HYPERLINK("https://www.vietnamworks.com/kiem-toan-vien-cong-nghe-thong-tin-kiem-toan-noi-bo-truc-thuoc-ban-kiem-soat-2018472-jv","Xem chi tiết")</f>
        <v/>
      </c>
    </row>
    <row r="7304">
      <c r="B7304" s="9" t="n">
        <v>7302</v>
      </c>
      <c r="C7304" s="10" t="inlineStr">
        <is>
          <t>Nhân Viên Bán Hàng</t>
        </is>
      </c>
      <c r="D7304" s="10" t="inlineStr">
        <is>
          <t>Công ty CP Sách và TBTH Nam Cường</t>
        </is>
      </c>
      <c r="E7304" s="10" t="inlineStr">
        <is>
          <t>$$ 300-500 /tháng</t>
        </is>
      </c>
      <c r="F7304" s="10" t="inlineStr">
        <is>
          <t>Hải Phòng</t>
        </is>
      </c>
      <c r="G7304" s="10" t="inlineStr">
        <is>
          <t>Nhân viên</t>
        </is>
      </c>
      <c r="H7304" s="10" t="inlineStr">
        <is>
          <t>16/09/2025</t>
        </is>
      </c>
      <c r="I7304" s="10" t="inlineStr">
        <is>
          <t>04/04/2026</t>
        </is>
      </c>
      <c r="J7304" s="10" t="inlineStr">
        <is>
          <t>17/03/2026</t>
        </is>
      </c>
      <c r="K7304" s="10" t="inlineStr">
        <is>
          <t>N/A</t>
        </is>
      </c>
      <c r="L7304" s="10" t="inlineStr">
        <is>
          <t>Kinh Doanh, Bán Hàng, Tư Vấn, Chăm Sóc Khách Hàng, Giáo Dục</t>
        </is>
      </c>
      <c r="M7304" s="10" t="inlineStr">
        <is>
          <t>Bonus, Travel Opportunities</t>
        </is>
      </c>
      <c r="N7304" s="11">
        <f>HYPERLINK("https://www.vietnamworks.com/nhan-vien-ban-hang--1958296-jv","Xem chi tiết")</f>
        <v/>
      </c>
      <c r="O7304" s="10" t="n"/>
    </row>
    <row r="7305">
      <c r="B7305" s="7" t="n">
        <v>7303</v>
      </c>
      <c r="C7305" t="inlineStr">
        <is>
          <t>Trợ Lý Kế Toán - Kiểm Toán</t>
        </is>
      </c>
      <c r="D7305" t="inlineStr">
        <is>
          <t>Công ty TNHH DH Worth</t>
        </is>
      </c>
      <c r="E7305" t="inlineStr">
        <is>
          <t>7.8tr-12tr ₫/tháng</t>
        </is>
      </c>
      <c r="F7305" t="inlineStr">
        <is>
          <t>Hải Phòng</t>
        </is>
      </c>
      <c r="G7305" t="inlineStr">
        <is>
          <t>Mới Tốt Nghiệp</t>
        </is>
      </c>
      <c r="H7305" t="inlineStr">
        <is>
          <t>12/01/2026</t>
        </is>
      </c>
      <c r="I7305" t="inlineStr">
        <is>
          <t>04/04/2026</t>
        </is>
      </c>
      <c r="J7305" t="inlineStr">
        <is>
          <t>17/03/2026</t>
        </is>
      </c>
      <c r="K7305" t="inlineStr">
        <is>
          <t>N/A</t>
        </is>
      </c>
      <c r="L7305" t="inlineStr">
        <is>
          <t>Kế Toán, Tư Vấn Thuế, Đối Chiếu Công Nợ, Kế Toán Tổng Hợp, Hạch toán - kế toán</t>
        </is>
      </c>
      <c r="M7305" t="inlineStr">
        <is>
          <t>Bonus, Training, Library, Others</t>
        </is>
      </c>
      <c r="N7305" s="8">
        <f>HYPERLINK("https://www.vietnamworks.com/tro-ly-ke-toan-kiem-toan--2001513-jv","Xem chi tiết")</f>
        <v/>
      </c>
    </row>
    <row r="7306">
      <c r="B7306" s="9" t="n">
        <v>7304</v>
      </c>
      <c r="C7306" s="10" t="inlineStr">
        <is>
          <t>Content Creator</t>
        </is>
      </c>
      <c r="D7306" s="10" t="inlineStr">
        <is>
          <t>Fresh Studio Innovations Asia Ltd.</t>
        </is>
      </c>
      <c r="E7306" s="10" t="inlineStr">
        <is>
          <t>Thương lượng</t>
        </is>
      </c>
      <c r="F7306" s="10" t="inlineStr">
        <is>
          <t>Hồ Chí Minh</t>
        </is>
      </c>
      <c r="G7306" s="10" t="inlineStr">
        <is>
          <t>Nhân viên</t>
        </is>
      </c>
      <c r="H7306" s="10" t="inlineStr">
        <is>
          <t>04/03/2026</t>
        </is>
      </c>
      <c r="I7306" s="10" t="inlineStr">
        <is>
          <t>03/04/2026</t>
        </is>
      </c>
      <c r="J7306" s="10" t="inlineStr">
        <is>
          <t>17/03/2026</t>
        </is>
      </c>
      <c r="K7306" s="10" t="inlineStr">
        <is>
          <t>N/A</t>
        </is>
      </c>
      <c r="L7306" s="10" t="inlineStr">
        <is>
          <t>Collaboration, Content Writing, Digital Content Marketing, Marketing Creation, Video Production</t>
        </is>
      </c>
      <c r="M7306" s="10" t="inlineStr">
        <is>
          <t>Bonus, Healthcare Plan, Paid Leave</t>
        </is>
      </c>
      <c r="N7306" s="11">
        <f>HYPERLINK("https://www.vietnamworks.com/content-creator-2018466-jv","Xem chi tiết")</f>
        <v/>
      </c>
      <c r="O7306" s="10" t="n"/>
    </row>
    <row r="7307">
      <c r="B7307" s="7" t="n">
        <v>7305</v>
      </c>
      <c r="C7307" t="inlineStr">
        <is>
          <t>Nhân Viên R&amp;D</t>
        </is>
      </c>
      <c r="D7307" t="inlineStr">
        <is>
          <t>Công Ty CP Công Nghệ Lavitec</t>
        </is>
      </c>
      <c r="E7307" t="inlineStr">
        <is>
          <t>12tr-16tr ₫/tháng</t>
        </is>
      </c>
      <c r="F7307" t="inlineStr">
        <is>
          <t>Vĩnh Phúc</t>
        </is>
      </c>
      <c r="G7307" t="inlineStr">
        <is>
          <t>Nhân viên</t>
        </is>
      </c>
      <c r="H7307" t="inlineStr">
        <is>
          <t>13/01/2026</t>
        </is>
      </c>
      <c r="I7307" t="inlineStr">
        <is>
          <t>04/04/2026</t>
        </is>
      </c>
      <c r="J7307" t="inlineStr">
        <is>
          <t>17/03/2026</t>
        </is>
      </c>
      <c r="K7307" t="inlineStr">
        <is>
          <t>N/A</t>
        </is>
      </c>
      <c r="L7307" t="inlineStr">
        <is>
          <t>Cải Tiến Sản Phẩm, Hỗ Trợ Tư Vấn Du Học, Nghiên Cứu Sản Phẩm, Pha Chế Trà, Phân Tích Hóa Chất</t>
        </is>
      </c>
      <c r="M7307" t="inlineStr">
        <is>
          <t>Others</t>
        </is>
      </c>
      <c r="N7307" s="8">
        <f>HYPERLINK("https://www.vietnamworks.com/nhan-vien-randd-2002073-jv","Xem chi tiết")</f>
        <v/>
      </c>
    </row>
    <row r="7308">
      <c r="B7308" s="9" t="n">
        <v>7306</v>
      </c>
      <c r="C7308" s="10" t="inlineStr">
        <is>
          <t>Equipment Maintenance Engineer (Đồng Nai)</t>
        </is>
      </c>
      <c r="D7308" s="10" t="inlineStr">
        <is>
          <t>Coherent Vietnam</t>
        </is>
      </c>
      <c r="E7308" s="10" t="inlineStr">
        <is>
          <t>Thương lượng</t>
        </is>
      </c>
      <c r="F7308" s="10" t="inlineStr">
        <is>
          <t>Đồng Nai</t>
        </is>
      </c>
      <c r="G7308" s="10" t="inlineStr">
        <is>
          <t>Nhân viên</t>
        </is>
      </c>
      <c r="H7308" s="10" t="inlineStr">
        <is>
          <t>04/03/2026</t>
        </is>
      </c>
      <c r="I7308" s="10" t="inlineStr">
        <is>
          <t>03/04/2026</t>
        </is>
      </c>
      <c r="J7308" s="10" t="inlineStr">
        <is>
          <t>17/03/2026</t>
        </is>
      </c>
      <c r="K7308" s="10" t="inlineStr">
        <is>
          <t>N/A</t>
        </is>
      </c>
      <c r="L7308" s="10" t="inlineStr">
        <is>
          <t>Autocad, English Communication, Equipment Maintenance, Predictive Maintenance, Troubleshooting</t>
        </is>
      </c>
      <c r="M7308" s="10" t="inlineStr">
        <is>
          <t>Bonus, Transportation, Others</t>
        </is>
      </c>
      <c r="N7308" s="11">
        <f>HYPERLINK("https://www.vietnamworks.com/equipment-maintenance-engineer-djong-nai-2018477-jv","Xem chi tiết")</f>
        <v/>
      </c>
      <c r="O7308" s="10" t="n"/>
    </row>
    <row r="7309">
      <c r="B7309" s="7" t="n">
        <v>7307</v>
      </c>
      <c r="C7309" t="inlineStr">
        <is>
          <t>Graphic Designer</t>
        </is>
      </c>
      <c r="D7309" t="inlineStr">
        <is>
          <t>Fresh Studio Innovations Asia Ltd.</t>
        </is>
      </c>
      <c r="E7309" t="inlineStr">
        <is>
          <t>Thương lượng</t>
        </is>
      </c>
      <c r="F7309" t="inlineStr">
        <is>
          <t>Hồ Chí Minh</t>
        </is>
      </c>
      <c r="G7309" t="inlineStr">
        <is>
          <t>Nhân viên</t>
        </is>
      </c>
      <c r="H7309" t="inlineStr">
        <is>
          <t>04/03/2026</t>
        </is>
      </c>
      <c r="I7309" t="inlineStr">
        <is>
          <t>03/04/2026</t>
        </is>
      </c>
      <c r="J7309" t="inlineStr">
        <is>
          <t>17/03/2026</t>
        </is>
      </c>
      <c r="K7309" t="inlineStr">
        <is>
          <t>N/A</t>
        </is>
      </c>
      <c r="L7309" t="inlineStr">
        <is>
          <t>Adobe Illustrator, Adobe Photoshop, Creative Thinking, Graphic Design, Visual Communication</t>
        </is>
      </c>
      <c r="M7309" t="inlineStr">
        <is>
          <t>Bonus, Healthcare Plan, Paid Leave</t>
        </is>
      </c>
      <c r="N7309" s="8">
        <f>HYPERLINK("https://www.vietnamworks.com/graphic-designer-2018467-jv","Xem chi tiết")</f>
        <v/>
      </c>
    </row>
    <row r="7310">
      <c r="B7310" s="9" t="n">
        <v>7308</v>
      </c>
      <c r="C7310" s="10" t="inlineStr">
        <is>
          <t>Chuyên Viên Kinh Doanh Bất Động Sản - Hỗ Trợ MKT - Thu Nhập Không Giới Hạn - Đào Tạo Từ A-Z</t>
        </is>
      </c>
      <c r="D7310" s="10" t="inlineStr">
        <is>
          <t>Công ty Cổ phần Thương mại và Dịch vụ SOL Homes</t>
        </is>
      </c>
      <c r="E7310" s="10" t="inlineStr">
        <is>
          <t>5tr-100tr ₫/tháng</t>
        </is>
      </c>
      <c r="F7310" s="10" t="inlineStr">
        <is>
          <t>Hà Nội</t>
        </is>
      </c>
      <c r="G7310" s="10" t="inlineStr">
        <is>
          <t>Nhân viên</t>
        </is>
      </c>
      <c r="H7310" s="10" t="inlineStr">
        <is>
          <t>16/05/2025</t>
        </is>
      </c>
      <c r="I7310" s="10" t="inlineStr">
        <is>
          <t>04/04/2026</t>
        </is>
      </c>
      <c r="J7310" s="10" t="inlineStr">
        <is>
          <t>17/03/2026</t>
        </is>
      </c>
      <c r="K7310" s="10" t="inlineStr">
        <is>
          <t>N/A</t>
        </is>
      </c>
      <c r="L7310" s="10" t="inlineStr">
        <is>
          <t>Bảo Hiểm, Bất Động Sản, Giao Tiếp, Tài Chính, Thuyết Phục</t>
        </is>
      </c>
      <c r="M7310" s="10" t="inlineStr">
        <is>
          <t>Bonus, Paid Leave, Team Activities, Others</t>
        </is>
      </c>
      <c r="N7310" s="11">
        <f>HYPERLINK("https://www.vietnamworks.com/chuyen-vien-kinh-doanh-bat-dong-san-ho-tro-mkt-thu-nhap-khong-gioi-han-dao-tao-tu-a-z-1909363-jv","Xem chi tiết")</f>
        <v/>
      </c>
      <c r="O7310" s="10" t="n"/>
    </row>
    <row r="7311">
      <c r="B7311" s="7" t="n">
        <v>7309</v>
      </c>
      <c r="C7311" t="inlineStr">
        <is>
          <t>HRBP Manager</t>
        </is>
      </c>
      <c r="D7311" t="inlineStr">
        <is>
          <t>Rochdale Spears Co., Ltd.</t>
        </is>
      </c>
      <c r="E7311" t="inlineStr">
        <is>
          <t>Thương lượng</t>
        </is>
      </c>
      <c r="F7311" t="inlineStr">
        <is>
          <t>Bình Dương</t>
        </is>
      </c>
      <c r="G7311" t="inlineStr">
        <is>
          <t>Trưởng phòng</t>
        </is>
      </c>
      <c r="H7311" t="inlineStr">
        <is>
          <t>13/01/2026</t>
        </is>
      </c>
      <c r="I7311" t="inlineStr">
        <is>
          <t>04/04/2026</t>
        </is>
      </c>
      <c r="J7311" t="inlineStr">
        <is>
          <t>17/03/2026</t>
        </is>
      </c>
      <c r="K7311" t="inlineStr">
        <is>
          <t>N/A</t>
        </is>
      </c>
      <c r="L7311" t="inlineStr">
        <is>
          <t>Employee Relation, HRBP, Hrbp Experience, Human Resource Policy, Human Resources</t>
        </is>
      </c>
      <c r="M7311" t="inlineStr">
        <is>
          <t>Healthcare Plan, Transportation</t>
        </is>
      </c>
      <c r="N7311" s="8">
        <f>HYPERLINK("https://www.vietnamworks.com/hrbp-manager-2002079-jv","Xem chi tiết")</f>
        <v/>
      </c>
    </row>
    <row r="7312">
      <c r="B7312" s="9" t="n">
        <v>7310</v>
      </c>
      <c r="C7312" s="10" t="inlineStr">
        <is>
          <t>Quality Engineer (CNC, CMM Machines)</t>
        </is>
      </c>
      <c r="D7312" s="10" t="inlineStr">
        <is>
          <t>Coherent Vietnam</t>
        </is>
      </c>
      <c r="E7312" s="10" t="inlineStr">
        <is>
          <t>Thương lượng</t>
        </is>
      </c>
      <c r="F7312" s="10" t="inlineStr">
        <is>
          <t>Đồng Nai</t>
        </is>
      </c>
      <c r="G7312" s="10" t="inlineStr">
        <is>
          <t>Nhân viên</t>
        </is>
      </c>
      <c r="H7312" s="10" t="inlineStr">
        <is>
          <t>04/03/2026</t>
        </is>
      </c>
      <c r="I7312" s="10" t="inlineStr">
        <is>
          <t>03/04/2026</t>
        </is>
      </c>
      <c r="J7312" s="10" t="inlineStr">
        <is>
          <t>17/03/2026</t>
        </is>
      </c>
      <c r="K7312" s="10" t="inlineStr">
        <is>
          <t>N/A</t>
        </is>
      </c>
      <c r="L7312" s="10" t="inlineStr">
        <is>
          <t>CMM Programming, CNC Machining, QA QC, Qc Engineering, Quality Engineer</t>
        </is>
      </c>
      <c r="M7312" s="10" t="inlineStr">
        <is>
          <t>Bonus, Transportation, Others</t>
        </is>
      </c>
      <c r="N7312" s="11">
        <f>HYPERLINK("https://www.vietnamworks.com/quality-engineer-cnc-cmm-machines-2018478-jv","Xem chi tiết")</f>
        <v/>
      </c>
      <c r="O7312" s="10" t="n"/>
    </row>
    <row r="7313">
      <c r="B7313" s="7" t="n">
        <v>7311</v>
      </c>
      <c r="C7313" t="inlineStr">
        <is>
          <t>Nhân Viên Khối Khai Thác (Logistics Hàng Không, Không Yêu Cầu Kn, Chấp Nhận SV Mới Ra Trường)</t>
        </is>
      </c>
      <c r="D7313" t="inlineStr">
        <is>
          <t>Công Ty Cổ Phần Nhà Ga Hàng Hóa ALS</t>
        </is>
      </c>
      <c r="E7313" t="inlineStr">
        <is>
          <t>$$ 350-500 /tháng</t>
        </is>
      </c>
      <c r="F7313" t="inlineStr">
        <is>
          <t>Hà Nội</t>
        </is>
      </c>
      <c r="G7313" t="inlineStr">
        <is>
          <t>Nhân viên</t>
        </is>
      </c>
      <c r="H7313" t="inlineStr">
        <is>
          <t>02/01/2025</t>
        </is>
      </c>
      <c r="I7313" t="inlineStr">
        <is>
          <t>04/04/2026</t>
        </is>
      </c>
      <c r="J7313" t="inlineStr">
        <is>
          <t>17/03/2026</t>
        </is>
      </c>
      <c r="K7313" t="inlineStr">
        <is>
          <t>N/A</t>
        </is>
      </c>
      <c r="L7313" t="inlineStr">
        <is>
          <t>Quản Lý Kho, Xuất Nhập Khẩu, Giao Nhận Kho Vận, Logistics, Freight Forwarding</t>
        </is>
      </c>
      <c r="M7313" t="inlineStr">
        <is>
          <t>Bonus, Travel Opportunities, Canteen</t>
        </is>
      </c>
      <c r="N7313" s="8">
        <f>HYPERLINK("https://www.vietnamworks.com/nhan-vien-khoi-khai-thac-logistics-hang-khong-khong-yeu-cau-kn-chap-nhan-sv-moi-ra-truong--1857564-jv","Xem chi tiết")</f>
        <v/>
      </c>
    </row>
    <row r="7314">
      <c r="B7314" s="9" t="n">
        <v>7312</v>
      </c>
      <c r="C7314" s="10" t="inlineStr">
        <is>
          <t>Giám Đốc Điều Hành Aquadelta</t>
        </is>
      </c>
      <c r="D7314" s="10" t="inlineStr">
        <is>
          <t>Công Ty CP XNK Hóa Chất &amp; Thiết Bị Kim Ngưu</t>
        </is>
      </c>
      <c r="E7314" s="10" t="inlineStr">
        <is>
          <t>$$ 1,500-2,000 /tháng</t>
        </is>
      </c>
      <c r="F7314" s="10" t="inlineStr">
        <is>
          <t>Cần Thơ</t>
        </is>
      </c>
      <c r="G7314" s="10" t="inlineStr">
        <is>
          <t>Giám Đốc và Cấp Cao Hơn</t>
        </is>
      </c>
      <c r="H7314" s="10" t="inlineStr">
        <is>
          <t>13/01/2026</t>
        </is>
      </c>
      <c r="I7314" s="10" t="inlineStr">
        <is>
          <t>04/04/2026</t>
        </is>
      </c>
      <c r="J7314" s="10" t="inlineStr">
        <is>
          <t>17/03/2026</t>
        </is>
      </c>
      <c r="K7314" s="10" t="inlineStr">
        <is>
          <t>N/A</t>
        </is>
      </c>
      <c r="L7314" s="10" t="inlineStr">
        <is>
          <t>Giao Tiếp Tiếng Anh, Kinh Tế, Lãnh Đạo, Phân Tích Hóa Chất, Quản Trị Kinh Doanh</t>
        </is>
      </c>
      <c r="M7314" s="10" t="inlineStr">
        <is>
          <t>Bonus, Healthcare Plan, Paid Leave, Training, Travel Opportunities</t>
        </is>
      </c>
      <c r="N7314" s="11">
        <f>HYPERLINK("https://www.vietnamworks.com/giam-djoc-djieu-hanh-aquadelta-2002133-jv","Xem chi tiết")</f>
        <v/>
      </c>
      <c r="O7314" s="10" t="n"/>
    </row>
    <row r="7315">
      <c r="B7315" s="7" t="n">
        <v>7313</v>
      </c>
      <c r="C7315" t="inlineStr">
        <is>
          <t>Giáo Viên &amp; Trợ Giảng Tiếng Anh Fulltime/part Time</t>
        </is>
      </c>
      <c r="D7315" t="inlineStr">
        <is>
          <t>Ms Ngân English</t>
        </is>
      </c>
      <c r="E7315" t="inlineStr">
        <is>
          <t>$$ 430-1,000 /tháng</t>
        </is>
      </c>
      <c r="F7315" t="inlineStr">
        <is>
          <t>Hồ Chí Minh</t>
        </is>
      </c>
      <c r="G7315" t="inlineStr">
        <is>
          <t>Nhân viên</t>
        </is>
      </c>
      <c r="H7315" t="inlineStr">
        <is>
          <t>04/03/2026</t>
        </is>
      </c>
      <c r="I7315" t="inlineStr">
        <is>
          <t>03/04/2026</t>
        </is>
      </c>
      <c r="J7315" t="inlineStr">
        <is>
          <t>17/03/2026</t>
        </is>
      </c>
      <c r="K7315" t="inlineStr">
        <is>
          <t>N/A</t>
        </is>
      </c>
      <c r="L7315" t="inlineStr">
        <is>
          <t>Giáo Dục, English, Teaching, Classroom Management, Tesol Certificate</t>
        </is>
      </c>
      <c r="M7315" t="inlineStr">
        <is>
          <t>Bonus, Healthcare Plan, Training</t>
        </is>
      </c>
      <c r="N7315" s="8">
        <f>HYPERLINK("https://www.vietnamworks.com/giao-vien-tro-giang-tieng-anh-fulltime-part-time--2018471-jv","Xem chi tiết")</f>
        <v/>
      </c>
    </row>
    <row r="7316">
      <c r="B7316" s="9" t="n">
        <v>7314</v>
      </c>
      <c r="C7316" s="10" t="inlineStr">
        <is>
          <t>Tuyển Dụng Chuyên Viên Xuất Nhập Khẩu| Lương Thoả Thuận Theo Năng Lực (Upto 20Tr)</t>
        </is>
      </c>
      <c r="D7316" s="10" t="inlineStr">
        <is>
          <t>Công Ty TNHH HSE Việt Nam</t>
        </is>
      </c>
      <c r="E7316" s="10" t="inlineStr">
        <is>
          <t>20tr-26tr ₫/tháng</t>
        </is>
      </c>
      <c r="F7316" s="10" t="inlineStr">
        <is>
          <t>Hà Nội</t>
        </is>
      </c>
      <c r="G7316" s="10" t="inlineStr">
        <is>
          <t>Trưởng phòng</t>
        </is>
      </c>
      <c r="H7316" s="10" t="inlineStr">
        <is>
          <t>12/01/2026</t>
        </is>
      </c>
      <c r="I7316" s="10" t="inlineStr">
        <is>
          <t>04/04/2026</t>
        </is>
      </c>
      <c r="J7316" s="10" t="inlineStr">
        <is>
          <t>17/03/2026</t>
        </is>
      </c>
      <c r="K7316" s="10" t="inlineStr">
        <is>
          <t>N/A</t>
        </is>
      </c>
      <c r="L7316" s="10" t="inlineStr">
        <is>
          <t>Forwarder Coordination, Hải Quan, Incoterms</t>
        </is>
      </c>
      <c r="M7316" s="10" t="inlineStr">
        <is>
          <t>Bonus, Healthcare Plan, Others</t>
        </is>
      </c>
      <c r="N7316" s="11">
        <f>HYPERLINK("https://www.vietnamworks.com/tuyen-dung-chuyen-vien-xuat-nhap-khauor-luong-thoa-thuan-theo-nang-luc-upto-20tr-2001359-jv","Xem chi tiết")</f>
        <v/>
      </c>
      <c r="O7316" s="10" t="n"/>
    </row>
    <row r="7317">
      <c r="B7317" s="7" t="n">
        <v>7315</v>
      </c>
      <c r="C7317" t="inlineStr">
        <is>
          <t>Brand Manager</t>
        </is>
      </c>
      <c r="D7317" t="inlineStr">
        <is>
          <t>Vietnamworks' Client</t>
        </is>
      </c>
      <c r="E7317" t="inlineStr">
        <is>
          <t>Thương lượng</t>
        </is>
      </c>
      <c r="F7317" t="inlineStr">
        <is>
          <t>Hồ Chí Minh</t>
        </is>
      </c>
      <c r="G7317" t="inlineStr">
        <is>
          <t>Trưởng phòng</t>
        </is>
      </c>
      <c r="H7317" t="inlineStr">
        <is>
          <t>13/01/2026</t>
        </is>
      </c>
      <c r="I7317" t="inlineStr">
        <is>
          <t>04/04/2026</t>
        </is>
      </c>
      <c r="J7317" t="inlineStr">
        <is>
          <t>17/03/2026</t>
        </is>
      </c>
      <c r="K7317" t="inlineStr">
        <is>
          <t>N/A</t>
        </is>
      </c>
      <c r="L7317" t="inlineStr">
        <is>
          <t>Brand Management, Brand Marketing, FMCG, Marketing Innovation, Marketing Strategy</t>
        </is>
      </c>
      <c r="M7317" t="inlineStr">
        <is>
          <t>Bonus, Paid Leave, Training, Awards, Laptop, Team Activities, Others</t>
        </is>
      </c>
      <c r="N7317" s="8">
        <f>HYPERLINK("https://www.vietnamworks.com/brand-manager-2002208-jv","Xem chi tiết")</f>
        <v/>
      </c>
    </row>
    <row r="7318">
      <c r="B7318" s="9" t="n">
        <v>7316</v>
      </c>
      <c r="C7318" s="10" t="inlineStr">
        <is>
          <t>Senior Analyst - Banking Operation for Planning Group</t>
        </is>
      </c>
      <c r="D7318" s="10" t="inlineStr">
        <is>
          <t>Sumitomo Mitsui Banking Corporation (SMBC)</t>
        </is>
      </c>
      <c r="E7318" s="10" t="inlineStr">
        <is>
          <t>Thương lượng</t>
        </is>
      </c>
      <c r="F7318" s="10" t="inlineStr">
        <is>
          <t>Hà Nội</t>
        </is>
      </c>
      <c r="G7318" s="10" t="inlineStr">
        <is>
          <t>Nhân viên</t>
        </is>
      </c>
      <c r="H7318" s="10" t="inlineStr">
        <is>
          <t>15/01/2026</t>
        </is>
      </c>
      <c r="I7318" s="10" t="inlineStr">
        <is>
          <t>04/04/2026</t>
        </is>
      </c>
      <c r="J7318" s="10" t="inlineStr">
        <is>
          <t>17/03/2026</t>
        </is>
      </c>
      <c r="K7318" s="10" t="inlineStr">
        <is>
          <t>N/A</t>
        </is>
      </c>
      <c r="L7318" s="10" t="inlineStr">
        <is>
          <t>Banking Operations, Business Analysis, Process Management, Product Launching, Project Management</t>
        </is>
      </c>
      <c r="M7318" s="10" t="inlineStr">
        <is>
          <t>Team Activities, Others</t>
        </is>
      </c>
      <c r="N7318" s="11">
        <f>HYPERLINK("https://www.vietnamworks.com/senior-analyst-banking-operation-for-planning-group-2002815-jv","Xem chi tiết")</f>
        <v/>
      </c>
      <c r="O7318" s="10" t="n"/>
    </row>
    <row r="7319">
      <c r="B7319" s="7" t="n">
        <v>7317</v>
      </c>
      <c r="C7319" t="inlineStr">
        <is>
          <t>Sales Engineer- Thiết Bị Công Nghệ Thông Minh</t>
        </is>
      </c>
      <c r="D7319" t="inlineStr">
        <is>
          <t>Công Ty Cổ Phần Đầu Tư Công Nghệ Thiên Ân</t>
        </is>
      </c>
      <c r="E7319" t="inlineStr">
        <is>
          <t>Từ 20tr ₫/tháng</t>
        </is>
      </c>
      <c r="F7319" t="inlineStr">
        <is>
          <t>Hồ Chí Minh</t>
        </is>
      </c>
      <c r="G7319" t="inlineStr">
        <is>
          <t>Nhân viên</t>
        </is>
      </c>
      <c r="H7319" t="inlineStr">
        <is>
          <t>14/01/2026</t>
        </is>
      </c>
      <c r="I7319" t="inlineStr">
        <is>
          <t>04/04/2026</t>
        </is>
      </c>
      <c r="J7319" t="inlineStr">
        <is>
          <t>17/03/2026</t>
        </is>
      </c>
      <c r="K7319" t="inlineStr">
        <is>
          <t>N/A</t>
        </is>
      </c>
      <c r="L7319" t="inlineStr">
        <is>
          <t>Giải Pháp Công Nghệ, AutoCAD, Sales Software, Nhân viên kinh doanh, Sales Engineering</t>
        </is>
      </c>
      <c r="M7319" t="inlineStr">
        <is>
          <t>Bonus, Healthcare Plan, Paid Leave, Training, Travel Opportunities, Others</t>
        </is>
      </c>
      <c r="N7319" s="8">
        <f>HYPERLINK("https://www.vietnamworks.com/sales-engineer-thiet-bi-cong-nghe-thong-minh-2002719-jv","Xem chi tiết")</f>
        <v/>
      </c>
    </row>
    <row r="7320">
      <c r="B7320" s="9" t="n">
        <v>7318</v>
      </c>
      <c r="C7320" s="10" t="inlineStr">
        <is>
          <t>Kỹ Sư Bán Hàng Kỹ Thuật / Sales Engineer</t>
        </is>
      </c>
      <c r="D7320" s="10" t="inlineStr">
        <is>
          <t>Công Ty Cổ Phần Kỹ Thuật Temas</t>
        </is>
      </c>
      <c r="E7320" s="10" t="inlineStr">
        <is>
          <t>13tr-17tr ₫/tháng</t>
        </is>
      </c>
      <c r="F7320" s="10" t="inlineStr">
        <is>
          <t>Hà Nội, Hồ Chí Minh</t>
        </is>
      </c>
      <c r="G7320" s="10" t="inlineStr">
        <is>
          <t>Nhân viên</t>
        </is>
      </c>
      <c r="H7320" s="10" t="inlineStr">
        <is>
          <t>13/01/2026</t>
        </is>
      </c>
      <c r="I7320" s="10" t="inlineStr">
        <is>
          <t>04/04/2026</t>
        </is>
      </c>
      <c r="J7320" s="10" t="inlineStr">
        <is>
          <t>17/03/2026</t>
        </is>
      </c>
      <c r="K7320" s="10" t="inlineStr">
        <is>
          <t>N/A</t>
        </is>
      </c>
      <c r="L7320" s="10" t="inlineStr">
        <is>
          <t>Sales Engineering, Kinh Doanh, Bán Hàng Kỹ Thuật, Bán Hàng, Tự Động Hóa</t>
        </is>
      </c>
      <c r="M7320" s="10" t="inlineStr">
        <is>
          <t>Bonus, Training, Others</t>
        </is>
      </c>
      <c r="N7320" s="11">
        <f>HYPERLINK("https://www.vietnamworks.com/ky-su-ban-hang-ky-thuat-sales-engineer--2002231-jv","Xem chi tiết")</f>
        <v/>
      </c>
      <c r="O7320" s="10" t="n"/>
    </row>
    <row r="7321">
      <c r="B7321" s="7" t="n">
        <v>7319</v>
      </c>
      <c r="C7321" t="inlineStr">
        <is>
          <t>HR Executive</t>
        </is>
      </c>
      <c r="D7321" t="inlineStr">
        <is>
          <t>Prym Intimates VIetnam</t>
        </is>
      </c>
      <c r="E7321" t="inlineStr">
        <is>
          <t>Thương lượng</t>
        </is>
      </c>
      <c r="F7321" t="inlineStr">
        <is>
          <t>Hưng Yên</t>
        </is>
      </c>
      <c r="G7321" t="inlineStr">
        <is>
          <t>Nhân viên</t>
        </is>
      </c>
      <c r="H7321" t="inlineStr">
        <is>
          <t>15/01/2026</t>
        </is>
      </c>
      <c r="I7321" t="inlineStr">
        <is>
          <t>04/04/2026</t>
        </is>
      </c>
      <c r="J7321" t="inlineStr">
        <is>
          <t>17/03/2026</t>
        </is>
      </c>
      <c r="K7321" t="inlineStr">
        <is>
          <t>N/A</t>
        </is>
      </c>
      <c r="L7321" t="inlineStr">
        <is>
          <t>Recruitment Management, Mass Recruitment, Sourcing Analysis, Make Assessment, English Language Proficiency</t>
        </is>
      </c>
      <c r="M7321" t="inlineStr">
        <is>
          <t>Bonus, Healthcare Plan, Training, Transportation</t>
        </is>
      </c>
      <c r="N7321" s="8">
        <f>HYPERLINK("https://www.vietnamworks.com/hr-executive--2003033-jv","Xem chi tiết")</f>
        <v/>
      </c>
    </row>
    <row r="7322">
      <c r="B7322" s="9" t="n">
        <v>7320</v>
      </c>
      <c r="C7322" s="10" t="inlineStr">
        <is>
          <t>Deputy Manager - Sales, Surface Treatment, Coatings</t>
        </is>
      </c>
      <c r="D7322" s="10" t="inlineStr">
        <is>
          <t>BASF Coatings Vietnam Co., Ltd.</t>
        </is>
      </c>
      <c r="E7322" s="10" t="inlineStr">
        <is>
          <t>Thương lượng</t>
        </is>
      </c>
      <c r="F7322" s="10" t="inlineStr">
        <is>
          <t>Hà Nội</t>
        </is>
      </c>
      <c r="G7322" s="10" t="inlineStr">
        <is>
          <t>Nhân viên</t>
        </is>
      </c>
      <c r="H7322" s="10" t="inlineStr">
        <is>
          <t>16/01/2026</t>
        </is>
      </c>
      <c r="I7322" s="10" t="inlineStr">
        <is>
          <t>27/03/2026</t>
        </is>
      </c>
      <c r="J7322" s="10" t="inlineStr">
        <is>
          <t>17/03/2026</t>
        </is>
      </c>
      <c r="K7322" s="10" t="inlineStr">
        <is>
          <t>N/A</t>
        </is>
      </c>
      <c r="L7322" s="10" t="inlineStr">
        <is>
          <t>Technical Sales, Surface Treatment, Negotiation Skills, Coatings</t>
        </is>
      </c>
      <c r="M7322" s="10" t="inlineStr">
        <is>
          <t>Bonus, Healthcare Plan, Training</t>
        </is>
      </c>
      <c r="N7322" s="11">
        <f>HYPERLINK("https://www.vietnamworks.com/deputy-manager-sales-surface-treatment-coatings--2003251-jv","Xem chi tiết")</f>
        <v/>
      </c>
      <c r="O7322" s="10" t="n"/>
    </row>
    <row r="7323">
      <c r="B7323" s="7" t="n">
        <v>7321</v>
      </c>
      <c r="C7323" t="inlineStr">
        <is>
          <t>Marketing Officer (Strong In Video Editing)</t>
        </is>
      </c>
      <c r="D7323" t="inlineStr">
        <is>
          <t>Vietnamworks' Client</t>
        </is>
      </c>
      <c r="E7323" t="inlineStr">
        <is>
          <t>10tr-12tr ₫/tháng</t>
        </is>
      </c>
      <c r="F7323" t="inlineStr">
        <is>
          <t>Hồ Chí Minh</t>
        </is>
      </c>
      <c r="G7323" t="inlineStr">
        <is>
          <t>Nhân viên</t>
        </is>
      </c>
      <c r="H7323" t="inlineStr">
        <is>
          <t>15/01/2026</t>
        </is>
      </c>
      <c r="I7323" t="inlineStr">
        <is>
          <t>04/04/2026</t>
        </is>
      </c>
      <c r="J7323" t="inlineStr">
        <is>
          <t>17/03/2026</t>
        </is>
      </c>
      <c r="K7323" t="inlineStr">
        <is>
          <t>N/A</t>
        </is>
      </c>
      <c r="L7323" t="inlineStr">
        <is>
          <t>Adobe Premiere Pro, After Effects, Content Creation, Creative Thinking, Video Editing</t>
        </is>
      </c>
      <c r="M7323" t="inlineStr">
        <is>
          <t>Bonus, Healthcare Plan, Paid Leave, Others</t>
        </is>
      </c>
      <c r="N7323" s="8">
        <f>HYPERLINK("https://www.vietnamworks.com/marketing-officer-strong-in-video-editing-2003126-jv","Xem chi tiết")</f>
        <v/>
      </c>
    </row>
    <row r="7324">
      <c r="B7324" s="9" t="n">
        <v>7322</v>
      </c>
      <c r="C7324" s="10" t="inlineStr">
        <is>
          <t>Chuyên Viên Dự Toán (Chủ Đầu Tư BĐS)</t>
        </is>
      </c>
      <c r="D7324" s="10" t="inlineStr">
        <is>
          <t>CÔNG TY CỔ PHẦN QUẢN LÝ ĐẦU TƯ ACD</t>
        </is>
      </c>
      <c r="E7324" s="10" t="inlineStr">
        <is>
          <t>$$ 900-1,500 /tháng</t>
        </is>
      </c>
      <c r="F7324" s="10" t="inlineStr">
        <is>
          <t>Hà Nội</t>
        </is>
      </c>
      <c r="G7324" s="10" t="inlineStr">
        <is>
          <t>Nhân viên</t>
        </is>
      </c>
      <c r="H7324" s="10" t="inlineStr">
        <is>
          <t>16/01/2026</t>
        </is>
      </c>
      <c r="I7324" s="10" t="inlineStr">
        <is>
          <t>04/04/2026</t>
        </is>
      </c>
      <c r="J7324" s="10" t="inlineStr">
        <is>
          <t>17/03/2026</t>
        </is>
      </c>
      <c r="K7324" s="10" t="inlineStr">
        <is>
          <t>N/A</t>
        </is>
      </c>
      <c r="L7324" s="10" t="inlineStr">
        <is>
          <t>Dự Toán Dự Án, Dự Toán Đấu Thầu Xây Dựng, Xây Dựng Dân Dụng và Công Nghiệp, Bất Động Sản, QS</t>
        </is>
      </c>
      <c r="M7324" s="10" t="inlineStr">
        <is>
          <t>Bonus, Training, Others</t>
        </is>
      </c>
      <c r="N7324" s="11">
        <f>HYPERLINK("https://www.vietnamworks.com/chuyen-vien-du-toan-chu-dau-tu-bds-2003513-jv","Xem chi tiết")</f>
        <v/>
      </c>
      <c r="O7324" s="10" t="n"/>
    </row>
    <row r="7325">
      <c r="B7325" s="7" t="n">
        <v>7323</v>
      </c>
      <c r="C7325" t="inlineStr">
        <is>
          <t>Senior Data Analyst</t>
        </is>
      </c>
      <c r="D7325" t="inlineStr">
        <is>
          <t>Công Ty Cổ Phần Chứng Khoán SSI</t>
        </is>
      </c>
      <c r="E7325" t="inlineStr">
        <is>
          <t>Thương lượng</t>
        </is>
      </c>
      <c r="F7325" t="inlineStr">
        <is>
          <t>Hà Nội</t>
        </is>
      </c>
      <c r="G7325" t="inlineStr">
        <is>
          <t>Nhân viên</t>
        </is>
      </c>
      <c r="H7325" t="inlineStr">
        <is>
          <t>16/01/2026</t>
        </is>
      </c>
      <c r="I7325" t="inlineStr">
        <is>
          <t>04/04/2026</t>
        </is>
      </c>
      <c r="J7325" t="inlineStr">
        <is>
          <t>17/03/2026</t>
        </is>
      </c>
      <c r="K7325" t="inlineStr">
        <is>
          <t>N/A</t>
        </is>
      </c>
      <c r="L7325" t="inlineStr">
        <is>
          <t>data warehousing techniques, Phân Tích Dữ Liệu, Data Analysis, Business Intelligence, Big Data</t>
        </is>
      </c>
      <c r="M7325" t="inlineStr">
        <is>
          <t>Bonus, Training, Others</t>
        </is>
      </c>
      <c r="N7325" s="8">
        <f>HYPERLINK("https://www.vietnamworks.com/senior-data-analyst--2003284-jv","Xem chi tiết")</f>
        <v/>
      </c>
    </row>
    <row r="7326">
      <c r="B7326" s="9" t="n">
        <v>7324</v>
      </c>
      <c r="C7326" s="10" t="inlineStr">
        <is>
          <t>CCSS Representative Inbound (Customer Service Representative)</t>
        </is>
      </c>
      <c r="D7326" s="10" t="inlineStr">
        <is>
          <t>HSBC Vietnam</t>
        </is>
      </c>
      <c r="E7326" s="10" t="inlineStr">
        <is>
          <t>Thương lượng</t>
        </is>
      </c>
      <c r="F7326" s="10" t="inlineStr">
        <is>
          <t>Hồ Chí Minh</t>
        </is>
      </c>
      <c r="G7326" s="10" t="inlineStr">
        <is>
          <t>Mới Tốt Nghiệp</t>
        </is>
      </c>
      <c r="H7326" s="10" t="inlineStr">
        <is>
          <t>16/01/2026</t>
        </is>
      </c>
      <c r="I7326" s="10" t="inlineStr">
        <is>
          <t>04/04/2026</t>
        </is>
      </c>
      <c r="J7326" s="10" t="inlineStr">
        <is>
          <t>17/03/2026</t>
        </is>
      </c>
      <c r="K7326" s="10" t="inlineStr">
        <is>
          <t>N/A</t>
        </is>
      </c>
      <c r="L7326" s="10" t="inlineStr">
        <is>
          <t>Communications, Sales, Microsoft Office, Phát Triển Thị Trường</t>
        </is>
      </c>
      <c r="M7326" s="10" t="inlineStr">
        <is>
          <t>Bonus, Healthcare Plan, Awards</t>
        </is>
      </c>
      <c r="N7326" s="11">
        <f>HYPERLINK("https://www.vietnamworks.com/ccss-representative-inbound-customer-service-representative--2003413-jv","Xem chi tiết")</f>
        <v/>
      </c>
      <c r="O7326" s="10" t="n"/>
    </row>
    <row r="7327">
      <c r="B7327" s="7" t="n">
        <v>7325</v>
      </c>
      <c r="C7327" t="inlineStr">
        <is>
          <t>[KCN Mỹ Hào - Hưng Yên] - Nhân Viên Kinh Doanh B2B (Biết Tiếng Anh) - Lương 17 - 23Tr Không Phụ Thuộc KPI</t>
        </is>
      </c>
      <c r="D7327" t="inlineStr">
        <is>
          <t>CÔNG TY TNHH CÔNG NGHIỆP NEW BEST WIRE VIỆT NAM</t>
        </is>
      </c>
      <c r="E7327" t="inlineStr">
        <is>
          <t>17tr-23tr ₫/tháng</t>
        </is>
      </c>
      <c r="F7327" t="inlineStr">
        <is>
          <t>Hưng Yên, Hà Nội</t>
        </is>
      </c>
      <c r="G7327" t="inlineStr">
        <is>
          <t>Nhân viên</t>
        </is>
      </c>
      <c r="H7327" t="inlineStr">
        <is>
          <t>16/01/2026</t>
        </is>
      </c>
      <c r="I7327" t="inlineStr">
        <is>
          <t>04/04/2026</t>
        </is>
      </c>
      <c r="J7327" t="inlineStr">
        <is>
          <t>17/03/2026</t>
        </is>
      </c>
      <c r="K7327" t="inlineStr">
        <is>
          <t>N/A</t>
        </is>
      </c>
      <c r="L7327" t="inlineStr">
        <is>
          <t>Kinh Doanh B2B, Sales, Kinh Doanh, Chăm Sóc Khách Hàng, Tư Vấn Bán Hàng</t>
        </is>
      </c>
      <c r="M7327" t="inlineStr">
        <is>
          <t>Bonus, Healthcare Plan, Training</t>
        </is>
      </c>
      <c r="N7327" s="8">
        <f>HYPERLINK("https://www.vietnamworks.com/kcn-my-hao-hung-yen-nhan-vien-kinh-doanh-b2b-biet-tieng-anh-luong-17-23tr-khong-phu-thuoc-kpi--2003289-jv","Xem chi tiết")</f>
        <v/>
      </c>
    </row>
    <row r="7328">
      <c r="B7328" s="9" t="n">
        <v>7326</v>
      </c>
      <c r="C7328" s="10" t="inlineStr">
        <is>
          <t>Nhân Viên Hành Chính Nhân Sự - Ưu Tiên Ứng Viên Ở Hải Dương</t>
        </is>
      </c>
      <c r="D7328" s="10" t="inlineStr">
        <is>
          <t>Tomoken Fire Viet Nam Co., Ltd</t>
        </is>
      </c>
      <c r="E7328" s="10" t="inlineStr">
        <is>
          <t>12tr-14tr ₫/tháng</t>
        </is>
      </c>
      <c r="F7328" s="10" t="inlineStr">
        <is>
          <t>Hải Dương, Hải Phòng</t>
        </is>
      </c>
      <c r="G7328" s="10" t="inlineStr">
        <is>
          <t>Nhân viên</t>
        </is>
      </c>
      <c r="H7328" s="10" t="inlineStr">
        <is>
          <t>16/01/2026</t>
        </is>
      </c>
      <c r="I7328" s="10" t="inlineStr">
        <is>
          <t>04/04/2026</t>
        </is>
      </c>
      <c r="J7328" s="10" t="inlineStr">
        <is>
          <t>17/03/2026</t>
        </is>
      </c>
      <c r="K7328" s="10" t="inlineStr">
        <is>
          <t>N/A</t>
        </is>
      </c>
      <c r="L7328" s="10" t="inlineStr">
        <is>
          <t>Luật Lao Động, BHXH, Hành chính - Nhân sự, Kinh Nghiệm Hành Chính Nhân Sự, HR</t>
        </is>
      </c>
      <c r="M7328" s="10" t="inlineStr">
        <is>
          <t>Bonus, Healthcare Plan, Paid Leave, Awards, Others</t>
        </is>
      </c>
      <c r="N7328" s="11">
        <f>HYPERLINK("https://www.vietnamworks.com/nhan-vien-hanh-chinh-nhan-su-uu-tien-ung-vien-o-hai-duong-2003316-jv","Xem chi tiết")</f>
        <v/>
      </c>
      <c r="O7328" s="10" t="n"/>
    </row>
    <row r="7329">
      <c r="B7329" s="7" t="n">
        <v>7327</v>
      </c>
      <c r="C7329" t="inlineStr">
        <is>
          <t>Kỹ Sư Thiết Kế Phần Cứng (Hardware Design Engineer Robot/amr/iot)</t>
        </is>
      </c>
      <c r="D7329" t="inlineStr">
        <is>
          <t>Công Ty Cổ Phần Kỹ Thuật Temas</t>
        </is>
      </c>
      <c r="E7329" t="inlineStr">
        <is>
          <t>$$ 600-1,500 /tháng</t>
        </is>
      </c>
      <c r="F7329" t="inlineStr">
        <is>
          <t>Hà Nội</t>
        </is>
      </c>
      <c r="G7329" t="inlineStr">
        <is>
          <t>Nhân viên</t>
        </is>
      </c>
      <c r="H7329" t="inlineStr">
        <is>
          <t>14/01/2026</t>
        </is>
      </c>
      <c r="I7329" t="inlineStr">
        <is>
          <t>04/04/2026</t>
        </is>
      </c>
      <c r="J7329" t="inlineStr">
        <is>
          <t>17/03/2026</t>
        </is>
      </c>
      <c r="K7329" t="inlineStr">
        <is>
          <t>N/A</t>
        </is>
      </c>
      <c r="L7329" t="inlineStr">
        <is>
          <t>Thiết Kế Phần Cứng, Hardware Design, PCB Design, Altium Designer, MCU Design</t>
        </is>
      </c>
      <c r="M7329" t="inlineStr">
        <is>
          <t>Bonus, Training, Others</t>
        </is>
      </c>
      <c r="N7329" s="8">
        <f>HYPERLINK("https://www.vietnamworks.com/ky-su-thiet-ke-phan-cung-hardware-design-engineer-robot-amr-iot-2002563-jv","Xem chi tiết")</f>
        <v/>
      </c>
    </row>
    <row r="7330">
      <c r="B7330" s="9" t="n">
        <v>7328</v>
      </c>
      <c r="C7330" s="10" t="inlineStr">
        <is>
          <t>Quality Control Manager (Ngành Điện Tử)</t>
        </is>
      </c>
      <c r="D7330" s="10" t="inlineStr">
        <is>
          <t>Công ty TNHH Innovative Lighting</t>
        </is>
      </c>
      <c r="E7330" s="10" t="inlineStr">
        <is>
          <t>Thương lượng</t>
        </is>
      </c>
      <c r="F7330" s="10" t="inlineStr">
        <is>
          <t>Đồng Nai, Hồ Chí Minh</t>
        </is>
      </c>
      <c r="G7330" s="10" t="inlineStr">
        <is>
          <t>Trưởng phòng</t>
        </is>
      </c>
      <c r="H7330" s="10" t="inlineStr">
        <is>
          <t>16/01/2026</t>
        </is>
      </c>
      <c r="I7330" s="10" t="inlineStr">
        <is>
          <t>04/04/2026</t>
        </is>
      </c>
      <c r="J7330" s="10" t="inlineStr">
        <is>
          <t>17/03/2026</t>
        </is>
      </c>
      <c r="K7330" s="10" t="inlineStr">
        <is>
          <t>N/A</t>
        </is>
      </c>
      <c r="L7330" s="10" t="inlineStr">
        <is>
          <t>Data Analysis, Quality Management System, Statistical Analysis, ISO 9001, Quản Lý Chất Lượng</t>
        </is>
      </c>
      <c r="M7330" s="10" t="inlineStr">
        <is>
          <t>Bonus, Transportation</t>
        </is>
      </c>
      <c r="N7330" s="11">
        <f>HYPERLINK("https://www.vietnamworks.com/quality-control-manager-nganh-djien-tu-2003240-jv","Xem chi tiết")</f>
        <v/>
      </c>
      <c r="O7330" s="10" t="n"/>
    </row>
    <row r="7331">
      <c r="B7331" s="7" t="n">
        <v>7329</v>
      </c>
      <c r="C7331" t="inlineStr">
        <is>
          <t>Chuyên Viên Kinh Doanh (Dược Phẩm)</t>
        </is>
      </c>
      <c r="D7331" t="inlineStr">
        <is>
          <t>Công Ty TNHH Dược Phẩm Hisamitsu Việt Nam</t>
        </is>
      </c>
      <c r="E7331" t="inlineStr">
        <is>
          <t>8tr-25tr ₫/tháng</t>
        </is>
      </c>
      <c r="F7331" t="inlineStr">
        <is>
          <t>Hà Nội, Quảng Ninh, Nghệ An</t>
        </is>
      </c>
      <c r="G7331" t="inlineStr">
        <is>
          <t>Nhân viên</t>
        </is>
      </c>
      <c r="H7331" t="inlineStr">
        <is>
          <t>15/01/2026</t>
        </is>
      </c>
      <c r="I7331" t="inlineStr">
        <is>
          <t>04/04/2026</t>
        </is>
      </c>
      <c r="J7331" t="inlineStr">
        <is>
          <t>17/03/2026</t>
        </is>
      </c>
      <c r="K7331" t="inlineStr">
        <is>
          <t>N/A</t>
        </is>
      </c>
      <c r="L7331" t="inlineStr">
        <is>
          <t>Bán Hàng, Dược, Tiếp Thị Thuốc, Kênh OTC, Kinh Doanh</t>
        </is>
      </c>
      <c r="M7331" t="inlineStr">
        <is>
          <t>Bonus, Healthcare Plan, Training, Travel Opportunities, Others</t>
        </is>
      </c>
      <c r="N7331" s="8">
        <f>HYPERLINK("https://www.vietnamworks.com/chuyen-vien-kinh-doanh-duoc-pham-2002975-jv","Xem chi tiết")</f>
        <v/>
      </c>
    </row>
    <row r="7332">
      <c r="B7332" s="9" t="n">
        <v>7330</v>
      </c>
      <c r="C7332" s="10" t="inlineStr">
        <is>
          <t>Kế Toán Doanh Nghiệp Sản Xuất</t>
        </is>
      </c>
      <c r="D7332" s="10" t="inlineStr">
        <is>
          <t>Dtdauto Việt Nam</t>
        </is>
      </c>
      <c r="E7332" s="10" t="inlineStr">
        <is>
          <t>16tr-25tr ₫/tháng</t>
        </is>
      </c>
      <c r="F7332" s="10" t="inlineStr">
        <is>
          <t>Hà Nội</t>
        </is>
      </c>
      <c r="G7332" s="10" t="inlineStr">
        <is>
          <t>Nhân viên</t>
        </is>
      </c>
      <c r="H7332" s="10" t="inlineStr">
        <is>
          <t>16/01/2026</t>
        </is>
      </c>
      <c r="I7332" s="10" t="inlineStr">
        <is>
          <t>04/04/2026</t>
        </is>
      </c>
      <c r="J7332" s="10" t="inlineStr">
        <is>
          <t>17/03/2026</t>
        </is>
      </c>
      <c r="K7332" s="10" t="inlineStr">
        <is>
          <t>N/A</t>
        </is>
      </c>
      <c r="L7332" s="10" t="inlineStr">
        <is>
          <t>Kế Toán Tổng Hợp, Phần mềm kế toán, Kế toán thương mại, Kế Toán Sản Xuất, Accountancy</t>
        </is>
      </c>
      <c r="M7332" s="10" t="inlineStr">
        <is>
          <t>Bonus, Paid Leave, Training, Others</t>
        </is>
      </c>
      <c r="N7332" s="11">
        <f>HYPERLINK("https://www.vietnamworks.com/ke-toan-doanh-nghiep-san-xuat-2003360-jv","Xem chi tiết")</f>
        <v/>
      </c>
      <c r="O7332" s="10" t="n"/>
    </row>
    <row r="7333">
      <c r="B7333" s="7" t="n">
        <v>7331</v>
      </c>
      <c r="C7333" t="inlineStr">
        <is>
          <t>Nhân Viên Kinh Doanh (Ngành Hóa Chất/ Dự Án Nhiệt Điện - Làm Việc Tại Hà Nội, Hồ Chí Minh, Đà Nẵng, Cần Thơ)</t>
        </is>
      </c>
      <c r="D7333" t="inlineStr">
        <is>
          <t>Công Ty CP XNK Hóa Chất &amp; Thiết Bị Kim Ngưu</t>
        </is>
      </c>
      <c r="E7333" t="inlineStr">
        <is>
          <t>30tr-50tr ₫/tháng</t>
        </is>
      </c>
      <c r="F7333" t="inlineStr">
        <is>
          <t>Hà Nội, Hồ Chí Minh, Cần Thơ</t>
        </is>
      </c>
      <c r="G7333" t="inlineStr">
        <is>
          <t>Nhân viên</t>
        </is>
      </c>
      <c r="H7333" t="inlineStr">
        <is>
          <t>13/01/2026</t>
        </is>
      </c>
      <c r="I7333" t="inlineStr">
        <is>
          <t>04/04/2026</t>
        </is>
      </c>
      <c r="J7333" t="inlineStr">
        <is>
          <t>17/03/2026</t>
        </is>
      </c>
      <c r="K7333" t="inlineStr">
        <is>
          <t>N/A</t>
        </is>
      </c>
      <c r="L7333" t="inlineStr">
        <is>
          <t>Kinh Doanh Hóa Chất, Theo Dõi Đơn Hàng, Thu Hồi Công Nợ, Tư Vấn Bán Hàng, Xây Dựng Mối Quan Hệ</t>
        </is>
      </c>
      <c r="M7333" t="inlineStr">
        <is>
          <t>Bonus, Healthcare Plan, Paid Leave, Transportation, Canteen, Others</t>
        </is>
      </c>
      <c r="N7333" s="8">
        <f>HYPERLINK("https://www.vietnamworks.com/nhan-vien-kinh-doanh-nganh-hoa-chat-du-an-nhiet-djien-lam-viec-tai-ha-noi-ho-chi-minh-dja-nang-can-tho-2002251-jv","Xem chi tiết")</f>
        <v/>
      </c>
    </row>
    <row r="7334">
      <c r="B7334" s="9" t="n">
        <v>7332</v>
      </c>
      <c r="C7334" s="10" t="inlineStr">
        <is>
          <t>[KCN Minh Quang - Mỹ Hào] Trợ Lý Kinh Doanh (Sale Admin) Biết Tiếng Anh hoặc Tiếng Trung</t>
        </is>
      </c>
      <c r="D7334" s="10" t="inlineStr">
        <is>
          <t>CÔNG TY TNHH CÔNG NGHIỆP NEW BEST WIRE VIỆT NAM</t>
        </is>
      </c>
      <c r="E7334" s="10" t="inlineStr">
        <is>
          <t>10tr-13tr ₫/tháng</t>
        </is>
      </c>
      <c r="F7334" s="10" t="inlineStr">
        <is>
          <t>Hà Nội, Hưng Yên, Hải Dương</t>
        </is>
      </c>
      <c r="G7334" s="10" t="inlineStr">
        <is>
          <t>Mới Tốt Nghiệp</t>
        </is>
      </c>
      <c r="H7334" s="10" t="inlineStr">
        <is>
          <t>16/01/2026</t>
        </is>
      </c>
      <c r="I7334" s="10" t="inlineStr">
        <is>
          <t>04/04/2026</t>
        </is>
      </c>
      <c r="J7334" s="10" t="inlineStr">
        <is>
          <t>17/03/2026</t>
        </is>
      </c>
      <c r="K7334" s="10" t="inlineStr">
        <is>
          <t>N/A</t>
        </is>
      </c>
      <c r="L7334" s="10" t="inlineStr">
        <is>
          <t>Sales Administration, Tiếng Anh, Theo Dõi Công Nợ, Giao Tiếp Đàm Phán, Quản Lý Đơn Hàng</t>
        </is>
      </c>
      <c r="M7334" s="10" t="inlineStr">
        <is>
          <t>Bonus, Healthcare Plan, Training</t>
        </is>
      </c>
      <c r="N7334" s="11">
        <f>HYPERLINK("https://www.vietnamworks.com/kcn-minh-quang-my-hao-tro-ly-kinh-doanh-sale-admin-biet-tieng-anh-hoac-tieng-trung--2003291-jv","Xem chi tiết")</f>
        <v/>
      </c>
      <c r="O7334" s="10" t="n"/>
    </row>
    <row r="7335">
      <c r="B7335" s="7" t="n">
        <v>7333</v>
      </c>
      <c r="C7335" t="inlineStr">
        <is>
          <t>Product Planning &amp; Regulatory Affairs Executive</t>
        </is>
      </c>
      <c r="D7335" t="inlineStr">
        <is>
          <t>Vietnamworks' Client</t>
        </is>
      </c>
      <c r="E7335" t="inlineStr">
        <is>
          <t>1,800-2,500 ₫/tháng</t>
        </is>
      </c>
      <c r="F7335" t="inlineStr">
        <is>
          <t>Hồ Chí Minh</t>
        </is>
      </c>
      <c r="G7335" t="inlineStr">
        <is>
          <t>Nhân viên</t>
        </is>
      </c>
      <c r="H7335" t="inlineStr">
        <is>
          <t>22/01/2026</t>
        </is>
      </c>
      <c r="I7335" t="inlineStr">
        <is>
          <t>04/04/2026</t>
        </is>
      </c>
      <c r="J7335" t="inlineStr">
        <is>
          <t>17/03/2026</t>
        </is>
      </c>
      <c r="K7335" t="inlineStr">
        <is>
          <t>N/A</t>
        </is>
      </c>
      <c r="L7335" t="inlineStr">
        <is>
          <t>Effective Communication, Market Research, Product Planning, Regulatory Affairs, Technical Documentation</t>
        </is>
      </c>
      <c r="M7335" t="inlineStr">
        <is>
          <t>Bonus, Paid Leave, Laptop</t>
        </is>
      </c>
      <c r="N7335" s="8">
        <f>HYPERLINK("https://www.vietnamworks.com/product-planning-and-regulatory-affairs-executive-2005495-jv","Xem chi tiết")</f>
        <v/>
      </c>
    </row>
    <row r="7336">
      <c r="B7336" s="9" t="n">
        <v>7334</v>
      </c>
      <c r="C7336" s="10" t="inlineStr">
        <is>
          <t>Nhân Viên Documentation (Chứng Từ)</t>
        </is>
      </c>
      <c r="D7336" s="10" t="inlineStr">
        <is>
          <t>Công Ty TNHH Century Distribution Systems (Việt Nam)</t>
        </is>
      </c>
      <c r="E7336" s="10" t="inlineStr">
        <is>
          <t>8tr-9tr ₫/tháng</t>
        </is>
      </c>
      <c r="F7336" s="10" t="inlineStr">
        <is>
          <t>Hà Nội</t>
        </is>
      </c>
      <c r="G7336" s="10" t="inlineStr">
        <is>
          <t>Nhân viên</t>
        </is>
      </c>
      <c r="H7336" s="10" t="inlineStr">
        <is>
          <t>16/01/2026</t>
        </is>
      </c>
      <c r="I7336" s="10" t="inlineStr">
        <is>
          <t>04/04/2026</t>
        </is>
      </c>
      <c r="J7336" s="10" t="inlineStr">
        <is>
          <t>17/03/2026</t>
        </is>
      </c>
      <c r="K7336" s="10" t="inlineStr">
        <is>
          <t>N/A</t>
        </is>
      </c>
      <c r="L7336" s="10" t="inlineStr">
        <is>
          <t>Chứng từ, Chứng Từ Hàng Xuất Nhập, Freight Forwarder, Tiếng Anh</t>
        </is>
      </c>
      <c r="M7336" s="10" t="inlineStr">
        <is>
          <t>Bonus, Healthcare Plan, Travel Opportunities, Others</t>
        </is>
      </c>
      <c r="N7336" s="11">
        <f>HYPERLINK("https://www.vietnamworks.com/nhan-vien-documentation-chung-tu-2003533-jv","Xem chi tiết")</f>
        <v/>
      </c>
      <c r="O7336" s="10" t="n"/>
    </row>
    <row r="7337">
      <c r="B7337" s="7" t="n">
        <v>7335</v>
      </c>
      <c r="C7337" t="inlineStr">
        <is>
          <t>Nhân Viên Dịch Vụ Khách Hàng</t>
        </is>
      </c>
      <c r="D7337" t="inlineStr">
        <is>
          <t>CÔNG TY CỔ PHẦN QUẢN LÝ ĐẦU TƯ ACD</t>
        </is>
      </c>
      <c r="E7337" t="inlineStr">
        <is>
          <t>500-1,000 ₫/tháng</t>
        </is>
      </c>
      <c r="F7337" t="inlineStr">
        <is>
          <t>Thanh Hóa, Hà Nội, Đà Nẵng</t>
        </is>
      </c>
      <c r="G7337" t="inlineStr">
        <is>
          <t>Nhân viên</t>
        </is>
      </c>
      <c r="H7337" t="inlineStr">
        <is>
          <t>16/01/2026</t>
        </is>
      </c>
      <c r="I7337" t="inlineStr">
        <is>
          <t>04/04/2026</t>
        </is>
      </c>
      <c r="J7337" t="inlineStr">
        <is>
          <t>17/03/2026</t>
        </is>
      </c>
      <c r="K7337" t="inlineStr">
        <is>
          <t>N/A</t>
        </is>
      </c>
      <c r="L7337" t="inlineStr">
        <is>
          <t>Quản Lý Đất Đai, Giải Phóng Mặt Bằng, Bất Động Sản, Dịch Vụ Khách Hàng, Thủ Tục Bất Động Sản</t>
        </is>
      </c>
      <c r="M7337" t="inlineStr">
        <is>
          <t>Bonus, Training, Others</t>
        </is>
      </c>
      <c r="N7337" s="8">
        <f>HYPERLINK("https://www.vietnamworks.com/nhan-vien-dich-vu-khach-hang--2003567-jv","Xem chi tiết")</f>
        <v/>
      </c>
    </row>
    <row r="7338">
      <c r="B7338" s="9" t="n">
        <v>7336</v>
      </c>
      <c r="C7338" s="10" t="inlineStr">
        <is>
          <t>Quản Lý Nhãn Hàng Dược Phẩm (Quản Lý Sản Phẩm)</t>
        </is>
      </c>
      <c r="D7338" s="10" t="inlineStr">
        <is>
          <t>Công Ty Cổ Phần Traphaco</t>
        </is>
      </c>
      <c r="E7338" s="10" t="inlineStr">
        <is>
          <t>Thương lượng</t>
        </is>
      </c>
      <c r="F7338" s="10" t="inlineStr">
        <is>
          <t>Hà Nội</t>
        </is>
      </c>
      <c r="G7338" s="10" t="inlineStr">
        <is>
          <t>Nhân viên</t>
        </is>
      </c>
      <c r="H7338" s="10" t="inlineStr">
        <is>
          <t>04/02/2026</t>
        </is>
      </c>
      <c r="I7338" s="10" t="inlineStr">
        <is>
          <t>04/04/2026</t>
        </is>
      </c>
      <c r="J7338" s="10" t="inlineStr">
        <is>
          <t>17/03/2026</t>
        </is>
      </c>
      <c r="K7338" s="10" t="inlineStr">
        <is>
          <t>N/A</t>
        </is>
      </c>
      <c r="L7338" s="10" t="inlineStr">
        <is>
          <t>Nghiên Cứu Thị Trường, Dược Phẩm, Phát Triển Sản Phẩm, Quản Lý Sản Phẩm, Đào Tạo Nội Bộ</t>
        </is>
      </c>
      <c r="M7338" s="10" t="inlineStr">
        <is>
          <t>Travel Opportunities</t>
        </is>
      </c>
      <c r="N7338" s="11">
        <f>HYPERLINK("https://www.vietnamworks.com/quan-ly-nhan-hang-duoc-pham-quan-ly-san-pham-2009591-jv","Xem chi tiết")</f>
        <v/>
      </c>
      <c r="O7338" s="10" t="n"/>
    </row>
    <row r="7339">
      <c r="B7339" s="7" t="n">
        <v>7337</v>
      </c>
      <c r="C7339" t="inlineStr">
        <is>
          <t>SACOMBANK - CHUYÊN VIÊN NGHIÊN CỨU &amp; PHÁT TRIỂN ĐÀO TẠO - TRUNG TÂM ĐÀO TẠO</t>
        </is>
      </c>
      <c r="D7339" t="inlineStr">
        <is>
          <t>SACOMBANK – NGÂN HÀNG TMCP SÀI GÒN THƯƠNG TÍN</t>
        </is>
      </c>
      <c r="E7339" t="inlineStr">
        <is>
          <t>Thương lượng</t>
        </is>
      </c>
      <c r="F7339" t="inlineStr">
        <is>
          <t>Hồ Chí Minh</t>
        </is>
      </c>
      <c r="G7339" t="inlineStr">
        <is>
          <t>Nhân viên</t>
        </is>
      </c>
      <c r="H7339" t="inlineStr">
        <is>
          <t>16/01/2026</t>
        </is>
      </c>
      <c r="I7339" t="inlineStr">
        <is>
          <t>04/04/2026</t>
        </is>
      </c>
      <c r="J7339" t="inlineStr">
        <is>
          <t>17/03/2026</t>
        </is>
      </c>
      <c r="K7339" t="inlineStr">
        <is>
          <t>N/A</t>
        </is>
      </c>
      <c r="L7339" t="inlineStr">
        <is>
          <t>Kỹ Năng Giảng Dạy, Lập Kế Hoạch Đào Tạo, Quản Trị Nguồn Nhân Lực, Tài Chính Ngân Hàng, Đào tạo &amp; huấn luyện nhân sự</t>
        </is>
      </c>
      <c r="M7339" t="inlineStr">
        <is>
          <t>Bonus, Healthcare Plan, Training, Others</t>
        </is>
      </c>
      <c r="N7339" s="8">
        <f>HYPERLINK("https://www.vietnamworks.com/sacombank-chuyen-vien-nghien-cuu-and-phat-trien-djao-tao-trung-tam-djao-tao-2003203-jv","Xem chi tiết")</f>
        <v/>
      </c>
    </row>
    <row r="7340">
      <c r="B7340" s="9" t="n">
        <v>7338</v>
      </c>
      <c r="C7340" s="10" t="inlineStr">
        <is>
          <t>Quản Trị Nhãn Hàng</t>
        </is>
      </c>
      <c r="D7340" s="10" t="inlineStr">
        <is>
          <t>Công Ty CP XNK Hóa Chất &amp; Thiết Bị Kim Ngưu</t>
        </is>
      </c>
      <c r="E7340" s="10" t="inlineStr">
        <is>
          <t>Thương lượng</t>
        </is>
      </c>
      <c r="F7340" s="10" t="inlineStr">
        <is>
          <t>Hà Nội</t>
        </is>
      </c>
      <c r="G7340" s="10" t="inlineStr">
        <is>
          <t>Trưởng phòng</t>
        </is>
      </c>
      <c r="H7340" s="10" t="inlineStr">
        <is>
          <t>13/01/2026</t>
        </is>
      </c>
      <c r="I7340" s="10" t="inlineStr">
        <is>
          <t>04/04/2026</t>
        </is>
      </c>
      <c r="J7340" s="10" t="inlineStr">
        <is>
          <t>17/03/2026</t>
        </is>
      </c>
      <c r="K7340" s="10" t="inlineStr">
        <is>
          <t>N/A</t>
        </is>
      </c>
      <c r="L7340" s="10" t="inlineStr">
        <is>
          <t>Brand Marketing, FMCG, Quản Lý Hình Ảnh Thương Hiệu, Quản Lý Ngân Sách, Định Vị Thương Hiệu</t>
        </is>
      </c>
      <c r="M7340" s="10" t="inlineStr">
        <is>
          <t>Bonus, Healthcare Plan, Paid Leave, Transportation, Canteen</t>
        </is>
      </c>
      <c r="N7340" s="11">
        <f>HYPERLINK("https://www.vietnamworks.com/quan-tri-nhan-hang-2002252-jv","Xem chi tiết")</f>
        <v/>
      </c>
      <c r="O7340" s="10" t="n"/>
    </row>
    <row r="7341">
      <c r="B7341" s="7" t="n">
        <v>7339</v>
      </c>
      <c r="C7341" t="inlineStr">
        <is>
          <t>Kế Toán Tổng Hợp (Lương 18 Triệu - 25 Triệu)</t>
        </is>
      </c>
      <c r="D7341" t="inlineStr">
        <is>
          <t>CÔNG TY TNHH THƯƠNG MẠI - SẢN XUẤT HUỆ LINH</t>
        </is>
      </c>
      <c r="E7341" t="inlineStr">
        <is>
          <t>18tr-25tr ₫/tháng</t>
        </is>
      </c>
      <c r="F7341" t="inlineStr">
        <is>
          <t>Hồ Chí Minh</t>
        </is>
      </c>
      <c r="G7341" t="inlineStr">
        <is>
          <t>Nhân viên</t>
        </is>
      </c>
      <c r="H7341" t="inlineStr">
        <is>
          <t>16/01/2026</t>
        </is>
      </c>
      <c r="I7341" t="inlineStr">
        <is>
          <t>04/04/2026</t>
        </is>
      </c>
      <c r="J7341" t="inlineStr">
        <is>
          <t>17/03/2026</t>
        </is>
      </c>
      <c r="K7341" t="inlineStr">
        <is>
          <t>N/A</t>
        </is>
      </c>
      <c r="L7341" t="inlineStr">
        <is>
          <t>Báo Cáo Thuế, Kế toán, Tài Chính, Vì tính văn phòng, Xử Lý Vấn Đề</t>
        </is>
      </c>
      <c r="M7341" t="inlineStr">
        <is>
          <t>Bonus, Healthcare Plan, Others</t>
        </is>
      </c>
      <c r="N7341" s="8">
        <f>HYPERLINK("https://www.vietnamworks.com/ke-toan-tong-hop-luong-18-trieu-25-trieu-2003571-jv","Xem chi tiết")</f>
        <v/>
      </c>
    </row>
    <row r="7342">
      <c r="B7342" s="9" t="n">
        <v>7340</v>
      </c>
      <c r="C7342" s="10" t="inlineStr">
        <is>
          <t>Hành Chính Nhân Sự Tổng Quát</t>
        </is>
      </c>
      <c r="D7342" s="10" t="inlineStr">
        <is>
          <t>CÔNG TY TNHH THƯƠNG MẠI - SẢN XUẤT HUỆ LINH</t>
        </is>
      </c>
      <c r="E7342" s="10" t="inlineStr">
        <is>
          <t>Thương lượng</t>
        </is>
      </c>
      <c r="F7342" s="10" t="inlineStr">
        <is>
          <t>Hồ Chí Minh</t>
        </is>
      </c>
      <c r="G7342" s="10" t="inlineStr">
        <is>
          <t>Nhân viên</t>
        </is>
      </c>
      <c r="H7342" s="10" t="inlineStr">
        <is>
          <t>16/01/2026</t>
        </is>
      </c>
      <c r="I7342" s="10" t="inlineStr">
        <is>
          <t>04/04/2026</t>
        </is>
      </c>
      <c r="J7342" s="10" t="inlineStr">
        <is>
          <t>17/03/2026</t>
        </is>
      </c>
      <c r="K7342" s="10" t="inlineStr">
        <is>
          <t>N/A</t>
        </is>
      </c>
      <c r="L7342" s="10" t="inlineStr">
        <is>
          <t>Quản Lý Hồ Sơ, Đào Tạo Nhân Sự, Luật Lao Động, Compensation &amp; Benefits, Hành Chính Nhân Sự</t>
        </is>
      </c>
      <c r="M7342" s="10" t="inlineStr">
        <is>
          <t>Bonus, Healthcare Plan, Others</t>
        </is>
      </c>
      <c r="N7342" s="11">
        <f>HYPERLINK("https://www.vietnamworks.com/hanh-chinh-nhan-su-tong-quat-2003562-jv","Xem chi tiết")</f>
        <v/>
      </c>
      <c r="O7342" s="10" t="n"/>
    </row>
    <row r="7343">
      <c r="B7343" s="7" t="n">
        <v>7341</v>
      </c>
      <c r="C7343" t="inlineStr">
        <is>
          <t>Tuyển Gấp Kế Toán Tổng Hợp</t>
        </is>
      </c>
      <c r="D7343" t="inlineStr">
        <is>
          <t>Công ty TNHH Đầu Tư NSH</t>
        </is>
      </c>
      <c r="E7343" t="inlineStr">
        <is>
          <t>Từ 14tr ₫/tháng</t>
        </is>
      </c>
      <c r="F7343" t="inlineStr">
        <is>
          <t>Hà Nội</t>
        </is>
      </c>
      <c r="G7343" t="inlineStr">
        <is>
          <t>Nhân viên</t>
        </is>
      </c>
      <c r="H7343" t="inlineStr">
        <is>
          <t>25/02/2026</t>
        </is>
      </c>
      <c r="I7343" t="inlineStr">
        <is>
          <t>04/04/2026</t>
        </is>
      </c>
      <c r="J7343" t="inlineStr">
        <is>
          <t>17/03/2026</t>
        </is>
      </c>
      <c r="K7343" t="inlineStr">
        <is>
          <t>N/A</t>
        </is>
      </c>
      <c r="L7343" t="inlineStr">
        <is>
          <t>Hạch Toán, Kế Toán Tổng Hợp, Lập Báo Cáo Tài Chính, Phần Mềm Kế Toán, Theo Dõi Công Nợ</t>
        </is>
      </c>
      <c r="M7343" t="inlineStr">
        <is>
          <t>Healthcare Plan, Others</t>
        </is>
      </c>
      <c r="N7343" s="8">
        <f>HYPERLINK("https://www.vietnamworks.com/tuyen-gap-ke-toan-tong-hop--2013591-jv","Xem chi tiết")</f>
        <v/>
      </c>
    </row>
    <row r="7344">
      <c r="B7344" s="9" t="n">
        <v>7342</v>
      </c>
      <c r="C7344" s="10" t="inlineStr">
        <is>
          <t>Sales Consultant</t>
        </is>
      </c>
      <c r="D7344" s="10" t="inlineStr">
        <is>
          <t>Uhomes.com Việt Nam</t>
        </is>
      </c>
      <c r="E7344" s="10" t="inlineStr">
        <is>
          <t>$$ 500-1,500 /tháng</t>
        </is>
      </c>
      <c r="F7344" s="10" t="inlineStr">
        <is>
          <t>Hà Nội</t>
        </is>
      </c>
      <c r="G7344" s="10" t="inlineStr">
        <is>
          <t>Nhân viên</t>
        </is>
      </c>
      <c r="H7344" s="10" t="inlineStr">
        <is>
          <t>18/02/2026</t>
        </is>
      </c>
      <c r="I7344" s="10" t="inlineStr">
        <is>
          <t>04/04/2026</t>
        </is>
      </c>
      <c r="J7344" s="10" t="inlineStr">
        <is>
          <t>17/03/2026</t>
        </is>
      </c>
      <c r="K7344" s="10" t="inlineStr">
        <is>
          <t>N/A</t>
        </is>
      </c>
      <c r="L7344" s="10" t="inlineStr">
        <is>
          <t>Consulting, Strategic Planning, English, Sales Strategy, Customer Service</t>
        </is>
      </c>
      <c r="M7344" s="10" t="inlineStr">
        <is>
          <t>Bonus, Team Activities, Others</t>
        </is>
      </c>
      <c r="N7344" s="11">
        <f>HYPERLINK("https://www.vietnamworks.com/sales-consultant--2012169-jv","Xem chi tiết")</f>
        <v/>
      </c>
      <c r="O7344" s="10" t="n"/>
    </row>
    <row r="7345">
      <c r="B7345" s="7" t="n">
        <v>7343</v>
      </c>
      <c r="C7345" t="inlineStr">
        <is>
          <t>Trưởng Phòng Hành Chính Nhân Sự</t>
        </is>
      </c>
      <c r="D7345" t="inlineStr">
        <is>
          <t>Công Ty TNHH Thanh An</t>
        </is>
      </c>
      <c r="E7345" t="inlineStr">
        <is>
          <t>Từ 40tr ₫/tháng</t>
        </is>
      </c>
      <c r="F7345" t="inlineStr">
        <is>
          <t>Hà Nội</t>
        </is>
      </c>
      <c r="G7345" t="inlineStr">
        <is>
          <t>Trưởng phòng</t>
        </is>
      </c>
      <c r="H7345" t="inlineStr">
        <is>
          <t>18/02/2026</t>
        </is>
      </c>
      <c r="I7345" t="inlineStr">
        <is>
          <t>04/04/2026</t>
        </is>
      </c>
      <c r="J7345" t="inlineStr">
        <is>
          <t>17/03/2026</t>
        </is>
      </c>
      <c r="K7345" t="inlineStr">
        <is>
          <t>N/A</t>
        </is>
      </c>
      <c r="L7345" t="inlineStr">
        <is>
          <t>Tuyển Dụng, Đào Tạo, FMCG, Nhân Sự, Quản Trị Nhân Lực</t>
        </is>
      </c>
      <c r="M7345" t="inlineStr">
        <is>
          <t>Bonus, Healthcare Plan, Paid Leave, Others</t>
        </is>
      </c>
      <c r="N7345" s="8">
        <f>HYPERLINK("https://www.vietnamworks.com/truong-phong-hanh-chinh-nhan-su--2012166-jv","Xem chi tiết")</f>
        <v/>
      </c>
    </row>
    <row r="7346">
      <c r="B7346" s="9" t="n">
        <v>7344</v>
      </c>
      <c r="C7346" s="10" t="inlineStr">
        <is>
          <t>Trưởng Phòng Kinh Doanh Bất Động Sản</t>
        </is>
      </c>
      <c r="D7346" s="10" t="inlineStr">
        <is>
          <t>Công Ty Cổ Phần Tập Đoàn Sunshine</t>
        </is>
      </c>
      <c r="E7346" s="10" t="inlineStr">
        <is>
          <t>25tr-30tr ₫/tháng</t>
        </is>
      </c>
      <c r="F7346" s="10" t="inlineStr">
        <is>
          <t>Hà Nội</t>
        </is>
      </c>
      <c r="G7346" s="10" t="inlineStr">
        <is>
          <t>Trưởng phòng</t>
        </is>
      </c>
      <c r="H7346" s="10" t="inlineStr">
        <is>
          <t>28/02/2026</t>
        </is>
      </c>
      <c r="I7346" s="10" t="inlineStr">
        <is>
          <t>04/04/2026</t>
        </is>
      </c>
      <c r="J7346" s="10" t="inlineStr">
        <is>
          <t>17/03/2026</t>
        </is>
      </c>
      <c r="K7346" s="10" t="inlineStr">
        <is>
          <t>N/A</t>
        </is>
      </c>
      <c r="L7346" s="10" t="inlineStr">
        <is>
          <t>Bất Động Sản, Quản lý đội - nhóm, Đàm Phán, Phát Triển Khách Hàng, Kinh Doanh</t>
        </is>
      </c>
      <c r="M7346" s="10" t="inlineStr">
        <is>
          <t>Bonus, Healthcare Plan, Team Activities, Canteen, Others</t>
        </is>
      </c>
      <c r="N7346" s="11">
        <f>HYPERLINK("https://www.vietnamworks.com/truong-phong-kinh-doanh-bat-djong-san-2016199-jv","Xem chi tiết")</f>
        <v/>
      </c>
      <c r="O7346" s="10" t="n"/>
    </row>
    <row r="7347">
      <c r="B7347" s="7" t="n">
        <v>7345</v>
      </c>
      <c r="C7347" t="inlineStr">
        <is>
          <t>Kế Toán Nội Bộ</t>
        </is>
      </c>
      <c r="D7347" t="inlineStr">
        <is>
          <t>Công Ty TNHH Nguồn Nhân Lực SK Việt Nam</t>
        </is>
      </c>
      <c r="E7347" t="inlineStr">
        <is>
          <t>Thương lượng</t>
        </is>
      </c>
      <c r="F7347" t="inlineStr">
        <is>
          <t>Hải Dương</t>
        </is>
      </c>
      <c r="G7347" t="inlineStr">
        <is>
          <t>Nhân viên</t>
        </is>
      </c>
      <c r="H7347" t="inlineStr">
        <is>
          <t>03/03/2026</t>
        </is>
      </c>
      <c r="I7347" t="inlineStr">
        <is>
          <t>04/04/2026</t>
        </is>
      </c>
      <c r="J7347" t="inlineStr">
        <is>
          <t>17/03/2026</t>
        </is>
      </c>
      <c r="K7347" t="inlineStr">
        <is>
          <t>N/A</t>
        </is>
      </c>
      <c r="L7347" t="inlineStr">
        <is>
          <t>Tài Chính Kế Toán, Tài Chính, Kế Toán, Kiểm toán</t>
        </is>
      </c>
      <c r="M7347" t="inlineStr">
        <is>
          <t>Bonus, Paid Leave, Travel Opportunities</t>
        </is>
      </c>
      <c r="N7347" s="8">
        <f>HYPERLINK("https://www.vietnamworks.com/ke-toan-noi-bo--2017483-jv","Xem chi tiết")</f>
        <v/>
      </c>
    </row>
    <row r="7348">
      <c r="B7348" s="9" t="n">
        <v>7346</v>
      </c>
      <c r="C7348" s="10" t="inlineStr">
        <is>
          <t>Kế Toán Trưởng - Lương 35Tr-60Tr - Đi Làm Ngay</t>
        </is>
      </c>
      <c r="D7348" s="10" t="inlineStr">
        <is>
          <t>CÔNG TY CỔ PHẦN AMYA HOLDINGS</t>
        </is>
      </c>
      <c r="E7348" s="10" t="inlineStr">
        <is>
          <t>35tr-60tr ₫/tháng</t>
        </is>
      </c>
      <c r="F7348" s="10" t="inlineStr">
        <is>
          <t>Quốc tế</t>
        </is>
      </c>
      <c r="G7348" s="10" t="inlineStr">
        <is>
          <t>Trưởng phòng</t>
        </is>
      </c>
      <c r="H7348" s="10" t="inlineStr">
        <is>
          <t>03/03/2026</t>
        </is>
      </c>
      <c r="I7348" s="10" t="inlineStr">
        <is>
          <t>04/04/2026</t>
        </is>
      </c>
      <c r="J7348" s="10" t="inlineStr">
        <is>
          <t>17/03/2026</t>
        </is>
      </c>
      <c r="K7348" s="10" t="inlineStr">
        <is>
          <t>N/A</t>
        </is>
      </c>
      <c r="L7348" s="10" t="inlineStr">
        <is>
          <t>Kế Toán, Tài Chính, Giao Tiếp, Thanh Quyết Toán, Quản Lý</t>
        </is>
      </c>
      <c r="M7348" s="10" t="inlineStr">
        <is>
          <t>Bonus, Healthcare Plan, Awards, Canteen, Others</t>
        </is>
      </c>
      <c r="N7348" s="11">
        <f>HYPERLINK("https://www.vietnamworks.com/ke-toan-truong-luong-35tr-60tr-dji-lam-ngay-2017541-jv","Xem chi tiết")</f>
        <v/>
      </c>
      <c r="O7348" s="10" t="n"/>
    </row>
    <row r="7349">
      <c r="B7349" s="7" t="n">
        <v>7347</v>
      </c>
      <c r="C7349" t="inlineStr">
        <is>
          <t>Chuyên Viên Chất Lượng (May Mặc) - Quality (QA/QC)</t>
        </is>
      </c>
      <c r="D7349" t="inlineStr">
        <is>
          <t>Linea Aqua Vietnam Company Limited (Lavn)</t>
        </is>
      </c>
      <c r="E7349" t="inlineStr">
        <is>
          <t>Thương lượng</t>
        </is>
      </c>
      <c r="F7349" t="inlineStr">
        <is>
          <t>Hải Dương, Hà Nội, Hưng Yên</t>
        </is>
      </c>
      <c r="G7349" t="inlineStr">
        <is>
          <t>Nhân viên</t>
        </is>
      </c>
      <c r="H7349" t="inlineStr">
        <is>
          <t>13/02/2026</t>
        </is>
      </c>
      <c r="I7349" t="inlineStr">
        <is>
          <t>04/04/2026</t>
        </is>
      </c>
      <c r="J7349" t="inlineStr">
        <is>
          <t>17/03/2026</t>
        </is>
      </c>
      <c r="K7349" t="inlineStr">
        <is>
          <t>N/A</t>
        </is>
      </c>
      <c r="L7349" t="inlineStr">
        <is>
          <t>English, Communication, Problem Solving, Quality Standards</t>
        </is>
      </c>
      <c r="M7349" t="inlineStr">
        <is>
          <t>Bonus, Healthcare Plan, Transportation</t>
        </is>
      </c>
      <c r="N7349" s="8">
        <f>HYPERLINK("https://www.vietnamworks.com/chuyen-vien-chat-luong-may-mac-quality-qa-qc--2011945-jv","Xem chi tiết")</f>
        <v/>
      </c>
    </row>
    <row r="7350">
      <c r="B7350" s="9" t="n">
        <v>7348</v>
      </c>
      <c r="C7350" s="10" t="inlineStr">
        <is>
          <t>Virtual Assistant</t>
        </is>
      </c>
      <c r="D7350" s="10" t="inlineStr">
        <is>
          <t>Circa Domini International Inc.</t>
        </is>
      </c>
      <c r="E7350" s="10" t="inlineStr">
        <is>
          <t>$$ 300-500 /tháng</t>
        </is>
      </c>
      <c r="F7350" s="10" t="inlineStr">
        <is>
          <t>Hồ Chí Minh</t>
        </is>
      </c>
      <c r="G7350" s="10" t="inlineStr">
        <is>
          <t>Nhân viên</t>
        </is>
      </c>
      <c r="H7350" s="10" t="inlineStr">
        <is>
          <t>17/02/2026</t>
        </is>
      </c>
      <c r="I7350" s="10" t="inlineStr">
        <is>
          <t>04/04/2026</t>
        </is>
      </c>
      <c r="J7350" s="10" t="inlineStr">
        <is>
          <t>17/03/2026</t>
        </is>
      </c>
      <c r="K7350" s="10" t="inlineStr">
        <is>
          <t>N/A</t>
        </is>
      </c>
      <c r="L7350" s="10" t="inlineStr">
        <is>
          <t>Bookkeeping, Financial Statement, Customer Service Knowledge, Business English</t>
        </is>
      </c>
      <c r="M7350" s="10" t="inlineStr">
        <is>
          <t>Bonus, Paid Leave, Training</t>
        </is>
      </c>
      <c r="N7350" s="11">
        <f>HYPERLINK("https://www.vietnamworks.com/virtual-assistant--2012163-jv","Xem chi tiết")</f>
        <v/>
      </c>
      <c r="O7350" s="10" t="n"/>
    </row>
    <row r="7351">
      <c r="B7351" s="7" t="n">
        <v>7349</v>
      </c>
      <c r="C7351" t="inlineStr">
        <is>
          <t>Kỹ Sư Giải Pháp (Pre-Sales Engineer)</t>
        </is>
      </c>
      <c r="D7351" t="inlineStr">
        <is>
          <t>Công Ty Cổ Phần Kỹ Thuật Gia Huy</t>
        </is>
      </c>
      <c r="E7351" t="inlineStr">
        <is>
          <t>Thương lượng</t>
        </is>
      </c>
      <c r="F7351" t="inlineStr">
        <is>
          <t>Hồ Chí Minh</t>
        </is>
      </c>
      <c r="G7351" t="inlineStr">
        <is>
          <t>Nhân viên</t>
        </is>
      </c>
      <c r="H7351" t="inlineStr">
        <is>
          <t>03/03/2026</t>
        </is>
      </c>
      <c r="I7351" t="inlineStr">
        <is>
          <t>04/04/2026</t>
        </is>
      </c>
      <c r="J7351" t="inlineStr">
        <is>
          <t>17/03/2026</t>
        </is>
      </c>
      <c r="K7351" t="inlineStr">
        <is>
          <t>N/A</t>
        </is>
      </c>
      <c r="L7351" t="inlineStr">
        <is>
          <t>Tự Động Hóa, Cơ Điện Tử, Điện Công Nghiệp, Kỹ Sư Tự Động Hóa</t>
        </is>
      </c>
      <c r="M7351" t="inlineStr">
        <is>
          <t>Bonus</t>
        </is>
      </c>
      <c r="N7351" s="8">
        <f>HYPERLINK("https://www.vietnamworks.com/ky-su-giai-phap-pre-sales-engineer--2017610-jv","Xem chi tiết")</f>
        <v/>
      </c>
    </row>
    <row r="7352">
      <c r="B7352" s="9" t="n">
        <v>7350</v>
      </c>
      <c r="C7352" s="10" t="inlineStr">
        <is>
          <t>Kỹ Sư Bán Hàng (Field Service Sales)</t>
        </is>
      </c>
      <c r="D7352" s="10" t="inlineStr">
        <is>
          <t>Công Ty Cổ Phần Kỹ Thuật Gia Huy</t>
        </is>
      </c>
      <c r="E7352" s="10" t="inlineStr">
        <is>
          <t>Thương lượng</t>
        </is>
      </c>
      <c r="F7352" s="10" t="inlineStr">
        <is>
          <t>Hồ Chí Minh</t>
        </is>
      </c>
      <c r="G7352" s="10" t="inlineStr">
        <is>
          <t>Nhân viên</t>
        </is>
      </c>
      <c r="H7352" s="10" t="inlineStr">
        <is>
          <t>03/03/2026</t>
        </is>
      </c>
      <c r="I7352" s="10" t="inlineStr">
        <is>
          <t>04/04/2026</t>
        </is>
      </c>
      <c r="J7352" s="10" t="inlineStr">
        <is>
          <t>17/03/2026</t>
        </is>
      </c>
      <c r="K7352" s="10" t="inlineStr">
        <is>
          <t>N/A</t>
        </is>
      </c>
      <c r="L7352" s="10" t="inlineStr">
        <is>
          <t>Điện, điều khiển, tự động hóa, Cơ Điện Tử, Điện Tử Viễn Thông</t>
        </is>
      </c>
      <c r="M7352" s="10" t="inlineStr">
        <is>
          <t>Bonus</t>
        </is>
      </c>
      <c r="N7352" s="11">
        <f>HYPERLINK("https://www.vietnamworks.com/ky-su-ban-hang-field-service-sales-2017551-jv","Xem chi tiết")</f>
        <v/>
      </c>
      <c r="O7352" s="10" t="n"/>
    </row>
    <row r="7353">
      <c r="B7353" s="7" t="n">
        <v>7351</v>
      </c>
      <c r="C7353" t="inlineStr">
        <is>
          <t>AI Literacy Instructor</t>
        </is>
      </c>
      <c r="D7353" t="inlineStr">
        <is>
          <t>Best HR Solution</t>
        </is>
      </c>
      <c r="E7353" t="inlineStr">
        <is>
          <t>Thương lượng</t>
        </is>
      </c>
      <c r="F7353" t="inlineStr">
        <is>
          <t>Hồ Chí Minh</t>
        </is>
      </c>
      <c r="G7353" t="inlineStr">
        <is>
          <t>Nhân viên</t>
        </is>
      </c>
      <c r="H7353" t="inlineStr">
        <is>
          <t>04/03/2026</t>
        </is>
      </c>
      <c r="I7353" t="inlineStr">
        <is>
          <t>04/04/2026</t>
        </is>
      </c>
      <c r="J7353" t="inlineStr">
        <is>
          <t>17/03/2026</t>
        </is>
      </c>
      <c r="K7353" t="inlineStr">
        <is>
          <t>N/A</t>
        </is>
      </c>
      <c r="L7353" t="inlineStr">
        <is>
          <t>AI Implementation, Curriculum Development, English, LLMs, Mentoring</t>
        </is>
      </c>
      <c r="M7353" t="inlineStr">
        <is>
          <t>Bonus, Training, Others</t>
        </is>
      </c>
      <c r="N7353" s="8">
        <f>HYPERLINK("https://www.vietnamworks.com/ai-literacy-instructor-2018168-jv","Xem chi tiết")</f>
        <v/>
      </c>
    </row>
    <row r="7354">
      <c r="B7354" s="9" t="n">
        <v>7352</v>
      </c>
      <c r="C7354" s="10" t="inlineStr">
        <is>
          <t>Nhân Viên Kỹ Thuật Xây Dựng - Thanh Quyết Toán Hồ Sơ (Mức Lương 25 Triệu / Tháng)</t>
        </is>
      </c>
      <c r="D7354" s="10" t="inlineStr">
        <is>
          <t>Công Ty TNHH Cơ Khí Xây Dựng Và Thương Mại Vạn Phong</t>
        </is>
      </c>
      <c r="E7354" s="10" t="inlineStr">
        <is>
          <t>Tới 25tr ₫/tháng</t>
        </is>
      </c>
      <c r="F7354" s="10" t="inlineStr">
        <is>
          <t>Hà Nội</t>
        </is>
      </c>
      <c r="G7354" s="10" t="inlineStr">
        <is>
          <t>Nhân viên</t>
        </is>
      </c>
      <c r="H7354" s="10" t="inlineStr">
        <is>
          <t>04/03/2026</t>
        </is>
      </c>
      <c r="I7354" s="10" t="inlineStr">
        <is>
          <t>04/04/2026</t>
        </is>
      </c>
      <c r="J7354" s="10" t="inlineStr">
        <is>
          <t>17/03/2026</t>
        </is>
      </c>
      <c r="K7354" s="10" t="inlineStr">
        <is>
          <t>N/A</t>
        </is>
      </c>
      <c r="L7354" s="10" t="inlineStr">
        <is>
          <t>Autocad, Communication, Problem Solving, Construction Technical, project cost control</t>
        </is>
      </c>
      <c r="M7354" s="10" t="inlineStr">
        <is>
          <t>Bonus, Training, Others</t>
        </is>
      </c>
      <c r="N7354" s="11">
        <f>HYPERLINK("https://www.vietnamworks.com/nhan-vien-ky-thuat-xay-dung-thanh-quyet-toan-ho-so-muc-luong-25-trieu-thang-2018003-jv","Xem chi tiết")</f>
        <v/>
      </c>
      <c r="O7354" s="10" t="n"/>
    </row>
    <row r="7355">
      <c r="B7355" s="7" t="n">
        <v>7353</v>
      </c>
      <c r="C7355" t="inlineStr">
        <is>
          <t>Giám Đốc Marketing</t>
        </is>
      </c>
      <c r="D7355" t="inlineStr">
        <is>
          <t>CÔNG TY CỔ PHẦN BỆNH VIỆN MẮT ÁNH SÁNG</t>
        </is>
      </c>
      <c r="E7355" t="inlineStr">
        <is>
          <t>Thương lượng</t>
        </is>
      </c>
      <c r="F7355" t="inlineStr">
        <is>
          <t>Hà Nội</t>
        </is>
      </c>
      <c r="G7355" t="inlineStr">
        <is>
          <t>Giám Đốc và Cấp Cao Hơn</t>
        </is>
      </c>
      <c r="H7355" t="inlineStr">
        <is>
          <t>04/03/2026</t>
        </is>
      </c>
      <c r="I7355" t="inlineStr">
        <is>
          <t>04/04/2026</t>
        </is>
      </c>
      <c r="J7355" t="inlineStr">
        <is>
          <t>17/03/2026</t>
        </is>
      </c>
      <c r="K7355" t="inlineStr">
        <is>
          <t>N/A</t>
        </is>
      </c>
      <c r="L7355" t="inlineStr">
        <is>
          <t>Marketing, Quản Trị Kinh Doanh, Lập Kế Hoạch, Quản Lý Thương Hiệu, Quản Lý Ngân Sách</t>
        </is>
      </c>
      <c r="M7355" t="inlineStr">
        <is>
          <t>Bonus, Healthcare Plan, Others</t>
        </is>
      </c>
      <c r="N7355" s="8">
        <f>HYPERLINK("https://www.vietnamworks.com/giam-doc-marketing--2018248-jv","Xem chi tiết")</f>
        <v/>
      </c>
    </row>
    <row r="7356">
      <c r="B7356" s="9" t="n">
        <v>7354</v>
      </c>
      <c r="C7356" s="10" t="inlineStr">
        <is>
          <t>TRƯỞNG PHÒNG MUA HÀNG (1500 - 2500 USD)</t>
        </is>
      </c>
      <c r="D7356" s="10" t="inlineStr">
        <is>
          <t>Công Ty Cổ Phần Nhựa Á Đông (Adc Plastic., Jsc)</t>
        </is>
      </c>
      <c r="E7356" s="10" t="inlineStr">
        <is>
          <t>$$ 1,500-2,500 /tháng</t>
        </is>
      </c>
      <c r="F7356" s="10" t="inlineStr">
        <is>
          <t>Hà Nội, Hưng Yên</t>
        </is>
      </c>
      <c r="G7356" s="10" t="inlineStr">
        <is>
          <t>Trưởng phòng</t>
        </is>
      </c>
      <c r="H7356" s="10" t="inlineStr">
        <is>
          <t>24/02/2026</t>
        </is>
      </c>
      <c r="I7356" s="10" t="inlineStr">
        <is>
          <t>04/04/2026</t>
        </is>
      </c>
      <c r="J7356" s="10" t="inlineStr">
        <is>
          <t>17/03/2026</t>
        </is>
      </c>
      <c r="K7356" s="10" t="inlineStr">
        <is>
          <t>N/A</t>
        </is>
      </c>
      <c r="L7356" s="10" t="inlineStr">
        <is>
          <t>Mua hàng &amp; logistics, Mua hàng &amp; Tìm nguồn cung ứng, Mua Hàng Ngành Nhựa, Mua Hàng Nhập Khẩu, Mua Hàng Nước Ngoài</t>
        </is>
      </c>
      <c r="M7356" s="10" t="inlineStr">
        <is>
          <t>Others</t>
        </is>
      </c>
      <c r="N7356" s="11">
        <f>HYPERLINK("https://www.vietnamworks.com/truong-phong-mua-hang-1500-2500-usd-2013338-jv","Xem chi tiết")</f>
        <v/>
      </c>
      <c r="O7356" s="10" t="n"/>
    </row>
    <row r="7357">
      <c r="B7357" s="7" t="n">
        <v>7355</v>
      </c>
      <c r="C7357" t="inlineStr">
        <is>
          <t>Smart Logistics Application Expert (Working in Hai Phong)</t>
        </is>
      </c>
      <c r="D7357" t="inlineStr">
        <is>
          <t>VINFAST TRADING AND PRODUCTION JSC</t>
        </is>
      </c>
      <c r="E7357" t="inlineStr">
        <is>
          <t>Thương lượng</t>
        </is>
      </c>
      <c r="F7357" t="inlineStr">
        <is>
          <t>Hải Phòng</t>
        </is>
      </c>
      <c r="G7357" t="inlineStr">
        <is>
          <t>Trưởng phòng</t>
        </is>
      </c>
      <c r="H7357" t="inlineStr">
        <is>
          <t>18/02/2026</t>
        </is>
      </c>
      <c r="I7357" t="inlineStr">
        <is>
          <t>04/04/2026</t>
        </is>
      </c>
      <c r="J7357" t="inlineStr">
        <is>
          <t>17/03/2026</t>
        </is>
      </c>
      <c r="K7357" t="inlineStr">
        <is>
          <t>N/A</t>
        </is>
      </c>
      <c r="L7357" t="inlineStr">
        <is>
          <t>Material Flow Control, Material Planning, Material Control, AGVs Design, Agv Systems</t>
        </is>
      </c>
      <c r="M7357" t="inlineStr">
        <is>
          <t>Bonus, Healthcare Plan, Others</t>
        </is>
      </c>
      <c r="N7357" s="8">
        <f>HYPERLINK("https://www.vietnamworks.com/smart-logistics-application-expert-working-in-hai-phong--2012178-jv","Xem chi tiết")</f>
        <v/>
      </c>
    </row>
    <row r="7358">
      <c r="B7358" s="9" t="n">
        <v>7356</v>
      </c>
      <c r="C7358" s="10" t="inlineStr">
        <is>
          <t>Nhân Viên Kinh Doanh Điện Máy (Thu Nhập Lên Tới 35 Triệu)</t>
        </is>
      </c>
      <c r="D7358" s="10" t="inlineStr">
        <is>
          <t>Công Ty TNHH TM XNK Việt Hàn</t>
        </is>
      </c>
      <c r="E7358" s="10" t="inlineStr">
        <is>
          <t>$$ 500-1,000 /tháng</t>
        </is>
      </c>
      <c r="F7358" s="10" t="inlineStr">
        <is>
          <t>Hà Nội</t>
        </is>
      </c>
      <c r="G7358" s="10" t="inlineStr">
        <is>
          <t>Nhân viên</t>
        </is>
      </c>
      <c r="H7358" s="10" t="inlineStr">
        <is>
          <t>24/02/2026</t>
        </is>
      </c>
      <c r="I7358" s="10" t="inlineStr">
        <is>
          <t>04/04/2026</t>
        </is>
      </c>
      <c r="J7358" s="10" t="inlineStr">
        <is>
          <t>17/03/2026</t>
        </is>
      </c>
      <c r="K7358" s="10" t="inlineStr">
        <is>
          <t>N/A</t>
        </is>
      </c>
      <c r="L7358" s="10" t="inlineStr">
        <is>
          <t>Tìm Kiếm Khách Hàng, Kinh Doanh, Chăm Sóc Khách Hàng, Business Development, Bán Hàng</t>
        </is>
      </c>
      <c r="M7358" s="10" t="inlineStr">
        <is>
          <t>Bonus, Paid Leave, Travel Opportunities</t>
        </is>
      </c>
      <c r="N7358" s="11">
        <f>HYPERLINK("https://www.vietnamworks.com/nhan-vien-kinh-doanh-dien-may-thu-nhap-len-toi-35-trieu-2013321-jv","Xem chi tiết")</f>
        <v/>
      </c>
      <c r="O7358" s="10" t="n"/>
    </row>
    <row r="7359">
      <c r="B7359" s="7" t="n">
        <v>7357</v>
      </c>
      <c r="C7359" t="inlineStr">
        <is>
          <t>Chuyên Viên Kinh Doanh Và Triển Khai Sản Phẩm (Không Yêu Cầu Kinh Nghiệm - Thu Nhập Không Giới Hạn)</t>
        </is>
      </c>
      <c r="D7359" t="inlineStr">
        <is>
          <t>Công Ty Cổ Phần Giải Pháp Và Dịch Vụ Hợp Lực</t>
        </is>
      </c>
      <c r="E7359" t="inlineStr">
        <is>
          <t>10tr-20tr ₫/tháng</t>
        </is>
      </c>
      <c r="F7359" t="inlineStr">
        <is>
          <t>Hồ Chí Minh, Hà Nội, Đà Nẵng</t>
        </is>
      </c>
      <c r="G7359" t="inlineStr">
        <is>
          <t>Nhân viên</t>
        </is>
      </c>
      <c r="H7359" t="inlineStr">
        <is>
          <t>04/03/2026</t>
        </is>
      </c>
      <c r="I7359" t="inlineStr">
        <is>
          <t>04/04/2026</t>
        </is>
      </c>
      <c r="J7359" t="inlineStr">
        <is>
          <t>17/03/2026</t>
        </is>
      </c>
      <c r="K7359" t="inlineStr">
        <is>
          <t>N/A</t>
        </is>
      </c>
      <c r="L7359" t="inlineStr">
        <is>
          <t>Kinh Doanh, Bán Hàng Kỹ Thuật, Dịch Vụ Y Tế, Thiết Bị Y Tế, Chăm Sóc Sức Khỏe</t>
        </is>
      </c>
      <c r="M7359" t="inlineStr">
        <is>
          <t>Bonus, Healthcare Plan, Training, Awards, Travel Opportunities</t>
        </is>
      </c>
      <c r="N7359" s="8">
        <f>HYPERLINK("https://www.vietnamworks.com/chuyen-vien-kinh-doanh-va-trien-khai-san-pham-khong-yeu-cau-kinh-nghiem-thu-nhap-khong-gioi-han-2018375-jv","Xem chi tiết")</f>
        <v/>
      </c>
    </row>
    <row r="7360">
      <c r="B7360" s="9" t="n">
        <v>7358</v>
      </c>
      <c r="C7360" s="10" t="inlineStr">
        <is>
          <t>Chuyên Viên Truyền Thông</t>
        </is>
      </c>
      <c r="D7360" s="10" t="inlineStr">
        <is>
          <t>Công Ty Cổ Phần Dược Phẩm SaVi</t>
        </is>
      </c>
      <c r="E7360" s="10" t="inlineStr">
        <is>
          <t>Thương lượng</t>
        </is>
      </c>
      <c r="F7360" s="10" t="inlineStr">
        <is>
          <t>Hồ Chí Minh</t>
        </is>
      </c>
      <c r="G7360" s="10" t="inlineStr">
        <is>
          <t>Nhân viên</t>
        </is>
      </c>
      <c r="H7360" s="10" t="inlineStr">
        <is>
          <t>04/03/2026</t>
        </is>
      </c>
      <c r="I7360" s="10" t="inlineStr">
        <is>
          <t>04/04/2026</t>
        </is>
      </c>
      <c r="J7360" s="10" t="inlineStr">
        <is>
          <t>17/03/2026</t>
        </is>
      </c>
      <c r="K7360" s="10" t="inlineStr">
        <is>
          <t>N/A</t>
        </is>
      </c>
      <c r="L7360" s="10" t="inlineStr">
        <is>
          <t>Truyền Thông, Digital Marketing, Branding, Communication Strategy, Employer Branding</t>
        </is>
      </c>
      <c r="M7360" s="10" t="inlineStr">
        <is>
          <t>Bonus, Healthcare Plan, Training</t>
        </is>
      </c>
      <c r="N7360" s="11">
        <f>HYPERLINK("https://www.vietnamworks.com/chuyen-vien-truyen-thong--2018318-jv","Xem chi tiết")</f>
        <v/>
      </c>
      <c r="O7360" s="10" t="n"/>
    </row>
    <row r="7361">
      <c r="B7361" s="7" t="n">
        <v>7359</v>
      </c>
      <c r="C7361" t="inlineStr">
        <is>
          <t>Full-Time Lecturers</t>
        </is>
      </c>
      <c r="D7361" t="inlineStr">
        <is>
          <t>Western Sydney University Vietnam campus</t>
        </is>
      </c>
      <c r="E7361" t="inlineStr">
        <is>
          <t>Thương lượng</t>
        </is>
      </c>
      <c r="F7361" t="inlineStr">
        <is>
          <t>Hồ Chí Minh</t>
        </is>
      </c>
      <c r="G7361" t="inlineStr">
        <is>
          <t>Nhân viên</t>
        </is>
      </c>
      <c r="H7361" t="inlineStr">
        <is>
          <t>04/03/2026</t>
        </is>
      </c>
      <c r="I7361" t="inlineStr">
        <is>
          <t>04/04/2026</t>
        </is>
      </c>
      <c r="J7361" t="inlineStr">
        <is>
          <t>17/03/2026</t>
        </is>
      </c>
      <c r="K7361" t="inlineStr">
        <is>
          <t>N/A</t>
        </is>
      </c>
      <c r="L7361" t="inlineStr">
        <is>
          <t>Research, Teaching Methodology, Education, Giảng Dạy</t>
        </is>
      </c>
      <c r="M7361" t="inlineStr">
        <is>
          <t>Bonus, Healthcare Plan, Others</t>
        </is>
      </c>
      <c r="N7361" s="8">
        <f>HYPERLINK("https://www.vietnamworks.com/full-time-lecturers--2018354-jv","Xem chi tiết")</f>
        <v/>
      </c>
    </row>
    <row r="7362">
      <c r="B7362" s="9" t="n">
        <v>7360</v>
      </c>
      <c r="C7362" s="10" t="inlineStr">
        <is>
          <t>Chuyên Viên Hành Chính Nhân Sự (Tập Trung Tuyển Dụng)</t>
        </is>
      </c>
      <c r="D7362" s="10" t="inlineStr">
        <is>
          <t>Công ty TNHH Mishu Moto</t>
        </is>
      </c>
      <c r="E7362" s="10" t="inlineStr">
        <is>
          <t>10tr-13tr ₫/tháng</t>
        </is>
      </c>
      <c r="F7362" s="10" t="inlineStr">
        <is>
          <t>Hà Nội</t>
        </is>
      </c>
      <c r="G7362" s="10" t="inlineStr">
        <is>
          <t>Nhân viên</t>
        </is>
      </c>
      <c r="H7362" s="10" t="inlineStr">
        <is>
          <t>04/03/2026</t>
        </is>
      </c>
      <c r="I7362" s="10" t="inlineStr">
        <is>
          <t>04/04/2026</t>
        </is>
      </c>
      <c r="J7362" s="10" t="inlineStr">
        <is>
          <t>17/03/2026</t>
        </is>
      </c>
      <c r="K7362" s="10" t="inlineStr">
        <is>
          <t>N/A</t>
        </is>
      </c>
      <c r="L7362" s="10" t="inlineStr">
        <is>
          <t>Tuyển Dụng, Quản Trị Nhân Lực, Hành Chính Nhân Sự, Nhân sự - HR, Tuyển dụng &amp; hỗ trợ nhân sự</t>
        </is>
      </c>
      <c r="M7362" s="10" t="inlineStr">
        <is>
          <t>Bonus, Healthcare Plan, Paid Leave, Others</t>
        </is>
      </c>
      <c r="N7362" s="11">
        <f>HYPERLINK("https://www.vietnamworks.com/chuyen-vien-hanh-chinh-nhan-su-tap-trung-tuyen-dung-2018391-jv","Xem chi tiết")</f>
        <v/>
      </c>
      <c r="O7362" s="10" t="n"/>
    </row>
    <row r="7363">
      <c r="B7363" s="7" t="n">
        <v>7361</v>
      </c>
      <c r="C7363" t="inlineStr">
        <is>
          <t>Full Stack Developer</t>
        </is>
      </c>
      <c r="D7363" t="inlineStr">
        <is>
          <t>D Agency</t>
        </is>
      </c>
      <c r="E7363" t="inlineStr">
        <is>
          <t>Tới $ 1,500 /tháng</t>
        </is>
      </c>
      <c r="F7363" t="inlineStr">
        <is>
          <t>Quốc tế</t>
        </is>
      </c>
      <c r="G7363" t="inlineStr">
        <is>
          <t>Nhân viên</t>
        </is>
      </c>
      <c r="H7363" t="inlineStr">
        <is>
          <t>21/02/2026</t>
        </is>
      </c>
      <c r="I7363" t="inlineStr">
        <is>
          <t>04/04/2026</t>
        </is>
      </c>
      <c r="J7363" t="inlineStr">
        <is>
          <t>17/03/2026</t>
        </is>
      </c>
      <c r="K7363" t="inlineStr">
        <is>
          <t>N/A</t>
        </is>
      </c>
      <c r="L7363" t="inlineStr">
        <is>
          <t>MySQL, Symfony, Java, E-commerce, Laravel</t>
        </is>
      </c>
      <c r="M7363" t="inlineStr">
        <is>
          <t>Others</t>
        </is>
      </c>
      <c r="N7363" s="8">
        <f>HYPERLINK("https://www.vietnamworks.com/full-stack-developer--2012220-jv","Xem chi tiết")</f>
        <v/>
      </c>
    </row>
    <row r="7364">
      <c r="B7364" s="9" t="n">
        <v>7362</v>
      </c>
      <c r="C7364" s="10" t="inlineStr">
        <is>
          <t>Giám Đốc Tài Chính</t>
        </is>
      </c>
      <c r="D7364" s="10" t="inlineStr">
        <is>
          <t>CÔNG TY CỔ PHẦN BỆNH VIỆN MẮT ÁNH SÁNG</t>
        </is>
      </c>
      <c r="E7364" s="10" t="inlineStr">
        <is>
          <t>Thương lượng</t>
        </is>
      </c>
      <c r="F7364" s="10" t="inlineStr">
        <is>
          <t>Hà Nội</t>
        </is>
      </c>
      <c r="G7364" s="10" t="inlineStr">
        <is>
          <t>Giám Đốc và Cấp Cao Hơn</t>
        </is>
      </c>
      <c r="H7364" s="10" t="inlineStr">
        <is>
          <t>04/03/2026</t>
        </is>
      </c>
      <c r="I7364" s="10" t="inlineStr">
        <is>
          <t>04/04/2026</t>
        </is>
      </c>
      <c r="J7364" s="10" t="inlineStr">
        <is>
          <t>17/03/2026</t>
        </is>
      </c>
      <c r="K7364" s="10" t="inlineStr">
        <is>
          <t>N/A</t>
        </is>
      </c>
      <c r="L7364" s="10" t="inlineStr">
        <is>
          <t>Kế Toán, Kiểm Toán, CPA, CFA, Quản Lý Tài Chính</t>
        </is>
      </c>
      <c r="M7364" s="10" t="inlineStr">
        <is>
          <t>Bonus, Healthcare Plan, Others</t>
        </is>
      </c>
      <c r="N7364" s="11">
        <f>HYPERLINK("https://www.vietnamworks.com/giam-doc-tai-chinh--2018253-jv","Xem chi tiết")</f>
        <v/>
      </c>
      <c r="O7364" s="10" t="n"/>
    </row>
    <row r="7365">
      <c r="B7365" s="7" t="n">
        <v>7363</v>
      </c>
      <c r="C7365" t="inlineStr">
        <is>
          <t>QC Team Leader (Chemicals)/ Trưởng Nhóm QC (Hóa Chất) - Nghỉ Thứ 7 và CN</t>
        </is>
      </c>
      <c r="D7365" t="inlineStr">
        <is>
          <t>Công Ty TNHH Việt Nam Parkerizing</t>
        </is>
      </c>
      <c r="E7365" t="inlineStr">
        <is>
          <t>Thương lượng</t>
        </is>
      </c>
      <c r="F7365" t="inlineStr">
        <is>
          <t>Hồ Chí Minh, Bình Dương</t>
        </is>
      </c>
      <c r="G7365" t="inlineStr">
        <is>
          <t>Nhân viên</t>
        </is>
      </c>
      <c r="H7365" t="inlineStr">
        <is>
          <t>04/03/2026</t>
        </is>
      </c>
      <c r="I7365" t="inlineStr">
        <is>
          <t>04/04/2026</t>
        </is>
      </c>
      <c r="J7365" t="inlineStr">
        <is>
          <t>17/03/2026</t>
        </is>
      </c>
      <c r="K7365" t="inlineStr">
        <is>
          <t>N/A</t>
        </is>
      </c>
      <c r="L7365" t="inlineStr">
        <is>
          <t>Quality Control, Chemical, Hóa Chất, Kiểm Soát Chất Lượng, QC Lead position</t>
        </is>
      </c>
      <c r="M7365" t="inlineStr">
        <is>
          <t>Bonus, Healthcare Plan, Paid Leave, Transportation, Canteen, Others</t>
        </is>
      </c>
      <c r="N7365" s="8">
        <f>HYPERLINK("https://www.vietnamworks.com/qc-team-leader-chemicals-truong-nhom-qc-hoa-chat-nghi-thu-7-va-cn-2018441-jv","Xem chi tiết")</f>
        <v/>
      </c>
    </row>
    <row r="7366">
      <c r="B7366" s="9" t="n">
        <v>7364</v>
      </c>
      <c r="C7366" s="10" t="inlineStr">
        <is>
          <t>Event Planner Executive (Thu Nhập 12 Triệu - 20 Triệu)</t>
        </is>
      </c>
      <c r="D7366" s="10" t="inlineStr">
        <is>
          <t>Công Ty Cổ Phần Thiết Kế Lục Giác Hexagon</t>
        </is>
      </c>
      <c r="E7366" s="10" t="inlineStr">
        <is>
          <t>$$ 500-1,000 /tháng</t>
        </is>
      </c>
      <c r="F7366" s="10" t="inlineStr">
        <is>
          <t>Hà Nội</t>
        </is>
      </c>
      <c r="G7366" s="10" t="inlineStr">
        <is>
          <t>Nhân viên</t>
        </is>
      </c>
      <c r="H7366" s="10" t="inlineStr">
        <is>
          <t>04/03/2026</t>
        </is>
      </c>
      <c r="I7366" s="10" t="inlineStr">
        <is>
          <t>04/04/2026</t>
        </is>
      </c>
      <c r="J7366" s="10" t="inlineStr">
        <is>
          <t>17/03/2026</t>
        </is>
      </c>
      <c r="K7366" s="10" t="inlineStr">
        <is>
          <t>N/A</t>
        </is>
      </c>
      <c r="L7366" s="10" t="inlineStr">
        <is>
          <t>Event Planning, Proposal Writing, Teamwork, Tiếng Anh lưu loát, Power Point</t>
        </is>
      </c>
      <c r="M7366" s="10" t="inlineStr">
        <is>
          <t>Bonus, Training, Others</t>
        </is>
      </c>
      <c r="N7366" s="11">
        <f>HYPERLINK("https://www.vietnamworks.com/event-planner-executive-thu-nhap-12-trieu-20-trieu-2018440-jv","Xem chi tiết")</f>
        <v/>
      </c>
      <c r="O7366" s="10" t="n"/>
    </row>
    <row r="7367">
      <c r="B7367" s="7" t="n">
        <v>7365</v>
      </c>
      <c r="C7367" t="inlineStr">
        <is>
          <t>Kỹ Sư Xây Dựng 12-18 triệu(Trợ Lý Kiểm Toán Xây Dựng Cơ Bản)</t>
        </is>
      </c>
      <c r="D7367" t="inlineStr">
        <is>
          <t>CÔNG TY TNHH KIỂM TOÁN TƯ VẤN THỦ ĐÔ</t>
        </is>
      </c>
      <c r="E7367" t="inlineStr">
        <is>
          <t>12tr-18tr ₫/tháng</t>
        </is>
      </c>
      <c r="F7367" t="inlineStr">
        <is>
          <t>Hà Nội</t>
        </is>
      </c>
      <c r="G7367" t="inlineStr">
        <is>
          <t>Nhân viên</t>
        </is>
      </c>
      <c r="H7367" t="inlineStr">
        <is>
          <t>04/03/2026</t>
        </is>
      </c>
      <c r="I7367" t="inlineStr">
        <is>
          <t>04/04/2026</t>
        </is>
      </c>
      <c r="J7367" t="inlineStr">
        <is>
          <t>17/03/2026</t>
        </is>
      </c>
      <c r="K7367" t="inlineStr">
        <is>
          <t>N/A</t>
        </is>
      </c>
      <c r="L7367" t="inlineStr">
        <is>
          <t>Kỹ Sư Xây Dựng, AutoCAD, Đọc Hiểu Bản Vẽ, Bóc Tách Khối Lượng, Dự Toán Xây Lắp</t>
        </is>
      </c>
      <c r="M7367" t="inlineStr">
        <is>
          <t>Bonus, Healthcare Plan, Others</t>
        </is>
      </c>
      <c r="N7367" s="8">
        <f>HYPERLINK("https://www.vietnamworks.com/ky-su-xay-dung-12-18-trieu-tro-ly-kiem-toan-xay-dung-co-ban-2018276-jv","Xem chi tiết")</f>
        <v/>
      </c>
    </row>
    <row r="7368">
      <c r="B7368" s="9" t="n">
        <v>7366</v>
      </c>
      <c r="C7368" s="10" t="inlineStr">
        <is>
          <t>Kỹ Thuật Khảo Sát Xây Dựng (Construction Surveying Engineer)</t>
        </is>
      </c>
      <c r="D7368" s="10" t="inlineStr">
        <is>
          <t>GKTECHS</t>
        </is>
      </c>
      <c r="E7368" s="10" t="inlineStr">
        <is>
          <t>Từ 12tr ₫/tháng</t>
        </is>
      </c>
      <c r="F7368" s="10" t="inlineStr">
        <is>
          <t>Hồ Chí Minh</t>
        </is>
      </c>
      <c r="G7368" s="10" t="inlineStr">
        <is>
          <t>Nhân viên</t>
        </is>
      </c>
      <c r="H7368" s="10" t="inlineStr">
        <is>
          <t>28/02/2026</t>
        </is>
      </c>
      <c r="I7368" s="10" t="inlineStr">
        <is>
          <t>04/04/2026</t>
        </is>
      </c>
      <c r="J7368" s="10" t="inlineStr">
        <is>
          <t>17/03/2026</t>
        </is>
      </c>
      <c r="K7368" s="10" t="inlineStr">
        <is>
          <t>N/A</t>
        </is>
      </c>
      <c r="L7368" s="10" t="inlineStr">
        <is>
          <t>Autocad, Construction Knowledge, Technical Drawing, Xây Dựng Công Nghiệp, Xây Dựng Dân Dụng</t>
        </is>
      </c>
      <c r="M7368" s="10" t="inlineStr">
        <is>
          <t>Bonus, Healthcare Plan, Training, Team Activities, Others</t>
        </is>
      </c>
      <c r="N7368" s="11">
        <f>HYPERLINK("https://www.vietnamworks.com/ky-thuat-khao-sat-xay-dung-construction-surveying-engineer-2016238-jv","Xem chi tiết")</f>
        <v/>
      </c>
      <c r="O7368" s="10" t="n"/>
    </row>
    <row r="7369">
      <c r="B7369" s="7" t="n">
        <v>7367</v>
      </c>
      <c r="C7369" t="inlineStr">
        <is>
          <t xml:space="preserve">Chuyên Viên Nghiên Cứu Và Phân Tích Thị Trường </t>
        </is>
      </c>
      <c r="D7369" t="inlineStr">
        <is>
          <t>Công Ty Cổ Phần Nhựa Á Đông (Adc Plastic., Jsc)</t>
        </is>
      </c>
      <c r="E7369" t="inlineStr">
        <is>
          <t>Thương lượng</t>
        </is>
      </c>
      <c r="F7369" t="inlineStr">
        <is>
          <t>Hà Nội</t>
        </is>
      </c>
      <c r="G7369" t="inlineStr">
        <is>
          <t>Nhân viên</t>
        </is>
      </c>
      <c r="H7369" t="inlineStr">
        <is>
          <t>01/03/2026</t>
        </is>
      </c>
      <c r="I7369" t="inlineStr">
        <is>
          <t>04/04/2026</t>
        </is>
      </c>
      <c r="J7369" t="inlineStr">
        <is>
          <t>17/03/2026</t>
        </is>
      </c>
      <c r="K7369" t="inlineStr">
        <is>
          <t>N/A</t>
        </is>
      </c>
      <c r="L7369" t="inlineStr">
        <is>
          <t>Phân Tích Thị Trường, Tableau, Market Analysis, Market Research, Market research knowledge</t>
        </is>
      </c>
      <c r="M7369" t="inlineStr">
        <is>
          <t>Bonus, Healthcare Plan, Laptop, Travel Opportunities, Canteen, Others</t>
        </is>
      </c>
      <c r="N7369" s="8">
        <f>HYPERLINK("https://www.vietnamworks.com/chuyen-vien-nghien-cuu-va-phan-tich-thi-truong-2016320-jv","Xem chi tiết")</f>
        <v/>
      </c>
    </row>
    <row r="7370">
      <c r="B7370" s="9" t="n">
        <v>7368</v>
      </c>
      <c r="C7370" s="10" t="inlineStr">
        <is>
          <t>Nhân Viên Kế Hoạch Mua Hàng</t>
        </is>
      </c>
      <c r="D7370" s="10" t="inlineStr">
        <is>
          <t>Công ty Cổ phần Gạch Men Ý Mỹ</t>
        </is>
      </c>
      <c r="E7370" s="10" t="inlineStr">
        <is>
          <t>Thương lượng</t>
        </is>
      </c>
      <c r="F7370" s="10" t="inlineStr">
        <is>
          <t>Đồng Nai</t>
        </is>
      </c>
      <c r="G7370" s="10" t="inlineStr">
        <is>
          <t>Nhân viên</t>
        </is>
      </c>
      <c r="H7370" s="10" t="inlineStr">
        <is>
          <t>04/03/2026</t>
        </is>
      </c>
      <c r="I7370" s="10" t="inlineStr">
        <is>
          <t>04/04/2026</t>
        </is>
      </c>
      <c r="J7370" s="10" t="inlineStr">
        <is>
          <t>17/03/2026</t>
        </is>
      </c>
      <c r="K7370" s="10" t="inlineStr">
        <is>
          <t>N/A</t>
        </is>
      </c>
      <c r="L7370" s="10" t="inlineStr">
        <is>
          <t>Mua Hàng, Quản Lý Kho Bãi, Kỹ Năng Quản Lý, Purchasing, Kế Hoạch Mua Hàng</t>
        </is>
      </c>
      <c r="M7370" s="10" t="inlineStr">
        <is>
          <t>Bonus</t>
        </is>
      </c>
      <c r="N7370" s="11">
        <f>HYPERLINK("https://www.vietnamworks.com/nhan-vien-ke-hoach-mua-hang-2018148-jv","Xem chi tiết")</f>
        <v/>
      </c>
      <c r="O7370" s="10" t="n"/>
    </row>
    <row r="7371">
      <c r="B7371" s="7" t="n">
        <v>7369</v>
      </c>
      <c r="C7371" t="inlineStr">
        <is>
          <t>Customer Experience Officer - Nhân Viên Chăm Sóc Khách Hàng</t>
        </is>
      </c>
      <c r="D7371" t="inlineStr">
        <is>
          <t>Vietnamworks' Client</t>
        </is>
      </c>
      <c r="E7371" t="inlineStr">
        <is>
          <t>13tr-15tr ₫/tháng</t>
        </is>
      </c>
      <c r="F7371" t="inlineStr">
        <is>
          <t>Hồ Chí Minh</t>
        </is>
      </c>
      <c r="G7371" t="inlineStr">
        <is>
          <t>Mới Tốt Nghiệp</t>
        </is>
      </c>
      <c r="H7371" t="inlineStr">
        <is>
          <t>02/03/2026</t>
        </is>
      </c>
      <c r="I7371" t="inlineStr">
        <is>
          <t>04/04/2026</t>
        </is>
      </c>
      <c r="J7371" t="inlineStr">
        <is>
          <t>17/03/2026</t>
        </is>
      </c>
      <c r="K7371" t="inlineStr">
        <is>
          <t>N/A</t>
        </is>
      </c>
      <c r="L7371" t="inlineStr">
        <is>
          <t>English, Customer Handling, Work Independently, Team Work</t>
        </is>
      </c>
      <c r="M7371" t="inlineStr">
        <is>
          <t>Healthcare Plan, Training, Team Activities</t>
        </is>
      </c>
      <c r="N7371" s="8">
        <f>HYPERLINK("https://www.vietnamworks.com/customer-experience-officer-nhan-vien-cham-soc-khach-hang--2016676-jv","Xem chi tiết")</f>
        <v/>
      </c>
    </row>
    <row r="7372">
      <c r="B7372" s="9" t="n">
        <v>7370</v>
      </c>
      <c r="C7372" s="10" t="inlineStr">
        <is>
          <t>Kỹ Sư QS Hiện Trường</t>
        </is>
      </c>
      <c r="D7372" s="10" t="inlineStr">
        <is>
          <t>Công ty TNHH Mishu Moto</t>
        </is>
      </c>
      <c r="E7372" s="10" t="inlineStr">
        <is>
          <t>20tr-25tr ₫/tháng</t>
        </is>
      </c>
      <c r="F7372" s="10" t="inlineStr">
        <is>
          <t>Hà Nội</t>
        </is>
      </c>
      <c r="G7372" s="10" t="inlineStr">
        <is>
          <t>Nhân viên</t>
        </is>
      </c>
      <c r="H7372" s="10" t="inlineStr">
        <is>
          <t>04/03/2026</t>
        </is>
      </c>
      <c r="I7372" s="10" t="inlineStr">
        <is>
          <t>04/04/2026</t>
        </is>
      </c>
      <c r="J7372" s="10" t="inlineStr">
        <is>
          <t>17/03/2026</t>
        </is>
      </c>
      <c r="K7372" s="10" t="inlineStr">
        <is>
          <t>N/A</t>
        </is>
      </c>
      <c r="L7372" s="10" t="inlineStr">
        <is>
          <t>Xây Dựng, AutoCAD, QS, Quản Lý Chất Lượng Xây Dựng, QC</t>
        </is>
      </c>
      <c r="M7372" s="10" t="inlineStr">
        <is>
          <t>Bonus, Healthcare Plan, Training, Others</t>
        </is>
      </c>
      <c r="N7372" s="11">
        <f>HYPERLINK("https://www.vietnamworks.com/ky-su-qs-hien-truong-2018394-jv","Xem chi tiết")</f>
        <v/>
      </c>
      <c r="O7372" s="10" t="n"/>
    </row>
    <row r="7373">
      <c r="B7373" s="7" t="n">
        <v>7371</v>
      </c>
      <c r="C7373" t="inlineStr">
        <is>
          <t>Head Of Quality/ Quality Director</t>
        </is>
      </c>
      <c r="D7373" t="inlineStr">
        <is>
          <t>CÔNG TY TNHH CODA RESOURCES VIỆT NAM</t>
        </is>
      </c>
      <c r="E7373" t="inlineStr">
        <is>
          <t>Thương lượng</t>
        </is>
      </c>
      <c r="F7373" t="inlineStr">
        <is>
          <t>Long An</t>
        </is>
      </c>
      <c r="G7373" t="inlineStr">
        <is>
          <t>Giám Đốc và Cấp Cao Hơn</t>
        </is>
      </c>
      <c r="H7373" t="inlineStr">
        <is>
          <t>04/03/2026</t>
        </is>
      </c>
      <c r="I7373" t="inlineStr">
        <is>
          <t>04/04/2026</t>
        </is>
      </c>
      <c r="J7373" t="inlineStr">
        <is>
          <t>17/03/2026</t>
        </is>
      </c>
      <c r="K7373" t="inlineStr">
        <is>
          <t>N/A</t>
        </is>
      </c>
      <c r="L7373" t="inlineStr">
        <is>
          <t>Quality Management, ISO 9001, Supplier Quality Management, Production Reports, Root Cause Analysis</t>
        </is>
      </c>
      <c r="M7373" t="inlineStr">
        <is>
          <t>Bonus, Healthcare Plan, Training, Others</t>
        </is>
      </c>
      <c r="N7373" s="8">
        <f>HYPERLINK("https://www.vietnamworks.com/head-of-quality-quality-director-2018312-jv","Xem chi tiết")</f>
        <v/>
      </c>
    </row>
    <row r="7374">
      <c r="B7374" s="9" t="n">
        <v>7372</v>
      </c>
      <c r="C7374" s="10" t="inlineStr">
        <is>
          <t>Mechanical Engineer - Kỹ sư cơ khí</t>
        </is>
      </c>
      <c r="D7374" s="10" t="inlineStr">
        <is>
          <t>Vanel Tech Vietnam</t>
        </is>
      </c>
      <c r="E7374" s="10" t="inlineStr">
        <is>
          <t>$$ 500-3,000 /tháng</t>
        </is>
      </c>
      <c r="F7374" s="10" t="inlineStr">
        <is>
          <t>Đồng Nai</t>
        </is>
      </c>
      <c r="G7374" s="10" t="inlineStr">
        <is>
          <t>Nhân viên</t>
        </is>
      </c>
      <c r="H7374" s="10" t="inlineStr">
        <is>
          <t>27/02/2026</t>
        </is>
      </c>
      <c r="I7374" s="10" t="inlineStr">
        <is>
          <t>04/04/2026</t>
        </is>
      </c>
      <c r="J7374" s="10" t="inlineStr">
        <is>
          <t>17/03/2026</t>
        </is>
      </c>
      <c r="K7374" s="10" t="inlineStr">
        <is>
          <t>N/A</t>
        </is>
      </c>
      <c r="L7374" s="10" t="inlineStr">
        <is>
          <t>IT Knowledge, Mechanical Engineering, Problem-solving, Quality Assurance, Sales Support</t>
        </is>
      </c>
      <c r="M7374" s="10" t="inlineStr">
        <is>
          <t>Bonus</t>
        </is>
      </c>
      <c r="N7374" s="11">
        <f>HYPERLINK("https://www.vietnamworks.com/mechanical-engineer-ky-su-co-khi-2015524-jv","Xem chi tiết")</f>
        <v/>
      </c>
      <c r="O7374" s="10" t="n"/>
    </row>
    <row r="7375">
      <c r="B7375" s="7" t="n">
        <v>7373</v>
      </c>
      <c r="C7375" t="inlineStr">
        <is>
          <t>Giám Sát An Toàn Lao Động (Safety Supervisor)- CÓ THỂ PHỎNG VẤN ĐI LÀM NGAY</t>
        </is>
      </c>
      <c r="D7375" t="inlineStr">
        <is>
          <t>CÔNG TY TNHH KỸ NGHỆ FUJI - FURUKAWA E&amp;C VIỆT NAM</t>
        </is>
      </c>
      <c r="E7375" t="inlineStr">
        <is>
          <t>27tr-30tr ₫/tháng</t>
        </is>
      </c>
      <c r="F7375" t="inlineStr">
        <is>
          <t>Bà Rịa - Vũng Tàu</t>
        </is>
      </c>
      <c r="G7375" t="inlineStr">
        <is>
          <t>Nhân viên</t>
        </is>
      </c>
      <c r="H7375" t="inlineStr">
        <is>
          <t>04/03/2026</t>
        </is>
      </c>
      <c r="I7375" t="inlineStr">
        <is>
          <t>04/04/2026</t>
        </is>
      </c>
      <c r="J7375" t="inlineStr">
        <is>
          <t>17/03/2026</t>
        </is>
      </c>
      <c r="K7375" t="inlineStr">
        <is>
          <t>N/A</t>
        </is>
      </c>
      <c r="L7375" t="inlineStr">
        <is>
          <t>An Toàn Lao Động, Giao Tiếp Tiếng Anh, HSE, Kiểm Soát An Toàn, Kỹ Thuật</t>
        </is>
      </c>
      <c r="M7375" t="inlineStr">
        <is>
          <t>Training, Laptop, Others</t>
        </is>
      </c>
      <c r="N7375" s="8">
        <f>HYPERLINK("https://www.vietnamworks.com/giam-sat-an-toan-lao-djong-safety-supervisor-co-the-phong-van-dji-lam-ngay-2018093-jv","Xem chi tiết")</f>
        <v/>
      </c>
    </row>
    <row r="7376">
      <c r="B7376" s="9" t="n">
        <v>7374</v>
      </c>
      <c r="C7376" s="10" t="inlineStr">
        <is>
          <t>Luật Sư / Chuyên Viên Tư Vấn Luật</t>
        </is>
      </c>
      <c r="D7376" s="10" t="inlineStr">
        <is>
          <t>Công ty Luật TNHH Việt An</t>
        </is>
      </c>
      <c r="E7376" s="10" t="inlineStr">
        <is>
          <t>15tr-30tr ₫/tháng</t>
        </is>
      </c>
      <c r="F7376" s="10" t="inlineStr">
        <is>
          <t>Hà Nội, Hồ Chí Minh</t>
        </is>
      </c>
      <c r="G7376" s="10" t="inlineStr">
        <is>
          <t>Nhân viên</t>
        </is>
      </c>
      <c r="H7376" s="10" t="inlineStr">
        <is>
          <t>03/03/2026</t>
        </is>
      </c>
      <c r="I7376" s="10" t="inlineStr">
        <is>
          <t>04/04/2026</t>
        </is>
      </c>
      <c r="J7376" s="10" t="inlineStr">
        <is>
          <t>17/03/2026</t>
        </is>
      </c>
      <c r="K7376" s="10" t="inlineStr">
        <is>
          <t>N/A</t>
        </is>
      </c>
      <c r="L7376" s="10" t="inlineStr">
        <is>
          <t>Pháp Lý, Tư Vấn Luật, Luật, Pháp Luật, Pháp Chế</t>
        </is>
      </c>
      <c r="M7376" s="10" t="inlineStr">
        <is>
          <t>Bonus, Others</t>
        </is>
      </c>
      <c r="N7376" s="11">
        <f>HYPERLINK("https://www.vietnamworks.com/luat-su-chuyen-vien-tu-van-luat--2017686-jv","Xem chi tiết")</f>
        <v/>
      </c>
      <c r="O7376" s="10" t="n"/>
    </row>
    <row r="7377">
      <c r="B7377" s="7" t="n">
        <v>7375</v>
      </c>
      <c r="C7377" t="inlineStr">
        <is>
          <t>Sales Executive</t>
        </is>
      </c>
      <c r="D7377" t="inlineStr">
        <is>
          <t>ENP Vietnam International Company Limited</t>
        </is>
      </c>
      <c r="E7377" t="inlineStr">
        <is>
          <t>Thương lượng</t>
        </is>
      </c>
      <c r="F7377" t="inlineStr">
        <is>
          <t>Hà Nội, Hồ Chí Minh</t>
        </is>
      </c>
      <c r="G7377" t="inlineStr">
        <is>
          <t>Nhân viên</t>
        </is>
      </c>
      <c r="H7377" t="inlineStr">
        <is>
          <t>05/03/2026</t>
        </is>
      </c>
      <c r="I7377" t="inlineStr">
        <is>
          <t>04/04/2026</t>
        </is>
      </c>
      <c r="J7377" t="inlineStr">
        <is>
          <t>17/03/2026</t>
        </is>
      </c>
      <c r="K7377" t="inlineStr">
        <is>
          <t>N/A</t>
        </is>
      </c>
      <c r="L7377" t="inlineStr">
        <is>
          <t>Steel Industry Knowledge, Tiếng Trung, Sale Thị Trường, Sales Executive, sales executive b2b</t>
        </is>
      </c>
      <c r="M7377" t="inlineStr">
        <is>
          <t>Bonus, Training, Travel Opportunities, Others</t>
        </is>
      </c>
      <c r="N7377" s="8">
        <f>HYPERLINK("https://www.vietnamworks.com/sales-executive-2018486-jv","Xem chi tiết")</f>
        <v/>
      </c>
    </row>
    <row r="7378">
      <c r="B7378" s="9" t="n">
        <v>7376</v>
      </c>
      <c r="C7378" s="10" t="inlineStr">
        <is>
          <t>Senior Account Executive</t>
        </is>
      </c>
      <c r="D7378" s="10" t="inlineStr">
        <is>
          <t>Công Ty Cổ Phần Thiết Kế Lục Giác Hexagon</t>
        </is>
      </c>
      <c r="E7378" s="10" t="inlineStr">
        <is>
          <t>Thương lượng</t>
        </is>
      </c>
      <c r="F7378" s="10" t="inlineStr">
        <is>
          <t>Hà Nội</t>
        </is>
      </c>
      <c r="G7378" s="10" t="inlineStr">
        <is>
          <t>Nhân viên</t>
        </is>
      </c>
      <c r="H7378" s="10" t="inlineStr">
        <is>
          <t>04/03/2026</t>
        </is>
      </c>
      <c r="I7378" s="10" t="inlineStr">
        <is>
          <t>04/04/2026</t>
        </is>
      </c>
      <c r="J7378" s="10" t="inlineStr">
        <is>
          <t>17/03/2026</t>
        </is>
      </c>
      <c r="K7378" s="10" t="inlineStr">
        <is>
          <t>N/A</t>
        </is>
      </c>
      <c r="L7378" s="10" t="inlineStr">
        <is>
          <t>Key Account Development, Business Development, Account Management, Quảng Cáo, Advertising Agency</t>
        </is>
      </c>
      <c r="M7378" s="10" t="inlineStr">
        <is>
          <t>Bonus, Training, Others</t>
        </is>
      </c>
      <c r="N7378" s="11">
        <f>HYPERLINK("https://www.vietnamworks.com/senior-account-executive--2018427-jv","Xem chi tiết")</f>
        <v/>
      </c>
      <c r="O7378" s="10" t="n"/>
    </row>
    <row r="7379">
      <c r="B7379" s="7" t="n">
        <v>7377</v>
      </c>
      <c r="C7379" t="inlineStr">
        <is>
          <t>Trưởng Bộ Phận Kỹ Thuật Phân bón</t>
        </is>
      </c>
      <c r="D7379" t="inlineStr">
        <is>
          <t>Công ty TNHH Vidan</t>
        </is>
      </c>
      <c r="E7379" t="inlineStr">
        <is>
          <t>$$ 1,000-2,000 /tháng</t>
        </is>
      </c>
      <c r="F7379" t="inlineStr">
        <is>
          <t>Hồ Chí Minh</t>
        </is>
      </c>
      <c r="G7379" t="inlineStr">
        <is>
          <t>Trưởng phòng</t>
        </is>
      </c>
      <c r="H7379" t="inlineStr">
        <is>
          <t>05/03/2026</t>
        </is>
      </c>
      <c r="I7379" t="inlineStr">
        <is>
          <t>04/04/2026</t>
        </is>
      </c>
      <c r="J7379" t="inlineStr">
        <is>
          <t>17/03/2026</t>
        </is>
      </c>
      <c r="K7379" t="inlineStr">
        <is>
          <t>N/A</t>
        </is>
      </c>
      <c r="L7379" t="inlineStr">
        <is>
          <t>Phát Triển Sản Phẩm, Quản Lý Kỹ Thuật, Tư Vấn Kỹ Thuật, Đào Tạo Kĩ Thuật</t>
        </is>
      </c>
      <c r="M7379" t="inlineStr">
        <is>
          <t>Bonus, Healthcare Plan, Training, Awards, Travel Opportunities, Transportation, Others</t>
        </is>
      </c>
      <c r="N7379" s="8">
        <f>HYPERLINK("https://www.vietnamworks.com/truong-bo-phan-ky-thuat-phan-bon-2018487-jv","Xem chi tiết")</f>
        <v/>
      </c>
    </row>
    <row r="7380">
      <c r="B7380" s="9" t="n">
        <v>7378</v>
      </c>
      <c r="C7380" s="10" t="inlineStr">
        <is>
          <t>Sales and Service Engineer</t>
        </is>
      </c>
      <c r="D7380" s="10" t="inlineStr">
        <is>
          <t>Dou Yee Enterprises(s) Pte Ltd</t>
        </is>
      </c>
      <c r="E7380" s="10" t="inlineStr">
        <is>
          <t>Thương lượng</t>
        </is>
      </c>
      <c r="F7380" s="10" t="inlineStr">
        <is>
          <t>Hồ Chí Minh</t>
        </is>
      </c>
      <c r="G7380" s="10" t="inlineStr">
        <is>
          <t>Nhân viên</t>
        </is>
      </c>
      <c r="H7380" s="10" t="inlineStr">
        <is>
          <t>05/03/2026</t>
        </is>
      </c>
      <c r="I7380" s="10" t="inlineStr">
        <is>
          <t>04/04/2026</t>
        </is>
      </c>
      <c r="J7380" s="10" t="inlineStr">
        <is>
          <t>17/03/2026</t>
        </is>
      </c>
      <c r="K7380" s="10" t="inlineStr">
        <is>
          <t>N/A</t>
        </is>
      </c>
      <c r="L7380" s="10" t="inlineStr">
        <is>
          <t>Sales, Field Service Experience, Electronic, Mechanical, Technical Support</t>
        </is>
      </c>
      <c r="M7380" s="10" t="inlineStr">
        <is>
          <t>Bonus, Healthcare Plan, Others</t>
        </is>
      </c>
      <c r="N7380" s="11">
        <f>HYPERLINK("https://www.vietnamworks.com/sales-and-service-engineer--2018485-jv","Xem chi tiết")</f>
        <v/>
      </c>
      <c r="O7380" s="10" t="n"/>
    </row>
    <row r="7381">
      <c r="B7381" s="7" t="n">
        <v>7379</v>
      </c>
      <c r="C7381" t="inlineStr">
        <is>
          <t>Chuyên Viên Tuyển Dụng/ Talent Acquisition/ Teacher Recruitment</t>
        </is>
      </c>
      <c r="D7381" t="inlineStr">
        <is>
          <t>Power English</t>
        </is>
      </c>
      <c r="E7381" t="inlineStr">
        <is>
          <t>Thương lượng</t>
        </is>
      </c>
      <c r="F7381" t="inlineStr">
        <is>
          <t>Hồ Chí Minh</t>
        </is>
      </c>
      <c r="G7381" t="inlineStr">
        <is>
          <t>Nhân viên</t>
        </is>
      </c>
      <c r="H7381" t="inlineStr">
        <is>
          <t>05/03/2026</t>
        </is>
      </c>
      <c r="I7381" t="inlineStr">
        <is>
          <t>04/04/2026</t>
        </is>
      </c>
      <c r="J7381" t="inlineStr">
        <is>
          <t>17/03/2026</t>
        </is>
      </c>
      <c r="K7381" t="inlineStr">
        <is>
          <t>N/A</t>
        </is>
      </c>
      <c r="L7381" t="inlineStr">
        <is>
          <t>Recruitment, Interview</t>
        </is>
      </c>
      <c r="M7381" t="inlineStr">
        <is>
          <t>Bonus, Healthcare Plan, Travel Opportunities</t>
        </is>
      </c>
      <c r="N7381" s="8">
        <f>HYPERLINK("https://www.vietnamworks.com/chuyen-vien-tuyen-dung-talent-acquisition-teacher-recruitment--2018484-jv","Xem chi tiết")</f>
        <v/>
      </c>
    </row>
    <row r="7382">
      <c r="B7382" s="9" t="n">
        <v>7380</v>
      </c>
      <c r="C7382" s="10" t="inlineStr">
        <is>
          <t>Giảng Viên Công Nghệ Thông Tin (Software Engineering)</t>
        </is>
      </c>
      <c r="D7382" s="10" t="inlineStr">
        <is>
          <t>Đại Học FPT TP.HCM</t>
        </is>
      </c>
      <c r="E7382" s="10" t="inlineStr">
        <is>
          <t>Thương lượng</t>
        </is>
      </c>
      <c r="F7382" s="10" t="inlineStr">
        <is>
          <t>Hồ Chí Minh</t>
        </is>
      </c>
      <c r="G7382" s="10" t="inlineStr">
        <is>
          <t>Nhân viên</t>
        </is>
      </c>
      <c r="H7382" s="10" t="inlineStr">
        <is>
          <t>05/03/2026</t>
        </is>
      </c>
      <c r="I7382" s="10" t="inlineStr">
        <is>
          <t>04/04/2026</t>
        </is>
      </c>
      <c r="J7382" s="10" t="inlineStr">
        <is>
          <t>17/03/2026</t>
        </is>
      </c>
      <c r="K7382" s="10" t="inlineStr">
        <is>
          <t>N/A</t>
        </is>
      </c>
      <c r="L7382" s="10" t="inlineStr">
        <is>
          <t>Software Engineering, Management Information System, IT Phần Mềm, Giáo Dục Đào Tạo, Giảng Dạy</t>
        </is>
      </c>
      <c r="M7382" s="10" t="inlineStr">
        <is>
          <t>Bonus, Healthcare Plan, Training</t>
        </is>
      </c>
      <c r="N7382" s="11">
        <f>HYPERLINK("https://www.vietnamworks.com/giang-vien-cong-nghe-thong-tin-software-engineering--2018488-jv","Xem chi tiết")</f>
        <v/>
      </c>
      <c r="O7382" s="10" t="n"/>
    </row>
    <row r="7383">
      <c r="B7383" s="7" t="n">
        <v>7381</v>
      </c>
      <c r="C7383" t="inlineStr">
        <is>
          <t>Nhân Viên Quản Lý Khách Hàng - PR Account</t>
        </is>
      </c>
      <c r="D7383" t="inlineStr">
        <is>
          <t>Công Ty Cổ Phần Thiết Kế Lục Giác Hexagon</t>
        </is>
      </c>
      <c r="E7383" t="inlineStr">
        <is>
          <t>$$ 500-1,000 /tháng</t>
        </is>
      </c>
      <c r="F7383" t="inlineStr">
        <is>
          <t>Hà Nội</t>
        </is>
      </c>
      <c r="G7383" t="inlineStr">
        <is>
          <t>Nhân viên</t>
        </is>
      </c>
      <c r="H7383" t="inlineStr">
        <is>
          <t>05/03/2026</t>
        </is>
      </c>
      <c r="I7383" t="inlineStr">
        <is>
          <t>04/04/2026</t>
        </is>
      </c>
      <c r="J7383" t="inlineStr">
        <is>
          <t>17/03/2026</t>
        </is>
      </c>
      <c r="K7383" t="inlineStr">
        <is>
          <t>N/A</t>
        </is>
      </c>
      <c r="L7383" t="inlineStr">
        <is>
          <t>Account Executive, Quản Lý Khách Hàng, Truyền Thông, Account Management, Key Account Management</t>
        </is>
      </c>
      <c r="M7383" t="inlineStr">
        <is>
          <t>Bonus, Healthcare Plan, Others</t>
        </is>
      </c>
      <c r="N7383" s="8">
        <f>HYPERLINK("https://www.vietnamworks.com/nhan-vien-quan-ly-khach-hang-pr-account-2018482-jv","Xem chi tiết")</f>
        <v/>
      </c>
    </row>
    <row r="7384">
      <c r="B7384" s="9" t="n">
        <v>7382</v>
      </c>
      <c r="C7384" s="10" t="inlineStr">
        <is>
          <t>Pattern Technician</t>
        </is>
      </c>
      <c r="D7384" s="10" t="inlineStr">
        <is>
          <t>Meydan Group Vietnam</t>
        </is>
      </c>
      <c r="E7384" s="10" t="inlineStr">
        <is>
          <t>$$ 750-1,500 /tháng</t>
        </is>
      </c>
      <c r="F7384" s="10" t="inlineStr">
        <is>
          <t>Hồ Chí Minh</t>
        </is>
      </c>
      <c r="G7384" s="10" t="inlineStr">
        <is>
          <t>Nhân viên</t>
        </is>
      </c>
      <c r="H7384" s="10" t="inlineStr">
        <is>
          <t>05/03/2026</t>
        </is>
      </c>
      <c r="I7384" s="10" t="inlineStr">
        <is>
          <t>04/04/2026</t>
        </is>
      </c>
      <c r="J7384" s="10" t="inlineStr">
        <is>
          <t>17/03/2026</t>
        </is>
      </c>
      <c r="K7384" s="10" t="inlineStr">
        <is>
          <t>N/A</t>
        </is>
      </c>
      <c r="L7384" s="10" t="inlineStr">
        <is>
          <t>Pattern Making, Pattern Design Management, Pattern Design, Garment Pattern, AutoCAD</t>
        </is>
      </c>
      <c r="M7384" s="10" t="inlineStr">
        <is>
          <t>Bonus, Paid Leave, Others</t>
        </is>
      </c>
      <c r="N7384" s="11">
        <f>HYPERLINK("https://www.vietnamworks.com/pattern-technician--2018499-jv","Xem chi tiết")</f>
        <v/>
      </c>
      <c r="O7384" s="10" t="n"/>
    </row>
    <row r="7385">
      <c r="B7385" s="7" t="n">
        <v>7383</v>
      </c>
      <c r="C7385" t="inlineStr">
        <is>
          <t>Nhân Viên Tự Động Hóa (Thiết Kế Cơ Khí) (PD)</t>
        </is>
      </c>
      <c r="D7385" t="inlineStr">
        <is>
          <t>Tohoku Pioneer Vietnam Co., Ltd</t>
        </is>
      </c>
      <c r="E7385" t="inlineStr">
        <is>
          <t>Thương lượng</t>
        </is>
      </c>
      <c r="F7385" t="inlineStr">
        <is>
          <t>Hải Phòng</t>
        </is>
      </c>
      <c r="G7385" t="inlineStr">
        <is>
          <t>Nhân viên</t>
        </is>
      </c>
      <c r="H7385" t="inlineStr">
        <is>
          <t>05/03/2026</t>
        </is>
      </c>
      <c r="I7385" t="inlineStr">
        <is>
          <t>04/04/2026</t>
        </is>
      </c>
      <c r="J7385" t="inlineStr">
        <is>
          <t>17/03/2026</t>
        </is>
      </c>
      <c r="K7385" t="inlineStr">
        <is>
          <t>N/A</t>
        </is>
      </c>
      <c r="L7385" t="inlineStr">
        <is>
          <t>Thiết Kế Cơ Khí, Đọc Bản Vẽ Cơ Khí, Phần Mềm 3D, Cải Tiến Thiết Bị, Tiếng Nhật</t>
        </is>
      </c>
      <c r="M7385" t="inlineStr">
        <is>
          <t>Bonus, Training, Travel Opportunities</t>
        </is>
      </c>
      <c r="N7385" s="8">
        <f>HYPERLINK("https://www.vietnamworks.com/nhan-vien-tu-djong-hoa-thiet-ke-co-khi-pd-2018510-jv","Xem chi tiết")</f>
        <v/>
      </c>
    </row>
    <row r="7386">
      <c r="B7386" s="9" t="n">
        <v>7384</v>
      </c>
      <c r="C7386" s="10" t="inlineStr">
        <is>
          <t>Compliance Supervisor</t>
        </is>
      </c>
      <c r="D7386" s="10" t="inlineStr">
        <is>
          <t>Phu Thai Industries Company Ltd.</t>
        </is>
      </c>
      <c r="E7386" s="10" t="inlineStr">
        <is>
          <t>$$ 900-1,000 /tháng</t>
        </is>
      </c>
      <c r="F7386" s="10" t="inlineStr">
        <is>
          <t>Hà Nội</t>
        </is>
      </c>
      <c r="G7386" s="10" t="inlineStr">
        <is>
          <t>Nhân viên</t>
        </is>
      </c>
      <c r="H7386" s="10" t="inlineStr">
        <is>
          <t>05/03/2026</t>
        </is>
      </c>
      <c r="I7386" s="10" t="inlineStr">
        <is>
          <t>04/04/2026</t>
        </is>
      </c>
      <c r="J7386" s="10" t="inlineStr">
        <is>
          <t>17/03/2026</t>
        </is>
      </c>
      <c r="K7386" s="10" t="inlineStr">
        <is>
          <t>N/A</t>
        </is>
      </c>
      <c r="L7386" s="10" t="inlineStr">
        <is>
          <t>Compliance Management, Commercial Law, Legal &amp; Compliance, Legal advice, Compliance Auditing</t>
        </is>
      </c>
      <c r="M7386" s="10" t="inlineStr">
        <is>
          <t>Bonus, Paid Leave, Others</t>
        </is>
      </c>
      <c r="N7386" s="11">
        <f>HYPERLINK("https://www.vietnamworks.com/compliance-supervisor--2018494-jv","Xem chi tiết")</f>
        <v/>
      </c>
      <c r="O7386" s="10" t="n"/>
    </row>
    <row r="7387">
      <c r="B7387" s="7" t="n">
        <v>7385</v>
      </c>
      <c r="C7387" t="inlineStr">
        <is>
          <t>Chuyên Viên Kế Toán (Accounting Specialist)</t>
        </is>
      </c>
      <c r="D7387" t="inlineStr">
        <is>
          <t>Công Ty Cổ phần Skinetiq</t>
        </is>
      </c>
      <c r="E7387" t="inlineStr">
        <is>
          <t>$$ 500-1,000 /tháng</t>
        </is>
      </c>
      <c r="F7387" t="inlineStr">
        <is>
          <t>Hồ Chí Minh</t>
        </is>
      </c>
      <c r="G7387" t="inlineStr">
        <is>
          <t>Nhân viên</t>
        </is>
      </c>
      <c r="H7387" t="inlineStr">
        <is>
          <t>05/03/2026</t>
        </is>
      </c>
      <c r="I7387" t="inlineStr">
        <is>
          <t>04/04/2026</t>
        </is>
      </c>
      <c r="J7387" t="inlineStr">
        <is>
          <t>17/03/2026</t>
        </is>
      </c>
      <c r="K7387" t="inlineStr">
        <is>
          <t>N/A</t>
        </is>
      </c>
      <c r="L7387" t="inlineStr">
        <is>
          <t>Hạch Toán Nghiệp Vụ, Kiểm Soát Chứng Từ, Quản Lý Công Nợ, Quản Lý Dòng Tiền, Quản Lý Kho</t>
        </is>
      </c>
      <c r="M7387" t="inlineStr">
        <is>
          <t>Bonus, Healthcare Plan, Team Activities, Vouchers, Others</t>
        </is>
      </c>
      <c r="N7387" s="8">
        <f>HYPERLINK("https://www.vietnamworks.com/chuyen-vien-ke-toan-accounting-specialist-2018513-jv","Xem chi tiết")</f>
        <v/>
      </c>
    </row>
    <row r="7388">
      <c r="B7388" s="9" t="n">
        <v>7386</v>
      </c>
      <c r="C7388" s="10" t="inlineStr">
        <is>
          <t>Kỹ Sư Xây Dựng ( Thiết Kế Kết Cấu)</t>
        </is>
      </c>
      <c r="D7388" s="10" t="inlineStr">
        <is>
          <t>Công Ty TNHH CTCI Việt Nam</t>
        </is>
      </c>
      <c r="E7388" s="10" t="inlineStr">
        <is>
          <t>Thương lượng</t>
        </is>
      </c>
      <c r="F7388" s="10" t="inlineStr">
        <is>
          <t>Hà Nội</t>
        </is>
      </c>
      <c r="G7388" s="10" t="inlineStr">
        <is>
          <t>Nhân viên</t>
        </is>
      </c>
      <c r="H7388" s="10" t="inlineStr">
        <is>
          <t>05/03/2026</t>
        </is>
      </c>
      <c r="I7388" s="10" t="inlineStr">
        <is>
          <t>04/04/2026</t>
        </is>
      </c>
      <c r="J7388" s="10" t="inlineStr">
        <is>
          <t>17/03/2026</t>
        </is>
      </c>
      <c r="K7388" s="10" t="inlineStr">
        <is>
          <t>N/A</t>
        </is>
      </c>
      <c r="L7388" s="10" t="inlineStr">
        <is>
          <t>Revit, SAP2000, Thiết Kế Kết Cấu, Xây Dựng, AutoCad Drawings</t>
        </is>
      </c>
      <c r="M7388" s="10" t="inlineStr">
        <is>
          <t>Bonus, Healthcare Plan, Paid Leave, Others</t>
        </is>
      </c>
      <c r="N7388" s="11">
        <f>HYPERLINK("https://www.vietnamworks.com/ky-su-xay-dung-thiet-ke-ket-cau-2018502-jv","Xem chi tiết")</f>
        <v/>
      </c>
      <c r="O7388" s="10" t="n"/>
    </row>
    <row r="7389">
      <c r="B7389" s="7" t="n">
        <v>7387</v>
      </c>
      <c r="C7389" t="inlineStr">
        <is>
          <t>Revit Architect</t>
        </is>
      </c>
      <c r="D7389" t="inlineStr">
        <is>
          <t>Red Design GROUP</t>
        </is>
      </c>
      <c r="E7389" t="inlineStr">
        <is>
          <t>Thương lượng</t>
        </is>
      </c>
      <c r="F7389" t="inlineStr">
        <is>
          <t>Hồ Chí Minh</t>
        </is>
      </c>
      <c r="G7389" t="inlineStr">
        <is>
          <t>Nhân viên</t>
        </is>
      </c>
      <c r="H7389" t="inlineStr">
        <is>
          <t>05/03/2026</t>
        </is>
      </c>
      <c r="I7389" t="inlineStr">
        <is>
          <t>04/04/2026</t>
        </is>
      </c>
      <c r="J7389" t="inlineStr">
        <is>
          <t>17/03/2026</t>
        </is>
      </c>
      <c r="K7389" t="inlineStr">
        <is>
          <t>N/A</t>
        </is>
      </c>
      <c r="L7389" t="inlineStr">
        <is>
          <t>Sketchup, Revit, AutoCAD, Technical Drawing, BIM</t>
        </is>
      </c>
      <c r="M7389" t="inlineStr">
        <is>
          <t>Bonus, Healthcare Plan</t>
        </is>
      </c>
      <c r="N7389" s="8">
        <f>HYPERLINK("https://www.vietnamworks.com/revit-architect--2018505-jv","Xem chi tiết")</f>
        <v/>
      </c>
    </row>
    <row r="7390">
      <c r="B7390" s="9" t="n">
        <v>7388</v>
      </c>
      <c r="C7390" s="10" t="inlineStr">
        <is>
          <t>Chuyên Viên/chuyên Viên Cao Cấp Quản Lý Rủi Ro Dữ Liệu và Công Nghệ - Khối Quản Lý Rủi Ro</t>
        </is>
      </c>
      <c r="D7390" s="10" t="inlineStr">
        <is>
          <t>Ngân Hàng TMCP Việt Nam Thương Tín (Vietbank)</t>
        </is>
      </c>
      <c r="E7390" s="10" t="inlineStr">
        <is>
          <t>Thương lượng</t>
        </is>
      </c>
      <c r="F7390" s="10" t="inlineStr">
        <is>
          <t>Hồ Chí Minh</t>
        </is>
      </c>
      <c r="G7390" s="10" t="inlineStr">
        <is>
          <t>Nhân viên</t>
        </is>
      </c>
      <c r="H7390" s="10" t="inlineStr">
        <is>
          <t>05/03/2026</t>
        </is>
      </c>
      <c r="I7390" s="10" t="inlineStr">
        <is>
          <t>04/04/2026</t>
        </is>
      </c>
      <c r="J7390" s="10" t="inlineStr">
        <is>
          <t>17/03/2026</t>
        </is>
      </c>
      <c r="K7390" s="10" t="inlineStr">
        <is>
          <t>N/A</t>
        </is>
      </c>
      <c r="L7390" s="10" t="inlineStr">
        <is>
          <t>Ngân hàng, Tài Chính Kinh Tế, Toán Tài Chính</t>
        </is>
      </c>
      <c r="M7390" s="10" t="inlineStr">
        <is>
          <t>Bonus, Healthcare Plan, Training</t>
        </is>
      </c>
      <c r="N7390" s="11">
        <f>HYPERLINK("https://www.vietnamworks.com/chuyen-vien-chuyen-vien-cao-cap-quan-ly-rui-ro-du-lieu-va-cong-nghe-khoi-quan-ly-rui-ro-2018496-jv","Xem chi tiết")</f>
        <v/>
      </c>
      <c r="O7390" s="10" t="n"/>
    </row>
    <row r="7391">
      <c r="B7391" s="7" t="n">
        <v>7389</v>
      </c>
      <c r="C7391" t="inlineStr">
        <is>
          <t>Điều Phối Viên Quản Lý Dự Án - Viện Đào Tạo Quốc Tế, Trường Đại Học Kinh Tế, ĐHQGHN</t>
        </is>
      </c>
      <c r="D7391" t="inlineStr">
        <is>
          <t>Trường Đại Học Kinh Tế - ĐHQGHN</t>
        </is>
      </c>
      <c r="E7391" t="inlineStr">
        <is>
          <t>Từ 40tr ₫/tháng</t>
        </is>
      </c>
      <c r="F7391" t="inlineStr">
        <is>
          <t>Hà Nội</t>
        </is>
      </c>
      <c r="G7391" t="inlineStr">
        <is>
          <t>Nhân viên</t>
        </is>
      </c>
      <c r="H7391" t="inlineStr">
        <is>
          <t>05/03/2026</t>
        </is>
      </c>
      <c r="I7391" t="inlineStr">
        <is>
          <t>04/04/2026</t>
        </is>
      </c>
      <c r="J7391" t="inlineStr">
        <is>
          <t>17/03/2026</t>
        </is>
      </c>
      <c r="K7391" t="inlineStr">
        <is>
          <t>N/A</t>
        </is>
      </c>
      <c r="L7391" t="inlineStr">
        <is>
          <t>Quản Lý Dự Án, SỬ DỤNG CÔNG CỤ AI, Giao Tiếp Tiếng Anh, Lập Kế Hoạch, Phối Hợp Đa Bên</t>
        </is>
      </c>
      <c r="M7391" t="inlineStr">
        <is>
          <t>Bonus, Healthcare Plan, Travel Opportunities, Others</t>
        </is>
      </c>
      <c r="N7391" s="8">
        <f>HYPERLINK("https://www.vietnamworks.com/djieu-phoi-vien-quan-ly-du-an-vien-djao-tao-quoc-te-truong-djai-hoc-kinh-te-djhqghn-2018489-jv","Xem chi tiết")</f>
        <v/>
      </c>
    </row>
    <row r="7392">
      <c r="B7392" s="9" t="n">
        <v>7390</v>
      </c>
      <c r="C7392" s="10" t="inlineStr">
        <is>
          <t>Nhân Viên Kinh Doanh B2B</t>
        </is>
      </c>
      <c r="D7392" s="10" t="inlineStr">
        <is>
          <t>Công Ty Cổ Phần Cơ Khí Hồng Ký</t>
        </is>
      </c>
      <c r="E7392" s="10" t="inlineStr">
        <is>
          <t>$$ 500-700 /tháng</t>
        </is>
      </c>
      <c r="F7392" s="10" t="inlineStr">
        <is>
          <t>Hồ Chí Minh, Bà Rịa - Vũng Tàu</t>
        </is>
      </c>
      <c r="G7392" s="10" t="inlineStr">
        <is>
          <t>Nhân viên</t>
        </is>
      </c>
      <c r="H7392" s="10" t="inlineStr">
        <is>
          <t>05/03/2026</t>
        </is>
      </c>
      <c r="I7392" s="10" t="inlineStr">
        <is>
          <t>04/04/2026</t>
        </is>
      </c>
      <c r="J7392" s="10" t="inlineStr">
        <is>
          <t>17/03/2026</t>
        </is>
      </c>
      <c r="K7392" s="10" t="inlineStr">
        <is>
          <t>N/A</t>
        </is>
      </c>
      <c r="L7392" s="10" t="inlineStr">
        <is>
          <t>Tìm Kiếm Khách Hàng, Kinh Doanh, Bán Hàng, B2B Sales, Sales</t>
        </is>
      </c>
      <c r="M7392" s="10" t="inlineStr">
        <is>
          <t>Bonus, Healthcare Plan, Paid Leave</t>
        </is>
      </c>
      <c r="N7392" s="11">
        <f>HYPERLINK("https://www.vietnamworks.com/nhan-vien-kinh-doanh-b2b--2018490-jv","Xem chi tiết")</f>
        <v/>
      </c>
      <c r="O7392" s="10" t="n"/>
    </row>
    <row r="7393">
      <c r="B7393" s="7" t="n">
        <v>7391</v>
      </c>
      <c r="C7393" t="inlineStr">
        <is>
          <t>(Đống Đa, HN) Nhân Viên Truyền Thông Nội Bộ</t>
        </is>
      </c>
      <c r="D7393" t="inlineStr">
        <is>
          <t>Neos Vietnam International Co., Ltd</t>
        </is>
      </c>
      <c r="E7393" t="inlineStr">
        <is>
          <t>400-600 ₫/tháng</t>
        </is>
      </c>
      <c r="F7393" t="inlineStr">
        <is>
          <t>Hà Nội</t>
        </is>
      </c>
      <c r="G7393" t="inlineStr">
        <is>
          <t>Nhân viên</t>
        </is>
      </c>
      <c r="H7393" t="inlineStr">
        <is>
          <t>05/03/2026</t>
        </is>
      </c>
      <c r="I7393" t="inlineStr">
        <is>
          <t>04/04/2026</t>
        </is>
      </c>
      <c r="J7393" t="inlineStr">
        <is>
          <t>17/03/2026</t>
        </is>
      </c>
      <c r="K7393" t="inlineStr">
        <is>
          <t>N/A</t>
        </is>
      </c>
      <c r="L7393" t="inlineStr">
        <is>
          <t>Excel Skills, Truyền Thông Nhân Sự, Giao Tiếp Tốt, Năng Động Và Nhiệt Tình, Tổ Chức Sự Kiện</t>
        </is>
      </c>
      <c r="M7393" t="inlineStr">
        <is>
          <t>Training, Laptop, Others</t>
        </is>
      </c>
      <c r="N7393" s="8">
        <f>HYPERLINK("https://www.vietnamworks.com/dong-da-hn-nhan-vien-truyen-thong-noi-bo-2018518-jv","Xem chi tiết")</f>
        <v/>
      </c>
    </row>
    <row r="7394">
      <c r="B7394" s="9" t="n">
        <v>7392</v>
      </c>
      <c r="C7394" s="10" t="inlineStr">
        <is>
          <t>Invoicing Administrator</t>
        </is>
      </c>
      <c r="D7394" s="10" t="inlineStr">
        <is>
          <t>CÔNG TY TNHH VISY GLOBAL LOGISTICS (VIỆT NAM)</t>
        </is>
      </c>
      <c r="E7394" s="10" t="inlineStr">
        <is>
          <t>Thương lượng</t>
        </is>
      </c>
      <c r="F7394" s="10" t="inlineStr">
        <is>
          <t>Hồ Chí Minh</t>
        </is>
      </c>
      <c r="G7394" s="10" t="inlineStr">
        <is>
          <t>Nhân viên</t>
        </is>
      </c>
      <c r="H7394" s="10" t="inlineStr">
        <is>
          <t>05/03/2026</t>
        </is>
      </c>
      <c r="I7394" s="10" t="inlineStr">
        <is>
          <t>04/04/2026</t>
        </is>
      </c>
      <c r="J7394" s="10" t="inlineStr">
        <is>
          <t>17/03/2026</t>
        </is>
      </c>
      <c r="K7394" s="10" t="inlineStr">
        <is>
          <t>N/A</t>
        </is>
      </c>
      <c r="L7394" s="10" t="inlineStr">
        <is>
          <t>Data Management, Forwarding Operation, Data Administration, Data Entry, SAP</t>
        </is>
      </c>
      <c r="M7394" s="10" t="inlineStr">
        <is>
          <t>Bonus, Healthcare Plan, Paid Leave, Awards, Mobile, Travel Opportunities, Team Activities, Transportation, Vouchers, Others</t>
        </is>
      </c>
      <c r="N7394" s="11">
        <f>HYPERLINK("https://www.vietnamworks.com/invoicing-administrator-2018515-jv","Xem chi tiết")</f>
        <v/>
      </c>
      <c r="O7394" s="10" t="n"/>
    </row>
    <row r="7395">
      <c r="B7395" s="7" t="n">
        <v>7393</v>
      </c>
      <c r="C7395" t="inlineStr">
        <is>
          <t>Nhân Viên Kinh Doanh</t>
        </is>
      </c>
      <c r="D7395" t="inlineStr">
        <is>
          <t>Xuyen Dong Duong Trading &amp; Services Co., Ltd</t>
        </is>
      </c>
      <c r="E7395" t="inlineStr">
        <is>
          <t>Thương lượng</t>
        </is>
      </c>
      <c r="F7395" t="inlineStr">
        <is>
          <t>Hồ Chí Minh, Hà Nội, Đà Nẵng</t>
        </is>
      </c>
      <c r="G7395" t="inlineStr">
        <is>
          <t>Nhân viên</t>
        </is>
      </c>
      <c r="H7395" t="inlineStr">
        <is>
          <t>05/03/2026</t>
        </is>
      </c>
      <c r="I7395" t="inlineStr">
        <is>
          <t>04/04/2026</t>
        </is>
      </c>
      <c r="J7395" t="inlineStr">
        <is>
          <t>17/03/2026</t>
        </is>
      </c>
      <c r="K7395" t="inlineStr">
        <is>
          <t>N/A</t>
        </is>
      </c>
      <c r="L7395" t="inlineStr">
        <is>
          <t>Kinh Doanh, Phát Triển Thị Trường, Bán Hàng Kỹ Thuật, Dự Án Công Nghiệp, Kinh doanh &amp; Phát triển khách hàng</t>
        </is>
      </c>
      <c r="M7395" t="inlineStr">
        <is>
          <t>Bonus, Healthcare Plan, Training, Others</t>
        </is>
      </c>
      <c r="N7395" s="8">
        <f>HYPERLINK("https://www.vietnamworks.com/nhan-vien-kinh-doanh-2018503-jv","Xem chi tiết")</f>
        <v/>
      </c>
    </row>
    <row r="7396">
      <c r="B7396" s="9" t="n">
        <v>7394</v>
      </c>
      <c r="C7396" s="10" t="inlineStr">
        <is>
          <t>Nhân Viên QS (HCM)</t>
        </is>
      </c>
      <c r="D7396" s="10" t="inlineStr">
        <is>
          <t>BMB&amp;A JSC.</t>
        </is>
      </c>
      <c r="E7396" s="10" t="inlineStr">
        <is>
          <t>12tr-16tr ₫/tháng</t>
        </is>
      </c>
      <c r="F7396" s="10" t="inlineStr">
        <is>
          <t>Hồ Chí Minh</t>
        </is>
      </c>
      <c r="G7396" s="10" t="inlineStr">
        <is>
          <t>Mới Tốt Nghiệp</t>
        </is>
      </c>
      <c r="H7396" s="10" t="inlineStr">
        <is>
          <t>05/03/2026</t>
        </is>
      </c>
      <c r="I7396" s="10" t="inlineStr">
        <is>
          <t>04/04/2026</t>
        </is>
      </c>
      <c r="J7396" s="10" t="inlineStr">
        <is>
          <t>17/03/2026</t>
        </is>
      </c>
      <c r="K7396" s="10" t="inlineStr">
        <is>
          <t>N/A</t>
        </is>
      </c>
      <c r="L7396" s="10" t="inlineStr">
        <is>
          <t>Giao Tiếp Tiếng Anh, Thành thạo MS Office, Phần Mềm CAD, Thuyết Trình, Làm Việc Nhóm</t>
        </is>
      </c>
      <c r="M7396" s="10" t="inlineStr">
        <is>
          <t>Bonus, Healthcare Plan, Training, Travel Opportunities, Others</t>
        </is>
      </c>
      <c r="N7396" s="11">
        <f>HYPERLINK("https://www.vietnamworks.com/nhan-vien-qs-hcm-2018495-jv","Xem chi tiết")</f>
        <v/>
      </c>
      <c r="O7396" s="10" t="n"/>
    </row>
    <row r="7397">
      <c r="B7397" s="7" t="n">
        <v>7395</v>
      </c>
      <c r="C7397" t="inlineStr">
        <is>
          <t>[HCMC] - Sales Executive</t>
        </is>
      </c>
      <c r="D7397" t="inlineStr">
        <is>
          <t>a. Hartrodt Logistics (Vietnam) Co., Ltd</t>
        </is>
      </c>
      <c r="E7397" t="inlineStr">
        <is>
          <t>Thương lượng</t>
        </is>
      </c>
      <c r="F7397" t="inlineStr">
        <is>
          <t>Hồ Chí Minh, Đà Nẵng</t>
        </is>
      </c>
      <c r="G7397" t="inlineStr">
        <is>
          <t>Nhân viên</t>
        </is>
      </c>
      <c r="H7397" t="inlineStr">
        <is>
          <t>05/03/2026</t>
        </is>
      </c>
      <c r="I7397" t="inlineStr">
        <is>
          <t>04/04/2026</t>
        </is>
      </c>
      <c r="J7397" t="inlineStr">
        <is>
          <t>17/03/2026</t>
        </is>
      </c>
      <c r="K7397" t="inlineStr">
        <is>
          <t>N/A</t>
        </is>
      </c>
      <c r="L7397" t="inlineStr">
        <is>
          <t>Logistics Sales, Freight Forwarding, B2B Sales, Sales Planning, Contract Negotiation</t>
        </is>
      </c>
      <c r="M7397" t="inlineStr">
        <is>
          <t>Healthcare Plan, Paid Leave, Training</t>
        </is>
      </c>
      <c r="N7397" s="8">
        <f>HYPERLINK("https://www.vietnamworks.com/hcmc-sales-executive--2018516-jv","Xem chi tiết")</f>
        <v/>
      </c>
    </row>
    <row r="7398">
      <c r="B7398" s="9" t="n">
        <v>7396</v>
      </c>
      <c r="C7398" s="10" t="inlineStr">
        <is>
          <t>Nhân Viên Kinh Doanh Biết Tiếng Trung (Sales Staff With Chinese Proficiency)</t>
        </is>
      </c>
      <c r="D7398" s="10" t="inlineStr">
        <is>
          <t>Công Ty TNHH Cese2 (Việt Nam)</t>
        </is>
      </c>
      <c r="E7398" s="10" t="inlineStr">
        <is>
          <t>15tr-30tr ₫/tháng</t>
        </is>
      </c>
      <c r="F7398" s="10" t="inlineStr">
        <is>
          <t>Bắc Ninh</t>
        </is>
      </c>
      <c r="G7398" s="10" t="inlineStr">
        <is>
          <t>Mới Tốt Nghiệp</t>
        </is>
      </c>
      <c r="H7398" s="10" t="inlineStr">
        <is>
          <t>05/03/2026</t>
        </is>
      </c>
      <c r="I7398" s="10" t="inlineStr">
        <is>
          <t>04/04/2026</t>
        </is>
      </c>
      <c r="J7398" s="10" t="inlineStr">
        <is>
          <t>17/03/2026</t>
        </is>
      </c>
      <c r="K7398" s="10" t="inlineStr">
        <is>
          <t>N/A</t>
        </is>
      </c>
      <c r="L7398" s="10" t="inlineStr">
        <is>
          <t>Kỹ năng giao tiếp, Làm Việc Nhóm, Làm việc độc lập, Thuyết Trình, Tiếng Trung</t>
        </is>
      </c>
      <c r="M7398" s="10" t="inlineStr">
        <is>
          <t>Bonus, Healthcare Plan, Training, Others</t>
        </is>
      </c>
      <c r="N7398" s="11">
        <f>HYPERLINK("https://www.vietnamworks.com/nhan-vien-kinh-doanh-biet-tieng-trung-sales-staff-with-chinese-proficiency-2018511-jv","Xem chi tiết")</f>
        <v/>
      </c>
      <c r="O7398" s="10" t="n"/>
    </row>
    <row r="7399">
      <c r="B7399" s="7" t="n">
        <v>7397</v>
      </c>
      <c r="C7399" t="inlineStr">
        <is>
          <t>Talent Acquisition</t>
        </is>
      </c>
      <c r="D7399" t="inlineStr">
        <is>
          <t>Hệ Thống Giáo Dục Victoria School</t>
        </is>
      </c>
      <c r="E7399" t="inlineStr">
        <is>
          <t>Thương lượng</t>
        </is>
      </c>
      <c r="F7399" t="inlineStr">
        <is>
          <t>Hồ Chí Minh</t>
        </is>
      </c>
      <c r="G7399" t="inlineStr">
        <is>
          <t>Nhân viên</t>
        </is>
      </c>
      <c r="H7399" t="inlineStr">
        <is>
          <t>05/03/2026</t>
        </is>
      </c>
      <c r="I7399" t="inlineStr">
        <is>
          <t>04/04/2026</t>
        </is>
      </c>
      <c r="J7399" t="inlineStr">
        <is>
          <t>17/03/2026</t>
        </is>
      </c>
      <c r="K7399" t="inlineStr">
        <is>
          <t>N/A</t>
        </is>
      </c>
      <c r="L7399" t="inlineStr">
        <is>
          <t>Talent Acquisition, Recruitment, Business Administration, HR, Education Recruitment</t>
        </is>
      </c>
      <c r="M7399" t="inlineStr">
        <is>
          <t>Bonus, Healthcare Plan, Paid Leave, Training, Library, Team Activities, Canteen, Vouchers</t>
        </is>
      </c>
      <c r="N7399" s="8">
        <f>HYPERLINK("https://www.vietnamworks.com/talent-acquisition-2018493-jv","Xem chi tiết")</f>
        <v/>
      </c>
    </row>
    <row r="7400">
      <c r="B7400" s="9" t="n">
        <v>7398</v>
      </c>
      <c r="C7400" s="10" t="inlineStr">
        <is>
          <t>Quality Supervisor</t>
        </is>
      </c>
      <c r="D7400" s="10" t="inlineStr">
        <is>
          <t>Avery Dennison Vietnam</t>
        </is>
      </c>
      <c r="E7400" s="10" t="inlineStr">
        <is>
          <t>Thương lượng</t>
        </is>
      </c>
      <c r="F7400" s="10" t="inlineStr">
        <is>
          <t>Long An</t>
        </is>
      </c>
      <c r="G7400" s="10" t="inlineStr">
        <is>
          <t>Nhân viên</t>
        </is>
      </c>
      <c r="H7400" s="10" t="inlineStr">
        <is>
          <t>05/03/2026</t>
        </is>
      </c>
      <c r="I7400" s="10" t="inlineStr">
        <is>
          <t>04/04/2026</t>
        </is>
      </c>
      <c r="J7400" s="10" t="inlineStr">
        <is>
          <t>17/03/2026</t>
        </is>
      </c>
      <c r="K7400" s="10" t="inlineStr">
        <is>
          <t>N/A</t>
        </is>
      </c>
      <c r="L7400" s="10" t="inlineStr">
        <is>
          <t>Lean Manufacturing, Project Management, Quality Assurance, Six Sigma, Team Building</t>
        </is>
      </c>
      <c r="M7400" s="10" t="inlineStr">
        <is>
          <t>Bonus, Healthcare Plan, Transportation, Canteen</t>
        </is>
      </c>
      <c r="N7400" s="11">
        <f>HYPERLINK("https://www.vietnamworks.com/quality-supervisor-2018481-jv","Xem chi tiết")</f>
        <v/>
      </c>
      <c r="O7400" s="10" t="n"/>
    </row>
    <row r="7401">
      <c r="B7401" s="7" t="n">
        <v>7399</v>
      </c>
      <c r="C7401" t="inlineStr">
        <is>
          <t>Chubb Life - Manager, Investment</t>
        </is>
      </c>
      <c r="D7401" t="inlineStr">
        <is>
          <t>Chubb Life Vietnam</t>
        </is>
      </c>
      <c r="E7401" t="inlineStr">
        <is>
          <t>Thương lượng</t>
        </is>
      </c>
      <c r="F7401" t="inlineStr">
        <is>
          <t>Hồ Chí Minh</t>
        </is>
      </c>
      <c r="G7401" t="inlineStr">
        <is>
          <t>Nhân viên</t>
        </is>
      </c>
      <c r="H7401" t="inlineStr">
        <is>
          <t>05/03/2026</t>
        </is>
      </c>
      <c r="I7401" t="inlineStr">
        <is>
          <t>04/04/2026</t>
        </is>
      </c>
      <c r="J7401" t="inlineStr">
        <is>
          <t>17/03/2026</t>
        </is>
      </c>
      <c r="K7401" t="inlineStr">
        <is>
          <t>N/A</t>
        </is>
      </c>
      <c r="L7401" t="inlineStr">
        <is>
          <t>Fund Management, Quản Lý Quỹ, Quản Lý Quỹ Đầu Tư, Investment, Life Insurance</t>
        </is>
      </c>
      <c r="M7401" t="inlineStr">
        <is>
          <t>Healthcare Plan, Paid Leave, Travel Opportunities</t>
        </is>
      </c>
      <c r="N7401" s="8">
        <f>HYPERLINK("https://www.vietnamworks.com/chubb-life-manager-investment-2018508-jv","Xem chi tiết")</f>
        <v/>
      </c>
    </row>
    <row r="7402">
      <c r="B7402" s="9" t="n">
        <v>7400</v>
      </c>
      <c r="C7402" s="10" t="inlineStr">
        <is>
          <t>[HAN] - Sales Executive (Attractive and Competitive Income)</t>
        </is>
      </c>
      <c r="D7402" s="10" t="inlineStr">
        <is>
          <t>a. Hartrodt Logistics (Vietnam) Co., Ltd</t>
        </is>
      </c>
      <c r="E7402" s="10" t="inlineStr">
        <is>
          <t>Từ 10tr ₫/tháng</t>
        </is>
      </c>
      <c r="F7402" s="10" t="inlineStr">
        <is>
          <t>Hà Nội</t>
        </is>
      </c>
      <c r="G7402" s="10" t="inlineStr">
        <is>
          <t>Nhân viên</t>
        </is>
      </c>
      <c r="H7402" s="10" t="inlineStr">
        <is>
          <t>05/03/2026</t>
        </is>
      </c>
      <c r="I7402" s="10" t="inlineStr">
        <is>
          <t>04/04/2026</t>
        </is>
      </c>
      <c r="J7402" s="10" t="inlineStr">
        <is>
          <t>17/03/2026</t>
        </is>
      </c>
      <c r="K7402" s="10" t="inlineStr">
        <is>
          <t>N/A</t>
        </is>
      </c>
      <c r="L7402" s="10" t="inlineStr">
        <is>
          <t>Logistics Sales, B2B Sales, Relationship Maintaining, English, Sales Planning</t>
        </is>
      </c>
      <c r="M7402" s="10" t="inlineStr">
        <is>
          <t>Healthcare Plan, Paid Leave, Training</t>
        </is>
      </c>
      <c r="N7402" s="11">
        <f>HYPERLINK("https://www.vietnamworks.com/han-sales-executive-attractive-and-competitive-income--2018517-jv","Xem chi tiết")</f>
        <v/>
      </c>
      <c r="O7402" s="10" t="n"/>
    </row>
    <row r="7403">
      <c r="B7403" s="7" t="n">
        <v>7401</v>
      </c>
      <c r="C7403" t="inlineStr">
        <is>
          <t>Mechanical Engineer (Native Korean Speaker)</t>
        </is>
      </c>
      <c r="D7403" t="inlineStr">
        <is>
          <t>Samsung Electronics HCMC CE Complex</t>
        </is>
      </c>
      <c r="E7403" t="inlineStr">
        <is>
          <t>Thương lượng</t>
        </is>
      </c>
      <c r="F7403" t="inlineStr">
        <is>
          <t>Hồ Chí Minh</t>
        </is>
      </c>
      <c r="G7403" t="inlineStr">
        <is>
          <t>Nhân viên</t>
        </is>
      </c>
      <c r="H7403" t="inlineStr">
        <is>
          <t>05/03/2026</t>
        </is>
      </c>
      <c r="I7403" t="inlineStr">
        <is>
          <t>04/04/2026</t>
        </is>
      </c>
      <c r="J7403" t="inlineStr">
        <is>
          <t>17/03/2026</t>
        </is>
      </c>
      <c r="K7403" t="inlineStr">
        <is>
          <t>N/A</t>
        </is>
      </c>
      <c r="L7403" t="inlineStr">
        <is>
          <t>Mechanical, English Or Korean, Auto Cad, Mold Design, NPI</t>
        </is>
      </c>
      <c r="M7403" t="inlineStr">
        <is>
          <t>Bonus, Healthcare Plan, Training</t>
        </is>
      </c>
      <c r="N7403" s="8">
        <f>HYPERLINK("https://www.vietnamworks.com/mechanical-engineer-native-korean-speaker--2018522-jv","Xem chi tiết")</f>
        <v/>
      </c>
    </row>
    <row r="7404">
      <c r="B7404" s="9" t="n">
        <v>7402</v>
      </c>
      <c r="C7404" s="10" t="inlineStr">
        <is>
          <t>Kỹ Sư Cơ Khí Chế Tạo Máy (Thành Thạo Solidwork)</t>
        </is>
      </c>
      <c r="D7404" s="10" t="inlineStr">
        <is>
          <t>Công Ty TNHH Máy &amp; Thiết Bị Kim Tiến Đức</t>
        </is>
      </c>
      <c r="E7404" s="10" t="inlineStr">
        <is>
          <t>10tr-18tr ₫/tháng</t>
        </is>
      </c>
      <c r="F7404" s="10" t="inlineStr">
        <is>
          <t>Hồ Chí Minh</t>
        </is>
      </c>
      <c r="G7404" s="10" t="inlineStr">
        <is>
          <t>Nhân viên</t>
        </is>
      </c>
      <c r="H7404" s="10" t="inlineStr">
        <is>
          <t>05/03/2026</t>
        </is>
      </c>
      <c r="I7404" s="10" t="inlineStr">
        <is>
          <t>04/04/2026</t>
        </is>
      </c>
      <c r="J7404" s="10" t="inlineStr">
        <is>
          <t>17/03/2026</t>
        </is>
      </c>
      <c r="K7404" s="10" t="inlineStr">
        <is>
          <t>N/A</t>
        </is>
      </c>
      <c r="L7404" s="10" t="inlineStr">
        <is>
          <t>Thiết Kế Cơ Khí, SolidWorks, AutoCAD, Bóc Tách Bản Vẽ Thiết Kế, Quản Lý Dự Án</t>
        </is>
      </c>
      <c r="M7404" s="10" t="inlineStr">
        <is>
          <t>Bonus, Healthcare Plan, Awards</t>
        </is>
      </c>
      <c r="N7404" s="11">
        <f>HYPERLINK("https://www.vietnamworks.com/ky-su-co-khi-che-tao-may-thanh-thao-solidwork--2018500-jv","Xem chi tiết")</f>
        <v/>
      </c>
      <c r="O7404" s="10" t="n"/>
    </row>
    <row r="7405">
      <c r="B7405" s="7" t="n">
        <v>7403</v>
      </c>
      <c r="C7405" t="inlineStr">
        <is>
          <t>Design 3D (Stage Design, Event Design)</t>
        </is>
      </c>
      <c r="D7405" t="inlineStr">
        <is>
          <t>Mystery Of Mekong Travel CO., LTD</t>
        </is>
      </c>
      <c r="E7405" t="inlineStr">
        <is>
          <t>Thương lượng</t>
        </is>
      </c>
      <c r="F7405" t="inlineStr">
        <is>
          <t>Hồ Chí Minh</t>
        </is>
      </c>
      <c r="G7405" t="inlineStr">
        <is>
          <t>Nhân viên</t>
        </is>
      </c>
      <c r="H7405" t="inlineStr">
        <is>
          <t>05/03/2026</t>
        </is>
      </c>
      <c r="I7405" t="inlineStr">
        <is>
          <t>04/04/2026</t>
        </is>
      </c>
      <c r="J7405" t="inlineStr">
        <is>
          <t>17/03/2026</t>
        </is>
      </c>
      <c r="K7405" t="inlineStr">
        <is>
          <t>N/A</t>
        </is>
      </c>
      <c r="L7405" t="inlineStr">
        <is>
          <t>Graphic Design, Illustrator, Indesign, 3D Design, Thiết Kế 3D</t>
        </is>
      </c>
      <c r="M7405" t="inlineStr">
        <is>
          <t>Bonus, Healthcare Plan, Travel Opportunities, Others</t>
        </is>
      </c>
      <c r="N7405" s="8">
        <f>HYPERLINK("https://www.vietnamworks.com/design-3d-stage-design-event-design-2018538-jv","Xem chi tiết")</f>
        <v/>
      </c>
    </row>
    <row r="7406">
      <c r="B7406" s="9" t="n">
        <v>7404</v>
      </c>
      <c r="C7406" s="10" t="inlineStr">
        <is>
          <t>Chuyên Viên Giám Định Bồi Thường Hàng Hải - Ban Giám Định Bồi Thường Hàng Hải</t>
        </is>
      </c>
      <c r="D7406" s="10" t="inlineStr">
        <is>
          <t>Tổng Công Ty Bảo Hiểm Bảo Việt</t>
        </is>
      </c>
      <c r="E7406" s="10" t="inlineStr">
        <is>
          <t>Thương lượng</t>
        </is>
      </c>
      <c r="F7406" s="10" t="inlineStr">
        <is>
          <t>Hà Nội</t>
        </is>
      </c>
      <c r="G7406" s="10" t="inlineStr">
        <is>
          <t>Nhân viên</t>
        </is>
      </c>
      <c r="H7406" s="10" t="inlineStr">
        <is>
          <t>05/03/2026</t>
        </is>
      </c>
      <c r="I7406" s="10" t="inlineStr">
        <is>
          <t>04/04/2026</t>
        </is>
      </c>
      <c r="J7406" s="10" t="inlineStr">
        <is>
          <t>17/03/2026</t>
        </is>
      </c>
      <c r="K7406" s="10" t="inlineStr">
        <is>
          <t>N/A</t>
        </is>
      </c>
      <c r="L7406" s="10" t="inlineStr">
        <is>
          <t>Hàng Hải, Bồi Thường Bảo Hiểm, Claims Handling, Marine Insurance, Subrogation Recovery</t>
        </is>
      </c>
      <c r="M7406" s="10" t="inlineStr">
        <is>
          <t>Bonus, Healthcare Plan, Others</t>
        </is>
      </c>
      <c r="N7406" s="11">
        <f>HYPERLINK("https://www.vietnamworks.com/chuyen-vien-giam-dinh-boi-thuong-hang-hai-ban-giam-dinh-boi-thuong-hang-hai-2018532-jv","Xem chi tiết")</f>
        <v/>
      </c>
      <c r="O7406" s="10" t="n"/>
    </row>
    <row r="7407">
      <c r="B7407" s="7" t="n">
        <v>7405</v>
      </c>
      <c r="C7407" t="inlineStr">
        <is>
          <t>Head/Manager of Business Development</t>
        </is>
      </c>
      <c r="D7407" t="inlineStr">
        <is>
          <t>Truemoney Việt Nam</t>
        </is>
      </c>
      <c r="E7407" t="inlineStr">
        <is>
          <t>Thương lượng</t>
        </is>
      </c>
      <c r="F7407" t="inlineStr">
        <is>
          <t>Hồ Chí Minh</t>
        </is>
      </c>
      <c r="G7407" t="inlineStr">
        <is>
          <t>Trưởng phòng</t>
        </is>
      </c>
      <c r="H7407" t="inlineStr">
        <is>
          <t>05/03/2026</t>
        </is>
      </c>
      <c r="I7407" t="inlineStr">
        <is>
          <t>04/04/2026</t>
        </is>
      </c>
      <c r="J7407" t="inlineStr">
        <is>
          <t>17/03/2026</t>
        </is>
      </c>
      <c r="K7407" t="inlineStr">
        <is>
          <t>N/A</t>
        </is>
      </c>
      <c r="L7407" t="inlineStr">
        <is>
          <t>English, B2B, E commerce, Finance, Fintech</t>
        </is>
      </c>
      <c r="M7407" t="inlineStr">
        <is>
          <t>Bonus, Paid Leave, Training, Mobile, Team Activities, Others</t>
        </is>
      </c>
      <c r="N7407" s="8">
        <f>HYPERLINK("https://www.vietnamworks.com/headmanager-of-business-development-2018514-jv","Xem chi tiết")</f>
        <v/>
      </c>
    </row>
    <row r="7408">
      <c r="B7408" s="9" t="n">
        <v>7406</v>
      </c>
      <c r="C7408" s="10" t="inlineStr">
        <is>
          <t>Trưởng Phòng Thu Mua (Purchasing Manager)</t>
        </is>
      </c>
      <c r="D7408" s="10" t="inlineStr">
        <is>
          <t>CÔNG TY CP DAE-HAN</t>
        </is>
      </c>
      <c r="E7408" s="10" t="inlineStr">
        <is>
          <t>Từ 30tr ₫/tháng</t>
        </is>
      </c>
      <c r="F7408" s="10" t="inlineStr">
        <is>
          <t>Hồ Chí Minh</t>
        </is>
      </c>
      <c r="G7408" s="10" t="inlineStr">
        <is>
          <t>Trưởng phòng</t>
        </is>
      </c>
      <c r="H7408" s="10" t="inlineStr">
        <is>
          <t>05/03/2026</t>
        </is>
      </c>
      <c r="I7408" s="10" t="inlineStr">
        <is>
          <t>04/04/2026</t>
        </is>
      </c>
      <c r="J7408" s="10" t="inlineStr">
        <is>
          <t>17/03/2026</t>
        </is>
      </c>
      <c r="K7408" s="10" t="inlineStr">
        <is>
          <t>N/A</t>
        </is>
      </c>
      <c r="L7408" s="10" t="inlineStr">
        <is>
          <t>Negotiation Skills, Contract Management, Purchase Management, Cost Management, Legal &amp; Compliance</t>
        </is>
      </c>
      <c r="M7408" s="10" t="inlineStr">
        <is>
          <t>Bonus, Healthcare Plan, Others</t>
        </is>
      </c>
      <c r="N7408" s="11">
        <f>HYPERLINK("https://www.vietnamworks.com/truong-phong-thu-mua-purchasing-manager--2018528-jv","Xem chi tiết")</f>
        <v/>
      </c>
      <c r="O7408" s="10" t="n"/>
    </row>
    <row r="7409">
      <c r="B7409" s="7" t="n">
        <v>7407</v>
      </c>
      <c r="C7409" t="inlineStr">
        <is>
          <t>Chuyên Viên Quản Lý Rủi Ro Tín Dụng - Khối Quản Lý Rủi Ro</t>
        </is>
      </c>
      <c r="D7409" t="inlineStr">
        <is>
          <t>Ngân Hàng TMCP Việt Nam Thương Tín (Vietbank)</t>
        </is>
      </c>
      <c r="E7409" t="inlineStr">
        <is>
          <t>Thương lượng</t>
        </is>
      </c>
      <c r="F7409" t="inlineStr">
        <is>
          <t>Hồ Chí Minh</t>
        </is>
      </c>
      <c r="G7409" t="inlineStr">
        <is>
          <t>Nhân viên</t>
        </is>
      </c>
      <c r="H7409" t="inlineStr">
        <is>
          <t>05/03/2026</t>
        </is>
      </c>
      <c r="I7409" t="inlineStr">
        <is>
          <t>04/04/2026</t>
        </is>
      </c>
      <c r="J7409" t="inlineStr">
        <is>
          <t>17/03/2026</t>
        </is>
      </c>
      <c r="K7409" t="inlineStr">
        <is>
          <t>N/A</t>
        </is>
      </c>
      <c r="L7409" t="inlineStr">
        <is>
          <t>Ngân hàng, Luật, Quản Lý Rủi Ro, Credit Risk</t>
        </is>
      </c>
      <c r="M7409" t="inlineStr">
        <is>
          <t>Bonus, Healthcare Plan, Training</t>
        </is>
      </c>
      <c r="N7409" s="8">
        <f>HYPERLINK("https://www.vietnamworks.com/chuyen-vien-quan-ly-rui-ro-tin-dung-khoi-quan-ly-rui-ro--2018523-jv","Xem chi tiết")</f>
        <v/>
      </c>
    </row>
    <row r="7410">
      <c r="B7410" s="9" t="n">
        <v>7408</v>
      </c>
      <c r="C7410" s="10" t="inlineStr">
        <is>
          <t>[HN] AI Engineer</t>
        </is>
      </c>
      <c r="D7410" s="10" t="inlineStr">
        <is>
          <t>CÔNG TY TNHH YIC ONE</t>
        </is>
      </c>
      <c r="E7410" s="10" t="inlineStr">
        <is>
          <t>Thương lượng</t>
        </is>
      </c>
      <c r="F7410" s="10" t="inlineStr">
        <is>
          <t>Hà Nội</t>
        </is>
      </c>
      <c r="G7410" s="10" t="inlineStr">
        <is>
          <t>Nhân viên</t>
        </is>
      </c>
      <c r="H7410" s="10" t="inlineStr">
        <is>
          <t>05/03/2026</t>
        </is>
      </c>
      <c r="I7410" s="10" t="inlineStr">
        <is>
          <t>04/04/2026</t>
        </is>
      </c>
      <c r="J7410" s="10" t="inlineStr">
        <is>
          <t>17/03/2026</t>
        </is>
      </c>
      <c r="K7410" s="10" t="inlineStr">
        <is>
          <t>N/A</t>
        </is>
      </c>
      <c r="L7410" s="10" t="inlineStr">
        <is>
          <t>Python-Based Ai Development, OpenAPI, MS Office, OCR, Python</t>
        </is>
      </c>
      <c r="M7410" s="10" t="inlineStr">
        <is>
          <t>Bonus, Healthcare Plan, Paid Leave, Training, Laptop, Team Activities</t>
        </is>
      </c>
      <c r="N7410" s="11">
        <f>HYPERLINK("https://www.vietnamworks.com/hn-ai-engineer-2018524-jv","Xem chi tiết")</f>
        <v/>
      </c>
      <c r="O7410" s="10" t="n"/>
    </row>
    <row r="7411">
      <c r="B7411" s="7" t="n">
        <v>7409</v>
      </c>
      <c r="C7411" t="inlineStr">
        <is>
          <t>Portfolio Manager - Equity Investment</t>
        </is>
      </c>
      <c r="D7411" t="inlineStr">
        <is>
          <t>Công Ty Cổ Phần Quản Lý Quỹ Amber</t>
        </is>
      </c>
      <c r="E7411" t="inlineStr">
        <is>
          <t>Thương lượng</t>
        </is>
      </c>
      <c r="F7411" t="inlineStr">
        <is>
          <t>Hà Nội</t>
        </is>
      </c>
      <c r="G7411" t="inlineStr">
        <is>
          <t>Trưởng phòng</t>
        </is>
      </c>
      <c r="H7411" t="inlineStr">
        <is>
          <t>05/03/2026</t>
        </is>
      </c>
      <c r="I7411" t="inlineStr">
        <is>
          <t>04/04/2026</t>
        </is>
      </c>
      <c r="J7411" t="inlineStr">
        <is>
          <t>17/03/2026</t>
        </is>
      </c>
      <c r="K7411" t="inlineStr">
        <is>
          <t>N/A</t>
        </is>
      </c>
      <c r="L7411" t="inlineStr">
        <is>
          <t>CFA, Financial Modeling, Stock Market Analysis, Portfolio Management, Quản Lý Danh Mục</t>
        </is>
      </c>
      <c r="M7411" t="inlineStr">
        <is>
          <t>Bonus, Healthcare Plan, Paid Leave, Team Activities, Others</t>
        </is>
      </c>
      <c r="N7411" s="8">
        <f>HYPERLINK("https://www.vietnamworks.com/portfolio-manager-equity-investment-2018533-jv","Xem chi tiết")</f>
        <v/>
      </c>
    </row>
    <row r="7412">
      <c r="B7412" s="9" t="n">
        <v>7410</v>
      </c>
      <c r="C7412" s="10" t="inlineStr">
        <is>
          <t>Nhân Viên Khai Báo Thủ Tục Hải Quan</t>
        </is>
      </c>
      <c r="D7412" s="10" t="inlineStr">
        <is>
          <t>Mn Shipping CO., Ltd- Vietnam</t>
        </is>
      </c>
      <c r="E7412" s="10" t="inlineStr">
        <is>
          <t>Từ $ 500 /tháng</t>
        </is>
      </c>
      <c r="F7412" s="10" t="inlineStr">
        <is>
          <t>Hà Nội, Hải Phòng</t>
        </is>
      </c>
      <c r="G7412" s="10" t="inlineStr">
        <is>
          <t>Nhân viên</t>
        </is>
      </c>
      <c r="H7412" s="10" t="inlineStr">
        <is>
          <t>05/03/2026</t>
        </is>
      </c>
      <c r="I7412" s="10" t="inlineStr">
        <is>
          <t>04/04/2026</t>
        </is>
      </c>
      <c r="J7412" s="10" t="inlineStr">
        <is>
          <t>17/03/2026</t>
        </is>
      </c>
      <c r="K7412" s="10" t="inlineStr">
        <is>
          <t>N/A</t>
        </is>
      </c>
      <c r="L7412" s="10" t="inlineStr">
        <is>
          <t>Khai Báo Hải Quan, Chứng Từ Xuất Nhập Khẩu, Customs Clearance, Logistics, Xuất Nhập Khẩu</t>
        </is>
      </c>
      <c r="M7412" s="10" t="inlineStr">
        <is>
          <t>Bonus, Healthcare Plan, Travel Opportunities</t>
        </is>
      </c>
      <c r="N7412" s="11">
        <f>HYPERLINK("https://www.vietnamworks.com/nhan-vien-khai-bao-thu-tuc-hai-quan--2018535-jv","Xem chi tiết")</f>
        <v/>
      </c>
      <c r="O7412" s="10" t="n"/>
    </row>
    <row r="7413">
      <c r="B7413" s="7" t="n">
        <v>7411</v>
      </c>
      <c r="C7413" t="inlineStr">
        <is>
          <t>Phiên Dịch Tiếng Trung (Quảng Ninh)</t>
        </is>
      </c>
      <c r="D7413" t="inlineStr">
        <is>
          <t>Công Ty TNHH Cese2 (Việt Nam)</t>
        </is>
      </c>
      <c r="E7413" t="inlineStr">
        <is>
          <t>15tr-35tr ₫/tháng</t>
        </is>
      </c>
      <c r="F7413" t="inlineStr">
        <is>
          <t>Bắc Ninh</t>
        </is>
      </c>
      <c r="G7413" t="inlineStr">
        <is>
          <t>Nhân viên</t>
        </is>
      </c>
      <c r="H7413" t="inlineStr">
        <is>
          <t>05/03/2026</t>
        </is>
      </c>
      <c r="I7413" t="inlineStr">
        <is>
          <t>04/04/2026</t>
        </is>
      </c>
      <c r="J7413" t="inlineStr">
        <is>
          <t>17/03/2026</t>
        </is>
      </c>
      <c r="K7413" t="inlineStr">
        <is>
          <t>N/A</t>
        </is>
      </c>
      <c r="L7413" t="inlineStr">
        <is>
          <t>Biên Dịch Tiếng Trung, Kỹ năng giao tiếp, Kỹ Thuật Xây Dựng, Làm Việc Nhóm, Quản Lý Thời Gian</t>
        </is>
      </c>
      <c r="M7413" t="inlineStr">
        <is>
          <t>Bonus, Paid Leave, Training, Others</t>
        </is>
      </c>
      <c r="N7413" s="8">
        <f>HYPERLINK("https://www.vietnamworks.com/phien-dich-tieng-trung-quang-ninh-2018534-jv","Xem chi tiết")</f>
        <v/>
      </c>
    </row>
    <row r="7414">
      <c r="B7414" s="9" t="n">
        <v>7412</v>
      </c>
      <c r="C7414" s="10" t="inlineStr">
        <is>
          <t>Thư Ký Chất Lượng (Iatf16946 Control Staff)-Accept Fresher</t>
        </is>
      </c>
      <c r="D7414" s="10" t="inlineStr">
        <is>
          <t>HYUNDAI Kefico</t>
        </is>
      </c>
      <c r="E7414" s="10" t="inlineStr">
        <is>
          <t>Thương lượng</t>
        </is>
      </c>
      <c r="F7414" s="10" t="inlineStr">
        <is>
          <t>Hải Dương</t>
        </is>
      </c>
      <c r="G7414" s="10" t="inlineStr">
        <is>
          <t>Mới Tốt Nghiệp</t>
        </is>
      </c>
      <c r="H7414" s="10" t="inlineStr">
        <is>
          <t>05/03/2026</t>
        </is>
      </c>
      <c r="I7414" s="10" t="inlineStr">
        <is>
          <t>04/04/2026</t>
        </is>
      </c>
      <c r="J7414" s="10" t="inlineStr">
        <is>
          <t>17/03/2026</t>
        </is>
      </c>
      <c r="K7414" s="10" t="inlineStr">
        <is>
          <t>N/A</t>
        </is>
      </c>
      <c r="L7414" s="10" t="inlineStr">
        <is>
          <t>English proficiency, Proactive And Dynamic, Iso / Iatf, Manufacturing</t>
        </is>
      </c>
      <c r="M7414" s="10" t="inlineStr">
        <is>
          <t>Paid Leave, Training, Transportation</t>
        </is>
      </c>
      <c r="N7414" s="11">
        <f>HYPERLINK("https://www.vietnamworks.com/thu-ky-chat-luong-iatf16946-control-staff-accept-fresher-2018519-jv","Xem chi tiết")</f>
        <v/>
      </c>
      <c r="O7414" s="10" t="n"/>
    </row>
    <row r="7415">
      <c r="B7415" s="7" t="n">
        <v>7413</v>
      </c>
      <c r="C7415" t="inlineStr">
        <is>
          <t>Nhân Viên Kinh Doanh - Direct Sales Executive</t>
        </is>
      </c>
      <c r="D7415" t="inlineStr">
        <is>
          <t>Konica Minolta Business SOLUTIONS VN</t>
        </is>
      </c>
      <c r="E7415" t="inlineStr">
        <is>
          <t>Thương lượng</t>
        </is>
      </c>
      <c r="F7415" t="inlineStr">
        <is>
          <t>Hà Nội</t>
        </is>
      </c>
      <c r="G7415" t="inlineStr">
        <is>
          <t>Nhân viên</t>
        </is>
      </c>
      <c r="H7415" t="inlineStr">
        <is>
          <t>05/03/2026</t>
        </is>
      </c>
      <c r="I7415" t="inlineStr">
        <is>
          <t>04/04/2026</t>
        </is>
      </c>
      <c r="J7415" t="inlineStr">
        <is>
          <t>17/03/2026</t>
        </is>
      </c>
      <c r="K7415" t="inlineStr">
        <is>
          <t>N/A</t>
        </is>
      </c>
      <c r="L7415" t="inlineStr">
        <is>
          <t>Sales experience, Planning skills, Analytical Skills, Good English Skills, Teamwork</t>
        </is>
      </c>
      <c r="M7415" t="inlineStr">
        <is>
          <t>Bonus, Healthcare Plan, Travel Opportunities, Team Activities, Others</t>
        </is>
      </c>
      <c r="N7415" s="8">
        <f>HYPERLINK("https://www.vietnamworks.com/nhan-vien-kinh-doanh-direct-sales-executive-2018541-jv","Xem chi tiết")</f>
        <v/>
      </c>
    </row>
    <row r="7416">
      <c r="B7416" s="9" t="n">
        <v>7414</v>
      </c>
      <c r="C7416" s="10" t="inlineStr">
        <is>
          <t>Chuyên Viên Content Creator</t>
        </is>
      </c>
      <c r="D7416" s="10" t="inlineStr">
        <is>
          <t>CÔNG TY CỔ PHẦN PHÁT TRIỂN HẠ TẦNG VÀ DỊCH VỤ GIÁO DỤC VIỆT NAM</t>
        </is>
      </c>
      <c r="E7416" s="10" t="inlineStr">
        <is>
          <t>10tr-12tr ₫/tháng</t>
        </is>
      </c>
      <c r="F7416" s="10" t="inlineStr">
        <is>
          <t>Hà Nội</t>
        </is>
      </c>
      <c r="G7416" s="10" t="inlineStr">
        <is>
          <t>Nhân viên</t>
        </is>
      </c>
      <c r="H7416" s="10" t="inlineStr">
        <is>
          <t>05/03/2026</t>
        </is>
      </c>
      <c r="I7416" s="10" t="inlineStr">
        <is>
          <t>04/04/2026</t>
        </is>
      </c>
      <c r="J7416" s="10" t="inlineStr">
        <is>
          <t>17/03/2026</t>
        </is>
      </c>
      <c r="K7416" s="10" t="inlineStr">
        <is>
          <t>N/A</t>
        </is>
      </c>
      <c r="L7416" s="10" t="inlineStr">
        <is>
          <t>Content Creation, Video Editing, social media, Tiktok Strategy, Sáng Tạo Nội Dung</t>
        </is>
      </c>
      <c r="M7416" s="10" t="inlineStr">
        <is>
          <t>Bonus, Healthcare Plan, Paid Leave, Others</t>
        </is>
      </c>
      <c r="N7416" s="11">
        <f>HYPERLINK("https://www.vietnamworks.com/chuyen-vien-content-creator-2018527-jv","Xem chi tiết")</f>
        <v/>
      </c>
      <c r="O7416" s="10" t="n"/>
    </row>
    <row r="7417">
      <c r="B7417" s="7" t="n">
        <v>7415</v>
      </c>
      <c r="C7417" t="inlineStr">
        <is>
          <t>Nhân Viên Phòng Kỹ Thuật Sản Xuất Linh Kiện (VPE)</t>
        </is>
      </c>
      <c r="D7417" t="inlineStr">
        <is>
          <t>Tohoku Pioneer Vietnam Co., Ltd</t>
        </is>
      </c>
      <c r="E7417" t="inlineStr">
        <is>
          <t>Thương lượng</t>
        </is>
      </c>
      <c r="F7417" t="inlineStr">
        <is>
          <t>Hải Phòng</t>
        </is>
      </c>
      <c r="G7417" t="inlineStr">
        <is>
          <t>Nhân viên</t>
        </is>
      </c>
      <c r="H7417" t="inlineStr">
        <is>
          <t>05/03/2026</t>
        </is>
      </c>
      <c r="I7417" t="inlineStr">
        <is>
          <t>04/04/2026</t>
        </is>
      </c>
      <c r="J7417" t="inlineStr">
        <is>
          <t>17/03/2026</t>
        </is>
      </c>
      <c r="K7417" t="inlineStr">
        <is>
          <t>N/A</t>
        </is>
      </c>
      <c r="L7417" t="inlineStr">
        <is>
          <t>Kỹ Thuật Linh Kiện, Phần Mềm 3D, AutoCAD, Gia Công Linh Kiện, Tiếng Nhật</t>
        </is>
      </c>
      <c r="M7417" t="inlineStr">
        <is>
          <t>Bonus, Training, Travel Opportunities, Canteen, Others</t>
        </is>
      </c>
      <c r="N7417" s="8">
        <f>HYPERLINK("https://www.vietnamworks.com/nhan-vien-phong-ky-thuat-san-xuat-linh-kien-vpe-2018536-jv","Xem chi tiết")</f>
        <v/>
      </c>
    </row>
    <row r="7418">
      <c r="B7418" s="9" t="n">
        <v>7416</v>
      </c>
      <c r="C7418" s="10" t="inlineStr">
        <is>
          <t xml:space="preserve">Sales Admin (Contractor) </t>
        </is>
      </c>
      <c r="D7418" s="10" t="inlineStr">
        <is>
          <t>HEINEKEN Vietnam</t>
        </is>
      </c>
      <c r="E7418" s="10" t="inlineStr">
        <is>
          <t>Thương lượng</t>
        </is>
      </c>
      <c r="F7418" s="10" t="inlineStr">
        <is>
          <t>Hồ Chí Minh</t>
        </is>
      </c>
      <c r="G7418" s="10" t="inlineStr">
        <is>
          <t>Nhân viên</t>
        </is>
      </c>
      <c r="H7418" s="10" t="inlineStr">
        <is>
          <t>05/03/2026</t>
        </is>
      </c>
      <c r="I7418" s="10" t="inlineStr">
        <is>
          <t>04/04/2026</t>
        </is>
      </c>
      <c r="J7418" s="10" t="inlineStr">
        <is>
          <t>17/03/2026</t>
        </is>
      </c>
      <c r="K7418" s="10" t="inlineStr">
        <is>
          <t>N/A</t>
        </is>
      </c>
      <c r="L7418" s="10" t="inlineStr">
        <is>
          <t>Giao Tiếp, Kế Toán, Lập Kế Hoạch, Quản Trị Kinh Doanh, Tin Học Văn Phòng</t>
        </is>
      </c>
      <c r="M7418" s="10" t="inlineStr">
        <is>
          <t>Canteen</t>
        </is>
      </c>
      <c r="N7418" s="11">
        <f>HYPERLINK("https://www.vietnamworks.com/sales-admin-contractor-2018520-jv","Xem chi tiết")</f>
        <v/>
      </c>
      <c r="O7418" s="10" t="n"/>
    </row>
    <row r="7419">
      <c r="B7419" s="7" t="n">
        <v>7417</v>
      </c>
      <c r="C7419" t="inlineStr">
        <is>
          <t>Chuyên Viên Hành Chính Tổng Hợp</t>
        </is>
      </c>
      <c r="D7419" t="inlineStr">
        <is>
          <t>CÔNG TY TNHH KIỂM TOÁN U&amp;I</t>
        </is>
      </c>
      <c r="E7419" t="inlineStr">
        <is>
          <t>12tr-15tr ₫/tháng</t>
        </is>
      </c>
      <c r="F7419" t="inlineStr">
        <is>
          <t>Hồ Chí Minh</t>
        </is>
      </c>
      <c r="G7419" t="inlineStr">
        <is>
          <t>Nhân viên</t>
        </is>
      </c>
      <c r="H7419" t="inlineStr">
        <is>
          <t>05/03/2026</t>
        </is>
      </c>
      <c r="I7419" t="inlineStr">
        <is>
          <t>04/04/2026</t>
        </is>
      </c>
      <c r="J7419" t="inlineStr">
        <is>
          <t>17/03/2026</t>
        </is>
      </c>
      <c r="K7419" t="inlineStr">
        <is>
          <t>N/A</t>
        </is>
      </c>
      <c r="L7419" t="inlineStr">
        <is>
          <t>Hành Chính Tổng Hợp, Hành Chính, Tin Học Văn Phòng, Soạn Thảo Tài Liệu, Điều Phối</t>
        </is>
      </c>
      <c r="M7419" t="inlineStr">
        <is>
          <t>Healthcare Plan, Awards, Others</t>
        </is>
      </c>
      <c r="N7419" s="8">
        <f>HYPERLINK("https://www.vietnamworks.com/chuyen-vien-hanh-chinh-tong-hop--2018537-jv","Xem chi tiết")</f>
        <v/>
      </c>
    </row>
    <row r="7420">
      <c r="B7420" s="9" t="n">
        <v>7418</v>
      </c>
      <c r="C7420" s="10" t="inlineStr">
        <is>
          <t>Sales Capability Development Supervisor - Quản Lý Phát Triển Năng Lực Bán Hàng</t>
        </is>
      </c>
      <c r="D7420" s="10" t="inlineStr">
        <is>
          <t>Tập Đoàn Thiên Long - Thien Long Corporation</t>
        </is>
      </c>
      <c r="E7420" s="10" t="inlineStr">
        <is>
          <t>Thương lượng</t>
        </is>
      </c>
      <c r="F7420" s="10" t="inlineStr">
        <is>
          <t>Hồ Chí Minh</t>
        </is>
      </c>
      <c r="G7420" s="10" t="inlineStr">
        <is>
          <t>Nhân viên</t>
        </is>
      </c>
      <c r="H7420" s="10" t="inlineStr">
        <is>
          <t>05/03/2026</t>
        </is>
      </c>
      <c r="I7420" s="10" t="inlineStr">
        <is>
          <t>04/04/2026</t>
        </is>
      </c>
      <c r="J7420" s="10" t="inlineStr">
        <is>
          <t>17/03/2026</t>
        </is>
      </c>
      <c r="K7420" s="10" t="inlineStr">
        <is>
          <t>N/A</t>
        </is>
      </c>
      <c r="L7420" s="10" t="inlineStr">
        <is>
          <t>Huấn Luyện, Phân Tích Báo Cáo, Kỹ Năng Thuyết Trình, Quản Lý, Hệ Thống DMS</t>
        </is>
      </c>
      <c r="M7420" s="10" t="inlineStr">
        <is>
          <t>Bonus, Paid Leave, Training</t>
        </is>
      </c>
      <c r="N7420" s="11">
        <f>HYPERLINK("https://www.vietnamworks.com/sales-capability-development-supervisor-quan-ly-phat-trien-nang-luc-ban-hang-2018548-jv","Xem chi tiết")</f>
        <v/>
      </c>
      <c r="O7420" s="10" t="n"/>
    </row>
    <row r="7421">
      <c r="B7421" s="7" t="n">
        <v>7419</v>
      </c>
      <c r="C7421" t="inlineStr">
        <is>
          <t>QC Staff Wooden Furniture &amp; Storage Products, Monthly 1,500-2,500 USD (木製家具ソファ収納用品の品質管理, 月給1,500~2,500)</t>
        </is>
      </c>
      <c r="D7421" t="inlineStr">
        <is>
          <t>CÔNG TY TNHH MUJI GLOBAL SOURCING VIỆT NAM</t>
        </is>
      </c>
      <c r="E7421" t="inlineStr">
        <is>
          <t>$$ 1,500-2,500 /tháng</t>
        </is>
      </c>
      <c r="F7421" t="inlineStr">
        <is>
          <t>Hồ Chí Minh</t>
        </is>
      </c>
      <c r="G7421" t="inlineStr">
        <is>
          <t>Nhân viên</t>
        </is>
      </c>
      <c r="H7421" t="inlineStr">
        <is>
          <t>05/03/2026</t>
        </is>
      </c>
      <c r="I7421" t="inlineStr">
        <is>
          <t>04/04/2026</t>
        </is>
      </c>
      <c r="J7421" t="inlineStr">
        <is>
          <t>17/03/2026</t>
        </is>
      </c>
      <c r="K7421" t="inlineStr">
        <is>
          <t>N/A</t>
        </is>
      </c>
      <c r="L7421" t="inlineStr">
        <is>
          <t>Production Management, Product Quality Management, Defect Inspection, Japanese, Quality Control</t>
        </is>
      </c>
      <c r="M7421" t="inlineStr">
        <is>
          <t>Bonus, Healthcare Plan, Paid Leave, Others</t>
        </is>
      </c>
      <c r="N7421" s="8">
        <f>HYPERLINK("https://www.vietnamworks.com/qc-staff-wooden-furniture-and-storage-products-monthly-1500-2500-usd-15002500-2018531-jv","Xem chi tiết")</f>
        <v/>
      </c>
    </row>
    <row r="7422">
      <c r="B7422" s="9" t="n">
        <v>7420</v>
      </c>
      <c r="C7422" s="10" t="inlineStr">
        <is>
          <t>Machine Learning Engineer</t>
        </is>
      </c>
      <c r="D7422" s="10" t="inlineStr">
        <is>
          <t>Công Ty Cổ Phần Icsp Việt Nam</t>
        </is>
      </c>
      <c r="E7422" s="10" t="inlineStr">
        <is>
          <t>Tới 60tr ₫/tháng</t>
        </is>
      </c>
      <c r="F7422" s="10" t="inlineStr">
        <is>
          <t>Hà Nội</t>
        </is>
      </c>
      <c r="G7422" s="10" t="inlineStr">
        <is>
          <t>Nhân viên</t>
        </is>
      </c>
      <c r="H7422" s="10" t="inlineStr">
        <is>
          <t>05/03/2026</t>
        </is>
      </c>
      <c r="I7422" s="10" t="inlineStr">
        <is>
          <t>04/04/2026</t>
        </is>
      </c>
      <c r="J7422" s="10" t="inlineStr">
        <is>
          <t>17/03/2026</t>
        </is>
      </c>
      <c r="K7422" s="10" t="inlineStr">
        <is>
          <t>N/A</t>
        </is>
      </c>
      <c r="L7422" s="10" t="inlineStr">
        <is>
          <t>Python, DevOps, Machine Learning, Backend Application, Teamwork</t>
        </is>
      </c>
      <c r="M7422" s="10" t="inlineStr">
        <is>
          <t>Bonus, Healthcare Plan, Paid Leave, Training, Travel Opportunities, Others</t>
        </is>
      </c>
      <c r="N7422" s="11">
        <f>HYPERLINK("https://www.vietnamworks.com/machine-learning-engineer-2018547-jv","Xem chi tiết")</f>
        <v/>
      </c>
      <c r="O7422" s="10" t="n"/>
    </row>
    <row r="7423">
      <c r="B7423" s="7" t="n">
        <v>7421</v>
      </c>
      <c r="C7423" t="inlineStr">
        <is>
          <t>Purchasing Leader</t>
        </is>
      </c>
      <c r="D7423" t="inlineStr">
        <is>
          <t>Công Ty TNHH Gardenline International (VN)</t>
        </is>
      </c>
      <c r="E7423" t="inlineStr">
        <is>
          <t>Thương lượng</t>
        </is>
      </c>
      <c r="F7423" t="inlineStr">
        <is>
          <t>Bình Định</t>
        </is>
      </c>
      <c r="G7423" t="inlineStr">
        <is>
          <t>Trưởng phòng</t>
        </is>
      </c>
      <c r="H7423" t="inlineStr">
        <is>
          <t>05/03/2026</t>
        </is>
      </c>
      <c r="I7423" t="inlineStr">
        <is>
          <t>04/04/2026</t>
        </is>
      </c>
      <c r="J7423" t="inlineStr">
        <is>
          <t>17/03/2026</t>
        </is>
      </c>
      <c r="K7423" t="inlineStr">
        <is>
          <t>N/A</t>
        </is>
      </c>
      <c r="L7423" t="inlineStr">
        <is>
          <t>Mua Hàng, Mua Hàng Trong Nước, Kỹ Năng Sắp Xếp Lịch Trình, Kỹ Năng Lãnh Đạo Tốt, Tiếng Anh lưu loát</t>
        </is>
      </c>
      <c r="M7423" t="inlineStr">
        <is>
          <t>Bonus, Healthcare Plan, Others</t>
        </is>
      </c>
      <c r="N7423" s="8">
        <f>HYPERLINK("https://www.vietnamworks.com/purchasing-leader--2018556-jv","Xem chi tiết")</f>
        <v/>
      </c>
    </row>
    <row r="7424">
      <c r="B7424" s="9" t="n">
        <v>7422</v>
      </c>
      <c r="C7424" s="10" t="inlineStr">
        <is>
          <t>AR/ AP Accountant (B2B/ Manufacturing)</t>
        </is>
      </c>
      <c r="D7424" s="10" t="inlineStr">
        <is>
          <t>Avery Dennison Vietnam</t>
        </is>
      </c>
      <c r="E7424" s="10" t="inlineStr">
        <is>
          <t>Thương lượng</t>
        </is>
      </c>
      <c r="F7424" s="10" t="inlineStr">
        <is>
          <t>Hồ Chí Minh</t>
        </is>
      </c>
      <c r="G7424" s="10" t="inlineStr">
        <is>
          <t>Nhân viên</t>
        </is>
      </c>
      <c r="H7424" s="10" t="inlineStr">
        <is>
          <t>05/03/2026</t>
        </is>
      </c>
      <c r="I7424" s="10" t="inlineStr">
        <is>
          <t>04/04/2026</t>
        </is>
      </c>
      <c r="J7424" s="10" t="inlineStr">
        <is>
          <t>17/03/2026</t>
        </is>
      </c>
      <c r="K7424" s="10" t="inlineStr">
        <is>
          <t>N/A</t>
        </is>
      </c>
      <c r="L7424" s="10" t="inlineStr">
        <is>
          <t>Accounting, English</t>
        </is>
      </c>
      <c r="M7424" s="10" t="inlineStr">
        <is>
          <t>Bonus, Healthcare Plan, Paid Leave</t>
        </is>
      </c>
      <c r="N7424" s="11">
        <f>HYPERLINK("https://www.vietnamworks.com/ar-ap-accountant-b2b-manufacturing-2018550-jv","Xem chi tiết")</f>
        <v/>
      </c>
      <c r="O7424" s="10" t="n"/>
    </row>
    <row r="7425">
      <c r="B7425" s="7" t="n">
        <v>7423</v>
      </c>
      <c r="C7425" t="inlineStr">
        <is>
          <t>Data Migration And Reporting Specialist</t>
        </is>
      </c>
      <c r="D7425" t="inlineStr">
        <is>
          <t>Public Bank Vietnam Ltd</t>
        </is>
      </c>
      <c r="E7425" t="inlineStr">
        <is>
          <t>Tới $ 2,500 /tháng</t>
        </is>
      </c>
      <c r="F7425" t="inlineStr">
        <is>
          <t>Hà Nội</t>
        </is>
      </c>
      <c r="G7425" t="inlineStr">
        <is>
          <t>Nhân viên</t>
        </is>
      </c>
      <c r="H7425" t="inlineStr">
        <is>
          <t>05/03/2026</t>
        </is>
      </c>
      <c r="I7425" t="inlineStr">
        <is>
          <t>04/04/2026</t>
        </is>
      </c>
      <c r="J7425" t="inlineStr">
        <is>
          <t>17/03/2026</t>
        </is>
      </c>
      <c r="K7425" t="inlineStr">
        <is>
          <t>N/A</t>
        </is>
      </c>
      <c r="L7425" t="inlineStr">
        <is>
          <t>Data Warehouse Systems, ERP Migration, MS SQL DBA, Problem-solving, Statistical Reporting</t>
        </is>
      </c>
      <c r="M7425" t="inlineStr">
        <is>
          <t>Bonus, Paid Leave, Training</t>
        </is>
      </c>
      <c r="N7425" s="8">
        <f>HYPERLINK("https://www.vietnamworks.com/data-migration-and-reporting-specialist-2018549-jv","Xem chi tiết")</f>
        <v/>
      </c>
    </row>
    <row r="7426">
      <c r="B7426" s="9" t="n">
        <v>7424</v>
      </c>
      <c r="C7426" s="10" t="inlineStr">
        <is>
          <t>Kỹ Sư Trưởng Vận Hành Nhà Máy (KCN Đồng Văn III)</t>
        </is>
      </c>
      <c r="D7426" s="10" t="inlineStr">
        <is>
          <t>Công Ty TNHH Aden Services (Việt Nam) - CN Hà Nội</t>
        </is>
      </c>
      <c r="E7426" s="10" t="inlineStr">
        <is>
          <t>$$ 800-1,000 /tháng</t>
        </is>
      </c>
      <c r="F7426" s="10" t="inlineStr">
        <is>
          <t>Hà Nam, Ninh Bình</t>
        </is>
      </c>
      <c r="G7426" s="10" t="inlineStr">
        <is>
          <t>Trưởng phòng</t>
        </is>
      </c>
      <c r="H7426" s="10" t="inlineStr">
        <is>
          <t>05/03/2026</t>
        </is>
      </c>
      <c r="I7426" s="10" t="inlineStr">
        <is>
          <t>04/04/2026</t>
        </is>
      </c>
      <c r="J7426" s="10" t="inlineStr">
        <is>
          <t>17/03/2026</t>
        </is>
      </c>
      <c r="K7426" s="10" t="inlineStr">
        <is>
          <t>N/A</t>
        </is>
      </c>
      <c r="L7426" s="10" t="inlineStr">
        <is>
          <t>Tiếng Anh, Hệ Thống Điện Nhà Máy, Quản Lý Vận Hành, Quản Lý Bảo Trì, Facility Management</t>
        </is>
      </c>
      <c r="M7426" s="10" t="inlineStr">
        <is>
          <t>Bonus, Paid Leave, Training</t>
        </is>
      </c>
      <c r="N7426" s="11">
        <f>HYPERLINK("https://www.vietnamworks.com/ky-su-truong-van-hanh-nha-may-kcn-dong-van-iii--2018560-jv","Xem chi tiết")</f>
        <v/>
      </c>
      <c r="O7426" s="10" t="n"/>
    </row>
    <row r="7427">
      <c r="B7427" s="7" t="n">
        <v>7425</v>
      </c>
      <c r="C7427" t="inlineStr">
        <is>
          <t>Nhân Viên Thiết Kế Nội Thất 3D</t>
        </is>
      </c>
      <c r="D7427" t="inlineStr">
        <is>
          <t>Công Ty CP MV Global</t>
        </is>
      </c>
      <c r="E7427" t="inlineStr">
        <is>
          <t>Thương lượng</t>
        </is>
      </c>
      <c r="F7427" t="inlineStr">
        <is>
          <t>Hồ Chí Minh</t>
        </is>
      </c>
      <c r="G7427" t="inlineStr">
        <is>
          <t>Nhân viên</t>
        </is>
      </c>
      <c r="H7427" t="inlineStr">
        <is>
          <t>05/03/2026</t>
        </is>
      </c>
      <c r="I7427" t="inlineStr">
        <is>
          <t>04/04/2026</t>
        </is>
      </c>
      <c r="J7427" t="inlineStr">
        <is>
          <t>17/03/2026</t>
        </is>
      </c>
      <c r="K7427" t="inlineStr">
        <is>
          <t>N/A</t>
        </is>
      </c>
      <c r="L7427" t="inlineStr">
        <is>
          <t>Architecture Drawing, AutoCAD, Revit, Thiết Kế Kiến Trúc, Thiết Kế Nội Thất</t>
        </is>
      </c>
      <c r="M7427" t="inlineStr">
        <is>
          <t>Bonus, Team Activities, Others</t>
        </is>
      </c>
      <c r="N7427" s="8">
        <f>HYPERLINK("https://www.vietnamworks.com/nhan-vien-thiet-ke-noi-that-3d--2018559-jv","Xem chi tiết")</f>
        <v/>
      </c>
    </row>
    <row r="7428">
      <c r="B7428" s="9" t="n">
        <v>7426</v>
      </c>
      <c r="C7428" s="10" t="inlineStr">
        <is>
          <t>Kế Toán Tổng Hợp (Lương Từ 14 - 20 Triệu VND)</t>
        </is>
      </c>
      <c r="D7428" s="10" t="inlineStr">
        <is>
          <t>CÔNG TY TNHH ANKA TB</t>
        </is>
      </c>
      <c r="E7428" s="10" t="inlineStr">
        <is>
          <t>14tr-20tr ₫/tháng</t>
        </is>
      </c>
      <c r="F7428" s="10" t="inlineStr">
        <is>
          <t>Hà Nội</t>
        </is>
      </c>
      <c r="G7428" s="10" t="inlineStr">
        <is>
          <t>Nhân viên</t>
        </is>
      </c>
      <c r="H7428" s="10" t="inlineStr">
        <is>
          <t>05/03/2026</t>
        </is>
      </c>
      <c r="I7428" s="10" t="inlineStr">
        <is>
          <t>04/04/2026</t>
        </is>
      </c>
      <c r="J7428" s="10" t="inlineStr">
        <is>
          <t>17/03/2026</t>
        </is>
      </c>
      <c r="K7428" s="10" t="inlineStr">
        <is>
          <t>N/A</t>
        </is>
      </c>
      <c r="L7428" s="10" t="inlineStr">
        <is>
          <t>Kế Toán Tổng Hợp, Kiểm Soát Nội Bộ, Phân Tích Giá, Báo Cáo Tài Chính, Trung Thực</t>
        </is>
      </c>
      <c r="M7428" s="10" t="inlineStr">
        <is>
          <t>Bonus, Healthcare Plan</t>
        </is>
      </c>
      <c r="N7428" s="11">
        <f>HYPERLINK("https://www.vietnamworks.com/ke-toan-tong-hop-luong-tu-14-20-trieu-vnd-2018565-jv","Xem chi tiết")</f>
        <v/>
      </c>
      <c r="O7428" s="10" t="n"/>
    </row>
    <row r="7429">
      <c r="B7429" s="7" t="n">
        <v>7427</v>
      </c>
      <c r="C7429" t="inlineStr">
        <is>
          <t>Cán Bộ Ngân Hàng Tại Phòng Giao Dịch Hòa Bình</t>
        </is>
      </c>
      <c r="D7429" t="inlineStr">
        <is>
          <t>Public Bank Vietnam Ltd</t>
        </is>
      </c>
      <c r="E7429" t="inlineStr">
        <is>
          <t>Thương lượng</t>
        </is>
      </c>
      <c r="F7429" t="inlineStr">
        <is>
          <t>Hồ Chí Minh</t>
        </is>
      </c>
      <c r="G7429" t="inlineStr">
        <is>
          <t>Nhân viên</t>
        </is>
      </c>
      <c r="H7429" t="inlineStr">
        <is>
          <t>05/03/2026</t>
        </is>
      </c>
      <c r="I7429" t="inlineStr">
        <is>
          <t>04/04/2026</t>
        </is>
      </c>
      <c r="J7429" t="inlineStr">
        <is>
          <t>17/03/2026</t>
        </is>
      </c>
      <c r="K7429" t="inlineStr">
        <is>
          <t>N/A</t>
        </is>
      </c>
      <c r="L7429" t="inlineStr">
        <is>
          <t>Teller Operations, Credit Operation, Credit Admin</t>
        </is>
      </c>
      <c r="M7429" t="inlineStr">
        <is>
          <t>Bonus, Training</t>
        </is>
      </c>
      <c r="N7429" s="8">
        <f>HYPERLINK("https://www.vietnamworks.com/can-bo-ngan-hang-tai-phong-giao-dich-hoa-binh-2018564-jv","Xem chi tiết")</f>
        <v/>
      </c>
    </row>
    <row r="7430">
      <c r="B7430" s="9" t="n">
        <v>7428</v>
      </c>
      <c r="C7430" s="10" t="inlineStr">
        <is>
          <t>Talent Acquisition Intern</t>
        </is>
      </c>
      <c r="D7430" s="10" t="inlineStr">
        <is>
          <t>Simpson Strong-Tie Vietnam Company Limited</t>
        </is>
      </c>
      <c r="E7430" s="10" t="inlineStr">
        <is>
          <t>Thương lượng</t>
        </is>
      </c>
      <c r="F7430" s="10" t="inlineStr">
        <is>
          <t>Hồ Chí Minh</t>
        </is>
      </c>
      <c r="G7430" s="10" t="inlineStr">
        <is>
          <t>Thực tập sinh/Sinh viên</t>
        </is>
      </c>
      <c r="H7430" s="10" t="inlineStr">
        <is>
          <t>05/03/2026</t>
        </is>
      </c>
      <c r="I7430" s="10" t="inlineStr">
        <is>
          <t>04/04/2026</t>
        </is>
      </c>
      <c r="J7430" s="10" t="inlineStr">
        <is>
          <t>17/03/2026</t>
        </is>
      </c>
      <c r="K7430" s="10" t="inlineStr">
        <is>
          <t>N/A</t>
        </is>
      </c>
      <c r="L7430" s="10" t="inlineStr">
        <is>
          <t>Tuyển Dụng, Talent Acquisition, Recruitment, HR, Sourcing</t>
        </is>
      </c>
      <c r="M7430" s="10" t="inlineStr">
        <is>
          <t>Bonus, Healthcare Plan, Paid Leave</t>
        </is>
      </c>
      <c r="N7430" s="11">
        <f>HYPERLINK("https://www.vietnamworks.com/talent-acquisition-intern--2018567-jv","Xem chi tiết")</f>
        <v/>
      </c>
      <c r="O7430" s="10" t="n"/>
    </row>
    <row r="7431">
      <c r="B7431" s="7" t="n">
        <v>7429</v>
      </c>
      <c r="C7431" t="inlineStr">
        <is>
          <t>Kỹ Sư Kết Cấu</t>
        </is>
      </c>
      <c r="D7431" t="inlineStr">
        <is>
          <t>Công Ty Cổ Phần Vật Liệu Vĩnh Tân</t>
        </is>
      </c>
      <c r="E7431" t="inlineStr">
        <is>
          <t>20tr-30tr ₫/tháng</t>
        </is>
      </c>
      <c r="F7431" t="inlineStr">
        <is>
          <t>Hà Nội</t>
        </is>
      </c>
      <c r="G7431" t="inlineStr">
        <is>
          <t>Nhân viên</t>
        </is>
      </c>
      <c r="H7431" t="inlineStr">
        <is>
          <t>05/03/2026</t>
        </is>
      </c>
      <c r="I7431" t="inlineStr">
        <is>
          <t>04/04/2026</t>
        </is>
      </c>
      <c r="J7431" t="inlineStr">
        <is>
          <t>17/03/2026</t>
        </is>
      </c>
      <c r="K7431" t="inlineStr">
        <is>
          <t>N/A</t>
        </is>
      </c>
      <c r="L7431" t="inlineStr">
        <is>
          <t>Hạ Tầng Kết Cấu, MEP, Triển Khai Bản Vẽ</t>
        </is>
      </c>
      <c r="M7431" t="inlineStr">
        <is>
          <t>Bonus, Training, Laptop, Others</t>
        </is>
      </c>
      <c r="N7431" s="8">
        <f>HYPERLINK("https://www.vietnamworks.com/ky-su-ket-cau-2018568-jv","Xem chi tiết")</f>
        <v/>
      </c>
    </row>
    <row r="7432">
      <c r="B7432" s="9" t="n">
        <v>7430</v>
      </c>
      <c r="C7432" s="10" t="inlineStr">
        <is>
          <t>Phó Phòng Hợp Tác Cung Ứng</t>
        </is>
      </c>
      <c r="D7432" s="10" t="inlineStr">
        <is>
          <t>Công Ty CP Nhân Lực Quốc Tế Hoàng Minh</t>
        </is>
      </c>
      <c r="E7432" s="10" t="inlineStr">
        <is>
          <t>20tr-25tr ₫/tháng</t>
        </is>
      </c>
      <c r="F7432" s="10" t="inlineStr">
        <is>
          <t>Hồ Chí Minh</t>
        </is>
      </c>
      <c r="G7432" s="10" t="inlineStr">
        <is>
          <t>Nhân viên</t>
        </is>
      </c>
      <c r="H7432" s="10" t="inlineStr">
        <is>
          <t>05/03/2026</t>
        </is>
      </c>
      <c r="I7432" s="10" t="inlineStr">
        <is>
          <t>04/04/2026</t>
        </is>
      </c>
      <c r="J7432" s="10" t="inlineStr">
        <is>
          <t>17/03/2026</t>
        </is>
      </c>
      <c r="K7432" s="10" t="inlineStr">
        <is>
          <t>N/A</t>
        </is>
      </c>
      <c r="L7432" s="10" t="inlineStr">
        <is>
          <t>Xây Dựng Mối Quan Hệ, Business Development, Cung Ứng Lao Động, Phát Triển Kinh Doanh, Tuyển Dụng</t>
        </is>
      </c>
      <c r="M7432" s="10" t="inlineStr">
        <is>
          <t>Bonus, Healthcare Plan, Team Activities, Others</t>
        </is>
      </c>
      <c r="N7432" s="11">
        <f>HYPERLINK("https://www.vietnamworks.com/pho-phong-hop-tac-cung-ung-2018570-jv","Xem chi tiết")</f>
        <v/>
      </c>
      <c r="O7432" s="10" t="n"/>
    </row>
    <row r="7433">
      <c r="B7433" s="7" t="n">
        <v>7431</v>
      </c>
      <c r="C7433" t="inlineStr">
        <is>
          <t>Kỹ sư Tiếp Thị Kỹ Thuật (ngành Xi Măng)</t>
        </is>
      </c>
      <c r="D7433" t="inlineStr">
        <is>
          <t>Fico Tay Ninh Cement Joint Stock Company (Fico-YTL)</t>
        </is>
      </c>
      <c r="E7433" t="inlineStr">
        <is>
          <t>Thương lượng</t>
        </is>
      </c>
      <c r="F7433" t="inlineStr">
        <is>
          <t>Hồ Chí Minh</t>
        </is>
      </c>
      <c r="G7433" t="inlineStr">
        <is>
          <t>Nhân viên</t>
        </is>
      </c>
      <c r="H7433" t="inlineStr">
        <is>
          <t>05/03/2026</t>
        </is>
      </c>
      <c r="I7433" t="inlineStr">
        <is>
          <t>04/04/2026</t>
        </is>
      </c>
      <c r="J7433" t="inlineStr">
        <is>
          <t>17/03/2026</t>
        </is>
      </c>
      <c r="K7433" t="inlineStr">
        <is>
          <t>N/A</t>
        </is>
      </c>
      <c r="L7433" t="inlineStr">
        <is>
          <t>Giải Quyết Vấn Đề, Kinh Doanh</t>
        </is>
      </c>
      <c r="M7433" t="inlineStr">
        <is>
          <t>Bonus, Healthcare Plan, Team Activities, Others</t>
        </is>
      </c>
      <c r="N7433" s="8">
        <f>HYPERLINK("https://www.vietnamworks.com/ky-su-tiep-thi-ky-thuat-nganh-xi-mang-2018566-jv","Xem chi tiết")</f>
        <v/>
      </c>
    </row>
    <row r="7434">
      <c r="B7434" s="9" t="n">
        <v>7432</v>
      </c>
      <c r="C7434" s="10" t="inlineStr">
        <is>
          <t>[Bình Phước] Area Supervisor/ Giám Sát Bán Hàng Kênh GT</t>
        </is>
      </c>
      <c r="D7434" s="10" t="inlineStr">
        <is>
          <t>Diana Unicharm JSC</t>
        </is>
      </c>
      <c r="E7434" s="10" t="inlineStr">
        <is>
          <t>Thương lượng</t>
        </is>
      </c>
      <c r="F7434" s="10" t="inlineStr">
        <is>
          <t>Bình Phước</t>
        </is>
      </c>
      <c r="G7434" s="10" t="inlineStr">
        <is>
          <t>Nhân viên</t>
        </is>
      </c>
      <c r="H7434" s="10" t="inlineStr">
        <is>
          <t>05/03/2026</t>
        </is>
      </c>
      <c r="I7434" s="10" t="inlineStr">
        <is>
          <t>04/04/2026</t>
        </is>
      </c>
      <c r="J7434" s="10" t="inlineStr">
        <is>
          <t>17/03/2026</t>
        </is>
      </c>
      <c r="K7434" s="10" t="inlineStr">
        <is>
          <t>N/A</t>
        </is>
      </c>
      <c r="L7434" s="10" t="inlineStr">
        <is>
          <t>FMCG, Sales Planning, Sales</t>
        </is>
      </c>
      <c r="M7434" s="10" t="inlineStr">
        <is>
          <t>Bonus, Healthcare Plan, Others</t>
        </is>
      </c>
      <c r="N7434" s="11">
        <f>HYPERLINK("https://www.vietnamworks.com/binh-phuoc-area-supervisor-giam-sat-ban-hang-kenh-gt-2018562-jv","Xem chi tiết")</f>
        <v/>
      </c>
      <c r="O7434" s="10" t="n"/>
    </row>
    <row r="7435">
      <c r="B7435" s="7" t="n">
        <v>7433</v>
      </c>
      <c r="C7435" t="inlineStr">
        <is>
          <t>Kỹ Sư Kinh Tế Xây Dựng (Qs/cost Control)</t>
        </is>
      </c>
      <c r="D7435" t="inlineStr">
        <is>
          <t>Công Ty Cổ Phần Vật Liệu Vĩnh Tân</t>
        </is>
      </c>
      <c r="E7435" t="inlineStr">
        <is>
          <t>20tr-30tr ₫/tháng</t>
        </is>
      </c>
      <c r="F7435" t="inlineStr">
        <is>
          <t>Hà Nội</t>
        </is>
      </c>
      <c r="G7435" t="inlineStr">
        <is>
          <t>Nhân viên</t>
        </is>
      </c>
      <c r="H7435" t="inlineStr">
        <is>
          <t>05/03/2026</t>
        </is>
      </c>
      <c r="I7435" t="inlineStr">
        <is>
          <t>04/04/2026</t>
        </is>
      </c>
      <c r="J7435" t="inlineStr">
        <is>
          <t>17/03/2026</t>
        </is>
      </c>
      <c r="K7435" t="inlineStr">
        <is>
          <t>N/A</t>
        </is>
      </c>
      <c r="L7435" t="inlineStr">
        <is>
          <t>AutoCAD, Kinh Tế Xây Dựng, QS, Quản Lý Xây Dựng, Quy Trình Đấu Thầu</t>
        </is>
      </c>
      <c r="M7435" t="inlineStr">
        <is>
          <t>Bonus, Training, Laptop, Others</t>
        </is>
      </c>
      <c r="N7435" s="8">
        <f>HYPERLINK("https://www.vietnamworks.com/ky-su-kinh-te-xay-dung-qscost-control-2018569-jv","Xem chi tiết")</f>
        <v/>
      </c>
    </row>
    <row r="7436">
      <c r="B7436" s="9" t="n">
        <v>7434</v>
      </c>
      <c r="C7436" s="10" t="inlineStr">
        <is>
          <t>Hiệu Phó Trung Học</t>
        </is>
      </c>
      <c r="D7436" s="10" t="inlineStr">
        <is>
          <t>RT Holdings</t>
        </is>
      </c>
      <c r="E7436" s="10" t="inlineStr">
        <is>
          <t>Thương lượng</t>
        </is>
      </c>
      <c r="F7436" s="10" t="inlineStr">
        <is>
          <t>Hồ Chí Minh</t>
        </is>
      </c>
      <c r="G7436" s="10" t="inlineStr">
        <is>
          <t>Trưởng phòng</t>
        </is>
      </c>
      <c r="H7436" s="10" t="inlineStr">
        <is>
          <t>05/03/2026</t>
        </is>
      </c>
      <c r="I7436" s="10" t="inlineStr">
        <is>
          <t>04/04/2026</t>
        </is>
      </c>
      <c r="J7436" s="10" t="inlineStr">
        <is>
          <t>17/03/2026</t>
        </is>
      </c>
      <c r="K7436" s="10" t="inlineStr">
        <is>
          <t>N/A</t>
        </is>
      </c>
      <c r="L7436" s="10" t="inlineStr">
        <is>
          <t>Sư Phạm, Quản Trị Giáo Dục, Quản Lý Giáo Dục, Giáo Dục Đào Tạo, Quản Lý Chất Lượng Giáo Dục</t>
        </is>
      </c>
      <c r="M7436" s="10" t="inlineStr">
        <is>
          <t>Bonus, Travel Opportunities, Canteen</t>
        </is>
      </c>
      <c r="N7436" s="11">
        <f>HYPERLINK("https://www.vietnamworks.com/hieu-pho-trung-hoc--2018561-jv","Xem chi tiết")</f>
        <v/>
      </c>
      <c r="O7436" s="10" t="n"/>
    </row>
    <row r="7437">
      <c r="B7437" s="7" t="n">
        <v>7435</v>
      </c>
      <c r="C7437" t="inlineStr">
        <is>
          <t>Kiến Trúc Sư</t>
        </is>
      </c>
      <c r="D7437" t="inlineStr">
        <is>
          <t>Công Ty Cổ Phần Vật Liệu Vĩnh Tân</t>
        </is>
      </c>
      <c r="E7437" t="inlineStr">
        <is>
          <t>20tr-30tr ₫/tháng</t>
        </is>
      </c>
      <c r="F7437" t="inlineStr">
        <is>
          <t>Hà Nội</t>
        </is>
      </c>
      <c r="G7437" t="inlineStr">
        <is>
          <t>Nhân viên</t>
        </is>
      </c>
      <c r="H7437" t="inlineStr">
        <is>
          <t>05/03/2026</t>
        </is>
      </c>
      <c r="I7437" t="inlineStr">
        <is>
          <t>04/04/2026</t>
        </is>
      </c>
      <c r="J7437" t="inlineStr">
        <is>
          <t>17/03/2026</t>
        </is>
      </c>
      <c r="K7437" t="inlineStr">
        <is>
          <t>N/A</t>
        </is>
      </c>
      <c r="L7437" t="inlineStr">
        <is>
          <t>3Ds Max, Diễn Họa 3D, Kiến Trúc, Tiêu Chuẩn Kỹ Thuật</t>
        </is>
      </c>
      <c r="M7437" t="inlineStr">
        <is>
          <t>Bonus, Training, Laptop, Others</t>
        </is>
      </c>
      <c r="N7437" s="8">
        <f>HYPERLINK("https://www.vietnamworks.com/kien-truc-su-2018571-jv","Xem chi tiết")</f>
        <v/>
      </c>
    </row>
    <row r="7438">
      <c r="B7438" s="9" t="n">
        <v>7436</v>
      </c>
      <c r="C7438" s="10" t="inlineStr">
        <is>
          <t>Education Consultant (Tư Vấn Giáo Dục)</t>
        </is>
      </c>
      <c r="D7438" s="10" t="inlineStr">
        <is>
          <t>Công Ty TNHH Geniebook Vietnam</t>
        </is>
      </c>
      <c r="E7438" s="10" t="inlineStr">
        <is>
          <t>Thương lượng</t>
        </is>
      </c>
      <c r="F7438" s="10" t="inlineStr">
        <is>
          <t>Hồ Chí Minh</t>
        </is>
      </c>
      <c r="G7438" s="10" t="inlineStr">
        <is>
          <t>Mới Tốt Nghiệp</t>
        </is>
      </c>
      <c r="H7438" s="10" t="inlineStr">
        <is>
          <t>05/03/2026</t>
        </is>
      </c>
      <c r="I7438" s="10" t="inlineStr">
        <is>
          <t>04/04/2026</t>
        </is>
      </c>
      <c r="J7438" s="10" t="inlineStr">
        <is>
          <t>17/03/2026</t>
        </is>
      </c>
      <c r="K7438" s="10" t="inlineStr">
        <is>
          <t>N/A</t>
        </is>
      </c>
      <c r="L7438" s="10" t="inlineStr">
        <is>
          <t>Education Consulting, Telesales, sales giáo dục, Tư Vấn Giáo Dục, Chuyên Viên Tư Vấn</t>
        </is>
      </c>
      <c r="M7438" s="10" t="inlineStr">
        <is>
          <t>Bonus, Paid Leave, Awards</t>
        </is>
      </c>
      <c r="N7438" s="11">
        <f>HYPERLINK("https://www.vietnamworks.com/education-consultant-tu-van-giao-duc--2018574-jv","Xem chi tiết")</f>
        <v/>
      </c>
      <c r="O7438" s="10" t="n"/>
    </row>
    <row r="7439">
      <c r="B7439" s="7" t="n">
        <v>7437</v>
      </c>
      <c r="C7439" t="inlineStr">
        <is>
          <t>International Sales Manager</t>
        </is>
      </c>
      <c r="D7439" t="inlineStr">
        <is>
          <t>CÔNG TY CỔ PHẦN CHẾ BIẾN NÔNG SẢN SAO MAI</t>
        </is>
      </c>
      <c r="E7439" t="inlineStr">
        <is>
          <t>Thương lượng</t>
        </is>
      </c>
      <c r="F7439" t="inlineStr">
        <is>
          <t>Hồ Chí Minh</t>
        </is>
      </c>
      <c r="G7439" t="inlineStr">
        <is>
          <t>Trưởng phòng</t>
        </is>
      </c>
      <c r="H7439" t="inlineStr">
        <is>
          <t>05/03/2026</t>
        </is>
      </c>
      <c r="I7439" t="inlineStr">
        <is>
          <t>04/04/2026</t>
        </is>
      </c>
      <c r="J7439" t="inlineStr">
        <is>
          <t>17/03/2026</t>
        </is>
      </c>
      <c r="K7439" t="inlineStr">
        <is>
          <t>N/A</t>
        </is>
      </c>
      <c r="L7439" t="inlineStr">
        <is>
          <t>Business Operation Analysis, Business Strategy Development, Communication Skills, Negotiation Skills, Sales Channel Development</t>
        </is>
      </c>
      <c r="M7439" t="inlineStr">
        <is>
          <t>Bonus, Training, Laptop, Team Activities, Others</t>
        </is>
      </c>
      <c r="N7439" s="8">
        <f>HYPERLINK("https://www.vietnamworks.com/international-sales-manager-2018572-jv","Xem chi tiết")</f>
        <v/>
      </c>
    </row>
    <row r="7440">
      <c r="B7440" s="9" t="n">
        <v>7438</v>
      </c>
      <c r="C7440" s="10" t="inlineStr">
        <is>
          <t>Marketing Assistant</t>
        </is>
      </c>
      <c r="D7440" s="10" t="inlineStr">
        <is>
          <t>CMPartners</t>
        </is>
      </c>
      <c r="E7440" s="10" t="inlineStr">
        <is>
          <t>Thương lượng</t>
        </is>
      </c>
      <c r="F7440" s="10" t="inlineStr">
        <is>
          <t>Hồ Chí Minh</t>
        </is>
      </c>
      <c r="G7440" s="10" t="inlineStr">
        <is>
          <t>Nhân viên</t>
        </is>
      </c>
      <c r="H7440" s="10" t="inlineStr">
        <is>
          <t>05/03/2026</t>
        </is>
      </c>
      <c r="I7440" s="10" t="inlineStr">
        <is>
          <t>04/04/2026</t>
        </is>
      </c>
      <c r="J7440" s="10" t="inlineStr">
        <is>
          <t>17/03/2026</t>
        </is>
      </c>
      <c r="K7440" s="10" t="inlineStr">
        <is>
          <t>N/A</t>
        </is>
      </c>
      <c r="L7440" s="10" t="inlineStr">
        <is>
          <t>CRM Development, English Language Proficiency, Graphic Design, Social Media Management, Video Editing</t>
        </is>
      </c>
      <c r="M7440" s="10" t="inlineStr">
        <is>
          <t>Bonus, Paid Leave, Training, Travel Opportunities, Team Activities, Others</t>
        </is>
      </c>
      <c r="N7440" s="11">
        <f>HYPERLINK("https://www.vietnamworks.com/marketing-assistant-2018592-jv","Xem chi tiết")</f>
        <v/>
      </c>
      <c r="O7440" s="10" t="n"/>
    </row>
    <row r="7441">
      <c r="B7441" s="7" t="n">
        <v>7439</v>
      </c>
      <c r="C7441" t="inlineStr">
        <is>
          <t>Commercial Excellence Manager (SFE &amp; Sales Operations)</t>
        </is>
      </c>
      <c r="D7441" t="inlineStr">
        <is>
          <t>Hetero Labs Limited</t>
        </is>
      </c>
      <c r="E7441" t="inlineStr">
        <is>
          <t>Thương lượng</t>
        </is>
      </c>
      <c r="F7441" t="inlineStr">
        <is>
          <t>Hồ Chí Minh</t>
        </is>
      </c>
      <c r="G7441" t="inlineStr">
        <is>
          <t>Trưởng phòng</t>
        </is>
      </c>
      <c r="H7441" t="inlineStr">
        <is>
          <t>05/03/2026</t>
        </is>
      </c>
      <c r="I7441" t="inlineStr">
        <is>
          <t>04/04/2026</t>
        </is>
      </c>
      <c r="J7441" t="inlineStr">
        <is>
          <t>17/03/2026</t>
        </is>
      </c>
      <c r="K7441" t="inlineStr">
        <is>
          <t>N/A</t>
        </is>
      </c>
      <c r="L7441" t="inlineStr">
        <is>
          <t>Clinical Excellence, Retail Analytics, Commercial Management, Performance Management</t>
        </is>
      </c>
      <c r="M7441" t="inlineStr">
        <is>
          <t>Bonus, Healthcare Plan, Laptop, Travel Opportunities, Team Activities</t>
        </is>
      </c>
      <c r="N7441" s="8">
        <f>HYPERLINK("https://www.vietnamworks.com/commercial-excellence-manager-sfe-and-sales-operations-2018599-jv","Xem chi tiết")</f>
        <v/>
      </c>
    </row>
    <row r="7442">
      <c r="B7442" s="9" t="n">
        <v>7440</v>
      </c>
      <c r="C7442" s="10" t="inlineStr">
        <is>
          <t>Itbp Finance (6 Months Contractor)</t>
        </is>
      </c>
      <c r="D7442" s="10" t="inlineStr">
        <is>
          <t>Công Ty Cổ phẩn MASAN MEATLife</t>
        </is>
      </c>
      <c r="E7442" s="10" t="inlineStr">
        <is>
          <t>Từ $ 1,500 /tháng</t>
        </is>
      </c>
      <c r="F7442" s="10" t="inlineStr">
        <is>
          <t>Hồ Chí Minh</t>
        </is>
      </c>
      <c r="G7442" s="10" t="inlineStr">
        <is>
          <t>Nhân viên</t>
        </is>
      </c>
      <c r="H7442" s="10" t="inlineStr">
        <is>
          <t>05/03/2026</t>
        </is>
      </c>
      <c r="I7442" s="10" t="inlineStr">
        <is>
          <t>04/04/2026</t>
        </is>
      </c>
      <c r="J7442" s="10" t="inlineStr">
        <is>
          <t>17/03/2026</t>
        </is>
      </c>
      <c r="K7442" s="10" t="inlineStr">
        <is>
          <t>N/A</t>
        </is>
      </c>
      <c r="L7442" s="10" t="inlineStr">
        <is>
          <t>IT Phần Mềm, Công Nghệ Thông Tin, IT Project Management, IT Advisory</t>
        </is>
      </c>
      <c r="M7442" s="10" t="inlineStr">
        <is>
          <t>Bonus, Healthcare Plan, Training</t>
        </is>
      </c>
      <c r="N7442" s="11">
        <f>HYPERLINK("https://www.vietnamworks.com/itbp-finance-6-months-contractor-2018580-jv","Xem chi tiết")</f>
        <v/>
      </c>
      <c r="O7442" s="10" t="n"/>
    </row>
    <row r="7443">
      <c r="B7443" s="7" t="n">
        <v>7441</v>
      </c>
      <c r="C7443" t="inlineStr">
        <is>
          <t>Tuyển Dụng Nhân Viên Hiện Trường - Ops</t>
        </is>
      </c>
      <c r="D7443" t="inlineStr">
        <is>
          <t>Công Ty TNHH Vận Tải Lhts</t>
        </is>
      </c>
      <c r="E7443" t="inlineStr">
        <is>
          <t>Từ 12tr ₫/tháng</t>
        </is>
      </c>
      <c r="F7443" t="inlineStr">
        <is>
          <t>Hồ Chí Minh</t>
        </is>
      </c>
      <c r="G7443" t="inlineStr">
        <is>
          <t>Nhân viên</t>
        </is>
      </c>
      <c r="H7443" t="inlineStr">
        <is>
          <t>05/03/2026</t>
        </is>
      </c>
      <c r="I7443" t="inlineStr">
        <is>
          <t>04/04/2026</t>
        </is>
      </c>
      <c r="J7443" t="inlineStr">
        <is>
          <t>17/03/2026</t>
        </is>
      </c>
      <c r="K7443" t="inlineStr">
        <is>
          <t>N/A</t>
        </is>
      </c>
      <c r="L7443" t="inlineStr">
        <is>
          <t>Nhân Viên Hiện Trường Ops, Thủ Tục Thông Quan, Giao Nhận Chứng Từ, Xuất Nhập Khẩu &amp; Logistics, Kiểm Hóa Kiểm Định</t>
        </is>
      </c>
      <c r="M7443" t="inlineStr">
        <is>
          <t>Bonus, Healthcare Plan, Paid Leave, Travel Opportunities, Others</t>
        </is>
      </c>
      <c r="N7443" s="8">
        <f>HYPERLINK("https://www.vietnamworks.com/tuyen-dung-nhan-vien-hien-truong-ops-2018585-jv","Xem chi tiết")</f>
        <v/>
      </c>
    </row>
    <row r="7444">
      <c r="B7444" s="9" t="n">
        <v>7442</v>
      </c>
      <c r="C7444" s="10" t="inlineStr">
        <is>
          <t>Chuyên Viên Pháp Chế Doanh Nghiệp</t>
        </is>
      </c>
      <c r="D7444" s="10" t="inlineStr">
        <is>
          <t>Công Ty Cổ Phần Địa Ốc Phú Long</t>
        </is>
      </c>
      <c r="E7444" s="10" t="inlineStr">
        <is>
          <t>Thương lượng</t>
        </is>
      </c>
      <c r="F7444" s="10" t="inlineStr">
        <is>
          <t>Hồ Chí Minh</t>
        </is>
      </c>
      <c r="G7444" s="10" t="inlineStr">
        <is>
          <t>Nhân viên</t>
        </is>
      </c>
      <c r="H7444" s="10" t="inlineStr">
        <is>
          <t>05/03/2026</t>
        </is>
      </c>
      <c r="I7444" s="10" t="inlineStr">
        <is>
          <t>04/04/2026</t>
        </is>
      </c>
      <c r="J7444" s="10" t="inlineStr">
        <is>
          <t>17/03/2026</t>
        </is>
      </c>
      <c r="K7444" s="10" t="inlineStr">
        <is>
          <t>N/A</t>
        </is>
      </c>
      <c r="L7444" s="10" t="inlineStr">
        <is>
          <t>Pháp Lý Doanh Nghiệp, Tư Vấn Pháp Lý, Soạn Thảo Hợp Đồng, Pháp Lý, Luật</t>
        </is>
      </c>
      <c r="M7444" s="10" t="inlineStr">
        <is>
          <t>Bonus, Awards, Others</t>
        </is>
      </c>
      <c r="N7444" s="11">
        <f>HYPERLINK("https://www.vietnamworks.com/chuyen-vien-phap-che-doanh-nghiep--2018598-jv","Xem chi tiết")</f>
        <v/>
      </c>
      <c r="O7444" s="10" t="n"/>
    </row>
    <row r="7445">
      <c r="B7445" s="7" t="n">
        <v>7443</v>
      </c>
      <c r="C7445" t="inlineStr">
        <is>
          <t>Phó Phòng Mua Hàng</t>
        </is>
      </c>
      <c r="D7445" t="inlineStr">
        <is>
          <t>Công Ty TNHH HSE Việt Nam</t>
        </is>
      </c>
      <c r="E7445" t="inlineStr">
        <is>
          <t>Từ 30tr ₫/tháng</t>
        </is>
      </c>
      <c r="F7445" t="inlineStr">
        <is>
          <t>Hà Nội</t>
        </is>
      </c>
      <c r="G7445" t="inlineStr">
        <is>
          <t>Trưởng phòng</t>
        </is>
      </c>
      <c r="H7445" t="inlineStr">
        <is>
          <t>05/03/2026</t>
        </is>
      </c>
      <c r="I7445" t="inlineStr">
        <is>
          <t>04/04/2026</t>
        </is>
      </c>
      <c r="J7445" t="inlineStr">
        <is>
          <t>17/03/2026</t>
        </is>
      </c>
      <c r="K7445" t="inlineStr">
        <is>
          <t>N/A</t>
        </is>
      </c>
      <c r="L7445" t="inlineStr">
        <is>
          <t>Quản Lý Mua Hàng, Đàm Phán, Theo Dõi Đơn Hàng, Tìm Kiếm Nhà Cung Cấp, Xây Dựng Quy Trình</t>
        </is>
      </c>
      <c r="M7445" t="inlineStr">
        <is>
          <t>Bonus, Healthcare Plan, Paid Leave, Awards, Travel Opportunities, Canteen, Others</t>
        </is>
      </c>
      <c r="N7445" s="8">
        <f>HYPERLINK("https://www.vietnamworks.com/pho-phong-mua-hang-2018593-jv","Xem chi tiết")</f>
        <v/>
      </c>
    </row>
    <row r="7446">
      <c r="B7446" s="9" t="n">
        <v>7444</v>
      </c>
      <c r="C7446" s="10" t="inlineStr">
        <is>
          <t>Senior Product Development Engineer Hotwheel Remote Control Team</t>
        </is>
      </c>
      <c r="D7446" s="10" t="inlineStr">
        <is>
          <t>Công Ty TNHH Mattel Việt Nam</t>
        </is>
      </c>
      <c r="E7446" s="10" t="inlineStr">
        <is>
          <t>Thương lượng</t>
        </is>
      </c>
      <c r="F7446" s="10" t="inlineStr">
        <is>
          <t>Hải Phòng</t>
        </is>
      </c>
      <c r="G7446" s="10" t="inlineStr">
        <is>
          <t>Nhân viên</t>
        </is>
      </c>
      <c r="H7446" s="10" t="inlineStr">
        <is>
          <t>05/03/2026</t>
        </is>
      </c>
      <c r="I7446" s="10" t="inlineStr">
        <is>
          <t>04/04/2026</t>
        </is>
      </c>
      <c r="J7446" s="10" t="inlineStr">
        <is>
          <t>17/03/2026</t>
        </is>
      </c>
      <c r="K7446" s="10" t="inlineStr">
        <is>
          <t>N/A</t>
        </is>
      </c>
      <c r="L7446" s="10" t="inlineStr">
        <is>
          <t>Mechatronics Engineering, Manufacturing Products, Industrial Engineering, AutoCAD Tool, Product Development</t>
        </is>
      </c>
      <c r="M7446" s="10" t="inlineStr">
        <is>
          <t>Bonus, Paid Leave, Others</t>
        </is>
      </c>
      <c r="N7446" s="11">
        <f>HYPERLINK("https://www.vietnamworks.com/senior-product-development-engineer-hotwheel-remote-control-team-2018586-jv","Xem chi tiết")</f>
        <v/>
      </c>
      <c r="O7446" s="10" t="n"/>
    </row>
    <row r="7447">
      <c r="B7447" s="7" t="n">
        <v>7445</v>
      </c>
      <c r="C7447" t="inlineStr">
        <is>
          <t>Quality Control and Process Development Executive</t>
        </is>
      </c>
      <c r="D7447" t="inlineStr">
        <is>
          <t>TORRECID VIETNAM</t>
        </is>
      </c>
      <c r="E7447" t="inlineStr">
        <is>
          <t>Thương lượng</t>
        </is>
      </c>
      <c r="F7447" t="inlineStr">
        <is>
          <t>Đồng Nai, Vĩnh Phúc</t>
        </is>
      </c>
      <c r="G7447" t="inlineStr">
        <is>
          <t>Nhân viên</t>
        </is>
      </c>
      <c r="H7447" t="inlineStr">
        <is>
          <t>05/03/2026</t>
        </is>
      </c>
      <c r="I7447" t="inlineStr">
        <is>
          <t>04/04/2026</t>
        </is>
      </c>
      <c r="J7447" t="inlineStr">
        <is>
          <t>17/03/2026</t>
        </is>
      </c>
      <c r="K7447" t="inlineStr">
        <is>
          <t>N/A</t>
        </is>
      </c>
      <c r="L7447" t="inlineStr">
        <is>
          <t>Basic English, Chemical, Sản Xuất Hoá Chất, Silicate Engineering, Technical skills</t>
        </is>
      </c>
      <c r="M7447" t="inlineStr">
        <is>
          <t>Bonus, Healthcare Plan, Paid Leave, Training, Others</t>
        </is>
      </c>
      <c r="N7447" s="8">
        <f>HYPERLINK("https://www.vietnamworks.com/quality-control-and-process-development-executive-2018584-jv","Xem chi tiết")</f>
        <v/>
      </c>
    </row>
    <row r="7448">
      <c r="B7448" s="9" t="n">
        <v>7446</v>
      </c>
      <c r="C7448" s="10" t="inlineStr">
        <is>
          <t>Kỹ Sư Tự Động Hóa</t>
        </is>
      </c>
      <c r="D7448" s="10" t="inlineStr">
        <is>
          <t>Công Ty Cổ Phần BM Windows</t>
        </is>
      </c>
      <c r="E7448" s="10" t="inlineStr">
        <is>
          <t>$$ 600-1,000 /tháng</t>
        </is>
      </c>
      <c r="F7448" s="10" t="inlineStr">
        <is>
          <t>Bình Dương, Hồ Chí Minh</t>
        </is>
      </c>
      <c r="G7448" s="10" t="inlineStr">
        <is>
          <t>Nhân viên</t>
        </is>
      </c>
      <c r="H7448" s="10" t="inlineStr">
        <is>
          <t>05/03/2026</t>
        </is>
      </c>
      <c r="I7448" s="10" t="inlineStr">
        <is>
          <t>04/04/2026</t>
        </is>
      </c>
      <c r="J7448" s="10" t="inlineStr">
        <is>
          <t>17/03/2026</t>
        </is>
      </c>
      <c r="K7448" s="10" t="inlineStr">
        <is>
          <t>N/A</t>
        </is>
      </c>
      <c r="L7448" s="10" t="inlineStr">
        <is>
          <t>Tự Động Hóa, Lập Trình API, Tối Ưu Hóa Quy Trình, Điều Khiển Tự Động, Quy Trình Cải Tiến</t>
        </is>
      </c>
      <c r="M7448" s="10" t="inlineStr">
        <is>
          <t>Healthcare Plan, Training, Team Activities, Others</t>
        </is>
      </c>
      <c r="N7448" s="11">
        <f>HYPERLINK("https://www.vietnamworks.com/ky-su-tu-djong-hoa-2018591-jv","Xem chi tiết")</f>
        <v/>
      </c>
      <c r="O7448" s="10" t="n"/>
    </row>
    <row r="7449">
      <c r="B7449" s="7" t="n">
        <v>7447</v>
      </c>
      <c r="C7449" t="inlineStr">
        <is>
          <t>Legal Counsel</t>
        </is>
      </c>
      <c r="D7449" t="inlineStr">
        <is>
          <t>MB Ageas Life Insurance Company Limited</t>
        </is>
      </c>
      <c r="E7449" t="inlineStr">
        <is>
          <t>Thương lượng</t>
        </is>
      </c>
      <c r="F7449" t="inlineStr">
        <is>
          <t>Hà Nội</t>
        </is>
      </c>
      <c r="G7449" t="inlineStr">
        <is>
          <t>Nhân viên</t>
        </is>
      </c>
      <c r="H7449" t="inlineStr">
        <is>
          <t>05/03/2026</t>
        </is>
      </c>
      <c r="I7449" t="inlineStr">
        <is>
          <t>04/04/2026</t>
        </is>
      </c>
      <c r="J7449" t="inlineStr">
        <is>
          <t>17/03/2026</t>
        </is>
      </c>
      <c r="K7449" t="inlineStr">
        <is>
          <t>N/A</t>
        </is>
      </c>
      <c r="L7449" t="inlineStr">
        <is>
          <t>N/A</t>
        </is>
      </c>
      <c r="M7449" t="inlineStr">
        <is>
          <t>Bonus, Healthcare Plan, Paid Leave</t>
        </is>
      </c>
      <c r="N7449" s="8">
        <f>HYPERLINK("https://www.vietnamworks.com/legal-counsel-2018600-jv","Xem chi tiết")</f>
        <v/>
      </c>
    </row>
    <row r="7450">
      <c r="B7450" s="9" t="n">
        <v>7448</v>
      </c>
      <c r="C7450" s="10" t="inlineStr">
        <is>
          <t>Kế Toán Tổng Hợp (General Accountant)</t>
        </is>
      </c>
      <c r="D7450" s="10" t="inlineStr">
        <is>
          <t>Nhà Sách Tiến Thọ</t>
        </is>
      </c>
      <c r="E7450" s="10" t="inlineStr">
        <is>
          <t>15tr-22tr ₫/tháng</t>
        </is>
      </c>
      <c r="F7450" s="10" t="inlineStr">
        <is>
          <t>Hà Nội</t>
        </is>
      </c>
      <c r="G7450" s="10" t="inlineStr">
        <is>
          <t>Nhân viên</t>
        </is>
      </c>
      <c r="H7450" s="10" t="inlineStr">
        <is>
          <t>05/03/2026</t>
        </is>
      </c>
      <c r="I7450" s="10" t="inlineStr">
        <is>
          <t>04/04/2026</t>
        </is>
      </c>
      <c r="J7450" s="10" t="inlineStr">
        <is>
          <t>17/03/2026</t>
        </is>
      </c>
      <c r="K7450" s="10" t="inlineStr">
        <is>
          <t>N/A</t>
        </is>
      </c>
      <c r="L7450" s="10" t="inlineStr">
        <is>
          <t>Kế Toán Thuế, Lập Dự Toán Quản Lý, Phân Tích Doanh Thu, Sử Dụng Excel, Tận Tâm</t>
        </is>
      </c>
      <c r="M7450" s="10" t="inlineStr">
        <is>
          <t>Bonus, Healthcare Plan, Paid Leave, Training, Team Activities, Others</t>
        </is>
      </c>
      <c r="N7450" s="11">
        <f>HYPERLINK("https://www.vietnamworks.com/ke-toan-tong-hop-general-accountant-2018579-jv","Xem chi tiết")</f>
        <v/>
      </c>
      <c r="O7450" s="10" t="n"/>
    </row>
    <row r="7451">
      <c r="B7451" s="7" t="n">
        <v>7449</v>
      </c>
      <c r="C7451" t="inlineStr">
        <is>
          <t>[HCM] Sales Representative/ Đại Diện Bán Hàng Kênh GT (FMCG)</t>
        </is>
      </c>
      <c r="D7451" t="inlineStr">
        <is>
          <t>Diana Unicharm JSC</t>
        </is>
      </c>
      <c r="E7451" t="inlineStr">
        <is>
          <t>Thương lượng</t>
        </is>
      </c>
      <c r="F7451" t="inlineStr">
        <is>
          <t>Hồ Chí Minh</t>
        </is>
      </c>
      <c r="G7451" t="inlineStr">
        <is>
          <t>Nhân viên</t>
        </is>
      </c>
      <c r="H7451" t="inlineStr">
        <is>
          <t>05/03/2026</t>
        </is>
      </c>
      <c r="I7451" t="inlineStr">
        <is>
          <t>04/04/2026</t>
        </is>
      </c>
      <c r="J7451" t="inlineStr">
        <is>
          <t>17/03/2026</t>
        </is>
      </c>
      <c r="K7451" t="inlineStr">
        <is>
          <t>N/A</t>
        </is>
      </c>
      <c r="L7451" t="inlineStr">
        <is>
          <t>Giám Sát, Bán hàng</t>
        </is>
      </c>
      <c r="M7451" t="inlineStr">
        <is>
          <t>Bonus, Healthcare Plan, Others</t>
        </is>
      </c>
      <c r="N7451" s="8">
        <f>HYPERLINK("https://www.vietnamworks.com/hcm-sales-representative-dai-dien-ban-hang-kenh-gt-fmcg-2018597-jv","Xem chi tiết")</f>
        <v/>
      </c>
    </row>
    <row r="7452">
      <c r="B7452" s="9" t="n">
        <v>7450</v>
      </c>
      <c r="C7452" s="10" t="inlineStr">
        <is>
          <t>Chuyên Viên Kiểm Thử Phần Mềm - Manual Tester - Khối Công Nghệ Thông Tin (HO26.69)</t>
        </is>
      </c>
      <c r="D7452" s="10" t="inlineStr">
        <is>
          <t>NGÂN HÀNG TMCP QUÂN ĐỘI – MBBANK</t>
        </is>
      </c>
      <c r="E7452" s="10" t="inlineStr">
        <is>
          <t>Thương lượng</t>
        </is>
      </c>
      <c r="F7452" s="10" t="inlineStr">
        <is>
          <t>Hà Nội</t>
        </is>
      </c>
      <c r="G7452" s="10" t="inlineStr">
        <is>
          <t>Nhân viên</t>
        </is>
      </c>
      <c r="H7452" s="10" t="inlineStr">
        <is>
          <t>05/03/2026</t>
        </is>
      </c>
      <c r="I7452" s="10" t="inlineStr">
        <is>
          <t>04/04/2026</t>
        </is>
      </c>
      <c r="J7452" s="10" t="inlineStr">
        <is>
          <t>17/03/2026</t>
        </is>
      </c>
      <c r="K7452" s="10" t="inlineStr">
        <is>
          <t>N/A</t>
        </is>
      </c>
      <c r="L7452" s="10" t="inlineStr">
        <is>
          <t>Android Studio, Agile, Automation Test Script, Kiểm Thử Phần Mềm, Software Testing</t>
        </is>
      </c>
      <c r="M7452" s="10" t="inlineStr">
        <is>
          <t>Bonus, Laptop, Mobile, Travel Opportunities, Team Activities, Transportation, Canteen, Vouchers, Kindergarten</t>
        </is>
      </c>
      <c r="N7452" s="11">
        <f>HYPERLINK("https://www.vietnamworks.com/chuyen-vien-kiem-thu-phan-mem-manual-tester-khoi-cong-nghe-thong-tin-ho26-69-2018573-jv","Xem chi tiết")</f>
        <v/>
      </c>
      <c r="O7452" s="10" t="n"/>
    </row>
    <row r="7453">
      <c r="B7453" s="7" t="n">
        <v>7451</v>
      </c>
      <c r="C7453" t="inlineStr">
        <is>
          <t xml:space="preserve">Chuyên Viên Kinh Doanh &amp; Phát Triển Khách Hàng Đặc Biệt Chuỗi (Key Account - International Hotel/coffee Chain) </t>
        </is>
      </c>
      <c r="D7453" t="inlineStr">
        <is>
          <t>Công Ty Cổ Phần Sữa Việt Nam (Vinamilk)</t>
        </is>
      </c>
      <c r="E7453" t="inlineStr">
        <is>
          <t>Thương lượng</t>
        </is>
      </c>
      <c r="F7453" t="inlineStr">
        <is>
          <t>Hồ Chí Minh</t>
        </is>
      </c>
      <c r="G7453" t="inlineStr">
        <is>
          <t>Nhân viên</t>
        </is>
      </c>
      <c r="H7453" t="inlineStr">
        <is>
          <t>05/03/2026</t>
        </is>
      </c>
      <c r="I7453" t="inlineStr">
        <is>
          <t>04/04/2026</t>
        </is>
      </c>
      <c r="J7453" t="inlineStr">
        <is>
          <t>17/03/2026</t>
        </is>
      </c>
      <c r="K7453" t="inlineStr">
        <is>
          <t>N/A</t>
        </is>
      </c>
      <c r="L7453" t="inlineStr">
        <is>
          <t>Bán Hàng Thực Phẩm, Kỹ năng giao tiếp, Lập Kế Hoạch, Trade Marketing, Quản Lý Key Account</t>
        </is>
      </c>
      <c r="M7453" t="inlineStr">
        <is>
          <t>Bonus, Vouchers</t>
        </is>
      </c>
      <c r="N7453" s="8">
        <f>HYPERLINK("https://www.vietnamworks.com/chuyen-vien-kinh-doanh-and-phat-trien-khach-hang-djac-biet-chuoi-key-account-international-hotelcoffee-chain-2018583-jv","Xem chi tiết")</f>
        <v/>
      </c>
    </row>
    <row r="7454">
      <c r="B7454" s="9" t="n">
        <v>7452</v>
      </c>
      <c r="C7454" s="10" t="inlineStr">
        <is>
          <t>Trưởng Ban Dự Án Xi Măng</t>
        </is>
      </c>
      <c r="D7454" s="10" t="inlineStr">
        <is>
          <t>Vietnamworks' Client</t>
        </is>
      </c>
      <c r="E7454" s="10" t="inlineStr">
        <is>
          <t>Từ $ 5,000 /tháng</t>
        </is>
      </c>
      <c r="F7454" s="10" t="inlineStr">
        <is>
          <t>Hồ Chí Minh, Kiên Giang</t>
        </is>
      </c>
      <c r="G7454" s="10" t="inlineStr">
        <is>
          <t>Giám Đốc và Cấp Cao Hơn</t>
        </is>
      </c>
      <c r="H7454" s="10" t="inlineStr">
        <is>
          <t>05/03/2026</t>
        </is>
      </c>
      <c r="I7454" s="10" t="inlineStr">
        <is>
          <t>04/04/2026</t>
        </is>
      </c>
      <c r="J7454" s="10" t="inlineStr">
        <is>
          <t>17/03/2026</t>
        </is>
      </c>
      <c r="K7454" s="10" t="inlineStr">
        <is>
          <t>N/A</t>
        </is>
      </c>
      <c r="L7454" s="10" t="inlineStr">
        <is>
          <t>Công Nghệ Sản Xuất, Kỹ Thuật Hóa, Lãnh Đạo, Phân Tích Chiến Lược, Quản Lý Nhà Máy</t>
        </is>
      </c>
      <c r="M7454" s="10" t="inlineStr">
        <is>
          <t>Bonus, Paid Leave, Laptop, Travel Opportunities, Canteen</t>
        </is>
      </c>
      <c r="N7454" s="11">
        <f>HYPERLINK("https://www.vietnamworks.com/truong-ban-du-an-xi-mang-2018589-jv","Xem chi tiết")</f>
        <v/>
      </c>
      <c r="O7454" s="10" t="n"/>
    </row>
    <row r="7455">
      <c r="B7455" s="7" t="n">
        <v>7453</v>
      </c>
      <c r="C7455" t="inlineStr">
        <is>
          <t>Nhân Viên Kế Toán Tổng Hợp- Thuế</t>
        </is>
      </c>
      <c r="D7455" t="inlineStr">
        <is>
          <t>Công Ty TNHH B.pure Việt Nam</t>
        </is>
      </c>
      <c r="E7455" t="inlineStr">
        <is>
          <t>15tr-18tr ₫/tháng</t>
        </is>
      </c>
      <c r="F7455" t="inlineStr">
        <is>
          <t>Hà Nội</t>
        </is>
      </c>
      <c r="G7455" t="inlineStr">
        <is>
          <t>Nhân viên</t>
        </is>
      </c>
      <c r="H7455" t="inlineStr">
        <is>
          <t>05/03/2026</t>
        </is>
      </c>
      <c r="I7455" t="inlineStr">
        <is>
          <t>04/04/2026</t>
        </is>
      </c>
      <c r="J7455" t="inlineStr">
        <is>
          <t>17/03/2026</t>
        </is>
      </c>
      <c r="K7455" t="inlineStr">
        <is>
          <t>N/A</t>
        </is>
      </c>
      <c r="L7455" t="inlineStr">
        <is>
          <t>Accounting, Microsoft Office, Misa software, Logical Thinking, English Communication</t>
        </is>
      </c>
      <c r="M7455" t="inlineStr">
        <is>
          <t>Bonus, Healthcare Plan, Paid Leave, Others</t>
        </is>
      </c>
      <c r="N7455" s="8">
        <f>HYPERLINK("https://www.vietnamworks.com/nhan-vien-ke-toan-tong-hop-thue--2018587-jv","Xem chi tiết")</f>
        <v/>
      </c>
    </row>
    <row r="7456">
      <c r="B7456" s="9" t="n">
        <v>7454</v>
      </c>
      <c r="C7456" s="10" t="inlineStr">
        <is>
          <t>Chuyên Viên Đầu Tư</t>
        </is>
      </c>
      <c r="D7456" s="10" t="inlineStr">
        <is>
          <t>CÔNG TY CỔ PHẦN ĐẦU TƯ PHÁT TRIỂN NHÀ Ở XÃ HỘI THÀNH PHỐ HỒ CHÍ MINH</t>
        </is>
      </c>
      <c r="E7456" s="10" t="inlineStr">
        <is>
          <t>Thương lượng</t>
        </is>
      </c>
      <c r="F7456" s="10" t="inlineStr">
        <is>
          <t>Hồ Chí Minh</t>
        </is>
      </c>
      <c r="G7456" s="10" t="inlineStr">
        <is>
          <t>Nhân viên</t>
        </is>
      </c>
      <c r="H7456" s="10" t="inlineStr">
        <is>
          <t>05/03/2026</t>
        </is>
      </c>
      <c r="I7456" s="10" t="inlineStr">
        <is>
          <t>04/04/2026</t>
        </is>
      </c>
      <c r="J7456" s="10" t="inlineStr">
        <is>
          <t>17/03/2026</t>
        </is>
      </c>
      <c r="K7456" s="10" t="inlineStr">
        <is>
          <t>N/A</t>
        </is>
      </c>
      <c r="L7456" s="10" t="inlineStr">
        <is>
          <t>Luật Đất Đai, Đầu Tư, Bất Động Sản, Phân Tích Tài Chính, Thẩm Định</t>
        </is>
      </c>
      <c r="M7456" s="10" t="inlineStr">
        <is>
          <t>Healthcare Plan</t>
        </is>
      </c>
      <c r="N7456" s="11">
        <f>HYPERLINK("https://www.vietnamworks.com/chuyen-vien-djau-tu-2018601-jv","Xem chi tiết")</f>
        <v/>
      </c>
      <c r="O7456" s="10" t="n"/>
    </row>
    <row r="7457">
      <c r="B7457" s="7" t="n">
        <v>7455</v>
      </c>
      <c r="C7457" t="inlineStr">
        <is>
          <t>Kỹ Sư Xây Dựng Công Trình Biển</t>
        </is>
      </c>
      <c r="D7457" t="inlineStr">
        <is>
          <t>Công Ty Cổ Phần Kỹ Thuật Sigma</t>
        </is>
      </c>
      <c r="E7457" t="inlineStr">
        <is>
          <t>Thương lượng</t>
        </is>
      </c>
      <c r="F7457" t="inlineStr">
        <is>
          <t>Cần Thơ, Sóc Trăng, Hồ Chí Minh</t>
        </is>
      </c>
      <c r="G7457" t="inlineStr">
        <is>
          <t>Nhân viên</t>
        </is>
      </c>
      <c r="H7457" t="inlineStr">
        <is>
          <t>05/03/2026</t>
        </is>
      </c>
      <c r="I7457" t="inlineStr">
        <is>
          <t>04/04/2026</t>
        </is>
      </c>
      <c r="J7457" t="inlineStr">
        <is>
          <t>17/03/2026</t>
        </is>
      </c>
      <c r="K7457" t="inlineStr">
        <is>
          <t>N/A</t>
        </is>
      </c>
      <c r="L7457" t="inlineStr">
        <is>
          <t>Thiết Kế Xây Dựng, Quản Lý Tiến Độ, Giám Sát Thi Công, Xây Dựng, Điện Gió</t>
        </is>
      </c>
      <c r="M7457" t="inlineStr">
        <is>
          <t>Bonus, Healthcare Plan, Others</t>
        </is>
      </c>
      <c r="N7457" s="8">
        <f>HYPERLINK("https://www.vietnamworks.com/ky-su-xay-dung-cong-trinh-bien--2018576-jv","Xem chi tiết")</f>
        <v/>
      </c>
    </row>
    <row r="7458">
      <c r="B7458" s="9" t="n">
        <v>7456</v>
      </c>
      <c r="C7458" s="10" t="inlineStr">
        <is>
          <t>Chuyên Viên Chăm Sóc Khách Hàng - Mirai Care (Lương Cơ Bản Upto 18M + Doanh Thu)</t>
        </is>
      </c>
      <c r="D7458" s="10" t="inlineStr">
        <is>
          <t>Tập Đoàn Belief Holdings</t>
        </is>
      </c>
      <c r="E7458" s="10" t="inlineStr">
        <is>
          <t>13tr-18tr ₫/tháng</t>
        </is>
      </c>
      <c r="F7458" s="10" t="inlineStr">
        <is>
          <t>Hà Nội</t>
        </is>
      </c>
      <c r="G7458" s="10" t="inlineStr">
        <is>
          <t>Nhân viên</t>
        </is>
      </c>
      <c r="H7458" s="10" t="inlineStr">
        <is>
          <t>05/03/2026</t>
        </is>
      </c>
      <c r="I7458" s="10" t="inlineStr">
        <is>
          <t>04/04/2026</t>
        </is>
      </c>
      <c r="J7458" s="10" t="inlineStr">
        <is>
          <t>17/03/2026</t>
        </is>
      </c>
      <c r="K7458" s="10" t="inlineStr">
        <is>
          <t>N/A</t>
        </is>
      </c>
      <c r="L7458" s="10" t="inlineStr">
        <is>
          <t>Tư Vấn, Chăm Sóc Khách Hàng, Tư Vấn Bảo Hiểm, Kinh Doanh, Telesales</t>
        </is>
      </c>
      <c r="M7458" s="10" t="inlineStr">
        <is>
          <t>Bonus, Training, Travel Opportunities, Vouchers, Others</t>
        </is>
      </c>
      <c r="N7458" s="11">
        <f>HYPERLINK("https://www.vietnamworks.com/chuyen-vien-cham-soc-khach-hang-mirai-care-luong-co-ban-upto-18m-doanh-thu-2018605-jv","Xem chi tiết")</f>
        <v/>
      </c>
      <c r="O7458" s="10" t="n"/>
    </row>
    <row r="7459">
      <c r="B7459" s="7" t="n">
        <v>7457</v>
      </c>
      <c r="C7459" t="inlineStr">
        <is>
          <t>Nhân Viên Digital Marketing</t>
        </is>
      </c>
      <c r="D7459" t="inlineStr">
        <is>
          <t>Công Ty Cổ Phần Traphaco</t>
        </is>
      </c>
      <c r="E7459" t="inlineStr">
        <is>
          <t>Thương lượng</t>
        </is>
      </c>
      <c r="F7459" t="inlineStr">
        <is>
          <t>Hà Nội</t>
        </is>
      </c>
      <c r="G7459" t="inlineStr">
        <is>
          <t>Nhân viên</t>
        </is>
      </c>
      <c r="H7459" t="inlineStr">
        <is>
          <t>05/03/2026</t>
        </is>
      </c>
      <c r="I7459" t="inlineStr">
        <is>
          <t>04/04/2026</t>
        </is>
      </c>
      <c r="J7459" t="inlineStr">
        <is>
          <t>17/03/2026</t>
        </is>
      </c>
      <c r="K7459" t="inlineStr">
        <is>
          <t>N/A</t>
        </is>
      </c>
      <c r="L7459" t="inlineStr">
        <is>
          <t>Digital Marketing, Google Analytics, Quản Trị Website, Social Marketing, Tổ Chức Sự Kiện</t>
        </is>
      </c>
      <c r="M7459" t="inlineStr">
        <is>
          <t>Bonus, Healthcare Plan, Travel Opportunities</t>
        </is>
      </c>
      <c r="N7459" s="8">
        <f>HYPERLINK("https://www.vietnamworks.com/nhan-vien-digital-marketing-2018603-jv","Xem chi tiết")</f>
        <v/>
      </c>
    </row>
    <row r="7460">
      <c r="B7460" s="9" t="n">
        <v>7458</v>
      </c>
      <c r="C7460" s="10" t="inlineStr">
        <is>
          <t>Chuyên Viên Mua Hàng</t>
        </is>
      </c>
      <c r="D7460" s="10" t="inlineStr">
        <is>
          <t>Trần Hồng Quân Holdings</t>
        </is>
      </c>
      <c r="E7460" s="10" t="inlineStr">
        <is>
          <t>Thương lượng</t>
        </is>
      </c>
      <c r="F7460" s="10" t="inlineStr">
        <is>
          <t>Hà Nội, Lâm Đồng</t>
        </is>
      </c>
      <c r="G7460" s="10" t="inlineStr">
        <is>
          <t>Nhân viên</t>
        </is>
      </c>
      <c r="H7460" s="10" t="inlineStr">
        <is>
          <t>05/03/2026</t>
        </is>
      </c>
      <c r="I7460" s="10" t="inlineStr">
        <is>
          <t>04/04/2026</t>
        </is>
      </c>
      <c r="J7460" s="10" t="inlineStr">
        <is>
          <t>17/03/2026</t>
        </is>
      </c>
      <c r="K7460" s="10" t="inlineStr">
        <is>
          <t>N/A</t>
        </is>
      </c>
      <c r="L7460" s="10" t="inlineStr">
        <is>
          <t>Kinh Tế, Kỹ Thuật Luyện Kim, Mua Hàng Kỹ Thuật, Quản Trị Kinh Doanh, Tiếng Anh</t>
        </is>
      </c>
      <c r="M7460" s="10" t="inlineStr">
        <is>
          <t>Bonus, Healthcare Plan, Paid Leave, Laptop, Travel Opportunities, Canteen, Others</t>
        </is>
      </c>
      <c r="N7460" s="11">
        <f>HYPERLINK("https://www.vietnamworks.com/chuyen-vien-mua-hang-2018610-jv","Xem chi tiết")</f>
        <v/>
      </c>
      <c r="O7460" s="10" t="n"/>
    </row>
    <row r="7461">
      <c r="B7461" s="7" t="n">
        <v>7459</v>
      </c>
      <c r="C7461" t="inlineStr">
        <is>
          <t>IQC/IPQC Supervisor</t>
        </is>
      </c>
      <c r="D7461" t="inlineStr">
        <is>
          <t>Amphenol High Speed Technology Vietnam</t>
        </is>
      </c>
      <c r="E7461" t="inlineStr">
        <is>
          <t>Thương lượng</t>
        </is>
      </c>
      <c r="F7461" t="inlineStr">
        <is>
          <t>Bắc Ninh, Hải Dương, Hà Nội</t>
        </is>
      </c>
      <c r="G7461" t="inlineStr">
        <is>
          <t>Trưởng phòng</t>
        </is>
      </c>
      <c r="H7461" t="inlineStr">
        <is>
          <t>05/03/2026</t>
        </is>
      </c>
      <c r="I7461" t="inlineStr">
        <is>
          <t>04/04/2026</t>
        </is>
      </c>
      <c r="J7461" t="inlineStr">
        <is>
          <t>17/03/2026</t>
        </is>
      </c>
      <c r="K7461" t="inlineStr">
        <is>
          <t>N/A</t>
        </is>
      </c>
      <c r="L7461" t="inlineStr">
        <is>
          <t>Quản Trị Đội Ngũ, Kiểm Soát Chất Lượng, Bảo Quản Nguyên Vật Liệu, IQC, Qc</t>
        </is>
      </c>
      <c r="M7461" t="inlineStr">
        <is>
          <t>Bonus, Healthcare Plan, Transportation, Others</t>
        </is>
      </c>
      <c r="N7461" s="8">
        <f>HYPERLINK("https://www.vietnamworks.com/iqcipqc-supervisor-2018602-jv","Xem chi tiết")</f>
        <v/>
      </c>
    </row>
    <row r="7462">
      <c r="B7462" s="9" t="n">
        <v>7460</v>
      </c>
      <c r="C7462" s="10" t="inlineStr">
        <is>
          <t>Senior IT Comtor/Accelerator</t>
        </is>
      </c>
      <c r="D7462" s="10" t="inlineStr">
        <is>
          <t>Công Ty TNHH Money Forward Việt Nam</t>
        </is>
      </c>
      <c r="E7462" s="10" t="inlineStr">
        <is>
          <t>Thương lượng</t>
        </is>
      </c>
      <c r="F7462" s="10" t="inlineStr">
        <is>
          <t>Hồ Chí Minh</t>
        </is>
      </c>
      <c r="G7462" s="10" t="inlineStr">
        <is>
          <t>Nhân viên</t>
        </is>
      </c>
      <c r="H7462" s="10" t="inlineStr">
        <is>
          <t>05/03/2026</t>
        </is>
      </c>
      <c r="I7462" s="10" t="inlineStr">
        <is>
          <t>04/04/2026</t>
        </is>
      </c>
      <c r="J7462" s="10" t="inlineStr">
        <is>
          <t>17/03/2026</t>
        </is>
      </c>
      <c r="K7462" s="10" t="inlineStr">
        <is>
          <t>N/A</t>
        </is>
      </c>
      <c r="L7462" s="10" t="inlineStr">
        <is>
          <t>Agile Management, IT Comtor, JLPT N2, Product Management, Scrum</t>
        </is>
      </c>
      <c r="M7462" s="10" t="inlineStr">
        <is>
          <t>Bonus, Healthcare Plan, Paid Leave, Training, Awards, Laptop, Team Activities</t>
        </is>
      </c>
      <c r="N7462" s="11">
        <f>HYPERLINK("https://www.vietnamworks.com/senior-it-comtoraccelerator-2018616-jv","Xem chi tiết")</f>
        <v/>
      </c>
      <c r="O7462" s="10" t="n"/>
    </row>
    <row r="7463">
      <c r="B7463" s="7" t="n">
        <v>7461</v>
      </c>
      <c r="C7463" t="inlineStr">
        <is>
          <t>Nhân Viên Thu Mua (Biết Tiếng Trung)</t>
        </is>
      </c>
      <c r="D7463" t="inlineStr">
        <is>
          <t>Công Ty TNHH Cese2 (Việt Nam)</t>
        </is>
      </c>
      <c r="E7463" t="inlineStr">
        <is>
          <t>16tr-25tr ₫/tháng</t>
        </is>
      </c>
      <c r="F7463" t="inlineStr">
        <is>
          <t>Bắc Ninh</t>
        </is>
      </c>
      <c r="G7463" t="inlineStr">
        <is>
          <t>Nhân viên</t>
        </is>
      </c>
      <c r="H7463" t="inlineStr">
        <is>
          <t>05/03/2026</t>
        </is>
      </c>
      <c r="I7463" t="inlineStr">
        <is>
          <t>04/04/2026</t>
        </is>
      </c>
      <c r="J7463" t="inlineStr">
        <is>
          <t>17/03/2026</t>
        </is>
      </c>
      <c r="K7463" t="inlineStr">
        <is>
          <t>N/A</t>
        </is>
      </c>
      <c r="L7463" t="inlineStr">
        <is>
          <t>Kinh Tế, Kỹ năng giao tiếp, Ngoại Thương, Quản Trị Kinh Doanh</t>
        </is>
      </c>
      <c r="M7463" t="inlineStr">
        <is>
          <t>Bonus, Healthcare Plan, Laptop, Mobile, Travel Opportunities, Team Activities, Others</t>
        </is>
      </c>
      <c r="N7463" s="8">
        <f>HYPERLINK("https://www.vietnamworks.com/nhan-vien-thu-mua-biet-tieng-trung-2018596-jv","Xem chi tiết")</f>
        <v/>
      </c>
    </row>
    <row r="7464">
      <c r="B7464" s="9" t="n">
        <v>7462</v>
      </c>
      <c r="C7464" s="10" t="inlineStr">
        <is>
          <t>Nhân Viên Chứng Từ Xuất Nhập Khẩu (Air &amp; Sea)</t>
        </is>
      </c>
      <c r="D7464" s="10" t="inlineStr">
        <is>
          <t>CÔNG TY TNHH CUSTOMIZED SERVICE VIETNAM LOGISTICS</t>
        </is>
      </c>
      <c r="E7464" s="10" t="inlineStr">
        <is>
          <t>15tr-18tr ₫/tháng</t>
        </is>
      </c>
      <c r="F7464" s="10" t="inlineStr">
        <is>
          <t>Hà Nội</t>
        </is>
      </c>
      <c r="G7464" s="10" t="inlineStr">
        <is>
          <t>Nhân viên</t>
        </is>
      </c>
      <c r="H7464" s="10" t="inlineStr">
        <is>
          <t>05/03/2026</t>
        </is>
      </c>
      <c r="I7464" s="10" t="inlineStr">
        <is>
          <t>04/04/2026</t>
        </is>
      </c>
      <c r="J7464" s="10" t="inlineStr">
        <is>
          <t>17/03/2026</t>
        </is>
      </c>
      <c r="K7464" s="10" t="inlineStr">
        <is>
          <t>N/A</t>
        </is>
      </c>
      <c r="L7464" s="10" t="inlineStr">
        <is>
          <t>Logistics, Customs Procedures, English Language Proficiency, Bill Of Lading, Thông Quan Lô Hàng</t>
        </is>
      </c>
      <c r="M7464" s="10" t="inlineStr">
        <is>
          <t>Bonus, Healthcare Plan, Others</t>
        </is>
      </c>
      <c r="N7464" s="11">
        <f>HYPERLINK("https://www.vietnamworks.com/nhan-vien-chung-tu-xuat-nhap-khau-air-and-sea-2018608-jv","Xem chi tiết")</f>
        <v/>
      </c>
      <c r="O7464" s="10" t="n"/>
    </row>
    <row r="7465">
      <c r="B7465" s="7" t="n">
        <v>7463</v>
      </c>
      <c r="C7465" t="inlineStr">
        <is>
          <t>Nhân Viên Xuất Nhập Khẩu</t>
        </is>
      </c>
      <c r="D7465" t="inlineStr">
        <is>
          <t>Cong Ty TNHH Bumjin VINA Electronics VINA</t>
        </is>
      </c>
      <c r="E7465" t="inlineStr">
        <is>
          <t>Thương lượng</t>
        </is>
      </c>
      <c r="F7465" t="inlineStr">
        <is>
          <t>Quảng Ninh, Hải Phòng</t>
        </is>
      </c>
      <c r="G7465" t="inlineStr">
        <is>
          <t>Nhân viên</t>
        </is>
      </c>
      <c r="H7465" t="inlineStr">
        <is>
          <t>05/03/2026</t>
        </is>
      </c>
      <c r="I7465" t="inlineStr">
        <is>
          <t>04/04/2026</t>
        </is>
      </c>
      <c r="J7465" t="inlineStr">
        <is>
          <t>17/03/2026</t>
        </is>
      </c>
      <c r="K7465" t="inlineStr">
        <is>
          <t>N/A</t>
        </is>
      </c>
      <c r="L7465" t="inlineStr">
        <is>
          <t>Kinh Doanh, Xuất Nhập Khẩu, Freight Forwarding, Chứng Từ Xuất Nhập Khẩu, Tiếng Anh</t>
        </is>
      </c>
      <c r="M7465" t="inlineStr">
        <is>
          <t>Training, Transportation, Canteen</t>
        </is>
      </c>
      <c r="N7465" s="8">
        <f>HYPERLINK("https://www.vietnamworks.com/nhan-vien-xuat-nhap-khau--2018606-jv","Xem chi tiết")</f>
        <v/>
      </c>
    </row>
    <row r="7466">
      <c r="B7466" s="9" t="n">
        <v>7464</v>
      </c>
      <c r="C7466" s="10" t="inlineStr">
        <is>
          <t>Kỹ Sư Điện Công Trình</t>
        </is>
      </c>
      <c r="D7466" s="10" t="inlineStr">
        <is>
          <t>CONG TY TNHH TAM YEN THINH</t>
        </is>
      </c>
      <c r="E7466" s="10" t="inlineStr">
        <is>
          <t>Thương lượng</t>
        </is>
      </c>
      <c r="F7466" s="10" t="inlineStr">
        <is>
          <t>Hồ Chí Minh</t>
        </is>
      </c>
      <c r="G7466" s="10" t="inlineStr">
        <is>
          <t>Nhân viên</t>
        </is>
      </c>
      <c r="H7466" s="10" t="inlineStr">
        <is>
          <t>05/03/2026</t>
        </is>
      </c>
      <c r="I7466" s="10" t="inlineStr">
        <is>
          <t>04/04/2026</t>
        </is>
      </c>
      <c r="J7466" s="10" t="inlineStr">
        <is>
          <t>17/03/2026</t>
        </is>
      </c>
      <c r="K7466" s="10" t="inlineStr">
        <is>
          <t>N/A</t>
        </is>
      </c>
      <c r="L7466" s="10" t="inlineStr">
        <is>
          <t>AutoCAD, Bóc Tách Khối Lượng Hệ Thống Điện, Thiết Kế Điện, Kỹ sư Điện, Electrical Engineer</t>
        </is>
      </c>
      <c r="M7466" s="10" t="inlineStr">
        <is>
          <t>Bonus, Paid Leave, Training, Others</t>
        </is>
      </c>
      <c r="N7466" s="11">
        <f>HYPERLINK("https://www.vietnamworks.com/ky-su-dien-cong-trinh--2018620-jv","Xem chi tiết")</f>
        <v/>
      </c>
      <c r="O7466" s="10" t="n"/>
    </row>
    <row r="7467">
      <c r="B7467" s="7" t="n">
        <v>7465</v>
      </c>
      <c r="C7467" t="inlineStr">
        <is>
          <t>Nhân Viên Quản Lý Sản Xuất</t>
        </is>
      </c>
      <c r="D7467" t="inlineStr">
        <is>
          <t>CÔNG TY TNHH CHENG FENG INDUSTRIAL VIỆT NAM</t>
        </is>
      </c>
      <c r="E7467" t="inlineStr">
        <is>
          <t>Thương lượng</t>
        </is>
      </c>
      <c r="F7467" t="inlineStr">
        <is>
          <t>Bắc Ninh</t>
        </is>
      </c>
      <c r="G7467" t="inlineStr">
        <is>
          <t>Nhân viên</t>
        </is>
      </c>
      <c r="H7467" t="inlineStr">
        <is>
          <t>05/03/2026</t>
        </is>
      </c>
      <c r="I7467" t="inlineStr">
        <is>
          <t>04/04/2026</t>
        </is>
      </c>
      <c r="J7467" t="inlineStr">
        <is>
          <t>17/03/2026</t>
        </is>
      </c>
      <c r="K7467" t="inlineStr">
        <is>
          <t>N/A</t>
        </is>
      </c>
      <c r="L7467" t="inlineStr">
        <is>
          <t>Quản Lý Sản Xuất, Giám Sát Chất Lượng, Tiếng Trung, Báo Cáo Sản Xuất, Giám Sát Tiến Độ</t>
        </is>
      </c>
      <c r="M7467" t="inlineStr">
        <is>
          <t>Bonus, Healthcare Plan, Paid Leave, Others</t>
        </is>
      </c>
      <c r="N7467" s="8">
        <f>HYPERLINK("https://www.vietnamworks.com/nhan-vien-quan-ly-san-xuat-2018607-jv","Xem chi tiết")</f>
        <v/>
      </c>
    </row>
    <row r="7468">
      <c r="B7468" s="9" t="n">
        <v>7466</v>
      </c>
      <c r="C7468" s="10" t="inlineStr">
        <is>
          <t>Perishable Merchandising Deputy Manager - Private Brand</t>
        </is>
      </c>
      <c r="D7468" s="10" t="inlineStr">
        <is>
          <t>Công Ty TNHH Aeon Việt Nam</t>
        </is>
      </c>
      <c r="E7468" s="10" t="inlineStr">
        <is>
          <t>Thương lượng</t>
        </is>
      </c>
      <c r="F7468" s="10" t="inlineStr">
        <is>
          <t>Hồ Chí Minh</t>
        </is>
      </c>
      <c r="G7468" s="10" t="inlineStr">
        <is>
          <t>Trưởng phòng</t>
        </is>
      </c>
      <c r="H7468" s="10" t="inlineStr">
        <is>
          <t>05/03/2026</t>
        </is>
      </c>
      <c r="I7468" s="10" t="inlineStr">
        <is>
          <t>04/04/2026</t>
        </is>
      </c>
      <c r="J7468" s="10" t="inlineStr">
        <is>
          <t>17/03/2026</t>
        </is>
      </c>
      <c r="K7468" s="10" t="inlineStr">
        <is>
          <t>N/A</t>
        </is>
      </c>
      <c r="L7468" s="10" t="inlineStr">
        <is>
          <t>Thu Mua, Private Brand, Merchandising</t>
        </is>
      </c>
      <c r="M7468" s="10" t="inlineStr">
        <is>
          <t>Bonus, Healthcare Plan, Training</t>
        </is>
      </c>
      <c r="N7468" s="11">
        <f>HYPERLINK("https://www.vietnamworks.com/perishable-merchandising-deputy-manager-private-brand-2018609-jv","Xem chi tiết")</f>
        <v/>
      </c>
      <c r="O7468" s="10" t="n"/>
    </row>
    <row r="7469">
      <c r="B7469" s="7" t="n">
        <v>7467</v>
      </c>
      <c r="C7469" t="inlineStr">
        <is>
          <t>Sales Director (Giám Đốc Kinh Doanh Toàn Quốc)</t>
        </is>
      </c>
      <c r="D7469" t="inlineStr">
        <is>
          <t>Công ty TNHH Thương Mại Dịch Vụ Kỹ Thuật Cao Hùng _ Oshima</t>
        </is>
      </c>
      <c r="E7469" t="inlineStr">
        <is>
          <t>Thương lượng</t>
        </is>
      </c>
      <c r="F7469" t="inlineStr">
        <is>
          <t>Hồ Chí Minh</t>
        </is>
      </c>
      <c r="G7469" t="inlineStr">
        <is>
          <t>Giám Đốc và Cấp Cao Hơn</t>
        </is>
      </c>
      <c r="H7469" t="inlineStr">
        <is>
          <t>05/03/2026</t>
        </is>
      </c>
      <c r="I7469" t="inlineStr">
        <is>
          <t>04/04/2026</t>
        </is>
      </c>
      <c r="J7469" t="inlineStr">
        <is>
          <t>17/03/2026</t>
        </is>
      </c>
      <c r="K7469" t="inlineStr">
        <is>
          <t>N/A</t>
        </is>
      </c>
      <c r="L7469" t="inlineStr">
        <is>
          <t>Tactical Sales Planning, Distribution Channel Development, Sales Management, Cơ Khí, Kỹ Thuật</t>
        </is>
      </c>
      <c r="M7469" t="inlineStr">
        <is>
          <t>Bonus, Healthcare Plan, Team Activities</t>
        </is>
      </c>
      <c r="N7469" s="8">
        <f>HYPERLINK("https://www.vietnamworks.com/sales-director-giam-djoc-kinh-doanh-toan-quoc-2018611-jv","Xem chi tiết")</f>
        <v/>
      </c>
    </row>
    <row r="7470">
      <c r="B7470" s="9" t="n">
        <v>7468</v>
      </c>
      <c r="C7470" s="10" t="inlineStr">
        <is>
          <t>Nhân Viên Kinh Doanh Hệ Thống Thanh Dẫn Điện Busway (Ưu Tiên Nữ) - Lương Cơ Bản 10Tr + Hoa Hồng Dự Án</t>
        </is>
      </c>
      <c r="D7470" s="10" t="inlineStr">
        <is>
          <t>CONG TY TNHH TAM YEN THINH</t>
        </is>
      </c>
      <c r="E7470" s="10" t="inlineStr">
        <is>
          <t>Thương lượng</t>
        </is>
      </c>
      <c r="F7470" s="10" t="inlineStr">
        <is>
          <t>Hồ Chí Minh</t>
        </is>
      </c>
      <c r="G7470" s="10" t="inlineStr">
        <is>
          <t>Nhân viên</t>
        </is>
      </c>
      <c r="H7470" s="10" t="inlineStr">
        <is>
          <t>05/03/2026</t>
        </is>
      </c>
      <c r="I7470" s="10" t="inlineStr">
        <is>
          <t>04/04/2026</t>
        </is>
      </c>
      <c r="J7470" s="10" t="inlineStr">
        <is>
          <t>17/03/2026</t>
        </is>
      </c>
      <c r="K7470" s="10" t="inlineStr">
        <is>
          <t>N/A</t>
        </is>
      </c>
      <c r="L7470" s="10" t="inlineStr">
        <is>
          <t>Kinh Doanh, Bán Hàng, Bán Hàng Kỹ Thuật, Sales, Phát Triển Khách Hàng</t>
        </is>
      </c>
      <c r="M7470" s="10" t="inlineStr">
        <is>
          <t>Bonus, Healthcare Plan, Paid Leave</t>
        </is>
      </c>
      <c r="N7470" s="11">
        <f>HYPERLINK("https://www.vietnamworks.com/nhan-vien-kinh-doanh-he-thong-thanh-dan-dien-busway-uu-tien-nu-luong-co-ban-10tr-hoa-hong-du-an-2018618-jv","Xem chi tiết")</f>
        <v/>
      </c>
      <c r="O7470" s="10" t="n"/>
    </row>
    <row r="7471">
      <c r="B7471" s="7" t="n">
        <v>7469</v>
      </c>
      <c r="C7471" t="inlineStr">
        <is>
          <t>Kỹ Sư Máy SMT</t>
        </is>
      </c>
      <c r="D7471" t="inlineStr">
        <is>
          <t>Cong Ty TNHH Bumjin VINA Electronics VINA</t>
        </is>
      </c>
      <c r="E7471" t="inlineStr">
        <is>
          <t>Tới $ 1,000 /tháng</t>
        </is>
      </c>
      <c r="F7471" t="inlineStr">
        <is>
          <t>Quảng Ninh, Hải Phòng</t>
        </is>
      </c>
      <c r="G7471" t="inlineStr">
        <is>
          <t>Nhân viên</t>
        </is>
      </c>
      <c r="H7471" t="inlineStr">
        <is>
          <t>05/03/2026</t>
        </is>
      </c>
      <c r="I7471" t="inlineStr">
        <is>
          <t>04/04/2026</t>
        </is>
      </c>
      <c r="J7471" t="inlineStr">
        <is>
          <t>17/03/2026</t>
        </is>
      </c>
      <c r="K7471" t="inlineStr">
        <is>
          <t>N/A</t>
        </is>
      </c>
      <c r="L7471" t="inlineStr">
        <is>
          <t>SMT, Cải Tiến Thiết Bị, Khắc Phục Sự Cố Máy, Máy Móc Kỹ Thuật, Vận Hành Máy Móc</t>
        </is>
      </c>
      <c r="M7471" t="inlineStr">
        <is>
          <t>Bonus</t>
        </is>
      </c>
      <c r="N7471" s="8">
        <f>HYPERLINK("https://www.vietnamworks.com/ky-su-may-smt-2018615-jv","Xem chi tiết")</f>
        <v/>
      </c>
    </row>
    <row r="7472">
      <c r="B7472" s="9" t="n">
        <v>7470</v>
      </c>
      <c r="C7472" s="10" t="inlineStr">
        <is>
          <t>电子工程师 / Electronics Engineer</t>
        </is>
      </c>
      <c r="D7472" s="10" t="inlineStr">
        <is>
          <t>Công Ty TNHH Providence Enterprise (Việt Nam)</t>
        </is>
      </c>
      <c r="E7472" s="10" t="inlineStr">
        <is>
          <t>16tr-20tr ₫/tháng</t>
        </is>
      </c>
      <c r="F7472" s="10" t="inlineStr">
        <is>
          <t>Hải Phòng</t>
        </is>
      </c>
      <c r="G7472" s="10" t="inlineStr">
        <is>
          <t>Nhân viên</t>
        </is>
      </c>
      <c r="H7472" s="10" t="inlineStr">
        <is>
          <t>05/03/2026</t>
        </is>
      </c>
      <c r="I7472" s="10" t="inlineStr">
        <is>
          <t>04/04/2026</t>
        </is>
      </c>
      <c r="J7472" s="10" t="inlineStr">
        <is>
          <t>17/03/2026</t>
        </is>
      </c>
      <c r="K7472" s="10" t="inlineStr">
        <is>
          <t>N/A</t>
        </is>
      </c>
      <c r="L7472" s="10" t="inlineStr">
        <is>
          <t>Electronic Engineering, Electronic Circuit, 模拟电路, 电子分析工具, Electronics Products Sales</t>
        </is>
      </c>
      <c r="M7472" s="10" t="inlineStr">
        <is>
          <t>Bonus, Training, Awards</t>
        </is>
      </c>
      <c r="N7472" s="11">
        <f>HYPERLINK("https://www.vietnamworks.com/electronics-engineer-2018619-jv","Xem chi tiết")</f>
        <v/>
      </c>
      <c r="O7472" s="10" t="n"/>
    </row>
    <row r="7473">
      <c r="B7473" s="7" t="n">
        <v>7471</v>
      </c>
      <c r="C7473" t="inlineStr">
        <is>
          <t>Chuyên Viên Quản Lý Dự Án Xây dựng</t>
        </is>
      </c>
      <c r="D7473" t="inlineStr">
        <is>
          <t>Công Ty TNHH Giáo Dục Và Đào Tạo Vinacademy</t>
        </is>
      </c>
      <c r="E7473" t="inlineStr">
        <is>
          <t>Thương lượng</t>
        </is>
      </c>
      <c r="F7473" t="inlineStr">
        <is>
          <t>Hà Nội</t>
        </is>
      </c>
      <c r="G7473" t="inlineStr">
        <is>
          <t>Nhân viên</t>
        </is>
      </c>
      <c r="H7473" t="inlineStr">
        <is>
          <t>05/03/2026</t>
        </is>
      </c>
      <c r="I7473" t="inlineStr">
        <is>
          <t>04/04/2026</t>
        </is>
      </c>
      <c r="J7473" t="inlineStr">
        <is>
          <t>17/03/2026</t>
        </is>
      </c>
      <c r="K7473" t="inlineStr">
        <is>
          <t>N/A</t>
        </is>
      </c>
      <c r="L7473" t="inlineStr">
        <is>
          <t>Autocad, Kiến Trúc Công Trình, Kỹ Thuật Xây Dựng, Quản Lý Dự Án, Tiếng Anh</t>
        </is>
      </c>
      <c r="M7473" t="inlineStr">
        <is>
          <t>Bonus, Healthcare Plan, Others</t>
        </is>
      </c>
      <c r="N7473" s="8">
        <f>HYPERLINK("https://www.vietnamworks.com/chuyen-vien-quan-ly-du-an-xay-dung-2018617-jv","Xem chi tiết")</f>
        <v/>
      </c>
    </row>
    <row r="7474">
      <c r="B7474" s="9" t="n">
        <v>7472</v>
      </c>
      <c r="C7474" s="10" t="inlineStr">
        <is>
          <t>Executive, Compensation &amp; Benefit</t>
        </is>
      </c>
      <c r="D7474" s="10" t="inlineStr">
        <is>
          <t>KAO Vietnam Co., Ltd</t>
        </is>
      </c>
      <c r="E7474" s="10" t="inlineStr">
        <is>
          <t>Thương lượng</t>
        </is>
      </c>
      <c r="F7474" s="10" t="inlineStr">
        <is>
          <t>Hồ Chí Minh</t>
        </is>
      </c>
      <c r="G7474" s="10" t="inlineStr">
        <is>
          <t>Nhân viên</t>
        </is>
      </c>
      <c r="H7474" s="10" t="inlineStr">
        <is>
          <t>05/03/2026</t>
        </is>
      </c>
      <c r="I7474" s="10" t="inlineStr">
        <is>
          <t>04/04/2026</t>
        </is>
      </c>
      <c r="J7474" s="10" t="inlineStr">
        <is>
          <t>17/03/2026</t>
        </is>
      </c>
      <c r="K7474" s="10" t="inlineStr">
        <is>
          <t>N/A</t>
        </is>
      </c>
      <c r="L7474" s="10" t="inlineStr">
        <is>
          <t>Tax Law, Payroll Administration, C&amp;B, FMCG, HR Admin</t>
        </is>
      </c>
      <c r="M7474" s="10" t="inlineStr">
        <is>
          <t>Bonus</t>
        </is>
      </c>
      <c r="N7474" s="11">
        <f>HYPERLINK("https://www.vietnamworks.com/executive-compensation-and-benefit-2018621-jv","Xem chi tiết")</f>
        <v/>
      </c>
      <c r="O7474" s="10" t="n"/>
    </row>
    <row r="7475">
      <c r="B7475" s="7" t="n">
        <v>7473</v>
      </c>
      <c r="C7475" t="inlineStr">
        <is>
          <t>Kế Toán Tổng Hợp</t>
        </is>
      </c>
      <c r="D7475" t="inlineStr">
        <is>
          <t>CÔNG TY CỔ PHẦN TƯ VẤN VÀ THIẾT KẾ D&amp;B</t>
        </is>
      </c>
      <c r="E7475" t="inlineStr">
        <is>
          <t>Thương lượng</t>
        </is>
      </c>
      <c r="F7475" t="inlineStr">
        <is>
          <t>Hồ Chí Minh</t>
        </is>
      </c>
      <c r="G7475" t="inlineStr">
        <is>
          <t>Nhân viên</t>
        </is>
      </c>
      <c r="H7475" t="inlineStr">
        <is>
          <t>05/03/2026</t>
        </is>
      </c>
      <c r="I7475" t="inlineStr">
        <is>
          <t>04/04/2026</t>
        </is>
      </c>
      <c r="J7475" t="inlineStr">
        <is>
          <t>17/03/2026</t>
        </is>
      </c>
      <c r="K7475" t="inlineStr">
        <is>
          <t>N/A</t>
        </is>
      </c>
      <c r="L7475" t="inlineStr">
        <is>
          <t>Kế Toán Tổng Hợp, Kế Toán Dự Án, Quyết Toán Thuế, Kế Toán Xây Dựng, C&amp;B</t>
        </is>
      </c>
      <c r="M7475" t="inlineStr">
        <is>
          <t>Bonus, Healthcare Plan, Travel Opportunities</t>
        </is>
      </c>
      <c r="N7475" s="8">
        <f>HYPERLINK("https://www.vietnamworks.com/ke-toan-tong-hop-2018612-jv","Xem chi tiết")</f>
        <v/>
      </c>
    </row>
    <row r="7476">
      <c r="B7476" s="9" t="n">
        <v>7474</v>
      </c>
      <c r="C7476" s="10" t="inlineStr">
        <is>
          <t xml:space="preserve">Kỹ Sư Thiết Kế Và Quản Lý Chất Lượng PCCC </t>
        </is>
      </c>
      <c r="D7476" s="10" t="inlineStr">
        <is>
          <t>Công ty cổ phần tư vấn đầu tư và Quản lý xây dựng Sun Vina</t>
        </is>
      </c>
      <c r="E7476" s="10" t="inlineStr">
        <is>
          <t>$$ 500-1,000 /tháng</t>
        </is>
      </c>
      <c r="F7476" s="10" t="inlineStr">
        <is>
          <t>Thanh Hóa</t>
        </is>
      </c>
      <c r="G7476" s="10" t="inlineStr">
        <is>
          <t>Nhân viên</t>
        </is>
      </c>
      <c r="H7476" s="10" t="inlineStr">
        <is>
          <t>05/03/2026</t>
        </is>
      </c>
      <c r="I7476" s="10" t="inlineStr">
        <is>
          <t>04/04/2026</t>
        </is>
      </c>
      <c r="J7476" s="10" t="inlineStr">
        <is>
          <t>17/03/2026</t>
        </is>
      </c>
      <c r="K7476" s="10" t="inlineStr">
        <is>
          <t>N/A</t>
        </is>
      </c>
      <c r="L7476" s="10" t="inlineStr">
        <is>
          <t>Kỹ năng giao tiếp, Phần Mềm Thiết Kế 3D, Quản Lý Chất Lượng, Thiết Kế Hệ Thống, Đọc Hiểu Hệ Thống PCCC</t>
        </is>
      </c>
      <c r="M7476" s="10" t="inlineStr">
        <is>
          <t>Bonus, Training, Others</t>
        </is>
      </c>
      <c r="N7476" s="11">
        <f>HYPERLINK("https://www.vietnamworks.com/ky-su-thiet-ke-va-quan-ly-chat-luong-pccc-2018625-jv","Xem chi tiết")</f>
        <v/>
      </c>
      <c r="O7476" s="10" t="n"/>
    </row>
    <row r="7477">
      <c r="B7477" s="7" t="n">
        <v>7475</v>
      </c>
      <c r="C7477" t="inlineStr">
        <is>
          <t>[Hot Job] Nhân Viên Bán Hàng Làm Việc Tại Văn Phòng Bán Hàng Thanh Hóa - Thu Nhập Khởi Điểm 18 Triệu/tháng</t>
        </is>
      </c>
      <c r="D7477" t="inlineStr">
        <is>
          <t>Công Ty Xi Măng Nghi Sơn (Nscc)</t>
        </is>
      </c>
      <c r="E7477" t="inlineStr">
        <is>
          <t>Từ 18tr ₫/tháng</t>
        </is>
      </c>
      <c r="F7477" t="inlineStr">
        <is>
          <t>Thanh Hóa</t>
        </is>
      </c>
      <c r="G7477" t="inlineStr">
        <is>
          <t>Nhân viên</t>
        </is>
      </c>
      <c r="H7477" t="inlineStr">
        <is>
          <t>05/03/2026</t>
        </is>
      </c>
      <c r="I7477" t="inlineStr">
        <is>
          <t>04/04/2026</t>
        </is>
      </c>
      <c r="J7477" t="inlineStr">
        <is>
          <t>17/03/2026</t>
        </is>
      </c>
      <c r="K7477" t="inlineStr">
        <is>
          <t>N/A</t>
        </is>
      </c>
      <c r="L7477" t="inlineStr">
        <is>
          <t>Tiếng Anh, Bán hàng, Kinh Tế, Kinh Doanh, MS Office</t>
        </is>
      </c>
      <c r="M7477" t="inlineStr">
        <is>
          <t>Bonus, Healthcare Plan</t>
        </is>
      </c>
      <c r="N7477" s="8">
        <f>HYPERLINK("https://www.vietnamworks.com/hot-job-nhan-vien-ban-hang-lam-viec-tai-van-phong-ban-hang-thanh-hoa-thu-nhap-khoi-diem-18-trieu-thang-2018627-jv","Xem chi tiết")</f>
        <v/>
      </c>
    </row>
    <row r="7478">
      <c r="B7478" s="9" t="n">
        <v>7476</v>
      </c>
      <c r="C7478" s="10" t="inlineStr">
        <is>
          <t>Nhân Viên Nhân Sự - Thu Nhập Khởi Điểm 20 Triệu/tháng</t>
        </is>
      </c>
      <c r="D7478" s="10" t="inlineStr">
        <is>
          <t>Công Ty Xi Măng Nghi Sơn (Nscc)</t>
        </is>
      </c>
      <c r="E7478" s="10" t="inlineStr">
        <is>
          <t>Từ 20,000 ₫/tháng</t>
        </is>
      </c>
      <c r="F7478" s="10" t="inlineStr">
        <is>
          <t>Hà Nội</t>
        </is>
      </c>
      <c r="G7478" s="10" t="inlineStr">
        <is>
          <t>Mới Tốt Nghiệp</t>
        </is>
      </c>
      <c r="H7478" s="10" t="inlineStr">
        <is>
          <t>05/03/2026</t>
        </is>
      </c>
      <c r="I7478" s="10" t="inlineStr">
        <is>
          <t>04/04/2026</t>
        </is>
      </c>
      <c r="J7478" s="10" t="inlineStr">
        <is>
          <t>17/03/2026</t>
        </is>
      </c>
      <c r="K7478" s="10" t="inlineStr">
        <is>
          <t>N/A</t>
        </is>
      </c>
      <c r="L7478" s="10" t="inlineStr">
        <is>
          <t>Quản Lý Lao Động, Quản Lý Lương, Phần Mềm Nhân Sự, Tiếng Anh, Hành Chính Nhân Sự</t>
        </is>
      </c>
      <c r="M7478" s="10" t="inlineStr">
        <is>
          <t>Bonus, Healthcare Plan</t>
        </is>
      </c>
      <c r="N7478" s="11">
        <f>HYPERLINK("https://www.vietnamworks.com/nhan-vien-nhan-su-thu-nhap-khoi-diem-20-trieu-thang-2018628-jv","Xem chi tiết")</f>
        <v/>
      </c>
      <c r="O7478" s="10" t="n"/>
    </row>
    <row r="7479">
      <c r="B7479" s="7" t="n">
        <v>7477</v>
      </c>
      <c r="C7479" t="inlineStr">
        <is>
          <t>Product Manager (Data 360) (Chuyên Ngành Kế Kiểm)</t>
        </is>
      </c>
      <c r="D7479" t="inlineStr">
        <is>
          <t>MISA Jointstock Company</t>
        </is>
      </c>
      <c r="E7479" t="inlineStr">
        <is>
          <t>Thương lượng</t>
        </is>
      </c>
      <c r="F7479" t="inlineStr">
        <is>
          <t>Hà Nội</t>
        </is>
      </c>
      <c r="G7479" t="inlineStr">
        <is>
          <t>Nhân viên</t>
        </is>
      </c>
      <c r="H7479" t="inlineStr">
        <is>
          <t>05/03/2026</t>
        </is>
      </c>
      <c r="I7479" t="inlineStr">
        <is>
          <t>04/04/2026</t>
        </is>
      </c>
      <c r="J7479" t="inlineStr">
        <is>
          <t>17/03/2026</t>
        </is>
      </c>
      <c r="K7479" t="inlineStr">
        <is>
          <t>N/A</t>
        </is>
      </c>
      <c r="L7479" t="inlineStr">
        <is>
          <t>Business Intelligence, Data Analytics, AI, Product Management, Communication</t>
        </is>
      </c>
      <c r="M7479" t="inlineStr">
        <is>
          <t>Bonus, Paid Leave, Awards, Team Activities, Others</t>
        </is>
      </c>
      <c r="N7479" s="8">
        <f>HYPERLINK("https://www.vietnamworks.com/product-manager-data-360-chuyen-nganh-ke-kiem-2018624-jv","Xem chi tiết")</f>
        <v/>
      </c>
    </row>
    <row r="7480">
      <c r="B7480" s="9" t="n">
        <v>7478</v>
      </c>
      <c r="C7480" s="10" t="inlineStr">
        <is>
          <t>Chuyên Viên Kế Hoạch Sản Xuất/ 生产计划专员</t>
        </is>
      </c>
      <c r="D7480" s="10" t="inlineStr">
        <is>
          <t>Công Ty TNHH Providence Enterprise (Việt Nam)</t>
        </is>
      </c>
      <c r="E7480" s="10" t="inlineStr">
        <is>
          <t>Thương lượng</t>
        </is>
      </c>
      <c r="F7480" s="10" t="inlineStr">
        <is>
          <t>Hải Phòng</t>
        </is>
      </c>
      <c r="G7480" s="10" t="inlineStr">
        <is>
          <t>Mới Tốt Nghiệp</t>
        </is>
      </c>
      <c r="H7480" s="10" t="inlineStr">
        <is>
          <t>05/03/2026</t>
        </is>
      </c>
      <c r="I7480" s="10" t="inlineStr">
        <is>
          <t>04/04/2026</t>
        </is>
      </c>
      <c r="J7480" s="10" t="inlineStr">
        <is>
          <t>17/03/2026</t>
        </is>
      </c>
      <c r="K7480" s="10" t="inlineStr">
        <is>
          <t>N/A</t>
        </is>
      </c>
      <c r="L7480" s="10" t="inlineStr">
        <is>
          <t>Ép Nhựa, ERP, MS Excel, Quản Lý Nhập kho, Quản Lý Sản Xuất</t>
        </is>
      </c>
      <c r="M7480" s="10" t="inlineStr">
        <is>
          <t>Bonus, Awards, Others</t>
        </is>
      </c>
      <c r="N7480" s="11">
        <f>HYPERLINK("https://www.vietnamworks.com/chuyen-vien-ke-hoach-san-xuat-2018622-jv","Xem chi tiết")</f>
        <v/>
      </c>
      <c r="O7480" s="10" t="n"/>
    </row>
    <row r="7481">
      <c r="B7481" s="7" t="n">
        <v>7479</v>
      </c>
      <c r="C7481" t="inlineStr">
        <is>
          <t>Trưởng Phòng IT (Làm Việc Tại Hòa Bình) Có Xe Đưa Đón Từ Hà Nội</t>
        </is>
      </c>
      <c r="D7481" t="inlineStr">
        <is>
          <t>CÔNG TY TNHH ALLIED CIRCUIT MEIKO VIỆT NAM</t>
        </is>
      </c>
      <c r="E7481" t="inlineStr">
        <is>
          <t>Thương lượng</t>
        </is>
      </c>
      <c r="F7481" t="inlineStr">
        <is>
          <t>Phú Thọ</t>
        </is>
      </c>
      <c r="G7481" t="inlineStr">
        <is>
          <t>Trưởng phòng</t>
        </is>
      </c>
      <c r="H7481" t="inlineStr">
        <is>
          <t>05/03/2026</t>
        </is>
      </c>
      <c r="I7481" t="inlineStr">
        <is>
          <t>04/04/2026</t>
        </is>
      </c>
      <c r="J7481" t="inlineStr">
        <is>
          <t>17/03/2026</t>
        </is>
      </c>
      <c r="K7481" t="inlineStr">
        <is>
          <t>N/A</t>
        </is>
      </c>
      <c r="L7481" t="inlineStr">
        <is>
          <t>Tiếng Anh Giao Tiếp, Xử Lý Sự Cố Máy Tính, Quản Trị Nhân Lực, Tiếng Trung</t>
        </is>
      </c>
      <c r="M7481" t="inlineStr">
        <is>
          <t>Bonus</t>
        </is>
      </c>
      <c r="N7481" s="8">
        <f>HYPERLINK("https://www.vietnamworks.com/truong-phong-it-lam-viec-tai-hoa-binh-co-xe-dua-don-tu-ha-noi-2018631-jv","Xem chi tiết")</f>
        <v/>
      </c>
    </row>
    <row r="7482">
      <c r="B7482" s="9" t="n">
        <v>7480</v>
      </c>
      <c r="C7482" s="10" t="inlineStr">
        <is>
          <t>Supplier Quality Specialist</t>
        </is>
      </c>
      <c r="D7482" s="10" t="inlineStr">
        <is>
          <t>Mondelēz Kinh Đô Việt Nam</t>
        </is>
      </c>
      <c r="E7482" s="10" t="inlineStr">
        <is>
          <t>Thương lượng</t>
        </is>
      </c>
      <c r="F7482" s="10" t="inlineStr">
        <is>
          <t>Hồ Chí Minh</t>
        </is>
      </c>
      <c r="G7482" s="10" t="inlineStr">
        <is>
          <t>Nhân viên</t>
        </is>
      </c>
      <c r="H7482" s="10" t="inlineStr">
        <is>
          <t>05/03/2026</t>
        </is>
      </c>
      <c r="I7482" s="10" t="inlineStr">
        <is>
          <t>04/04/2026</t>
        </is>
      </c>
      <c r="J7482" s="10" t="inlineStr">
        <is>
          <t>17/03/2026</t>
        </is>
      </c>
      <c r="K7482" s="10" t="inlineStr">
        <is>
          <t>N/A</t>
        </is>
      </c>
      <c r="L7482" s="10" t="inlineStr">
        <is>
          <t>Auditing, Food Safety Regulatory, Operational Management, Project Management, Supplier Quality Management</t>
        </is>
      </c>
      <c r="M7482" s="10" t="inlineStr">
        <is>
          <t>Transportation, Others</t>
        </is>
      </c>
      <c r="N7482" s="11">
        <f>HYPERLINK("https://www.vietnamworks.com/supplier-quality-specialist-2018629-jv","Xem chi tiết")</f>
        <v/>
      </c>
      <c r="O7482" s="10" t="n"/>
    </row>
    <row r="7483">
      <c r="B7483" s="7" t="n">
        <v>7481</v>
      </c>
      <c r="C7483" t="inlineStr">
        <is>
          <t>Nhân Viên Kinh Doanh</t>
        </is>
      </c>
      <c r="D7483" t="inlineStr">
        <is>
          <t>CÔNG TY TNHH PHÁT TRIỂN THƯƠNG MẠI HỢP LỰC</t>
        </is>
      </c>
      <c r="E7483" t="inlineStr">
        <is>
          <t>15tr-20tr ₫/tháng</t>
        </is>
      </c>
      <c r="F7483" t="inlineStr">
        <is>
          <t>Hải Phòng, Hà Nội</t>
        </is>
      </c>
      <c r="G7483" t="inlineStr">
        <is>
          <t>Nhân viên</t>
        </is>
      </c>
      <c r="H7483" t="inlineStr">
        <is>
          <t>05/03/2026</t>
        </is>
      </c>
      <c r="I7483" t="inlineStr">
        <is>
          <t>04/04/2026</t>
        </is>
      </c>
      <c r="J7483" t="inlineStr">
        <is>
          <t>17/03/2026</t>
        </is>
      </c>
      <c r="K7483" t="inlineStr">
        <is>
          <t>N/A</t>
        </is>
      </c>
      <c r="L7483" t="inlineStr">
        <is>
          <t>Kinh Doanh, Y Dược, Đấu Thầu Y Tế, Giới Thiệu Thuốc, Tìm Kiếm Khách Hàng</t>
        </is>
      </c>
      <c r="M7483" t="inlineStr">
        <is>
          <t>Bonus, Healthcare Plan, Training, Travel Opportunities, Others</t>
        </is>
      </c>
      <c r="N7483" s="8">
        <f>HYPERLINK("https://www.vietnamworks.com/nhan-vien-kinh-doanh-2018640-jv","Xem chi tiết")</f>
        <v/>
      </c>
    </row>
    <row r="7484">
      <c r="B7484" s="9" t="n">
        <v>7482</v>
      </c>
      <c r="C7484" s="10" t="inlineStr">
        <is>
          <t>Nhân Viên Kho</t>
        </is>
      </c>
      <c r="D7484" s="10" t="inlineStr">
        <is>
          <t>CÔNG TY TNHH NIPPON PAINT (VIỆT NAM)</t>
        </is>
      </c>
      <c r="E7484" s="10" t="inlineStr">
        <is>
          <t>Thương lượng</t>
        </is>
      </c>
      <c r="F7484" s="10" t="inlineStr">
        <is>
          <t>Bình Dương</t>
        </is>
      </c>
      <c r="G7484" s="10" t="inlineStr">
        <is>
          <t>Mới Tốt Nghiệp</t>
        </is>
      </c>
      <c r="H7484" s="10" t="inlineStr">
        <is>
          <t>05/03/2026</t>
        </is>
      </c>
      <c r="I7484" s="10" t="inlineStr">
        <is>
          <t>04/04/2026</t>
        </is>
      </c>
      <c r="J7484" s="10" t="inlineStr">
        <is>
          <t>17/03/2026</t>
        </is>
      </c>
      <c r="K7484" s="10" t="inlineStr">
        <is>
          <t>N/A</t>
        </is>
      </c>
      <c r="L7484" s="10" t="inlineStr">
        <is>
          <t>Quản Lý Kho, Phần mềm văn phòng, Tiếng Trung Giao Tiếp, Kiểm Kê Hàng Tồn, Tư duy logic</t>
        </is>
      </c>
      <c r="M7484" s="10" t="inlineStr">
        <is>
          <t>Bonus, Healthcare Plan, Paid Leave, Team Activities, Others</t>
        </is>
      </c>
      <c r="N7484" s="11">
        <f>HYPERLINK("https://www.vietnamworks.com/nhan-vien-kho-2018635-jv","Xem chi tiết")</f>
        <v/>
      </c>
      <c r="O7484" s="10" t="n"/>
    </row>
    <row r="7485">
      <c r="B7485" s="7" t="n">
        <v>7483</v>
      </c>
      <c r="C7485" t="inlineStr">
        <is>
          <t>Nhân Viên Phòng Kỹ Thuật</t>
        </is>
      </c>
      <c r="D7485" t="inlineStr">
        <is>
          <t>Công Ty TNHH Iko Thompson Việt Nam</t>
        </is>
      </c>
      <c r="E7485" t="inlineStr">
        <is>
          <t>Thương lượng</t>
        </is>
      </c>
      <c r="F7485" t="inlineStr">
        <is>
          <t>Hải Phòng</t>
        </is>
      </c>
      <c r="G7485" t="inlineStr">
        <is>
          <t>Nhân viên</t>
        </is>
      </c>
      <c r="H7485" t="inlineStr">
        <is>
          <t>05/03/2026</t>
        </is>
      </c>
      <c r="I7485" t="inlineStr">
        <is>
          <t>04/04/2026</t>
        </is>
      </c>
      <c r="J7485" t="inlineStr">
        <is>
          <t>17/03/2026</t>
        </is>
      </c>
      <c r="K7485" t="inlineStr">
        <is>
          <t>N/A</t>
        </is>
      </c>
      <c r="L7485" t="inlineStr">
        <is>
          <t>AutoCAD, Đọc Hiểu Bản Vẽ, Tin Học Văn Phòng, Cơ Khí, Thiết Kế Bản Vẽ</t>
        </is>
      </c>
      <c r="M7485" t="inlineStr">
        <is>
          <t>Bonus, Healthcare Plan</t>
        </is>
      </c>
      <c r="N7485" s="8">
        <f>HYPERLINK("https://www.vietnamworks.com/nhan-vien-phong-ky-thuat--2018641-jv","Xem chi tiết")</f>
        <v/>
      </c>
    </row>
    <row r="7486">
      <c r="B7486" s="9" t="n">
        <v>7484</v>
      </c>
      <c r="C7486" s="10" t="inlineStr">
        <is>
          <t>Chuyên Viên Phát Triển Dự Án/ Chuyên Viên Pháp Lý Dự Án</t>
        </is>
      </c>
      <c r="D7486" s="10" t="inlineStr">
        <is>
          <t>CÔNG TY CỔ PHẦN XÂY DỰNG ENTIZ</t>
        </is>
      </c>
      <c r="E7486" s="10" t="inlineStr">
        <is>
          <t>Thương lượng</t>
        </is>
      </c>
      <c r="F7486" s="10" t="inlineStr">
        <is>
          <t>Nghệ An</t>
        </is>
      </c>
      <c r="G7486" s="10" t="inlineStr">
        <is>
          <t>Nhân viên</t>
        </is>
      </c>
      <c r="H7486" s="10" t="inlineStr">
        <is>
          <t>05/03/2026</t>
        </is>
      </c>
      <c r="I7486" s="10" t="inlineStr">
        <is>
          <t>04/04/2026</t>
        </is>
      </c>
      <c r="J7486" s="10" t="inlineStr">
        <is>
          <t>17/03/2026</t>
        </is>
      </c>
      <c r="K7486" s="10" t="inlineStr">
        <is>
          <t>N/A</t>
        </is>
      </c>
      <c r="L7486" s="10" t="inlineStr">
        <is>
          <t>Bất Động Sản, Hồ Sơ Giấy Phép Xây Dựng, Phát Triển Dự Án, Xây Dựng, Đầu Tư</t>
        </is>
      </c>
      <c r="M7486" s="10" t="inlineStr">
        <is>
          <t>Others</t>
        </is>
      </c>
      <c r="N7486" s="11">
        <f>HYPERLINK("https://www.vietnamworks.com/chuyen-vien-phat-trien-du-an-chuyen-vien-phap-ly-du-an-2018642-jv","Xem chi tiết")</f>
        <v/>
      </c>
      <c r="O7486" s="10" t="n"/>
    </row>
    <row r="7487">
      <c r="B7487" s="7" t="n">
        <v>7485</v>
      </c>
      <c r="C7487" t="inlineStr">
        <is>
          <t>Tổ Trưởng Kỹ Thuật Tòa Nhà</t>
        </is>
      </c>
      <c r="D7487" t="inlineStr">
        <is>
          <t>Công Ty TNHH Aden Services (Việt Nam) - CN Hà Nội</t>
        </is>
      </c>
      <c r="E7487" t="inlineStr">
        <is>
          <t>$$ 500-600 /tháng</t>
        </is>
      </c>
      <c r="F7487" t="inlineStr">
        <is>
          <t>Hà Nội</t>
        </is>
      </c>
      <c r="G7487" t="inlineStr">
        <is>
          <t>Nhân viên</t>
        </is>
      </c>
      <c r="H7487" t="inlineStr">
        <is>
          <t>05/03/2026</t>
        </is>
      </c>
      <c r="I7487" t="inlineStr">
        <is>
          <t>04/04/2026</t>
        </is>
      </c>
      <c r="J7487" t="inlineStr">
        <is>
          <t>17/03/2026</t>
        </is>
      </c>
      <c r="K7487" t="inlineStr">
        <is>
          <t>N/A</t>
        </is>
      </c>
      <c r="L7487" t="inlineStr">
        <is>
          <t>Kỹ Thuật Toà Nhà, Quản Lý Vận Hành Kỹ Thuật, Kỹ Thuật Cơ Điện Tử, Kỹ Thuật Điện</t>
        </is>
      </c>
      <c r="M7487" t="inlineStr">
        <is>
          <t>Bonus, Training, Team Activities</t>
        </is>
      </c>
      <c r="N7487" s="8">
        <f>HYPERLINK("https://www.vietnamworks.com/to-truong-ky-thuat-toa-nha--2018639-jv","Xem chi tiết")</f>
        <v/>
      </c>
    </row>
    <row r="7488">
      <c r="B7488" s="9" t="n">
        <v>7486</v>
      </c>
      <c r="C7488" s="10" t="inlineStr">
        <is>
          <t>[Hà Nội] Product Specialist (Oncology) - Chuyên Viên Sản Phẩm</t>
        </is>
      </c>
      <c r="D7488" s="10" t="inlineStr">
        <is>
          <t>CÔNG TY TNHH EISAI VIỆT NAM</t>
        </is>
      </c>
      <c r="E7488" s="10" t="inlineStr">
        <is>
          <t>Thương lượng</t>
        </is>
      </c>
      <c r="F7488" s="10" t="inlineStr">
        <is>
          <t>Hà Nội</t>
        </is>
      </c>
      <c r="G7488" s="10" t="inlineStr">
        <is>
          <t>Nhân viên</t>
        </is>
      </c>
      <c r="H7488" s="10" t="inlineStr">
        <is>
          <t>05/03/2026</t>
        </is>
      </c>
      <c r="I7488" s="10" t="inlineStr">
        <is>
          <t>04/04/2026</t>
        </is>
      </c>
      <c r="J7488" s="10" t="inlineStr">
        <is>
          <t>17/03/2026</t>
        </is>
      </c>
      <c r="K7488" s="10" t="inlineStr">
        <is>
          <t>N/A</t>
        </is>
      </c>
      <c r="L7488" s="10" t="inlineStr">
        <is>
          <t>Product Development, Oncology, Dược, Pharmaceutical Sales, Medical</t>
        </is>
      </c>
      <c r="M7488" s="10" t="inlineStr">
        <is>
          <t>Bonus, Healthcare Plan, Paid Leave</t>
        </is>
      </c>
      <c r="N7488" s="11">
        <f>HYPERLINK("https://www.vietnamworks.com/ha-noi-product-specialist-oncology-chuyen-vien-san-pham--2018638-jv","Xem chi tiết")</f>
        <v/>
      </c>
      <c r="O7488" s="10" t="n"/>
    </row>
    <row r="7489">
      <c r="B7489" s="7" t="n">
        <v>7487</v>
      </c>
      <c r="C7489" t="inlineStr">
        <is>
          <t>Nhân Viên Hành Chính Nhân Sự</t>
        </is>
      </c>
      <c r="D7489" t="inlineStr">
        <is>
          <t>CÔNG TY TNHH CÔNG NGHIỆP NEW BEST WIRE VIỆT NAM</t>
        </is>
      </c>
      <c r="E7489" t="inlineStr">
        <is>
          <t>10tr-12tr ₫/tháng</t>
        </is>
      </c>
      <c r="F7489" t="inlineStr">
        <is>
          <t>Hà Nội, Hưng Yên, Hải Dương</t>
        </is>
      </c>
      <c r="G7489" t="inlineStr">
        <is>
          <t>Nhân viên</t>
        </is>
      </c>
      <c r="H7489" t="inlineStr">
        <is>
          <t>05/03/2026</t>
        </is>
      </c>
      <c r="I7489" t="inlineStr">
        <is>
          <t>04/04/2026</t>
        </is>
      </c>
      <c r="J7489" t="inlineStr">
        <is>
          <t>17/03/2026</t>
        </is>
      </c>
      <c r="K7489" t="inlineStr">
        <is>
          <t>N/A</t>
        </is>
      </c>
      <c r="L7489" t="inlineStr">
        <is>
          <t>Tiếng Anh, Chấm Công, Tuyển Dụng, Quản Lý Nhân Sự, Tổng hợp dữ liệu</t>
        </is>
      </c>
      <c r="M7489" t="inlineStr">
        <is>
          <t>Bonus, Healthcare Plan, Training</t>
        </is>
      </c>
      <c r="N7489" s="8">
        <f>HYPERLINK("https://www.vietnamworks.com/nhan-vien-hanh-chinh-nhan-su--2018646-jv","Xem chi tiết")</f>
        <v/>
      </c>
    </row>
    <row r="7490">
      <c r="B7490" s="9" t="n">
        <v>7488</v>
      </c>
      <c r="C7490" s="10" t="inlineStr">
        <is>
          <t>Customer Care (Support for Students and Parents, Fluent English Or Chinese)</t>
        </is>
      </c>
      <c r="D7490" s="10" t="inlineStr">
        <is>
          <t>Công Ty TNHH Geniebook Vietnam</t>
        </is>
      </c>
      <c r="E7490" s="10" t="inlineStr">
        <is>
          <t>Thương lượng</t>
        </is>
      </c>
      <c r="F7490" s="10" t="inlineStr">
        <is>
          <t>Hồ Chí Minh, Hà Nội</t>
        </is>
      </c>
      <c r="G7490" s="10" t="inlineStr">
        <is>
          <t>Nhân viên</t>
        </is>
      </c>
      <c r="H7490" s="10" t="inlineStr">
        <is>
          <t>05/03/2026</t>
        </is>
      </c>
      <c r="I7490" s="10" t="inlineStr">
        <is>
          <t>04/04/2026</t>
        </is>
      </c>
      <c r="J7490" s="10" t="inlineStr">
        <is>
          <t>17/03/2026</t>
        </is>
      </c>
      <c r="K7490" s="10" t="inlineStr">
        <is>
          <t>N/A</t>
        </is>
      </c>
      <c r="L7490" s="10" t="inlineStr">
        <is>
          <t>Student Support, Education Consultation, Chăm Sóc Khách Hàng, CSKH, Sales</t>
        </is>
      </c>
      <c r="M7490" s="10" t="inlineStr">
        <is>
          <t>Bonus, Paid Leave, Awards</t>
        </is>
      </c>
      <c r="N7490" s="11">
        <f>HYPERLINK("https://www.vietnamworks.com/customer-care-support-for-students-and-parents-fluent-english-or-chinese--2018657-jv","Xem chi tiết")</f>
        <v/>
      </c>
      <c r="O7490" s="10" t="n"/>
    </row>
    <row r="7491">
      <c r="B7491" s="7" t="n">
        <v>7489</v>
      </c>
      <c r="C7491" t="inlineStr">
        <is>
          <t>English Teacher (Part-Time)</t>
        </is>
      </c>
      <c r="D7491" t="inlineStr">
        <is>
          <t>Công Ty TNHH Geniebook Vietnam</t>
        </is>
      </c>
      <c r="E7491" t="inlineStr">
        <is>
          <t>Thương lượng</t>
        </is>
      </c>
      <c r="F7491" t="inlineStr">
        <is>
          <t>Hồ Chí Minh</t>
        </is>
      </c>
      <c r="G7491" t="inlineStr">
        <is>
          <t>Nhân viên</t>
        </is>
      </c>
      <c r="H7491" t="inlineStr">
        <is>
          <t>05/03/2026</t>
        </is>
      </c>
      <c r="I7491" t="inlineStr">
        <is>
          <t>04/04/2026</t>
        </is>
      </c>
      <c r="J7491" t="inlineStr">
        <is>
          <t>17/03/2026</t>
        </is>
      </c>
      <c r="K7491" t="inlineStr">
        <is>
          <t>N/A</t>
        </is>
      </c>
      <c r="L7491" t="inlineStr">
        <is>
          <t>English Pedagogy, English Online Teaching, Lesson Planning, English Language Proficiency, Academic English</t>
        </is>
      </c>
      <c r="M7491" t="inlineStr">
        <is>
          <t>Bonus, Paid Leave, Travel Opportunities</t>
        </is>
      </c>
      <c r="N7491" s="8">
        <f>HYPERLINK("https://www.vietnamworks.com/english-teacher-part-time--2018656-jv","Xem chi tiết")</f>
        <v/>
      </c>
    </row>
    <row r="7492">
      <c r="B7492" s="9" t="n">
        <v>7490</v>
      </c>
      <c r="C7492" s="10" t="inlineStr">
        <is>
          <t>Key Account Executive</t>
        </is>
      </c>
      <c r="D7492" s="10" t="inlineStr">
        <is>
          <t>DROPPII</t>
        </is>
      </c>
      <c r="E7492" s="10" t="inlineStr">
        <is>
          <t>$$ 500-800 /tháng</t>
        </is>
      </c>
      <c r="F7492" s="10" t="inlineStr">
        <is>
          <t>Hồ Chí Minh</t>
        </is>
      </c>
      <c r="G7492" s="10" t="inlineStr">
        <is>
          <t>Nhân viên</t>
        </is>
      </c>
      <c r="H7492" s="10" t="inlineStr">
        <is>
          <t>05/03/2026</t>
        </is>
      </c>
      <c r="I7492" s="10" t="inlineStr">
        <is>
          <t>04/04/2026</t>
        </is>
      </c>
      <c r="J7492" s="10" t="inlineStr">
        <is>
          <t>17/03/2026</t>
        </is>
      </c>
      <c r="K7492" s="10" t="inlineStr">
        <is>
          <t>N/A</t>
        </is>
      </c>
      <c r="L7492" s="10" t="inlineStr">
        <is>
          <t>Giao Tiếp, Lập Kế Hoạch, Phân Tích Dữ Liệu, Quản Lý Nhân Viên, Thuyết Phục</t>
        </is>
      </c>
      <c r="M7492" s="10" t="inlineStr">
        <is>
          <t>Others</t>
        </is>
      </c>
      <c r="N7492" s="11">
        <f>HYPERLINK("https://www.vietnamworks.com/key-account-executive-2018643-jv","Xem chi tiết")</f>
        <v/>
      </c>
      <c r="O7492" s="10" t="n"/>
    </row>
    <row r="7493">
      <c r="B7493" s="7" t="n">
        <v>7491</v>
      </c>
      <c r="C7493" t="inlineStr">
        <is>
          <t>Sales Engineer</t>
        </is>
      </c>
      <c r="D7493" t="inlineStr">
        <is>
          <t>Công Ty TNHH Phát Triển Kỹ Thuật Và Dịch Vụ Quang Minh</t>
        </is>
      </c>
      <c r="E7493" t="inlineStr">
        <is>
          <t>Thương lượng</t>
        </is>
      </c>
      <c r="F7493" t="inlineStr">
        <is>
          <t>Hồ Chí Minh</t>
        </is>
      </c>
      <c r="G7493" t="inlineStr">
        <is>
          <t>Nhân viên</t>
        </is>
      </c>
      <c r="H7493" t="inlineStr">
        <is>
          <t>05/03/2026</t>
        </is>
      </c>
      <c r="I7493" t="inlineStr">
        <is>
          <t>04/04/2026</t>
        </is>
      </c>
      <c r="J7493" t="inlineStr">
        <is>
          <t>17/03/2026</t>
        </is>
      </c>
      <c r="K7493" t="inlineStr">
        <is>
          <t>N/A</t>
        </is>
      </c>
      <c r="L7493" t="inlineStr">
        <is>
          <t>Technical Support, Sales Kỹ Thuật, Kinh Doanh, Mechanical Engineering, Technical Sales</t>
        </is>
      </c>
      <c r="M7493" t="inlineStr">
        <is>
          <t>Bonus, Healthcare Plan, Training, Others</t>
        </is>
      </c>
      <c r="N7493" s="8">
        <f>HYPERLINK("https://www.vietnamworks.com/sales-engineer-2018653-jv","Xem chi tiết")</f>
        <v/>
      </c>
    </row>
    <row r="7494">
      <c r="B7494" s="9" t="n">
        <v>7492</v>
      </c>
      <c r="C7494" s="10" t="inlineStr">
        <is>
          <t>Kiến Trúc Sư Concept/ Kiến Trúc Sư Triển Khai</t>
        </is>
      </c>
      <c r="D7494" s="10" t="inlineStr">
        <is>
          <t>gmp International GmbH</t>
        </is>
      </c>
      <c r="E7494" s="10" t="inlineStr">
        <is>
          <t>16tr-25tr ₫/tháng</t>
        </is>
      </c>
      <c r="F7494" s="10" t="inlineStr">
        <is>
          <t>Hà Nội</t>
        </is>
      </c>
      <c r="G7494" s="10" t="inlineStr">
        <is>
          <t>Mới Tốt Nghiệp</t>
        </is>
      </c>
      <c r="H7494" s="10" t="inlineStr">
        <is>
          <t>05/03/2026</t>
        </is>
      </c>
      <c r="I7494" s="10" t="inlineStr">
        <is>
          <t>04/04/2026</t>
        </is>
      </c>
      <c r="J7494" s="10" t="inlineStr">
        <is>
          <t>17/03/2026</t>
        </is>
      </c>
      <c r="K7494" s="10" t="inlineStr">
        <is>
          <t>N/A</t>
        </is>
      </c>
      <c r="L7494" s="10" t="inlineStr">
        <is>
          <t>Kiến Trúc Công Trình, Triển Khai Bản Vẽ, Quản Lý Hồ Sơ Thiết Kế, Revit, Thiết Kế Kiến Trúc</t>
        </is>
      </c>
      <c r="M7494" s="10" t="inlineStr">
        <is>
          <t>Healthcare Plan, Training, Laptop</t>
        </is>
      </c>
      <c r="N7494" s="11">
        <f>HYPERLINK("https://www.vietnamworks.com/kien-truc-su-concept-kien-truc-su-trien-khai-2018649-jv","Xem chi tiết")</f>
        <v/>
      </c>
      <c r="O7494" s="10" t="n"/>
    </row>
    <row r="7495">
      <c r="B7495" s="7" t="n">
        <v>7493</v>
      </c>
      <c r="C7495" t="inlineStr">
        <is>
          <t>Senior Product Manager ( Ngành Dược )</t>
        </is>
      </c>
      <c r="D7495" t="inlineStr">
        <is>
          <t>CÔNG TY TNHH EISAI VIỆT NAM</t>
        </is>
      </c>
      <c r="E7495" t="inlineStr">
        <is>
          <t>Thương lượng</t>
        </is>
      </c>
      <c r="F7495" t="inlineStr">
        <is>
          <t>Hồ Chí Minh</t>
        </is>
      </c>
      <c r="G7495" t="inlineStr">
        <is>
          <t>Trưởng phòng</t>
        </is>
      </c>
      <c r="H7495" t="inlineStr">
        <is>
          <t>05/03/2026</t>
        </is>
      </c>
      <c r="I7495" t="inlineStr">
        <is>
          <t>04/04/2026</t>
        </is>
      </c>
      <c r="J7495" t="inlineStr">
        <is>
          <t>17/03/2026</t>
        </is>
      </c>
      <c r="K7495" t="inlineStr">
        <is>
          <t>N/A</t>
        </is>
      </c>
      <c r="L7495" t="inlineStr">
        <is>
          <t>Pharmaceutical Analysis, Pharmacist, Product &amp; Brand Marketing, Marketing, Oncology</t>
        </is>
      </c>
      <c r="M7495" t="inlineStr">
        <is>
          <t>Paid Leave, Transportation, Others</t>
        </is>
      </c>
      <c r="N7495" s="8">
        <f>HYPERLINK("https://www.vietnamworks.com/senior-product-manager-nganh-duoc-2018636-jv","Xem chi tiết")</f>
        <v/>
      </c>
    </row>
    <row r="7496">
      <c r="B7496" s="9" t="n">
        <v>7494</v>
      </c>
      <c r="C7496" s="10" t="inlineStr">
        <is>
          <t>中國業務代表 - Sales Logistics Representative (Chinese National Required) - Carrier/ Forwarder</t>
        </is>
      </c>
      <c r="D7496" s="10" t="inlineStr">
        <is>
          <t>Oriental Logistics Multimodal Transport CO., LTD</t>
        </is>
      </c>
      <c r="E7496" s="10" t="inlineStr">
        <is>
          <t>Thương lượng</t>
        </is>
      </c>
      <c r="F7496" s="10" t="inlineStr">
        <is>
          <t>Bình Dương</t>
        </is>
      </c>
      <c r="G7496" s="10" t="inlineStr">
        <is>
          <t>Nhân viên</t>
        </is>
      </c>
      <c r="H7496" s="10" t="inlineStr">
        <is>
          <t>05/03/2026</t>
        </is>
      </c>
      <c r="I7496" s="10" t="inlineStr">
        <is>
          <t>04/04/2026</t>
        </is>
      </c>
      <c r="J7496" s="10" t="inlineStr">
        <is>
          <t>17/03/2026</t>
        </is>
      </c>
      <c r="K7496" s="10" t="inlineStr">
        <is>
          <t>N/A</t>
        </is>
      </c>
      <c r="L7496" s="10" t="inlineStr">
        <is>
          <t>Logistics, Kinh Doanh, Tiếng Trung, Kinh Doanh Xuất Nhập Khẩu, Sales Logistics</t>
        </is>
      </c>
      <c r="M7496" s="10" t="inlineStr">
        <is>
          <t>Bonus, Healthcare Plan, Paid Leave, Travel Opportunities, Others</t>
        </is>
      </c>
      <c r="N7496" s="11">
        <f>HYPERLINK("https://www.vietnamworks.com/sales-logistics-representative-chinese-national-required-carrier-forwarder-2018662-jv","Xem chi tiết")</f>
        <v/>
      </c>
      <c r="O7496" s="10" t="n"/>
    </row>
    <row r="7497">
      <c r="B7497" s="7" t="n">
        <v>7495</v>
      </c>
      <c r="C7497" t="inlineStr">
        <is>
          <t>Demand Planner</t>
        </is>
      </c>
      <c r="D7497" t="inlineStr">
        <is>
          <t>Cargill Vietnam</t>
        </is>
      </c>
      <c r="E7497" t="inlineStr">
        <is>
          <t>Thương lượng</t>
        </is>
      </c>
      <c r="F7497" t="inlineStr">
        <is>
          <t>Hồ Chí Minh</t>
        </is>
      </c>
      <c r="G7497" t="inlineStr">
        <is>
          <t>Nhân viên</t>
        </is>
      </c>
      <c r="H7497" t="inlineStr">
        <is>
          <t>05/03/2026</t>
        </is>
      </c>
      <c r="I7497" t="inlineStr">
        <is>
          <t>04/04/2026</t>
        </is>
      </c>
      <c r="J7497" t="inlineStr">
        <is>
          <t>17/03/2026</t>
        </is>
      </c>
      <c r="K7497" t="inlineStr">
        <is>
          <t>N/A</t>
        </is>
      </c>
      <c r="L7497" t="inlineStr">
        <is>
          <t>Analytical Skills, Communication, Demand Forecasting, MS Excel, Erp &amp; Planning Tools</t>
        </is>
      </c>
      <c r="M7497" t="inlineStr">
        <is>
          <t>Bonus, Healthcare Plan, Transportation, Others</t>
        </is>
      </c>
      <c r="N7497" s="8">
        <f>HYPERLINK("https://www.vietnamworks.com/demand-planner-2018664-jv","Xem chi tiết")</f>
        <v/>
      </c>
    </row>
    <row r="7498">
      <c r="B7498" s="9" t="n">
        <v>7496</v>
      </c>
      <c r="C7498" s="10" t="inlineStr">
        <is>
          <t>Trưởng Phòng Đào Tạo - Kiểm Tra Chất Lượng</t>
        </is>
      </c>
      <c r="D7498" s="10" t="inlineStr">
        <is>
          <t>Pan Services</t>
        </is>
      </c>
      <c r="E7498" s="10" t="inlineStr">
        <is>
          <t>Thương lượng</t>
        </is>
      </c>
      <c r="F7498" s="10" t="inlineStr">
        <is>
          <t>Hồ Chí Minh</t>
        </is>
      </c>
      <c r="G7498" s="10" t="inlineStr">
        <is>
          <t>Trưởng phòng</t>
        </is>
      </c>
      <c r="H7498" s="10" t="inlineStr">
        <is>
          <t>05/03/2026</t>
        </is>
      </c>
      <c r="I7498" s="10" t="inlineStr">
        <is>
          <t>04/04/2026</t>
        </is>
      </c>
      <c r="J7498" s="10" t="inlineStr">
        <is>
          <t>17/03/2026</t>
        </is>
      </c>
      <c r="K7498" s="10" t="inlineStr">
        <is>
          <t>N/A</t>
        </is>
      </c>
      <c r="L7498" s="10" t="inlineStr">
        <is>
          <t>Quality Assurance, Service Quality Management, Process Improvement, Operational Management, Training and Development</t>
        </is>
      </c>
      <c r="M7498" s="10" t="inlineStr">
        <is>
          <t>Healthcare Plan, Travel Opportunities, Others</t>
        </is>
      </c>
      <c r="N7498" s="11">
        <f>HYPERLINK("https://www.vietnamworks.com/truong-phong-djao-tao-kiem-tra-chat-luong-2018682-jv","Xem chi tiết")</f>
        <v/>
      </c>
      <c r="O7498" s="10" t="n"/>
    </row>
    <row r="7499">
      <c r="B7499" s="7" t="n">
        <v>7497</v>
      </c>
      <c r="C7499" t="inlineStr">
        <is>
          <t>Nhân Viên Kỹ Thuật Bảo Trì &amp; Sửa Chữa Máy ATM</t>
        </is>
      </c>
      <c r="D7499" t="inlineStr">
        <is>
          <t>Công ty TNHH Bảo Dưỡng Toàn Cầu</t>
        </is>
      </c>
      <c r="E7499" t="inlineStr">
        <is>
          <t>8.5tr-13tr ₫/tháng</t>
        </is>
      </c>
      <c r="F7499" t="inlineStr">
        <is>
          <t>Hồ Chí Minh, Hà Nội</t>
        </is>
      </c>
      <c r="G7499" t="inlineStr">
        <is>
          <t>Nhân viên</t>
        </is>
      </c>
      <c r="H7499" t="inlineStr">
        <is>
          <t>05/03/2026</t>
        </is>
      </c>
      <c r="I7499" t="inlineStr">
        <is>
          <t>04/04/2026</t>
        </is>
      </c>
      <c r="J7499" t="inlineStr">
        <is>
          <t>17/03/2026</t>
        </is>
      </c>
      <c r="K7499" t="inlineStr">
        <is>
          <t>N/A</t>
        </is>
      </c>
      <c r="L7499" t="inlineStr">
        <is>
          <t>ATM Maintenance, Bảo Trì Máy, Sửa Chữa Thiết Bị, Xử Lý Sự Cố, Điện Tử Viễn Thông</t>
        </is>
      </c>
      <c r="M7499" t="inlineStr">
        <is>
          <t>Bonus, Paid Leave, Training, Others</t>
        </is>
      </c>
      <c r="N7499" s="8">
        <f>HYPERLINK("https://www.vietnamworks.com/nhan-vien-ky-thuat-bao-tri-and-sua-chua-may-atm-2018668-jv","Xem chi tiết")</f>
        <v/>
      </c>
    </row>
    <row r="7500">
      <c r="B7500" s="9" t="n">
        <v>7498</v>
      </c>
      <c r="C7500" s="10" t="inlineStr">
        <is>
          <t>Nhân Viên Kinh Doanh (Sales Thị Trường FMCG)</t>
        </is>
      </c>
      <c r="D7500" s="10" t="inlineStr">
        <is>
          <t>Công Ty Cổ Phần Thương Mại Bia Sài Gòn Miền Trung</t>
        </is>
      </c>
      <c r="E7500" s="10" t="inlineStr">
        <is>
          <t>$$ 600-800 /tháng</t>
        </is>
      </c>
      <c r="F7500" s="10" t="inlineStr">
        <is>
          <t>Quảng Ngãi, Bình Định, Đà Nẵng</t>
        </is>
      </c>
      <c r="G7500" s="10" t="inlineStr">
        <is>
          <t>Nhân viên</t>
        </is>
      </c>
      <c r="H7500" s="10" t="inlineStr">
        <is>
          <t>05/03/2026</t>
        </is>
      </c>
      <c r="I7500" s="10" t="inlineStr">
        <is>
          <t>04/04/2026</t>
        </is>
      </c>
      <c r="J7500" s="10" t="inlineStr">
        <is>
          <t>17/03/2026</t>
        </is>
      </c>
      <c r="K7500" s="10" t="inlineStr">
        <is>
          <t>N/A</t>
        </is>
      </c>
      <c r="L7500" s="10" t="inlineStr">
        <is>
          <t>Bán hàng, Kinh Doanh, Kinh Doanh Rượu Bia, Sales, FMCG</t>
        </is>
      </c>
      <c r="M7500" s="10" t="inlineStr">
        <is>
          <t>Bonus, Healthcare Plan, Training</t>
        </is>
      </c>
      <c r="N7500" s="11">
        <f>HYPERLINK("https://www.vietnamworks.com/nhan-vien-kinh-doanh-sales-thi-truong-fmcg--2018661-jv","Xem chi tiết")</f>
        <v/>
      </c>
      <c r="O7500" s="10" t="n"/>
    </row>
    <row r="7501">
      <c r="B7501" s="7" t="n">
        <v>7499</v>
      </c>
      <c r="C7501" t="inlineStr">
        <is>
          <t>Purchasing Staff (8-Month Contract) (Ha Noi)</t>
        </is>
      </c>
      <c r="D7501" t="inlineStr">
        <is>
          <t>Công Ty TNHH Airquay Vina</t>
        </is>
      </c>
      <c r="E7501" t="inlineStr">
        <is>
          <t>Thương lượng</t>
        </is>
      </c>
      <c r="F7501" t="inlineStr">
        <is>
          <t>Hà Nội</t>
        </is>
      </c>
      <c r="G7501" t="inlineStr">
        <is>
          <t>Nhân viên</t>
        </is>
      </c>
      <c r="H7501" t="inlineStr">
        <is>
          <t>05/03/2026</t>
        </is>
      </c>
      <c r="I7501" t="inlineStr">
        <is>
          <t>04/04/2026</t>
        </is>
      </c>
      <c r="J7501" t="inlineStr">
        <is>
          <t>17/03/2026</t>
        </is>
      </c>
      <c r="K7501" t="inlineStr">
        <is>
          <t>N/A</t>
        </is>
      </c>
      <c r="L7501" t="inlineStr">
        <is>
          <t>Purchasing, Market Research, Cost Management, Supplier Relationship Management</t>
        </is>
      </c>
      <c r="M7501" t="inlineStr">
        <is>
          <t>Bonus, Healthcare Plan, Others</t>
        </is>
      </c>
      <c r="N7501" s="8">
        <f>HYPERLINK("https://www.vietnamworks.com/purchasing-staff-8-month-contract-ha-noi-2018684-jv","Xem chi tiết")</f>
        <v/>
      </c>
    </row>
    <row r="7502">
      <c r="B7502" s="9" t="n">
        <v>7500</v>
      </c>
      <c r="C7502" s="10" t="inlineStr">
        <is>
          <t>Nhân Viên Customer Service</t>
        </is>
      </c>
      <c r="D7502" s="10" t="inlineStr">
        <is>
          <t>CÔNG TY TNHH WHALE LOGISTICS VIỆT NAM - CHI NHÁNH HẢI PHÒNG</t>
        </is>
      </c>
      <c r="E7502" s="10" t="inlineStr">
        <is>
          <t>Thương lượng</t>
        </is>
      </c>
      <c r="F7502" s="10" t="inlineStr">
        <is>
          <t>Hải Phòng</t>
        </is>
      </c>
      <c r="G7502" s="10" t="inlineStr">
        <is>
          <t>Nhân viên</t>
        </is>
      </c>
      <c r="H7502" s="10" t="inlineStr">
        <is>
          <t>05/03/2026</t>
        </is>
      </c>
      <c r="I7502" s="10" t="inlineStr">
        <is>
          <t>04/04/2026</t>
        </is>
      </c>
      <c r="J7502" s="10" t="inlineStr">
        <is>
          <t>17/03/2026</t>
        </is>
      </c>
      <c r="K7502" s="10" t="inlineStr">
        <is>
          <t>N/A</t>
        </is>
      </c>
      <c r="L7502" s="10" t="inlineStr">
        <is>
          <t>Chăm Sóc Khách Hàng, Air Freight Operations, Customs Declaration</t>
        </is>
      </c>
      <c r="M7502" s="10" t="inlineStr">
        <is>
          <t>Team Activities, Others</t>
        </is>
      </c>
      <c r="N7502" s="11">
        <f>HYPERLINK("https://www.vietnamworks.com/nhan-vien-customer-service-2018687-jv","Xem chi tiết")</f>
        <v/>
      </c>
      <c r="O7502" s="10" t="n"/>
    </row>
    <row r="7503">
      <c r="B7503" s="7" t="n">
        <v>7501</v>
      </c>
      <c r="C7503" t="inlineStr">
        <is>
          <t>Senior Service Engineer</t>
        </is>
      </c>
      <c r="D7503" t="inlineStr">
        <is>
          <t>Hitachi Energy Vietnam</t>
        </is>
      </c>
      <c r="E7503" t="inlineStr">
        <is>
          <t>Thương lượng</t>
        </is>
      </c>
      <c r="F7503" t="inlineStr">
        <is>
          <t>Bắc Ninh</t>
        </is>
      </c>
      <c r="G7503" t="inlineStr">
        <is>
          <t>Nhân viên</t>
        </is>
      </c>
      <c r="H7503" t="inlineStr">
        <is>
          <t>05/03/2026</t>
        </is>
      </c>
      <c r="I7503" t="inlineStr">
        <is>
          <t>04/04/2026</t>
        </is>
      </c>
      <c r="J7503" t="inlineStr">
        <is>
          <t>17/03/2026</t>
        </is>
      </c>
      <c r="K7503" t="inlineStr">
        <is>
          <t>N/A</t>
        </is>
      </c>
      <c r="L7503" t="inlineStr">
        <is>
          <t>Electrical, Power Systems</t>
        </is>
      </c>
      <c r="M7503" t="inlineStr">
        <is>
          <t>Bonus, Training, Team Activities</t>
        </is>
      </c>
      <c r="N7503" s="8">
        <f>HYPERLINK("https://www.vietnamworks.com/senior-service-engineer--2018680-jv","Xem chi tiết")</f>
        <v/>
      </c>
    </row>
    <row r="7504">
      <c r="B7504" s="9" t="n">
        <v>7502</v>
      </c>
      <c r="C7504" s="10" t="inlineStr">
        <is>
          <t>Nhân Viên Kế Toán Bán Hàng Và Công Nợ</t>
        </is>
      </c>
      <c r="D7504" s="10" t="inlineStr">
        <is>
          <t>Công Ty Cổ Phần Sóng Thần Hà Nội</t>
        </is>
      </c>
      <c r="E7504" s="10" t="inlineStr">
        <is>
          <t>Thương lượng</t>
        </is>
      </c>
      <c r="F7504" s="10" t="inlineStr">
        <is>
          <t>Hà Nội</t>
        </is>
      </c>
      <c r="G7504" s="10" t="inlineStr">
        <is>
          <t>Nhân viên</t>
        </is>
      </c>
      <c r="H7504" s="10" t="inlineStr">
        <is>
          <t>05/03/2026</t>
        </is>
      </c>
      <c r="I7504" s="10" t="inlineStr">
        <is>
          <t>04/04/2026</t>
        </is>
      </c>
      <c r="J7504" s="10" t="inlineStr">
        <is>
          <t>17/03/2026</t>
        </is>
      </c>
      <c r="K7504" s="10" t="inlineStr">
        <is>
          <t>N/A</t>
        </is>
      </c>
      <c r="L7504" s="10" t="inlineStr">
        <is>
          <t>Kế Toán, Tài Chính, Kế Toán Bán Hàng, Công Nợ Phải Thu, Kế Toán Doanh Thu</t>
        </is>
      </c>
      <c r="M7504" s="10" t="inlineStr">
        <is>
          <t>Bonus, Healthcare Plan, Team Activities, Others</t>
        </is>
      </c>
      <c r="N7504" s="11">
        <f>HYPERLINK("https://www.vietnamworks.com/nhan-vien-ke-toan-ban-hang-va-cong-no-2018681-jv","Xem chi tiết")</f>
        <v/>
      </c>
      <c r="O7504" s="10" t="n"/>
    </row>
    <row r="7505">
      <c r="B7505" s="7" t="n">
        <v>7503</v>
      </c>
      <c r="C7505" t="inlineStr">
        <is>
          <t>Chuyên Viên GPMB</t>
        </is>
      </c>
      <c r="D7505" t="inlineStr">
        <is>
          <t>CÔNG TY CỔ PHẦN XÂY DỰNG ENTIZ</t>
        </is>
      </c>
      <c r="E7505" t="inlineStr">
        <is>
          <t>Thương lượng</t>
        </is>
      </c>
      <c r="F7505" t="inlineStr">
        <is>
          <t>Nghệ An</t>
        </is>
      </c>
      <c r="G7505" t="inlineStr">
        <is>
          <t>Nhân viên</t>
        </is>
      </c>
      <c r="H7505" t="inlineStr">
        <is>
          <t>05/03/2026</t>
        </is>
      </c>
      <c r="I7505" t="inlineStr">
        <is>
          <t>04/04/2026</t>
        </is>
      </c>
      <c r="J7505" t="inlineStr">
        <is>
          <t>17/03/2026</t>
        </is>
      </c>
      <c r="K7505" t="inlineStr">
        <is>
          <t>N/A</t>
        </is>
      </c>
      <c r="L7505" t="inlineStr">
        <is>
          <t>Autocad, Bồi Thường Mặt Bằng, Giải Phóng Mặt Bằng, Quản Lý Đất Đai, Thu hồi đất đai</t>
        </is>
      </c>
      <c r="M7505" t="inlineStr">
        <is>
          <t>Others</t>
        </is>
      </c>
      <c r="N7505" s="8">
        <f>HYPERLINK("https://www.vietnamworks.com/chuyen-vien-gpmb-2018665-jv","Xem chi tiết")</f>
        <v/>
      </c>
    </row>
    <row r="7506">
      <c r="B7506" s="9" t="n">
        <v>7504</v>
      </c>
      <c r="C7506" s="10" t="inlineStr">
        <is>
          <t>Giám Sát Thi Công Xây Dựng</t>
        </is>
      </c>
      <c r="D7506" s="10" t="inlineStr">
        <is>
          <t>AA Decor CORPORATION</t>
        </is>
      </c>
      <c r="E7506" s="10" t="inlineStr">
        <is>
          <t>Thương lượng</t>
        </is>
      </c>
      <c r="F7506" s="10" t="inlineStr">
        <is>
          <t>Hồ Chí Minh</t>
        </is>
      </c>
      <c r="G7506" s="10" t="inlineStr">
        <is>
          <t>Nhân viên</t>
        </is>
      </c>
      <c r="H7506" s="10" t="inlineStr">
        <is>
          <t>05/03/2026</t>
        </is>
      </c>
      <c r="I7506" s="10" t="inlineStr">
        <is>
          <t>04/04/2026</t>
        </is>
      </c>
      <c r="J7506" s="10" t="inlineStr">
        <is>
          <t>17/03/2026</t>
        </is>
      </c>
      <c r="K7506" s="10" t="inlineStr">
        <is>
          <t>N/A</t>
        </is>
      </c>
      <c r="L7506" s="10" t="inlineStr">
        <is>
          <t>Construction Technical, Giám Sát Thi Công, Quản Lý Xây Dựng, Xây Dựng</t>
        </is>
      </c>
      <c r="M7506" s="10" t="inlineStr">
        <is>
          <t>Bonus, Healthcare Plan, Others</t>
        </is>
      </c>
      <c r="N7506" s="11">
        <f>HYPERLINK("https://www.vietnamworks.com/giam-sat-thi-cong-xay-dung-2018689-jv","Xem chi tiết")</f>
        <v/>
      </c>
      <c r="O7506" s="10" t="n"/>
    </row>
    <row r="7507">
      <c r="B7507" s="7" t="n">
        <v>7505</v>
      </c>
      <c r="C7507" t="inlineStr">
        <is>
          <t>Nhân Viên Kế Toán Tổng Hợp</t>
        </is>
      </c>
      <c r="D7507" t="inlineStr">
        <is>
          <t>Công ty TNHH SR Group</t>
        </is>
      </c>
      <c r="E7507" t="inlineStr">
        <is>
          <t>Thương lượng</t>
        </is>
      </c>
      <c r="F7507" t="inlineStr">
        <is>
          <t>Hồ Chí Minh</t>
        </is>
      </c>
      <c r="G7507" t="inlineStr">
        <is>
          <t>Mới Tốt Nghiệp</t>
        </is>
      </c>
      <c r="H7507" t="inlineStr">
        <is>
          <t>05/03/2026</t>
        </is>
      </c>
      <c r="I7507" t="inlineStr">
        <is>
          <t>04/04/2026</t>
        </is>
      </c>
      <c r="J7507" t="inlineStr">
        <is>
          <t>17/03/2026</t>
        </is>
      </c>
      <c r="K7507" t="inlineStr">
        <is>
          <t>N/A</t>
        </is>
      </c>
      <c r="L7507" t="inlineStr">
        <is>
          <t>Báo Cáo Tài Chính, Blockchain, Crypto Knowledge, Quản Lý Dòng Tiền, Tài Chính Kế Toán</t>
        </is>
      </c>
      <c r="M7507" t="inlineStr">
        <is>
          <t>Bonus</t>
        </is>
      </c>
      <c r="N7507" s="8">
        <f>HYPERLINK("https://www.vietnamworks.com/nhan-vien-ke-toan-tong-hop-2018685-jv","Xem chi tiết")</f>
        <v/>
      </c>
    </row>
    <row r="7508">
      <c r="B7508" s="9" t="n">
        <v>7506</v>
      </c>
      <c r="C7508" s="10" t="inlineStr">
        <is>
          <t>Nhân Viên Phát Triển Phần Mêm</t>
        </is>
      </c>
      <c r="D7508" s="10" t="inlineStr">
        <is>
          <t>Công ty TNHH Bảo Dưỡng Toàn Cầu</t>
        </is>
      </c>
      <c r="E7508" s="10" t="inlineStr">
        <is>
          <t>Từ 13tr ₫/tháng</t>
        </is>
      </c>
      <c r="F7508" s="10" t="inlineStr">
        <is>
          <t>Hà Nội</t>
        </is>
      </c>
      <c r="G7508" s="10" t="inlineStr">
        <is>
          <t>Nhân viên</t>
        </is>
      </c>
      <c r="H7508" s="10" t="inlineStr">
        <is>
          <t>05/03/2026</t>
        </is>
      </c>
      <c r="I7508" s="10" t="inlineStr">
        <is>
          <t>04/04/2026</t>
        </is>
      </c>
      <c r="J7508" s="10" t="inlineStr">
        <is>
          <t>17/03/2026</t>
        </is>
      </c>
      <c r="K7508" s="10" t="inlineStr">
        <is>
          <t>N/A</t>
        </is>
      </c>
      <c r="L7508" s="10" t="inlineStr">
        <is>
          <t>C#, C/C++, Core Banking, Java, Phần Mềm Ngân Hàng</t>
        </is>
      </c>
      <c r="M7508" s="10" t="inlineStr">
        <is>
          <t>Bonus, Healthcare Plan, Paid Leave, Training, Others</t>
        </is>
      </c>
      <c r="N7508" s="11">
        <f>HYPERLINK("https://www.vietnamworks.com/nhan-vien-phat-trien-phan-mem-2018669-jv","Xem chi tiết")</f>
        <v/>
      </c>
      <c r="O7508" s="10" t="n"/>
    </row>
    <row r="7509">
      <c r="B7509" s="7" t="n">
        <v>7507</v>
      </c>
      <c r="C7509" t="inlineStr">
        <is>
          <t>Trợ Lý Điều Phối Phòng Bảo Trì (Thu Nhập: Từ 12,000,000 VND)</t>
        </is>
      </c>
      <c r="D7509" t="inlineStr">
        <is>
          <t>Công ty TNHH Bảo Dưỡng Toàn Cầu</t>
        </is>
      </c>
      <c r="E7509" t="inlineStr">
        <is>
          <t>Từ 12tr ₫/tháng</t>
        </is>
      </c>
      <c r="F7509" t="inlineStr">
        <is>
          <t>Hà Nội</t>
        </is>
      </c>
      <c r="G7509" t="inlineStr">
        <is>
          <t>Nhân viên</t>
        </is>
      </c>
      <c r="H7509" t="inlineStr">
        <is>
          <t>05/03/2026</t>
        </is>
      </c>
      <c r="I7509" t="inlineStr">
        <is>
          <t>04/04/2026</t>
        </is>
      </c>
      <c r="J7509" t="inlineStr">
        <is>
          <t>17/03/2026</t>
        </is>
      </c>
      <c r="K7509" t="inlineStr">
        <is>
          <t>N/A</t>
        </is>
      </c>
      <c r="L7509" t="inlineStr">
        <is>
          <t>Document Control, Follow Up Clients, Maintenance Management, Maintenance Schedule, Technical Administration</t>
        </is>
      </c>
      <c r="M7509" t="inlineStr">
        <is>
          <t>Bonus, Healthcare Plan, Others</t>
        </is>
      </c>
      <c r="N7509" s="8">
        <f>HYPERLINK("https://www.vietnamworks.com/tro-ly-dieu-phoi-phong-bao-tri-thu-nhap-tu-12-000-000-vnd-2018666-jv","Xem chi tiết")</f>
        <v/>
      </c>
    </row>
    <row r="7510">
      <c r="B7510" s="9" t="n">
        <v>7508</v>
      </c>
      <c r="C7510" s="10" t="inlineStr">
        <is>
          <t>Giám Đốc Phát Triển Thị Trường ( Lĩnh Vực Thức Ăn Chăn Nuôi)</t>
        </is>
      </c>
      <c r="D7510" s="10" t="inlineStr">
        <is>
          <t>Công Ty Cổ Phần Dinh Dưỡng Việt Tín</t>
        </is>
      </c>
      <c r="E7510" s="10" t="inlineStr">
        <is>
          <t>Thương lượng</t>
        </is>
      </c>
      <c r="F7510" s="10" t="inlineStr">
        <is>
          <t>Hà Nội, Bắc Ninh, Hà Nam</t>
        </is>
      </c>
      <c r="G7510" s="10" t="inlineStr">
        <is>
          <t>Giám Đốc và Cấp Cao Hơn</t>
        </is>
      </c>
      <c r="H7510" s="10" t="inlineStr">
        <is>
          <t>05/03/2026</t>
        </is>
      </c>
      <c r="I7510" s="10" t="inlineStr">
        <is>
          <t>04/04/2026</t>
        </is>
      </c>
      <c r="J7510" s="10" t="inlineStr">
        <is>
          <t>17/03/2026</t>
        </is>
      </c>
      <c r="K7510" s="10" t="inlineStr">
        <is>
          <t>N/A</t>
        </is>
      </c>
      <c r="L7510" s="10" t="inlineStr">
        <is>
          <t>Phát Triển Thị Trường, Thức Ăn Chăn Nuôi, Quản Lý hệ thống Phân Phối, Nông nghiệp, Chiến lược bán hàng</t>
        </is>
      </c>
      <c r="M7510" s="10" t="inlineStr">
        <is>
          <t>Bonus, Healthcare Plan</t>
        </is>
      </c>
      <c r="N7510" s="11">
        <f>HYPERLINK("https://www.vietnamworks.com/giam-doc-phat-trien-thi-truong-linh-vuc-thuc-an-chan-nuoi-2018688-jv","Xem chi tiết")</f>
        <v/>
      </c>
      <c r="O7510" s="10" t="n"/>
    </row>
    <row r="7511">
      <c r="B7511" s="7" t="n">
        <v>7509</v>
      </c>
      <c r="C7511" t="inlineStr">
        <is>
          <t>Chuyên Viên Pháp Chế và Hợp Đồng</t>
        </is>
      </c>
      <c r="D7511" t="inlineStr">
        <is>
          <t>Công Ty Cổ Phần Đầu Tư Xây Dựng SOL E&amp;C</t>
        </is>
      </c>
      <c r="E7511" t="inlineStr">
        <is>
          <t>Thương lượng</t>
        </is>
      </c>
      <c r="F7511" t="inlineStr">
        <is>
          <t>Hồ Chí Minh</t>
        </is>
      </c>
      <c r="G7511" t="inlineStr">
        <is>
          <t>Nhân viên</t>
        </is>
      </c>
      <c r="H7511" t="inlineStr">
        <is>
          <t>05/03/2026</t>
        </is>
      </c>
      <c r="I7511" t="inlineStr">
        <is>
          <t>04/04/2026</t>
        </is>
      </c>
      <c r="J7511" t="inlineStr">
        <is>
          <t>17/03/2026</t>
        </is>
      </c>
      <c r="K7511" t="inlineStr">
        <is>
          <t>N/A</t>
        </is>
      </c>
      <c r="L7511" t="inlineStr">
        <is>
          <t>Soạn Thảo Hợp Đồng, Pháp Lý Hợp Đồng, Pháp Chế, Pháp Lý Xây Dựng, Luật</t>
        </is>
      </c>
      <c r="M7511" t="inlineStr">
        <is>
          <t>Bonus, Healthcare Plan, Others</t>
        </is>
      </c>
      <c r="N7511" s="8">
        <f>HYPERLINK("https://www.vietnamworks.com/chuyen-vien-phap-che-va-hop-dong--2018672-jv","Xem chi tiết")</f>
        <v/>
      </c>
    </row>
    <row r="7512">
      <c r="B7512" s="9" t="n">
        <v>7510</v>
      </c>
      <c r="C7512" s="10" t="inlineStr">
        <is>
          <t>Phó Phòng Phát Triển Đối Tác (Khối Số)</t>
        </is>
      </c>
      <c r="D7512" s="10" t="inlineStr">
        <is>
          <t>MB Ageas Life Insurance Company Limited</t>
        </is>
      </c>
      <c r="E7512" s="10" t="inlineStr">
        <is>
          <t>Thương lượng</t>
        </is>
      </c>
      <c r="F7512" s="10" t="inlineStr">
        <is>
          <t>Hà Nội</t>
        </is>
      </c>
      <c r="G7512" s="10" t="inlineStr">
        <is>
          <t>Trưởng phòng</t>
        </is>
      </c>
      <c r="H7512" s="10" t="inlineStr">
        <is>
          <t>05/03/2026</t>
        </is>
      </c>
      <c r="I7512" s="10" t="inlineStr">
        <is>
          <t>04/04/2026</t>
        </is>
      </c>
      <c r="J7512" s="10" t="inlineStr">
        <is>
          <t>17/03/2026</t>
        </is>
      </c>
      <c r="K7512" s="10" t="inlineStr">
        <is>
          <t>N/A</t>
        </is>
      </c>
      <c r="L7512" s="10" t="inlineStr">
        <is>
          <t>Digital Sales, Business Development, Sales &amp; Partnership Management, Sales &amp; Business Development, Account Relationship Management</t>
        </is>
      </c>
      <c r="M7512" s="10" t="inlineStr">
        <is>
          <t>Bonus, Healthcare Plan, Paid Leave</t>
        </is>
      </c>
      <c r="N7512" s="11">
        <f>HYPERLINK("https://www.vietnamworks.com/pho-phong-phat-trien-doi-tac-khoi-so-2018679-jv","Xem chi tiết")</f>
        <v/>
      </c>
      <c r="O7512" s="10" t="n"/>
    </row>
    <row r="7513">
      <c r="B7513" s="7" t="n">
        <v>7511</v>
      </c>
      <c r="C7513" t="inlineStr">
        <is>
          <t>Technical Sales Manager</t>
        </is>
      </c>
      <c r="D7513" t="inlineStr">
        <is>
          <t>Công Ty TNHH Phát Triển Kỹ Thuật Và Dịch Vụ Quang Minh</t>
        </is>
      </c>
      <c r="E7513" t="inlineStr">
        <is>
          <t>Thương lượng</t>
        </is>
      </c>
      <c r="F7513" t="inlineStr">
        <is>
          <t>Hồ Chí Minh</t>
        </is>
      </c>
      <c r="G7513" t="inlineStr">
        <is>
          <t>Trưởng phòng</t>
        </is>
      </c>
      <c r="H7513" t="inlineStr">
        <is>
          <t>05/03/2026</t>
        </is>
      </c>
      <c r="I7513" t="inlineStr">
        <is>
          <t>04/04/2026</t>
        </is>
      </c>
      <c r="J7513" t="inlineStr">
        <is>
          <t>17/03/2026</t>
        </is>
      </c>
      <c r="K7513" t="inlineStr">
        <is>
          <t>N/A</t>
        </is>
      </c>
      <c r="L7513" t="inlineStr">
        <is>
          <t>Mechanical Engineering, sales engineer, Kinh Doanh, Business Development, Sales Kỹ Thuật</t>
        </is>
      </c>
      <c r="M7513" t="inlineStr">
        <is>
          <t>Bonus, Healthcare Plan, Training, Others</t>
        </is>
      </c>
      <c r="N7513" s="8">
        <f>HYPERLINK("https://www.vietnamworks.com/technical-sales-manager-2018691-jv","Xem chi tiết")</f>
        <v/>
      </c>
    </row>
    <row r="7514">
      <c r="B7514" s="9" t="n">
        <v>7512</v>
      </c>
      <c r="C7514" s="10" t="inlineStr">
        <is>
          <t>Luật Sư</t>
        </is>
      </c>
      <c r="D7514" s="10" t="inlineStr">
        <is>
          <t>CÔNG TY LUẬT TNHH CDLAF</t>
        </is>
      </c>
      <c r="E7514" s="10" t="inlineStr">
        <is>
          <t>Thương lượng</t>
        </is>
      </c>
      <c r="F7514" s="10" t="inlineStr">
        <is>
          <t>Hồ Chí Minh</t>
        </is>
      </c>
      <c r="G7514" s="10" t="inlineStr">
        <is>
          <t>Nhân viên</t>
        </is>
      </c>
      <c r="H7514" s="10" t="inlineStr">
        <is>
          <t>05/03/2026</t>
        </is>
      </c>
      <c r="I7514" s="10" t="inlineStr">
        <is>
          <t>04/04/2026</t>
        </is>
      </c>
      <c r="J7514" s="10" t="inlineStr">
        <is>
          <t>17/03/2026</t>
        </is>
      </c>
      <c r="K7514" s="10" t="inlineStr">
        <is>
          <t>N/A</t>
        </is>
      </c>
      <c r="L7514" s="10" t="inlineStr">
        <is>
          <t>Generalist, Property Law, Commercial Law, Banking Law, Tax Law</t>
        </is>
      </c>
      <c r="M7514" s="10" t="inlineStr">
        <is>
          <t>Bonus, Training, Travel Opportunities</t>
        </is>
      </c>
      <c r="N7514" s="11">
        <f>HYPERLINK("https://www.vietnamworks.com/luat-su-2018683-jv","Xem chi tiết")</f>
        <v/>
      </c>
      <c r="O7514" s="10" t="n"/>
    </row>
    <row r="7515">
      <c r="B7515" s="7" t="n">
        <v>7513</v>
      </c>
      <c r="C7515" t="inlineStr">
        <is>
          <t>Facility &amp; Security Officer (Aeonmall Thanh Hoa/ Binh Tan/ Ha Long - 576)</t>
        </is>
      </c>
      <c r="D7515" t="inlineStr">
        <is>
          <t>AEONMALL Vietnam Co., Ltd.</t>
        </is>
      </c>
      <c r="E7515" t="inlineStr">
        <is>
          <t>$$ 350-550 /tháng</t>
        </is>
      </c>
      <c r="F7515" t="inlineStr">
        <is>
          <t>Thanh Hóa, Quảng Ninh, Hồ Chí Minh</t>
        </is>
      </c>
      <c r="G7515" t="inlineStr">
        <is>
          <t>Nhân viên</t>
        </is>
      </c>
      <c r="H7515" t="inlineStr">
        <is>
          <t>05/03/2026</t>
        </is>
      </c>
      <c r="I7515" t="inlineStr">
        <is>
          <t>04/04/2026</t>
        </is>
      </c>
      <c r="J7515" t="inlineStr">
        <is>
          <t>17/03/2026</t>
        </is>
      </c>
      <c r="K7515" t="inlineStr">
        <is>
          <t>N/A</t>
        </is>
      </c>
      <c r="L7515" t="inlineStr">
        <is>
          <t>Kỹ Thuật Toà Nhà, Building Management, Negotiation, communication, Facility Management</t>
        </is>
      </c>
      <c r="M7515" t="inlineStr">
        <is>
          <t>Healthcare Plan, Training, Others</t>
        </is>
      </c>
      <c r="N7515" s="8">
        <f>HYPERLINK("https://www.vietnamworks.com/facility-security-officer-aeonmall-thanh-hoa-binh-tan-ha-long-576-2018675-jv","Xem chi tiết")</f>
        <v/>
      </c>
    </row>
    <row r="7516">
      <c r="B7516" s="9" t="n">
        <v>7514</v>
      </c>
      <c r="C7516" s="10" t="inlineStr">
        <is>
          <t>L&amp;OD Manager (Commercial/ Factory)</t>
        </is>
      </c>
      <c r="D7516" s="10" t="inlineStr">
        <is>
          <t>Công Ty TNHH Livespo Pharma</t>
        </is>
      </c>
      <c r="E7516" s="10" t="inlineStr">
        <is>
          <t>40tr-50tr ₫/tháng</t>
        </is>
      </c>
      <c r="F7516" s="10" t="inlineStr">
        <is>
          <t>Hà Nội</t>
        </is>
      </c>
      <c r="G7516" s="10" t="inlineStr">
        <is>
          <t>Trưởng phòng</t>
        </is>
      </c>
      <c r="H7516" s="10" t="inlineStr">
        <is>
          <t>05/03/2026</t>
        </is>
      </c>
      <c r="I7516" s="10" t="inlineStr">
        <is>
          <t>04/04/2026</t>
        </is>
      </c>
      <c r="J7516" s="10" t="inlineStr">
        <is>
          <t>17/03/2026</t>
        </is>
      </c>
      <c r="K7516" s="10" t="inlineStr">
        <is>
          <t>N/A</t>
        </is>
      </c>
      <c r="L7516" s="10" t="inlineStr">
        <is>
          <t>Leadership Management, Performance Management, Stakeholder Management, Talent Management, L&amp;Od</t>
        </is>
      </c>
      <c r="M7516" s="10" t="inlineStr">
        <is>
          <t>Bonus, Healthcare Plan, Team Activities, Others</t>
        </is>
      </c>
      <c r="N7516" s="11">
        <f>HYPERLINK("https://www.vietnamworks.com/landod-manager-commercial-factory-2018693-jv","Xem chi tiết")</f>
        <v/>
      </c>
      <c r="O7516" s="10" t="n"/>
    </row>
    <row r="7517">
      <c r="B7517" s="7" t="n">
        <v>7515</v>
      </c>
      <c r="C7517" t="inlineStr">
        <is>
          <t>[Công Ty Hàn Quốc] Tuyển Gấp Kỹ Sư Điện - Điện Tử</t>
        </is>
      </c>
      <c r="D7517" t="inlineStr">
        <is>
          <t>Anam Electronics Vietnam Co., ltd</t>
        </is>
      </c>
      <c r="E7517" t="inlineStr">
        <is>
          <t>Thương lượng</t>
        </is>
      </c>
      <c r="F7517" t="inlineStr">
        <is>
          <t>Hà Nam, Hà Nội, Hưng Yên</t>
        </is>
      </c>
      <c r="G7517" t="inlineStr">
        <is>
          <t>Nhân viên</t>
        </is>
      </c>
      <c r="H7517" t="inlineStr">
        <is>
          <t>05/03/2026</t>
        </is>
      </c>
      <c r="I7517" t="inlineStr">
        <is>
          <t>04/04/2026</t>
        </is>
      </c>
      <c r="J7517" t="inlineStr">
        <is>
          <t>17/03/2026</t>
        </is>
      </c>
      <c r="K7517" t="inlineStr">
        <is>
          <t>N/A</t>
        </is>
      </c>
      <c r="L7517" t="inlineStr">
        <is>
          <t>Điện Tử, Cơ Khí, Tự Động Hóa, Tiếng Trung, Electrical Engineering</t>
        </is>
      </c>
      <c r="M7517" t="inlineStr">
        <is>
          <t>Bonus, Healthcare Plan, Training</t>
        </is>
      </c>
      <c r="N7517" s="8">
        <f>HYPERLINK("https://www.vietnamworks.com/cong-ty-han-quoc-tuyen-gap-ky-su-dien-dien-tu--2018696-jv","Xem chi tiết")</f>
        <v/>
      </c>
    </row>
    <row r="7518">
      <c r="B7518" s="9" t="n">
        <v>7516</v>
      </c>
      <c r="C7518" s="10" t="inlineStr">
        <is>
          <t>Chuyên Viên Thủ Tục</t>
        </is>
      </c>
      <c r="D7518" s="10" t="inlineStr">
        <is>
          <t>CÔNG TY CỔ PHẦN XÂY DỰNG ENTIZ</t>
        </is>
      </c>
      <c r="E7518" s="10" t="inlineStr">
        <is>
          <t>Thương lượng</t>
        </is>
      </c>
      <c r="F7518" s="10" t="inlineStr">
        <is>
          <t>Nghệ An</t>
        </is>
      </c>
      <c r="G7518" s="10" t="inlineStr">
        <is>
          <t>Nhân viên</t>
        </is>
      </c>
      <c r="H7518" s="10" t="inlineStr">
        <is>
          <t>05/03/2026</t>
        </is>
      </c>
      <c r="I7518" s="10" t="inlineStr">
        <is>
          <t>04/04/2026</t>
        </is>
      </c>
      <c r="J7518" s="10" t="inlineStr">
        <is>
          <t>17/03/2026</t>
        </is>
      </c>
      <c r="K7518" s="10" t="inlineStr">
        <is>
          <t>N/A</t>
        </is>
      </c>
      <c r="L7518" s="10" t="inlineStr">
        <is>
          <t>Chuyển Nhượng Bđs, Soạn Thảo Hợp Đồng, Thủ Tục Bất Động Sản, Thủ Tục Pháp lý, Tư Vấn Bất Động Sản</t>
        </is>
      </c>
      <c r="M7518" s="10" t="inlineStr">
        <is>
          <t>Others</t>
        </is>
      </c>
      <c r="N7518" s="11">
        <f>HYPERLINK("https://www.vietnamworks.com/chuyen-vien-thu-tuc-2018697-jv","Xem chi tiết")</f>
        <v/>
      </c>
      <c r="O7518" s="10" t="n"/>
    </row>
    <row r="7519">
      <c r="B7519" s="7" t="n">
        <v>7517</v>
      </c>
      <c r="C7519" t="inlineStr">
        <is>
          <t>Chuyên Viên Thu Hồi Công Nợ</t>
        </is>
      </c>
      <c r="D7519" t="inlineStr">
        <is>
          <t>CÔNG TY CỔ PHẦN XÂY DỰNG ENTIZ</t>
        </is>
      </c>
      <c r="E7519" t="inlineStr">
        <is>
          <t>Thương lượng</t>
        </is>
      </c>
      <c r="F7519" t="inlineStr">
        <is>
          <t>Nghệ An</t>
        </is>
      </c>
      <c r="G7519" t="inlineStr">
        <is>
          <t>Nhân viên</t>
        </is>
      </c>
      <c r="H7519" t="inlineStr">
        <is>
          <t>05/03/2026</t>
        </is>
      </c>
      <c r="I7519" t="inlineStr">
        <is>
          <t>04/04/2026</t>
        </is>
      </c>
      <c r="J7519" t="inlineStr">
        <is>
          <t>17/03/2026</t>
        </is>
      </c>
      <c r="K7519" t="inlineStr">
        <is>
          <t>N/A</t>
        </is>
      </c>
      <c r="L7519" t="inlineStr">
        <is>
          <t>Tài Chính Công Nợ, Xử Lý Công Nợ, Theo Dõi Công Nợ, Thu Hồi Công Nợ, Thủ Tục Bất Động Sản</t>
        </is>
      </c>
      <c r="M7519" t="inlineStr">
        <is>
          <t>Others</t>
        </is>
      </c>
      <c r="N7519" s="8">
        <f>HYPERLINK("https://www.vietnamworks.com/chuyen-vien-thu-hoi-cong-no-2018700-jv","Xem chi tiết")</f>
        <v/>
      </c>
    </row>
    <row r="7520">
      <c r="B7520" s="9" t="n">
        <v>7518</v>
      </c>
      <c r="C7520" s="10" t="inlineStr">
        <is>
          <t>Nhân Viên Kinh Doanh</t>
        </is>
      </c>
      <c r="D7520" s="10" t="inlineStr">
        <is>
          <t>CÔNG TY TNHH WHALE LOGISTICS VIỆT NAM - CHI NHÁNH HẢI PHÒNG</t>
        </is>
      </c>
      <c r="E7520" s="10" t="inlineStr">
        <is>
          <t>Thương lượng</t>
        </is>
      </c>
      <c r="F7520" s="10" t="inlineStr">
        <is>
          <t>Hải Phòng</t>
        </is>
      </c>
      <c r="G7520" s="10" t="inlineStr">
        <is>
          <t>Nhân viên</t>
        </is>
      </c>
      <c r="H7520" s="10" t="inlineStr">
        <is>
          <t>05/03/2026</t>
        </is>
      </c>
      <c r="I7520" s="10" t="inlineStr">
        <is>
          <t>04/04/2026</t>
        </is>
      </c>
      <c r="J7520" s="10" t="inlineStr">
        <is>
          <t>17/03/2026</t>
        </is>
      </c>
      <c r="K7520" s="10" t="inlineStr">
        <is>
          <t>N/A</t>
        </is>
      </c>
      <c r="L7520" s="10" t="inlineStr">
        <is>
          <t>Kinh Doanh, Kinh Doanh Xuất Nhập Khẩu, Logistics, Sales Logistics</t>
        </is>
      </c>
      <c r="M7520" s="10" t="inlineStr">
        <is>
          <t>Team Activities, Others</t>
        </is>
      </c>
      <c r="N7520" s="11">
        <f>HYPERLINK("https://www.vietnamworks.com/nhan-vien-kinh-doanh-2018694-jv","Xem chi tiết")</f>
        <v/>
      </c>
      <c r="O7520" s="10" t="n"/>
    </row>
    <row r="7521">
      <c r="B7521" s="7" t="n">
        <v>7519</v>
      </c>
      <c r="C7521" t="inlineStr">
        <is>
          <t>Trưởng Phòng Hành Chính Nhân Sự (Có Xe Đưa Rước Từ TP.HCM)</t>
        </is>
      </c>
      <c r="D7521" t="inlineStr">
        <is>
          <t>CÔNG TY TNHH LOTTE F&amp;G VIỆT NAM</t>
        </is>
      </c>
      <c r="E7521" t="inlineStr">
        <is>
          <t>20tr-28tr ₫/tháng</t>
        </is>
      </c>
      <c r="F7521" t="inlineStr">
        <is>
          <t>Long An, Tây Ninh, Hồ Chí Minh</t>
        </is>
      </c>
      <c r="G7521" t="inlineStr">
        <is>
          <t>Trưởng phòng</t>
        </is>
      </c>
      <c r="H7521" t="inlineStr">
        <is>
          <t>05/03/2026</t>
        </is>
      </c>
      <c r="I7521" t="inlineStr">
        <is>
          <t>04/04/2026</t>
        </is>
      </c>
      <c r="J7521" t="inlineStr">
        <is>
          <t>17/03/2026</t>
        </is>
      </c>
      <c r="K7521" t="inlineStr">
        <is>
          <t>N/A</t>
        </is>
      </c>
      <c r="L7521" t="inlineStr">
        <is>
          <t>Tổng Hợp Phân Tích, Giao Tiếp, Quản Trị Nhân Sự, Luật, Tuyển Dụng</t>
        </is>
      </c>
      <c r="M7521" t="inlineStr">
        <is>
          <t>Bonus, Transportation, Others</t>
        </is>
      </c>
      <c r="N7521" s="8">
        <f>HYPERLINK("https://www.vietnamworks.com/truong-phong-hanh-chinh-nhan-su-co-xe-djua-ruoc-tu-tp-hcm-2018701-jv","Xem chi tiết")</f>
        <v/>
      </c>
    </row>
    <row r="7522">
      <c r="B7522" s="9" t="n">
        <v>7520</v>
      </c>
      <c r="C7522" s="10" t="inlineStr">
        <is>
          <t>Sales Executive (Both English and Chinese Speaking)</t>
        </is>
      </c>
      <c r="D7522" s="10" t="inlineStr">
        <is>
          <t>Inabata Vietnam Co., Ltd</t>
        </is>
      </c>
      <c r="E7522" s="10" t="inlineStr">
        <is>
          <t>Thương lượng</t>
        </is>
      </c>
      <c r="F7522" s="10" t="inlineStr">
        <is>
          <t>Hà Nội</t>
        </is>
      </c>
      <c r="G7522" s="10" t="inlineStr">
        <is>
          <t>Nhân viên</t>
        </is>
      </c>
      <c r="H7522" s="10" t="inlineStr">
        <is>
          <t>05/03/2026</t>
        </is>
      </c>
      <c r="I7522" s="10" t="inlineStr">
        <is>
          <t>04/04/2026</t>
        </is>
      </c>
      <c r="J7522" s="10" t="inlineStr">
        <is>
          <t>17/03/2026</t>
        </is>
      </c>
      <c r="K7522" s="10" t="inlineStr">
        <is>
          <t>N/A</t>
        </is>
      </c>
      <c r="L7522" s="10" t="inlineStr">
        <is>
          <t>Chinese, Sales Planning, Budget Management, Market Survey, Sales Strategy</t>
        </is>
      </c>
      <c r="M7522" s="10" t="inlineStr">
        <is>
          <t>Bonus, Healthcare Plan, Paid Leave</t>
        </is>
      </c>
      <c r="N7522" s="11">
        <f>HYPERLINK("https://www.vietnamworks.com/sales-executive-both-english-and-chinese-speaking--2018702-jv","Xem chi tiết")</f>
        <v/>
      </c>
      <c r="O7522" s="10" t="n"/>
    </row>
    <row r="7523">
      <c r="B7523" s="7" t="n">
        <v>7521</v>
      </c>
      <c r="C7523" t="inlineStr">
        <is>
          <t>Kỹ Sư Kinh Doanh – Sales Engineer</t>
        </is>
      </c>
      <c r="D7523" t="inlineStr">
        <is>
          <t>Công Ty Cổ Phần Điện Tử Techmaster</t>
        </is>
      </c>
      <c r="E7523" t="inlineStr">
        <is>
          <t>20tr-45tr ₫/tháng</t>
        </is>
      </c>
      <c r="F7523" t="inlineStr">
        <is>
          <t>Hồ Chí Minh, Bắc Ninh</t>
        </is>
      </c>
      <c r="G7523" t="inlineStr">
        <is>
          <t>Nhân viên</t>
        </is>
      </c>
      <c r="H7523" t="inlineStr">
        <is>
          <t>05/03/2026</t>
        </is>
      </c>
      <c r="I7523" t="inlineStr">
        <is>
          <t>04/04/2026</t>
        </is>
      </c>
      <c r="J7523" t="inlineStr">
        <is>
          <t>17/03/2026</t>
        </is>
      </c>
      <c r="K7523" t="inlineStr">
        <is>
          <t>N/A</t>
        </is>
      </c>
      <c r="L7523" t="inlineStr">
        <is>
          <t>Chăm Sóc Khách Hàng, Kinh Doanh, Tìm Kiếm Khách Hàng, Tư Vấn Bán Hàng, Bán Hàng Kỹ Thuật</t>
        </is>
      </c>
      <c r="M7523" t="inlineStr">
        <is>
          <t>Bonus, Healthcare Plan, Training, Team Activities, Transportation</t>
        </is>
      </c>
      <c r="N7523" s="8">
        <f>HYPERLINK("https://www.vietnamworks.com/ky-su-kinh-doanh-sales-engineer-2018708-jv","Xem chi tiết")</f>
        <v/>
      </c>
    </row>
    <row r="7524">
      <c r="B7524" s="9" t="n">
        <v>7522</v>
      </c>
      <c r="C7524" s="10" t="inlineStr">
        <is>
          <t>Chuyên Viên Kế Toán (Thanh Toán)</t>
        </is>
      </c>
      <c r="D7524" s="10" t="inlineStr">
        <is>
          <t>Công Ty Cổ Phần Tập Đoàn Masterise</t>
        </is>
      </c>
      <c r="E7524" s="10" t="inlineStr">
        <is>
          <t>Thương lượng</t>
        </is>
      </c>
      <c r="F7524" s="10" t="inlineStr">
        <is>
          <t>Hồ Chí Minh</t>
        </is>
      </c>
      <c r="G7524" s="10" t="inlineStr">
        <is>
          <t>Nhân viên</t>
        </is>
      </c>
      <c r="H7524" s="10" t="inlineStr">
        <is>
          <t>05/03/2026</t>
        </is>
      </c>
      <c r="I7524" s="10" t="inlineStr">
        <is>
          <t>04/04/2026</t>
        </is>
      </c>
      <c r="J7524" s="10" t="inlineStr">
        <is>
          <t>17/03/2026</t>
        </is>
      </c>
      <c r="K7524" s="10" t="inlineStr">
        <is>
          <t>N/A</t>
        </is>
      </c>
      <c r="L7524" s="10" t="inlineStr">
        <is>
          <t>Excel, Luật Thuế, Phân Tích Dữ Liệu, SAP, Tài Chính Kế Toán</t>
        </is>
      </c>
      <c r="M7524" s="10" t="inlineStr">
        <is>
          <t>Bonus, Healthcare Plan, Training, Others</t>
        </is>
      </c>
      <c r="N7524" s="11">
        <f>HYPERLINK("https://www.vietnamworks.com/chuyen-vien-ke-toan-thanh-toan-2018710-jv","Xem chi tiết")</f>
        <v/>
      </c>
      <c r="O7524" s="10" t="n"/>
    </row>
    <row r="7525">
      <c r="B7525" s="7" t="n">
        <v>7523</v>
      </c>
      <c r="C7525" t="inlineStr">
        <is>
          <t>Giám Đốc Tài Chính</t>
        </is>
      </c>
      <c r="D7525" t="inlineStr">
        <is>
          <t>Công Ty TNHH Thiết Bị Minh Tâm (Mitalab Co., Ltd)</t>
        </is>
      </c>
      <c r="E7525" t="inlineStr">
        <is>
          <t>Thương lượng</t>
        </is>
      </c>
      <c r="F7525" t="inlineStr">
        <is>
          <t>Hà Nội</t>
        </is>
      </c>
      <c r="G7525" t="inlineStr">
        <is>
          <t>Giám Đốc và Cấp Cao Hơn</t>
        </is>
      </c>
      <c r="H7525" t="inlineStr">
        <is>
          <t>05/03/2026</t>
        </is>
      </c>
      <c r="I7525" t="inlineStr">
        <is>
          <t>04/04/2026</t>
        </is>
      </c>
      <c r="J7525" t="inlineStr">
        <is>
          <t>17/03/2026</t>
        </is>
      </c>
      <c r="K7525" t="inlineStr">
        <is>
          <t>N/A</t>
        </is>
      </c>
      <c r="L7525" t="inlineStr">
        <is>
          <t>Kế Toán, Kiểm Toán, Phân Tích Tài Chính, Tài Chính</t>
        </is>
      </c>
      <c r="M7525" t="inlineStr">
        <is>
          <t>Bonus, Training, Mobile, Canteen, Others</t>
        </is>
      </c>
      <c r="N7525" s="8">
        <f>HYPERLINK("https://www.vietnamworks.com/giam-djoc-tai-chinh-2018709-jv","Xem chi tiết")</f>
        <v/>
      </c>
    </row>
    <row r="7526">
      <c r="B7526" s="9" t="n">
        <v>7524</v>
      </c>
      <c r="C7526" s="10" t="inlineStr">
        <is>
          <t>Trưởng Nhóm Sáng Tạo Nội Dung - Content Marketing Leader</t>
        </is>
      </c>
      <c r="D7526" s="10" t="inlineStr">
        <is>
          <t>Công ty Cổ phần Vàng bạc đá quý Bảo Tín Mạnh Hải</t>
        </is>
      </c>
      <c r="E7526" s="10" t="inlineStr">
        <is>
          <t>Thương lượng</t>
        </is>
      </c>
      <c r="F7526" s="10" t="inlineStr">
        <is>
          <t>Hà Nội</t>
        </is>
      </c>
      <c r="G7526" s="10" t="inlineStr">
        <is>
          <t>Nhân viên</t>
        </is>
      </c>
      <c r="H7526" s="10" t="inlineStr">
        <is>
          <t>05/03/2026</t>
        </is>
      </c>
      <c r="I7526" s="10" t="inlineStr">
        <is>
          <t>04/04/2026</t>
        </is>
      </c>
      <c r="J7526" s="10" t="inlineStr">
        <is>
          <t>17/03/2026</t>
        </is>
      </c>
      <c r="K7526" s="10" t="inlineStr">
        <is>
          <t>N/A</t>
        </is>
      </c>
      <c r="L7526" s="10" t="inlineStr">
        <is>
          <t>Content Management, Content Marketing, Content Marketing Principles, Digital Content Marketing, Social Content Marketing</t>
        </is>
      </c>
      <c r="M7526" s="10" t="inlineStr">
        <is>
          <t>Bonus, Healthcare Plan, Training, Team Activities, Others</t>
        </is>
      </c>
      <c r="N7526" s="11">
        <f>HYPERLINK("https://www.vietnamworks.com/truong-nhom-sang-tao-noi-dung-content-marketing-leader-2018698-jv","Xem chi tiết")</f>
        <v/>
      </c>
      <c r="O7526" s="10" t="n"/>
    </row>
    <row r="7527">
      <c r="B7527" s="7" t="n">
        <v>7525</v>
      </c>
      <c r="C7527" t="inlineStr">
        <is>
          <t>Giám Đốc Nhân Sự/ HR Director (HRBP &amp; Total Rewards Focus)</t>
        </is>
      </c>
      <c r="D7527" t="inlineStr">
        <is>
          <t>Casper Vietnam., JSC</t>
        </is>
      </c>
      <c r="E7527" t="inlineStr">
        <is>
          <t>$$ 2,000-3,000 /tháng</t>
        </is>
      </c>
      <c r="F7527" t="inlineStr">
        <is>
          <t>Hà Nội</t>
        </is>
      </c>
      <c r="G7527" t="inlineStr">
        <is>
          <t>Giám Đốc và Cấp Cao Hơn</t>
        </is>
      </c>
      <c r="H7527" t="inlineStr">
        <is>
          <t>05/03/2026</t>
        </is>
      </c>
      <c r="I7527" t="inlineStr">
        <is>
          <t>04/04/2026</t>
        </is>
      </c>
      <c r="J7527" t="inlineStr">
        <is>
          <t>17/03/2026</t>
        </is>
      </c>
      <c r="K7527" t="inlineStr">
        <is>
          <t>N/A</t>
        </is>
      </c>
      <c r="L7527" t="inlineStr">
        <is>
          <t>Recruitment, HR Strategic Planning, KPI Management, HRBP Management, Human Resources Operation</t>
        </is>
      </c>
      <c r="M7527" t="inlineStr">
        <is>
          <t>Bonus, Healthcare Plan, Paid Leave</t>
        </is>
      </c>
      <c r="N7527" s="8">
        <f>HYPERLINK("https://www.vietnamworks.com/giam-doc-nhan-su-hr-director-hrbp-total-rewards-focus--2018713-jv","Xem chi tiết")</f>
        <v/>
      </c>
    </row>
    <row r="7528">
      <c r="B7528" s="9" t="n">
        <v>7526</v>
      </c>
      <c r="C7528" s="10" t="inlineStr">
        <is>
          <t>[Tay Ho Tay Project] Project Director</t>
        </is>
      </c>
      <c r="D7528" s="10" t="inlineStr">
        <is>
          <t>Công Ty Cổ Phần Tập Đoàn Thái Bình Dương</t>
        </is>
      </c>
      <c r="E7528" s="10" t="inlineStr">
        <is>
          <t>Thương lượng</t>
        </is>
      </c>
      <c r="F7528" s="10" t="inlineStr">
        <is>
          <t>Hà Nội</t>
        </is>
      </c>
      <c r="G7528" s="10" t="inlineStr">
        <is>
          <t>Trưởng phòng</t>
        </is>
      </c>
      <c r="H7528" s="10" t="inlineStr">
        <is>
          <t>05/03/2026</t>
        </is>
      </c>
      <c r="I7528" s="10" t="inlineStr">
        <is>
          <t>04/04/2026</t>
        </is>
      </c>
      <c r="J7528" s="10" t="inlineStr">
        <is>
          <t>17/03/2026</t>
        </is>
      </c>
      <c r="K7528" s="10" t="inlineStr">
        <is>
          <t>N/A</t>
        </is>
      </c>
      <c r="L7528" s="10" t="inlineStr">
        <is>
          <t>Giao Tiếp, Lập Kế Hoạch, Quản Lý Dự Án, Quản Lý Rủi Ro, Tiếng Anh</t>
        </is>
      </c>
      <c r="M7528" s="10" t="inlineStr">
        <is>
          <t>Bonus, Healthcare Plan, Others</t>
        </is>
      </c>
      <c r="N7528" s="11">
        <f>HYPERLINK("https://www.vietnamworks.com/tay-ho-tay-project-project-director-2018707-jv","Xem chi tiết")</f>
        <v/>
      </c>
      <c r="O7528" s="10" t="n"/>
    </row>
    <row r="7529">
      <c r="B7529" s="7" t="n">
        <v>7527</v>
      </c>
      <c r="C7529" t="inlineStr">
        <is>
          <t>Senior Product Developer (New Factory)</t>
        </is>
      </c>
      <c r="D7529" t="inlineStr">
        <is>
          <t>Công ty TNHH Panasonic Electric Works Việt Nam</t>
        </is>
      </c>
      <c r="E7529" t="inlineStr">
        <is>
          <t>Thương lượng</t>
        </is>
      </c>
      <c r="F7529" t="inlineStr">
        <is>
          <t>Hồ Chí Minh</t>
        </is>
      </c>
      <c r="G7529" t="inlineStr">
        <is>
          <t>Nhân viên</t>
        </is>
      </c>
      <c r="H7529" t="inlineStr">
        <is>
          <t>05/03/2026</t>
        </is>
      </c>
      <c r="I7529" t="inlineStr">
        <is>
          <t>04/04/2026</t>
        </is>
      </c>
      <c r="J7529" t="inlineStr">
        <is>
          <t>17/03/2026</t>
        </is>
      </c>
      <c r="K7529" t="inlineStr">
        <is>
          <t>N/A</t>
        </is>
      </c>
      <c r="L7529" t="inlineStr">
        <is>
          <t>Analytical Skills, Communication Skills, Market Knowledge, Product Planning, Technical Engineering</t>
        </is>
      </c>
      <c r="M7529" t="inlineStr">
        <is>
          <t>Bonus, Healthcare Plan, Paid Leave, Training, Team Activities</t>
        </is>
      </c>
      <c r="N7529" s="8">
        <f>HYPERLINK("https://www.vietnamworks.com/senior-product-developer-new-factory-2018717-jv","Xem chi tiết")</f>
        <v/>
      </c>
    </row>
    <row r="7530">
      <c r="B7530" s="9" t="n">
        <v>7528</v>
      </c>
      <c r="C7530" s="10" t="inlineStr">
        <is>
          <t>Engineer, Production Engineering</t>
        </is>
      </c>
      <c r="D7530" s="10" t="inlineStr">
        <is>
          <t>METKRAFT LTD. (A Division of Fisher Barton)</t>
        </is>
      </c>
      <c r="E7530" s="10" t="inlineStr">
        <is>
          <t>Thương lượng</t>
        </is>
      </c>
      <c r="F7530" s="10" t="inlineStr">
        <is>
          <t>Hồ Chí Minh</t>
        </is>
      </c>
      <c r="G7530" s="10" t="inlineStr">
        <is>
          <t>Nhân viên</t>
        </is>
      </c>
      <c r="H7530" s="10" t="inlineStr">
        <is>
          <t>05/03/2026</t>
        </is>
      </c>
      <c r="I7530" s="10" t="inlineStr">
        <is>
          <t>04/04/2026</t>
        </is>
      </c>
      <c r="J7530" s="10" t="inlineStr">
        <is>
          <t>17/03/2026</t>
        </is>
      </c>
      <c r="K7530" s="10" t="inlineStr">
        <is>
          <t>N/A</t>
        </is>
      </c>
      <c r="L7530" s="10" t="inlineStr">
        <is>
          <t>3D Design, CNC, English Communication, Mechanical Engineering, Solidworks 3D</t>
        </is>
      </c>
      <c r="M7530" s="10" t="inlineStr">
        <is>
          <t>Bonus, Paid Leave, Training</t>
        </is>
      </c>
      <c r="N7530" s="11">
        <f>HYPERLINK("https://www.vietnamworks.com/engineer-production-engineering-2018716-jv","Xem chi tiết")</f>
        <v/>
      </c>
      <c r="O7530" s="10" t="n"/>
    </row>
    <row r="7531">
      <c r="B7531" s="7" t="n">
        <v>7529</v>
      </c>
      <c r="C7531" t="inlineStr">
        <is>
          <t>Chuyên Viên Tuyển Dụng Cao Cấp</t>
        </is>
      </c>
      <c r="D7531" t="inlineStr">
        <is>
          <t>CÔNG TY CỔ PHẦN TRUNG TÂM HỘI CHỢ TRIỂN LÃM VIỆT NAM</t>
        </is>
      </c>
      <c r="E7531" t="inlineStr">
        <is>
          <t>20tr-35tr ₫/tháng</t>
        </is>
      </c>
      <c r="F7531" t="inlineStr">
        <is>
          <t>Hà Nội</t>
        </is>
      </c>
      <c r="G7531" t="inlineStr">
        <is>
          <t>Nhân viên</t>
        </is>
      </c>
      <c r="H7531" t="inlineStr">
        <is>
          <t>05/03/2026</t>
        </is>
      </c>
      <c r="I7531" t="inlineStr">
        <is>
          <t>04/04/2026</t>
        </is>
      </c>
      <c r="J7531" t="inlineStr">
        <is>
          <t>17/03/2026</t>
        </is>
      </c>
      <c r="K7531" t="inlineStr">
        <is>
          <t>N/A</t>
        </is>
      </c>
      <c r="L7531" t="inlineStr">
        <is>
          <t>Diễn Thuyết, Lập Kế Hoạch, Quản Lý Nhân Lực, Tiếng Anh, Tin Học Văn Phòng</t>
        </is>
      </c>
      <c r="M7531" t="inlineStr">
        <is>
          <t>Bonus, Healthcare Plan, Travel Opportunities, Others</t>
        </is>
      </c>
      <c r="N7531" s="8">
        <f>HYPERLINK("https://www.vietnamworks.com/chuyen-vien-tuyen-dung-cao-cap-2018711-jv","Xem chi tiết")</f>
        <v/>
      </c>
    </row>
    <row r="7532">
      <c r="B7532" s="9" t="n">
        <v>7530</v>
      </c>
      <c r="C7532" s="10" t="inlineStr">
        <is>
          <t>Trưởng Bộ Phận Kết Cấu - Upto 45 Triệu/tháng (Công Ty Tư Vấn Thiết Kế)</t>
        </is>
      </c>
      <c r="D7532" s="10" t="inlineStr">
        <is>
          <t>Công Ty Cổ Phần TMS Bất Động Sản</t>
        </is>
      </c>
      <c r="E7532" s="10" t="inlineStr">
        <is>
          <t>Tới 45tr ₫/tháng</t>
        </is>
      </c>
      <c r="F7532" s="10" t="inlineStr">
        <is>
          <t>Hà Nội</t>
        </is>
      </c>
      <c r="G7532" s="10" t="inlineStr">
        <is>
          <t>Nhân viên</t>
        </is>
      </c>
      <c r="H7532" s="10" t="inlineStr">
        <is>
          <t>05/03/2026</t>
        </is>
      </c>
      <c r="I7532" s="10" t="inlineStr">
        <is>
          <t>04/04/2026</t>
        </is>
      </c>
      <c r="J7532" s="10" t="inlineStr">
        <is>
          <t>17/03/2026</t>
        </is>
      </c>
      <c r="K7532" s="10" t="inlineStr">
        <is>
          <t>N/A</t>
        </is>
      </c>
      <c r="L7532" s="10" t="inlineStr">
        <is>
          <t>3D Max, Autocad, BIM, Sketchup, Thiết Kế Kết Cấu</t>
        </is>
      </c>
      <c r="M7532" s="10" t="inlineStr">
        <is>
          <t>Bonus, Healthcare Plan, Paid Leave, Others</t>
        </is>
      </c>
      <c r="N7532" s="11">
        <f>HYPERLINK("https://www.vietnamworks.com/truong-bo-phan-ket-cau-upto-45-trieuthang-cong-ty-tu-van-thiet-ke-2018719-jv","Xem chi tiết")</f>
        <v/>
      </c>
      <c r="O7532" s="10" t="n"/>
    </row>
    <row r="7533">
      <c r="B7533" s="7" t="n">
        <v>7531</v>
      </c>
      <c r="C7533" t="inlineStr">
        <is>
          <t>Advisor, Market Research</t>
        </is>
      </c>
      <c r="D7533" t="inlineStr">
        <is>
          <t>Techcombank</t>
        </is>
      </c>
      <c r="E7533" t="inlineStr">
        <is>
          <t>Thương lượng</t>
        </is>
      </c>
      <c r="F7533" t="inlineStr">
        <is>
          <t>Hà Nội</t>
        </is>
      </c>
      <c r="G7533" t="inlineStr">
        <is>
          <t>Nhân viên</t>
        </is>
      </c>
      <c r="H7533" t="inlineStr">
        <is>
          <t>05/03/2026</t>
        </is>
      </c>
      <c r="I7533" t="inlineStr">
        <is>
          <t>04/04/2026</t>
        </is>
      </c>
      <c r="J7533" t="inlineStr">
        <is>
          <t>17/03/2026</t>
        </is>
      </c>
      <c r="K7533" t="inlineStr">
        <is>
          <t>N/A</t>
        </is>
      </c>
      <c r="L7533" t="inlineStr">
        <is>
          <t>Marketing Research, Nghiên Cứu Thị Trường, Equity Research, Statistical Analysis, Data Analys</t>
        </is>
      </c>
      <c r="M7533" t="inlineStr">
        <is>
          <t>Bonus, Healthcare Plan, Paid Leave</t>
        </is>
      </c>
      <c r="N7533" s="8">
        <f>HYPERLINK("https://www.vietnamworks.com/advisor-market-research-2018715-jv","Xem chi tiết")</f>
        <v/>
      </c>
    </row>
    <row r="7534">
      <c r="B7534" s="9" t="n">
        <v>7532</v>
      </c>
      <c r="C7534" s="10" t="inlineStr">
        <is>
          <t>Trưởng Bộ Phận MEP - Upto 45 Triệu/tháng (Công Ty Tư Vấn Thiết Kế)</t>
        </is>
      </c>
      <c r="D7534" s="10" t="inlineStr">
        <is>
          <t>Công Ty Cổ Phần TMS Bất Động Sản</t>
        </is>
      </c>
      <c r="E7534" s="10" t="inlineStr">
        <is>
          <t>Tới 45tr ₫/tháng</t>
        </is>
      </c>
      <c r="F7534" s="10" t="inlineStr">
        <is>
          <t>Hà Nội</t>
        </is>
      </c>
      <c r="G7534" s="10" t="inlineStr">
        <is>
          <t>Trưởng phòng</t>
        </is>
      </c>
      <c r="H7534" s="10" t="inlineStr">
        <is>
          <t>05/03/2026</t>
        </is>
      </c>
      <c r="I7534" s="10" t="inlineStr">
        <is>
          <t>04/04/2026</t>
        </is>
      </c>
      <c r="J7534" s="10" t="inlineStr">
        <is>
          <t>17/03/2026</t>
        </is>
      </c>
      <c r="K7534" s="10" t="inlineStr">
        <is>
          <t>N/A</t>
        </is>
      </c>
      <c r="L7534" s="10" t="inlineStr">
        <is>
          <t>Autocad, Quản Lý Dự Án, Thiết Kế MEP, Quản Lý Hồ Sơ Thiết Kế, Thiết Kế Cơ Điện</t>
        </is>
      </c>
      <c r="M7534" s="10" t="inlineStr">
        <is>
          <t>Bonus, Healthcare Plan, Paid Leave, Others</t>
        </is>
      </c>
      <c r="N7534" s="11">
        <f>HYPERLINK("https://www.vietnamworks.com/truong-bo-phan-mep-upto-45-trieuthang-cong-ty-tu-van-thiet-ke-2018721-jv","Xem chi tiết")</f>
        <v/>
      </c>
      <c r="O7534" s="10" t="n"/>
    </row>
    <row r="7535">
      <c r="B7535" s="7" t="n">
        <v>7533</v>
      </c>
      <c r="C7535" t="inlineStr">
        <is>
          <t xml:space="preserve">(Gấp) Trưởng Phòng Marketing Chuyên Dự Án Bất Động Sản (Cđt), Lương Upto 60M/tháng </t>
        </is>
      </c>
      <c r="D7535" t="inlineStr">
        <is>
          <t>Công Ty Cổ Phần TMS Bất Động Sản</t>
        </is>
      </c>
      <c r="E7535" t="inlineStr">
        <is>
          <t>50tr-60tr ₫/tháng</t>
        </is>
      </c>
      <c r="F7535" t="inlineStr">
        <is>
          <t>Hà Nội</t>
        </is>
      </c>
      <c r="G7535" t="inlineStr">
        <is>
          <t>Trưởng phòng</t>
        </is>
      </c>
      <c r="H7535" t="inlineStr">
        <is>
          <t>05/03/2026</t>
        </is>
      </c>
      <c r="I7535" t="inlineStr">
        <is>
          <t>04/04/2026</t>
        </is>
      </c>
      <c r="J7535" t="inlineStr">
        <is>
          <t>17/03/2026</t>
        </is>
      </c>
      <c r="K7535" t="inlineStr">
        <is>
          <t>N/A</t>
        </is>
      </c>
      <c r="L7535" t="inlineStr">
        <is>
          <t>Bất Động Sản, Chiến Lược Truyền Thông, Marketing Planning, Quản Lý Điều Hành, Truyền Thông Thương Hiệu</t>
        </is>
      </c>
      <c r="M7535" t="inlineStr">
        <is>
          <t>Paid Leave, Laptop, Others</t>
        </is>
      </c>
      <c r="N7535" s="8">
        <f>HYPERLINK("https://www.vietnamworks.com/-gap-truong-phong-marketing-chuyen-du-an-bat-djong-san-cdjt-luong-upto-60mthang-2018718-jv","Xem chi tiết")</f>
        <v/>
      </c>
    </row>
    <row r="7536">
      <c r="B7536" s="9" t="n">
        <v>7534</v>
      </c>
      <c r="C7536" s="10" t="inlineStr">
        <is>
          <t>Kỹ Sư Cơ Khí (Mechanical Engineer)</t>
        </is>
      </c>
      <c r="D7536" s="10" t="inlineStr">
        <is>
          <t>CÔNG TY TNHH CÔNG NGHỆ MINH HOÀNG</t>
        </is>
      </c>
      <c r="E7536" s="10" t="inlineStr">
        <is>
          <t>14tr-18tr ₫/tháng</t>
        </is>
      </c>
      <c r="F7536" s="10" t="inlineStr">
        <is>
          <t>Hải Phòng</t>
        </is>
      </c>
      <c r="G7536" s="10" t="inlineStr">
        <is>
          <t>Nhân viên</t>
        </is>
      </c>
      <c r="H7536" s="10" t="inlineStr">
        <is>
          <t>05/03/2026</t>
        </is>
      </c>
      <c r="I7536" s="10" t="inlineStr">
        <is>
          <t>04/04/2026</t>
        </is>
      </c>
      <c r="J7536" s="10" t="inlineStr">
        <is>
          <t>17/03/2026</t>
        </is>
      </c>
      <c r="K7536" s="10" t="inlineStr">
        <is>
          <t>N/A</t>
        </is>
      </c>
      <c r="L7536" s="10" t="inlineStr">
        <is>
          <t>AutoCAD 2D, Technical Drawing, Mechanical Processing, Creative Design, Thiết Kế Cơ Khí</t>
        </is>
      </c>
      <c r="M7536" s="10" t="inlineStr">
        <is>
          <t>Bonus, Healthcare Plan, Travel Opportunities, Others</t>
        </is>
      </c>
      <c r="N7536" s="11">
        <f>HYPERLINK("https://www.vietnamworks.com/ky-su-co-khi-mechanical-engineer-2018723-jv","Xem chi tiết")</f>
        <v/>
      </c>
      <c r="O7536" s="10" t="n"/>
    </row>
    <row r="7537">
      <c r="B7537" s="7" t="n">
        <v>7535</v>
      </c>
      <c r="C7537" t="inlineStr">
        <is>
          <t>Chuyên Viên Nhân Sự</t>
        </is>
      </c>
      <c r="D7537" t="inlineStr">
        <is>
          <t>CÔNG TY CỔ PHẦN TRUNG TÂM HỘI CHỢ TRIỂN LÃM VIỆT NAM</t>
        </is>
      </c>
      <c r="E7537" t="inlineStr">
        <is>
          <t>15tr-30tr ₫/tháng</t>
        </is>
      </c>
      <c r="F7537" t="inlineStr">
        <is>
          <t>Hà Nội</t>
        </is>
      </c>
      <c r="G7537" t="inlineStr">
        <is>
          <t>Nhân viên</t>
        </is>
      </c>
      <c r="H7537" t="inlineStr">
        <is>
          <t>05/03/2026</t>
        </is>
      </c>
      <c r="I7537" t="inlineStr">
        <is>
          <t>04/04/2026</t>
        </is>
      </c>
      <c r="J7537" t="inlineStr">
        <is>
          <t>17/03/2026</t>
        </is>
      </c>
      <c r="K7537" t="inlineStr">
        <is>
          <t>N/A</t>
        </is>
      </c>
      <c r="L7537" t="inlineStr">
        <is>
          <t>Bhxh, Giao Tiếp, Luật Lao Động, Microsoft Office, Thuế</t>
        </is>
      </c>
      <c r="M7537" t="inlineStr">
        <is>
          <t>Healthcare Plan, Travel Opportunities, Others</t>
        </is>
      </c>
      <c r="N7537" s="8">
        <f>HYPERLINK("https://www.vietnamworks.com/chuyen-vien-nhan-su-2018725-jv","Xem chi tiết")</f>
        <v/>
      </c>
    </row>
    <row r="7538">
      <c r="B7538" s="9" t="n">
        <v>7536</v>
      </c>
      <c r="C7538" s="10" t="inlineStr">
        <is>
          <t>Sales System Assistant (Third Party Contract)</t>
        </is>
      </c>
      <c r="D7538" s="10" t="inlineStr">
        <is>
          <t>Nestlé Vietnam LTD.</t>
        </is>
      </c>
      <c r="E7538" s="10" t="inlineStr">
        <is>
          <t>Thương lượng</t>
        </is>
      </c>
      <c r="F7538" s="10" t="inlineStr">
        <is>
          <t>Hồ Chí Minh</t>
        </is>
      </c>
      <c r="G7538" s="10" t="inlineStr">
        <is>
          <t>Mới Tốt Nghiệp</t>
        </is>
      </c>
      <c r="H7538" s="10" t="inlineStr">
        <is>
          <t>05/03/2026</t>
        </is>
      </c>
      <c r="I7538" s="10" t="inlineStr">
        <is>
          <t>04/04/2026</t>
        </is>
      </c>
      <c r="J7538" s="10" t="inlineStr">
        <is>
          <t>17/03/2026</t>
        </is>
      </c>
      <c r="K7538" s="10" t="inlineStr">
        <is>
          <t>N/A</t>
        </is>
      </c>
      <c r="L7538" s="10" t="inlineStr">
        <is>
          <t>DMS One, DMS System, FMCG, Business Administration, Information System</t>
        </is>
      </c>
      <c r="M7538" s="10" t="inlineStr">
        <is>
          <t>Bonus, Laptop</t>
        </is>
      </c>
      <c r="N7538" s="11">
        <f>HYPERLINK("https://www.vietnamworks.com/sales-system-assistant-third-party-contract-2018728-jv","Xem chi tiết")</f>
        <v/>
      </c>
      <c r="O7538" s="10" t="n"/>
    </row>
    <row r="7539">
      <c r="B7539" s="7" t="n">
        <v>7537</v>
      </c>
      <c r="C7539" t="inlineStr">
        <is>
          <t>Phó Giám Đốc Tài Chính</t>
        </is>
      </c>
      <c r="D7539" t="inlineStr">
        <is>
          <t>MISA Jointstock Company</t>
        </is>
      </c>
      <c r="E7539" t="inlineStr">
        <is>
          <t>Thương lượng</t>
        </is>
      </c>
      <c r="F7539" t="inlineStr">
        <is>
          <t>Hà Nội</t>
        </is>
      </c>
      <c r="G7539" t="inlineStr">
        <is>
          <t>Giám Đốc và Cấp Cao Hơn</t>
        </is>
      </c>
      <c r="H7539" t="inlineStr">
        <is>
          <t>05/03/2026</t>
        </is>
      </c>
      <c r="I7539" t="inlineStr">
        <is>
          <t>04/04/2026</t>
        </is>
      </c>
      <c r="J7539" t="inlineStr">
        <is>
          <t>17/03/2026</t>
        </is>
      </c>
      <c r="K7539" t="inlineStr">
        <is>
          <t>N/A</t>
        </is>
      </c>
      <c r="L7539" t="inlineStr">
        <is>
          <t>Kế Toán, Tài Chính, Phân tích dữ liệu, Giám đốc tài chính, Business Intelligence</t>
        </is>
      </c>
      <c r="M7539" t="inlineStr">
        <is>
          <t>Bonus, Healthcare Plan, Training, Awards, Laptop, Others</t>
        </is>
      </c>
      <c r="N7539" s="8">
        <f>HYPERLINK("https://www.vietnamworks.com/pho-giam-djoc-tai-chinh-2018727-jv","Xem chi tiết")</f>
        <v/>
      </c>
    </row>
    <row r="7540">
      <c r="B7540" s="9" t="n">
        <v>7538</v>
      </c>
      <c r="C7540" s="10" t="inlineStr">
        <is>
          <t>Sales Manager - Trưởng Phòng Kinh Doanh</t>
        </is>
      </c>
      <c r="D7540" s="10" t="inlineStr">
        <is>
          <t>Công Ty TNHH Space T</t>
        </is>
      </c>
      <c r="E7540" s="10" t="inlineStr">
        <is>
          <t>Thương lượng</t>
        </is>
      </c>
      <c r="F7540" s="10" t="inlineStr">
        <is>
          <t>Hồ Chí Minh</t>
        </is>
      </c>
      <c r="G7540" s="10" t="inlineStr">
        <is>
          <t>Trưởng phòng</t>
        </is>
      </c>
      <c r="H7540" s="10" t="inlineStr">
        <is>
          <t>05/03/2026</t>
        </is>
      </c>
      <c r="I7540" s="10" t="inlineStr">
        <is>
          <t>04/04/2026</t>
        </is>
      </c>
      <c r="J7540" s="10" t="inlineStr">
        <is>
          <t>17/03/2026</t>
        </is>
      </c>
      <c r="K7540" s="10" t="inlineStr">
        <is>
          <t>N/A</t>
        </is>
      </c>
      <c r="L7540" s="10" t="inlineStr">
        <is>
          <t>Channel Relationship Management, Sales Training, Business Development, Kinh Doanh, Bán Hàng</t>
        </is>
      </c>
      <c r="M7540" s="10" t="inlineStr">
        <is>
          <t>Bonus, Healthcare Plan, Training, Team Activities</t>
        </is>
      </c>
      <c r="N7540" s="11">
        <f>HYPERLINK("https://www.vietnamworks.com/sales-manager-truong-phong-kinh-doanh--2018729-jv","Xem chi tiết")</f>
        <v/>
      </c>
      <c r="O7540" s="10" t="n"/>
    </row>
    <row r="7541">
      <c r="B7541" s="7" t="n">
        <v>7539</v>
      </c>
      <c r="C7541" t="inlineStr">
        <is>
          <t>Quản Đốc Sản Xuất</t>
        </is>
      </c>
      <c r="D7541" t="inlineStr">
        <is>
          <t>Công Ty Cổ Phần Tập Đoàn Sunhouse</t>
        </is>
      </c>
      <c r="E7541" t="inlineStr">
        <is>
          <t>$$ 1,200-1,500 /tháng</t>
        </is>
      </c>
      <c r="F7541" t="inlineStr">
        <is>
          <t>Hà Nội, Thái Nguyên</t>
        </is>
      </c>
      <c r="G7541" t="inlineStr">
        <is>
          <t>Trưởng phòng</t>
        </is>
      </c>
      <c r="H7541" t="inlineStr">
        <is>
          <t>05/03/2026</t>
        </is>
      </c>
      <c r="I7541" t="inlineStr">
        <is>
          <t>04/04/2026</t>
        </is>
      </c>
      <c r="J7541" t="inlineStr">
        <is>
          <t>17/03/2026</t>
        </is>
      </c>
      <c r="K7541" t="inlineStr">
        <is>
          <t>N/A</t>
        </is>
      </c>
      <c r="L7541" t="inlineStr">
        <is>
          <t>Quản Lý Sản Xuất, Cơ Khí, Lắp Ráp, Đồ Gia Dụng, FDI Companies</t>
        </is>
      </c>
      <c r="M7541" t="inlineStr">
        <is>
          <t>Bonus, Travel Opportunities, Transportation</t>
        </is>
      </c>
      <c r="N7541" s="8">
        <f>HYPERLINK("https://www.vietnamworks.com/quan-doc-san-xuat--2018733-jv","Xem chi tiết")</f>
        <v/>
      </c>
    </row>
    <row r="7542">
      <c r="B7542" s="9" t="n">
        <v>7540</v>
      </c>
      <c r="C7542" s="10" t="inlineStr">
        <is>
          <t>Nhân Viên Xuất Khẩu Đường Hàng Không</t>
        </is>
      </c>
      <c r="D7542" s="10" t="inlineStr">
        <is>
          <t>Chi Nhánh Hà Nội – Công Ty TNHH LOTTE VINATRANS GLOBAL Logistics (Việt Nam)</t>
        </is>
      </c>
      <c r="E7542" s="10" t="inlineStr">
        <is>
          <t>Từ $ 450 /tháng</t>
        </is>
      </c>
      <c r="F7542" s="10" t="inlineStr">
        <is>
          <t>Hà Nội</t>
        </is>
      </c>
      <c r="G7542" s="10" t="inlineStr">
        <is>
          <t>Nhân viên</t>
        </is>
      </c>
      <c r="H7542" s="10" t="inlineStr">
        <is>
          <t>05/03/2026</t>
        </is>
      </c>
      <c r="I7542" s="10" t="inlineStr">
        <is>
          <t>04/04/2026</t>
        </is>
      </c>
      <c r="J7542" s="10" t="inlineStr">
        <is>
          <t>17/03/2026</t>
        </is>
      </c>
      <c r="K7542" s="10" t="inlineStr">
        <is>
          <t>N/A</t>
        </is>
      </c>
      <c r="L7542" s="10" t="inlineStr">
        <is>
          <t>Logistics, Export, Sea Freight, Operations support, English</t>
        </is>
      </c>
      <c r="M7542" s="10" t="inlineStr">
        <is>
          <t>Bonus, Healthcare Plan, Paid Leave</t>
        </is>
      </c>
      <c r="N7542" s="11">
        <f>HYPERLINK("https://www.vietnamworks.com/nhan-vien-xuat-khau-duong-hang-khong--2018738-jv","Xem chi tiết")</f>
        <v/>
      </c>
      <c r="O7542" s="10" t="n"/>
    </row>
    <row r="7543">
      <c r="B7543" s="7" t="n">
        <v>7541</v>
      </c>
      <c r="C7543" t="inlineStr">
        <is>
          <t>Production Planner</t>
        </is>
      </c>
      <c r="D7543" t="inlineStr">
        <is>
          <t>CÔNG TY TNHH LTD MATERIAL FAB</t>
        </is>
      </c>
      <c r="E7543" t="inlineStr">
        <is>
          <t>Thương lượng</t>
        </is>
      </c>
      <c r="F7543" t="inlineStr">
        <is>
          <t>Đà Nẵng</t>
        </is>
      </c>
      <c r="G7543" t="inlineStr">
        <is>
          <t>Nhân viên</t>
        </is>
      </c>
      <c r="H7543" t="inlineStr">
        <is>
          <t>05/03/2026</t>
        </is>
      </c>
      <c r="I7543" t="inlineStr">
        <is>
          <t>04/04/2026</t>
        </is>
      </c>
      <c r="J7543" t="inlineStr">
        <is>
          <t>17/03/2026</t>
        </is>
      </c>
      <c r="K7543" t="inlineStr">
        <is>
          <t>N/A</t>
        </is>
      </c>
      <c r="L7543" t="inlineStr">
        <is>
          <t>Production Planning, Production Planner, Material Planning, Production Scheduling, Manufacturing Operations</t>
        </is>
      </c>
      <c r="M7543" t="inlineStr">
        <is>
          <t>Training</t>
        </is>
      </c>
      <c r="N7543" s="8">
        <f>HYPERLINK("https://www.vietnamworks.com/production-planner--2018740-jv","Xem chi tiết")</f>
        <v/>
      </c>
    </row>
    <row r="7544">
      <c r="B7544" s="9" t="n">
        <v>7542</v>
      </c>
      <c r="C7544" s="10" t="inlineStr">
        <is>
          <t>Kế Toán Trưởng ( Thu Nhập 30-40 Tr/tháng) - Nam Từ Liêm</t>
        </is>
      </c>
      <c r="D7544" s="10" t="inlineStr">
        <is>
          <t>CÔNG TY TNHH DƯỢC PHẨM ZIO PHARMA</t>
        </is>
      </c>
      <c r="E7544" s="10" t="inlineStr">
        <is>
          <t>30tr-40tr ₫/tháng</t>
        </is>
      </c>
      <c r="F7544" s="10" t="inlineStr">
        <is>
          <t>Hà Nội</t>
        </is>
      </c>
      <c r="G7544" s="10" t="inlineStr">
        <is>
          <t>Trưởng phòng</t>
        </is>
      </c>
      <c r="H7544" s="10" t="inlineStr">
        <is>
          <t>05/03/2026</t>
        </is>
      </c>
      <c r="I7544" s="10" t="inlineStr">
        <is>
          <t>04/04/2026</t>
        </is>
      </c>
      <c r="J7544" s="10" t="inlineStr">
        <is>
          <t>17/03/2026</t>
        </is>
      </c>
      <c r="K7544" s="10" t="inlineStr">
        <is>
          <t>N/A</t>
        </is>
      </c>
      <c r="L7544" s="10" t="inlineStr">
        <is>
          <t>Chief Accountant Certificate, Chief Accountant, Kế Toán Tài Chính, Kế Toán Trưởng, Quản Lý Kế Toán</t>
        </is>
      </c>
      <c r="M7544" s="10" t="inlineStr">
        <is>
          <t>Bonus, Healthcare Plan, Others</t>
        </is>
      </c>
      <c r="N7544" s="11">
        <f>HYPERLINK("https://www.vietnamworks.com/ke-toan-truong-thu-nhap-30-40-tr-thang-nam-tu-liem-2018736-jv","Xem chi tiết")</f>
        <v/>
      </c>
      <c r="O7544" s="10" t="n"/>
    </row>
    <row r="7545">
      <c r="B7545" s="7" t="n">
        <v>7543</v>
      </c>
      <c r="C7545" t="inlineStr">
        <is>
          <t>[ Hot Job ] Trưởng Phòng Nhân Sự (HR Manager)</t>
        </is>
      </c>
      <c r="D7545" t="inlineStr">
        <is>
          <t>Armstrong Weston Vietnam Co.Ltd</t>
        </is>
      </c>
      <c r="E7545" t="inlineStr">
        <is>
          <t>Thương lượng</t>
        </is>
      </c>
      <c r="F7545" t="inlineStr">
        <is>
          <t>Hà Nội, Bắc Ninh</t>
        </is>
      </c>
      <c r="G7545" t="inlineStr">
        <is>
          <t>Trưởng phòng</t>
        </is>
      </c>
      <c r="H7545" t="inlineStr">
        <is>
          <t>05/03/2026</t>
        </is>
      </c>
      <c r="I7545" t="inlineStr">
        <is>
          <t>04/04/2026</t>
        </is>
      </c>
      <c r="J7545" t="inlineStr">
        <is>
          <t>17/03/2026</t>
        </is>
      </c>
      <c r="K7545" t="inlineStr">
        <is>
          <t>N/A</t>
        </is>
      </c>
      <c r="L7545" t="inlineStr">
        <is>
          <t>Đào Tạo, Tuyển Dụng, Quản Lý, HR Management, CSR</t>
        </is>
      </c>
      <c r="M7545" t="inlineStr">
        <is>
          <t>Bonus, Training, Others</t>
        </is>
      </c>
      <c r="N7545" s="8">
        <f>HYPERLINK("https://www.vietnamworks.com/hot-job-truong-phong-nhan-su-hr-manager--2018743-jv","Xem chi tiết")</f>
        <v/>
      </c>
    </row>
    <row r="7546">
      <c r="B7546" s="9" t="n">
        <v>7544</v>
      </c>
      <c r="C7546" s="10" t="inlineStr">
        <is>
          <t>Corporate Development Executive (Short-Term 8 Months -Gross Salary Upto Usd800)</t>
        </is>
      </c>
      <c r="D7546" s="10" t="inlineStr">
        <is>
          <t>Vietnam International Township Development Jsc - ParkCity Hanoi</t>
        </is>
      </c>
      <c r="E7546" s="10" t="inlineStr">
        <is>
          <t>$$ 400-800 /tháng</t>
        </is>
      </c>
      <c r="F7546" s="10" t="inlineStr">
        <is>
          <t>Hà Nội</t>
        </is>
      </c>
      <c r="G7546" s="10" t="inlineStr">
        <is>
          <t>Nhân viên</t>
        </is>
      </c>
      <c r="H7546" s="10" t="inlineStr">
        <is>
          <t>05/03/2026</t>
        </is>
      </c>
      <c r="I7546" s="10" t="inlineStr">
        <is>
          <t>04/04/2026</t>
        </is>
      </c>
      <c r="J7546" s="10" t="inlineStr">
        <is>
          <t>17/03/2026</t>
        </is>
      </c>
      <c r="K7546" s="10" t="inlineStr">
        <is>
          <t>N/A</t>
        </is>
      </c>
      <c r="L7546" s="10" t="inlineStr">
        <is>
          <t>Corporate Development, Legal Support, Local Construction Law, Project Support</t>
        </is>
      </c>
      <c r="M7546" s="10" t="inlineStr">
        <is>
          <t>Bonus, Healthcare Plan, Vouchers</t>
        </is>
      </c>
      <c r="N7546" s="11">
        <f>HYPERLINK("https://www.vietnamworks.com/corporate-development-executive-short-term-8-months-gross-salary-upto-usd800--2018742-jv","Xem chi tiết")</f>
        <v/>
      </c>
      <c r="O7546" s="10" t="n"/>
    </row>
    <row r="7547">
      <c r="B7547" s="7" t="n">
        <v>7545</v>
      </c>
      <c r="C7547" t="inlineStr">
        <is>
          <t>Kỹ Sư ME / AOI / SMT</t>
        </is>
      </c>
      <c r="D7547" t="inlineStr">
        <is>
          <t>Công Ty TNHH Gemtek Việt Nam</t>
        </is>
      </c>
      <c r="E7547" t="inlineStr">
        <is>
          <t>Thương lượng</t>
        </is>
      </c>
      <c r="F7547" t="inlineStr">
        <is>
          <t>Hà Nội, Hà Nam</t>
        </is>
      </c>
      <c r="G7547" t="inlineStr">
        <is>
          <t>Mới Tốt Nghiệp</t>
        </is>
      </c>
      <c r="H7547" t="inlineStr">
        <is>
          <t>05/03/2026</t>
        </is>
      </c>
      <c r="I7547" t="inlineStr">
        <is>
          <t>04/04/2026</t>
        </is>
      </c>
      <c r="J7547" t="inlineStr">
        <is>
          <t>17/03/2026</t>
        </is>
      </c>
      <c r="K7547" t="inlineStr">
        <is>
          <t>N/A</t>
        </is>
      </c>
      <c r="L7547" t="inlineStr">
        <is>
          <t>Cơ Khí Chế Tạo, Tự Động Hóa, Stenciling, Gerber, SMT</t>
        </is>
      </c>
      <c r="M7547" t="inlineStr">
        <is>
          <t>Bonus, Transportation, Others</t>
        </is>
      </c>
      <c r="N7547" s="8">
        <f>HYPERLINK("https://www.vietnamworks.com/ky-su-me-aoi-smt--2018735-jv","Xem chi tiết")</f>
        <v/>
      </c>
    </row>
    <row r="7548">
      <c r="B7548" s="9" t="n">
        <v>7546</v>
      </c>
      <c r="C7548" s="10" t="inlineStr">
        <is>
          <t>Chuyên Viên Phát Triển Kinh Doanh - Ban Bảo Hiểm Trực Tuyến</t>
        </is>
      </c>
      <c r="D7548" s="10" t="inlineStr">
        <is>
          <t>Tổng Công Ty Bảo Hiểm Bảo Việt</t>
        </is>
      </c>
      <c r="E7548" s="10" t="inlineStr">
        <is>
          <t>Thương lượng</t>
        </is>
      </c>
      <c r="F7548" s="10" t="inlineStr">
        <is>
          <t>Hà Nội</t>
        </is>
      </c>
      <c r="G7548" s="10" t="inlineStr">
        <is>
          <t>Nhân viên</t>
        </is>
      </c>
      <c r="H7548" s="10" t="inlineStr">
        <is>
          <t>05/03/2026</t>
        </is>
      </c>
      <c r="I7548" s="10" t="inlineStr">
        <is>
          <t>04/04/2026</t>
        </is>
      </c>
      <c r="J7548" s="10" t="inlineStr">
        <is>
          <t>17/03/2026</t>
        </is>
      </c>
      <c r="K7548" s="10" t="inlineStr">
        <is>
          <t>N/A</t>
        </is>
      </c>
      <c r="L7548" s="10" t="inlineStr">
        <is>
          <t>Bảo Hiểm, Tiếng Anh, Quản Lý Dự Án, Kinh Doanh Bảo Hiểm, Phát Triển Kinh Doanh</t>
        </is>
      </c>
      <c r="M7548" s="10" t="inlineStr">
        <is>
          <t>Bonus, Healthcare Plan, Others</t>
        </is>
      </c>
      <c r="N7548" s="11">
        <f>HYPERLINK("https://www.vietnamworks.com/chuyen-vien-phat-trien-kinh-doanh-ban-bao-hiem-truc-tuyen--2018732-jv","Xem chi tiết")</f>
        <v/>
      </c>
      <c r="O7548" s="10" t="n"/>
    </row>
    <row r="7549">
      <c r="B7549" s="7" t="n">
        <v>7547</v>
      </c>
      <c r="C7549" t="inlineStr">
        <is>
          <t>Senior Officer - Digital Marketing and Communication, Agricultural Solutions</t>
        </is>
      </c>
      <c r="D7549" t="inlineStr">
        <is>
          <t>BASF Vietnam Co., Ltd</t>
        </is>
      </c>
      <c r="E7549" t="inlineStr">
        <is>
          <t>Thương lượng</t>
        </is>
      </c>
      <c r="F7549" t="inlineStr">
        <is>
          <t>Hồ Chí Minh</t>
        </is>
      </c>
      <c r="G7549" t="inlineStr">
        <is>
          <t>Nhân viên</t>
        </is>
      </c>
      <c r="H7549" t="inlineStr">
        <is>
          <t>05/03/2026</t>
        </is>
      </c>
      <c r="I7549" t="inlineStr">
        <is>
          <t>20/03/2026</t>
        </is>
      </c>
      <c r="J7549" t="inlineStr">
        <is>
          <t>17/03/2026</t>
        </is>
      </c>
      <c r="K7549" t="inlineStr">
        <is>
          <t>N/A</t>
        </is>
      </c>
      <c r="L7549" t="inlineStr">
        <is>
          <t>English, Communications, Collaboration, Customer Focus, Digital Marketing</t>
        </is>
      </c>
      <c r="M7549" t="inlineStr">
        <is>
          <t>Bonus, Healthcare Plan, Training</t>
        </is>
      </c>
      <c r="N7549" s="8">
        <f>HYPERLINK("https://www.vietnamworks.com/senior-officer-digital-marketing-and-communication-agricultural-solutions-2018724-jv","Xem chi tiết")</f>
        <v/>
      </c>
    </row>
    <row r="7550">
      <c r="B7550" s="9" t="n">
        <v>7548</v>
      </c>
      <c r="C7550" s="10" t="inlineStr">
        <is>
          <t>(HN/HCM) Senior Frontend Engineer (JavaScript (ES6+))</t>
        </is>
      </c>
      <c r="D7550" s="10" t="inlineStr">
        <is>
          <t>One Mount</t>
        </is>
      </c>
      <c r="E7550" s="10" t="inlineStr">
        <is>
          <t>$$ 1,500-2,500 /tháng</t>
        </is>
      </c>
      <c r="F7550" s="10" t="inlineStr">
        <is>
          <t>Hồ Chí Minh, Hà Nội</t>
        </is>
      </c>
      <c r="G7550" s="10" t="inlineStr">
        <is>
          <t>Nhân viên</t>
        </is>
      </c>
      <c r="H7550" s="10" t="inlineStr">
        <is>
          <t>05/03/2026</t>
        </is>
      </c>
      <c r="I7550" s="10" t="inlineStr">
        <is>
          <t>04/04/2026</t>
        </is>
      </c>
      <c r="J7550" s="10" t="inlineStr">
        <is>
          <t>17/03/2026</t>
        </is>
      </c>
      <c r="K7550" s="10" t="inlineStr">
        <is>
          <t>N/A</t>
        </is>
      </c>
      <c r="L7550" s="10" t="inlineStr">
        <is>
          <t>JavaScript, NextJs, ReactJS, Typescript, Frontend Engineer</t>
        </is>
      </c>
      <c r="M7550" s="10" t="inlineStr">
        <is>
          <t>Bonus, Healthcare Plan, Paid Leave, Others</t>
        </is>
      </c>
      <c r="N7550" s="11">
        <f>HYPERLINK("https://www.vietnamworks.com/-hnhcm-senior-frontend-engineer-javascript-es6-2018737-jv","Xem chi tiết")</f>
        <v/>
      </c>
      <c r="O7550" s="10" t="n"/>
    </row>
    <row r="7551">
      <c r="B7551" s="7" t="n">
        <v>7549</v>
      </c>
      <c r="C7551" t="inlineStr">
        <is>
          <t>Kiến Trúc Sư Thiết Kế Ý Tưởng (20-30Tr/tháng, Thỏa Thuận Theo Năng Lực Ứng Viên)</t>
        </is>
      </c>
      <c r="D7551" t="inlineStr">
        <is>
          <t>Công Ty Cổ Phần Tư Vấn Xây Dựng Thành Nam</t>
        </is>
      </c>
      <c r="E7551" t="inlineStr">
        <is>
          <t>20tr-30tr ₫/tháng</t>
        </is>
      </c>
      <c r="F7551" t="inlineStr">
        <is>
          <t>Hà Nội</t>
        </is>
      </c>
      <c r="G7551" t="inlineStr">
        <is>
          <t>Nhân viên</t>
        </is>
      </c>
      <c r="H7551" t="inlineStr">
        <is>
          <t>05/03/2026</t>
        </is>
      </c>
      <c r="I7551" t="inlineStr">
        <is>
          <t>04/04/2026</t>
        </is>
      </c>
      <c r="J7551" t="inlineStr">
        <is>
          <t>17/03/2026</t>
        </is>
      </c>
      <c r="K7551" t="inlineStr">
        <is>
          <t>N/A</t>
        </is>
      </c>
      <c r="L7551" t="inlineStr">
        <is>
          <t>AutoCAD, 3D Concept Design, Concept Creator, Sketchup, Thiết Kế Kiến Trúc</t>
        </is>
      </c>
      <c r="M7551" t="inlineStr">
        <is>
          <t>Bonus, Healthcare Plan, Training, Others</t>
        </is>
      </c>
      <c r="N7551" s="8">
        <f>HYPERLINK("https://www.vietnamworks.com/kien-truc-su-thiet-ke-y-tuong-20-30tr-thang-thoa-thuan-theo-nang-luc-ung-vien-2018734-jv","Xem chi tiết")</f>
        <v/>
      </c>
    </row>
    <row r="7552">
      <c r="B7552" s="9" t="n">
        <v>7550</v>
      </c>
      <c r="C7552" s="10" t="inlineStr">
        <is>
          <t>Chuyên Viên Cao Cấp Nghiệp Vụ Quỹ (SSIAM)</t>
        </is>
      </c>
      <c r="D7552" s="10" t="inlineStr">
        <is>
          <t>Công Ty Cổ Phần Chứng Khoán SSI</t>
        </is>
      </c>
      <c r="E7552" s="10" t="inlineStr">
        <is>
          <t>Thương lượng</t>
        </is>
      </c>
      <c r="F7552" s="10" t="inlineStr">
        <is>
          <t>Hà Nội</t>
        </is>
      </c>
      <c r="G7552" s="10" t="inlineStr">
        <is>
          <t>Nhân viên</t>
        </is>
      </c>
      <c r="H7552" s="10" t="inlineStr">
        <is>
          <t>05/03/2026</t>
        </is>
      </c>
      <c r="I7552" s="10" t="inlineStr">
        <is>
          <t>04/04/2026</t>
        </is>
      </c>
      <c r="J7552" s="10" t="inlineStr">
        <is>
          <t>17/03/2026</t>
        </is>
      </c>
      <c r="K7552" s="10" t="inlineStr">
        <is>
          <t>N/A</t>
        </is>
      </c>
      <c r="L7552" s="10" t="inlineStr">
        <is>
          <t>Chứng khoán, Giao Dịch Chứng Khoán, Làm việc nhóm, Quản Lý Quỹ Đầu Tư, Tiếng Anh</t>
        </is>
      </c>
      <c r="M7552" s="10" t="inlineStr">
        <is>
          <t>Bonus, Healthcare Plan, Training</t>
        </is>
      </c>
      <c r="N7552" s="11">
        <f>HYPERLINK("https://www.vietnamworks.com/chuyen-vien-cao-cap-nghiep-vu-quy-ssiam-2018739-jv","Xem chi tiết")</f>
        <v/>
      </c>
      <c r="O7552" s="10" t="n"/>
    </row>
    <row r="7553">
      <c r="B7553" s="7" t="n">
        <v>7551</v>
      </c>
      <c r="C7553" t="inlineStr">
        <is>
          <t>Chuyên Viên Sales Marketing (Ban P &amp; M)</t>
        </is>
      </c>
      <c r="D7553" t="inlineStr">
        <is>
          <t>Công Ty Cổ Phần Hàng Hải Vsico</t>
        </is>
      </c>
      <c r="E7553" t="inlineStr">
        <is>
          <t>20tr-30tr ₫/tháng</t>
        </is>
      </c>
      <c r="F7553" t="inlineStr">
        <is>
          <t>Hà Nội</t>
        </is>
      </c>
      <c r="G7553" t="inlineStr">
        <is>
          <t>Nhân viên</t>
        </is>
      </c>
      <c r="H7553" t="inlineStr">
        <is>
          <t>05/03/2026</t>
        </is>
      </c>
      <c r="I7553" t="inlineStr">
        <is>
          <t>04/04/2026</t>
        </is>
      </c>
      <c r="J7553" t="inlineStr">
        <is>
          <t>17/03/2026</t>
        </is>
      </c>
      <c r="K7553" t="inlineStr">
        <is>
          <t>N/A</t>
        </is>
      </c>
      <c r="L7553" t="inlineStr">
        <is>
          <t>B2B Sales, Nghiên Cứu Thị Trường, Phát Triển Khách Hàng, Phát Triển Kinh Doanh, Tư Vấn Giải Pháp</t>
        </is>
      </c>
      <c r="M7553" t="inlineStr">
        <is>
          <t>Bonus, Healthcare Plan, Training, Team Activities, Canteen, Others</t>
        </is>
      </c>
      <c r="N7553" s="8">
        <f>HYPERLINK("https://www.vietnamworks.com/chuyen-vien-sales-marketing-ban-p-m-2018741-jv","Xem chi tiết")</f>
        <v/>
      </c>
    </row>
    <row r="7554">
      <c r="B7554" s="9" t="n">
        <v>7552</v>
      </c>
      <c r="C7554" s="10" t="inlineStr">
        <is>
          <t>Nhân Viên Tư Vấn Bán Hàng</t>
        </is>
      </c>
      <c r="D7554" s="10" t="inlineStr">
        <is>
          <t>Decathlon Vietnam</t>
        </is>
      </c>
      <c r="E7554" s="10" t="inlineStr">
        <is>
          <t>Thương lượng</t>
        </is>
      </c>
      <c r="F7554" s="10" t="inlineStr">
        <is>
          <t>Hà Nội</t>
        </is>
      </c>
      <c r="G7554" s="10" t="inlineStr">
        <is>
          <t>Mới Tốt Nghiệp</t>
        </is>
      </c>
      <c r="H7554" s="10" t="inlineStr">
        <is>
          <t>05/03/2026</t>
        </is>
      </c>
      <c r="I7554" s="10" t="inlineStr">
        <is>
          <t>04/04/2026</t>
        </is>
      </c>
      <c r="J7554" s="10" t="inlineStr">
        <is>
          <t>17/03/2026</t>
        </is>
      </c>
      <c r="K7554" s="10" t="inlineStr">
        <is>
          <t>N/A</t>
        </is>
      </c>
      <c r="L7554" s="10" t="inlineStr">
        <is>
          <t>Sales, Customer Service</t>
        </is>
      </c>
      <c r="M7554" s="10" t="inlineStr">
        <is>
          <t>Bonus, Healthcare Plan, Paid Leave</t>
        </is>
      </c>
      <c r="N7554" s="11">
        <f>HYPERLINK("https://www.vietnamworks.com/nhan-vien-tu-van-ban-hang-190-2018748-jv","Xem chi tiết")</f>
        <v/>
      </c>
      <c r="O7554" s="10" t="n"/>
    </row>
    <row r="7555">
      <c r="B7555" s="7" t="n">
        <v>7553</v>
      </c>
      <c r="C7555" t="inlineStr">
        <is>
          <t>Korean IT Comtor</t>
        </is>
      </c>
      <c r="D7555" t="inlineStr">
        <is>
          <t>Công ty TNHH SR Group</t>
        </is>
      </c>
      <c r="E7555" t="inlineStr">
        <is>
          <t>Thương lượng</t>
        </is>
      </c>
      <c r="F7555" t="inlineStr">
        <is>
          <t>Hồ Chí Minh</t>
        </is>
      </c>
      <c r="G7555" t="inlineStr">
        <is>
          <t>Nhân viên</t>
        </is>
      </c>
      <c r="H7555" t="inlineStr">
        <is>
          <t>05/03/2026</t>
        </is>
      </c>
      <c r="I7555" t="inlineStr">
        <is>
          <t>04/04/2026</t>
        </is>
      </c>
      <c r="J7555" t="inlineStr">
        <is>
          <t>17/03/2026</t>
        </is>
      </c>
      <c r="K7555" t="inlineStr">
        <is>
          <t>N/A</t>
        </is>
      </c>
      <c r="L7555" t="inlineStr">
        <is>
          <t>Biên Phiên Dịch, Blockchain, Fintech, Hỗ Trợ Kinh Doanh, Tiếng Hàn</t>
        </is>
      </c>
      <c r="M7555" t="inlineStr">
        <is>
          <t>Bonus</t>
        </is>
      </c>
      <c r="N7555" s="8">
        <f>HYPERLINK("https://www.vietnamworks.com/korean-it-comtor--2018745-jv","Xem chi tiết")</f>
        <v/>
      </c>
    </row>
    <row r="7556">
      <c r="B7556" s="9" t="n">
        <v>7554</v>
      </c>
      <c r="C7556" s="10" t="inlineStr">
        <is>
          <t xml:space="preserve">BIM Engineer </t>
        </is>
      </c>
      <c r="D7556" s="10" t="inlineStr">
        <is>
          <t>gbc engineers Vietnam LLC</t>
        </is>
      </c>
      <c r="E7556" s="10" t="inlineStr">
        <is>
          <t>Thương lượng</t>
        </is>
      </c>
      <c r="F7556" s="10" t="inlineStr">
        <is>
          <t>Hồ Chí Minh</t>
        </is>
      </c>
      <c r="G7556" s="10" t="inlineStr">
        <is>
          <t>Nhân viên</t>
        </is>
      </c>
      <c r="H7556" s="10" t="inlineStr">
        <is>
          <t>05/03/2026</t>
        </is>
      </c>
      <c r="I7556" s="10" t="inlineStr">
        <is>
          <t>04/04/2026</t>
        </is>
      </c>
      <c r="J7556" s="10" t="inlineStr">
        <is>
          <t>17/03/2026</t>
        </is>
      </c>
      <c r="K7556" s="10" t="inlineStr">
        <is>
          <t>N/A</t>
        </is>
      </c>
      <c r="L7556" s="10" t="inlineStr">
        <is>
          <t>Civil Engineering</t>
        </is>
      </c>
      <c r="M7556" s="10" t="inlineStr">
        <is>
          <t>Bonus, Training, Others</t>
        </is>
      </c>
      <c r="N7556" s="11">
        <f>HYPERLINK("https://www.vietnamworks.com/bim-engineer-2018751-jv","Xem chi tiết")</f>
        <v/>
      </c>
      <c r="O7556" s="10" t="n"/>
    </row>
    <row r="7557">
      <c r="B7557" s="7" t="n">
        <v>7555</v>
      </c>
      <c r="C7557" t="inlineStr">
        <is>
          <t>Key Account Manager (KAM) – Kênh Foodservice</t>
        </is>
      </c>
      <c r="D7557" t="inlineStr">
        <is>
          <t>CÔNG TY TNHH FOBE</t>
        </is>
      </c>
      <c r="E7557" t="inlineStr">
        <is>
          <t>Thương lượng</t>
        </is>
      </c>
      <c r="F7557" t="inlineStr">
        <is>
          <t>Hồ Chí Minh</t>
        </is>
      </c>
      <c r="G7557" t="inlineStr">
        <is>
          <t>Nhân viên</t>
        </is>
      </c>
      <c r="H7557" t="inlineStr">
        <is>
          <t>05/03/2026</t>
        </is>
      </c>
      <c r="I7557" t="inlineStr">
        <is>
          <t>04/04/2026</t>
        </is>
      </c>
      <c r="J7557" t="inlineStr">
        <is>
          <t>17/03/2026</t>
        </is>
      </c>
      <c r="K7557" t="inlineStr">
        <is>
          <t>N/A</t>
        </is>
      </c>
      <c r="L7557" t="inlineStr">
        <is>
          <t>Horeca, Sales B2B, KAM - Sales &amp; Marketing, F&amp;B, key account</t>
        </is>
      </c>
      <c r="M7557" t="inlineStr">
        <is>
          <t>Bonus, Healthcare Plan, Training, Travel Opportunities, Others</t>
        </is>
      </c>
      <c r="N7557" s="8">
        <f>HYPERLINK("https://www.vietnamworks.com/key-account-manager-kam-kenh-foodservice-2018756-jv","Xem chi tiết")</f>
        <v/>
      </c>
    </row>
    <row r="7558">
      <c r="B7558" s="9" t="n">
        <v>7556</v>
      </c>
      <c r="C7558" s="10" t="inlineStr">
        <is>
          <t>Kỹ Sư Kiểm Thử Phần Mềm/ QA Engineer</t>
        </is>
      </c>
      <c r="D7558" s="10" t="inlineStr">
        <is>
          <t>Galaxy Digital Holdings Co., Ltd (GH)</t>
        </is>
      </c>
      <c r="E7558" s="10" t="inlineStr">
        <is>
          <t>20tr-40tr ₫/tháng</t>
        </is>
      </c>
      <c r="F7558" s="10" t="inlineStr">
        <is>
          <t>Hồ Chí Minh</t>
        </is>
      </c>
      <c r="G7558" s="10" t="inlineStr">
        <is>
          <t>Nhân viên</t>
        </is>
      </c>
      <c r="H7558" s="10" t="inlineStr">
        <is>
          <t>05/03/2026</t>
        </is>
      </c>
      <c r="I7558" s="10" t="inlineStr">
        <is>
          <t>04/04/2026</t>
        </is>
      </c>
      <c r="J7558" s="10" t="inlineStr">
        <is>
          <t>17/03/2026</t>
        </is>
      </c>
      <c r="K7558" s="10" t="inlineStr">
        <is>
          <t>N/A</t>
        </is>
      </c>
      <c r="L7558" s="10" t="inlineStr">
        <is>
          <t>Analytical Thinking, API Testing, Automation Testing, Bug Tracking, Manual Testing</t>
        </is>
      </c>
      <c r="M7558" s="10" t="inlineStr">
        <is>
          <t>Bonus, Healthcare Plan, Paid Leave, Laptop, Team Activities, Vouchers</t>
        </is>
      </c>
      <c r="N7558" s="11">
        <f>HYPERLINK("https://www.vietnamworks.com/ky-su-kiem-thu-phan-mem-qa-engineer-2018750-jv","Xem chi tiết")</f>
        <v/>
      </c>
      <c r="O7558" s="10" t="n"/>
    </row>
    <row r="7559">
      <c r="B7559" s="7" t="n">
        <v>7557</v>
      </c>
      <c r="C7559" t="inlineStr">
        <is>
          <t>Short Video Creator</t>
        </is>
      </c>
      <c r="D7559" t="inlineStr">
        <is>
          <t>Xindi</t>
        </is>
      </c>
      <c r="E7559" t="inlineStr">
        <is>
          <t>$$ 400-800 /tháng</t>
        </is>
      </c>
      <c r="F7559" t="inlineStr">
        <is>
          <t>Hồ Chí Minh</t>
        </is>
      </c>
      <c r="G7559" t="inlineStr">
        <is>
          <t>Nhân viên</t>
        </is>
      </c>
      <c r="H7559" t="inlineStr">
        <is>
          <t>05/03/2026</t>
        </is>
      </c>
      <c r="I7559" t="inlineStr">
        <is>
          <t>04/04/2026</t>
        </is>
      </c>
      <c r="J7559" t="inlineStr">
        <is>
          <t>17/03/2026</t>
        </is>
      </c>
      <c r="K7559" t="inlineStr">
        <is>
          <t>N/A</t>
        </is>
      </c>
      <c r="L7559" t="inlineStr">
        <is>
          <t>Ngoại hình tốt, Diễn Xuất Video, Quản Lý Mạng Xã Hội, Editor Video, Diễn Đạt Lưu Loát</t>
        </is>
      </c>
      <c r="M7559" t="inlineStr">
        <is>
          <t>Bonus, Healthcare Plan, Training</t>
        </is>
      </c>
      <c r="N7559" s="8">
        <f>HYPERLINK("https://www.vietnamworks.com/short-video-creator--2018754-jv","Xem chi tiết")</f>
        <v/>
      </c>
    </row>
    <row r="7560">
      <c r="B7560" s="9" t="n">
        <v>7558</v>
      </c>
      <c r="C7560" s="10" t="inlineStr">
        <is>
          <t>Nhân Viên Kinh Doanh(Thiết Bị Công Nghệ)- Sales Engineer – Smart Building Solutions</t>
        </is>
      </c>
      <c r="D7560" s="10" t="inlineStr">
        <is>
          <t>công ty cổ phần phân phối công nghệ Ngô Gia</t>
        </is>
      </c>
      <c r="E7560" s="10" t="inlineStr">
        <is>
          <t>$$ 500-2,000 /tháng</t>
        </is>
      </c>
      <c r="F7560" s="10" t="inlineStr">
        <is>
          <t>Hồ Chí Minh</t>
        </is>
      </c>
      <c r="G7560" s="10" t="inlineStr">
        <is>
          <t>Nhân viên</t>
        </is>
      </c>
      <c r="H7560" s="10" t="inlineStr">
        <is>
          <t>05/03/2026</t>
        </is>
      </c>
      <c r="I7560" s="10" t="inlineStr">
        <is>
          <t>04/04/2026</t>
        </is>
      </c>
      <c r="J7560" s="10" t="inlineStr">
        <is>
          <t>17/03/2026</t>
        </is>
      </c>
      <c r="K7560" s="10" t="inlineStr">
        <is>
          <t>N/A</t>
        </is>
      </c>
      <c r="L7560" s="10" t="inlineStr">
        <is>
          <t>Kỹ sư, Sale &amp; Business development, Sales Kỹ Thuật, sales engineer, Nhân viên kinh doanh</t>
        </is>
      </c>
      <c r="M7560" s="10" t="inlineStr">
        <is>
          <t>Training, Others</t>
        </is>
      </c>
      <c r="N7560" s="11">
        <f>HYPERLINK("https://www.vietnamworks.com/nhan-vien-kinh-doanh-thiet-bi-cong-nghe-sales-engineer-smart-building-solutions-2018768-jv","Xem chi tiết")</f>
        <v/>
      </c>
      <c r="O7560" s="10" t="n"/>
    </row>
    <row r="7561">
      <c r="B7561" s="7" t="n">
        <v>7559</v>
      </c>
      <c r="C7561" t="inlineStr">
        <is>
          <t>Chỉ Huy Trưởng Công Trình</t>
        </is>
      </c>
      <c r="D7561" t="inlineStr">
        <is>
          <t>Công Ty TNHH Xây Dựng Solutions</t>
        </is>
      </c>
      <c r="E7561" t="inlineStr">
        <is>
          <t>Thương lượng</t>
        </is>
      </c>
      <c r="F7561" t="inlineStr">
        <is>
          <t>Hồ Chí Minh</t>
        </is>
      </c>
      <c r="G7561" t="inlineStr">
        <is>
          <t>Giám Đốc và Cấp Cao Hơn</t>
        </is>
      </c>
      <c r="H7561" t="inlineStr">
        <is>
          <t>05/03/2026</t>
        </is>
      </c>
      <c r="I7561" t="inlineStr">
        <is>
          <t>04/04/2026</t>
        </is>
      </c>
      <c r="J7561" t="inlineStr">
        <is>
          <t>17/03/2026</t>
        </is>
      </c>
      <c r="K7561" t="inlineStr">
        <is>
          <t>N/A</t>
        </is>
      </c>
      <c r="L7561" t="inlineStr">
        <is>
          <t>Quản Lý Dự Án, Lập Kế Hoạch, Giám Sát Xây Dựng, Shop Drawing, Xây Dựng</t>
        </is>
      </c>
      <c r="M7561" t="inlineStr">
        <is>
          <t>Bonus, Healthcare Plan, Paid Leave, Others</t>
        </is>
      </c>
      <c r="N7561" s="8">
        <f>HYPERLINK("https://www.vietnamworks.com/chi-huy-truong-cong-trinh-2018765-jv","Xem chi tiết")</f>
        <v/>
      </c>
    </row>
    <row r="7562">
      <c r="B7562" s="9" t="n">
        <v>7560</v>
      </c>
      <c r="C7562" s="10" t="inlineStr">
        <is>
          <t>Senior Project Management Office (PMO)</t>
        </is>
      </c>
      <c r="D7562" s="10" t="inlineStr">
        <is>
          <t>Galaxy Digital Holdings Co., Ltd (GH)</t>
        </is>
      </c>
      <c r="E7562" s="10" t="inlineStr">
        <is>
          <t>Thương lượng</t>
        </is>
      </c>
      <c r="F7562" s="10" t="inlineStr">
        <is>
          <t>Hồ Chí Minh</t>
        </is>
      </c>
      <c r="G7562" s="10" t="inlineStr">
        <is>
          <t>Nhân viên</t>
        </is>
      </c>
      <c r="H7562" s="10" t="inlineStr">
        <is>
          <t>05/03/2026</t>
        </is>
      </c>
      <c r="I7562" s="10" t="inlineStr">
        <is>
          <t>04/04/2026</t>
        </is>
      </c>
      <c r="J7562" s="10" t="inlineStr">
        <is>
          <t>17/03/2026</t>
        </is>
      </c>
      <c r="K7562" s="10" t="inlineStr">
        <is>
          <t>N/A</t>
        </is>
      </c>
      <c r="L7562" s="10" t="inlineStr">
        <is>
          <t>Analytical Skills, Communication Skills, Delivery Planning, Project Management, Stakeholder Management</t>
        </is>
      </c>
      <c r="M7562" s="10" t="inlineStr">
        <is>
          <t>Bonus, Healthcare Plan, Paid Leave, Laptop, Others</t>
        </is>
      </c>
      <c r="N7562" s="11">
        <f>HYPERLINK("https://www.vietnamworks.com/senior-project-management-office-pmo-2018762-jv","Xem chi tiết")</f>
        <v/>
      </c>
      <c r="O7562" s="10" t="n"/>
    </row>
    <row r="7563">
      <c r="B7563" s="7" t="n">
        <v>7561</v>
      </c>
      <c r="C7563" t="inlineStr">
        <is>
          <t>(HN/HCM) Senior Automation/Manual Test</t>
        </is>
      </c>
      <c r="D7563" t="inlineStr">
        <is>
          <t>One Mount</t>
        </is>
      </c>
      <c r="E7563" t="inlineStr">
        <is>
          <t>$$ 1,500-2,500 /tháng</t>
        </is>
      </c>
      <c r="F7563" t="inlineStr">
        <is>
          <t>Hồ Chí Minh, Hà Nội</t>
        </is>
      </c>
      <c r="G7563" t="inlineStr">
        <is>
          <t>Nhân viên</t>
        </is>
      </c>
      <c r="H7563" t="inlineStr">
        <is>
          <t>05/03/2026</t>
        </is>
      </c>
      <c r="I7563" t="inlineStr">
        <is>
          <t>04/04/2026</t>
        </is>
      </c>
      <c r="J7563" t="inlineStr">
        <is>
          <t>17/03/2026</t>
        </is>
      </c>
      <c r="K7563" t="inlineStr">
        <is>
          <t>N/A</t>
        </is>
      </c>
      <c r="L7563" t="inlineStr">
        <is>
          <t>Data Structure, Java, NoSQL, Oop, RESTful API</t>
        </is>
      </c>
      <c r="M7563" t="inlineStr">
        <is>
          <t>Bonus, Healthcare Plan, Paid Leave</t>
        </is>
      </c>
      <c r="N7563" s="8">
        <f>HYPERLINK("https://www.vietnamworks.com/-hnhcm-senior-automationmanual-test-2018749-jv","Xem chi tiết")</f>
        <v/>
      </c>
    </row>
    <row r="7564">
      <c r="B7564" s="9" t="n">
        <v>7562</v>
      </c>
      <c r="C7564" s="10" t="inlineStr">
        <is>
          <t>Nhân Viên Kinh Doanh (Sales Executive) – Kênh Bakery/ Food Service</t>
        </is>
      </c>
      <c r="D7564" s="10" t="inlineStr">
        <is>
          <t>CÔNG TY TNHH FOBE</t>
        </is>
      </c>
      <c r="E7564" s="10" t="inlineStr">
        <is>
          <t>Thương lượng</t>
        </is>
      </c>
      <c r="F7564" s="10" t="inlineStr">
        <is>
          <t>Hồ Chí Minh</t>
        </is>
      </c>
      <c r="G7564" s="10" t="inlineStr">
        <is>
          <t>Nhân viên</t>
        </is>
      </c>
      <c r="H7564" s="10" t="inlineStr">
        <is>
          <t>05/03/2026</t>
        </is>
      </c>
      <c r="I7564" s="10" t="inlineStr">
        <is>
          <t>04/04/2026</t>
        </is>
      </c>
      <c r="J7564" s="10" t="inlineStr">
        <is>
          <t>17/03/2026</t>
        </is>
      </c>
      <c r="K7564" s="10" t="inlineStr">
        <is>
          <t>N/A</t>
        </is>
      </c>
      <c r="L7564" s="10" t="inlineStr">
        <is>
          <t>Kinh Doanh Thực Phẩm, Công Nghệ Thực Phẩm, Kinh Doanh, Sales Planning, Tư Vấn Bán Hàng</t>
        </is>
      </c>
      <c r="M7564" s="10" t="inlineStr">
        <is>
          <t>Bonus, Healthcare Plan, Training</t>
        </is>
      </c>
      <c r="N7564" s="11">
        <f>HYPERLINK("https://www.vietnamworks.com/nhan-vien-kinh-doanh-sales-executive-kenh-bakery-food-service-2018753-jv","Xem chi tiết")</f>
        <v/>
      </c>
      <c r="O7564" s="10" t="n"/>
    </row>
    <row r="7565">
      <c r="B7565" s="7" t="n">
        <v>7563</v>
      </c>
      <c r="C7565" t="inlineStr">
        <is>
          <t>Giám Đốc Phòng Định Giá Tài Sản</t>
        </is>
      </c>
      <c r="D7565" t="inlineStr">
        <is>
          <t>Ngân Hàng TMCP Việt Nam Thương Tín (Vietbank)</t>
        </is>
      </c>
      <c r="E7565" t="inlineStr">
        <is>
          <t>Thương lượng</t>
        </is>
      </c>
      <c r="F7565" t="inlineStr">
        <is>
          <t>Hồ Chí Minh</t>
        </is>
      </c>
      <c r="G7565" t="inlineStr">
        <is>
          <t>Giám Đốc và Cấp Cao Hơn</t>
        </is>
      </c>
      <c r="H7565" t="inlineStr">
        <is>
          <t>05/03/2026</t>
        </is>
      </c>
      <c r="I7565" t="inlineStr">
        <is>
          <t>04/04/2026</t>
        </is>
      </c>
      <c r="J7565" t="inlineStr">
        <is>
          <t>17/03/2026</t>
        </is>
      </c>
      <c r="K7565" t="inlineStr">
        <is>
          <t>N/A</t>
        </is>
      </c>
      <c r="L7565" t="inlineStr">
        <is>
          <t>Asset Valuation, Banking Regulation</t>
        </is>
      </c>
      <c r="M7565" t="inlineStr">
        <is>
          <t>Bonus, Healthcare Plan, Others</t>
        </is>
      </c>
      <c r="N7565" s="8">
        <f>HYPERLINK("https://www.vietnamworks.com/giam-doc-phong-dinh-gia-tai-san-1-2018766-jv","Xem chi tiết")</f>
        <v/>
      </c>
    </row>
    <row r="7566">
      <c r="B7566" s="9" t="n">
        <v>7564</v>
      </c>
      <c r="C7566" s="10" t="inlineStr">
        <is>
          <t>Chuyên Viên Hạ Tầng (Network/ Security)</t>
        </is>
      </c>
      <c r="D7566" s="10" t="inlineStr">
        <is>
          <t>Công Ty Cổ Phần Tin Học Viễn Thông Petrolimex (PIACOM)</t>
        </is>
      </c>
      <c r="E7566" s="10" t="inlineStr">
        <is>
          <t>27tr-37tr ₫/tháng</t>
        </is>
      </c>
      <c r="F7566" s="10" t="inlineStr">
        <is>
          <t>Hà Nội</t>
        </is>
      </c>
      <c r="G7566" s="10" t="inlineStr">
        <is>
          <t>Nhân viên</t>
        </is>
      </c>
      <c r="H7566" s="10" t="inlineStr">
        <is>
          <t>05/03/2026</t>
        </is>
      </c>
      <c r="I7566" s="10" t="inlineStr">
        <is>
          <t>04/04/2026</t>
        </is>
      </c>
      <c r="J7566" s="10" t="inlineStr">
        <is>
          <t>17/03/2026</t>
        </is>
      </c>
      <c r="K7566" s="10" t="inlineStr">
        <is>
          <t>N/A</t>
        </is>
      </c>
      <c r="L7566" s="10" t="inlineStr">
        <is>
          <t>Quản Trị Mạng Lan, Network Troubleshooting, Firewall, WAN, CCNP</t>
        </is>
      </c>
      <c r="M7566" s="10" t="inlineStr">
        <is>
          <t>Paid Leave, Others</t>
        </is>
      </c>
      <c r="N7566" s="11">
        <f>HYPERLINK("https://www.vietnamworks.com/chuyen-vien-ha-tang-network-security-2018759-jv","Xem chi tiết")</f>
        <v/>
      </c>
      <c r="O7566" s="10" t="n"/>
    </row>
    <row r="7567">
      <c r="B7567" s="7" t="n">
        <v>7565</v>
      </c>
      <c r="C7567" t="inlineStr">
        <is>
          <t>Kế Toán</t>
        </is>
      </c>
      <c r="D7567" t="inlineStr">
        <is>
          <t>VietnamWorks Client</t>
        </is>
      </c>
      <c r="E7567" t="inlineStr">
        <is>
          <t>Thương lượng</t>
        </is>
      </c>
      <c r="F7567" t="inlineStr">
        <is>
          <t>Hồ Chí Minh</t>
        </is>
      </c>
      <c r="G7567" t="inlineStr">
        <is>
          <t>Nhân viên</t>
        </is>
      </c>
      <c r="H7567" t="inlineStr">
        <is>
          <t>05/03/2026</t>
        </is>
      </c>
      <c r="I7567" t="inlineStr">
        <is>
          <t>04/04/2026</t>
        </is>
      </c>
      <c r="J7567" t="inlineStr">
        <is>
          <t>17/03/2026</t>
        </is>
      </c>
      <c r="K7567" t="inlineStr">
        <is>
          <t>N/A</t>
        </is>
      </c>
      <c r="L7567" t="inlineStr">
        <is>
          <t>Theo Dõi Công Nợ, Công Nợ, Kế Toán, Tài Chính, Chứng Từ Thanh Toán</t>
        </is>
      </c>
      <c r="M7567" t="inlineStr">
        <is>
          <t>Bonus, Healthcare Plan, Others</t>
        </is>
      </c>
      <c r="N7567" s="8">
        <f>HYPERLINK("https://www.vietnamworks.com/ke-toan--2018767-jv","Xem chi tiết")</f>
        <v/>
      </c>
    </row>
    <row r="7568">
      <c r="B7568" s="9" t="n">
        <v>7566</v>
      </c>
      <c r="C7568" s="10" t="inlineStr">
        <is>
          <t>Facility &amp; Maintenance Engineer</t>
        </is>
      </c>
      <c r="D7568" s="10" t="inlineStr">
        <is>
          <t>Avery Dennison Vietnam</t>
        </is>
      </c>
      <c r="E7568" s="10" t="inlineStr">
        <is>
          <t>Thương lượng</t>
        </is>
      </c>
      <c r="F7568" s="10" t="inlineStr">
        <is>
          <t>Long An</t>
        </is>
      </c>
      <c r="G7568" s="10" t="inlineStr">
        <is>
          <t>Nhân viên</t>
        </is>
      </c>
      <c r="H7568" s="10" t="inlineStr">
        <is>
          <t>05/03/2026</t>
        </is>
      </c>
      <c r="I7568" s="10" t="inlineStr">
        <is>
          <t>04/04/2026</t>
        </is>
      </c>
      <c r="J7568" s="10" t="inlineStr">
        <is>
          <t>17/03/2026</t>
        </is>
      </c>
      <c r="K7568" s="10" t="inlineStr">
        <is>
          <t>N/A</t>
        </is>
      </c>
      <c r="L7568" s="10" t="inlineStr">
        <is>
          <t>MEP Engineering, Maintenance Engineering, Maintenance Utility, Industrial Factory Supervision, Industrial Printing</t>
        </is>
      </c>
      <c r="M7568" s="10" t="inlineStr">
        <is>
          <t>Bonus, Healthcare Plan, Paid Leave</t>
        </is>
      </c>
      <c r="N7568" s="11">
        <f>HYPERLINK("https://www.vietnamworks.com/facility-maintenance-engineer--2018761-jv","Xem chi tiết")</f>
        <v/>
      </c>
      <c r="O7568" s="10" t="n"/>
    </row>
    <row r="7569">
      <c r="B7569" s="7" t="n">
        <v>7567</v>
      </c>
      <c r="C7569" t="inlineStr">
        <is>
          <t>Kỹ Sư Thiết Kế Cơ Khí R&amp;D (Sản Phẩm, Linh Kiện, Máy Tự Động) - Upto 35 Triệu</t>
        </is>
      </c>
      <c r="D7569" t="inlineStr">
        <is>
          <t>Tập Đoàn Karofi Holding</t>
        </is>
      </c>
      <c r="E7569" t="inlineStr">
        <is>
          <t>15tr-35tr ₫/tháng</t>
        </is>
      </c>
      <c r="F7569" t="inlineStr">
        <is>
          <t>Hưng Yên</t>
        </is>
      </c>
      <c r="G7569" t="inlineStr">
        <is>
          <t>Nhân viên</t>
        </is>
      </c>
      <c r="H7569" t="inlineStr">
        <is>
          <t>05/03/2026</t>
        </is>
      </c>
      <c r="I7569" t="inlineStr">
        <is>
          <t>04/04/2026</t>
        </is>
      </c>
      <c r="J7569" t="inlineStr">
        <is>
          <t>17/03/2026</t>
        </is>
      </c>
      <c r="K7569" t="inlineStr">
        <is>
          <t>N/A</t>
        </is>
      </c>
      <c r="L7569" t="inlineStr">
        <is>
          <t>Thiết Kế Cơ Khí, Thiết Kế 2D, Chế Tạo Khuôn Nhựa, Tự Động Hóa, Cơ khí chế tạo máy</t>
        </is>
      </c>
      <c r="M7569" t="inlineStr">
        <is>
          <t>Bonus, Healthcare Plan, Paid Leave, Training, Laptop, Others</t>
        </is>
      </c>
      <c r="N7569" s="8">
        <f>HYPERLINK("https://www.vietnamworks.com/ky-su-thiet-ke-co-khi-randd-san-pham-linh-kien-may-tu-djong-upto-35-trieu-2018771-jv","Xem chi tiết")</f>
        <v/>
      </c>
    </row>
    <row r="7570">
      <c r="B7570" s="9" t="n">
        <v>7568</v>
      </c>
      <c r="C7570" s="10" t="inlineStr">
        <is>
          <t>Estimator/ Mechanical</t>
        </is>
      </c>
      <c r="D7570" s="10" t="inlineStr">
        <is>
          <t>MDC Precision Vietnam</t>
        </is>
      </c>
      <c r="E7570" s="10" t="inlineStr">
        <is>
          <t>Thương lượng</t>
        </is>
      </c>
      <c r="F7570" s="10" t="inlineStr">
        <is>
          <t>Hồ Chí Minh, Đồng Nai</t>
        </is>
      </c>
      <c r="G7570" s="10" t="inlineStr">
        <is>
          <t>Mới Tốt Nghiệp</t>
        </is>
      </c>
      <c r="H7570" s="10" t="inlineStr">
        <is>
          <t>05/03/2026</t>
        </is>
      </c>
      <c r="I7570" s="10" t="inlineStr">
        <is>
          <t>04/04/2026</t>
        </is>
      </c>
      <c r="J7570" s="10" t="inlineStr">
        <is>
          <t>17/03/2026</t>
        </is>
      </c>
      <c r="K7570" s="10" t="inlineStr">
        <is>
          <t>N/A</t>
        </is>
      </c>
      <c r="L7570" s="10" t="inlineStr">
        <is>
          <t>Cost Analysis, Project Planning, Quotation Preparation, SolidWorks, Technical Support</t>
        </is>
      </c>
      <c r="M7570" s="10" t="inlineStr">
        <is>
          <t>Bonus, Paid Leave, Awards, Others</t>
        </is>
      </c>
      <c r="N7570" s="11">
        <f>HYPERLINK("https://www.vietnamworks.com/estimator-mechanical-2018769-jv","Xem chi tiết")</f>
        <v/>
      </c>
      <c r="O7570" s="10" t="n"/>
    </row>
    <row r="7571">
      <c r="B7571" s="7" t="n">
        <v>7569</v>
      </c>
      <c r="C7571" t="inlineStr">
        <is>
          <t>Chuyên Viên Nghiên Cứu Thử Nghiệm/ DQA (R&amp;D Hóa Học/ Điện Tử/ Nhiệt Lạnh/ QA QC)</t>
        </is>
      </c>
      <c r="D7571" t="inlineStr">
        <is>
          <t>Tập Đoàn Karofi Holding</t>
        </is>
      </c>
      <c r="E7571" t="inlineStr">
        <is>
          <t>9tr-15tr ₫/tháng</t>
        </is>
      </c>
      <c r="F7571" t="inlineStr">
        <is>
          <t>Hưng Yên</t>
        </is>
      </c>
      <c r="G7571" t="inlineStr">
        <is>
          <t>Mới Tốt Nghiệp</t>
        </is>
      </c>
      <c r="H7571" t="inlineStr">
        <is>
          <t>05/03/2026</t>
        </is>
      </c>
      <c r="I7571" t="inlineStr">
        <is>
          <t>04/04/2026</t>
        </is>
      </c>
      <c r="J7571" t="inlineStr">
        <is>
          <t>17/03/2026</t>
        </is>
      </c>
      <c r="K7571" t="inlineStr">
        <is>
          <t>N/A</t>
        </is>
      </c>
      <c r="L7571" t="inlineStr">
        <is>
          <t>Điện Tử, Cơ Khí, QA, Thiết Bị Điện Lạnh, Thiết Bị Đo Lường</t>
        </is>
      </c>
      <c r="M7571" t="inlineStr">
        <is>
          <t>Bonus, Healthcare Plan, Paid Leave, Training, Laptop, Canteen, Others</t>
        </is>
      </c>
      <c r="N7571" s="8">
        <f>HYPERLINK("https://www.vietnamworks.com/chuyen-vien-nghien-cuu-thu-nghiem-dqa-randd-hoa-hoc-djien-tu-nhiet-lanh-qa-qc-2018770-jv","Xem chi tiết")</f>
        <v/>
      </c>
    </row>
    <row r="7572">
      <c r="B7572" s="9" t="n">
        <v>7570</v>
      </c>
      <c r="C7572" s="10" t="inlineStr">
        <is>
          <t>Data Engineer</t>
        </is>
      </c>
      <c r="D7572" s="10" t="inlineStr">
        <is>
          <t>Công Ty Cổ Phần Chứng Khoán SSI</t>
        </is>
      </c>
      <c r="E7572" s="10" t="inlineStr">
        <is>
          <t>Thương lượng</t>
        </is>
      </c>
      <c r="F7572" s="10" t="inlineStr">
        <is>
          <t>Hà Nội</t>
        </is>
      </c>
      <c r="G7572" s="10" t="inlineStr">
        <is>
          <t>Nhân viên</t>
        </is>
      </c>
      <c r="H7572" s="10" t="inlineStr">
        <is>
          <t>05/03/2026</t>
        </is>
      </c>
      <c r="I7572" s="10" t="inlineStr">
        <is>
          <t>04/04/2026</t>
        </is>
      </c>
      <c r="J7572" s="10" t="inlineStr">
        <is>
          <t>17/03/2026</t>
        </is>
      </c>
      <c r="K7572" s="10" t="inlineStr">
        <is>
          <t>N/A</t>
        </is>
      </c>
      <c r="L7572" s="10" t="inlineStr">
        <is>
          <t>Apache, Design Pattern, OOP, ReactJs, SQL</t>
        </is>
      </c>
      <c r="M7572" s="10" t="inlineStr">
        <is>
          <t>Bonus, Healthcare Plan, Training</t>
        </is>
      </c>
      <c r="N7572" s="11">
        <f>HYPERLINK("https://www.vietnamworks.com/data-engineer-2018744-jv","Xem chi tiết")</f>
        <v/>
      </c>
      <c r="O7572" s="10" t="n"/>
    </row>
    <row r="7573">
      <c r="B7573" s="7" t="n">
        <v>7571</v>
      </c>
      <c r="C7573" t="inlineStr">
        <is>
          <t>Quản Lý Công Nợ (TP.HCM)</t>
        </is>
      </c>
      <c r="D7573" t="inlineStr">
        <is>
          <t>Công Ty Cổ Phần Tập Đoàn Masterise</t>
        </is>
      </c>
      <c r="E7573" t="inlineStr">
        <is>
          <t>Thương lượng</t>
        </is>
      </c>
      <c r="F7573" t="inlineStr">
        <is>
          <t>Hồ Chí Minh</t>
        </is>
      </c>
      <c r="G7573" t="inlineStr">
        <is>
          <t>Nhân viên</t>
        </is>
      </c>
      <c r="H7573" t="inlineStr">
        <is>
          <t>05/03/2026</t>
        </is>
      </c>
      <c r="I7573" t="inlineStr">
        <is>
          <t>04/04/2026</t>
        </is>
      </c>
      <c r="J7573" t="inlineStr">
        <is>
          <t>17/03/2026</t>
        </is>
      </c>
      <c r="K7573" t="inlineStr">
        <is>
          <t>N/A</t>
        </is>
      </c>
      <c r="L7573" t="inlineStr">
        <is>
          <t>Excel, Kế Toán, Ngân hàng, Quản Lý Công Nợ, Tài Chính</t>
        </is>
      </c>
      <c r="M7573" t="inlineStr">
        <is>
          <t>Bonus, Healthcare Plan, Training, Others</t>
        </is>
      </c>
      <c r="N7573" s="8">
        <f>HYPERLINK("https://www.vietnamworks.com/quan-ly-cong-no-tp-hcm-2018783-jv","Xem chi tiết")</f>
        <v/>
      </c>
    </row>
    <row r="7574">
      <c r="B7574" s="9" t="n">
        <v>7572</v>
      </c>
      <c r="C7574" s="10" t="inlineStr">
        <is>
          <t>Kế Toán Giá Thành</t>
        </is>
      </c>
      <c r="D7574" s="10" t="inlineStr">
        <is>
          <t>Công ty TNHH Vinataba - Philip Morris</t>
        </is>
      </c>
      <c r="E7574" s="10" t="inlineStr">
        <is>
          <t>Thương lượng</t>
        </is>
      </c>
      <c r="F7574" s="10" t="inlineStr">
        <is>
          <t>Cần Thơ</t>
        </is>
      </c>
      <c r="G7574" s="10" t="inlineStr">
        <is>
          <t>Nhân viên</t>
        </is>
      </c>
      <c r="H7574" s="10" t="inlineStr">
        <is>
          <t>05/03/2026</t>
        </is>
      </c>
      <c r="I7574" s="10" t="inlineStr">
        <is>
          <t>04/04/2026</t>
        </is>
      </c>
      <c r="J7574" s="10" t="inlineStr">
        <is>
          <t>17/03/2026</t>
        </is>
      </c>
      <c r="K7574" s="10" t="inlineStr">
        <is>
          <t>N/A</t>
        </is>
      </c>
      <c r="L7574" s="10" t="inlineStr">
        <is>
          <t>Kiểm Soát Giá Thành, Phân Tích Số Liệu, Nhập Xuất Kho, Phân Tích Giá Thành, Đối Chiếu Số Liệu</t>
        </is>
      </c>
      <c r="M7574" s="10" t="inlineStr">
        <is>
          <t>Healthcare Plan, Others</t>
        </is>
      </c>
      <c r="N7574" s="11">
        <f>HYPERLINK("https://www.vietnamworks.com/ke-toan-gia-thanh-2018774-jv","Xem chi tiết")</f>
        <v/>
      </c>
      <c r="O7574" s="10" t="n"/>
    </row>
    <row r="7575">
      <c r="B7575" s="7" t="n">
        <v>7573</v>
      </c>
      <c r="C7575" t="inlineStr">
        <is>
          <t>Secretary To Board Of Director</t>
        </is>
      </c>
      <c r="D7575" t="inlineStr">
        <is>
          <t>Công Ty CP Tập Đoàn Công Nghệ CMC</t>
        </is>
      </c>
      <c r="E7575" t="inlineStr">
        <is>
          <t>Thương lượng</t>
        </is>
      </c>
      <c r="F7575" t="inlineStr">
        <is>
          <t>Hà Nội</t>
        </is>
      </c>
      <c r="G7575" t="inlineStr">
        <is>
          <t>Nhân viên</t>
        </is>
      </c>
      <c r="H7575" t="inlineStr">
        <is>
          <t>05/03/2026</t>
        </is>
      </c>
      <c r="I7575" t="inlineStr">
        <is>
          <t>04/04/2026</t>
        </is>
      </c>
      <c r="J7575" t="inlineStr">
        <is>
          <t>17/03/2026</t>
        </is>
      </c>
      <c r="K7575" t="inlineStr">
        <is>
          <t>N/A</t>
        </is>
      </c>
      <c r="L7575" t="inlineStr">
        <is>
          <t>Internal Management, MS Office, Organize Meetings, Time Management</t>
        </is>
      </c>
      <c r="M7575" t="inlineStr">
        <is>
          <t>Bonus, Healthcare Plan, Training, Team Activities</t>
        </is>
      </c>
      <c r="N7575" s="8">
        <f>HYPERLINK("https://www.vietnamworks.com/secretary-to-board-of-director-2018773-jv","Xem chi tiết")</f>
        <v/>
      </c>
    </row>
    <row r="7576">
      <c r="B7576" s="9" t="n">
        <v>7574</v>
      </c>
      <c r="C7576" s="10" t="inlineStr">
        <is>
          <t>Chuyên Viên Tuyển Dụng (Cao Cấp) – (Senior) TA (Advertising/media)</t>
        </is>
      </c>
      <c r="D7576" s="10" t="inlineStr">
        <is>
          <t>Công Ty Cổ Phần Prowtech International Vina</t>
        </is>
      </c>
      <c r="E7576" s="10" t="inlineStr">
        <is>
          <t>15tr-20tr ₫/tháng</t>
        </is>
      </c>
      <c r="F7576" s="10" t="inlineStr">
        <is>
          <t>Hồ Chí Minh</t>
        </is>
      </c>
      <c r="G7576" s="10" t="inlineStr">
        <is>
          <t>Nhân viên</t>
        </is>
      </c>
      <c r="H7576" s="10" t="inlineStr">
        <is>
          <t>05/03/2026</t>
        </is>
      </c>
      <c r="I7576" s="10" t="inlineStr">
        <is>
          <t>04/04/2026</t>
        </is>
      </c>
      <c r="J7576" s="10" t="inlineStr">
        <is>
          <t>17/03/2026</t>
        </is>
      </c>
      <c r="K7576" s="10" t="inlineStr">
        <is>
          <t>N/A</t>
        </is>
      </c>
      <c r="L7576" s="10" t="inlineStr">
        <is>
          <t>Truyền Thông, Data-driven recruitment, Headhunting, Sourcing, Tuyển Dụng</t>
        </is>
      </c>
      <c r="M7576" s="10" t="inlineStr">
        <is>
          <t>Bonus, Healthcare Plan, Training, Laptop, Travel Opportunities, Team Activities, Others</t>
        </is>
      </c>
      <c r="N7576" s="11">
        <f>HYPERLINK("https://www.vietnamworks.com/chuyen-vien-tuyen-dung-cao-cap-senior-ta-advertisingmedia-2018789-jv","Xem chi tiết")</f>
        <v/>
      </c>
      <c r="O7576" s="10" t="n"/>
    </row>
    <row r="7577">
      <c r="B7577" s="7" t="n">
        <v>7575</v>
      </c>
      <c r="C7577" t="inlineStr">
        <is>
          <t>Quản Lý Dây Chuyền Sản Xuất (Cử Đi Đài Loan Đào Tạo, Làm Việc Tại Hòa Bình, Có Xe Đưa Đón Từ Hà Nội)</t>
        </is>
      </c>
      <c r="D7577" t="inlineStr">
        <is>
          <t>CÔNG TY TNHH ALLIED CIRCUIT MEIKO VIỆT NAM</t>
        </is>
      </c>
      <c r="E7577" t="inlineStr">
        <is>
          <t>Thương lượng</t>
        </is>
      </c>
      <c r="F7577" t="inlineStr">
        <is>
          <t>Phú Thọ</t>
        </is>
      </c>
      <c r="G7577" t="inlineStr">
        <is>
          <t>Nhân viên</t>
        </is>
      </c>
      <c r="H7577" t="inlineStr">
        <is>
          <t>05/03/2026</t>
        </is>
      </c>
      <c r="I7577" t="inlineStr">
        <is>
          <t>04/04/2026</t>
        </is>
      </c>
      <c r="J7577" t="inlineStr">
        <is>
          <t>17/03/2026</t>
        </is>
      </c>
      <c r="K7577" t="inlineStr">
        <is>
          <t>N/A</t>
        </is>
      </c>
      <c r="L7577" t="inlineStr">
        <is>
          <t>Tư Duy Logic Và Khả Năng Giải Quyết Vấn Đề Tốt, Phân tích tình huống, Tiếng anh cơ bản, Tiếng Trung, Quản Lý</t>
        </is>
      </c>
      <c r="M7577" t="inlineStr">
        <is>
          <t>Bonus</t>
        </is>
      </c>
      <c r="N7577" s="8">
        <f>HYPERLINK("https://www.vietnamworks.com/quan-ly-day-chuyen-san-xuat-cu-di-dai-loan-dao-tao-lam-viec-tai-hoa-binh-co-xe-dua-don-tu-ha-noi-2018775-jv","Xem chi tiết")</f>
        <v/>
      </c>
    </row>
    <row r="7578">
      <c r="B7578" s="9" t="n">
        <v>7576</v>
      </c>
      <c r="C7578" s="10" t="inlineStr">
        <is>
          <t>Internal Accountant Cum Administrative Officer</t>
        </is>
      </c>
      <c r="D7578" s="10" t="inlineStr">
        <is>
          <t>Công ty TNHH Trung Tâm Logistics Toàn Cầu Fujiwara Việt Nam</t>
        </is>
      </c>
      <c r="E7578" s="10" t="inlineStr">
        <is>
          <t>Tới 14tr ₫/tháng</t>
        </is>
      </c>
      <c r="F7578" s="10" t="inlineStr">
        <is>
          <t>Hồ Chí Minh</t>
        </is>
      </c>
      <c r="G7578" s="10" t="inlineStr">
        <is>
          <t>Nhân viên</t>
        </is>
      </c>
      <c r="H7578" s="10" t="inlineStr">
        <is>
          <t>05/03/2026</t>
        </is>
      </c>
      <c r="I7578" s="10" t="inlineStr">
        <is>
          <t>04/04/2026</t>
        </is>
      </c>
      <c r="J7578" s="10" t="inlineStr">
        <is>
          <t>17/03/2026</t>
        </is>
      </c>
      <c r="K7578" s="10" t="inlineStr">
        <is>
          <t>N/A</t>
        </is>
      </c>
      <c r="L7578" s="10" t="inlineStr">
        <is>
          <t>VAT Invoice, Bookkeeping, Financial Reporting, Accounting Software, Tax Regulations</t>
        </is>
      </c>
      <c r="M7578" s="10" t="inlineStr">
        <is>
          <t>Bonus, Healthcare Plan, Training, Others</t>
        </is>
      </c>
      <c r="N7578" s="11">
        <f>HYPERLINK("https://www.vietnamworks.com/internal-accountant-cum-administrative-officer-2018790-jv","Xem chi tiết")</f>
        <v/>
      </c>
      <c r="O7578" s="10" t="n"/>
    </row>
    <row r="7579">
      <c r="B7579" s="7" t="n">
        <v>7577</v>
      </c>
      <c r="C7579" t="inlineStr">
        <is>
          <t>Kỹ Sư Shop Drawing</t>
        </is>
      </c>
      <c r="D7579" t="inlineStr">
        <is>
          <t>Công ty Cổ phần Xây dựng Vilai Việt</t>
        </is>
      </c>
      <c r="E7579" t="inlineStr">
        <is>
          <t>15tr-25tr ₫/tháng</t>
        </is>
      </c>
      <c r="F7579" t="inlineStr">
        <is>
          <t>Hải Phòng, Bắc Ninh, Hà Nội</t>
        </is>
      </c>
      <c r="G7579" t="inlineStr">
        <is>
          <t>Nhân viên</t>
        </is>
      </c>
      <c r="H7579" t="inlineStr">
        <is>
          <t>05/03/2026</t>
        </is>
      </c>
      <c r="I7579" t="inlineStr">
        <is>
          <t>04/04/2026</t>
        </is>
      </c>
      <c r="J7579" t="inlineStr">
        <is>
          <t>17/03/2026</t>
        </is>
      </c>
      <c r="K7579" t="inlineStr">
        <is>
          <t>N/A</t>
        </is>
      </c>
      <c r="L7579" t="inlineStr">
        <is>
          <t>Shop Drawing, Construction Engineering, Kiểm Soát Khối Lượng, Lập Kế Hoạch Thi Công Dự Án, Xây Dựng Dân Dụng</t>
        </is>
      </c>
      <c r="M7579" t="inlineStr">
        <is>
          <t>Bonus, Healthcare Plan, Others</t>
        </is>
      </c>
      <c r="N7579" s="8">
        <f>HYPERLINK("https://www.vietnamworks.com/ky-su-shop-drawing-2018804-jv","Xem chi tiết")</f>
        <v/>
      </c>
    </row>
    <row r="7580">
      <c r="B7580" s="9" t="n">
        <v>7578</v>
      </c>
      <c r="C7580" s="10" t="inlineStr">
        <is>
          <t>Export &amp; Import Officer (Man Or Woman)</t>
        </is>
      </c>
      <c r="D7580" s="10" t="inlineStr">
        <is>
          <t>Dae Duk Band Vietnam CO., LTD.</t>
        </is>
      </c>
      <c r="E7580" s="10" t="inlineStr">
        <is>
          <t>Thương lượng</t>
        </is>
      </c>
      <c r="F7580" s="10" t="inlineStr">
        <is>
          <t>Đồng Nai</t>
        </is>
      </c>
      <c r="G7580" s="10" t="inlineStr">
        <is>
          <t>Nhân viên</t>
        </is>
      </c>
      <c r="H7580" s="10" t="inlineStr">
        <is>
          <t>05/03/2026</t>
        </is>
      </c>
      <c r="I7580" s="10" t="inlineStr">
        <is>
          <t>04/04/2026</t>
        </is>
      </c>
      <c r="J7580" s="10" t="inlineStr">
        <is>
          <t>17/03/2026</t>
        </is>
      </c>
      <c r="K7580" s="10" t="inlineStr">
        <is>
          <t>N/A</t>
        </is>
      </c>
      <c r="L7580" s="10" t="inlineStr">
        <is>
          <t>Customer Support, Document Management, Logistics Control, General Communication English, Export Import</t>
        </is>
      </c>
      <c r="M7580" s="10" t="inlineStr">
        <is>
          <t>Bonus, Healthcare Plan, Paid Leave, Others</t>
        </is>
      </c>
      <c r="N7580" s="11">
        <f>HYPERLINK("https://www.vietnamworks.com/export-import-officer-man-or-woman-2018802-jv","Xem chi tiết")</f>
        <v/>
      </c>
      <c r="O7580" s="10" t="n"/>
    </row>
    <row r="7581">
      <c r="B7581" s="7" t="n">
        <v>7579</v>
      </c>
      <c r="C7581" t="inlineStr">
        <is>
          <t>Senior Logistics Operations (Customs/Trucking/Warehouse)</t>
        </is>
      </c>
      <c r="D7581" t="inlineStr">
        <is>
          <t>CÔNG TY TNHH CIMC WETRANS (VIỆT NAM)</t>
        </is>
      </c>
      <c r="E7581" t="inlineStr">
        <is>
          <t>Thương lượng</t>
        </is>
      </c>
      <c r="F7581" t="inlineStr">
        <is>
          <t>Hồ Chí Minh</t>
        </is>
      </c>
      <c r="G7581" t="inlineStr">
        <is>
          <t>Nhân viên</t>
        </is>
      </c>
      <c r="H7581" t="inlineStr">
        <is>
          <t>05/03/2026</t>
        </is>
      </c>
      <c r="I7581" t="inlineStr">
        <is>
          <t>04/04/2026</t>
        </is>
      </c>
      <c r="J7581" t="inlineStr">
        <is>
          <t>17/03/2026</t>
        </is>
      </c>
      <c r="K7581" t="inlineStr">
        <is>
          <t>N/A</t>
        </is>
      </c>
      <c r="L7581" t="inlineStr">
        <is>
          <t>Logistics Management, Customs Procedures, Team Management, English, Tariff Classification</t>
        </is>
      </c>
      <c r="M7581" t="inlineStr">
        <is>
          <t>Bonus, Healthcare Plan, Paid Leave, Laptop, Travel Opportunities, Team Activities, Others</t>
        </is>
      </c>
      <c r="N7581" s="8">
        <f>HYPERLINK("https://www.vietnamworks.com/senior-logistics-operations-customstruckingwarehouse-2018781-jv","Xem chi tiết")</f>
        <v/>
      </c>
    </row>
    <row r="7582">
      <c r="B7582" s="9" t="n">
        <v>7580</v>
      </c>
      <c r="C7582" s="10" t="inlineStr">
        <is>
          <t>Trưởng Bộ Phận R&amp;D Nguyên Liệu (Lương Lên Tới 25 Triệu/ Tháng)</t>
        </is>
      </c>
      <c r="D7582" s="10" t="inlineStr">
        <is>
          <t>Công Ty Cổ Phần Thương Mại Dịch Vụ Taco Việt Nam</t>
        </is>
      </c>
      <c r="E7582" s="10" t="inlineStr">
        <is>
          <t>20tr-25tr ₫/tháng</t>
        </is>
      </c>
      <c r="F7582" s="10" t="inlineStr">
        <is>
          <t>Hà Nội</t>
        </is>
      </c>
      <c r="G7582" s="10" t="inlineStr">
        <is>
          <t>Nhân viên</t>
        </is>
      </c>
      <c r="H7582" s="10" t="inlineStr">
        <is>
          <t>05/03/2026</t>
        </is>
      </c>
      <c r="I7582" s="10" t="inlineStr">
        <is>
          <t>04/04/2026</t>
        </is>
      </c>
      <c r="J7582" s="10" t="inlineStr">
        <is>
          <t>17/03/2026</t>
        </is>
      </c>
      <c r="K7582" s="10" t="inlineStr">
        <is>
          <t>N/A</t>
        </is>
      </c>
      <c r="L7582" s="10" t="inlineStr">
        <is>
          <t>5S, HACCP, ISO, Nghiên Cứu Sản Phẩm, Research</t>
        </is>
      </c>
      <c r="M7582" s="10" t="inlineStr">
        <is>
          <t>Bonus, Healthcare Plan, Paid Leave, Training, Laptop, Others</t>
        </is>
      </c>
      <c r="N7582" s="11">
        <f>HYPERLINK("https://www.vietnamworks.com/truong-bo-phan-r-d-nguyen-lieu-luong-len-toi-25-trieu-thang-2018786-jv","Xem chi tiết")</f>
        <v/>
      </c>
      <c r="O7582" s="10" t="n"/>
    </row>
    <row r="7583">
      <c r="B7583" s="7" t="n">
        <v>7581</v>
      </c>
      <c r="C7583" t="inlineStr">
        <is>
          <t>Kế Toán Tổng Hợp</t>
        </is>
      </c>
      <c r="D7583" t="inlineStr">
        <is>
          <t>LEE DUNG COMPANY LIMITED</t>
        </is>
      </c>
      <c r="E7583" t="inlineStr">
        <is>
          <t>Từ 8tr ₫/tháng</t>
        </is>
      </c>
      <c r="F7583" t="inlineStr">
        <is>
          <t>Hồ Chí Minh</t>
        </is>
      </c>
      <c r="G7583" t="inlineStr">
        <is>
          <t>Nhân viên</t>
        </is>
      </c>
      <c r="H7583" t="inlineStr">
        <is>
          <t>05/03/2026</t>
        </is>
      </c>
      <c r="I7583" t="inlineStr">
        <is>
          <t>04/04/2026</t>
        </is>
      </c>
      <c r="J7583" t="inlineStr">
        <is>
          <t>17/03/2026</t>
        </is>
      </c>
      <c r="K7583" t="inlineStr">
        <is>
          <t>N/A</t>
        </is>
      </c>
      <c r="L7583" t="inlineStr">
        <is>
          <t xml:space="preserve"> Chứng Từ Kế Toán, Accounting, Hạch Toán, Tài Chính Kế Toán, Theo Dõi Công Nợ</t>
        </is>
      </c>
      <c r="M7583" t="inlineStr">
        <is>
          <t>Bonus, Training, Awards, Others</t>
        </is>
      </c>
      <c r="N7583" s="8">
        <f>HYPERLINK("https://www.vietnamworks.com/ke-toan-tong-hop-2018782-jv","Xem chi tiết")</f>
        <v/>
      </c>
    </row>
    <row r="7584">
      <c r="B7584" s="9" t="n">
        <v>7582</v>
      </c>
      <c r="C7584" s="10" t="inlineStr">
        <is>
          <t>Team Leader - Sales Admin (Spare Parts Order Management)</t>
        </is>
      </c>
      <c r="D7584" s="10" t="inlineStr">
        <is>
          <t>Công Ty TNHH Trelleborg Việt Nam</t>
        </is>
      </c>
      <c r="E7584" s="10" t="inlineStr">
        <is>
          <t>Thương lượng</t>
        </is>
      </c>
      <c r="F7584" s="10" t="inlineStr">
        <is>
          <t>Bà Rịa - Vũng Tàu, Đồng Nai</t>
        </is>
      </c>
      <c r="G7584" s="10" t="inlineStr">
        <is>
          <t>Nhân viên</t>
        </is>
      </c>
      <c r="H7584" s="10" t="inlineStr">
        <is>
          <t>05/03/2026</t>
        </is>
      </c>
      <c r="I7584" s="10" t="inlineStr">
        <is>
          <t>04/04/2026</t>
        </is>
      </c>
      <c r="J7584" s="10" t="inlineStr">
        <is>
          <t>17/03/2026</t>
        </is>
      </c>
      <c r="K7584" s="10" t="inlineStr">
        <is>
          <t>N/A</t>
        </is>
      </c>
      <c r="L7584" s="10" t="inlineStr">
        <is>
          <t>Customer Service, Customer Sales Service, Sales, Sales Admin, Sales Administration</t>
        </is>
      </c>
      <c r="M7584" s="10" t="inlineStr">
        <is>
          <t>Bonus, Healthcare Plan, Paid Leave</t>
        </is>
      </c>
      <c r="N7584" s="11">
        <f>HYPERLINK("https://www.vietnamworks.com/team-leader-sales-admin-spare-parts-order-management-2018788-jv","Xem chi tiết")</f>
        <v/>
      </c>
      <c r="O7584" s="10" t="n"/>
    </row>
    <row r="7585">
      <c r="B7585" s="7" t="n">
        <v>7583</v>
      </c>
      <c r="C7585" t="inlineStr">
        <is>
          <t>Nhân Viên Bảo Trì ( Hưng Yên )</t>
        </is>
      </c>
      <c r="D7585" t="inlineStr">
        <is>
          <t>La Vie Limited Liability Company</t>
        </is>
      </c>
      <c r="E7585" t="inlineStr">
        <is>
          <t>Thương lượng</t>
        </is>
      </c>
      <c r="F7585" t="inlineStr">
        <is>
          <t>Hưng Yên</t>
        </is>
      </c>
      <c r="G7585" t="inlineStr">
        <is>
          <t>Nhân viên</t>
        </is>
      </c>
      <c r="H7585" t="inlineStr">
        <is>
          <t>05/03/2026</t>
        </is>
      </c>
      <c r="I7585" t="inlineStr">
        <is>
          <t>04/04/2026</t>
        </is>
      </c>
      <c r="J7585" t="inlineStr">
        <is>
          <t>17/03/2026</t>
        </is>
      </c>
      <c r="K7585" t="inlineStr">
        <is>
          <t>N/A</t>
        </is>
      </c>
      <c r="L7585" t="inlineStr">
        <is>
          <t>Maintenance, Cơ Khí, Bảo Trì Điện, Bảo Dưỡng, Bảo Trì</t>
        </is>
      </c>
      <c r="M7585" t="inlineStr">
        <is>
          <t>Bonus, Healthcare Plan, Training</t>
        </is>
      </c>
      <c r="N7585" s="8">
        <f>HYPERLINK("https://www.vietnamworks.com/nhan-vien-bao-tri-hung-yen--2018784-jv","Xem chi tiết")</f>
        <v/>
      </c>
    </row>
    <row r="7586">
      <c r="B7586" s="9" t="n">
        <v>7584</v>
      </c>
      <c r="C7586" s="10" t="inlineStr">
        <is>
          <t>Giám Đốc Kinh Doanh Wellness &amp; Medical Wellness</t>
        </is>
      </c>
      <c r="D7586" s="10" t="inlineStr">
        <is>
          <t>CÔNG TY CỔ PHẦN UNIK XANH</t>
        </is>
      </c>
      <c r="E7586" s="10" t="inlineStr">
        <is>
          <t>Thương lượng</t>
        </is>
      </c>
      <c r="F7586" s="10" t="inlineStr">
        <is>
          <t>Hà Nội</t>
        </is>
      </c>
      <c r="G7586" s="10" t="inlineStr">
        <is>
          <t>Giám Đốc và Cấp Cao Hơn</t>
        </is>
      </c>
      <c r="H7586" s="10" t="inlineStr">
        <is>
          <t>05/03/2026</t>
        </is>
      </c>
      <c r="I7586" s="10" t="inlineStr">
        <is>
          <t>20/03/2026</t>
        </is>
      </c>
      <c r="J7586" s="10" t="inlineStr">
        <is>
          <t>17/03/2026</t>
        </is>
      </c>
      <c r="K7586" s="10" t="inlineStr">
        <is>
          <t>N/A</t>
        </is>
      </c>
      <c r="L7586" s="10" t="inlineStr">
        <is>
          <t>English, Chiến Lược Kinh Doanh, Kinh Doanh, Phát Triển Khách Hàng, Quản Lý Đội Ngũ</t>
        </is>
      </c>
      <c r="M7586" s="10" t="inlineStr">
        <is>
          <t>Bonus, Healthcare Plan, Training, Others</t>
        </is>
      </c>
      <c r="N7586" s="11">
        <f>HYPERLINK("https://www.vietnamworks.com/giam-djoc-kinh-doanh-wellness-and-medical-wellness-2018799-jv","Xem chi tiết")</f>
        <v/>
      </c>
      <c r="O7586" s="10" t="n"/>
    </row>
    <row r="7587">
      <c r="B7587" s="7" t="n">
        <v>7585</v>
      </c>
      <c r="C7587" t="inlineStr">
        <is>
          <t>Quản Lý Phòng Hành Chính Nhân Sự</t>
        </is>
      </c>
      <c r="D7587" t="inlineStr">
        <is>
          <t>Công Ty TNHH Du Lịch Trần Việt (Transviet)</t>
        </is>
      </c>
      <c r="E7587" t="inlineStr">
        <is>
          <t>Thương lượng</t>
        </is>
      </c>
      <c r="F7587" t="inlineStr">
        <is>
          <t>Hồ Chí Minh</t>
        </is>
      </c>
      <c r="G7587" t="inlineStr">
        <is>
          <t>Nhân viên</t>
        </is>
      </c>
      <c r="H7587" t="inlineStr">
        <is>
          <t>05/03/2026</t>
        </is>
      </c>
      <c r="I7587" t="inlineStr">
        <is>
          <t>04/04/2026</t>
        </is>
      </c>
      <c r="J7587" t="inlineStr">
        <is>
          <t>17/03/2026</t>
        </is>
      </c>
      <c r="K7587" t="inlineStr">
        <is>
          <t>N/A</t>
        </is>
      </c>
      <c r="L7587" t="inlineStr">
        <is>
          <t>Quản Lý Nhân Sự, Quản Lý Hành Chính Nhân Sự, Hành Chính Nhân Sự, Thuế, Tuyển Dụng</t>
        </is>
      </c>
      <c r="M7587" t="inlineStr">
        <is>
          <t>Bonus, Training, Travel Opportunities</t>
        </is>
      </c>
      <c r="N7587" s="8">
        <f>HYPERLINK("https://www.vietnamworks.com/quan-ly-phong-hanh-chinh-nhan-su--2018798-jv","Xem chi tiết")</f>
        <v/>
      </c>
    </row>
    <row r="7588">
      <c r="B7588" s="9" t="n">
        <v>7586</v>
      </c>
      <c r="C7588" s="10" t="inlineStr">
        <is>
          <t>Chuyên Viên Cao Cấp Thủ Tục - Dịch Vụ Khách Hàng - Living - 4D021</t>
        </is>
      </c>
      <c r="D7588" s="10" t="inlineStr">
        <is>
          <t>Tập đoàn ROX (ROX Group)</t>
        </is>
      </c>
      <c r="E7588" s="10" t="inlineStr">
        <is>
          <t>Thương lượng</t>
        </is>
      </c>
      <c r="F7588" s="10" t="inlineStr">
        <is>
          <t>Hà Nội, Hồ Chí Minh, Thanh Hóa</t>
        </is>
      </c>
      <c r="G7588" s="10" t="inlineStr">
        <is>
          <t>Nhân viên</t>
        </is>
      </c>
      <c r="H7588" s="10" t="inlineStr">
        <is>
          <t>05/03/2026</t>
        </is>
      </c>
      <c r="I7588" s="10" t="inlineStr">
        <is>
          <t>04/04/2026</t>
        </is>
      </c>
      <c r="J7588" s="10" t="inlineStr">
        <is>
          <t>17/03/2026</t>
        </is>
      </c>
      <c r="K7588" s="10" t="inlineStr">
        <is>
          <t>N/A</t>
        </is>
      </c>
      <c r="L7588" s="10" t="inlineStr">
        <is>
          <t>Dịch Vụ Khách Hàng, Bất Động Sản, Chăm Sóc Khách Hàng</t>
        </is>
      </c>
      <c r="M7588" s="10" t="inlineStr">
        <is>
          <t>Bonus, Healthcare Plan, Paid Leave</t>
        </is>
      </c>
      <c r="N7588" s="11">
        <f>HYPERLINK("https://www.vietnamworks.com/chuyen-vien-cao-cap-thu-tuc-dich-vu-khach-hang-living-4d021-2018800-jv","Xem chi tiết")</f>
        <v/>
      </c>
      <c r="O7588" s="10" t="n"/>
    </row>
    <row r="7589">
      <c r="B7589" s="7" t="n">
        <v>7587</v>
      </c>
      <c r="C7589" t="inlineStr">
        <is>
          <t>Business Development Manager</t>
        </is>
      </c>
      <c r="D7589" t="inlineStr">
        <is>
          <t>VPĐD MSI PACIFIC INTERNATIONAL HOLDING CO., LTD. TẠI TP.HCM</t>
        </is>
      </c>
      <c r="E7589" t="inlineStr">
        <is>
          <t>$$ 500-1,000 /tháng</t>
        </is>
      </c>
      <c r="F7589" t="inlineStr">
        <is>
          <t>Hà Nội</t>
        </is>
      </c>
      <c r="G7589" t="inlineStr">
        <is>
          <t>Trưởng phòng</t>
        </is>
      </c>
      <c r="H7589" t="inlineStr">
        <is>
          <t>05/03/2026</t>
        </is>
      </c>
      <c r="I7589" t="inlineStr">
        <is>
          <t>04/04/2026</t>
        </is>
      </c>
      <c r="J7589" t="inlineStr">
        <is>
          <t>17/03/2026</t>
        </is>
      </c>
      <c r="K7589" t="inlineStr">
        <is>
          <t>N/A</t>
        </is>
      </c>
      <c r="L7589" t="inlineStr">
        <is>
          <t>Channel Relationship Management, Market Analysis, Sales Development, Business Development, Sales Planning</t>
        </is>
      </c>
      <c r="M7589" t="inlineStr">
        <is>
          <t>Bonus, Training, Laptop, Travel Opportunities</t>
        </is>
      </c>
      <c r="N7589" s="8">
        <f>HYPERLINK("https://www.vietnamworks.com/business-development-manager-2018796-jv","Xem chi tiết")</f>
        <v/>
      </c>
    </row>
    <row r="7590">
      <c r="B7590" s="9" t="n">
        <v>7588</v>
      </c>
      <c r="C7590" s="10" t="inlineStr">
        <is>
          <t>Area Sales Manager ETC</t>
        </is>
      </c>
      <c r="D7590" s="10" t="inlineStr">
        <is>
          <t>CÔNG TY TNHH ELASTEN VIỆT NAM</t>
        </is>
      </c>
      <c r="E7590" s="10" t="inlineStr">
        <is>
          <t>$$ 1,000-1,500 /tháng</t>
        </is>
      </c>
      <c r="F7590" s="10" t="inlineStr">
        <is>
          <t>Hồ Chí Minh</t>
        </is>
      </c>
      <c r="G7590" s="10" t="inlineStr">
        <is>
          <t>Trưởng phòng</t>
        </is>
      </c>
      <c r="H7590" s="10" t="inlineStr">
        <is>
          <t>05/03/2026</t>
        </is>
      </c>
      <c r="I7590" s="10" t="inlineStr">
        <is>
          <t>04/04/2026</t>
        </is>
      </c>
      <c r="J7590" s="10" t="inlineStr">
        <is>
          <t>17/03/2026</t>
        </is>
      </c>
      <c r="K7590" s="10" t="inlineStr">
        <is>
          <t>N/A</t>
        </is>
      </c>
      <c r="L7590" s="10" t="inlineStr">
        <is>
          <t>Giao Tiếp, Kinh Doanh, Lập Kế Hoạch, Nội Khoa, Quản Lý Nhân Sự</t>
        </is>
      </c>
      <c r="M7590" s="10" t="inlineStr">
        <is>
          <t>Bonus, Healthcare Plan, Laptop, Travel Opportunities</t>
        </is>
      </c>
      <c r="N7590" s="11">
        <f>HYPERLINK("https://www.vietnamworks.com/area-sales-manager-etc--2018792-jv","Xem chi tiết")</f>
        <v/>
      </c>
      <c r="O7590" s="10" t="n"/>
    </row>
    <row r="7591">
      <c r="B7591" s="7" t="n">
        <v>7589</v>
      </c>
      <c r="C7591" t="inlineStr">
        <is>
          <t>Strategy &amp; Operations Executive</t>
        </is>
      </c>
      <c r="D7591" t="inlineStr">
        <is>
          <t>M Village</t>
        </is>
      </c>
      <c r="E7591" t="inlineStr">
        <is>
          <t>Thương lượng</t>
        </is>
      </c>
      <c r="F7591" t="inlineStr">
        <is>
          <t>Hồ Chí Minh</t>
        </is>
      </c>
      <c r="G7591" t="inlineStr">
        <is>
          <t>Nhân viên</t>
        </is>
      </c>
      <c r="H7591" t="inlineStr">
        <is>
          <t>05/03/2026</t>
        </is>
      </c>
      <c r="I7591" t="inlineStr">
        <is>
          <t>04/04/2026</t>
        </is>
      </c>
      <c r="J7591" t="inlineStr">
        <is>
          <t>17/03/2026</t>
        </is>
      </c>
      <c r="K7591" t="inlineStr">
        <is>
          <t>N/A</t>
        </is>
      </c>
      <c r="L7591" t="inlineStr">
        <is>
          <t>Collaboration, Data Analysis, KPIs Management, Power Pivot, Sql And Coding</t>
        </is>
      </c>
      <c r="M7591" t="inlineStr">
        <is>
          <t>Bonus, Healthcare Plan, Paid Leave, Laptop, Others</t>
        </is>
      </c>
      <c r="N7591" s="8">
        <f>HYPERLINK("https://www.vietnamworks.com/strategy-and-operations-executive-2018793-jv","Xem chi tiết")</f>
        <v/>
      </c>
    </row>
    <row r="7592">
      <c r="B7592" s="9" t="n">
        <v>7590</v>
      </c>
      <c r="C7592" s="10" t="inlineStr">
        <is>
          <t>Giám Đốc Phòng Chính Sách và Vận Hành Định Giá</t>
        </is>
      </c>
      <c r="D7592" s="10" t="inlineStr">
        <is>
          <t>Ngân Hàng TMCP Việt Nam Thương Tín (Vietbank)</t>
        </is>
      </c>
      <c r="E7592" s="10" t="inlineStr">
        <is>
          <t>Thương lượng</t>
        </is>
      </c>
      <c r="F7592" s="10" t="inlineStr">
        <is>
          <t>Hồ Chí Minh</t>
        </is>
      </c>
      <c r="G7592" s="10" t="inlineStr">
        <is>
          <t>Giám Đốc và Cấp Cao Hơn</t>
        </is>
      </c>
      <c r="H7592" s="10" t="inlineStr">
        <is>
          <t>05/03/2026</t>
        </is>
      </c>
      <c r="I7592" s="10" t="inlineStr">
        <is>
          <t>04/04/2026</t>
        </is>
      </c>
      <c r="J7592" s="10" t="inlineStr">
        <is>
          <t>17/03/2026</t>
        </is>
      </c>
      <c r="K7592" s="10" t="inlineStr">
        <is>
          <t>N/A</t>
        </is>
      </c>
      <c r="L7592" s="10" t="inlineStr">
        <is>
          <t>Develop Policies, Valuation &amp; Financial Audit, Định Giá Tài Sản, Chính sách, Thẩm Định Giá</t>
        </is>
      </c>
      <c r="M7592" s="10" t="inlineStr">
        <is>
          <t>Bonus, Healthcare Plan, Others</t>
        </is>
      </c>
      <c r="N7592" s="11">
        <f>HYPERLINK("https://www.vietnamworks.com/giam-doc-phong-chinh-sach-va-van-hanh-dinh-gia-2018797-jv","Xem chi tiết")</f>
        <v/>
      </c>
      <c r="O7592" s="10" t="n"/>
    </row>
    <row r="7593">
      <c r="B7593" s="7" t="n">
        <v>7591</v>
      </c>
      <c r="C7593" t="inlineStr">
        <is>
          <t>Kỹ Sư Hiện Trường MEP (Chấp Nhận Sinh Viên Mới Ra Trường)</t>
        </is>
      </c>
      <c r="D7593" t="inlineStr">
        <is>
          <t>CÔNG TY TNHH KỸ THUẬT VÀ XÂY DỰNG WINSLER</t>
        </is>
      </c>
      <c r="E7593" t="inlineStr">
        <is>
          <t>13tr-20tr ₫/tháng</t>
        </is>
      </c>
      <c r="F7593" t="inlineStr">
        <is>
          <t>Hà Nội</t>
        </is>
      </c>
      <c r="G7593" t="inlineStr">
        <is>
          <t>Mới Tốt Nghiệp</t>
        </is>
      </c>
      <c r="H7593" t="inlineStr">
        <is>
          <t>05/03/2026</t>
        </is>
      </c>
      <c r="I7593" t="inlineStr">
        <is>
          <t>04/04/2026</t>
        </is>
      </c>
      <c r="J7593" t="inlineStr">
        <is>
          <t>17/03/2026</t>
        </is>
      </c>
      <c r="K7593" t="inlineStr">
        <is>
          <t>N/A</t>
        </is>
      </c>
      <c r="L7593" t="inlineStr">
        <is>
          <t>Đọc Hiểu Bản Vẽ, Lập Trình AutoCAD, Cấp Thoát Nước, Cơ Điện, Giám Sát Thi Công</t>
        </is>
      </c>
      <c r="M7593" t="inlineStr">
        <is>
          <t>Training, Others</t>
        </is>
      </c>
      <c r="N7593" s="8">
        <f>HYPERLINK("https://www.vietnamworks.com/ky-su-hien-truong-mep-chap-nhan-sinh-vien-moi-ra-truong-2018806-jv","Xem chi tiết")</f>
        <v/>
      </c>
    </row>
    <row r="7594">
      <c r="B7594" s="9" t="n">
        <v>7592</v>
      </c>
      <c r="C7594" s="10" t="inlineStr">
        <is>
          <t>MT Key Account Manager</t>
        </is>
      </c>
      <c r="D7594" s="10" t="inlineStr">
        <is>
          <t>Văn Phòng Phú Thái Group</t>
        </is>
      </c>
      <c r="E7594" s="10" t="inlineStr">
        <is>
          <t>Thương lượng</t>
        </is>
      </c>
      <c r="F7594" s="10" t="inlineStr">
        <is>
          <t>Hà Nội</t>
        </is>
      </c>
      <c r="G7594" s="10" t="inlineStr">
        <is>
          <t>Nhân viên</t>
        </is>
      </c>
      <c r="H7594" s="10" t="inlineStr">
        <is>
          <t>05/03/2026</t>
        </is>
      </c>
      <c r="I7594" s="10" t="inlineStr">
        <is>
          <t>04/04/2026</t>
        </is>
      </c>
      <c r="J7594" s="10" t="inlineStr">
        <is>
          <t>17/03/2026</t>
        </is>
      </c>
      <c r="K7594" s="10" t="inlineStr">
        <is>
          <t>N/A</t>
        </is>
      </c>
      <c r="L7594" s="10" t="inlineStr">
        <is>
          <t>E-Commerce, Performance Marketing, Online Sales &amp; Customer Support, Account Management, Strategic Buying</t>
        </is>
      </c>
      <c r="M7594" s="10" t="inlineStr">
        <is>
          <t>Bonus, Healthcare Plan</t>
        </is>
      </c>
      <c r="N7594" s="11">
        <f>HYPERLINK("https://www.vietnamworks.com/mt-key-account-manager--2018807-jv","Xem chi tiết")</f>
        <v/>
      </c>
      <c r="O7594" s="10" t="n"/>
    </row>
    <row r="7595">
      <c r="B7595" s="7" t="n">
        <v>7593</v>
      </c>
      <c r="C7595" t="inlineStr">
        <is>
          <t>Deputy Head/ Head of Planning &amp; Balance Sheet Management Department</t>
        </is>
      </c>
      <c r="D7595" t="inlineStr">
        <is>
          <t>Ngân Hàng TNHH Indovina – Hội Sở</t>
        </is>
      </c>
      <c r="E7595" t="inlineStr">
        <is>
          <t>$$ 1,600-2,200 /tháng</t>
        </is>
      </c>
      <c r="F7595" t="inlineStr">
        <is>
          <t>Hồ Chí Minh</t>
        </is>
      </c>
      <c r="G7595" t="inlineStr">
        <is>
          <t>Trưởng phòng</t>
        </is>
      </c>
      <c r="H7595" t="inlineStr">
        <is>
          <t>05/03/2026</t>
        </is>
      </c>
      <c r="I7595" t="inlineStr">
        <is>
          <t>04/04/2026</t>
        </is>
      </c>
      <c r="J7595" t="inlineStr">
        <is>
          <t>17/03/2026</t>
        </is>
      </c>
      <c r="K7595" t="inlineStr">
        <is>
          <t>N/A</t>
        </is>
      </c>
      <c r="L7595" t="inlineStr">
        <is>
          <t>Balance Sheet, Investment Banking, Liquidity Management, Treasury, Asset Liability Management</t>
        </is>
      </c>
      <c r="M7595" t="inlineStr">
        <is>
          <t>Bonus, Healthcare Plan, Training</t>
        </is>
      </c>
      <c r="N7595" s="8">
        <f>HYPERLINK("https://www.vietnamworks.com/deputy-head-head-of-planning-balance-sheet-management-department-2018809-jv","Xem chi tiết")</f>
        <v/>
      </c>
    </row>
    <row r="7596">
      <c r="B7596" s="9" t="n">
        <v>7594</v>
      </c>
      <c r="C7596" s="10" t="inlineStr">
        <is>
          <t>Brand Marketing Team Leader</t>
        </is>
      </c>
      <c r="D7596" s="10" t="inlineStr">
        <is>
          <t>Công Ty TNHH Dragonfly Select Brands Vietnam</t>
        </is>
      </c>
      <c r="E7596" s="10" t="inlineStr">
        <is>
          <t>Thương lượng</t>
        </is>
      </c>
      <c r="F7596" s="10" t="inlineStr">
        <is>
          <t>Hồ Chí Minh</t>
        </is>
      </c>
      <c r="G7596" s="10" t="inlineStr">
        <is>
          <t>Nhân viên</t>
        </is>
      </c>
      <c r="H7596" s="10" t="inlineStr">
        <is>
          <t>05/03/2026</t>
        </is>
      </c>
      <c r="I7596" s="10" t="inlineStr">
        <is>
          <t>04/04/2026</t>
        </is>
      </c>
      <c r="J7596" s="10" t="inlineStr">
        <is>
          <t>17/03/2026</t>
        </is>
      </c>
      <c r="K7596" s="10" t="inlineStr">
        <is>
          <t>N/A</t>
        </is>
      </c>
      <c r="L7596" s="10" t="inlineStr">
        <is>
          <t>Brand Marketing, Digital Marketing, Leadership, Social Media Management, Trade Marketing</t>
        </is>
      </c>
      <c r="M7596" s="10" t="inlineStr">
        <is>
          <t>Bonus, Paid Leave, Others</t>
        </is>
      </c>
      <c r="N7596" s="11">
        <f>HYPERLINK("https://www.vietnamworks.com/brand-marketing-team-leader-2018808-jv","Xem chi tiết")</f>
        <v/>
      </c>
      <c r="O7596" s="10" t="n"/>
    </row>
    <row r="7597">
      <c r="B7597" s="7" t="n">
        <v>7595</v>
      </c>
      <c r="C7597" t="inlineStr">
        <is>
          <t>Kỹ Sư Quản Lý Dự Án và Tư Vấn Giám Sát (Xây Dựng, Điện, An Toàn, Trắc Đạc)</t>
        </is>
      </c>
      <c r="D7597" t="inlineStr">
        <is>
          <t>Công ty TNHH Apave Châu Á - Thái Bình Dương - Tập Đoàn Apave - Pháp</t>
        </is>
      </c>
      <c r="E7597" t="inlineStr">
        <is>
          <t>Thương lượng</t>
        </is>
      </c>
      <c r="F7597" t="inlineStr">
        <is>
          <t>Hà Nội, Thái Nguyên, Lào Cai</t>
        </is>
      </c>
      <c r="G7597" t="inlineStr">
        <is>
          <t>Nhân viên</t>
        </is>
      </c>
      <c r="H7597" t="inlineStr">
        <is>
          <t>05/03/2026</t>
        </is>
      </c>
      <c r="I7597" t="inlineStr">
        <is>
          <t>04/04/2026</t>
        </is>
      </c>
      <c r="J7597" t="inlineStr">
        <is>
          <t>17/03/2026</t>
        </is>
      </c>
      <c r="K7597" t="inlineStr">
        <is>
          <t>N/A</t>
        </is>
      </c>
      <c r="L7597" t="inlineStr">
        <is>
          <t>MEP Engineering, Planning, Xây Dựng, An Toàn Lao Động, Trắc đạc công trình</t>
        </is>
      </c>
      <c r="M7597" t="inlineStr">
        <is>
          <t>Bonus, Healthcare Plan, Others</t>
        </is>
      </c>
      <c r="N7597" s="8">
        <f>HYPERLINK("https://www.vietnamworks.com/ky-su-quan-ly-du-an-va-tu-van-giam-sat-xay-dung-dien-an-toan-trac-dac-2018812-jv","Xem chi tiết")</f>
        <v/>
      </c>
    </row>
    <row r="7598">
      <c r="B7598" s="9" t="n">
        <v>7596</v>
      </c>
      <c r="C7598" s="10" t="inlineStr">
        <is>
          <t>Nhân viên Phát triển Bao bì (Không yêu cầu Kinh nghiệm)</t>
        </is>
      </c>
      <c r="D7598" s="10" t="inlineStr">
        <is>
          <t>Công ty cổ phần Trang (TrangCorp)</t>
        </is>
      </c>
      <c r="E7598" s="10" t="inlineStr">
        <is>
          <t>Thương lượng</t>
        </is>
      </c>
      <c r="F7598" s="10" t="inlineStr">
        <is>
          <t>Hồ Chí Minh</t>
        </is>
      </c>
      <c r="G7598" s="10" t="inlineStr">
        <is>
          <t>Nhân viên</t>
        </is>
      </c>
      <c r="H7598" s="10" t="inlineStr">
        <is>
          <t>05/03/2026</t>
        </is>
      </c>
      <c r="I7598" s="10" t="inlineStr">
        <is>
          <t>04/04/2026</t>
        </is>
      </c>
      <c r="J7598" s="10" t="inlineStr">
        <is>
          <t>17/03/2026</t>
        </is>
      </c>
      <c r="K7598" s="10" t="inlineStr">
        <is>
          <t>N/A</t>
        </is>
      </c>
      <c r="L7598" s="10" t="inlineStr">
        <is>
          <t>Cơ Khí, Công Nghệ Thực Phẩm, Cung Ứng Vật Liệu, Hóa Học, Thiết Kế Kỹ Thuật</t>
        </is>
      </c>
      <c r="M7598" s="10" t="inlineStr">
        <is>
          <t>Healthcare Plan, Paid Leave, Training, Travel Opportunities, Canteen</t>
        </is>
      </c>
      <c r="N7598" s="11">
        <f>HYPERLINK("https://www.vietnamworks.com/nhan-vien-phat-trien-bao-bi-khong-yeu-cau-kinh-nghiem-2018813-jv","Xem chi tiết")</f>
        <v/>
      </c>
      <c r="O7598" s="10" t="n"/>
    </row>
    <row r="7599">
      <c r="B7599" s="7" t="n">
        <v>7597</v>
      </c>
      <c r="C7599" t="inlineStr">
        <is>
          <t>Kế Toán Nội Bộ</t>
        </is>
      </c>
      <c r="D7599" t="inlineStr">
        <is>
          <t>CÔNG TY TNHH KỸ THUẬT VÀ XÂY DỰNG WINSLER</t>
        </is>
      </c>
      <c r="E7599" t="inlineStr">
        <is>
          <t>10tr-15tr ₫/tháng</t>
        </is>
      </c>
      <c r="F7599" t="inlineStr">
        <is>
          <t>Hà Nội</t>
        </is>
      </c>
      <c r="G7599" t="inlineStr">
        <is>
          <t>Nhân viên</t>
        </is>
      </c>
      <c r="H7599" t="inlineStr">
        <is>
          <t>05/03/2026</t>
        </is>
      </c>
      <c r="I7599" t="inlineStr">
        <is>
          <t>04/04/2026</t>
        </is>
      </c>
      <c r="J7599" t="inlineStr">
        <is>
          <t>17/03/2026</t>
        </is>
      </c>
      <c r="K7599" t="inlineStr">
        <is>
          <t>N/A</t>
        </is>
      </c>
      <c r="L7599" t="inlineStr">
        <is>
          <t>Kiểm Soát Chi Phí, MISA &amp; FAST Accounting Software, Hạch Toán Chi Phí, Quyết Toán Công Trình, Theo Dõi Công Nợ</t>
        </is>
      </c>
      <c r="M7599" t="inlineStr">
        <is>
          <t>Bonus, Healthcare Plan, Training, Others</t>
        </is>
      </c>
      <c r="N7599" s="8">
        <f>HYPERLINK("https://www.vietnamworks.com/ke-toan-noi-bo-2018810-jv","Xem chi tiết")</f>
        <v/>
      </c>
    </row>
    <row r="7600">
      <c r="B7600" s="9" t="n">
        <v>7598</v>
      </c>
      <c r="C7600" s="10" t="inlineStr">
        <is>
          <t>Quản Lý Khách Hàng Doanh Nghiệp Lớn</t>
        </is>
      </c>
      <c r="D7600" s="10" t="inlineStr">
        <is>
          <t>VIB</t>
        </is>
      </c>
      <c r="E7600" s="10" t="inlineStr">
        <is>
          <t>$$ 1,000-2,500 /tháng</t>
        </is>
      </c>
      <c r="F7600" s="10" t="inlineStr">
        <is>
          <t>Hồ Chí Minh</t>
        </is>
      </c>
      <c r="G7600" s="10" t="inlineStr">
        <is>
          <t>Nhân viên</t>
        </is>
      </c>
      <c r="H7600" s="10" t="inlineStr">
        <is>
          <t>05/03/2026</t>
        </is>
      </c>
      <c r="I7600" s="10" t="inlineStr">
        <is>
          <t>04/04/2026</t>
        </is>
      </c>
      <c r="J7600" s="10" t="inlineStr">
        <is>
          <t>17/03/2026</t>
        </is>
      </c>
      <c r="K7600" s="10" t="inlineStr">
        <is>
          <t>N/A</t>
        </is>
      </c>
      <c r="L7600" s="10" t="inlineStr">
        <is>
          <t>Giao Tiếp, Kỹ năng bán hàng, Phân Tích Tín Dụng, Phát Triển Kinh Doanh, Quản Trị Khách Hàng</t>
        </is>
      </c>
      <c r="M7600" s="10" t="inlineStr">
        <is>
          <t>Bonus</t>
        </is>
      </c>
      <c r="N7600" s="11">
        <f>HYPERLINK("https://www.vietnamworks.com/quan-ly-khach-hang-doanh-nghiep-lon-2018817-jv","Xem chi tiết")</f>
        <v/>
      </c>
      <c r="O7600" s="10" t="n"/>
    </row>
    <row r="7601">
      <c r="B7601" s="7" t="n">
        <v>7599</v>
      </c>
      <c r="C7601" t="inlineStr">
        <is>
          <t>Kỹ Sư Qc/kỹ Sư Chất Lượng</t>
        </is>
      </c>
      <c r="D7601" t="inlineStr">
        <is>
          <t>Công Ty Cổ Phần Technokom</t>
        </is>
      </c>
      <c r="E7601" t="inlineStr">
        <is>
          <t>$$ 500-700 /tháng</t>
        </is>
      </c>
      <c r="F7601" t="inlineStr">
        <is>
          <t>Hưng Yên</t>
        </is>
      </c>
      <c r="G7601" t="inlineStr">
        <is>
          <t>Nhân viên</t>
        </is>
      </c>
      <c r="H7601" t="inlineStr">
        <is>
          <t>05/03/2026</t>
        </is>
      </c>
      <c r="I7601" t="inlineStr">
        <is>
          <t>04/04/2026</t>
        </is>
      </c>
      <c r="J7601" t="inlineStr">
        <is>
          <t>17/03/2026</t>
        </is>
      </c>
      <c r="K7601" t="inlineStr">
        <is>
          <t>N/A</t>
        </is>
      </c>
      <c r="L7601" t="inlineStr">
        <is>
          <t>Quality Control, QC, QA, Chemical, Automation</t>
        </is>
      </c>
      <c r="M7601" t="inlineStr">
        <is>
          <t>Bonus, Healthcare Plan, Training</t>
        </is>
      </c>
      <c r="N7601" s="8">
        <f>HYPERLINK("https://www.vietnamworks.com/ky-su-qc-ky-su-chat-luong-2018815-jv","Xem chi tiết")</f>
        <v/>
      </c>
    </row>
    <row r="7602">
      <c r="B7602" s="9" t="n">
        <v>7600</v>
      </c>
      <c r="C7602" s="10" t="inlineStr">
        <is>
          <t>Digital Marketing</t>
        </is>
      </c>
      <c r="D7602" s="10" t="inlineStr">
        <is>
          <t>BUFF Fintech JSC</t>
        </is>
      </c>
      <c r="E7602" s="10" t="inlineStr">
        <is>
          <t>Tới $ 1,000 /tháng</t>
        </is>
      </c>
      <c r="F7602" s="10" t="inlineStr">
        <is>
          <t>Hà Nội</t>
        </is>
      </c>
      <c r="G7602" s="10" t="inlineStr">
        <is>
          <t>Nhân viên</t>
        </is>
      </c>
      <c r="H7602" s="10" t="inlineStr">
        <is>
          <t>05/03/2026</t>
        </is>
      </c>
      <c r="I7602" s="10" t="inlineStr">
        <is>
          <t>04/04/2026</t>
        </is>
      </c>
      <c r="J7602" s="10" t="inlineStr">
        <is>
          <t>17/03/2026</t>
        </is>
      </c>
      <c r="K7602" s="10" t="inlineStr">
        <is>
          <t>N/A</t>
        </is>
      </c>
      <c r="L7602" s="10" t="inlineStr">
        <is>
          <t>Digital Marketing, Google Ads, ASO</t>
        </is>
      </c>
      <c r="M7602" s="10" t="inlineStr">
        <is>
          <t>Paid Leave</t>
        </is>
      </c>
      <c r="N7602" s="11">
        <f>HYPERLINK("https://www.vietnamworks.com/digital-marketing--2018831-jv","Xem chi tiết")</f>
        <v/>
      </c>
      <c r="O7602" s="10" t="n"/>
    </row>
    <row r="7603">
      <c r="B7603" s="7" t="n">
        <v>7601</v>
      </c>
      <c r="C7603" t="inlineStr">
        <is>
          <t>Trưởng Nhóm Chất Lượng</t>
        </is>
      </c>
      <c r="D7603" t="inlineStr">
        <is>
          <t>Công Ty TNHH Ô Tô Soosan Việt Nam</t>
        </is>
      </c>
      <c r="E7603" t="inlineStr">
        <is>
          <t>Thương lượng</t>
        </is>
      </c>
      <c r="F7603" t="inlineStr">
        <is>
          <t>Đồng Nai, Hồ Chí Minh</t>
        </is>
      </c>
      <c r="G7603" t="inlineStr">
        <is>
          <t>Trưởng phòng</t>
        </is>
      </c>
      <c r="H7603" t="inlineStr">
        <is>
          <t>05/03/2026</t>
        </is>
      </c>
      <c r="I7603" t="inlineStr">
        <is>
          <t>04/04/2026</t>
        </is>
      </c>
      <c r="J7603" t="inlineStr">
        <is>
          <t>17/03/2026</t>
        </is>
      </c>
      <c r="K7603" t="inlineStr">
        <is>
          <t>N/A</t>
        </is>
      </c>
      <c r="L7603" t="inlineStr">
        <is>
          <t>Quản lý chất lượng, Lãnh Đạo, Giám Sát Sản Xuất, ISO 9001, Kiểm Soát Chất Lượng</t>
        </is>
      </c>
      <c r="M7603" t="inlineStr">
        <is>
          <t>Bonus, Healthcare Plan, Paid Leave, Training, Awards, Canteen, Others</t>
        </is>
      </c>
      <c r="N7603" s="8">
        <f>HYPERLINK("https://www.vietnamworks.com/truong-nhom-chat-luong-2018825-jv","Xem chi tiết")</f>
        <v/>
      </c>
    </row>
    <row r="7604">
      <c r="B7604" s="9" t="n">
        <v>7602</v>
      </c>
      <c r="C7604" s="10" t="inlineStr">
        <is>
          <t>Graphic Designer (Middle/Senior) - POD</t>
        </is>
      </c>
      <c r="D7604" s="10" t="inlineStr">
        <is>
          <t>Unity In Diversity</t>
        </is>
      </c>
      <c r="E7604" s="10" t="inlineStr">
        <is>
          <t>Thương lượng</t>
        </is>
      </c>
      <c r="F7604" s="10" t="inlineStr">
        <is>
          <t>Hồ Chí Minh</t>
        </is>
      </c>
      <c r="G7604" s="10" t="inlineStr">
        <is>
          <t>Nhân viên</t>
        </is>
      </c>
      <c r="H7604" s="10" t="inlineStr">
        <is>
          <t>05/03/2026</t>
        </is>
      </c>
      <c r="I7604" s="10" t="inlineStr">
        <is>
          <t>04/04/2026</t>
        </is>
      </c>
      <c r="J7604" s="10" t="inlineStr">
        <is>
          <t>17/03/2026</t>
        </is>
      </c>
      <c r="K7604" s="10" t="inlineStr">
        <is>
          <t>N/A</t>
        </is>
      </c>
      <c r="L7604" s="10" t="inlineStr">
        <is>
          <t>Photoshop, illustrator, AI application, Checking Layout Design, Aesthetic Thinking</t>
        </is>
      </c>
      <c r="M7604" s="10" t="inlineStr">
        <is>
          <t>Bonus, Healthcare Plan, Team Activities</t>
        </is>
      </c>
      <c r="N7604" s="11">
        <f>HYPERLINK("https://www.vietnamworks.com/graphic-designer-middle-senior-pod-2018820-jv","Xem chi tiết")</f>
        <v/>
      </c>
      <c r="O7604" s="10" t="n"/>
    </row>
    <row r="7605">
      <c r="B7605" s="7" t="n">
        <v>7603</v>
      </c>
      <c r="C7605" t="inlineStr">
        <is>
          <t>Nhân Viên Kế Toán Tổng Hợp</t>
        </is>
      </c>
      <c r="D7605" t="inlineStr">
        <is>
          <t>Công Ty TNHH JVA Thành Phố Hồ Chí Minh</t>
        </is>
      </c>
      <c r="E7605" t="inlineStr">
        <is>
          <t>15tr-17tr ₫/tháng</t>
        </is>
      </c>
      <c r="F7605" t="inlineStr">
        <is>
          <t>Hồ Chí Minh</t>
        </is>
      </c>
      <c r="G7605" t="inlineStr">
        <is>
          <t>Nhân viên</t>
        </is>
      </c>
      <c r="H7605" t="inlineStr">
        <is>
          <t>05/03/2026</t>
        </is>
      </c>
      <c r="I7605" t="inlineStr">
        <is>
          <t>04/04/2026</t>
        </is>
      </c>
      <c r="J7605" t="inlineStr">
        <is>
          <t>17/03/2026</t>
        </is>
      </c>
      <c r="K7605" t="inlineStr">
        <is>
          <t>N/A</t>
        </is>
      </c>
      <c r="L7605" t="inlineStr">
        <is>
          <t>Kế Toán, Tài Chính Kế Toán, Kiểm Soát Dòng Tiền, Báo Cáo Tài Chính, Báo Cáo Thuế</t>
        </is>
      </c>
      <c r="M7605" t="inlineStr">
        <is>
          <t>Bonus, Healthcare Plan, Team Activities, Others</t>
        </is>
      </c>
      <c r="N7605" s="8">
        <f>HYPERLINK("https://www.vietnamworks.com/nhan-vien-ke-toan-tong-hop-2018834-jv","Xem chi tiết")</f>
        <v/>
      </c>
    </row>
    <row r="7606">
      <c r="B7606" s="9" t="n">
        <v>7604</v>
      </c>
      <c r="C7606" s="10" t="inlineStr">
        <is>
          <t>Nhân Viên Kế Toán (Hợp Đồng 8 Tháng)</t>
        </is>
      </c>
      <c r="D7606" s="10" t="inlineStr">
        <is>
          <t>Nissei Electric Hanoi Co., Ltd.</t>
        </is>
      </c>
      <c r="E7606" s="10" t="inlineStr">
        <is>
          <t>Thương lượng</t>
        </is>
      </c>
      <c r="F7606" s="10" t="inlineStr">
        <is>
          <t>Hà Nội</t>
        </is>
      </c>
      <c r="G7606" s="10" t="inlineStr">
        <is>
          <t>Nhân viên</t>
        </is>
      </c>
      <c r="H7606" s="10" t="inlineStr">
        <is>
          <t>05/03/2026</t>
        </is>
      </c>
      <c r="I7606" s="10" t="inlineStr">
        <is>
          <t>04/04/2026</t>
        </is>
      </c>
      <c r="J7606" s="10" t="inlineStr">
        <is>
          <t>17/03/2026</t>
        </is>
      </c>
      <c r="K7606" s="10" t="inlineStr">
        <is>
          <t>N/A</t>
        </is>
      </c>
      <c r="L7606" s="10" t="inlineStr">
        <is>
          <t>Kế Toán, Kiểm toán, Tài Chính, Kế Toán Thuế</t>
        </is>
      </c>
      <c r="M7606" s="10" t="inlineStr">
        <is>
          <t>Bonus, Training, Transportation</t>
        </is>
      </c>
      <c r="N7606" s="11">
        <f>HYPERLINK("https://www.vietnamworks.com/nhan-vien-ke-toan-hop-dong-8-thang--2018814-jv","Xem chi tiết")</f>
        <v/>
      </c>
      <c r="O7606" s="10" t="n"/>
    </row>
    <row r="7607">
      <c r="B7607" s="7" t="n">
        <v>7605</v>
      </c>
      <c r="C7607" t="inlineStr">
        <is>
          <t>Kế Toán Thuế</t>
        </is>
      </c>
      <c r="D7607" t="inlineStr">
        <is>
          <t>Công ty Cổ phần Tập đoàn Tonmat</t>
        </is>
      </c>
      <c r="E7607" t="inlineStr">
        <is>
          <t>Thương lượng</t>
        </is>
      </c>
      <c r="F7607" t="inlineStr">
        <is>
          <t>Bắc Ninh, Hà Nội</t>
        </is>
      </c>
      <c r="G7607" t="inlineStr">
        <is>
          <t>Nhân viên</t>
        </is>
      </c>
      <c r="H7607" t="inlineStr">
        <is>
          <t>05/03/2026</t>
        </is>
      </c>
      <c r="I7607" t="inlineStr">
        <is>
          <t>04/04/2026</t>
        </is>
      </c>
      <c r="J7607" t="inlineStr">
        <is>
          <t>17/03/2026</t>
        </is>
      </c>
      <c r="K7607" t="inlineStr">
        <is>
          <t>N/A</t>
        </is>
      </c>
      <c r="L7607" t="inlineStr">
        <is>
          <t>ERP, Financial Reporting, Manufacturing Accounting, Quyết Toán Thuế, Tax Accounting</t>
        </is>
      </c>
      <c r="M7607" t="inlineStr">
        <is>
          <t>Bonus, Transportation</t>
        </is>
      </c>
      <c r="N7607" s="8">
        <f>HYPERLINK("https://www.vietnamworks.com/ke-toan-thue-2018829-jv","Xem chi tiết")</f>
        <v/>
      </c>
    </row>
    <row r="7608">
      <c r="B7608" s="9" t="n">
        <v>7606</v>
      </c>
      <c r="C7608" s="10" t="inlineStr">
        <is>
          <t>Manufacturing Engineer - Open for Fresher</t>
        </is>
      </c>
      <c r="D7608" s="10" t="inlineStr">
        <is>
          <t>Ascenx Technologies (Vietnam)</t>
        </is>
      </c>
      <c r="E7608" s="10" t="inlineStr">
        <is>
          <t>Thương lượng</t>
        </is>
      </c>
      <c r="F7608" s="10" t="inlineStr">
        <is>
          <t>Hồ Chí Minh</t>
        </is>
      </c>
      <c r="G7608" s="10" t="inlineStr">
        <is>
          <t>Nhân viên</t>
        </is>
      </c>
      <c r="H7608" s="10" t="inlineStr">
        <is>
          <t>05/03/2026</t>
        </is>
      </c>
      <c r="I7608" s="10" t="inlineStr">
        <is>
          <t>04/04/2026</t>
        </is>
      </c>
      <c r="J7608" s="10" t="inlineStr">
        <is>
          <t>17/03/2026</t>
        </is>
      </c>
      <c r="K7608" s="10" t="inlineStr">
        <is>
          <t>N/A</t>
        </is>
      </c>
      <c r="L7608" s="10" t="inlineStr">
        <is>
          <t>Electrical Engineering, Process Engineer, Technical Documentation</t>
        </is>
      </c>
      <c r="M7608" s="10" t="inlineStr">
        <is>
          <t>Bonus, Healthcare Plan, Paid Leave</t>
        </is>
      </c>
      <c r="N7608" s="11">
        <f>HYPERLINK("https://www.vietnamworks.com/manufacturing-engineer-open-for-fresher-2018830-jv","Xem chi tiết")</f>
        <v/>
      </c>
      <c r="O7608" s="10" t="n"/>
    </row>
    <row r="7609">
      <c r="B7609" s="7" t="n">
        <v>7607</v>
      </c>
      <c r="C7609" t="inlineStr">
        <is>
          <t>Chuyên Viên Tuyển Dụng - Lương Thỏa Thuận Hấp Dẫn (Làm Việc Tại Vĩnh Phúc)</t>
        </is>
      </c>
      <c r="D7609" t="inlineStr">
        <is>
          <t>Công Ty TNHH Chăn Nuôi Việt Nhật - Công Ty Thành Viên Của Vinamilk</t>
        </is>
      </c>
      <c r="E7609" t="inlineStr">
        <is>
          <t>Thương lượng</t>
        </is>
      </c>
      <c r="F7609" t="inlineStr">
        <is>
          <t>Vĩnh Phúc</t>
        </is>
      </c>
      <c r="G7609" t="inlineStr">
        <is>
          <t>Nhân viên</t>
        </is>
      </c>
      <c r="H7609" t="inlineStr">
        <is>
          <t>05/03/2026</t>
        </is>
      </c>
      <c r="I7609" t="inlineStr">
        <is>
          <t>04/04/2026</t>
        </is>
      </c>
      <c r="J7609" t="inlineStr">
        <is>
          <t>17/03/2026</t>
        </is>
      </c>
      <c r="K7609" t="inlineStr">
        <is>
          <t>N/A</t>
        </is>
      </c>
      <c r="L7609" t="inlineStr">
        <is>
          <t>Relationship Management, Candidate Searching, Candidate Selecting, Candidate Evaluation, Recruiting Candidates</t>
        </is>
      </c>
      <c r="M7609" t="inlineStr">
        <is>
          <t>Bonus, Healthcare Plan, Team Activities</t>
        </is>
      </c>
      <c r="N7609" s="8">
        <f>HYPERLINK("https://www.vietnamworks.com/chuyen-vien-tuyen-dung-luong-thoa-thuan-hap-dan-lam-viec-tai-vinh-phuc-2018823-jv","Xem chi tiết")</f>
        <v/>
      </c>
    </row>
    <row r="7610">
      <c r="B7610" s="9" t="n">
        <v>7608</v>
      </c>
      <c r="C7610" s="10" t="inlineStr">
        <is>
          <t>Accounting Officer (Fixed Asset Accountant) (Hanoi Head Office - 602)</t>
        </is>
      </c>
      <c r="D7610" s="10" t="inlineStr">
        <is>
          <t>AEONMALL Vietnam Co., Ltd.</t>
        </is>
      </c>
      <c r="E7610" s="10" t="inlineStr">
        <is>
          <t>$$ 350-550 /tháng</t>
        </is>
      </c>
      <c r="F7610" s="10" t="inlineStr">
        <is>
          <t>Hà Nội</t>
        </is>
      </c>
      <c r="G7610" s="10" t="inlineStr">
        <is>
          <t>Nhân viên</t>
        </is>
      </c>
      <c r="H7610" s="10" t="inlineStr">
        <is>
          <t>05/03/2026</t>
        </is>
      </c>
      <c r="I7610" s="10" t="inlineStr">
        <is>
          <t>04/04/2026</t>
        </is>
      </c>
      <c r="J7610" s="10" t="inlineStr">
        <is>
          <t>17/03/2026</t>
        </is>
      </c>
      <c r="K7610" s="10" t="inlineStr">
        <is>
          <t>N/A</t>
        </is>
      </c>
      <c r="L7610" s="10" t="inlineStr">
        <is>
          <t>Fixed Assets Accounting, Audit Report, General Accounting, Assets Allocation, Report Analytics</t>
        </is>
      </c>
      <c r="M7610" s="10" t="inlineStr">
        <is>
          <t>Healthcare Plan, Training, Others</t>
        </is>
      </c>
      <c r="N7610" s="11">
        <f>HYPERLINK("https://www.vietnamworks.com/accounting-officer-fixed-asset-accountant-hanoi-head-office-602-2018832-jv","Xem chi tiết")</f>
        <v/>
      </c>
      <c r="O7610" s="10" t="n"/>
    </row>
    <row r="7611">
      <c r="B7611" s="7" t="n">
        <v>7609</v>
      </c>
      <c r="C7611" t="inlineStr">
        <is>
          <t>Welcome Host</t>
        </is>
      </c>
      <c r="D7611" t="inlineStr">
        <is>
          <t>S&amp;S Group</t>
        </is>
      </c>
      <c r="E7611" t="inlineStr">
        <is>
          <t>Thương lượng</t>
        </is>
      </c>
      <c r="F7611" t="inlineStr">
        <is>
          <t>Hồ Chí Minh</t>
        </is>
      </c>
      <c r="G7611" t="inlineStr">
        <is>
          <t>Mới Tốt Nghiệp</t>
        </is>
      </c>
      <c r="H7611" t="inlineStr">
        <is>
          <t>05/03/2026</t>
        </is>
      </c>
      <c r="I7611" t="inlineStr">
        <is>
          <t>04/04/2026</t>
        </is>
      </c>
      <c r="J7611" t="inlineStr">
        <is>
          <t>17/03/2026</t>
        </is>
      </c>
      <c r="K7611" t="inlineStr">
        <is>
          <t>N/A</t>
        </is>
      </c>
      <c r="L7611" t="inlineStr">
        <is>
          <t>Microsoft Office 365, Interpersonal Communication, Organizational skills, Self Learning, Dynamic Attitude</t>
        </is>
      </c>
      <c r="M7611" t="inlineStr">
        <is>
          <t>Bonus, Healthcare Plan, Team Activities</t>
        </is>
      </c>
      <c r="N7611" s="8">
        <f>HYPERLINK("https://www.vietnamworks.com/welcome-host-2018838-jv","Xem chi tiết")</f>
        <v/>
      </c>
    </row>
    <row r="7612">
      <c r="B7612" s="9" t="n">
        <v>7610</v>
      </c>
      <c r="C7612" s="10" t="inlineStr">
        <is>
          <t>Kế Toán Tổng Hợp</t>
        </is>
      </c>
      <c r="D7612" s="10" t="inlineStr">
        <is>
          <t>Công ty Cổ phần Tập đoàn Tonmat</t>
        </is>
      </c>
      <c r="E7612" s="10" t="inlineStr">
        <is>
          <t>Thương lượng</t>
        </is>
      </c>
      <c r="F7612" s="10" t="inlineStr">
        <is>
          <t>Bắc Ninh, Hà Nội</t>
        </is>
      </c>
      <c r="G7612" s="10" t="inlineStr">
        <is>
          <t>Nhân viên</t>
        </is>
      </c>
      <c r="H7612" s="10" t="inlineStr">
        <is>
          <t>05/03/2026</t>
        </is>
      </c>
      <c r="I7612" s="10" t="inlineStr">
        <is>
          <t>04/04/2026</t>
        </is>
      </c>
      <c r="J7612" s="10" t="inlineStr">
        <is>
          <t>17/03/2026</t>
        </is>
      </c>
      <c r="K7612" s="10" t="inlineStr">
        <is>
          <t>N/A</t>
        </is>
      </c>
      <c r="L7612" s="10" t="inlineStr">
        <is>
          <t>Financial Reporting, Hạch Toán, Kê Khai Thuế, Kế Toán Tổng Hợp, Lập Báo Cáo Tài Chính</t>
        </is>
      </c>
      <c r="M7612" s="10" t="inlineStr">
        <is>
          <t>Bonus, Transportation</t>
        </is>
      </c>
      <c r="N7612" s="11">
        <f>HYPERLINK("https://www.vietnamworks.com/ke-toan-tong-hop-2018839-jv","Xem chi tiết")</f>
        <v/>
      </c>
      <c r="O7612" s="10" t="n"/>
    </row>
    <row r="7613">
      <c r="B7613" s="7" t="n">
        <v>7611</v>
      </c>
      <c r="C7613" t="inlineStr">
        <is>
          <t>Payroll Manager - ASEAN</t>
        </is>
      </c>
      <c r="D7613" t="inlineStr">
        <is>
          <t>Avery Dennison Vietnam</t>
        </is>
      </c>
      <c r="E7613" t="inlineStr">
        <is>
          <t>Thương lượng</t>
        </is>
      </c>
      <c r="F7613" t="inlineStr">
        <is>
          <t>Hồ Chí Minh</t>
        </is>
      </c>
      <c r="G7613" t="inlineStr">
        <is>
          <t>Trưởng phòng</t>
        </is>
      </c>
      <c r="H7613" t="inlineStr">
        <is>
          <t>05/03/2026</t>
        </is>
      </c>
      <c r="I7613" t="inlineStr">
        <is>
          <t>04/04/2026</t>
        </is>
      </c>
      <c r="J7613" t="inlineStr">
        <is>
          <t>17/03/2026</t>
        </is>
      </c>
      <c r="K7613" t="inlineStr">
        <is>
          <t>N/A</t>
        </is>
      </c>
      <c r="L7613" t="inlineStr">
        <is>
          <t>Communication Skills, Compliance, Data Analysis, HR Operation, Payroll Management</t>
        </is>
      </c>
      <c r="M7613" t="inlineStr">
        <is>
          <t>Bonus, Healthcare Plan, Paid Leave</t>
        </is>
      </c>
      <c r="N7613" s="8">
        <f>HYPERLINK("https://www.vietnamworks.com/payroll-manager-asean-2018843-jv","Xem chi tiết")</f>
        <v/>
      </c>
    </row>
    <row r="7614">
      <c r="B7614" s="9" t="n">
        <v>7612</v>
      </c>
      <c r="C7614" s="10" t="inlineStr">
        <is>
          <t>Kế Toán Trưởng Công Ty Thành Viên</t>
        </is>
      </c>
      <c r="D7614" s="10" t="inlineStr">
        <is>
          <t>Công Ty Cổ Phần Đầu Tư Tây Bắc</t>
        </is>
      </c>
      <c r="E7614" s="10" t="inlineStr">
        <is>
          <t>Tới 30tr ₫/tháng</t>
        </is>
      </c>
      <c r="F7614" s="10" t="inlineStr">
        <is>
          <t>Hà Nội</t>
        </is>
      </c>
      <c r="G7614" s="10" t="inlineStr">
        <is>
          <t>Nhân viên</t>
        </is>
      </c>
      <c r="H7614" s="10" t="inlineStr">
        <is>
          <t>05/03/2026</t>
        </is>
      </c>
      <c r="I7614" s="10" t="inlineStr">
        <is>
          <t>04/04/2026</t>
        </is>
      </c>
      <c r="J7614" s="10" t="inlineStr">
        <is>
          <t>17/03/2026</t>
        </is>
      </c>
      <c r="K7614" s="10" t="inlineStr">
        <is>
          <t>N/A</t>
        </is>
      </c>
      <c r="L7614" s="10" t="inlineStr">
        <is>
          <t>Báo Cáo Tài Chính, Hạch Toán, Luật Thuế, Quản Lý Chứng Từ, Quản Lý Công Nợ</t>
        </is>
      </c>
      <c r="M7614" s="10" t="inlineStr">
        <is>
          <t>Bonus, Healthcare Plan, Travel Opportunities, Others</t>
        </is>
      </c>
      <c r="N7614" s="11">
        <f>HYPERLINK("https://www.vietnamworks.com/ke-toan-truong-cong-ty-thanh-vien-2018833-jv","Xem chi tiết")</f>
        <v/>
      </c>
      <c r="O7614" s="10" t="n"/>
    </row>
    <row r="7615">
      <c r="B7615" s="7" t="n">
        <v>7613</v>
      </c>
      <c r="C7615" t="inlineStr">
        <is>
          <t>Human Resources Executive</t>
        </is>
      </c>
      <c r="D7615" t="inlineStr">
        <is>
          <t>Haegen &amp; Co., Limited</t>
        </is>
      </c>
      <c r="E7615" t="inlineStr">
        <is>
          <t>Thương lượng</t>
        </is>
      </c>
      <c r="F7615" t="inlineStr">
        <is>
          <t>Hồ Chí Minh</t>
        </is>
      </c>
      <c r="G7615" t="inlineStr">
        <is>
          <t>Nhân viên</t>
        </is>
      </c>
      <c r="H7615" t="inlineStr">
        <is>
          <t>05/03/2026</t>
        </is>
      </c>
      <c r="I7615" t="inlineStr">
        <is>
          <t>04/04/2026</t>
        </is>
      </c>
      <c r="J7615" t="inlineStr">
        <is>
          <t>17/03/2026</t>
        </is>
      </c>
      <c r="K7615" t="inlineStr">
        <is>
          <t>N/A</t>
        </is>
      </c>
      <c r="L7615" t="inlineStr">
        <is>
          <t>HR, C&amp;B, Recruitment</t>
        </is>
      </c>
      <c r="M7615" t="inlineStr">
        <is>
          <t>Bonus</t>
        </is>
      </c>
      <c r="N7615" s="8">
        <f>HYPERLINK("https://www.vietnamworks.com/human-resources-executive--2018861-jv","Xem chi tiết")</f>
        <v/>
      </c>
    </row>
    <row r="7616">
      <c r="B7616" s="9" t="n">
        <v>7614</v>
      </c>
      <c r="C7616" s="10" t="inlineStr">
        <is>
          <t xml:space="preserve">CTV Sản xuất nội dung và Điều phối </t>
        </is>
      </c>
      <c r="D7616" s="10" t="inlineStr">
        <is>
          <t>Panasonic Sales Vietnam</t>
        </is>
      </c>
      <c r="E7616" s="10" t="inlineStr">
        <is>
          <t>Thương lượng</t>
        </is>
      </c>
      <c r="F7616" s="10" t="inlineStr">
        <is>
          <t>Hà Nội</t>
        </is>
      </c>
      <c r="G7616" s="10" t="inlineStr">
        <is>
          <t>Mới Tốt Nghiệp</t>
        </is>
      </c>
      <c r="H7616" s="10" t="inlineStr">
        <is>
          <t>05/03/2026</t>
        </is>
      </c>
      <c r="I7616" s="10" t="inlineStr">
        <is>
          <t>04/04/2026</t>
        </is>
      </c>
      <c r="J7616" s="10" t="inlineStr">
        <is>
          <t>17/03/2026</t>
        </is>
      </c>
      <c r="K7616" s="10" t="inlineStr">
        <is>
          <t>N/A</t>
        </is>
      </c>
      <c r="L7616" s="10" t="inlineStr">
        <is>
          <t>Sáng Tạo Nội Dung, Lên Ý Tưởng Kịch Bản, Video Content Production, Video Editor</t>
        </is>
      </c>
      <c r="M7616" s="10" t="inlineStr">
        <is>
          <t>Team Activities, Others</t>
        </is>
      </c>
      <c r="N7616" s="11">
        <f>HYPERLINK("https://www.vietnamworks.com/ctv-san-xuat-noi-dung-va-djieu-phoi-2018852-jv","Xem chi tiết")</f>
        <v/>
      </c>
      <c r="O7616" s="10" t="n"/>
    </row>
    <row r="7617">
      <c r="B7617" s="7" t="n">
        <v>7615</v>
      </c>
      <c r="C7617" t="inlineStr">
        <is>
          <t>Nhân Viên Kế Hoạch Sản Xuất (Ưu tiên Nam)</t>
        </is>
      </c>
      <c r="D7617" t="inlineStr">
        <is>
          <t>Công Ty TNHH Sumitomo Heavy Industries (Việt Nam)</t>
        </is>
      </c>
      <c r="E7617" t="inlineStr">
        <is>
          <t>$$ 400-700 /tháng</t>
        </is>
      </c>
      <c r="F7617" t="inlineStr">
        <is>
          <t>Hà Nội</t>
        </is>
      </c>
      <c r="G7617" t="inlineStr">
        <is>
          <t>Nhân viên</t>
        </is>
      </c>
      <c r="H7617" t="inlineStr">
        <is>
          <t>05/03/2026</t>
        </is>
      </c>
      <c r="I7617" t="inlineStr">
        <is>
          <t>04/04/2026</t>
        </is>
      </c>
      <c r="J7617" t="inlineStr">
        <is>
          <t>17/03/2026</t>
        </is>
      </c>
      <c r="K7617" t="inlineStr">
        <is>
          <t>N/A</t>
        </is>
      </c>
      <c r="L7617" t="inlineStr">
        <is>
          <t>Quản Lý Sản Xuất, Lập Kế Hoạch, Quản Lý Công Nghiệp, Kế Hoạch Sản Xuất, Tài Chính Kế Toán</t>
        </is>
      </c>
      <c r="M7617" t="inlineStr">
        <is>
          <t>Bonus, Healthcare Plan, Training, Travel Opportunities, Transportation</t>
        </is>
      </c>
      <c r="N7617" s="8">
        <f>HYPERLINK("https://www.vietnamworks.com/nhan-vien-ke-hoach-san-xuat-uu-tien-nam-2018845-jv","Xem chi tiết")</f>
        <v/>
      </c>
    </row>
    <row r="7618">
      <c r="B7618" s="9" t="n">
        <v>7616</v>
      </c>
      <c r="C7618" s="10" t="inlineStr">
        <is>
          <t>Sales Executive / Account Manager AI Server Hardware Solutions</t>
        </is>
      </c>
      <c r="D7618" s="10" t="inlineStr">
        <is>
          <t>TPISOFTWARE CO., LTD</t>
        </is>
      </c>
      <c r="E7618" s="10" t="inlineStr">
        <is>
          <t>Thương lượng</t>
        </is>
      </c>
      <c r="F7618" s="10" t="inlineStr">
        <is>
          <t>Hồ Chí Minh</t>
        </is>
      </c>
      <c r="G7618" s="10" t="inlineStr">
        <is>
          <t>Nhân viên</t>
        </is>
      </c>
      <c r="H7618" s="10" t="inlineStr">
        <is>
          <t>05/03/2026</t>
        </is>
      </c>
      <c r="I7618" s="10" t="inlineStr">
        <is>
          <t>04/04/2026</t>
        </is>
      </c>
      <c r="J7618" s="10" t="inlineStr">
        <is>
          <t>17/03/2026</t>
        </is>
      </c>
      <c r="K7618" s="10" t="inlineStr">
        <is>
          <t>N/A</t>
        </is>
      </c>
      <c r="L7618" s="10" t="inlineStr">
        <is>
          <t>Ai Server Sales, B2B Sales, sale IT, IT Solution Consulting, Hardware</t>
        </is>
      </c>
      <c r="M7618" s="10" t="inlineStr">
        <is>
          <t>Bonus, Healthcare Plan, Paid Leave, Team Activities, Others</t>
        </is>
      </c>
      <c r="N7618" s="11">
        <f>HYPERLINK("https://www.vietnamworks.com/sales-executive-account-manager-ai-server-hardware-solutions-2018856-jv","Xem chi tiết")</f>
        <v/>
      </c>
      <c r="O7618" s="10" t="n"/>
    </row>
    <row r="7619">
      <c r="B7619" s="7" t="n">
        <v>7617</v>
      </c>
      <c r="C7619" t="inlineStr">
        <is>
          <t>Kĩ Sư RD</t>
        </is>
      </c>
      <c r="D7619" t="inlineStr">
        <is>
          <t>CÔNG TY TNHH LOTES VIỆT NAM</t>
        </is>
      </c>
      <c r="E7619" t="inlineStr">
        <is>
          <t>18tr-35tr ₫/tháng</t>
        </is>
      </c>
      <c r="F7619" t="inlineStr">
        <is>
          <t>Thái Bình, Hà Nội, Hưng Yên</t>
        </is>
      </c>
      <c r="G7619" t="inlineStr">
        <is>
          <t>Nhân viên</t>
        </is>
      </c>
      <c r="H7619" t="inlineStr">
        <is>
          <t>05/03/2026</t>
        </is>
      </c>
      <c r="I7619" t="inlineStr">
        <is>
          <t>04/04/2026</t>
        </is>
      </c>
      <c r="J7619" t="inlineStr">
        <is>
          <t>17/03/2026</t>
        </is>
      </c>
      <c r="K7619" t="inlineStr">
        <is>
          <t>N/A</t>
        </is>
      </c>
      <c r="L7619" t="inlineStr">
        <is>
          <t>Cơ Khí, Tự Động Hóa, R&amp;D, Điện, Phát Triển Sản Phẩm</t>
        </is>
      </c>
      <c r="M7619" t="inlineStr">
        <is>
          <t>Healthcare Plan, Paid Leave, Training, Transportation, Others</t>
        </is>
      </c>
      <c r="N7619" s="8">
        <f>HYPERLINK("https://www.vietnamworks.com/ki-su-rd-2018869-jv","Xem chi tiết")</f>
        <v/>
      </c>
    </row>
    <row r="7620">
      <c r="B7620" s="9" t="n">
        <v>7618</v>
      </c>
      <c r="C7620" s="10" t="inlineStr">
        <is>
          <t>Chuyên Viên Kinh Doanh/sales B2B</t>
        </is>
      </c>
      <c r="D7620" s="10" t="inlineStr">
        <is>
          <t>Công ty Cổ phần Tập đoàn Tonmat</t>
        </is>
      </c>
      <c r="E7620" s="10" t="inlineStr">
        <is>
          <t>Thương lượng</t>
        </is>
      </c>
      <c r="F7620" s="10" t="inlineStr">
        <is>
          <t>Vĩnh Long, Cần Thơ, Bắc Ninh</t>
        </is>
      </c>
      <c r="G7620" s="10" t="inlineStr">
        <is>
          <t>Nhân viên</t>
        </is>
      </c>
      <c r="H7620" s="10" t="inlineStr">
        <is>
          <t>05/03/2026</t>
        </is>
      </c>
      <c r="I7620" s="10" t="inlineStr">
        <is>
          <t>04/04/2026</t>
        </is>
      </c>
      <c r="J7620" s="10" t="inlineStr">
        <is>
          <t>17/03/2026</t>
        </is>
      </c>
      <c r="K7620" s="10" t="inlineStr">
        <is>
          <t>N/A</t>
        </is>
      </c>
      <c r="L7620" s="10" t="inlineStr">
        <is>
          <t>Bán Hàng Dự Án, Chăm Sóc Khách Hàng, Kinh Doanh B2B, Tìm Kiếm Khách Hàng, Đàm Phán</t>
        </is>
      </c>
      <c r="M7620" s="10" t="inlineStr">
        <is>
          <t>Bonus</t>
        </is>
      </c>
      <c r="N7620" s="11">
        <f>HYPERLINK("https://www.vietnamworks.com/chuyen-vien-kinh-doanhsales-b2b-2018841-jv","Xem chi tiết")</f>
        <v/>
      </c>
      <c r="O7620" s="10" t="n"/>
    </row>
    <row r="7621">
      <c r="B7621" s="7" t="n">
        <v>7619</v>
      </c>
      <c r="C7621" t="inlineStr">
        <is>
          <t>Chuyên Viên Hành Chính Nhân Sự</t>
        </is>
      </c>
      <c r="D7621" t="inlineStr">
        <is>
          <t>Công ty TNHH Nagen</t>
        </is>
      </c>
      <c r="E7621" t="inlineStr">
        <is>
          <t>12tr-15tr ₫/tháng</t>
        </is>
      </c>
      <c r="F7621" t="inlineStr">
        <is>
          <t>Hà Nội</t>
        </is>
      </c>
      <c r="G7621" t="inlineStr">
        <is>
          <t>Nhân viên</t>
        </is>
      </c>
      <c r="H7621" t="inlineStr">
        <is>
          <t>05/03/2026</t>
        </is>
      </c>
      <c r="I7621" t="inlineStr">
        <is>
          <t>04/04/2026</t>
        </is>
      </c>
      <c r="J7621" t="inlineStr">
        <is>
          <t>17/03/2026</t>
        </is>
      </c>
      <c r="K7621" t="inlineStr">
        <is>
          <t>N/A</t>
        </is>
      </c>
      <c r="L7621" t="inlineStr">
        <is>
          <t>Admin, HR, HRBP, Tính Lương, Tuyển Dụng</t>
        </is>
      </c>
      <c r="M7621" t="inlineStr">
        <is>
          <t>Bonus, Healthcare Plan, Training, Team Activities, Others</t>
        </is>
      </c>
      <c r="N7621" s="8">
        <f>HYPERLINK("https://www.vietnamworks.com/chuyen-vien-hanh-chinh-nhan-su-2018840-jv","Xem chi tiết")</f>
        <v/>
      </c>
    </row>
    <row r="7622">
      <c r="B7622" s="9" t="n">
        <v>7620</v>
      </c>
      <c r="C7622" s="10" t="inlineStr">
        <is>
          <t>Trưởng Phòng Pháp Chế</t>
        </is>
      </c>
      <c r="D7622" s="10" t="inlineStr">
        <is>
          <t>Tập Đoàn  Y Tế Việt - Nga</t>
        </is>
      </c>
      <c r="E7622" s="10" t="inlineStr">
        <is>
          <t>35tr-50tr ₫/tháng</t>
        </is>
      </c>
      <c r="F7622" s="10" t="inlineStr">
        <is>
          <t>Hà Nội</t>
        </is>
      </c>
      <c r="G7622" s="10" t="inlineStr">
        <is>
          <t>Giám Đốc và Cấp Cao Hơn</t>
        </is>
      </c>
      <c r="H7622" s="10" t="inlineStr">
        <is>
          <t>05/03/2026</t>
        </is>
      </c>
      <c r="I7622" s="10" t="inlineStr">
        <is>
          <t>04/04/2026</t>
        </is>
      </c>
      <c r="J7622" s="10" t="inlineStr">
        <is>
          <t>17/03/2026</t>
        </is>
      </c>
      <c r="K7622" s="10" t="inlineStr">
        <is>
          <t>N/A</t>
        </is>
      </c>
      <c r="L7622" s="10" t="inlineStr">
        <is>
          <t>Kỹ Năng Quản Lý, Kiểm Soát Rủi Ro, Quản Trị Tuân Thủ, Tố Tụng, Tư Vấn Pháp Lý</t>
        </is>
      </c>
      <c r="M7622" s="10" t="inlineStr">
        <is>
          <t>Bonus, Healthcare Plan, Others</t>
        </is>
      </c>
      <c r="N7622" s="11">
        <f>HYPERLINK("https://www.vietnamworks.com/truong-phong-phap-che-2018847-jv","Xem chi tiết")</f>
        <v/>
      </c>
      <c r="O7622" s="10" t="n"/>
    </row>
    <row r="7623">
      <c r="B7623" s="7" t="n">
        <v>7621</v>
      </c>
      <c r="C7623" t="inlineStr">
        <is>
          <t>Kỹ Sư Kinh Tế Xây Dựng/ Dự Toán</t>
        </is>
      </c>
      <c r="D7623" t="inlineStr">
        <is>
          <t>CÔNG TY CỔ PHẦN ĐẦU TƯ XÂY DỰNG IMC VIỆT NAM</t>
        </is>
      </c>
      <c r="E7623" t="inlineStr">
        <is>
          <t>15tr-30tr ₫/tháng</t>
        </is>
      </c>
      <c r="F7623" t="inlineStr">
        <is>
          <t>Hà Nội</t>
        </is>
      </c>
      <c r="G7623" t="inlineStr">
        <is>
          <t>Nhân viên</t>
        </is>
      </c>
      <c r="H7623" t="inlineStr">
        <is>
          <t>05/03/2026</t>
        </is>
      </c>
      <c r="I7623" t="inlineStr">
        <is>
          <t>04/04/2026</t>
        </is>
      </c>
      <c r="J7623" t="inlineStr">
        <is>
          <t>17/03/2026</t>
        </is>
      </c>
      <c r="K7623" t="inlineStr">
        <is>
          <t>N/A</t>
        </is>
      </c>
      <c r="L7623" t="inlineStr">
        <is>
          <t>Xây Dựng, Kinh Tế Xây Dựng, Dự Toán, Bóc Tách Khối Lượng, AutoCAD</t>
        </is>
      </c>
      <c r="M7623" t="inlineStr">
        <is>
          <t>Bonus, Healthcare Plan, Others</t>
        </is>
      </c>
      <c r="N7623" s="8">
        <f>HYPERLINK("https://www.vietnamworks.com/ky-su-kinh-te-xay-dung-du-toan--2018858-jv","Xem chi tiết")</f>
        <v/>
      </c>
    </row>
    <row r="7624">
      <c r="B7624" s="9" t="n">
        <v>7622</v>
      </c>
      <c r="C7624" s="10" t="inlineStr">
        <is>
          <t>L&amp;D Manager</t>
        </is>
      </c>
      <c r="D7624" s="10" t="inlineStr">
        <is>
          <t>Công Ty Cổ Phần Sữa VitaDairy Việt Nam</t>
        </is>
      </c>
      <c r="E7624" s="10" t="inlineStr">
        <is>
          <t>Thương lượng</t>
        </is>
      </c>
      <c r="F7624" s="10" t="inlineStr">
        <is>
          <t>Hồ Chí Minh</t>
        </is>
      </c>
      <c r="G7624" s="10" t="inlineStr">
        <is>
          <t>Trưởng phòng</t>
        </is>
      </c>
      <c r="H7624" s="10" t="inlineStr">
        <is>
          <t>05/03/2026</t>
        </is>
      </c>
      <c r="I7624" s="10" t="inlineStr">
        <is>
          <t>04/04/2026</t>
        </is>
      </c>
      <c r="J7624" s="10" t="inlineStr">
        <is>
          <t>17/03/2026</t>
        </is>
      </c>
      <c r="K7624" s="10" t="inlineStr">
        <is>
          <t>N/A</t>
        </is>
      </c>
      <c r="L7624" s="10" t="inlineStr">
        <is>
          <t>N/A</t>
        </is>
      </c>
      <c r="M7624" s="10" t="inlineStr">
        <is>
          <t>Bonus, Healthcare Plan, Training, Team Activities, Others</t>
        </is>
      </c>
      <c r="N7624" s="11">
        <f>HYPERLINK("https://www.vietnamworks.com/landd-manager-2018855-jv","Xem chi tiết")</f>
        <v/>
      </c>
      <c r="O7624" s="10" t="n"/>
    </row>
    <row r="7625">
      <c r="B7625" s="7" t="n">
        <v>7623</v>
      </c>
      <c r="C7625" t="inlineStr">
        <is>
          <t>Thư Ký Tổng Giám Đốc</t>
        </is>
      </c>
      <c r="D7625" t="inlineStr">
        <is>
          <t>Công Ty Cổ Phần Apollo Silicone</t>
        </is>
      </c>
      <c r="E7625" t="inlineStr">
        <is>
          <t>Thương lượng</t>
        </is>
      </c>
      <c r="F7625" t="inlineStr">
        <is>
          <t>Hồ Chí Minh</t>
        </is>
      </c>
      <c r="G7625" t="inlineStr">
        <is>
          <t>Trưởng phòng</t>
        </is>
      </c>
      <c r="H7625" t="inlineStr">
        <is>
          <t>05/03/2026</t>
        </is>
      </c>
      <c r="I7625" t="inlineStr">
        <is>
          <t>04/04/2026</t>
        </is>
      </c>
      <c r="J7625" t="inlineStr">
        <is>
          <t>17/03/2026</t>
        </is>
      </c>
      <c r="K7625" t="inlineStr">
        <is>
          <t>N/A</t>
        </is>
      </c>
      <c r="L7625" t="inlineStr">
        <is>
          <t>Trợ Lý, Tiếng Anh, Nghiệp Vụ Thư Ký, Tài Chính Kế Toán, M&amp;A</t>
        </is>
      </c>
      <c r="M7625" t="inlineStr">
        <is>
          <t>Bonus, Healthcare Plan, Training</t>
        </is>
      </c>
      <c r="N7625" s="8">
        <f>HYPERLINK("https://www.vietnamworks.com/thu-ky-tong-giam-doc--2018868-jv","Xem chi tiết")</f>
        <v/>
      </c>
    </row>
    <row r="7626">
      <c r="B7626" s="9" t="n">
        <v>7624</v>
      </c>
      <c r="C7626" s="10" t="inlineStr">
        <is>
          <t>Chuyên Viên Kinh Doanh Qua Điện Thoại Sản Phẩm Vay Không Có TSBĐ ( Telesale )</t>
        </is>
      </c>
      <c r="D7626" s="10" t="inlineStr">
        <is>
          <t>Ngân Hàng TMCP Quốc Tế Việt Nam (VIB)</t>
        </is>
      </c>
      <c r="E7626" s="10" t="inlineStr">
        <is>
          <t>Thương lượng</t>
        </is>
      </c>
      <c r="F7626" s="10" t="inlineStr">
        <is>
          <t>Hà Nội</t>
        </is>
      </c>
      <c r="G7626" s="10" t="inlineStr">
        <is>
          <t>Nhân viên</t>
        </is>
      </c>
      <c r="H7626" s="10" t="inlineStr">
        <is>
          <t>05/03/2026</t>
        </is>
      </c>
      <c r="I7626" s="10" t="inlineStr">
        <is>
          <t>04/04/2026</t>
        </is>
      </c>
      <c r="J7626" s="10" t="inlineStr">
        <is>
          <t>17/03/2026</t>
        </is>
      </c>
      <c r="K7626" s="10" t="inlineStr">
        <is>
          <t>N/A</t>
        </is>
      </c>
      <c r="L7626" s="10" t="inlineStr">
        <is>
          <t>Tư Vấn Qua Điện Thoại, Telesales, ngân hàng, Sales</t>
        </is>
      </c>
      <c r="M7626" s="10" t="inlineStr">
        <is>
          <t>Bonus, Paid Leave, Travel Opportunities</t>
        </is>
      </c>
      <c r="N7626" s="11">
        <f>HYPERLINK("https://www.vietnamworks.com/chuyen-vien-kinh-doanh-qua-dien-thoai-san-pham-vay-khong-co-tsbd-telesale--2018844-jv","Xem chi tiết")</f>
        <v/>
      </c>
      <c r="O7626" s="10" t="n"/>
    </row>
    <row r="7627">
      <c r="B7627" s="7" t="n">
        <v>7625</v>
      </c>
      <c r="C7627" t="inlineStr">
        <is>
          <t>Giám Sát Chính Xây Dựng / Senior Site Supervisor</t>
        </is>
      </c>
      <c r="D7627" t="inlineStr">
        <is>
          <t>Handong Engineering &amp; Construction JSC</t>
        </is>
      </c>
      <c r="E7627" t="inlineStr">
        <is>
          <t>Thương lượng</t>
        </is>
      </c>
      <c r="F7627" t="inlineStr">
        <is>
          <t>Hồ Chí Minh, Đồng Nai</t>
        </is>
      </c>
      <c r="G7627" t="inlineStr">
        <is>
          <t>Nhân viên</t>
        </is>
      </c>
      <c r="H7627" t="inlineStr">
        <is>
          <t>05/03/2026</t>
        </is>
      </c>
      <c r="I7627" t="inlineStr">
        <is>
          <t>04/04/2026</t>
        </is>
      </c>
      <c r="J7627" t="inlineStr">
        <is>
          <t>17/03/2026</t>
        </is>
      </c>
      <c r="K7627" t="inlineStr">
        <is>
          <t>N/A</t>
        </is>
      </c>
      <c r="L7627" t="inlineStr">
        <is>
          <t>Chỉ Huy Phó Công Trình, Construction, Civil Construction, Chỉ Huy Công Trình, Xây Dựng</t>
        </is>
      </c>
      <c r="M7627" t="inlineStr">
        <is>
          <t>Bonus, Healthcare Plan, Team Activities</t>
        </is>
      </c>
      <c r="N7627" s="8">
        <f>HYPERLINK("https://www.vietnamworks.com/giam-sat-chinh-xay-dung-senior-site-supervisor-2018851-jv","Xem chi tiết")</f>
        <v/>
      </c>
    </row>
    <row r="7628">
      <c r="B7628" s="9" t="n">
        <v>7626</v>
      </c>
      <c r="C7628" s="10" t="inlineStr">
        <is>
          <t>Trưởng phòng Nhân sự - Công ty Thực phẩm Golden Gate</t>
        </is>
      </c>
      <c r="D7628" s="10" t="inlineStr">
        <is>
          <t>Công ty Cổ phần Tập đoàn Golden Gate</t>
        </is>
      </c>
      <c r="E7628" s="10" t="inlineStr">
        <is>
          <t>Thương lượng</t>
        </is>
      </c>
      <c r="F7628" s="10" t="inlineStr">
        <is>
          <t>Hòa Bình</t>
        </is>
      </c>
      <c r="G7628" s="10" t="inlineStr">
        <is>
          <t>Trưởng phòng</t>
        </is>
      </c>
      <c r="H7628" s="10" t="inlineStr">
        <is>
          <t>05/03/2026</t>
        </is>
      </c>
      <c r="I7628" s="10" t="inlineStr">
        <is>
          <t>04/04/2026</t>
        </is>
      </c>
      <c r="J7628" s="10" t="inlineStr">
        <is>
          <t>17/03/2026</t>
        </is>
      </c>
      <c r="K7628" s="10" t="inlineStr">
        <is>
          <t>N/A</t>
        </is>
      </c>
      <c r="L7628" s="10" t="inlineStr">
        <is>
          <t>Giao Tiếp, Luật Lao Động, Phân Tích Dữ Liệu, Quản Trị Nhân Sự, Quản Trị Đội Ngũ</t>
        </is>
      </c>
      <c r="M7628" s="10" t="inlineStr">
        <is>
          <t>Others</t>
        </is>
      </c>
      <c r="N7628" s="11">
        <f>HYPERLINK("https://www.vietnamworks.com/truong-phong-nhan-su-cong-ty-thuc-pham-golden-gate-2018859-jv","Xem chi tiết")</f>
        <v/>
      </c>
      <c r="O7628" s="10" t="n"/>
    </row>
    <row r="7629">
      <c r="B7629" s="7" t="n">
        <v>7627</v>
      </c>
      <c r="C7629" t="inlineStr">
        <is>
          <t>Nhân Viên Tuyển Dụng</t>
        </is>
      </c>
      <c r="D7629" t="inlineStr">
        <is>
          <t>Công ty Cổ phần Quốc tế Chăm sóc sức khỏe doanh nghiệp Yecxanh</t>
        </is>
      </c>
      <c r="E7629" t="inlineStr">
        <is>
          <t>Thương lượng</t>
        </is>
      </c>
      <c r="F7629" t="inlineStr">
        <is>
          <t>Hà Nội</t>
        </is>
      </c>
      <c r="G7629" t="inlineStr">
        <is>
          <t>Nhân viên</t>
        </is>
      </c>
      <c r="H7629" t="inlineStr">
        <is>
          <t>05/03/2026</t>
        </is>
      </c>
      <c r="I7629" t="inlineStr">
        <is>
          <t>04/04/2026</t>
        </is>
      </c>
      <c r="J7629" t="inlineStr">
        <is>
          <t>17/03/2026</t>
        </is>
      </c>
      <c r="K7629" t="inlineStr">
        <is>
          <t>N/A</t>
        </is>
      </c>
      <c r="L7629" t="inlineStr">
        <is>
          <t>Phỏng Vấn Tuyển Dụng, Tuyển Dụng, Lưu Trữ Hồ Sơ, Sàng Lọc Hồ Sơ, Đăng Tin</t>
        </is>
      </c>
      <c r="M7629" t="inlineStr">
        <is>
          <t>Bonus, Healthcare Plan, Training, Others</t>
        </is>
      </c>
      <c r="N7629" s="8">
        <f>HYPERLINK("https://www.vietnamworks.com/nhan-vien-tuyen-dung-2018848-jv","Xem chi tiết")</f>
        <v/>
      </c>
    </row>
    <row r="7630">
      <c r="B7630" s="9" t="n">
        <v>7628</v>
      </c>
      <c r="C7630" s="10" t="inlineStr">
        <is>
          <t>Trưởng Phòng Quản Lý Thương Mại</t>
        </is>
      </c>
      <c r="D7630" s="10" t="inlineStr">
        <is>
          <t>T&amp;T Group</t>
        </is>
      </c>
      <c r="E7630" s="10" t="inlineStr">
        <is>
          <t>Thương lượng</t>
        </is>
      </c>
      <c r="F7630" s="10" t="inlineStr">
        <is>
          <t>Hà Nội</t>
        </is>
      </c>
      <c r="G7630" s="10" t="inlineStr">
        <is>
          <t>Trưởng phòng</t>
        </is>
      </c>
      <c r="H7630" s="10" t="inlineStr">
        <is>
          <t>05/03/2026</t>
        </is>
      </c>
      <c r="I7630" s="10" t="inlineStr">
        <is>
          <t>04/04/2026</t>
        </is>
      </c>
      <c r="J7630" s="10" t="inlineStr">
        <is>
          <t>17/03/2026</t>
        </is>
      </c>
      <c r="K7630" s="10" t="inlineStr">
        <is>
          <t>N/A</t>
        </is>
      </c>
      <c r="L7630" s="10" t="inlineStr">
        <is>
          <t>Phát Triển Kinh Doanh</t>
        </is>
      </c>
      <c r="M7630" s="10" t="inlineStr">
        <is>
          <t>Bonus, Healthcare Plan, Others</t>
        </is>
      </c>
      <c r="N7630" s="11">
        <f>HYPERLINK("https://www.vietnamworks.com/truong-phong-quan-ly-thuong-mai-2018864-jv","Xem chi tiết")</f>
        <v/>
      </c>
      <c r="O7630" s="10" t="n"/>
    </row>
    <row r="7631">
      <c r="B7631" s="7" t="n">
        <v>7629</v>
      </c>
      <c r="C7631" t="inlineStr">
        <is>
          <t>Live Stream Host / Anchor</t>
        </is>
      </c>
      <c r="D7631" t="inlineStr">
        <is>
          <t>Haegen &amp; Co., Limited</t>
        </is>
      </c>
      <c r="E7631" t="inlineStr">
        <is>
          <t>$$ 500-1,000 /tháng</t>
        </is>
      </c>
      <c r="F7631" t="inlineStr">
        <is>
          <t>Hồ Chí Minh</t>
        </is>
      </c>
      <c r="G7631" t="inlineStr">
        <is>
          <t>Nhân viên</t>
        </is>
      </c>
      <c r="H7631" t="inlineStr">
        <is>
          <t>05/03/2026</t>
        </is>
      </c>
      <c r="I7631" t="inlineStr">
        <is>
          <t>04/04/2026</t>
        </is>
      </c>
      <c r="J7631" t="inlineStr">
        <is>
          <t>17/03/2026</t>
        </is>
      </c>
      <c r="K7631" t="inlineStr">
        <is>
          <t>N/A</t>
        </is>
      </c>
      <c r="L7631" t="inlineStr">
        <is>
          <t>Broadcasting, Communication Skills, Interpersonal Skills, Live Streaming, Script Writing</t>
        </is>
      </c>
      <c r="M7631" t="inlineStr">
        <is>
          <t>Bonus, Healthcare Plan, Training, Others</t>
        </is>
      </c>
      <c r="N7631" s="8">
        <f>HYPERLINK("https://www.vietnamworks.com/live-stream-host-anchor-2018873-jv","Xem chi tiết")</f>
        <v/>
      </c>
    </row>
    <row r="7632">
      <c r="B7632" s="9" t="n">
        <v>7630</v>
      </c>
      <c r="C7632" s="10" t="inlineStr">
        <is>
          <t>Telesales Team Leader</t>
        </is>
      </c>
      <c r="D7632" s="10" t="inlineStr">
        <is>
          <t>Concentrix</t>
        </is>
      </c>
      <c r="E7632" s="10" t="inlineStr">
        <is>
          <t>35tr-45tr ₫/tháng</t>
        </is>
      </c>
      <c r="F7632" s="10" t="inlineStr">
        <is>
          <t>Hồ Chí Minh</t>
        </is>
      </c>
      <c r="G7632" s="10" t="inlineStr">
        <is>
          <t>Trưởng phòng</t>
        </is>
      </c>
      <c r="H7632" s="10" t="inlineStr">
        <is>
          <t>05/03/2026</t>
        </is>
      </c>
      <c r="I7632" s="10" t="inlineStr">
        <is>
          <t>04/04/2026</t>
        </is>
      </c>
      <c r="J7632" s="10" t="inlineStr">
        <is>
          <t>17/03/2026</t>
        </is>
      </c>
      <c r="K7632" s="10" t="inlineStr">
        <is>
          <t>N/A</t>
        </is>
      </c>
      <c r="L7632" s="10" t="inlineStr">
        <is>
          <t>Business Development, Quản Lý Telesales, Quản Lý Đội Ngũ Kinh Doanh, Telesales, Telesales Management</t>
        </is>
      </c>
      <c r="M7632" s="10" t="inlineStr">
        <is>
          <t>Bonus, Healthcare Plan, Paid Leave, Others</t>
        </is>
      </c>
      <c r="N7632" s="11">
        <f>HYPERLINK("https://www.vietnamworks.com/telesales-team-leader-2018870-jv","Xem chi tiết")</f>
        <v/>
      </c>
      <c r="O7632" s="10" t="n"/>
    </row>
    <row r="7633">
      <c r="B7633" s="7" t="n">
        <v>7631</v>
      </c>
      <c r="C7633" t="inlineStr">
        <is>
          <t>Production Manager (Quản Lý Sản Xuất) - Lương Tới 30 Triệu</t>
        </is>
      </c>
      <c r="D7633" t="inlineStr">
        <is>
          <t>Công Ty TNHH Ina Vina</t>
        </is>
      </c>
      <c r="E7633" t="inlineStr">
        <is>
          <t>$$ 804-996 /tháng</t>
        </is>
      </c>
      <c r="F7633" t="inlineStr">
        <is>
          <t>Hưng Yên</t>
        </is>
      </c>
      <c r="G7633" t="inlineStr">
        <is>
          <t>Trưởng phòng</t>
        </is>
      </c>
      <c r="H7633" t="inlineStr">
        <is>
          <t>05/03/2026</t>
        </is>
      </c>
      <c r="I7633" t="inlineStr">
        <is>
          <t>04/04/2026</t>
        </is>
      </c>
      <c r="J7633" t="inlineStr">
        <is>
          <t>17/03/2026</t>
        </is>
      </c>
      <c r="K7633" t="inlineStr">
        <is>
          <t>N/A</t>
        </is>
      </c>
      <c r="L7633" t="inlineStr">
        <is>
          <t>Problem-solving, Production Management, Production Planning, Quality Control, Team Management</t>
        </is>
      </c>
      <c r="M7633" t="inlineStr">
        <is>
          <t>Bonus, Healthcare Plan, Training, Team Activities, Others</t>
        </is>
      </c>
      <c r="N7633" s="8">
        <f>HYPERLINK("https://www.vietnamworks.com/production-manager-quan-ly-san-xuat-luong-toi-30-trieu-2018878-jv","Xem chi tiết")</f>
        <v/>
      </c>
    </row>
    <row r="7634">
      <c r="B7634" s="9" t="n">
        <v>7632</v>
      </c>
      <c r="C7634" s="10" t="inlineStr">
        <is>
          <t>Pricing Staff</t>
        </is>
      </c>
      <c r="D7634" s="10" t="inlineStr">
        <is>
          <t>Công Ty TNHH Dịch Vụ Giao Nhận Hàng Hóa Thời Gian</t>
        </is>
      </c>
      <c r="E7634" s="10" t="inlineStr">
        <is>
          <t>Thương lượng</t>
        </is>
      </c>
      <c r="F7634" s="10" t="inlineStr">
        <is>
          <t>Hồ Chí Minh</t>
        </is>
      </c>
      <c r="G7634" s="10" t="inlineStr">
        <is>
          <t>Nhân viên</t>
        </is>
      </c>
      <c r="H7634" s="10" t="inlineStr">
        <is>
          <t>05/03/2026</t>
        </is>
      </c>
      <c r="I7634" s="10" t="inlineStr">
        <is>
          <t>04/04/2026</t>
        </is>
      </c>
      <c r="J7634" s="10" t="inlineStr">
        <is>
          <t>17/03/2026</t>
        </is>
      </c>
      <c r="K7634" s="10" t="inlineStr">
        <is>
          <t>N/A</t>
        </is>
      </c>
      <c r="L7634" s="10" t="inlineStr">
        <is>
          <t>Pricing Hàng Xuất Nhập Khẩu, Freight Forwarding, Air Freight Pricing, Xuất Nhập Khẩu, Hậu Cần</t>
        </is>
      </c>
      <c r="M7634" s="10" t="inlineStr">
        <is>
          <t>Bonus, Paid Leave, Training</t>
        </is>
      </c>
      <c r="N7634" s="11">
        <f>HYPERLINK("https://www.vietnamworks.com/pricing-staff--2018880-jv","Xem chi tiết")</f>
        <v/>
      </c>
      <c r="O7634" s="10" t="n"/>
    </row>
    <row r="7635">
      <c r="B7635" s="7" t="n">
        <v>7633</v>
      </c>
      <c r="C7635" t="inlineStr">
        <is>
          <t>Kỹ Thuật Viên Bảo Trì Máy - Thiết Bị / Maintenance Technician</t>
        </is>
      </c>
      <c r="D7635" t="inlineStr">
        <is>
          <t>CÔNG TY TNHH LOTES VIỆT NAM</t>
        </is>
      </c>
      <c r="E7635" t="inlineStr">
        <is>
          <t>12tr-15tr ₫/tháng</t>
        </is>
      </c>
      <c r="F7635" t="inlineStr">
        <is>
          <t>Thái Bình, Hà Nội, Hưng Yên</t>
        </is>
      </c>
      <c r="G7635" t="inlineStr">
        <is>
          <t>Nhân viên</t>
        </is>
      </c>
      <c r="H7635" t="inlineStr">
        <is>
          <t>05/03/2026</t>
        </is>
      </c>
      <c r="I7635" t="inlineStr">
        <is>
          <t>04/04/2026</t>
        </is>
      </c>
      <c r="J7635" t="inlineStr">
        <is>
          <t>17/03/2026</t>
        </is>
      </c>
      <c r="K7635" t="inlineStr">
        <is>
          <t>N/A</t>
        </is>
      </c>
      <c r="L7635" t="inlineStr">
        <is>
          <t>Sửa Chửa Máy CNC, Cơ Khí, Kỹ Thuật, Máy CNC, Điện</t>
        </is>
      </c>
      <c r="M7635" t="inlineStr">
        <is>
          <t>Healthcare Plan, Paid Leave, Training, Transportation, Others</t>
        </is>
      </c>
      <c r="N7635" s="8">
        <f>HYPERLINK("https://www.vietnamworks.com/ky-thuat-vien-bao-tri-may-thiet-bi-maintenance-technician-2018887-jv","Xem chi tiết")</f>
        <v/>
      </c>
    </row>
    <row r="7636">
      <c r="B7636" s="9" t="n">
        <v>7634</v>
      </c>
      <c r="C7636" s="10" t="inlineStr">
        <is>
          <t>Tổ Trưởng Sản Xuất - Leader Production</t>
        </is>
      </c>
      <c r="D7636" s="10" t="inlineStr">
        <is>
          <t>CÔNG TY CỔ PHẦN CHẾ BIẾN THỰC PHẨM HOÀNG SƠN</t>
        </is>
      </c>
      <c r="E7636" s="10" t="inlineStr">
        <is>
          <t>11tr-13tr ₫/tháng</t>
        </is>
      </c>
      <c r="F7636" s="10" t="inlineStr">
        <is>
          <t>Bình Dương</t>
        </is>
      </c>
      <c r="G7636" s="10" t="inlineStr">
        <is>
          <t>Nhân viên</t>
        </is>
      </c>
      <c r="H7636" s="10" t="inlineStr">
        <is>
          <t>05/03/2026</t>
        </is>
      </c>
      <c r="I7636" s="10" t="inlineStr">
        <is>
          <t>04/04/2026</t>
        </is>
      </c>
      <c r="J7636" s="10" t="inlineStr">
        <is>
          <t>17/03/2026</t>
        </is>
      </c>
      <c r="K7636" s="10" t="inlineStr">
        <is>
          <t>N/A</t>
        </is>
      </c>
      <c r="L7636" s="10" t="inlineStr">
        <is>
          <t>Kiểm Soát Chất Lượng, Kiểm Soát Số Lượng, Quản Lý Sản Xuất, Đào Tạo Nhân Lực</t>
        </is>
      </c>
      <c r="M7636" s="10" t="inlineStr">
        <is>
          <t>Healthcare Plan, Transportation, Canteen, Others</t>
        </is>
      </c>
      <c r="N7636" s="11">
        <f>HYPERLINK("https://www.vietnamworks.com/to-truong-san-xuat-leader-production-2018900-jv","Xem chi tiết")</f>
        <v/>
      </c>
      <c r="O7636" s="10" t="n"/>
    </row>
    <row r="7637">
      <c r="B7637" s="7" t="n">
        <v>7635</v>
      </c>
      <c r="C7637" t="inlineStr">
        <is>
          <t>HR &amp; Admin Staff</t>
        </is>
      </c>
      <c r="D7637" t="inlineStr">
        <is>
          <t>Công Ty TNHH Accountant Assist Global</t>
        </is>
      </c>
      <c r="E7637" t="inlineStr">
        <is>
          <t>Thương lượng</t>
        </is>
      </c>
      <c r="F7637" t="inlineStr">
        <is>
          <t>Hồ Chí Minh</t>
        </is>
      </c>
      <c r="G7637" t="inlineStr">
        <is>
          <t>Nhân viên</t>
        </is>
      </c>
      <c r="H7637" t="inlineStr">
        <is>
          <t>05/03/2026</t>
        </is>
      </c>
      <c r="I7637" t="inlineStr">
        <is>
          <t>04/04/2026</t>
        </is>
      </c>
      <c r="J7637" t="inlineStr">
        <is>
          <t>17/03/2026</t>
        </is>
      </c>
      <c r="K7637" t="inlineStr">
        <is>
          <t>N/A</t>
        </is>
      </c>
      <c r="L7637" t="inlineStr">
        <is>
          <t>Australian Tax, HR, Hành Chính, Nhân Sự, Administration</t>
        </is>
      </c>
      <c r="M7637" t="inlineStr">
        <is>
          <t>Bonus, Awards, Travel Opportunities</t>
        </is>
      </c>
      <c r="N7637" s="8">
        <f>HYPERLINK("https://www.vietnamworks.com/hr-admin-staff--2018888-jv","Xem chi tiết")</f>
        <v/>
      </c>
    </row>
    <row r="7638">
      <c r="B7638" s="9" t="n">
        <v>7636</v>
      </c>
      <c r="C7638" s="10" t="inlineStr">
        <is>
          <t>Chuyên Viên Tài Chính/FP&amp;A</t>
        </is>
      </c>
      <c r="D7638" s="10" t="inlineStr">
        <is>
          <t>Công Ty Cổ Phần Công Nghệ Sapo</t>
        </is>
      </c>
      <c r="E7638" s="10" t="inlineStr">
        <is>
          <t>Thương lượng</t>
        </is>
      </c>
      <c r="F7638" s="10" t="inlineStr">
        <is>
          <t>Hà Nội</t>
        </is>
      </c>
      <c r="G7638" s="10" t="inlineStr">
        <is>
          <t>Nhân viên</t>
        </is>
      </c>
      <c r="H7638" s="10" t="inlineStr">
        <is>
          <t>05/03/2026</t>
        </is>
      </c>
      <c r="I7638" s="10" t="inlineStr">
        <is>
          <t>04/04/2026</t>
        </is>
      </c>
      <c r="J7638" s="10" t="inlineStr">
        <is>
          <t>17/03/2026</t>
        </is>
      </c>
      <c r="K7638" s="10" t="inlineStr">
        <is>
          <t>N/A</t>
        </is>
      </c>
      <c r="L7638" s="10" t="inlineStr">
        <is>
          <t>Kế Toán, Kiểm Toán, Phân Tích Tài Chính, Phân Tích Tư Duy, Tài Chính</t>
        </is>
      </c>
      <c r="M7638" s="10" t="inlineStr">
        <is>
          <t>Bonus, Healthcare Plan, Training, Others</t>
        </is>
      </c>
      <c r="N7638" s="11">
        <f>HYPERLINK("https://www.vietnamworks.com/chuyen-vien-tai-chinhfpanda-2018884-jv","Xem chi tiết")</f>
        <v/>
      </c>
      <c r="O7638" s="10" t="n"/>
    </row>
    <row r="7639">
      <c r="B7639" s="7" t="n">
        <v>7637</v>
      </c>
      <c r="C7639" t="inlineStr">
        <is>
          <t>Middle Sales IT</t>
        </is>
      </c>
      <c r="D7639" t="inlineStr">
        <is>
          <t>Công Ty Cổ Phần VTI</t>
        </is>
      </c>
      <c r="E7639" t="inlineStr">
        <is>
          <t>Thương lượng</t>
        </is>
      </c>
      <c r="F7639" t="inlineStr">
        <is>
          <t>Hà Nội</t>
        </is>
      </c>
      <c r="G7639" t="inlineStr">
        <is>
          <t>Nhân viên</t>
        </is>
      </c>
      <c r="H7639" t="inlineStr">
        <is>
          <t>05/03/2026</t>
        </is>
      </c>
      <c r="I7639" t="inlineStr">
        <is>
          <t>04/04/2026</t>
        </is>
      </c>
      <c r="J7639" t="inlineStr">
        <is>
          <t>17/03/2026</t>
        </is>
      </c>
      <c r="K7639" t="inlineStr">
        <is>
          <t>N/A</t>
        </is>
      </c>
      <c r="L7639" t="inlineStr">
        <is>
          <t>Công Nghệ Thông Tin, Kinh Doanh, Kinh Doanh Dự Án Phần Mềm, Tìm Kiếm Khách Hàng, Phát Triển Thị Trường</t>
        </is>
      </c>
      <c r="M7639" t="inlineStr">
        <is>
          <t>Bonus, Training, Travel Opportunities</t>
        </is>
      </c>
      <c r="N7639" s="8">
        <f>HYPERLINK("https://www.vietnamworks.com/middle-sales-it-2018874-jv","Xem chi tiết")</f>
        <v/>
      </c>
    </row>
    <row r="7640">
      <c r="B7640" s="9" t="n">
        <v>7638</v>
      </c>
      <c r="C7640" s="10" t="inlineStr">
        <is>
          <t>Nhân Viên Thiết Kế Đồ Họa</t>
        </is>
      </c>
      <c r="D7640" s="10" t="inlineStr">
        <is>
          <t>Công Ty TNHH Du Lịch Trần Việt (Transviet)</t>
        </is>
      </c>
      <c r="E7640" s="10" t="inlineStr">
        <is>
          <t>Thương lượng</t>
        </is>
      </c>
      <c r="F7640" s="10" t="inlineStr">
        <is>
          <t>Hồ Chí Minh</t>
        </is>
      </c>
      <c r="G7640" s="10" t="inlineStr">
        <is>
          <t>Nhân viên</t>
        </is>
      </c>
      <c r="H7640" s="10" t="inlineStr">
        <is>
          <t>05/03/2026</t>
        </is>
      </c>
      <c r="I7640" s="10" t="inlineStr">
        <is>
          <t>04/04/2026</t>
        </is>
      </c>
      <c r="J7640" s="10" t="inlineStr">
        <is>
          <t>17/03/2026</t>
        </is>
      </c>
      <c r="K7640" s="10" t="inlineStr">
        <is>
          <t>N/A</t>
        </is>
      </c>
      <c r="L7640" s="10" t="inlineStr">
        <is>
          <t>Brochure Design, Thiết Kế Proposal, Adobe Illustrator, Adobe Photoshop, Thiết Kế Đồ Họa</t>
        </is>
      </c>
      <c r="M7640" s="10" t="inlineStr">
        <is>
          <t>Bonus, Training, Travel Opportunities</t>
        </is>
      </c>
      <c r="N7640" s="11">
        <f>HYPERLINK("https://www.vietnamworks.com/nhan-vien-thiet-ke-do-hoa--2018876-jv","Xem chi tiết")</f>
        <v/>
      </c>
      <c r="O7640" s="10" t="n"/>
    </row>
    <row r="7641">
      <c r="B7641" s="7" t="n">
        <v>7639</v>
      </c>
      <c r="C7641" t="inlineStr">
        <is>
          <t>Chuyên Viên Kiểm Soát Chất Lượng Thị Trường</t>
        </is>
      </c>
      <c r="D7641" t="inlineStr">
        <is>
          <t>Tập Đoàn Thiên Long - Thien Long Corporation</t>
        </is>
      </c>
      <c r="E7641" t="inlineStr">
        <is>
          <t>Thương lượng</t>
        </is>
      </c>
      <c r="F7641" t="inlineStr">
        <is>
          <t>Hồ Chí Minh</t>
        </is>
      </c>
      <c r="G7641" t="inlineStr">
        <is>
          <t>Nhân viên</t>
        </is>
      </c>
      <c r="H7641" t="inlineStr">
        <is>
          <t>05/03/2026</t>
        </is>
      </c>
      <c r="I7641" t="inlineStr">
        <is>
          <t>04/04/2026</t>
        </is>
      </c>
      <c r="J7641" t="inlineStr">
        <is>
          <t>17/03/2026</t>
        </is>
      </c>
      <c r="K7641" t="inlineStr">
        <is>
          <t>N/A</t>
        </is>
      </c>
      <c r="L7641" t="inlineStr">
        <is>
          <t>Giao Tiếp Tốt, Thành thạo tin học văn phòng, Lập Báo Cáo</t>
        </is>
      </c>
      <c r="M7641" t="inlineStr">
        <is>
          <t>Bonus, Paid Leave, Training</t>
        </is>
      </c>
      <c r="N7641" s="8">
        <f>HYPERLINK("https://www.vietnamworks.com/chuyen-vien-kiem-soat-chat-luong-thi-truong-2018889-jv","Xem chi tiết")</f>
        <v/>
      </c>
    </row>
    <row r="7642">
      <c r="B7642" s="9" t="n">
        <v>7640</v>
      </c>
      <c r="C7642" s="10" t="inlineStr">
        <is>
          <t>Supervisory Human Resources Specialist Hanoi-2026-09S</t>
        </is>
      </c>
      <c r="D7642" s="10" t="inlineStr">
        <is>
          <t>U.S. Mission Vietnam – U.S. Embassy In Hanoi</t>
        </is>
      </c>
      <c r="E7642" s="10" t="inlineStr">
        <is>
          <t>Thương lượng</t>
        </is>
      </c>
      <c r="F7642" s="10" t="inlineStr">
        <is>
          <t>Hà Nội</t>
        </is>
      </c>
      <c r="G7642" s="10" t="inlineStr">
        <is>
          <t>Nhân viên</t>
        </is>
      </c>
      <c r="H7642" s="10" t="inlineStr">
        <is>
          <t>05/03/2026</t>
        </is>
      </c>
      <c r="I7642" s="10" t="inlineStr">
        <is>
          <t>04/04/2026</t>
        </is>
      </c>
      <c r="J7642" s="10" t="inlineStr">
        <is>
          <t>17/03/2026</t>
        </is>
      </c>
      <c r="K7642" s="10" t="inlineStr">
        <is>
          <t>N/A</t>
        </is>
      </c>
      <c r="L7642" s="10" t="inlineStr">
        <is>
          <t>English, Administration, Human resource, Human Resources Management, Supervisory skills</t>
        </is>
      </c>
      <c r="M7642" s="10" t="inlineStr">
        <is>
          <t>Bonus, Healthcare Plan, Others</t>
        </is>
      </c>
      <c r="N7642" s="11">
        <f>HYPERLINK("https://www.vietnamworks.com/supervisory-human-resources-specialist-hanoi-2026-09s-2018886-jv","Xem chi tiết")</f>
        <v/>
      </c>
      <c r="O7642" s="10" t="n"/>
    </row>
    <row r="7643">
      <c r="B7643" s="7" t="n">
        <v>7641</v>
      </c>
      <c r="C7643" t="inlineStr">
        <is>
          <t>Marketing Manager (Web3/Blockchain/Crypto)</t>
        </is>
      </c>
      <c r="D7643" t="inlineStr">
        <is>
          <t>Công ty Cổ phần Sàn giao dịch Tài sản mã hóa Việt Nam Thịnh Vượng</t>
        </is>
      </c>
      <c r="E7643" t="inlineStr">
        <is>
          <t>$$ 2,000-3,000 /tháng</t>
        </is>
      </c>
      <c r="F7643" t="inlineStr">
        <is>
          <t>Hà Nội</t>
        </is>
      </c>
      <c r="G7643" t="inlineStr">
        <is>
          <t>Trưởng phòng</t>
        </is>
      </c>
      <c r="H7643" t="inlineStr">
        <is>
          <t>05/03/2026</t>
        </is>
      </c>
      <c r="I7643" t="inlineStr">
        <is>
          <t>04/04/2026</t>
        </is>
      </c>
      <c r="J7643" t="inlineStr">
        <is>
          <t>17/03/2026</t>
        </is>
      </c>
      <c r="K7643" t="inlineStr">
        <is>
          <t>N/A</t>
        </is>
      </c>
      <c r="L7643" t="inlineStr">
        <is>
          <t>Blockchain, Campaign Management, Data Analysis, Leadership, Marketing Strategy</t>
        </is>
      </c>
      <c r="M7643" t="inlineStr">
        <is>
          <t>Bonus, Healthcare Plan, Laptop, Others</t>
        </is>
      </c>
      <c r="N7643" s="8">
        <f>HYPERLINK("https://www.vietnamworks.com/marketing-manager-web3blockchaincrypto-2018893-jv","Xem chi tiết")</f>
        <v/>
      </c>
    </row>
    <row r="7644">
      <c r="B7644" s="9" t="n">
        <v>7642</v>
      </c>
      <c r="C7644" s="10" t="inlineStr">
        <is>
          <t>Kỹ Sư Lắp Đặt Sửa Chữa Máy CNC / Field Service Engineer</t>
        </is>
      </c>
      <c r="D7644" s="10" t="inlineStr">
        <is>
          <t>Makino Vietnam Co., Ltd</t>
        </is>
      </c>
      <c r="E7644" s="10" t="inlineStr">
        <is>
          <t>Thương lượng</t>
        </is>
      </c>
      <c r="F7644" s="10" t="inlineStr">
        <is>
          <t>Hồ Chí Minh</t>
        </is>
      </c>
      <c r="G7644" s="10" t="inlineStr">
        <is>
          <t>Nhân viên</t>
        </is>
      </c>
      <c r="H7644" s="10" t="inlineStr">
        <is>
          <t>05/03/2026</t>
        </is>
      </c>
      <c r="I7644" s="10" t="inlineStr">
        <is>
          <t>04/04/2026</t>
        </is>
      </c>
      <c r="J7644" s="10" t="inlineStr">
        <is>
          <t>17/03/2026</t>
        </is>
      </c>
      <c r="K7644" s="10" t="inlineStr">
        <is>
          <t>N/A</t>
        </is>
      </c>
      <c r="L7644" s="10" t="inlineStr">
        <is>
          <t>Bảo Dưỡng Máy Móc, Máy CNC, Lắp Đặt Thiết Bị, Tiếng Anh, Mechanical Engineering</t>
        </is>
      </c>
      <c r="M7644" s="10" t="inlineStr">
        <is>
          <t>Healthcare Plan, Training, Transportation</t>
        </is>
      </c>
      <c r="N7644" s="11">
        <f>HYPERLINK("https://www.vietnamworks.com/ky-su-lap-dat-sua-chua-may-cnc-field-service-engineer--2018872-jv","Xem chi tiết")</f>
        <v/>
      </c>
      <c r="O7644" s="10" t="n"/>
    </row>
    <row r="7645">
      <c r="B7645" s="7" t="n">
        <v>7643</v>
      </c>
      <c r="C7645" t="inlineStr">
        <is>
          <t>Trưởng Phòng Tài Chính</t>
        </is>
      </c>
      <c r="D7645" t="inlineStr">
        <is>
          <t>Công Ty Cổ Phần VTI</t>
        </is>
      </c>
      <c r="E7645" t="inlineStr">
        <is>
          <t>Thương lượng</t>
        </is>
      </c>
      <c r="F7645" t="inlineStr">
        <is>
          <t>Hà Nội</t>
        </is>
      </c>
      <c r="G7645" t="inlineStr">
        <is>
          <t>Trưởng phòng</t>
        </is>
      </c>
      <c r="H7645" t="inlineStr">
        <is>
          <t>05/03/2026</t>
        </is>
      </c>
      <c r="I7645" t="inlineStr">
        <is>
          <t>04/04/2026</t>
        </is>
      </c>
      <c r="J7645" t="inlineStr">
        <is>
          <t>17/03/2026</t>
        </is>
      </c>
      <c r="K7645" t="inlineStr">
        <is>
          <t>N/A</t>
        </is>
      </c>
      <c r="L7645" t="inlineStr">
        <is>
          <t>Tài Chính Kế Toán, Financial Management, CFA, ERP, Phân Tích Tài Chính</t>
        </is>
      </c>
      <c r="M7645" t="inlineStr">
        <is>
          <t>Bonus, Training, Travel Opportunities</t>
        </is>
      </c>
      <c r="N7645" s="8">
        <f>HYPERLINK("https://www.vietnamworks.com/truong-phong-tai-chinh--2018883-jv","Xem chi tiết")</f>
        <v/>
      </c>
    </row>
    <row r="7646">
      <c r="B7646" s="9" t="n">
        <v>7644</v>
      </c>
      <c r="C7646" s="10" t="inlineStr">
        <is>
          <t>[Bắc Ninh] Trưởng Phòng Kế Toán - Lương 20-35Tr - Đi Làm Ngay</t>
        </is>
      </c>
      <c r="D7646" s="10" t="inlineStr">
        <is>
          <t>CÔNG TY TNHH ALUMINUM VIỆT ECO</t>
        </is>
      </c>
      <c r="E7646" s="10" t="inlineStr">
        <is>
          <t>20tr-35tr ₫/tháng</t>
        </is>
      </c>
      <c r="F7646" s="10" t="inlineStr">
        <is>
          <t>Bắc Ninh</t>
        </is>
      </c>
      <c r="G7646" s="10" t="inlineStr">
        <is>
          <t>Trưởng phòng</t>
        </is>
      </c>
      <c r="H7646" s="10" t="inlineStr">
        <is>
          <t>05/03/2026</t>
        </is>
      </c>
      <c r="I7646" s="10" t="inlineStr">
        <is>
          <t>04/04/2026</t>
        </is>
      </c>
      <c r="J7646" s="10" t="inlineStr">
        <is>
          <t>17/03/2026</t>
        </is>
      </c>
      <c r="K7646" s="10" t="inlineStr">
        <is>
          <t>N/A</t>
        </is>
      </c>
      <c r="L7646" s="10" t="inlineStr">
        <is>
          <t>Kế Toán, Kiểm Toán, Phần mềm kế toán, Lãnh Đạo, Quản Lý Kế Toán</t>
        </is>
      </c>
      <c r="M7646" s="10" t="inlineStr">
        <is>
          <t>Bonus, Healthcare Plan, Others</t>
        </is>
      </c>
      <c r="N7646" s="11">
        <f>HYPERLINK("https://www.vietnamworks.com/bac-ninh-truong-phong-ke-toan-luong-20-35tr-dji-lam-ngay-2018882-jv","Xem chi tiết")</f>
        <v/>
      </c>
      <c r="O7646" s="10" t="n"/>
    </row>
    <row r="7647">
      <c r="B7647" s="7" t="n">
        <v>7645</v>
      </c>
      <c r="C7647" t="inlineStr">
        <is>
          <t>Chuyên Viên Phát Triển Dự Án (Năng Lượng – Môi Trường)</t>
        </is>
      </c>
      <c r="D7647" t="inlineStr">
        <is>
          <t>CÔNG TY CỔ PHẦN CẨM THẠCH XANH</t>
        </is>
      </c>
      <c r="E7647" t="inlineStr">
        <is>
          <t>Thương lượng</t>
        </is>
      </c>
      <c r="F7647" t="inlineStr">
        <is>
          <t>Hà Nội</t>
        </is>
      </c>
      <c r="G7647" t="inlineStr">
        <is>
          <t>Nhân viên</t>
        </is>
      </c>
      <c r="H7647" t="inlineStr">
        <is>
          <t>05/03/2026</t>
        </is>
      </c>
      <c r="I7647" t="inlineStr">
        <is>
          <t>04/04/2026</t>
        </is>
      </c>
      <c r="J7647" t="inlineStr">
        <is>
          <t>17/03/2026</t>
        </is>
      </c>
      <c r="K7647" t="inlineStr">
        <is>
          <t>N/A</t>
        </is>
      </c>
      <c r="L7647" t="inlineStr">
        <is>
          <t>Kỹ Thuật Xử Lý Chất Thải, Môi Trường, Năng lượng điện mặt trời, Quản Lý Dự Án, Triển Khai Dự Án</t>
        </is>
      </c>
      <c r="M7647" t="inlineStr">
        <is>
          <t>Healthcare Plan</t>
        </is>
      </c>
      <c r="N7647" s="8">
        <f>HYPERLINK("https://www.vietnamworks.com/chuyen-vien-phat-trien-du-an-nang-luong-moi-truong-2018877-jv","Xem chi tiết")</f>
        <v/>
      </c>
    </row>
    <row r="7648">
      <c r="B7648" s="9" t="n">
        <v>7646</v>
      </c>
      <c r="C7648" s="10" t="inlineStr">
        <is>
          <t>Project Officer</t>
        </is>
      </c>
      <c r="D7648" s="10" t="inlineStr">
        <is>
          <t>Công Ty TNHH Giáo Dục Và Đào Tạo Vinacademy</t>
        </is>
      </c>
      <c r="E7648" s="10" t="inlineStr">
        <is>
          <t>Thương lượng</t>
        </is>
      </c>
      <c r="F7648" s="10" t="inlineStr">
        <is>
          <t>Hà Nội</t>
        </is>
      </c>
      <c r="G7648" s="10" t="inlineStr">
        <is>
          <t>Nhân viên</t>
        </is>
      </c>
      <c r="H7648" s="10" t="inlineStr">
        <is>
          <t>05/03/2026</t>
        </is>
      </c>
      <c r="I7648" s="10" t="inlineStr">
        <is>
          <t>04/04/2026</t>
        </is>
      </c>
      <c r="J7648" s="10" t="inlineStr">
        <is>
          <t>17/03/2026</t>
        </is>
      </c>
      <c r="K7648" s="10" t="inlineStr">
        <is>
          <t>N/A</t>
        </is>
      </c>
      <c r="L7648" s="10" t="inlineStr">
        <is>
          <t>Project Development, Healthcare Industry, Construction, Civil Engineering, Project Office</t>
        </is>
      </c>
      <c r="M7648" s="10" t="inlineStr">
        <is>
          <t>Healthcare Plan, Training, Laptop</t>
        </is>
      </c>
      <c r="N7648" s="11">
        <f>HYPERLINK("https://www.vietnamworks.com/project-officer--2018890-jv","Xem chi tiết")</f>
        <v/>
      </c>
      <c r="O7648" s="10" t="n"/>
    </row>
    <row r="7649">
      <c r="B7649" s="7" t="n">
        <v>7647</v>
      </c>
      <c r="C7649" t="inlineStr">
        <is>
          <t>Tuyển Gấp Kỹ Sư Xây Dựng Hiện Trường - Chấp Nhận Ứng Viên Mới Ra Trường!</t>
        </is>
      </c>
      <c r="D7649" t="inlineStr">
        <is>
          <t>Công ty cổ phần xây dựng số 1</t>
        </is>
      </c>
      <c r="E7649" t="inlineStr">
        <is>
          <t>14tr-20tr ₫/tháng</t>
        </is>
      </c>
      <c r="F7649" t="inlineStr">
        <is>
          <t>Hà Nam, Hà Nội</t>
        </is>
      </c>
      <c r="G7649" t="inlineStr">
        <is>
          <t>Mới Tốt Nghiệp</t>
        </is>
      </c>
      <c r="H7649" t="inlineStr">
        <is>
          <t>05/03/2026</t>
        </is>
      </c>
      <c r="I7649" t="inlineStr">
        <is>
          <t>04/04/2026</t>
        </is>
      </c>
      <c r="J7649" t="inlineStr">
        <is>
          <t>17/03/2026</t>
        </is>
      </c>
      <c r="K7649" t="inlineStr">
        <is>
          <t>N/A</t>
        </is>
      </c>
      <c r="L7649" t="inlineStr">
        <is>
          <t>AutoCAD, Microsoft Project, Giám Sát Thi Công, Shop Drawing, Xây Dựng Dân Dụng</t>
        </is>
      </c>
      <c r="M7649" t="inlineStr">
        <is>
          <t>Bonus, Healthcare Plan, Training, Others</t>
        </is>
      </c>
      <c r="N7649" s="8">
        <f>HYPERLINK("https://www.vietnamworks.com/tuyen-gap-ky-su-xay-dung-hien-truong-chap-nhan-ung-vien-moi-ra-truong-2018897-jv","Xem chi tiết")</f>
        <v/>
      </c>
    </row>
    <row r="7650">
      <c r="B7650" s="9" t="n">
        <v>7648</v>
      </c>
      <c r="C7650" s="10" t="inlineStr">
        <is>
          <t>Kỹ Sư Vận Hành Kỹ Thuật Tòa Nhà (Cơ)</t>
        </is>
      </c>
      <c r="D7650" s="10" t="inlineStr">
        <is>
          <t>LOTTE Properties Hanoi (LOTTE MALL West Lake Hanoi)</t>
        </is>
      </c>
      <c r="E7650" s="10" t="inlineStr">
        <is>
          <t>Thương lượng</t>
        </is>
      </c>
      <c r="F7650" s="10" t="inlineStr">
        <is>
          <t>Hà Nội</t>
        </is>
      </c>
      <c r="G7650" s="10" t="inlineStr">
        <is>
          <t>Nhân viên</t>
        </is>
      </c>
      <c r="H7650" s="10" t="inlineStr">
        <is>
          <t>05/03/2026</t>
        </is>
      </c>
      <c r="I7650" s="10" t="inlineStr">
        <is>
          <t>04/04/2026</t>
        </is>
      </c>
      <c r="J7650" s="10" t="inlineStr">
        <is>
          <t>17/03/2026</t>
        </is>
      </c>
      <c r="K7650" s="10" t="inlineStr">
        <is>
          <t>N/A</t>
        </is>
      </c>
      <c r="L7650" s="10" t="inlineStr">
        <is>
          <t>Cơ Khí, Giao Tiếp Tốt, Giải quyết vấn đề, Cơ Khí Bảo Trì</t>
        </is>
      </c>
      <c r="M7650" s="10" t="inlineStr">
        <is>
          <t>Bonus, Paid Leave, Vouchers</t>
        </is>
      </c>
      <c r="N7650" s="11">
        <f>HYPERLINK("https://www.vietnamworks.com/ky-su-van-hanh-ky-thuat-toa-nha-co--2018899-jv","Xem chi tiết")</f>
        <v/>
      </c>
      <c r="O7650" s="10" t="n"/>
    </row>
    <row r="7651">
      <c r="B7651" s="7" t="n">
        <v>7649</v>
      </c>
      <c r="C7651" t="inlineStr">
        <is>
          <t>Kỹ Sư Xây Dựng Dân Dụng Và Công Nghiệp Tại Long An</t>
        </is>
      </c>
      <c r="D7651" t="inlineStr">
        <is>
          <t>CÔNG TY TNHH ĐẦU TƯ VÀ XÂY DỰNG QUẢNG THUẬN - LONG AN</t>
        </is>
      </c>
      <c r="E7651" t="inlineStr">
        <is>
          <t>Thương lượng</t>
        </is>
      </c>
      <c r="F7651" t="inlineStr">
        <is>
          <t>Long An, Tây Ninh</t>
        </is>
      </c>
      <c r="G7651" t="inlineStr">
        <is>
          <t>Nhân viên</t>
        </is>
      </c>
      <c r="H7651" t="inlineStr">
        <is>
          <t>05/03/2026</t>
        </is>
      </c>
      <c r="I7651" t="inlineStr">
        <is>
          <t>04/04/2026</t>
        </is>
      </c>
      <c r="J7651" t="inlineStr">
        <is>
          <t>17/03/2026</t>
        </is>
      </c>
      <c r="K7651" t="inlineStr">
        <is>
          <t>N/A</t>
        </is>
      </c>
      <c r="L7651" t="inlineStr">
        <is>
          <t>Bóc Tách Khối Lượng, Giám Sát Thi Công, Quản Lý Tiến Độ, Thi Công Công Trình, Xây Dựng Dân Dụng</t>
        </is>
      </c>
      <c r="M7651" t="inlineStr">
        <is>
          <t>Bonus, Healthcare Plan, Travel Opportunities, Team Activities</t>
        </is>
      </c>
      <c r="N7651" s="8">
        <f>HYPERLINK("https://www.vietnamworks.com/ky-su-xay-dung-dan-dung-va-cong-nghiep-tai-long-an-2018911-jv","Xem chi tiết")</f>
        <v/>
      </c>
    </row>
    <row r="7652">
      <c r="B7652" s="9" t="n">
        <v>7650</v>
      </c>
      <c r="C7652" s="10" t="inlineStr">
        <is>
          <t>Chuyên Viên Pháp Chế</t>
        </is>
      </c>
      <c r="D7652" s="10" t="inlineStr">
        <is>
          <t>PEGATRON VIETNAM</t>
        </is>
      </c>
      <c r="E7652" s="10" t="inlineStr">
        <is>
          <t>15tr-20tr ₫/tháng</t>
        </is>
      </c>
      <c r="F7652" s="10" t="inlineStr">
        <is>
          <t>Hải Phòng</t>
        </is>
      </c>
      <c r="G7652" s="10" t="inlineStr">
        <is>
          <t>Nhân viên</t>
        </is>
      </c>
      <c r="H7652" s="10" t="inlineStr">
        <is>
          <t>05/03/2026</t>
        </is>
      </c>
      <c r="I7652" s="10" t="inlineStr">
        <is>
          <t>04/04/2026</t>
        </is>
      </c>
      <c r="J7652" s="10" t="inlineStr">
        <is>
          <t>17/03/2026</t>
        </is>
      </c>
      <c r="K7652" s="10" t="inlineStr">
        <is>
          <t>N/A</t>
        </is>
      </c>
      <c r="L7652" s="10" t="inlineStr">
        <is>
          <t>Hợp Đồng Tín Dụng, Pháp Luật, Luật Thương Mại, Pháp Chế, Tiếng Trung</t>
        </is>
      </c>
      <c r="M7652" s="10" t="inlineStr">
        <is>
          <t>Laptop, Transportation, Canteen</t>
        </is>
      </c>
      <c r="N7652" s="11">
        <f>HYPERLINK("https://www.vietnamworks.com/chuyen-vien-phap-che-2018928-jv","Xem chi tiết")</f>
        <v/>
      </c>
      <c r="O7652" s="10" t="n"/>
    </row>
    <row r="7653">
      <c r="B7653" s="7" t="n">
        <v>7651</v>
      </c>
      <c r="C7653" t="inlineStr">
        <is>
          <t>Key Account Manager National Chains</t>
        </is>
      </c>
      <c r="D7653" t="inlineStr">
        <is>
          <t>Công ty TNHH Hoàng Phong Dana</t>
        </is>
      </c>
      <c r="E7653" t="inlineStr">
        <is>
          <t>Thương lượng</t>
        </is>
      </c>
      <c r="F7653" t="inlineStr">
        <is>
          <t>Hồ Chí Minh</t>
        </is>
      </c>
      <c r="G7653" t="inlineStr">
        <is>
          <t>Trưởng phòng</t>
        </is>
      </c>
      <c r="H7653" t="inlineStr">
        <is>
          <t>05/03/2026</t>
        </is>
      </c>
      <c r="I7653" t="inlineStr">
        <is>
          <t>04/04/2026</t>
        </is>
      </c>
      <c r="J7653" t="inlineStr">
        <is>
          <t>17/03/2026</t>
        </is>
      </c>
      <c r="K7653" t="inlineStr">
        <is>
          <t>N/A</t>
        </is>
      </c>
      <c r="L7653" t="inlineStr">
        <is>
          <t>Key Account Management, Negotiation Skills, Data Analysis, Strategic Planning, Team Management</t>
        </is>
      </c>
      <c r="M7653" t="inlineStr">
        <is>
          <t>Bonus, Others</t>
        </is>
      </c>
      <c r="N7653" s="8">
        <f>HYPERLINK("https://www.vietnamworks.com/key-account-manager-national-chains-2018924-jv","Xem chi tiết")</f>
        <v/>
      </c>
    </row>
    <row r="7654">
      <c r="B7654" s="9" t="n">
        <v>7652</v>
      </c>
      <c r="C7654" s="10" t="inlineStr">
        <is>
          <t>Trưởng Ban Quản Lý Và Vận Hành KĐT (Head Of Urban Management And Operation)</t>
        </is>
      </c>
      <c r="D7654" s="10" t="inlineStr">
        <is>
          <t>Công Ty Cổ Phần Tập Đoàn Danko</t>
        </is>
      </c>
      <c r="E7654" s="10" t="inlineStr">
        <is>
          <t>$$ 2,000-3,000 /tháng</t>
        </is>
      </c>
      <c r="F7654" s="10" t="inlineStr">
        <is>
          <t>Thái Nguyên, Bắc Giang, Vĩnh Phúc</t>
        </is>
      </c>
      <c r="G7654" s="10" t="inlineStr">
        <is>
          <t>Giám Đốc và Cấp Cao Hơn</t>
        </is>
      </c>
      <c r="H7654" s="10" t="inlineStr">
        <is>
          <t>05/03/2026</t>
        </is>
      </c>
      <c r="I7654" s="10" t="inlineStr">
        <is>
          <t>04/04/2026</t>
        </is>
      </c>
      <c r="J7654" s="10" t="inlineStr">
        <is>
          <t>17/03/2026</t>
        </is>
      </c>
      <c r="K7654" s="10" t="inlineStr">
        <is>
          <t>N/A</t>
        </is>
      </c>
      <c r="L7654" s="10" t="inlineStr">
        <is>
          <t>Giải Quyết Vấn Đề, Giao Tiếp, Lãnh Đạo, Quản Lý, Thẩm Định Vấn Đề</t>
        </is>
      </c>
      <c r="M7654" s="10" t="inlineStr">
        <is>
          <t>Bonus, Healthcare Plan, Training, Team Activities</t>
        </is>
      </c>
      <c r="N7654" s="11">
        <f>HYPERLINK("https://www.vietnamworks.com/truong-ban-quan-ly-va-van-hanh-kdjt-head-of-urban-management-and-operation-2018926-jv","Xem chi tiết")</f>
        <v/>
      </c>
      <c r="O7654" s="10" t="n"/>
    </row>
    <row r="7655">
      <c r="B7655" s="7" t="n">
        <v>7653</v>
      </c>
      <c r="C7655" t="inlineStr">
        <is>
          <t>Giám Đốc Kinh Doanh – Sales Online (Thu Nhập 50-100 Triệu)</t>
        </is>
      </c>
      <c r="D7655" t="inlineStr">
        <is>
          <t>Công ty TNHH Himen Art</t>
        </is>
      </c>
      <c r="E7655" t="inlineStr">
        <is>
          <t>50tr-100tr ₫/tháng</t>
        </is>
      </c>
      <c r="F7655" t="inlineStr">
        <is>
          <t>Hà Nội</t>
        </is>
      </c>
      <c r="G7655" t="inlineStr">
        <is>
          <t>Giám Đốc và Cấp Cao Hơn</t>
        </is>
      </c>
      <c r="H7655" t="inlineStr">
        <is>
          <t>05/03/2026</t>
        </is>
      </c>
      <c r="I7655" t="inlineStr">
        <is>
          <t>04/04/2026</t>
        </is>
      </c>
      <c r="J7655" t="inlineStr">
        <is>
          <t>17/03/2026</t>
        </is>
      </c>
      <c r="K7655" t="inlineStr">
        <is>
          <t>N/A</t>
        </is>
      </c>
      <c r="L7655" t="inlineStr">
        <is>
          <t>Google Analytics, Kinh Doanh Online, Lãnh Đạo, Phân Tích Thị Trường, Tư Duy Chiến Lược</t>
        </is>
      </c>
      <c r="M7655" t="inlineStr">
        <is>
          <t>Bonus, Paid Leave, Team Activities, Others</t>
        </is>
      </c>
      <c r="N7655" s="8">
        <f>HYPERLINK("https://www.vietnamworks.com/giam-djoc-kinh-doanh-sales-online-thu-nhap-50-100-trieu-2018914-jv","Xem chi tiết")</f>
        <v/>
      </c>
    </row>
    <row r="7656">
      <c r="B7656" s="9" t="n">
        <v>7654</v>
      </c>
      <c r="C7656" s="10" t="inlineStr">
        <is>
          <t>Business Intelligence/data Analytics Manager (CXG)</t>
        </is>
      </c>
      <c r="D7656" s="10" t="inlineStr">
        <is>
          <t>Công Ty Cổ Phần Sữa VitaDairy Việt Nam</t>
        </is>
      </c>
      <c r="E7656" s="10" t="inlineStr">
        <is>
          <t>Thương lượng</t>
        </is>
      </c>
      <c r="F7656" s="10" t="inlineStr">
        <is>
          <t>Hồ Chí Minh</t>
        </is>
      </c>
      <c r="G7656" s="10" t="inlineStr">
        <is>
          <t>Trưởng phòng</t>
        </is>
      </c>
      <c r="H7656" s="10" t="inlineStr">
        <is>
          <t>05/03/2026</t>
        </is>
      </c>
      <c r="I7656" s="10" t="inlineStr">
        <is>
          <t>04/04/2026</t>
        </is>
      </c>
      <c r="J7656" s="10" t="inlineStr">
        <is>
          <t>17/03/2026</t>
        </is>
      </c>
      <c r="K7656" s="10" t="inlineStr">
        <is>
          <t>N/A</t>
        </is>
      </c>
      <c r="L7656" s="10" t="inlineStr">
        <is>
          <t>Crm Software Proficiency, Data Analysis, Data Integration, Digital Marketing Tools, Leadership</t>
        </is>
      </c>
      <c r="M7656" s="10" t="inlineStr">
        <is>
          <t>Bonus, Healthcare Plan, Training, Travel Opportunities, Team Activities, Others</t>
        </is>
      </c>
      <c r="N7656" s="11">
        <f>HYPERLINK("https://www.vietnamworks.com/business-intelligencedata-analytics-manager-cxg-2018901-jv","Xem chi tiết")</f>
        <v/>
      </c>
      <c r="O7656" s="10" t="n"/>
    </row>
    <row r="7657">
      <c r="B7657" s="7" t="n">
        <v>7655</v>
      </c>
      <c r="C7657" t="inlineStr">
        <is>
          <t>Operations Coordinator</t>
        </is>
      </c>
      <c r="D7657" t="inlineStr">
        <is>
          <t>CÔNG TY TNHH GIÁO DỤC E-MAISON VIỆT NAM</t>
        </is>
      </c>
      <c r="E7657" t="inlineStr">
        <is>
          <t>Thương lượng</t>
        </is>
      </c>
      <c r="F7657" t="inlineStr">
        <is>
          <t>Hồ Chí Minh</t>
        </is>
      </c>
      <c r="G7657" t="inlineStr">
        <is>
          <t>Nhân viên</t>
        </is>
      </c>
      <c r="H7657" t="inlineStr">
        <is>
          <t>05/03/2026</t>
        </is>
      </c>
      <c r="I7657" t="inlineStr">
        <is>
          <t>04/04/2026</t>
        </is>
      </c>
      <c r="J7657" t="inlineStr">
        <is>
          <t>17/03/2026</t>
        </is>
      </c>
      <c r="K7657" t="inlineStr">
        <is>
          <t>N/A</t>
        </is>
      </c>
      <c r="L7657" t="inlineStr">
        <is>
          <t>School Operations, Operations Management, Office Administration, Operation coordination, Operations Administration</t>
        </is>
      </c>
      <c r="M7657" t="inlineStr">
        <is>
          <t>Training, Team Activities, Others</t>
        </is>
      </c>
      <c r="N7657" s="8">
        <f>HYPERLINK("https://www.vietnamworks.com/operations-coordinator-2018931-jv","Xem chi tiết")</f>
        <v/>
      </c>
    </row>
    <row r="7658">
      <c r="B7658" s="9" t="n">
        <v>7656</v>
      </c>
      <c r="C7658" s="10" t="inlineStr">
        <is>
          <t>Chuyên Viên Tuyển Dụng &amp; Đào Tạo</t>
        </is>
      </c>
      <c r="D7658" s="10" t="inlineStr">
        <is>
          <t>Công ty TNHH Thương Mại Dịch Vụ Kỹ Thuật Cao Hùng _ Oshima</t>
        </is>
      </c>
      <c r="E7658" s="10" t="inlineStr">
        <is>
          <t>Thương lượng</t>
        </is>
      </c>
      <c r="F7658" s="10" t="inlineStr">
        <is>
          <t>Hồ Chí Minh</t>
        </is>
      </c>
      <c r="G7658" s="10" t="inlineStr">
        <is>
          <t>Nhân viên</t>
        </is>
      </c>
      <c r="H7658" s="10" t="inlineStr">
        <is>
          <t>05/03/2026</t>
        </is>
      </c>
      <c r="I7658" s="10" t="inlineStr">
        <is>
          <t>04/04/2026</t>
        </is>
      </c>
      <c r="J7658" s="10" t="inlineStr">
        <is>
          <t>17/03/2026</t>
        </is>
      </c>
      <c r="K7658" s="10" t="inlineStr">
        <is>
          <t>N/A</t>
        </is>
      </c>
      <c r="L7658" s="10" t="inlineStr">
        <is>
          <t>Tuyển Dụng Nhân Sự, Đào Tạo Nội Bộ, Kỹ năng giao tiêp, kỹ năng đào tạo, Giao Tiếp</t>
        </is>
      </c>
      <c r="M7658" s="10" t="inlineStr">
        <is>
          <t>Bonus, Healthcare Plan, Team Activities</t>
        </is>
      </c>
      <c r="N7658" s="11">
        <f>HYPERLINK("https://www.vietnamworks.com/chuyen-vien-tuyen-dung-and-djao-tao-2018913-jv","Xem chi tiết")</f>
        <v/>
      </c>
      <c r="O7658" s="10" t="n"/>
    </row>
    <row r="7659">
      <c r="B7659" s="7" t="n">
        <v>7657</v>
      </c>
      <c r="C7659" t="inlineStr">
        <is>
          <t>Kỹ Sư Điện</t>
        </is>
      </c>
      <c r="D7659" t="inlineStr">
        <is>
          <t>CÔNG TY TNHH ĐẦU TƯ VÀ XÂY DỰNG QUẢNG THUẬN - LONG AN</t>
        </is>
      </c>
      <c r="E7659" t="inlineStr">
        <is>
          <t>13tr-20tr ₫/tháng</t>
        </is>
      </c>
      <c r="F7659" t="inlineStr">
        <is>
          <t>Long An, Tây Ninh</t>
        </is>
      </c>
      <c r="G7659" t="inlineStr">
        <is>
          <t>Nhân viên</t>
        </is>
      </c>
      <c r="H7659" t="inlineStr">
        <is>
          <t>05/03/2026</t>
        </is>
      </c>
      <c r="I7659" t="inlineStr">
        <is>
          <t>04/04/2026</t>
        </is>
      </c>
      <c r="J7659" t="inlineStr">
        <is>
          <t>17/03/2026</t>
        </is>
      </c>
      <c r="K7659" t="inlineStr">
        <is>
          <t>N/A</t>
        </is>
      </c>
      <c r="L7659" t="inlineStr">
        <is>
          <t>Công Trình Điện, Kỹ sư Điện, Tư Vấn Giám Sát Điện, Điện, Điện Dân Dụng</t>
        </is>
      </c>
      <c r="M7659" t="inlineStr">
        <is>
          <t>Bonus, Healthcare Plan, Travel Opportunities, Team Activities</t>
        </is>
      </c>
      <c r="N7659" s="8">
        <f>HYPERLINK("https://www.vietnamworks.com/ky-su-djien-2018918-jv","Xem chi tiết")</f>
        <v/>
      </c>
    </row>
    <row r="7660">
      <c r="B7660" s="9" t="n">
        <v>7658</v>
      </c>
      <c r="C7660" s="10" t="inlineStr">
        <is>
          <t>Nhân Viên Kế Toán</t>
        </is>
      </c>
      <c r="D7660" s="10" t="inlineStr">
        <is>
          <t>CÔNG TY CỔ PHẦN TẬP ĐOÀN ĐẦU TƯ HOÀNG GIA VIỆT NAM</t>
        </is>
      </c>
      <c r="E7660" s="10" t="inlineStr">
        <is>
          <t>Thương lượng</t>
        </is>
      </c>
      <c r="F7660" s="10" t="inlineStr">
        <is>
          <t>Hồ Chí Minh</t>
        </is>
      </c>
      <c r="G7660" s="10" t="inlineStr">
        <is>
          <t>Nhân viên</t>
        </is>
      </c>
      <c r="H7660" s="10" t="inlineStr">
        <is>
          <t>05/03/2026</t>
        </is>
      </c>
      <c r="I7660" s="10" t="inlineStr">
        <is>
          <t>04/04/2026</t>
        </is>
      </c>
      <c r="J7660" s="10" t="inlineStr">
        <is>
          <t>17/03/2026</t>
        </is>
      </c>
      <c r="K7660" s="10" t="inlineStr">
        <is>
          <t>N/A</t>
        </is>
      </c>
      <c r="L7660" s="10" t="inlineStr">
        <is>
          <t>Kiểm Toán, Kế Toán Tổng Hợp, Kế Toán, Accountant</t>
        </is>
      </c>
      <c r="M7660" s="10" t="inlineStr">
        <is>
          <t>Healthcare Plan, Training, Travel Opportunities</t>
        </is>
      </c>
      <c r="N7660" s="11">
        <f>HYPERLINK("https://www.vietnamworks.com/nhan-vien-ke-toan--2018903-jv","Xem chi tiết")</f>
        <v/>
      </c>
      <c r="O7660" s="10" t="n"/>
    </row>
    <row r="7661">
      <c r="B7661" s="7" t="n">
        <v>7659</v>
      </c>
      <c r="C7661" t="inlineStr">
        <is>
          <t>[Tuyển Gấp] Nữ Phó Phòng Tài Chính (Phụ Trách Tài Chính)</t>
        </is>
      </c>
      <c r="D7661" t="inlineStr">
        <is>
          <t>Công Ty Cổ Phần Công Nghệ VVT (VVTech., JSC)</t>
        </is>
      </c>
      <c r="E7661" t="inlineStr">
        <is>
          <t>Thương lượng</t>
        </is>
      </c>
      <c r="F7661" t="inlineStr">
        <is>
          <t>Hà Nội</t>
        </is>
      </c>
      <c r="G7661" t="inlineStr">
        <is>
          <t>Nhân viên</t>
        </is>
      </c>
      <c r="H7661" t="inlineStr">
        <is>
          <t>05/03/2026</t>
        </is>
      </c>
      <c r="I7661" t="inlineStr">
        <is>
          <t>04/04/2026</t>
        </is>
      </c>
      <c r="J7661" t="inlineStr">
        <is>
          <t>17/03/2026</t>
        </is>
      </c>
      <c r="K7661" t="inlineStr">
        <is>
          <t>N/A</t>
        </is>
      </c>
      <c r="L7661" t="inlineStr">
        <is>
          <t>Tài Chính, Kế Toán, ngân hàng, Kinh Tế, Phân Tích Tài Chính</t>
        </is>
      </c>
      <c r="M7661" t="inlineStr">
        <is>
          <t>Bonus, Healthcare Plan, Paid Leave</t>
        </is>
      </c>
      <c r="N7661" s="8">
        <f>HYPERLINK("https://www.vietnamworks.com/tuyen-gap-nu-pho-phong-tai-chinh-phu-trach-tai-chinh-2018932-jv","Xem chi tiết")</f>
        <v/>
      </c>
    </row>
    <row r="7662">
      <c r="B7662" s="9" t="n">
        <v>7660</v>
      </c>
      <c r="C7662" s="10" t="inlineStr">
        <is>
          <t>[HN] Continuous Improvement Executive (CI)</t>
        </is>
      </c>
      <c r="D7662" s="10" t="inlineStr">
        <is>
          <t>CÔNG TY TNHH YIC ONE</t>
        </is>
      </c>
      <c r="E7662" s="10" t="inlineStr">
        <is>
          <t>Thương lượng</t>
        </is>
      </c>
      <c r="F7662" s="10" t="inlineStr">
        <is>
          <t>Hà Nội</t>
        </is>
      </c>
      <c r="G7662" s="10" t="inlineStr">
        <is>
          <t>Nhân viên</t>
        </is>
      </c>
      <c r="H7662" s="10" t="inlineStr">
        <is>
          <t>05/03/2026</t>
        </is>
      </c>
      <c r="I7662" s="10" t="inlineStr">
        <is>
          <t>04/04/2026</t>
        </is>
      </c>
      <c r="J7662" s="10" t="inlineStr">
        <is>
          <t>17/03/2026</t>
        </is>
      </c>
      <c r="K7662" s="10" t="inlineStr">
        <is>
          <t>N/A</t>
        </is>
      </c>
      <c r="L7662" s="10" t="inlineStr">
        <is>
          <t>Project Management, Analytical, English, Garment, Innovation Ability</t>
        </is>
      </c>
      <c r="M7662" s="10" t="inlineStr">
        <is>
          <t>Bonus, Healthcare Plan, Paid Leave, Training, Laptop, Team Activities, Others</t>
        </is>
      </c>
      <c r="N7662" s="11">
        <f>HYPERLINK("https://www.vietnamworks.com/hn-continuous-improvement-executive-ci-2018921-jv","Xem chi tiết")</f>
        <v/>
      </c>
      <c r="O7662" s="10" t="n"/>
    </row>
    <row r="7663">
      <c r="B7663" s="7" t="n">
        <v>7661</v>
      </c>
      <c r="C7663" t="inlineStr">
        <is>
          <t>Nhân Viên Xuất Nhập Khẩu - Import-Export Staff (At Least 4 Years of Experience)</t>
        </is>
      </c>
      <c r="D7663" t="inlineStr">
        <is>
          <t>Shinhan Customs Vietnam</t>
        </is>
      </c>
      <c r="E7663" t="inlineStr">
        <is>
          <t>Thương lượng</t>
        </is>
      </c>
      <c r="F7663" t="inlineStr">
        <is>
          <t>Hà Nội</t>
        </is>
      </c>
      <c r="G7663" t="inlineStr">
        <is>
          <t>Nhân viên</t>
        </is>
      </c>
      <c r="H7663" t="inlineStr">
        <is>
          <t>05/03/2026</t>
        </is>
      </c>
      <c r="I7663" t="inlineStr">
        <is>
          <t>04/04/2026</t>
        </is>
      </c>
      <c r="J7663" t="inlineStr">
        <is>
          <t>17/03/2026</t>
        </is>
      </c>
      <c r="K7663" t="inlineStr">
        <is>
          <t>N/A</t>
        </is>
      </c>
      <c r="L7663" t="inlineStr">
        <is>
          <t>Customs Clearance, Fta Co Experience, Import-Export, Data Input Skills, English Communication</t>
        </is>
      </c>
      <c r="M7663" t="inlineStr">
        <is>
          <t>Bonus, Healthcare Plan, Paid Leave, Travel Opportunities, Others</t>
        </is>
      </c>
      <c r="N7663" s="8">
        <f>HYPERLINK("https://www.vietnamworks.com/nhan-vien-xuat-nhap-khau-import-export-staff-at-least-4-years-of-experience-2018927-jv","Xem chi tiết")</f>
        <v/>
      </c>
    </row>
    <row r="7664">
      <c r="B7664" s="9" t="n">
        <v>7662</v>
      </c>
      <c r="C7664" s="10" t="inlineStr">
        <is>
          <t>Receptionist/admin Assistant – North ( 6–9-Month contract)</t>
        </is>
      </c>
      <c r="D7664" s="10" t="inlineStr">
        <is>
          <t>Pernod Ricard Vietnam</t>
        </is>
      </c>
      <c r="E7664" s="10" t="inlineStr">
        <is>
          <t>Thương lượng</t>
        </is>
      </c>
      <c r="F7664" s="10" t="inlineStr">
        <is>
          <t>Hà Nội</t>
        </is>
      </c>
      <c r="G7664" s="10" t="inlineStr">
        <is>
          <t>Nhân viên</t>
        </is>
      </c>
      <c r="H7664" s="10" t="inlineStr">
        <is>
          <t>05/03/2026</t>
        </is>
      </c>
      <c r="I7664" s="10" t="inlineStr">
        <is>
          <t>04/04/2026</t>
        </is>
      </c>
      <c r="J7664" s="10" t="inlineStr">
        <is>
          <t>17/03/2026</t>
        </is>
      </c>
      <c r="K7664" s="10" t="inlineStr">
        <is>
          <t>N/A</t>
        </is>
      </c>
      <c r="L7664" s="10" t="inlineStr">
        <is>
          <t>Admin, Administrative, Business Administration</t>
        </is>
      </c>
      <c r="M7664" s="10" t="inlineStr">
        <is>
          <t>Bonus, Healthcare Plan, Paid Leave</t>
        </is>
      </c>
      <c r="N7664" s="11">
        <f>HYPERLINK("https://www.vietnamworks.com/receptionistadmin-assistant-north-6-9-month-contract-2018922-jv","Xem chi tiết")</f>
        <v/>
      </c>
      <c r="O7664" s="10" t="n"/>
    </row>
    <row r="7665">
      <c r="B7665" s="7" t="n">
        <v>7663</v>
      </c>
      <c r="C7665" t="inlineStr">
        <is>
          <t>Nhân Viên Kinh Doanh Online(15-50 Triệu/tháng)</t>
        </is>
      </c>
      <c r="D7665" t="inlineStr">
        <is>
          <t>CÔNG TY TNHH THIẾT BỊ CÔNG NGHIỆP BKTECH</t>
        </is>
      </c>
      <c r="E7665" t="inlineStr">
        <is>
          <t>10tr-50tr ₫/tháng</t>
        </is>
      </c>
      <c r="F7665" t="inlineStr">
        <is>
          <t>Hà Nội</t>
        </is>
      </c>
      <c r="G7665" t="inlineStr">
        <is>
          <t>Mới Tốt Nghiệp</t>
        </is>
      </c>
      <c r="H7665" t="inlineStr">
        <is>
          <t>05/03/2026</t>
        </is>
      </c>
      <c r="I7665" t="inlineStr">
        <is>
          <t>04/04/2026</t>
        </is>
      </c>
      <c r="J7665" t="inlineStr">
        <is>
          <t>17/03/2026</t>
        </is>
      </c>
      <c r="K7665" t="inlineStr">
        <is>
          <t>N/A</t>
        </is>
      </c>
      <c r="L7665" t="inlineStr">
        <is>
          <t>Giao Tiếp, Chăm Sóc Khách Hàng, Kinh Doanh Online, Kinh Doanh Thiết Bị Máy Móc, Thiết Lập Báo Giá</t>
        </is>
      </c>
      <c r="M7665" t="inlineStr">
        <is>
          <t>Bonus, Healthcare Plan, Paid Leave, Training, Others</t>
        </is>
      </c>
      <c r="N7665" s="8">
        <f>HYPERLINK("https://www.vietnamworks.com/nhan-vien-kinh-doanh-online-15-50-trieu-thang-2018916-jv","Xem chi tiết")</f>
        <v/>
      </c>
    </row>
    <row r="7666">
      <c r="B7666" s="9" t="n">
        <v>7664</v>
      </c>
      <c r="C7666" s="10" t="inlineStr">
        <is>
          <t>[HN] Procurement Manager (Fabric Trims)</t>
        </is>
      </c>
      <c r="D7666" s="10" t="inlineStr">
        <is>
          <t>CÔNG TY TNHH YIC ONE</t>
        </is>
      </c>
      <c r="E7666" s="10" t="inlineStr">
        <is>
          <t>Thương lượng</t>
        </is>
      </c>
      <c r="F7666" s="10" t="inlineStr">
        <is>
          <t>Hà Nội</t>
        </is>
      </c>
      <c r="G7666" s="10" t="inlineStr">
        <is>
          <t>Trưởng phòng</t>
        </is>
      </c>
      <c r="H7666" s="10" t="inlineStr">
        <is>
          <t>05/03/2026</t>
        </is>
      </c>
      <c r="I7666" s="10" t="inlineStr">
        <is>
          <t>04/04/2026</t>
        </is>
      </c>
      <c r="J7666" s="10" t="inlineStr">
        <is>
          <t>17/03/2026</t>
        </is>
      </c>
      <c r="K7666" s="10" t="inlineStr">
        <is>
          <t>N/A</t>
        </is>
      </c>
      <c r="L7666" s="10" t="inlineStr">
        <is>
          <t>Project Procurement Management, Negotiation Skills, Supply Chain Management, Leadership Skills, English Fluency</t>
        </is>
      </c>
      <c r="M7666" s="10" t="inlineStr">
        <is>
          <t>Bonus, Healthcare Plan, Paid Leave, Training, Laptop, Team Activities, Others</t>
        </is>
      </c>
      <c r="N7666" s="11">
        <f>HYPERLINK("https://www.vietnamworks.com/hn-procurement-manager-fabric-trims-2018917-jv","Xem chi tiết")</f>
        <v/>
      </c>
      <c r="O7666" s="10" t="n"/>
    </row>
    <row r="7667">
      <c r="B7667" s="7" t="n">
        <v>7665</v>
      </c>
      <c r="C7667" t="inlineStr">
        <is>
          <t>Nhân Viên Mua Hàng</t>
        </is>
      </c>
      <c r="D7667" t="inlineStr">
        <is>
          <t>Công Ty Cổ Phần Tập đoàn Mutosi</t>
        </is>
      </c>
      <c r="E7667" t="inlineStr">
        <is>
          <t>Thương lượng</t>
        </is>
      </c>
      <c r="F7667" t="inlineStr">
        <is>
          <t>Hà Nội</t>
        </is>
      </c>
      <c r="G7667" t="inlineStr">
        <is>
          <t>Nhân viên</t>
        </is>
      </c>
      <c r="H7667" t="inlineStr">
        <is>
          <t>05/03/2026</t>
        </is>
      </c>
      <c r="I7667" t="inlineStr">
        <is>
          <t>04/04/2026</t>
        </is>
      </c>
      <c r="J7667" t="inlineStr">
        <is>
          <t>17/03/2026</t>
        </is>
      </c>
      <c r="K7667" t="inlineStr">
        <is>
          <t>N/A</t>
        </is>
      </c>
      <c r="L7667" t="inlineStr">
        <is>
          <t>Incoterms, Kinh Nghiệm Thu Mua Quốc Tế</t>
        </is>
      </c>
      <c r="M7667" t="inlineStr">
        <is>
          <t>Bonus, Paid Leave, Training, Transportation, Others</t>
        </is>
      </c>
      <c r="N7667" s="8">
        <f>HYPERLINK("https://www.vietnamworks.com/nhan-vien-mua-hang-2018933-jv","Xem chi tiết")</f>
        <v/>
      </c>
    </row>
    <row r="7668">
      <c r="B7668" s="9" t="n">
        <v>7666</v>
      </c>
      <c r="C7668" s="10" t="inlineStr">
        <is>
          <t>Nhân Viên Kỹ Thuật</t>
        </is>
      </c>
      <c r="D7668" s="10" t="inlineStr">
        <is>
          <t>Công ty Cổ phần Đầu tư thiết bị HTK</t>
        </is>
      </c>
      <c r="E7668" s="10" t="inlineStr">
        <is>
          <t>Tới 20tr ₫/tháng</t>
        </is>
      </c>
      <c r="F7668" s="10" t="inlineStr">
        <is>
          <t>Hà Nội</t>
        </is>
      </c>
      <c r="G7668" s="10" t="inlineStr">
        <is>
          <t>Nhân viên</t>
        </is>
      </c>
      <c r="H7668" s="10" t="inlineStr">
        <is>
          <t>05/03/2026</t>
        </is>
      </c>
      <c r="I7668" s="10" t="inlineStr">
        <is>
          <t>04/04/2026</t>
        </is>
      </c>
      <c r="J7668" s="10" t="inlineStr">
        <is>
          <t>17/03/2026</t>
        </is>
      </c>
      <c r="K7668" s="10" t="inlineStr">
        <is>
          <t>N/A</t>
        </is>
      </c>
      <c r="L7668" s="10" t="inlineStr">
        <is>
          <t>Giao Tiếp Tiếng Anh, Đọc Tài Liệu Kĩ Thuật, Hiểu Biết Động Cơ Diesel, Kỹ Thuật Tàu Thủy, Cơ Khí</t>
        </is>
      </c>
      <c r="M7668" s="10" t="inlineStr">
        <is>
          <t>Bonus, Healthcare Plan, Paid Leave, Travel Opportunities, Others</t>
        </is>
      </c>
      <c r="N7668" s="11">
        <f>HYPERLINK("https://www.vietnamworks.com/nhan-vien-ky-thuat-2018934-jv","Xem chi tiết")</f>
        <v/>
      </c>
      <c r="O7668" s="10" t="n"/>
    </row>
    <row r="7669">
      <c r="B7669" s="7" t="n">
        <v>7667</v>
      </c>
      <c r="C7669" t="inlineStr">
        <is>
          <t>Talent Acquisition Consultant</t>
        </is>
      </c>
      <c r="D7669" t="inlineStr">
        <is>
          <t>Netcompany</t>
        </is>
      </c>
      <c r="E7669" t="inlineStr">
        <is>
          <t>Thương lượng</t>
        </is>
      </c>
      <c r="F7669" t="inlineStr">
        <is>
          <t>Hồ Chí Minh</t>
        </is>
      </c>
      <c r="G7669" t="inlineStr">
        <is>
          <t>Nhân viên</t>
        </is>
      </c>
      <c r="H7669" t="inlineStr">
        <is>
          <t>05/03/2026</t>
        </is>
      </c>
      <c r="I7669" t="inlineStr">
        <is>
          <t>04/04/2026</t>
        </is>
      </c>
      <c r="J7669" t="inlineStr">
        <is>
          <t>17/03/2026</t>
        </is>
      </c>
      <c r="K7669" t="inlineStr">
        <is>
          <t>N/A</t>
        </is>
      </c>
      <c r="L7669" t="inlineStr">
        <is>
          <t>Employer Branding, English, IT Recruitment, Recruitment, Talent Acquisition</t>
        </is>
      </c>
      <c r="M7669" t="inlineStr">
        <is>
          <t>Bonus, Healthcare Plan, Training, Awards, Mobile, Team Activities</t>
        </is>
      </c>
      <c r="N7669" s="8">
        <f>HYPERLINK("https://www.vietnamworks.com/talent-acquisition-consultant-2018919-jv","Xem chi tiết")</f>
        <v/>
      </c>
    </row>
    <row r="7670">
      <c r="B7670" s="9" t="n">
        <v>7668</v>
      </c>
      <c r="C7670" s="10" t="inlineStr">
        <is>
          <t>[Bắc Ninh] Trưởng Phòng Mua Hàng - Lương Upto 30Tr - Đi Làm Ngay</t>
        </is>
      </c>
      <c r="D7670" s="10" t="inlineStr">
        <is>
          <t>CÔNG TY TNHH ALUMINUM VIỆT ECO</t>
        </is>
      </c>
      <c r="E7670" s="10" t="inlineStr">
        <is>
          <t>Tới 30tr ₫/tháng</t>
        </is>
      </c>
      <c r="F7670" s="10" t="inlineStr">
        <is>
          <t>Bắc Ninh</t>
        </is>
      </c>
      <c r="G7670" s="10" t="inlineStr">
        <is>
          <t>Trưởng phòng</t>
        </is>
      </c>
      <c r="H7670" s="10" t="inlineStr">
        <is>
          <t>05/03/2026</t>
        </is>
      </c>
      <c r="I7670" s="10" t="inlineStr">
        <is>
          <t>04/04/2026</t>
        </is>
      </c>
      <c r="J7670" s="10" t="inlineStr">
        <is>
          <t>17/03/2026</t>
        </is>
      </c>
      <c r="K7670" s="10" t="inlineStr">
        <is>
          <t>N/A</t>
        </is>
      </c>
      <c r="L7670" s="10" t="inlineStr">
        <is>
          <t>Quản Lý Mua Hàng, Đàm Phán Hợp Đồng, Phân Tích Thị Trường, Quản Lý Cung Ứng, Lãnh Đạo</t>
        </is>
      </c>
      <c r="M7670" s="10" t="inlineStr">
        <is>
          <t>Bonus, Healthcare Plan, Training, Others</t>
        </is>
      </c>
      <c r="N7670" s="11">
        <f>HYPERLINK("https://www.vietnamworks.com/bac-ninh-truong-phong-mua-hang-luong-upto-30tr-dji-lam-ngay-2018929-jv","Xem chi tiết")</f>
        <v/>
      </c>
      <c r="O7670" s="10" t="n"/>
    </row>
    <row r="7671">
      <c r="B7671" s="7" t="n">
        <v>7669</v>
      </c>
      <c r="C7671" t="inlineStr">
        <is>
          <t>ASM Vùng - Ngành FMCG (Thu Nhập: 40 - 60 Triệu +++)</t>
        </is>
      </c>
      <c r="D7671" t="inlineStr">
        <is>
          <t>Công ty CP Bia &amp; NGK Hạ Long</t>
        </is>
      </c>
      <c r="E7671" t="inlineStr">
        <is>
          <t>Từ 40tr ₫/tháng</t>
        </is>
      </c>
      <c r="F7671" t="inlineStr">
        <is>
          <t>Hà Nội, Thái Bình, Thanh Hóa</t>
        </is>
      </c>
      <c r="G7671" t="inlineStr">
        <is>
          <t>Giám Đốc và Cấp Cao Hơn</t>
        </is>
      </c>
      <c r="H7671" t="inlineStr">
        <is>
          <t>05/03/2026</t>
        </is>
      </c>
      <c r="I7671" t="inlineStr">
        <is>
          <t>04/04/2026</t>
        </is>
      </c>
      <c r="J7671" t="inlineStr">
        <is>
          <t>17/03/2026</t>
        </is>
      </c>
      <c r="K7671" t="inlineStr">
        <is>
          <t>N/A</t>
        </is>
      </c>
      <c r="L7671" t="inlineStr">
        <is>
          <t>Quản Trị Kinh Doanh, Phát Triển Kinh Doanh, Quản Lý Vùng, Phân Tích Kinh Doanh, Đào Tạo Bán Hàng</t>
        </is>
      </c>
      <c r="M7671" t="inlineStr">
        <is>
          <t>Healthcare Plan, Laptop, Team Activities</t>
        </is>
      </c>
      <c r="N7671" s="8">
        <f>HYPERLINK("https://www.vietnamworks.com/asm-vung-nganh-fmcg-thu-nhap-40-60-trieu-2018935-jv","Xem chi tiết")</f>
        <v/>
      </c>
    </row>
    <row r="7672">
      <c r="B7672" s="9" t="n">
        <v>7670</v>
      </c>
      <c r="C7672" s="10" t="inlineStr">
        <is>
          <t>Industrial Sales Executive (Chinese Speaking) | Hai Phong &amp; Hai Duong</t>
        </is>
      </c>
      <c r="D7672" s="10" t="inlineStr">
        <is>
          <t>KCN Vietnam</t>
        </is>
      </c>
      <c r="E7672" s="10" t="inlineStr">
        <is>
          <t>Thương lượng</t>
        </is>
      </c>
      <c r="F7672" s="10" t="inlineStr">
        <is>
          <t>Hải Dương, Hải Phòng</t>
        </is>
      </c>
      <c r="G7672" s="10" t="inlineStr">
        <is>
          <t>Nhân viên</t>
        </is>
      </c>
      <c r="H7672" s="10" t="inlineStr">
        <is>
          <t>05/03/2026</t>
        </is>
      </c>
      <c r="I7672" s="10" t="inlineStr">
        <is>
          <t>04/04/2026</t>
        </is>
      </c>
      <c r="J7672" s="10" t="inlineStr">
        <is>
          <t>17/03/2026</t>
        </is>
      </c>
      <c r="K7672" s="10" t="inlineStr">
        <is>
          <t>N/A</t>
        </is>
      </c>
      <c r="L7672" s="10" t="inlineStr">
        <is>
          <t>B2B Sale, Mandarin, Business Developing, Customer Negotiation</t>
        </is>
      </c>
      <c r="M7672" s="10" t="inlineStr">
        <is>
          <t>Bonus, Healthcare Plan, Training, Others</t>
        </is>
      </c>
      <c r="N7672" s="11">
        <f>HYPERLINK("https://www.vietnamworks.com/industrial-sales-executive-chinese-speaking-or-hai-phong-and-hai-duong-2018942-jv","Xem chi tiết")</f>
        <v/>
      </c>
      <c r="O7672" s="10" t="n"/>
    </row>
    <row r="7673">
      <c r="B7673" s="7" t="n">
        <v>7671</v>
      </c>
      <c r="C7673" t="inlineStr">
        <is>
          <t>[Phú Mỹ Hưng] Tổ Phó Hành Chính (Có Kinh Nghiệm Tuyển Sales)</t>
        </is>
      </c>
      <c r="D7673" t="inlineStr">
        <is>
          <t>Công Ty TNHH Phát Triển Phú Mỹ Hưng</t>
        </is>
      </c>
      <c r="E7673" t="inlineStr">
        <is>
          <t>$$ 500-600 /tháng</t>
        </is>
      </c>
      <c r="F7673" t="inlineStr">
        <is>
          <t>Hồ Chí Minh</t>
        </is>
      </c>
      <c r="G7673" t="inlineStr">
        <is>
          <t>Nhân viên</t>
        </is>
      </c>
      <c r="H7673" t="inlineStr">
        <is>
          <t>05/03/2026</t>
        </is>
      </c>
      <c r="I7673" t="inlineStr">
        <is>
          <t>04/04/2026</t>
        </is>
      </c>
      <c r="J7673" t="inlineStr">
        <is>
          <t>17/03/2026</t>
        </is>
      </c>
      <c r="K7673" t="inlineStr">
        <is>
          <t>N/A</t>
        </is>
      </c>
      <c r="L7673" t="inlineStr">
        <is>
          <t>Tuyển Dụng, Hành Chính Tuyển Dụng, Nhân viên kinh doanh, Bất Động Sản</t>
        </is>
      </c>
      <c r="M7673" t="inlineStr">
        <is>
          <t>Healthcare Plan, Paid Leave, Training</t>
        </is>
      </c>
      <c r="N7673" s="8">
        <f>HYPERLINK("https://www.vietnamworks.com/phu-my-hung-to-pho-hanh-chinh-co-kinh-nghiem-tuyen-sales-2018944-jv","Xem chi tiết")</f>
        <v/>
      </c>
    </row>
    <row r="7674">
      <c r="B7674" s="9" t="n">
        <v>7672</v>
      </c>
      <c r="C7674" s="10" t="inlineStr">
        <is>
          <t>Phó Quản Lý Ngành Hàng</t>
        </is>
      </c>
      <c r="D7674" s="10" t="inlineStr">
        <is>
          <t>Tập Đoàn Thiên Long - Thien Long Corporation</t>
        </is>
      </c>
      <c r="E7674" s="10" t="inlineStr">
        <is>
          <t>Thương lượng</t>
        </is>
      </c>
      <c r="F7674" s="10" t="inlineStr">
        <is>
          <t>Hồ Chí Minh</t>
        </is>
      </c>
      <c r="G7674" s="10" t="inlineStr">
        <is>
          <t>Nhân viên</t>
        </is>
      </c>
      <c r="H7674" s="10" t="inlineStr">
        <is>
          <t>05/03/2026</t>
        </is>
      </c>
      <c r="I7674" s="10" t="inlineStr">
        <is>
          <t>04/04/2026</t>
        </is>
      </c>
      <c r="J7674" s="10" t="inlineStr">
        <is>
          <t>17/03/2026</t>
        </is>
      </c>
      <c r="K7674" s="10" t="inlineStr">
        <is>
          <t>N/A</t>
        </is>
      </c>
      <c r="L7674" s="10" t="inlineStr">
        <is>
          <t>FMCG industry, Marketing, NPD Projects, Product Marketing</t>
        </is>
      </c>
      <c r="M7674" s="10" t="inlineStr">
        <is>
          <t>Bonus, Paid Leave, Laptop</t>
        </is>
      </c>
      <c r="N7674" s="11">
        <f>HYPERLINK("https://www.vietnamworks.com/pho-quan-ly-nganh-hang-2018952-jv","Xem chi tiết")</f>
        <v/>
      </c>
      <c r="O7674" s="10" t="n"/>
    </row>
    <row r="7675">
      <c r="B7675" s="7" t="n">
        <v>7673</v>
      </c>
      <c r="C7675" t="inlineStr">
        <is>
          <t>Kế Toán Trưởng (Ưu Tiên Nữ Giới)/ Chief Accountant</t>
        </is>
      </c>
      <c r="D7675" t="inlineStr">
        <is>
          <t>CÔNG TY TNHH WBS TRAINING</t>
        </is>
      </c>
      <c r="E7675" t="inlineStr">
        <is>
          <t>20tr-25tr ₫/tháng</t>
        </is>
      </c>
      <c r="F7675" t="inlineStr">
        <is>
          <t>Hà Nội</t>
        </is>
      </c>
      <c r="G7675" t="inlineStr">
        <is>
          <t>Nhân viên</t>
        </is>
      </c>
      <c r="H7675" t="inlineStr">
        <is>
          <t>05/03/2026</t>
        </is>
      </c>
      <c r="I7675" t="inlineStr">
        <is>
          <t>04/04/2026</t>
        </is>
      </c>
      <c r="J7675" t="inlineStr">
        <is>
          <t>17/03/2026</t>
        </is>
      </c>
      <c r="K7675" t="inlineStr">
        <is>
          <t>N/A</t>
        </is>
      </c>
      <c r="L7675" t="inlineStr">
        <is>
          <t>Kế Toán, Thuế, Tiếng Anh, Báo Cáo Tài Chính, Báo Cáo Thuế</t>
        </is>
      </c>
      <c r="M7675" t="inlineStr">
        <is>
          <t>Healthcare Plan, Travel Opportunities, Team Activities, Others</t>
        </is>
      </c>
      <c r="N7675" s="8">
        <f>HYPERLINK("https://www.vietnamworks.com/ke-toan-truong-uu-tien-nu-gioi-chief-accountant-2018943-jv","Xem chi tiết")</f>
        <v/>
      </c>
    </row>
    <row r="7676">
      <c r="B7676" s="9" t="n">
        <v>7674</v>
      </c>
      <c r="C7676" s="10" t="inlineStr">
        <is>
          <t>Nhân Viên Kế Toán Tổng Hợp (17 Triệu 25 Triệu/ Tháng Trở Lên)</t>
        </is>
      </c>
      <c r="D7676" s="10" t="inlineStr">
        <is>
          <t>Công ty Cổ Phần Công Nghệ Phú Thành</t>
        </is>
      </c>
      <c r="E7676" s="10" t="inlineStr">
        <is>
          <t>17tr-25tr ₫/tháng</t>
        </is>
      </c>
      <c r="F7676" s="10" t="inlineStr">
        <is>
          <t>Hà Nội</t>
        </is>
      </c>
      <c r="G7676" s="10" t="inlineStr">
        <is>
          <t>Nhân viên</t>
        </is>
      </c>
      <c r="H7676" s="10" t="inlineStr">
        <is>
          <t>05/03/2026</t>
        </is>
      </c>
      <c r="I7676" s="10" t="inlineStr">
        <is>
          <t>04/04/2026</t>
        </is>
      </c>
      <c r="J7676" s="10" t="inlineStr">
        <is>
          <t>17/03/2026</t>
        </is>
      </c>
      <c r="K7676" s="10" t="inlineStr">
        <is>
          <t>N/A</t>
        </is>
      </c>
      <c r="L7676" s="10" t="inlineStr">
        <is>
          <t>Kế Toán Tổng Hợp, Quản Lý Tài Chính, Kê Khai Thuế, Báo Cáo Tài Chính, Làm Việc Nhóm</t>
        </is>
      </c>
      <c r="M7676" s="10" t="inlineStr">
        <is>
          <t>Bonus, Healthcare Plan, Paid Leave, Training, Others</t>
        </is>
      </c>
      <c r="N7676" s="11">
        <f>HYPERLINK("https://www.vietnamworks.com/nhan-vien-ke-toan-tong-hop-17-trieu-25-trieu-thang-tro-len-2018938-jv","Xem chi tiết")</f>
        <v/>
      </c>
      <c r="O7676" s="10" t="n"/>
    </row>
    <row r="7677">
      <c r="B7677" s="7" t="n">
        <v>7675</v>
      </c>
      <c r="C7677" t="inlineStr">
        <is>
          <t>Nhân Viên Thiết Kế Thời Trang</t>
        </is>
      </c>
      <c r="D7677" t="inlineStr">
        <is>
          <t>Công Ty TNHH Thương Mại Khatoco</t>
        </is>
      </c>
      <c r="E7677" t="inlineStr">
        <is>
          <t>18tr-21tr ₫/tháng</t>
        </is>
      </c>
      <c r="F7677" t="inlineStr">
        <is>
          <t>Khánh Hòa</t>
        </is>
      </c>
      <c r="G7677" t="inlineStr">
        <is>
          <t>Nhân viên</t>
        </is>
      </c>
      <c r="H7677" t="inlineStr">
        <is>
          <t>05/03/2026</t>
        </is>
      </c>
      <c r="I7677" t="inlineStr">
        <is>
          <t>04/04/2026</t>
        </is>
      </c>
      <c r="J7677" t="inlineStr">
        <is>
          <t>17/03/2026</t>
        </is>
      </c>
      <c r="K7677" t="inlineStr">
        <is>
          <t>N/A</t>
        </is>
      </c>
      <c r="L7677" t="inlineStr">
        <is>
          <t>Thiết Kế Thời Trang, Kỹ Thuật, Mỹ Thuật Ứng Dụng, Tin Học Văn Phòng, Phân Tích Số Liệu</t>
        </is>
      </c>
      <c r="M7677" t="inlineStr">
        <is>
          <t>Healthcare Plan, Travel Opportunities, Others</t>
        </is>
      </c>
      <c r="N7677" s="8">
        <f>HYPERLINK("https://www.vietnamworks.com/nhan-vien-thiet-ke-thoi-trang-2018950-jv","Xem chi tiết")</f>
        <v/>
      </c>
    </row>
    <row r="7678">
      <c r="B7678" s="9" t="n">
        <v>7676</v>
      </c>
      <c r="C7678" s="10" t="inlineStr">
        <is>
          <t>Logistics Senior</t>
        </is>
      </c>
      <c r="D7678" s="10" t="inlineStr">
        <is>
          <t>CÔNG TY TNHH EXPORT TRADING COMMODITIES VIỆT NAM</t>
        </is>
      </c>
      <c r="E7678" s="10" t="inlineStr">
        <is>
          <t>Thương lượng</t>
        </is>
      </c>
      <c r="F7678" s="10" t="inlineStr">
        <is>
          <t>Hồ Chí Minh</t>
        </is>
      </c>
      <c r="G7678" s="10" t="inlineStr">
        <is>
          <t>Nhân viên</t>
        </is>
      </c>
      <c r="H7678" s="10" t="inlineStr">
        <is>
          <t>05/03/2026</t>
        </is>
      </c>
      <c r="I7678" s="10" t="inlineStr">
        <is>
          <t>04/04/2026</t>
        </is>
      </c>
      <c r="J7678" s="10" t="inlineStr">
        <is>
          <t>17/03/2026</t>
        </is>
      </c>
      <c r="K7678" s="10" t="inlineStr">
        <is>
          <t>N/A</t>
        </is>
      </c>
      <c r="L7678" s="10" t="inlineStr">
        <is>
          <t>Shipment Tracking, Booking Management, MS Excel, Risk Management, Shipping Operations</t>
        </is>
      </c>
      <c r="M7678" s="10" t="inlineStr">
        <is>
          <t>Bonus, Healthcare Plan</t>
        </is>
      </c>
      <c r="N7678" s="11">
        <f>HYPERLINK("https://www.vietnamworks.com/logistics-senior-2018936-jv","Xem chi tiết")</f>
        <v/>
      </c>
      <c r="O7678" s="10" t="n"/>
    </row>
    <row r="7679">
      <c r="B7679" s="7" t="n">
        <v>7677</v>
      </c>
      <c r="C7679" t="inlineStr">
        <is>
          <t>EHS Engineer (Occupational Health Focus)</t>
        </is>
      </c>
      <c r="D7679" t="inlineStr">
        <is>
          <t>Công Ty TNHH LEGO Manufacturing Việt Nam</t>
        </is>
      </c>
      <c r="E7679" t="inlineStr">
        <is>
          <t>Thương lượng</t>
        </is>
      </c>
      <c r="F7679" t="inlineStr">
        <is>
          <t>Hồ Chí Minh</t>
        </is>
      </c>
      <c r="G7679" t="inlineStr">
        <is>
          <t>Nhân viên</t>
        </is>
      </c>
      <c r="H7679" t="inlineStr">
        <is>
          <t>05/03/2026</t>
        </is>
      </c>
      <c r="I7679" t="inlineStr">
        <is>
          <t>04/04/2026</t>
        </is>
      </c>
      <c r="J7679" t="inlineStr">
        <is>
          <t>17/03/2026</t>
        </is>
      </c>
      <c r="K7679" t="inlineStr">
        <is>
          <t>N/A</t>
        </is>
      </c>
      <c r="L7679" t="inlineStr">
        <is>
          <t>English, Occupational Health</t>
        </is>
      </c>
      <c r="M7679" t="inlineStr">
        <is>
          <t>Bonus, Healthcare Plan, Paid Leave</t>
        </is>
      </c>
      <c r="N7679" s="8">
        <f>HYPERLINK("https://www.vietnamworks.com/ehs-engineer-occupational-health-focus-2018954-jv","Xem chi tiết")</f>
        <v/>
      </c>
    </row>
    <row r="7680">
      <c r="B7680" s="9" t="n">
        <v>7678</v>
      </c>
      <c r="C7680" s="10" t="inlineStr">
        <is>
          <t>Maths Co-Teacher in Hòa Lạc for the Academic Year 2026/2027</t>
        </is>
      </c>
      <c r="D7680" s="10" t="inlineStr">
        <is>
          <t>TH School</t>
        </is>
      </c>
      <c r="E7680" s="10" t="inlineStr">
        <is>
          <t>Thương lượng</t>
        </is>
      </c>
      <c r="F7680" s="10" t="inlineStr">
        <is>
          <t>Hà Nội</t>
        </is>
      </c>
      <c r="G7680" s="10" t="inlineStr">
        <is>
          <t>Nhân viên</t>
        </is>
      </c>
      <c r="H7680" s="10" t="inlineStr">
        <is>
          <t>05/03/2026</t>
        </is>
      </c>
      <c r="I7680" s="10" t="inlineStr">
        <is>
          <t>04/04/2026</t>
        </is>
      </c>
      <c r="J7680" s="10" t="inlineStr">
        <is>
          <t>17/03/2026</t>
        </is>
      </c>
      <c r="K7680" s="10" t="inlineStr">
        <is>
          <t>N/A</t>
        </is>
      </c>
      <c r="L7680" s="10" t="inlineStr">
        <is>
          <t>Mathematics Education, English, Teaching Mathematics, Teaching Support, Education</t>
        </is>
      </c>
      <c r="M7680" s="10" t="inlineStr">
        <is>
          <t>Bonus, Canteen, Others</t>
        </is>
      </c>
      <c r="N7680" s="11">
        <f>HYPERLINK("https://www.vietnamworks.com/maths-co-teacher-in-hoa-lac-for-the-academic-year-2026-2027-2018946-jv","Xem chi tiết")</f>
        <v/>
      </c>
      <c r="O7680" s="10" t="n"/>
    </row>
    <row r="7681">
      <c r="B7681" s="7" t="n">
        <v>7679</v>
      </c>
      <c r="C7681" t="inlineStr">
        <is>
          <t>Chuyên Viên Giám Sát Kinh Doanh ( Mảng Nhà Hàng)</t>
        </is>
      </c>
      <c r="D7681" t="inlineStr">
        <is>
          <t>Tập Đoàn Vàng Bạc Đá Quý DOJI</t>
        </is>
      </c>
      <c r="E7681" t="inlineStr">
        <is>
          <t>20tr-25tr ₫/tháng</t>
        </is>
      </c>
      <c r="F7681" t="inlineStr">
        <is>
          <t>Hà Nội</t>
        </is>
      </c>
      <c r="G7681" t="inlineStr">
        <is>
          <t>Nhân viên</t>
        </is>
      </c>
      <c r="H7681" t="inlineStr">
        <is>
          <t>05/03/2026</t>
        </is>
      </c>
      <c r="I7681" t="inlineStr">
        <is>
          <t>04/04/2026</t>
        </is>
      </c>
      <c r="J7681" t="inlineStr">
        <is>
          <t>17/03/2026</t>
        </is>
      </c>
      <c r="K7681" t="inlineStr">
        <is>
          <t>N/A</t>
        </is>
      </c>
      <c r="L7681" t="inlineStr">
        <is>
          <t>Giám Sát Vận Hành, Giao Tiếp, Phân Tích Dữ Liệu, Quản Trị Khách Sạn, Quản Trị Kinh Doanh</t>
        </is>
      </c>
      <c r="M7681" t="inlineStr">
        <is>
          <t>Others</t>
        </is>
      </c>
      <c r="N7681" s="8">
        <f>HYPERLINK("https://www.vietnamworks.com/chuyen-vien-giam-sat-kinh-doanh-mang-nha-hang-2018939-jv","Xem chi tiết")</f>
        <v/>
      </c>
    </row>
    <row r="7682">
      <c r="B7682" s="9" t="n">
        <v>7680</v>
      </c>
      <c r="C7682" s="10" t="inlineStr">
        <is>
          <t>Trưởng Phòng Đối Ngoại (Tiếng Đức)</t>
        </is>
      </c>
      <c r="D7682" s="10" t="inlineStr">
        <is>
          <t>CÔNG TY TNHH WBS TRAINING</t>
        </is>
      </c>
      <c r="E7682" s="10" t="inlineStr">
        <is>
          <t>20tr-30tr ₫/tháng</t>
        </is>
      </c>
      <c r="F7682" s="10" t="inlineStr">
        <is>
          <t>Hà Nội</t>
        </is>
      </c>
      <c r="G7682" s="10" t="inlineStr">
        <is>
          <t>Trưởng phòng</t>
        </is>
      </c>
      <c r="H7682" s="10" t="inlineStr">
        <is>
          <t>05/03/2026</t>
        </is>
      </c>
      <c r="I7682" s="10" t="inlineStr">
        <is>
          <t>04/04/2026</t>
        </is>
      </c>
      <c r="J7682" s="10" t="inlineStr">
        <is>
          <t>17/03/2026</t>
        </is>
      </c>
      <c r="K7682" s="10" t="inlineStr">
        <is>
          <t>N/A</t>
        </is>
      </c>
      <c r="L7682" s="10" t="inlineStr">
        <is>
          <t>Tiếng Đức, Quản Lý, Tin Học Văn Phòng, Giao Tiếp, Xuất Khẩu Lao Động</t>
        </is>
      </c>
      <c r="M7682" s="10" t="inlineStr">
        <is>
          <t>Healthcare Plan, Team Activities, Others</t>
        </is>
      </c>
      <c r="N7682" s="11">
        <f>HYPERLINK("https://www.vietnamworks.com/truong-phong-djoi-ngoai-tieng-djuc-2018945-jv","Xem chi tiết")</f>
        <v/>
      </c>
      <c r="O7682" s="10" t="n"/>
    </row>
    <row r="7683">
      <c r="B7683" s="7" t="n">
        <v>7681</v>
      </c>
      <c r="C7683" t="inlineStr">
        <is>
          <t>Part Quality Engineer (Shuttle Bus from Center Hanoi)</t>
        </is>
      </c>
      <c r="D7683" t="inlineStr">
        <is>
          <t>Hanwha Aero Engines Company Limited</t>
        </is>
      </c>
      <c r="E7683" t="inlineStr">
        <is>
          <t>Thương lượng</t>
        </is>
      </c>
      <c r="F7683" t="inlineStr">
        <is>
          <t>Hà Nội</t>
        </is>
      </c>
      <c r="G7683" t="inlineStr">
        <is>
          <t>Nhân viên</t>
        </is>
      </c>
      <c r="H7683" t="inlineStr">
        <is>
          <t>05/03/2026</t>
        </is>
      </c>
      <c r="I7683" t="inlineStr">
        <is>
          <t>04/04/2026</t>
        </is>
      </c>
      <c r="J7683" t="inlineStr">
        <is>
          <t>17/03/2026</t>
        </is>
      </c>
      <c r="K7683" t="inlineStr">
        <is>
          <t>N/A</t>
        </is>
      </c>
      <c r="L7683" t="inlineStr">
        <is>
          <t>Manufactory Management, Mechanical Engineering, Quality Assurance, Technical Inspection, Process Consulting</t>
        </is>
      </c>
      <c r="M7683" t="inlineStr">
        <is>
          <t>Bonus, Healthcare Plan, Others</t>
        </is>
      </c>
      <c r="N7683" s="8">
        <f>HYPERLINK("https://www.vietnamworks.com/part-quality-engineer-shuttle-bus-from-center-hanoi-2018959-jv","Xem chi tiết")</f>
        <v/>
      </c>
    </row>
    <row r="7684">
      <c r="B7684" s="9" t="n">
        <v>7682</v>
      </c>
      <c r="C7684" s="10" t="inlineStr">
        <is>
          <t>Chuyên Viên Tài Chính Quản Trị</t>
        </is>
      </c>
      <c r="D7684" s="10" t="inlineStr">
        <is>
          <t>GELEX Group</t>
        </is>
      </c>
      <c r="E7684" s="10" t="inlineStr">
        <is>
          <t>Thương lượng</t>
        </is>
      </c>
      <c r="F7684" s="10" t="inlineStr">
        <is>
          <t>Hà Nội</t>
        </is>
      </c>
      <c r="G7684" s="10" t="inlineStr">
        <is>
          <t>Nhân viên</t>
        </is>
      </c>
      <c r="H7684" s="10" t="inlineStr">
        <is>
          <t>05/03/2026</t>
        </is>
      </c>
      <c r="I7684" s="10" t="inlineStr">
        <is>
          <t>04/04/2026</t>
        </is>
      </c>
      <c r="J7684" s="10" t="inlineStr">
        <is>
          <t>17/03/2026</t>
        </is>
      </c>
      <c r="K7684" s="10" t="inlineStr">
        <is>
          <t>N/A</t>
        </is>
      </c>
      <c r="L7684" s="10" t="inlineStr">
        <is>
          <t>Tài Chính, Kinh Tế, Kế Toán, Phân Tích Tài Chính, Giao Tiếp</t>
        </is>
      </c>
      <c r="M7684" s="10" t="inlineStr">
        <is>
          <t>Bonus, Healthcare Plan, Training, Others</t>
        </is>
      </c>
      <c r="N7684" s="11">
        <f>HYPERLINK("https://www.vietnamworks.com/chuyen-vien-tai-chinh-quan-tri-2018961-jv","Xem chi tiết")</f>
        <v/>
      </c>
      <c r="O7684" s="10" t="n"/>
    </row>
    <row r="7685">
      <c r="B7685" s="7" t="n">
        <v>7683</v>
      </c>
      <c r="C7685" t="inlineStr">
        <is>
          <t>[Bắc Ninh] Kế Toán Tổng Hợp - Lương Upto 18Tr - Đi Làm Ngay</t>
        </is>
      </c>
      <c r="D7685" t="inlineStr">
        <is>
          <t>CÔNG TY TNHH ALUMINUM VIỆT ECO</t>
        </is>
      </c>
      <c r="E7685" t="inlineStr">
        <is>
          <t>12tr-18tr ₫/tháng</t>
        </is>
      </c>
      <c r="F7685" t="inlineStr">
        <is>
          <t>Bắc Ninh</t>
        </is>
      </c>
      <c r="G7685" t="inlineStr">
        <is>
          <t>Nhân viên</t>
        </is>
      </c>
      <c r="H7685" t="inlineStr">
        <is>
          <t>05/03/2026</t>
        </is>
      </c>
      <c r="I7685" t="inlineStr">
        <is>
          <t>04/04/2026</t>
        </is>
      </c>
      <c r="J7685" t="inlineStr">
        <is>
          <t>17/03/2026</t>
        </is>
      </c>
      <c r="K7685" t="inlineStr">
        <is>
          <t>N/A</t>
        </is>
      </c>
      <c r="L7685" t="inlineStr">
        <is>
          <t>Hạch Toán Tổng Hợp, Phần mềm kế toán, Quy Định Thuế, Kiểm Tra Chứng Từ, General Accounting</t>
        </is>
      </c>
      <c r="M7685" t="inlineStr">
        <is>
          <t>Bonus, Healthcare Plan, Others</t>
        </is>
      </c>
      <c r="N7685" s="8">
        <f>HYPERLINK("https://www.vietnamworks.com/bac-ninh-ke-toan-tong-hop-luong-upto-18tr-dji-lam-ngay-2018963-jv","Xem chi tiết")</f>
        <v/>
      </c>
    </row>
    <row r="7686">
      <c r="B7686" s="9" t="n">
        <v>7684</v>
      </c>
      <c r="C7686" s="10" t="inlineStr">
        <is>
          <t>Assistant Sales Manager (Cashew Industry Only)</t>
        </is>
      </c>
      <c r="D7686" s="10" t="inlineStr">
        <is>
          <t>Vietnam Intersnack Cashew Co., Ltd</t>
        </is>
      </c>
      <c r="E7686" s="10" t="inlineStr">
        <is>
          <t>Thương lượng</t>
        </is>
      </c>
      <c r="F7686" s="10" t="inlineStr">
        <is>
          <t>Hồ Chí Minh</t>
        </is>
      </c>
      <c r="G7686" s="10" t="inlineStr">
        <is>
          <t>Trưởng phòng</t>
        </is>
      </c>
      <c r="H7686" s="10" t="inlineStr">
        <is>
          <t>05/03/2026</t>
        </is>
      </c>
      <c r="I7686" s="10" t="inlineStr">
        <is>
          <t>04/04/2026</t>
        </is>
      </c>
      <c r="J7686" s="10" t="inlineStr">
        <is>
          <t>17/03/2026</t>
        </is>
      </c>
      <c r="K7686" s="10" t="inlineStr">
        <is>
          <t>N/A</t>
        </is>
      </c>
      <c r="L7686" s="10" t="inlineStr">
        <is>
          <t>Sales Planning, Customer Experience Management, Negotiation, Channel Relationship Management, English Communication</t>
        </is>
      </c>
      <c r="M7686" s="10" t="inlineStr">
        <is>
          <t>Bonus, Healthcare Plan, Training</t>
        </is>
      </c>
      <c r="N7686" s="11">
        <f>HYPERLINK("https://www.vietnamworks.com/assistant-sales-manager-cashew-industry-only-2018951-jv","Xem chi tiết")</f>
        <v/>
      </c>
      <c r="O7686" s="10" t="n"/>
    </row>
    <row r="7687">
      <c r="B7687" s="7" t="n">
        <v>7685</v>
      </c>
      <c r="C7687" t="inlineStr">
        <is>
          <t>[Bắc Ninh] Nhân Viên Mua Hàng - Lương 10-18Tr - Đi Làm Ngay, Có Xe Đưa Đón</t>
        </is>
      </c>
      <c r="D7687" t="inlineStr">
        <is>
          <t>CÔNG TY TNHH ALUMINUM VIỆT ECO</t>
        </is>
      </c>
      <c r="E7687" t="inlineStr">
        <is>
          <t>10tr-18tr ₫/tháng</t>
        </is>
      </c>
      <c r="F7687" t="inlineStr">
        <is>
          <t>Bắc Ninh</t>
        </is>
      </c>
      <c r="G7687" t="inlineStr">
        <is>
          <t>Nhân viên</t>
        </is>
      </c>
      <c r="H7687" t="inlineStr">
        <is>
          <t>05/03/2026</t>
        </is>
      </c>
      <c r="I7687" t="inlineStr">
        <is>
          <t>04/04/2026</t>
        </is>
      </c>
      <c r="J7687" t="inlineStr">
        <is>
          <t>17/03/2026</t>
        </is>
      </c>
      <c r="K7687" t="inlineStr">
        <is>
          <t>N/A</t>
        </is>
      </c>
      <c r="L7687" t="inlineStr">
        <is>
          <t>Mua Hàng, Mua Hàng Xây Dựng, Purchasing &amp; Sourcing Management, Purchasing Skill, Purchasing Strategies</t>
        </is>
      </c>
      <c r="M7687" t="inlineStr">
        <is>
          <t>Bonus, Healthcare Plan, Training, Others</t>
        </is>
      </c>
      <c r="N7687" s="8">
        <f>HYPERLINK("https://www.vietnamworks.com/bac-ninh-nhan-vien-mua-hang-luong-10-18tr-dji-lam-ngay-co-xe-djua-djon-2018953-jv","Xem chi tiết")</f>
        <v/>
      </c>
    </row>
    <row r="7688">
      <c r="B7688" s="9" t="n">
        <v>7686</v>
      </c>
      <c r="C7688" s="10" t="inlineStr">
        <is>
          <t>Special Process Engineer (Upto 21M) - Shuttle Bus from Center of Hanoi</t>
        </is>
      </c>
      <c r="D7688" s="10" t="inlineStr">
        <is>
          <t>Hanwha Aero Engines Company Limited</t>
        </is>
      </c>
      <c r="E7688" s="10" t="inlineStr">
        <is>
          <t>Tới 21tr ₫/tháng</t>
        </is>
      </c>
      <c r="F7688" s="10" t="inlineStr">
        <is>
          <t>Hà Nội</t>
        </is>
      </c>
      <c r="G7688" s="10" t="inlineStr">
        <is>
          <t>Nhân viên</t>
        </is>
      </c>
      <c r="H7688" s="10" t="inlineStr">
        <is>
          <t>05/03/2026</t>
        </is>
      </c>
      <c r="I7688" s="10" t="inlineStr">
        <is>
          <t>04/04/2026</t>
        </is>
      </c>
      <c r="J7688" s="10" t="inlineStr">
        <is>
          <t>17/03/2026</t>
        </is>
      </c>
      <c r="K7688" s="10" t="inlineStr">
        <is>
          <t>N/A</t>
        </is>
      </c>
      <c r="L7688" s="10" t="inlineStr">
        <is>
          <t>Material Engineering, Mechanical Engineering, Surface Treatment, Chemical Application, Chemical Processing</t>
        </is>
      </c>
      <c r="M7688" s="10" t="inlineStr">
        <is>
          <t>Bonus, Healthcare Plan, Travel Opportunities, Others</t>
        </is>
      </c>
      <c r="N7688" s="11">
        <f>HYPERLINK("https://www.vietnamworks.com/special-process-engineer-upto-21m-shuttle-bus-from-center-of-hanoi-2018964-jv","Xem chi tiết")</f>
        <v/>
      </c>
      <c r="O7688" s="10" t="n"/>
    </row>
    <row r="7689">
      <c r="B7689" s="7" t="n">
        <v>7687</v>
      </c>
      <c r="C7689" t="inlineStr">
        <is>
          <t>Trưởng Phòng Hệ Thống Chính Sách</t>
        </is>
      </c>
      <c r="D7689" t="inlineStr">
        <is>
          <t>GELEX Group</t>
        </is>
      </c>
      <c r="E7689" t="inlineStr">
        <is>
          <t>Thương lượng</t>
        </is>
      </c>
      <c r="F7689" t="inlineStr">
        <is>
          <t>Hà Nội</t>
        </is>
      </c>
      <c r="G7689" t="inlineStr">
        <is>
          <t>Giám Đốc và Cấp Cao Hơn</t>
        </is>
      </c>
      <c r="H7689" t="inlineStr">
        <is>
          <t>05/03/2026</t>
        </is>
      </c>
      <c r="I7689" t="inlineStr">
        <is>
          <t>04/04/2026</t>
        </is>
      </c>
      <c r="J7689" t="inlineStr">
        <is>
          <t>17/03/2026</t>
        </is>
      </c>
      <c r="K7689" t="inlineStr">
        <is>
          <t>N/A</t>
        </is>
      </c>
      <c r="L7689" t="inlineStr">
        <is>
          <t>Quản Trị Nhân Lực, Hợp Đồng Lao Động, Quản Trị Kinh Doanh, Luật, Phân tích dữ liệu</t>
        </is>
      </c>
      <c r="M7689" t="inlineStr">
        <is>
          <t>Bonus, Healthcare Plan, Training, Others</t>
        </is>
      </c>
      <c r="N7689" s="8">
        <f>HYPERLINK("https://www.vietnamworks.com/truong-phong-he-thong-chinh-sach-2018958-jv","Xem chi tiết")</f>
        <v/>
      </c>
    </row>
    <row r="7690">
      <c r="B7690" s="9" t="n">
        <v>7688</v>
      </c>
      <c r="C7690" s="10" t="inlineStr">
        <is>
          <t>[Bắc Ninh] Trưởng Phòng Quản Lý Tài Chính - Lương 20-35 Tr - Đi Làm Ngay</t>
        </is>
      </c>
      <c r="D7690" s="10" t="inlineStr">
        <is>
          <t>CÔNG TY TNHH ALUMINUM VIỆT ECO</t>
        </is>
      </c>
      <c r="E7690" s="10" t="inlineStr">
        <is>
          <t>20tr-35tr ₫/tháng</t>
        </is>
      </c>
      <c r="F7690" s="10" t="inlineStr">
        <is>
          <t>Bắc Ninh</t>
        </is>
      </c>
      <c r="G7690" s="10" t="inlineStr">
        <is>
          <t>Trưởng phòng</t>
        </is>
      </c>
      <c r="H7690" s="10" t="inlineStr">
        <is>
          <t>05/03/2026</t>
        </is>
      </c>
      <c r="I7690" s="10" t="inlineStr">
        <is>
          <t>04/04/2026</t>
        </is>
      </c>
      <c r="J7690" s="10" t="inlineStr">
        <is>
          <t>17/03/2026</t>
        </is>
      </c>
      <c r="K7690" s="10" t="inlineStr">
        <is>
          <t>N/A</t>
        </is>
      </c>
      <c r="L7690" s="10" t="inlineStr">
        <is>
          <t>Phân Tích Tài Chính, Quản Lý Ngân Sách, Phần mềm kế toán, Giao Tiếp, Gia Công Áp Lực</t>
        </is>
      </c>
      <c r="M7690" s="10" t="inlineStr">
        <is>
          <t>Bonus, Healthcare Plan, Others</t>
        </is>
      </c>
      <c r="N7690" s="11">
        <f>HYPERLINK("https://www.vietnamworks.com/bac-ninh-truong-phong-quan-ly-tai-chinh-luong-20-35-tr-dji-lam-ngay-2018957-jv","Xem chi tiết")</f>
        <v/>
      </c>
      <c r="O7690" s="10" t="n"/>
    </row>
    <row r="7691">
      <c r="B7691" s="7" t="n">
        <v>7689</v>
      </c>
      <c r="C7691" t="inlineStr">
        <is>
          <t>Chuyên Viên Cao Cấp Thiết Kế Tổ Chức</t>
        </is>
      </c>
      <c r="D7691" t="inlineStr">
        <is>
          <t>Ngân Hàng TMCP Sài Gòn – Hà Nội (SHB)</t>
        </is>
      </c>
      <c r="E7691" t="inlineStr">
        <is>
          <t>Thương lượng</t>
        </is>
      </c>
      <c r="F7691" t="inlineStr">
        <is>
          <t>Hà Nội</t>
        </is>
      </c>
      <c r="G7691" t="inlineStr">
        <is>
          <t>Nhân viên</t>
        </is>
      </c>
      <c r="H7691" t="inlineStr">
        <is>
          <t>05/03/2026</t>
        </is>
      </c>
      <c r="I7691" t="inlineStr">
        <is>
          <t>04/04/2026</t>
        </is>
      </c>
      <c r="J7691" t="inlineStr">
        <is>
          <t>17/03/2026</t>
        </is>
      </c>
      <c r="K7691" t="inlineStr">
        <is>
          <t>N/A</t>
        </is>
      </c>
      <c r="L7691" t="inlineStr">
        <is>
          <t>Hr Analytics, Organization design, Talent Management, Thiết Kế Tổ Chức, Xây Dựng Chính Sách</t>
        </is>
      </c>
      <c r="M7691" t="inlineStr">
        <is>
          <t>Bonus, Healthcare Plan, Paid Leave, Training, Travel Opportunities, Others</t>
        </is>
      </c>
      <c r="N7691" s="8">
        <f>HYPERLINK("https://www.vietnamworks.com/chuyen-vien-cao-cap-thiet-ke-to-chuc-2018962-jv","Xem chi tiết")</f>
        <v/>
      </c>
    </row>
    <row r="7692">
      <c r="B7692" s="9" t="n">
        <v>7690</v>
      </c>
      <c r="C7692" s="10" t="inlineStr">
        <is>
          <t>Sales/Nhân viên Kinh Doanh Kênh Phân Phối - Không áp KPI (Hanoi Branch)</t>
        </is>
      </c>
      <c r="D7692" s="10" t="inlineStr">
        <is>
          <t>TOTO Vietnam Co., Ltd</t>
        </is>
      </c>
      <c r="E7692" s="10" t="inlineStr">
        <is>
          <t>Thương lượng</t>
        </is>
      </c>
      <c r="F7692" s="10" t="inlineStr">
        <is>
          <t>Hà Nội</t>
        </is>
      </c>
      <c r="G7692" s="10" t="inlineStr">
        <is>
          <t>Nhân viên</t>
        </is>
      </c>
      <c r="H7692" s="10" t="inlineStr">
        <is>
          <t>05/03/2026</t>
        </is>
      </c>
      <c r="I7692" s="10" t="inlineStr">
        <is>
          <t>04/04/2026</t>
        </is>
      </c>
      <c r="J7692" s="10" t="inlineStr">
        <is>
          <t>17/03/2026</t>
        </is>
      </c>
      <c r="K7692" s="10" t="inlineStr">
        <is>
          <t>N/A</t>
        </is>
      </c>
      <c r="L7692" s="10" t="inlineStr">
        <is>
          <t>Giao Tiếp Tiếng Anh, Kỹ năng giao tiếp, Kỹ Năng Thuyết Trình, Làm Việc Nhóm, Tinh Thần Chủ Động</t>
        </is>
      </c>
      <c r="M7692" s="10" t="inlineStr">
        <is>
          <t>Paid Leave, Training, Others</t>
        </is>
      </c>
      <c r="N7692" s="11">
        <f>HYPERLINK("https://www.vietnamworks.com/salesnhan-vien-kinh-doanh-kenh-phan-phoi-khong-ap-kpi-hanoi-branch-2018986-jv","Xem chi tiết")</f>
        <v/>
      </c>
      <c r="O7692" s="10" t="n"/>
    </row>
    <row r="7693">
      <c r="B7693" s="7" t="n">
        <v>7691</v>
      </c>
      <c r="C7693" t="inlineStr">
        <is>
          <t>Trợ Lý Phiên Dịch Tiếng Trung</t>
        </is>
      </c>
      <c r="D7693" t="inlineStr">
        <is>
          <t>CÔNG TY TNHH ZENVIVA</t>
        </is>
      </c>
      <c r="E7693" t="inlineStr">
        <is>
          <t>$$ 580-650 /tháng</t>
        </is>
      </c>
      <c r="F7693" t="inlineStr">
        <is>
          <t>Hồ Chí Minh</t>
        </is>
      </c>
      <c r="G7693" t="inlineStr">
        <is>
          <t>Nhân viên</t>
        </is>
      </c>
      <c r="H7693" t="inlineStr">
        <is>
          <t>05/03/2026</t>
        </is>
      </c>
      <c r="I7693" t="inlineStr">
        <is>
          <t>04/04/2026</t>
        </is>
      </c>
      <c r="J7693" t="inlineStr">
        <is>
          <t>17/03/2026</t>
        </is>
      </c>
      <c r="K7693" t="inlineStr">
        <is>
          <t>N/A</t>
        </is>
      </c>
      <c r="L7693" t="inlineStr">
        <is>
          <t>Thành Thạo Tiếng Trung, Biên- Phiên Dịch Tiếng Trung, Phiên dịch tiếng Trung, Soạn Thảo Hợp Đồng, Hành chính văn phòng</t>
        </is>
      </c>
      <c r="M7693" t="inlineStr">
        <is>
          <t>Healthcare Plan, Others</t>
        </is>
      </c>
      <c r="N7693" s="8">
        <f>HYPERLINK("https://www.vietnamworks.com/tro-ly-phien-dich-tieng-trung--2018982-jv","Xem chi tiết")</f>
        <v/>
      </c>
    </row>
    <row r="7694">
      <c r="B7694" s="9" t="n">
        <v>7692</v>
      </c>
      <c r="C7694" s="10" t="inlineStr">
        <is>
          <t>Chief Accountant</t>
        </is>
      </c>
      <c r="D7694" s="10" t="inlineStr">
        <is>
          <t>Công Ty TNHH Yinson Việt Nam</t>
        </is>
      </c>
      <c r="E7694" s="10" t="inlineStr">
        <is>
          <t>Thương lượng</t>
        </is>
      </c>
      <c r="F7694" s="10" t="inlineStr">
        <is>
          <t>Hồ Chí Minh</t>
        </is>
      </c>
      <c r="G7694" s="10" t="inlineStr">
        <is>
          <t>Nhân viên</t>
        </is>
      </c>
      <c r="H7694" s="10" t="inlineStr">
        <is>
          <t>05/03/2026</t>
        </is>
      </c>
      <c r="I7694" s="10" t="inlineStr">
        <is>
          <t>04/04/2026</t>
        </is>
      </c>
      <c r="J7694" s="10" t="inlineStr">
        <is>
          <t>17/03/2026</t>
        </is>
      </c>
      <c r="K7694" s="10" t="inlineStr">
        <is>
          <t>N/A</t>
        </is>
      </c>
      <c r="L7694" s="10" t="inlineStr">
        <is>
          <t>Account</t>
        </is>
      </c>
      <c r="M7694" s="10" t="inlineStr">
        <is>
          <t>Bonus, Healthcare Plan, Paid Leave</t>
        </is>
      </c>
      <c r="N7694" s="11">
        <f>HYPERLINK("https://www.vietnamworks.com/chief-accountant-2018975-jv","Xem chi tiết")</f>
        <v/>
      </c>
      <c r="O7694" s="10" t="n"/>
    </row>
    <row r="7695">
      <c r="B7695" s="7" t="n">
        <v>7693</v>
      </c>
      <c r="C7695" t="inlineStr">
        <is>
          <t>[Hà Nội] Nhân Viên Marketing - Lương Upto 18Tr - Đi Làm Ngay</t>
        </is>
      </c>
      <c r="D7695" t="inlineStr">
        <is>
          <t>CÔNG TY TNHH ALUMINUM VIỆT ECO</t>
        </is>
      </c>
      <c r="E7695" t="inlineStr">
        <is>
          <t>12tr-18tr ₫/tháng</t>
        </is>
      </c>
      <c r="F7695" t="inlineStr">
        <is>
          <t>Hà Nội</t>
        </is>
      </c>
      <c r="G7695" t="inlineStr">
        <is>
          <t>Nhân viên</t>
        </is>
      </c>
      <c r="H7695" t="inlineStr">
        <is>
          <t>05/03/2026</t>
        </is>
      </c>
      <c r="I7695" t="inlineStr">
        <is>
          <t>04/04/2026</t>
        </is>
      </c>
      <c r="J7695" t="inlineStr">
        <is>
          <t>17/03/2026</t>
        </is>
      </c>
      <c r="K7695" t="inlineStr">
        <is>
          <t>N/A</t>
        </is>
      </c>
      <c r="L7695" t="inlineStr">
        <is>
          <t>Digital Marketing, Google Ads, Online Marketing, SEO Google, SEO Tools</t>
        </is>
      </c>
      <c r="M7695" t="inlineStr">
        <is>
          <t>Bonus, Healthcare Plan, Training, Others</t>
        </is>
      </c>
      <c r="N7695" s="8">
        <f>HYPERLINK("https://www.vietnamworks.com/ha-noi-nhan-vien-marketing-luong-upto-18tr-dji-lam-ngay-2018968-jv","Xem chi tiết")</f>
        <v/>
      </c>
    </row>
    <row r="7696">
      <c r="B7696" s="9" t="n">
        <v>7694</v>
      </c>
      <c r="C7696" s="10" t="inlineStr">
        <is>
          <t>[Bắc Ninh] Nhân Viên ISO - Lương Từ 14Tr Trở Lên - Đi Làm Ngay</t>
        </is>
      </c>
      <c r="D7696" s="10" t="inlineStr">
        <is>
          <t>CÔNG TY TNHH ALUMINUM VIỆT ECO</t>
        </is>
      </c>
      <c r="E7696" s="10" t="inlineStr">
        <is>
          <t>Tới 14tr ₫/tháng</t>
        </is>
      </c>
      <c r="F7696" s="10" t="inlineStr">
        <is>
          <t>Bắc Ninh</t>
        </is>
      </c>
      <c r="G7696" s="10" t="inlineStr">
        <is>
          <t>Nhân viên</t>
        </is>
      </c>
      <c r="H7696" s="10" t="inlineStr">
        <is>
          <t>05/03/2026</t>
        </is>
      </c>
      <c r="I7696" s="10" t="inlineStr">
        <is>
          <t>04/04/2026</t>
        </is>
      </c>
      <c r="J7696" s="10" t="inlineStr">
        <is>
          <t>17/03/2026</t>
        </is>
      </c>
      <c r="K7696" s="10" t="inlineStr">
        <is>
          <t>N/A</t>
        </is>
      </c>
      <c r="L7696" s="10" t="inlineStr">
        <is>
          <t>ISO Standards, Document Management, Risk Assessment, Product Standardization, Attention To Detail</t>
        </is>
      </c>
      <c r="M7696" s="10" t="inlineStr">
        <is>
          <t>Bonus, Healthcare Plan, Training, Others</t>
        </is>
      </c>
      <c r="N7696" s="11">
        <f>HYPERLINK("https://www.vietnamworks.com/bac-ninh-nhan-vien-iso-luong-tu-14tr-tro-len-dji-lam-ngay-2018965-jv","Xem chi tiết")</f>
        <v/>
      </c>
      <c r="O7696" s="10" t="n"/>
    </row>
    <row r="7697">
      <c r="B7697" s="7" t="n">
        <v>7695</v>
      </c>
      <c r="C7697" t="inlineStr">
        <is>
          <t>General Accountant</t>
        </is>
      </c>
      <c r="D7697" t="inlineStr">
        <is>
          <t>Công Ty TNHH Yinson Việt Nam</t>
        </is>
      </c>
      <c r="E7697" t="inlineStr">
        <is>
          <t>14tr-17tr ₫/tháng</t>
        </is>
      </c>
      <c r="F7697" t="inlineStr">
        <is>
          <t>Hồ Chí Minh</t>
        </is>
      </c>
      <c r="G7697" t="inlineStr">
        <is>
          <t>Nhân viên</t>
        </is>
      </c>
      <c r="H7697" t="inlineStr">
        <is>
          <t>05/03/2026</t>
        </is>
      </c>
      <c r="I7697" t="inlineStr">
        <is>
          <t>04/04/2026</t>
        </is>
      </c>
      <c r="J7697" t="inlineStr">
        <is>
          <t>17/03/2026</t>
        </is>
      </c>
      <c r="K7697" t="inlineStr">
        <is>
          <t>N/A</t>
        </is>
      </c>
      <c r="L7697" t="inlineStr">
        <is>
          <t>Account Payable, Account Receivable, General Accountant</t>
        </is>
      </c>
      <c r="M7697" t="inlineStr">
        <is>
          <t>Bonus, Healthcare Plan, Paid Leave</t>
        </is>
      </c>
      <c r="N7697" s="8">
        <f>HYPERLINK("https://www.vietnamworks.com/general-accountant-2018985-jv","Xem chi tiết")</f>
        <v/>
      </c>
    </row>
    <row r="7698">
      <c r="B7698" s="9" t="n">
        <v>7696</v>
      </c>
      <c r="C7698" s="10" t="inlineStr">
        <is>
          <t>Chief Financial Officer (CFO)</t>
        </is>
      </c>
      <c r="D7698" s="10" t="inlineStr">
        <is>
          <t>CÔNG TY CỔ PHẦN CÔNG NGHỆ FINVIET</t>
        </is>
      </c>
      <c r="E7698" s="10" t="inlineStr">
        <is>
          <t>Thương lượng</t>
        </is>
      </c>
      <c r="F7698" s="10" t="inlineStr">
        <is>
          <t>Hồ Chí Minh</t>
        </is>
      </c>
      <c r="G7698" s="10" t="inlineStr">
        <is>
          <t>Trưởng phòng</t>
        </is>
      </c>
      <c r="H7698" s="10" t="inlineStr">
        <is>
          <t>05/03/2026</t>
        </is>
      </c>
      <c r="I7698" s="10" t="inlineStr">
        <is>
          <t>04/04/2026</t>
        </is>
      </c>
      <c r="J7698" s="10" t="inlineStr">
        <is>
          <t>17/03/2026</t>
        </is>
      </c>
      <c r="K7698" s="10" t="inlineStr">
        <is>
          <t>N/A</t>
        </is>
      </c>
      <c r="L7698" s="10" t="inlineStr">
        <is>
          <t>English Communication, Fintech, CFO, Finance, Leadership</t>
        </is>
      </c>
      <c r="M7698" s="10" t="inlineStr">
        <is>
          <t>Bonus, Healthcare Plan, Training, Team Activities, Canteen, Others</t>
        </is>
      </c>
      <c r="N7698" s="11">
        <f>HYPERLINK("https://www.vietnamworks.com/chief-financial-officer-cfo-2018973-jv","Xem chi tiết")</f>
        <v/>
      </c>
      <c r="O7698" s="10" t="n"/>
    </row>
    <row r="7699">
      <c r="B7699" s="7" t="n">
        <v>7697</v>
      </c>
      <c r="C7699" t="inlineStr">
        <is>
          <t>Sales Executive (Attractive Salary)</t>
        </is>
      </c>
      <c r="D7699" t="inlineStr">
        <is>
          <t>OnePay JSC</t>
        </is>
      </c>
      <c r="E7699" t="inlineStr">
        <is>
          <t>1,000-2,000 ₫/tháng</t>
        </is>
      </c>
      <c r="F7699" t="inlineStr">
        <is>
          <t>Hà Nội</t>
        </is>
      </c>
      <c r="G7699" t="inlineStr">
        <is>
          <t>Nhân viên</t>
        </is>
      </c>
      <c r="H7699" t="inlineStr">
        <is>
          <t>05/03/2026</t>
        </is>
      </c>
      <c r="I7699" t="inlineStr">
        <is>
          <t>04/04/2026</t>
        </is>
      </c>
      <c r="J7699" t="inlineStr">
        <is>
          <t>17/03/2026</t>
        </is>
      </c>
      <c r="K7699" t="inlineStr">
        <is>
          <t>N/A</t>
        </is>
      </c>
      <c r="L7699" t="inlineStr">
        <is>
          <t>Sales Training, Presentation Skills, Communication Skills, Negotiation Skills, Relationship Management</t>
        </is>
      </c>
      <c r="M7699" t="inlineStr">
        <is>
          <t>Bonus, Healthcare Plan, Paid Leave, Training, Team Activities, Others</t>
        </is>
      </c>
      <c r="N7699" s="8">
        <f>HYPERLINK("https://www.vietnamworks.com/sales-executive-attractive-salary--2018976-jv","Xem chi tiết")</f>
        <v/>
      </c>
    </row>
    <row r="7700">
      <c r="B7700" s="9" t="n">
        <v>7698</v>
      </c>
      <c r="C7700" s="10" t="inlineStr">
        <is>
          <t>Trình Dược Viên - Các tỉnh Miền Nam</t>
        </is>
      </c>
      <c r="D7700" s="10" t="inlineStr">
        <is>
          <t>Công Ty TNHH Livespo Pharma</t>
        </is>
      </c>
      <c r="E7700" s="10" t="inlineStr">
        <is>
          <t>10tr-12tr ₫/tháng</t>
        </is>
      </c>
      <c r="F7700" s="10" t="inlineStr">
        <is>
          <t>Cần Thơ, An Giang</t>
        </is>
      </c>
      <c r="G7700" s="10" t="inlineStr">
        <is>
          <t>Nhân viên</t>
        </is>
      </c>
      <c r="H7700" s="10" t="inlineStr">
        <is>
          <t>05/03/2026</t>
        </is>
      </c>
      <c r="I7700" s="10" t="inlineStr">
        <is>
          <t>04/04/2026</t>
        </is>
      </c>
      <c r="J7700" s="10" t="inlineStr">
        <is>
          <t>17/03/2026</t>
        </is>
      </c>
      <c r="K7700" s="10" t="inlineStr">
        <is>
          <t>N/A</t>
        </is>
      </c>
      <c r="L7700" s="10" t="inlineStr">
        <is>
          <t>Bán Hàng Dược Phẩm, Chăm Sóc Khách Hàng, Kỹ năng giao tiếp, Xây Dựng, Định Hướng</t>
        </is>
      </c>
      <c r="M7700" s="10" t="inlineStr">
        <is>
          <t>Bonus, Healthcare Plan, Paid Leave, Training, Others</t>
        </is>
      </c>
      <c r="N7700" s="11">
        <f>HYPERLINK("https://www.vietnamworks.com/trinh-duoc-vien-cac-tinh-mien-nam-2018974-jv","Xem chi tiết")</f>
        <v/>
      </c>
      <c r="O7700" s="10" t="n"/>
    </row>
    <row r="7701">
      <c r="B7701" s="7" t="n">
        <v>7699</v>
      </c>
      <c r="C7701" t="inlineStr">
        <is>
          <t>Giám Đốc Công Nghệ Thông Tin (CIO)</t>
        </is>
      </c>
      <c r="D7701" t="inlineStr">
        <is>
          <t>Tổng Công Ty Cổ Phần Thương Mại Xây Dựng (WTO)</t>
        </is>
      </c>
      <c r="E7701" t="inlineStr">
        <is>
          <t>Thương lượng</t>
        </is>
      </c>
      <c r="F7701" t="inlineStr">
        <is>
          <t>Hà Nội</t>
        </is>
      </c>
      <c r="G7701" t="inlineStr">
        <is>
          <t>Giám Đốc và Cấp Cao Hơn</t>
        </is>
      </c>
      <c r="H7701" t="inlineStr">
        <is>
          <t>05/03/2026</t>
        </is>
      </c>
      <c r="I7701" t="inlineStr">
        <is>
          <t>04/04/2026</t>
        </is>
      </c>
      <c r="J7701" t="inlineStr">
        <is>
          <t>17/03/2026</t>
        </is>
      </c>
      <c r="K7701" t="inlineStr">
        <is>
          <t>N/A</t>
        </is>
      </c>
      <c r="L7701" t="inlineStr">
        <is>
          <t>IT Project Management, IT Phần Cứng, IT Management, Công Nghệ Thông Tin, Digital Transformation</t>
        </is>
      </c>
      <c r="M7701" t="inlineStr">
        <is>
          <t>Bonus, Healthcare Plan, Paid Leave</t>
        </is>
      </c>
      <c r="N7701" s="8">
        <f>HYPERLINK("https://www.vietnamworks.com/giam-doc-cong-nghe-thong-tin-cio--2018967-jv","Xem chi tiết")</f>
        <v/>
      </c>
    </row>
    <row r="7702">
      <c r="B7702" s="9" t="n">
        <v>7700</v>
      </c>
      <c r="C7702" s="10" t="inlineStr">
        <is>
          <t>[Bắc Ninh] Trưởng Bộ Phận ISO - Lương Upto 18Tr Đến 22Tr - Đi Làm Ngay</t>
        </is>
      </c>
      <c r="D7702" s="10" t="inlineStr">
        <is>
          <t>CÔNG TY TNHH ALUMINUM VIỆT ECO</t>
        </is>
      </c>
      <c r="E7702" s="10" t="inlineStr">
        <is>
          <t>18tr-22tr ₫/tháng</t>
        </is>
      </c>
      <c r="F7702" s="10" t="inlineStr">
        <is>
          <t>Bắc Ninh</t>
        </is>
      </c>
      <c r="G7702" s="10" t="inlineStr">
        <is>
          <t>Trưởng phòng</t>
        </is>
      </c>
      <c r="H7702" s="10" t="inlineStr">
        <is>
          <t>05/03/2026</t>
        </is>
      </c>
      <c r="I7702" s="10" t="inlineStr">
        <is>
          <t>04/04/2026</t>
        </is>
      </c>
      <c r="J7702" s="10" t="inlineStr">
        <is>
          <t>17/03/2026</t>
        </is>
      </c>
      <c r="K7702" s="10" t="inlineStr">
        <is>
          <t>N/A</t>
        </is>
      </c>
      <c r="L7702" s="10" t="inlineStr">
        <is>
          <t>Quản Lý ISO, Phân tích dữ liệu, Quality</t>
        </is>
      </c>
      <c r="M7702" s="10" t="inlineStr">
        <is>
          <t>Bonus, Healthcare Plan, Training, Others</t>
        </is>
      </c>
      <c r="N7702" s="11">
        <f>HYPERLINK("https://www.vietnamworks.com/bac-ninh-truong-bo-phan-iso-luong-upto-18tr-djen-22tr-dji-lam-ngay-2018970-jv","Xem chi tiết")</f>
        <v/>
      </c>
      <c r="O7702" s="10" t="n"/>
    </row>
    <row r="7703">
      <c r="B7703" s="7" t="n">
        <v>7701</v>
      </c>
      <c r="C7703" t="inlineStr">
        <is>
          <t>Kế Toán Trưởng</t>
        </is>
      </c>
      <c r="D7703" t="inlineStr">
        <is>
          <t>CÔNG TY TNHH QUỐC TẾ JW</t>
        </is>
      </c>
      <c r="E7703" t="inlineStr">
        <is>
          <t>30tr-35tr ₫/tháng</t>
        </is>
      </c>
      <c r="F7703" t="inlineStr">
        <is>
          <t>Hồ Chí Minh</t>
        </is>
      </c>
      <c r="G7703" t="inlineStr">
        <is>
          <t>Trưởng phòng</t>
        </is>
      </c>
      <c r="H7703" t="inlineStr">
        <is>
          <t>05/03/2026</t>
        </is>
      </c>
      <c r="I7703" t="inlineStr">
        <is>
          <t>04/04/2026</t>
        </is>
      </c>
      <c r="J7703" t="inlineStr">
        <is>
          <t>17/03/2026</t>
        </is>
      </c>
      <c r="K7703" t="inlineStr">
        <is>
          <t>N/A</t>
        </is>
      </c>
      <c r="L7703" t="inlineStr">
        <is>
          <t>Ngân hàng, Quản Lý Kế Toán, Quy Định Pháp Luật Về Thuế, Thẩm Định Vấn Đề</t>
        </is>
      </c>
      <c r="M7703" t="inlineStr">
        <is>
          <t>Bonus, Travel Opportunities, Others</t>
        </is>
      </c>
      <c r="N7703" s="8">
        <f>HYPERLINK("https://www.vietnamworks.com/ke-toan-truong-2018978-jv","Xem chi tiết")</f>
        <v/>
      </c>
    </row>
    <row r="7704">
      <c r="B7704" s="9" t="n">
        <v>7702</v>
      </c>
      <c r="C7704" s="10" t="inlineStr">
        <is>
          <t>Nhân Viên Kế Toán</t>
        </is>
      </c>
      <c r="D7704" s="10" t="inlineStr">
        <is>
          <t>CÔNG TY TNHH DỊCH VỤ GIẢI PHÁP VÀ GIAO NHẬN F1</t>
        </is>
      </c>
      <c r="E7704" s="10" t="inlineStr">
        <is>
          <t>10tr-15tr ₫/tháng</t>
        </is>
      </c>
      <c r="F7704" s="10" t="inlineStr">
        <is>
          <t>Hà Nội</t>
        </is>
      </c>
      <c r="G7704" s="10" t="inlineStr">
        <is>
          <t>Nhân viên</t>
        </is>
      </c>
      <c r="H7704" s="10" t="inlineStr">
        <is>
          <t>05/03/2026</t>
        </is>
      </c>
      <c r="I7704" s="10" t="inlineStr">
        <is>
          <t>04/04/2026</t>
        </is>
      </c>
      <c r="J7704" s="10" t="inlineStr">
        <is>
          <t>17/03/2026</t>
        </is>
      </c>
      <c r="K7704" s="10" t="inlineStr">
        <is>
          <t>N/A</t>
        </is>
      </c>
      <c r="L7704" s="10" t="inlineStr">
        <is>
          <t>Kế Toán, Báo Cáo Tài Chính, Công Nợ, Kiểm Toán</t>
        </is>
      </c>
      <c r="M7704" s="10" t="inlineStr">
        <is>
          <t>Bonus, Healthcare Plan, Training, Travel Opportunities, Others</t>
        </is>
      </c>
      <c r="N7704" s="11">
        <f>HYPERLINK("https://www.vietnamworks.com/nhan-vien-ke-toan-2018977-jv","Xem chi tiết")</f>
        <v/>
      </c>
      <c r="O7704" s="10" t="n"/>
    </row>
    <row r="7705">
      <c r="B7705" s="7" t="n">
        <v>7703</v>
      </c>
      <c r="C7705" t="inlineStr">
        <is>
          <t>[Hà Nội] Tuyển Nhân Viên Thiết Kế - Lương Upto 18 Triệu - Đi Làm Ngay</t>
        </is>
      </c>
      <c r="D7705" t="inlineStr">
        <is>
          <t>CÔNG TY TNHH ALUMINUM VIỆT ECO</t>
        </is>
      </c>
      <c r="E7705" t="inlineStr">
        <is>
          <t>$$ 12tr-18tr /tháng</t>
        </is>
      </c>
      <c r="F7705" t="inlineStr">
        <is>
          <t>Hà Nội</t>
        </is>
      </c>
      <c r="G7705" t="inlineStr">
        <is>
          <t>Nhân viên</t>
        </is>
      </c>
      <c r="H7705" t="inlineStr">
        <is>
          <t>05/03/2026</t>
        </is>
      </c>
      <c r="I7705" t="inlineStr">
        <is>
          <t>04/04/2026</t>
        </is>
      </c>
      <c r="J7705" t="inlineStr">
        <is>
          <t>17/03/2026</t>
        </is>
      </c>
      <c r="K7705" t="inlineStr">
        <is>
          <t>N/A</t>
        </is>
      </c>
      <c r="L7705" t="inlineStr">
        <is>
          <t>Design, Photoshop, Sketchup, Thiết Kế, UIUX</t>
        </is>
      </c>
      <c r="M7705" t="inlineStr">
        <is>
          <t>Bonus, Healthcare Plan, Training, Others</t>
        </is>
      </c>
      <c r="N7705" s="8">
        <f>HYPERLINK("https://www.vietnamworks.com/ha-noi-tuyen-nhan-vien-thiet-ke-luong-upto-18-trieu-dji-lam-ngay-2018984-jv","Xem chi tiết")</f>
        <v/>
      </c>
    </row>
    <row r="7706">
      <c r="B7706" s="9" t="n">
        <v>7704</v>
      </c>
      <c r="C7706" s="10" t="inlineStr">
        <is>
          <t>Trưởng Phòng Phát Triển Nhân Tài</t>
        </is>
      </c>
      <c r="D7706" s="10" t="inlineStr">
        <is>
          <t>Ngân Hàng TMCP Sài Gòn – Hà Nội (SHB)</t>
        </is>
      </c>
      <c r="E7706" s="10" t="inlineStr">
        <is>
          <t>Thương lượng</t>
        </is>
      </c>
      <c r="F7706" s="10" t="inlineStr">
        <is>
          <t>Hà Nội</t>
        </is>
      </c>
      <c r="G7706" s="10" t="inlineStr">
        <is>
          <t>Trưởng phòng</t>
        </is>
      </c>
      <c r="H7706" s="10" t="inlineStr">
        <is>
          <t>05/03/2026</t>
        </is>
      </c>
      <c r="I7706" s="10" t="inlineStr">
        <is>
          <t>04/04/2026</t>
        </is>
      </c>
      <c r="J7706" s="10" t="inlineStr">
        <is>
          <t>17/03/2026</t>
        </is>
      </c>
      <c r="K7706" s="10" t="inlineStr">
        <is>
          <t>N/A</t>
        </is>
      </c>
      <c r="L7706" s="10" t="inlineStr">
        <is>
          <t>Giám Sát, LMS, Phát Triển Nhân Tài, Quản Trị Nhân Lực Ngân Hàng, Đào Tạo</t>
        </is>
      </c>
      <c r="M7706" s="10" t="inlineStr">
        <is>
          <t>Bonus, Healthcare Plan, Paid Leave, Training, Others</t>
        </is>
      </c>
      <c r="N7706" s="11">
        <f>HYPERLINK("https://www.vietnamworks.com/truong-phong-phat-trien-nhan-tai-2018983-jv","Xem chi tiết")</f>
        <v/>
      </c>
      <c r="O7706" s="10" t="n"/>
    </row>
    <row r="7707">
      <c r="B7707" s="7" t="n">
        <v>7705</v>
      </c>
      <c r="C7707" t="inlineStr">
        <is>
          <t>Head Of Product</t>
        </is>
      </c>
      <c r="D7707" t="inlineStr">
        <is>
          <t>CÔNG TY CỔ PHẦN CÔNG NGHỆ FINVIET</t>
        </is>
      </c>
      <c r="E7707" t="inlineStr">
        <is>
          <t>Thương lượng</t>
        </is>
      </c>
      <c r="F7707" t="inlineStr">
        <is>
          <t>Hồ Chí Minh</t>
        </is>
      </c>
      <c r="G7707" t="inlineStr">
        <is>
          <t>Trưởng phòng</t>
        </is>
      </c>
      <c r="H7707" t="inlineStr">
        <is>
          <t>05/03/2026</t>
        </is>
      </c>
      <c r="I7707" t="inlineStr">
        <is>
          <t>04/04/2026</t>
        </is>
      </c>
      <c r="J7707" t="inlineStr">
        <is>
          <t>17/03/2026</t>
        </is>
      </c>
      <c r="K7707" t="inlineStr">
        <is>
          <t>N/A</t>
        </is>
      </c>
      <c r="L7707" t="inlineStr">
        <is>
          <t>English Communication, Fintech, Leadership, Product Analytics</t>
        </is>
      </c>
      <c r="M7707" t="inlineStr">
        <is>
          <t>Bonus, Healthcare Plan, Training, Team Activities, Canteen, Others</t>
        </is>
      </c>
      <c r="N7707" s="8">
        <f>HYPERLINK("https://www.vietnamworks.com/head-of-product-2018979-jv","Xem chi tiết")</f>
        <v/>
      </c>
    </row>
    <row r="7708">
      <c r="B7708" s="9" t="n">
        <v>7706</v>
      </c>
      <c r="C7708" s="10" t="inlineStr">
        <is>
          <t>[ Hot Job ] Kỹ Sư Giám Sát Xây Dựng</t>
        </is>
      </c>
      <c r="D7708" s="10" t="inlineStr">
        <is>
          <t>Tổng Công Ty Cổ Phần Thương Mại Xây Dựng (WTO)</t>
        </is>
      </c>
      <c r="E7708" s="10" t="inlineStr">
        <is>
          <t>Thương lượng</t>
        </is>
      </c>
      <c r="F7708" s="10" t="inlineStr">
        <is>
          <t>Hà Nội</t>
        </is>
      </c>
      <c r="G7708" s="10" t="inlineStr">
        <is>
          <t>Nhân viên</t>
        </is>
      </c>
      <c r="H7708" s="10" t="inlineStr">
        <is>
          <t>05/03/2026</t>
        </is>
      </c>
      <c r="I7708" s="10" t="inlineStr">
        <is>
          <t>04/04/2026</t>
        </is>
      </c>
      <c r="J7708" s="10" t="inlineStr">
        <is>
          <t>17/03/2026</t>
        </is>
      </c>
      <c r="K7708" s="10" t="inlineStr">
        <is>
          <t>N/A</t>
        </is>
      </c>
      <c r="L7708" s="10" t="inlineStr">
        <is>
          <t>Giám Sát Xây Dựng, Giám Sát Thi Công, Nghiệm Thu, AutoCAD, Ms Project</t>
        </is>
      </c>
      <c r="M7708" s="10" t="inlineStr">
        <is>
          <t>Bonus, Healthcare Plan, Paid Leave</t>
        </is>
      </c>
      <c r="N7708" s="11">
        <f>HYPERLINK("https://www.vietnamworks.com/hot-job-ky-su-giam-sat-xay-dung--2018969-jv","Xem chi tiết")</f>
        <v/>
      </c>
      <c r="O7708" s="10" t="n"/>
    </row>
    <row r="7709">
      <c r="B7709" s="7" t="n">
        <v>7707</v>
      </c>
      <c r="C7709" t="inlineStr">
        <is>
          <t>Kỹ Sư Giám Sát Cơ Điện (MEP)</t>
        </is>
      </c>
      <c r="D7709" t="inlineStr">
        <is>
          <t>Tổng Công Ty Cổ Phần Thương Mại Xây Dựng (WTO)</t>
        </is>
      </c>
      <c r="E7709" t="inlineStr">
        <is>
          <t>Thương lượng</t>
        </is>
      </c>
      <c r="F7709" t="inlineStr">
        <is>
          <t>Hà Nội</t>
        </is>
      </c>
      <c r="G7709" t="inlineStr">
        <is>
          <t>Nhân viên</t>
        </is>
      </c>
      <c r="H7709" t="inlineStr">
        <is>
          <t>05/03/2026</t>
        </is>
      </c>
      <c r="I7709" t="inlineStr">
        <is>
          <t>04/04/2026</t>
        </is>
      </c>
      <c r="J7709" t="inlineStr">
        <is>
          <t>17/03/2026</t>
        </is>
      </c>
      <c r="K7709" t="inlineStr">
        <is>
          <t>N/A</t>
        </is>
      </c>
      <c r="L7709" t="inlineStr">
        <is>
          <t>Giám Sát Cơ Điện, MEP, Điện, Giám Sát Thi Công, Kiếm Soát Thiết Kế</t>
        </is>
      </c>
      <c r="M7709" t="inlineStr">
        <is>
          <t>Bonus, Healthcare Plan, Paid Leave</t>
        </is>
      </c>
      <c r="N7709" s="8">
        <f>HYPERLINK("https://www.vietnamworks.com/ky-su-giam-sat-co-dien-mep--2018971-jv","Xem chi tiết")</f>
        <v/>
      </c>
    </row>
    <row r="7710">
      <c r="B7710" s="9" t="n">
        <v>7708</v>
      </c>
      <c r="C7710" s="10" t="inlineStr">
        <is>
          <t>Chuyên Viên Đánh Giá KPIs</t>
        </is>
      </c>
      <c r="D7710" s="10" t="inlineStr">
        <is>
          <t>Công Ty Cổ Phần UV</t>
        </is>
      </c>
      <c r="E7710" s="10" t="inlineStr">
        <is>
          <t>Thương lượng</t>
        </is>
      </c>
      <c r="F7710" s="10" t="inlineStr">
        <is>
          <t>Hồ Chí Minh</t>
        </is>
      </c>
      <c r="G7710" s="10" t="inlineStr">
        <is>
          <t>Nhân viên</t>
        </is>
      </c>
      <c r="H7710" s="10" t="inlineStr">
        <is>
          <t>05/03/2026</t>
        </is>
      </c>
      <c r="I7710" s="10" t="inlineStr">
        <is>
          <t>04/04/2026</t>
        </is>
      </c>
      <c r="J7710" s="10" t="inlineStr">
        <is>
          <t>17/03/2026</t>
        </is>
      </c>
      <c r="K7710" s="10" t="inlineStr">
        <is>
          <t>N/A</t>
        </is>
      </c>
      <c r="L7710" s="10" t="inlineStr">
        <is>
          <t>Xây dựng KPIs, Performance Management, Okrs, HR Generalist, Phân tích dữ liệu</t>
        </is>
      </c>
      <c r="M7710" s="10" t="inlineStr">
        <is>
          <t>Healthcare Plan, Paid Leave, Team Activities</t>
        </is>
      </c>
      <c r="N7710" s="11">
        <f>HYPERLINK("https://www.vietnamworks.com/chuyen-vien-djanh-gia-kpis-2018987-jv","Xem chi tiết")</f>
        <v/>
      </c>
      <c r="O7710" s="10" t="n"/>
    </row>
    <row r="7711">
      <c r="B7711" s="7" t="n">
        <v>7709</v>
      </c>
      <c r="C7711" t="inlineStr">
        <is>
          <t>Senior Accountant (Production Centre) - $800-$1500</t>
        </is>
      </c>
      <c r="D7711" t="inlineStr">
        <is>
          <t>Công Ty TNHH Laservall VIỆT NAM</t>
        </is>
      </c>
      <c r="E7711" t="inlineStr">
        <is>
          <t>$$ 800-1,500 /tháng</t>
        </is>
      </c>
      <c r="F7711" t="inlineStr">
        <is>
          <t>Hà Nội, Bắc Ninh</t>
        </is>
      </c>
      <c r="G7711" t="inlineStr">
        <is>
          <t>Nhân viên</t>
        </is>
      </c>
      <c r="H7711" t="inlineStr">
        <is>
          <t>05/03/2026</t>
        </is>
      </c>
      <c r="I7711" t="inlineStr">
        <is>
          <t>04/04/2026</t>
        </is>
      </c>
      <c r="J7711" t="inlineStr">
        <is>
          <t>17/03/2026</t>
        </is>
      </c>
      <c r="K7711" t="inlineStr">
        <is>
          <t>N/A</t>
        </is>
      </c>
      <c r="L7711" t="inlineStr">
        <is>
          <t>Cost Accounting, Inventory Management, Accounting Tax, Cost Accountant, General Accountant</t>
        </is>
      </c>
      <c r="M7711" t="inlineStr">
        <is>
          <t>Paid Leave, Others</t>
        </is>
      </c>
      <c r="N7711" s="8">
        <f>HYPERLINK("https://www.vietnamworks.com/senior-accountant-production-centre-dollar800-dollar1500-2018981-jv","Xem chi tiết")</f>
        <v/>
      </c>
    </row>
    <row r="7712">
      <c r="B7712" s="9" t="n">
        <v>7710</v>
      </c>
      <c r="C7712" s="10" t="inlineStr">
        <is>
          <t>[Phú Hưng Thịnh] Team Leader - Property Management</t>
        </is>
      </c>
      <c r="D7712" s="10" t="inlineStr">
        <is>
          <t>Công Ty TNHH Phát Triển Phú Mỹ Hưng</t>
        </is>
      </c>
      <c r="E7712" s="10" t="inlineStr">
        <is>
          <t>$$ 600-1,000 /tháng</t>
        </is>
      </c>
      <c r="F7712" s="10" t="inlineStr">
        <is>
          <t>Hồ Chí Minh</t>
        </is>
      </c>
      <c r="G7712" s="10" t="inlineStr">
        <is>
          <t>Nhân viên</t>
        </is>
      </c>
      <c r="H7712" s="10" t="inlineStr">
        <is>
          <t>05/03/2026</t>
        </is>
      </c>
      <c r="I7712" s="10" t="inlineStr">
        <is>
          <t>04/04/2026</t>
        </is>
      </c>
      <c r="J7712" s="10" t="inlineStr">
        <is>
          <t>17/03/2026</t>
        </is>
      </c>
      <c r="K7712" s="10" t="inlineStr">
        <is>
          <t>N/A</t>
        </is>
      </c>
      <c r="L7712" s="10" t="inlineStr">
        <is>
          <t>PM, Quản Lý Toà Nhà, Trợ Lý, Giám Sát Dịch Vụ, Operation</t>
        </is>
      </c>
      <c r="M7712" s="10" t="inlineStr">
        <is>
          <t>Healthcare Plan, Paid Leave, Training</t>
        </is>
      </c>
      <c r="N7712" s="11">
        <f>HYPERLINK("https://www.vietnamworks.com/phu-hung-thinh-team-leader-property-management--2018991-jv","Xem chi tiết")</f>
        <v/>
      </c>
      <c r="O7712" s="10" t="n"/>
    </row>
    <row r="7713">
      <c r="B7713" s="7" t="n">
        <v>7711</v>
      </c>
      <c r="C7713" t="inlineStr">
        <is>
          <t>[Ha Noi] Senior Java Engineer - Hot Job</t>
        </is>
      </c>
      <c r="D7713" t="inlineStr">
        <is>
          <t>Toshiba Software Development (Vietnam) CO., LTD</t>
        </is>
      </c>
      <c r="E7713" t="inlineStr">
        <is>
          <t>Thương lượng</t>
        </is>
      </c>
      <c r="F7713" t="inlineStr">
        <is>
          <t>Hà Nội</t>
        </is>
      </c>
      <c r="G7713" t="inlineStr">
        <is>
          <t>Nhân viên</t>
        </is>
      </c>
      <c r="H7713" t="inlineStr">
        <is>
          <t>05/03/2026</t>
        </is>
      </c>
      <c r="I7713" t="inlineStr">
        <is>
          <t>04/04/2026</t>
        </is>
      </c>
      <c r="J7713" t="inlineStr">
        <is>
          <t>17/03/2026</t>
        </is>
      </c>
      <c r="K7713" t="inlineStr">
        <is>
          <t>N/A</t>
        </is>
      </c>
      <c r="L7713" t="inlineStr">
        <is>
          <t>Information Technology, Software Engineering, Tiếng Nhật, Java, Design Pattern</t>
        </is>
      </c>
      <c r="M7713" t="inlineStr">
        <is>
          <t>Bonus, Paid Leave, Training</t>
        </is>
      </c>
      <c r="N7713" s="8">
        <f>HYPERLINK("https://www.vietnamworks.com/ha-noi-senior-java-engineer-hot-job-2018994-jv","Xem chi tiết")</f>
        <v/>
      </c>
    </row>
    <row r="7714">
      <c r="B7714" s="9" t="n">
        <v>7712</v>
      </c>
      <c r="C7714" s="10" t="inlineStr">
        <is>
          <t>Kế Toán Bán Hàng &amp; Công Nợ</t>
        </is>
      </c>
      <c r="D7714" s="10" t="inlineStr">
        <is>
          <t>Công Ty TNHH Đầu Tư Thương Mại Và Xuất Nhập Khẩu Az-Tek</t>
        </is>
      </c>
      <c r="E7714" s="10" t="inlineStr">
        <is>
          <t>15tr-17tr ₫/tháng</t>
        </is>
      </c>
      <c r="F7714" s="10" t="inlineStr">
        <is>
          <t>Hà Nội</t>
        </is>
      </c>
      <c r="G7714" s="10" t="inlineStr">
        <is>
          <t>Nhân viên</t>
        </is>
      </c>
      <c r="H7714" s="10" t="inlineStr">
        <is>
          <t>05/03/2026</t>
        </is>
      </c>
      <c r="I7714" s="10" t="inlineStr">
        <is>
          <t>04/04/2026</t>
        </is>
      </c>
      <c r="J7714" s="10" t="inlineStr">
        <is>
          <t>17/03/2026</t>
        </is>
      </c>
      <c r="K7714" s="10" t="inlineStr">
        <is>
          <t>N/A</t>
        </is>
      </c>
      <c r="L7714" s="10" t="inlineStr">
        <is>
          <t>Kế Toán, Tài Chính, Công Nợ, Thuế, Kế Toán Tổng Hợp</t>
        </is>
      </c>
      <c r="M7714" s="10" t="inlineStr">
        <is>
          <t>Bonus, Healthcare Plan, Paid Leave</t>
        </is>
      </c>
      <c r="N7714" s="11">
        <f>HYPERLINK("https://www.vietnamworks.com/ke-toan-ban-hang-cong-no--2019017-jv","Xem chi tiết")</f>
        <v/>
      </c>
      <c r="O7714" s="10" t="n"/>
    </row>
    <row r="7715">
      <c r="B7715" s="7" t="n">
        <v>7713</v>
      </c>
      <c r="C7715" t="inlineStr">
        <is>
          <t>GAHR Officer - New Netherland Company - Attractive Salary</t>
        </is>
      </c>
      <c r="D7715" t="inlineStr">
        <is>
          <t>VDL ETG VIETNAM COMPANY LIMITED</t>
        </is>
      </c>
      <c r="E7715" t="inlineStr">
        <is>
          <t>Thương lượng</t>
        </is>
      </c>
      <c r="F7715" t="inlineStr">
        <is>
          <t>Quảng Ninh, Hải Phòng</t>
        </is>
      </c>
      <c r="G7715" t="inlineStr">
        <is>
          <t>Nhân viên</t>
        </is>
      </c>
      <c r="H7715" t="inlineStr">
        <is>
          <t>05/03/2026</t>
        </is>
      </c>
      <c r="I7715" t="inlineStr">
        <is>
          <t>04/04/2026</t>
        </is>
      </c>
      <c r="J7715" t="inlineStr">
        <is>
          <t>17/03/2026</t>
        </is>
      </c>
      <c r="K7715" t="inlineStr">
        <is>
          <t>N/A</t>
        </is>
      </c>
      <c r="L7715" t="inlineStr">
        <is>
          <t>Recruitment, Human Resources (HR), Employer Branding, Online Marketing, General Administration</t>
        </is>
      </c>
      <c r="M7715" t="inlineStr">
        <is>
          <t>Team Activities, Transportation, Others</t>
        </is>
      </c>
      <c r="N7715" s="8">
        <f>HYPERLINK("https://www.vietnamworks.com/gahr-officer-new-netherland-company-attractive-salary-2018995-jv","Xem chi tiết")</f>
        <v/>
      </c>
    </row>
    <row r="7716">
      <c r="B7716" s="9" t="n">
        <v>7714</v>
      </c>
      <c r="C7716" s="10" t="inlineStr">
        <is>
          <t>Modern Trade Executive / Supervisor - Chuyên Viên Kinh Doanh Thị Trường Kênh Siêu Thị</t>
        </is>
      </c>
      <c r="D7716" s="10" t="inlineStr">
        <is>
          <t>Suntory PepsiCo Vietnam Beverage</t>
        </is>
      </c>
      <c r="E7716" s="10" t="inlineStr">
        <is>
          <t>Thương lượng</t>
        </is>
      </c>
      <c r="F7716" s="10" t="inlineStr">
        <is>
          <t>Hà Nội</t>
        </is>
      </c>
      <c r="G7716" s="10" t="inlineStr">
        <is>
          <t>Nhân viên</t>
        </is>
      </c>
      <c r="H7716" s="10" t="inlineStr">
        <is>
          <t>05/03/2026</t>
        </is>
      </c>
      <c r="I7716" s="10" t="inlineStr">
        <is>
          <t>04/04/2026</t>
        </is>
      </c>
      <c r="J7716" s="10" t="inlineStr">
        <is>
          <t>17/03/2026</t>
        </is>
      </c>
      <c r="K7716" s="10" t="inlineStr">
        <is>
          <t>N/A</t>
        </is>
      </c>
      <c r="L7716" s="10" t="inlineStr">
        <is>
          <t>Modern Trade, sales activities, Team Supervision</t>
        </is>
      </c>
      <c r="M7716" s="10" t="inlineStr">
        <is>
          <t>Paid Leave</t>
        </is>
      </c>
      <c r="N7716" s="11">
        <f>HYPERLINK("https://www.vietnamworks.com/modern-trade-executive-supervisor-chuyen-vien-kinh-doanh-thi-truong-kenh-sieu-thi-2019006-jv","Xem chi tiết")</f>
        <v/>
      </c>
      <c r="O7716" s="10" t="n"/>
    </row>
    <row r="7717">
      <c r="B7717" s="7" t="n">
        <v>7715</v>
      </c>
      <c r="C7717" t="inlineStr">
        <is>
          <t>Kế Toán Trưởng</t>
        </is>
      </c>
      <c r="D7717" t="inlineStr">
        <is>
          <t>CÔNG TY TNHH CÔNG NGHỆ CRE VIỆT NAM</t>
        </is>
      </c>
      <c r="E7717" t="inlineStr">
        <is>
          <t>Thương lượng</t>
        </is>
      </c>
      <c r="F7717" t="inlineStr">
        <is>
          <t>Hà Nội</t>
        </is>
      </c>
      <c r="G7717" t="inlineStr">
        <is>
          <t>Trưởng phòng</t>
        </is>
      </c>
      <c r="H7717" t="inlineStr">
        <is>
          <t>05/03/2026</t>
        </is>
      </c>
      <c r="I7717" t="inlineStr">
        <is>
          <t>04/04/2026</t>
        </is>
      </c>
      <c r="J7717" t="inlineStr">
        <is>
          <t>17/03/2026</t>
        </is>
      </c>
      <c r="K7717" t="inlineStr">
        <is>
          <t>N/A</t>
        </is>
      </c>
      <c r="L7717" t="inlineStr">
        <is>
          <t>Chief Accountant, Chief Accountant Certificate, Kế Toán Tài Chính, Quản Lý Tài Chính</t>
        </is>
      </c>
      <c r="M7717" t="inlineStr">
        <is>
          <t>Bonus</t>
        </is>
      </c>
      <c r="N7717" s="8">
        <f>HYPERLINK("https://www.vietnamworks.com/ke-toan-truong-2019014-jv","Xem chi tiết")</f>
        <v/>
      </c>
    </row>
    <row r="7718">
      <c r="B7718" s="9" t="n">
        <v>7716</v>
      </c>
      <c r="C7718" s="10" t="inlineStr">
        <is>
          <t>Senior Project Engineer</t>
        </is>
      </c>
      <c r="D7718" s="10" t="inlineStr">
        <is>
          <t>Pebsteel Buildings Co., Ltd.</t>
        </is>
      </c>
      <c r="E7718" s="10" t="inlineStr">
        <is>
          <t>Thương lượng</t>
        </is>
      </c>
      <c r="F7718" s="10" t="inlineStr">
        <is>
          <t>Hồ Chí Minh</t>
        </is>
      </c>
      <c r="G7718" s="10" t="inlineStr">
        <is>
          <t>Nhân viên</t>
        </is>
      </c>
      <c r="H7718" s="10" t="inlineStr">
        <is>
          <t>05/03/2026</t>
        </is>
      </c>
      <c r="I7718" s="10" t="inlineStr">
        <is>
          <t>04/04/2026</t>
        </is>
      </c>
      <c r="J7718" s="10" t="inlineStr">
        <is>
          <t>17/03/2026</t>
        </is>
      </c>
      <c r="K7718" s="10" t="inlineStr">
        <is>
          <t>N/A</t>
        </is>
      </c>
      <c r="L7718" s="10" t="inlineStr">
        <is>
          <t>Autocad, Communication, Critical Analysis, Goal Management, Microsoft Project</t>
        </is>
      </c>
      <c r="M7718" s="10" t="inlineStr">
        <is>
          <t>Bonus, Healthcare Plan, Canteen, Kindergarten, Others</t>
        </is>
      </c>
      <c r="N7718" s="11">
        <f>HYPERLINK("https://www.vietnamworks.com/senior-project-engineer-2019004-jv","Xem chi tiết")</f>
        <v/>
      </c>
      <c r="O7718" s="10" t="n"/>
    </row>
    <row r="7719">
      <c r="B7719" s="7" t="n">
        <v>7717</v>
      </c>
      <c r="C7719" t="inlineStr">
        <is>
          <t>Phó Tổng Giám Đốc (Năng Lượng, Môi Trường)</t>
        </is>
      </c>
      <c r="D7719" t="inlineStr">
        <is>
          <t>CÔNG TY TNHH CÔNG NGHỆ CRE VIỆT NAM</t>
        </is>
      </c>
      <c r="E7719" t="inlineStr">
        <is>
          <t>Thương lượng</t>
        </is>
      </c>
      <c r="F7719" t="inlineStr">
        <is>
          <t>Hà Nội</t>
        </is>
      </c>
      <c r="G7719" t="inlineStr">
        <is>
          <t>Giám Đốc và Cấp Cao Hơn</t>
        </is>
      </c>
      <c r="H7719" t="inlineStr">
        <is>
          <t>05/03/2026</t>
        </is>
      </c>
      <c r="I7719" t="inlineStr">
        <is>
          <t>04/04/2026</t>
        </is>
      </c>
      <c r="J7719" t="inlineStr">
        <is>
          <t>17/03/2026</t>
        </is>
      </c>
      <c r="K7719" t="inlineStr">
        <is>
          <t>N/A</t>
        </is>
      </c>
      <c r="L7719" t="inlineStr">
        <is>
          <t>Kỹ Thuật, Lãnh Đạo, Quản Lý Dự Án, Xây Dựng, Đàm Phán</t>
        </is>
      </c>
      <c r="M7719" t="inlineStr">
        <is>
          <t>Bonus</t>
        </is>
      </c>
      <c r="N7719" s="8">
        <f>HYPERLINK("https://www.vietnamworks.com/pho-tong-giam-doc-nang-luong-moi-truong-2019008-jv","Xem chi tiết")</f>
        <v/>
      </c>
    </row>
    <row r="7720">
      <c r="B7720" s="9" t="n">
        <v>7718</v>
      </c>
      <c r="C7720" s="10" t="inlineStr">
        <is>
          <t>Chuyên Viên IT</t>
        </is>
      </c>
      <c r="D7720" s="10" t="inlineStr">
        <is>
          <t>Công Ty TNHH Greentech Headgear</t>
        </is>
      </c>
      <c r="E7720" s="10" t="inlineStr">
        <is>
          <t>Thương lượng</t>
        </is>
      </c>
      <c r="F7720" s="10" t="inlineStr">
        <is>
          <t>Hồ Chí Minh</t>
        </is>
      </c>
      <c r="G7720" s="10" t="inlineStr">
        <is>
          <t>Nhân viên</t>
        </is>
      </c>
      <c r="H7720" s="10" t="inlineStr">
        <is>
          <t>05/03/2026</t>
        </is>
      </c>
      <c r="I7720" s="10" t="inlineStr">
        <is>
          <t>04/04/2026</t>
        </is>
      </c>
      <c r="J7720" s="10" t="inlineStr">
        <is>
          <t>17/03/2026</t>
        </is>
      </c>
      <c r="K7720" s="10" t="inlineStr">
        <is>
          <t>N/A</t>
        </is>
      </c>
      <c r="L7720" s="10" t="inlineStr">
        <is>
          <t>It, IT Administration, IT Hardware, IT Operations, IT Phần Mềm</t>
        </is>
      </c>
      <c r="M7720" s="10" t="inlineStr">
        <is>
          <t>Bonus, Healthcare Plan, Transportation, Others</t>
        </is>
      </c>
      <c r="N7720" s="11">
        <f>HYPERLINK("https://www.vietnamworks.com/chuyen-vien-it-2019005-jv","Xem chi tiết")</f>
        <v/>
      </c>
      <c r="O7720" s="10" t="n"/>
    </row>
    <row r="7721">
      <c r="B7721" s="7" t="n">
        <v>7719</v>
      </c>
      <c r="C7721" t="inlineStr">
        <is>
          <t>Nhân Viên Kinh Doanh Vật Tư Vật Liệu Xây Dựng (Cung Cấp Cho Dự Án)</t>
        </is>
      </c>
      <c r="D7721" t="inlineStr">
        <is>
          <t>CÔNG TY CỔ PHẦN ĐẦU TƯ TÂM AN HOME</t>
        </is>
      </c>
      <c r="E7721" t="inlineStr">
        <is>
          <t>11tr-15tr ₫/tháng</t>
        </is>
      </c>
      <c r="F7721" t="inlineStr">
        <is>
          <t>Hà Nội</t>
        </is>
      </c>
      <c r="G7721" t="inlineStr">
        <is>
          <t>Nhân viên</t>
        </is>
      </c>
      <c r="H7721" t="inlineStr">
        <is>
          <t>05/03/2026</t>
        </is>
      </c>
      <c r="I7721" t="inlineStr">
        <is>
          <t>04/04/2026</t>
        </is>
      </c>
      <c r="J7721" t="inlineStr">
        <is>
          <t>17/03/2026</t>
        </is>
      </c>
      <c r="K7721" t="inlineStr">
        <is>
          <t>N/A</t>
        </is>
      </c>
      <c r="L7721" t="inlineStr">
        <is>
          <t>Kinh Doanh, Xuất Nhập Khẩu, Thương Mại, Thiết Lập Phương Án Kinh Doanh, Giao Tiếp Chủ Động</t>
        </is>
      </c>
      <c r="M7721" t="inlineStr">
        <is>
          <t>Bonus, Healthcare Plan, Training, Laptop, Others</t>
        </is>
      </c>
      <c r="N7721" s="8">
        <f>HYPERLINK("https://www.vietnamworks.com/nhan-vien-kinh-doanh-vat-tu-vat-lieu-xay-dung-cung-cap-cho-du-an-2019018-jv","Xem chi tiết")</f>
        <v/>
      </c>
    </row>
    <row r="7722">
      <c r="B7722" s="9" t="n">
        <v>7720</v>
      </c>
      <c r="C7722" s="10" t="inlineStr">
        <is>
          <t>[Kotra HCM] Recruitment of quality &amp; production control staff(switchgear) - Korea</t>
        </is>
      </c>
      <c r="D7722" s="10" t="inlineStr">
        <is>
          <t>KOTRA HCM</t>
        </is>
      </c>
      <c r="E7722" s="10" t="inlineStr">
        <is>
          <t>$$ 23,000-42,000 /năm</t>
        </is>
      </c>
      <c r="F7722" s="10" t="inlineStr">
        <is>
          <t>Quốc tế</t>
        </is>
      </c>
      <c r="G7722" s="10" t="inlineStr">
        <is>
          <t>Nhân viên</t>
        </is>
      </c>
      <c r="H7722" s="10" t="inlineStr">
        <is>
          <t>05/03/2026</t>
        </is>
      </c>
      <c r="I7722" s="10" t="inlineStr">
        <is>
          <t>04/04/2026</t>
        </is>
      </c>
      <c r="J7722" s="10" t="inlineStr">
        <is>
          <t>17/03/2026</t>
        </is>
      </c>
      <c r="K7722" s="10" t="inlineStr">
        <is>
          <t>N/A</t>
        </is>
      </c>
      <c r="L7722" s="10" t="inlineStr">
        <is>
          <t>Basic Korean, Electrical Engineering, Production Management, Quality Control, Iso Documentation</t>
        </is>
      </c>
      <c r="M7722" s="10" t="inlineStr">
        <is>
          <t>Healthcare Plan, Canteen, Others</t>
        </is>
      </c>
      <c r="N7722" s="11">
        <f>HYPERLINK("https://www.vietnamworks.com/kotra-hcm-recruitment-of-quality-and-production-control-staff-switchgear-korea-2018990-jv","Xem chi tiết")</f>
        <v/>
      </c>
      <c r="O7722" s="10" t="n"/>
    </row>
    <row r="7723">
      <c r="B7723" s="7" t="n">
        <v>7721</v>
      </c>
      <c r="C7723" t="inlineStr">
        <is>
          <t>Trưởng Ban Kinh Tế Kế Hoạch (Năng Lượng, Môi Trường)</t>
        </is>
      </c>
      <c r="D7723" t="inlineStr">
        <is>
          <t>CÔNG TY TNHH CÔNG NGHỆ CRE VIỆT NAM</t>
        </is>
      </c>
      <c r="E7723" t="inlineStr">
        <is>
          <t>Thương lượng</t>
        </is>
      </c>
      <c r="F7723" t="inlineStr">
        <is>
          <t>Hà Nội</t>
        </is>
      </c>
      <c r="G7723" t="inlineStr">
        <is>
          <t>Trưởng phòng</t>
        </is>
      </c>
      <c r="H7723" t="inlineStr">
        <is>
          <t>05/03/2026</t>
        </is>
      </c>
      <c r="I7723" t="inlineStr">
        <is>
          <t>04/04/2026</t>
        </is>
      </c>
      <c r="J7723" t="inlineStr">
        <is>
          <t>17/03/2026</t>
        </is>
      </c>
      <c r="K7723" t="inlineStr">
        <is>
          <t>N/A</t>
        </is>
      </c>
      <c r="L7723" t="inlineStr">
        <is>
          <t>Kỹ Thuật, Lãnh Đạo, Quản Lý Dự Án, Xây Dựng, Đàm Phán</t>
        </is>
      </c>
      <c r="M7723" t="inlineStr">
        <is>
          <t>Bonus</t>
        </is>
      </c>
      <c r="N7723" s="8">
        <f>HYPERLINK("https://www.vietnamworks.com/truong-ban-kinh-te-ke-hoach-nang-luong-moi-truong-2019010-jv","Xem chi tiết")</f>
        <v/>
      </c>
    </row>
    <row r="7724">
      <c r="B7724" s="9" t="n">
        <v>7722</v>
      </c>
      <c r="C7724" s="10" t="inlineStr">
        <is>
          <t>Customer Support Staff (Salary Up to 20M)</t>
        </is>
      </c>
      <c r="D7724" s="10" t="inlineStr">
        <is>
          <t>Công Ty TNHH Khu Công Nghiệp Thăng Long II</t>
        </is>
      </c>
      <c r="E7724" s="10" t="inlineStr">
        <is>
          <t>Tới 20tr ₫/tháng</t>
        </is>
      </c>
      <c r="F7724" s="10" t="inlineStr">
        <is>
          <t>Hưng Yên, Hà Nội, Hải Dương</t>
        </is>
      </c>
      <c r="G7724" s="10" t="inlineStr">
        <is>
          <t>Nhân viên</t>
        </is>
      </c>
      <c r="H7724" s="10" t="inlineStr">
        <is>
          <t>05/03/2026</t>
        </is>
      </c>
      <c r="I7724" s="10" t="inlineStr">
        <is>
          <t>04/04/2026</t>
        </is>
      </c>
      <c r="J7724" s="10" t="inlineStr">
        <is>
          <t>17/03/2026</t>
        </is>
      </c>
      <c r="K7724" s="10" t="inlineStr">
        <is>
          <t>N/A</t>
        </is>
      </c>
      <c r="L7724" s="10" t="inlineStr">
        <is>
          <t>Administrative Support, Client Relations, Chăm Sóc Khách Hàng</t>
        </is>
      </c>
      <c r="M7724" s="10" t="inlineStr">
        <is>
          <t>Bonus, Healthcare Plan, Training, Team Activities, Transportation, Kindergarten, Others</t>
        </is>
      </c>
      <c r="N7724" s="11">
        <f>HYPERLINK("https://www.vietnamworks.com/customer-support-staff-salary-up-to-20m-2019035-jv","Xem chi tiết")</f>
        <v/>
      </c>
      <c r="O7724" s="10" t="n"/>
    </row>
    <row r="7725">
      <c r="B7725" s="7" t="n">
        <v>7723</v>
      </c>
      <c r="C7725" t="inlineStr">
        <is>
          <t>IT Business Partner</t>
        </is>
      </c>
      <c r="D7725" t="inlineStr">
        <is>
          <t>Vietnam Australia International School (Vas)</t>
        </is>
      </c>
      <c r="E7725" t="inlineStr">
        <is>
          <t>Thương lượng</t>
        </is>
      </c>
      <c r="F7725" t="inlineStr">
        <is>
          <t>Hồ Chí Minh</t>
        </is>
      </c>
      <c r="G7725" t="inlineStr">
        <is>
          <t>Nhân viên</t>
        </is>
      </c>
      <c r="H7725" t="inlineStr">
        <is>
          <t>05/03/2026</t>
        </is>
      </c>
      <c r="I7725" t="inlineStr">
        <is>
          <t>04/04/2026</t>
        </is>
      </c>
      <c r="J7725" t="inlineStr">
        <is>
          <t>17/03/2026</t>
        </is>
      </c>
      <c r="K7725" t="inlineStr">
        <is>
          <t>N/A</t>
        </is>
      </c>
      <c r="L7725" t="inlineStr">
        <is>
          <t>Quản Lý Phần Mềm</t>
        </is>
      </c>
      <c r="M7725" t="inlineStr">
        <is>
          <t>Bonus, Healthcare Plan, Training</t>
        </is>
      </c>
      <c r="N7725" s="8">
        <f>HYPERLINK("https://www.vietnamworks.com/it-business-partner--2018988-jv","Xem chi tiết")</f>
        <v/>
      </c>
    </row>
    <row r="7726">
      <c r="B7726" s="9" t="n">
        <v>7724</v>
      </c>
      <c r="C7726" s="10" t="inlineStr">
        <is>
          <t>Sales Engineer</t>
        </is>
      </c>
      <c r="D7726" s="10" t="inlineStr">
        <is>
          <t>Neumo LLC</t>
        </is>
      </c>
      <c r="E7726" s="10" t="inlineStr">
        <is>
          <t>Thương lượng</t>
        </is>
      </c>
      <c r="F7726" s="10" t="inlineStr">
        <is>
          <t>Hà Nội</t>
        </is>
      </c>
      <c r="G7726" s="10" t="inlineStr">
        <is>
          <t>Nhân viên</t>
        </is>
      </c>
      <c r="H7726" s="10" t="inlineStr">
        <is>
          <t>05/03/2026</t>
        </is>
      </c>
      <c r="I7726" s="10" t="inlineStr">
        <is>
          <t>04/04/2026</t>
        </is>
      </c>
      <c r="J7726" s="10" t="inlineStr">
        <is>
          <t>17/03/2026</t>
        </is>
      </c>
      <c r="K7726" s="10" t="inlineStr">
        <is>
          <t>N/A</t>
        </is>
      </c>
      <c r="L7726" s="10" t="inlineStr">
        <is>
          <t>Mechanical Engineering, Electronic Engineering, Process Engineer, Sales Engineering, English</t>
        </is>
      </c>
      <c r="M7726" s="10" t="inlineStr">
        <is>
          <t>Bonus, Healthcare Plan, Training, Others</t>
        </is>
      </c>
      <c r="N7726" s="11">
        <f>HYPERLINK("https://www.vietnamworks.com/sales-engineer-2019024-jv","Xem chi tiết")</f>
        <v/>
      </c>
      <c r="O7726" s="10" t="n"/>
    </row>
    <row r="7727">
      <c r="B7727" s="7" t="n">
        <v>7725</v>
      </c>
      <c r="C7727" t="inlineStr">
        <is>
          <t>Senior Category Assortment Strategic Manager</t>
        </is>
      </c>
      <c r="D7727" t="inlineStr">
        <is>
          <t>Công Ty Cổ Phần Metub Việt Nam</t>
        </is>
      </c>
      <c r="E7727" t="inlineStr">
        <is>
          <t>Thương lượng</t>
        </is>
      </c>
      <c r="F7727" t="inlineStr">
        <is>
          <t>Hồ Chí Minh</t>
        </is>
      </c>
      <c r="G7727" t="inlineStr">
        <is>
          <t>Trưởng phòng</t>
        </is>
      </c>
      <c r="H7727" t="inlineStr">
        <is>
          <t>05/03/2026</t>
        </is>
      </c>
      <c r="I7727" t="inlineStr">
        <is>
          <t>04/04/2026</t>
        </is>
      </c>
      <c r="J7727" t="inlineStr">
        <is>
          <t>17/03/2026</t>
        </is>
      </c>
      <c r="K7727" t="inlineStr">
        <is>
          <t>N/A</t>
        </is>
      </c>
      <c r="L7727" t="inlineStr">
        <is>
          <t>Quản Lý Danh Mục, Quản Lý Bán Hàng, Quản Lý Nhà Cung Cấp, Phân Tích Chiến Lược, Tiếng Trung</t>
        </is>
      </c>
      <c r="M7727" t="inlineStr">
        <is>
          <t>Bonus, Paid Leave, Training, Others</t>
        </is>
      </c>
      <c r="N7727" s="8">
        <f>HYPERLINK("https://www.vietnamworks.com/senior-category-assortment-strategic-manager-2019026-jv","Xem chi tiết")</f>
        <v/>
      </c>
    </row>
    <row r="7728">
      <c r="B7728" s="9" t="n">
        <v>7726</v>
      </c>
      <c r="C7728" s="10" t="inlineStr">
        <is>
          <t>Technical Support Officer - Raw Lubricants</t>
        </is>
      </c>
      <c r="D7728" s="10" t="inlineStr">
        <is>
          <t>Brenntag Vietnam Co, Ltd</t>
        </is>
      </c>
      <c r="E7728" s="10" t="inlineStr">
        <is>
          <t>Thương lượng</t>
        </is>
      </c>
      <c r="F7728" s="10" t="inlineStr">
        <is>
          <t>Hồ Chí Minh</t>
        </is>
      </c>
      <c r="G7728" s="10" t="inlineStr">
        <is>
          <t>Nhân viên</t>
        </is>
      </c>
      <c r="H7728" s="10" t="inlineStr">
        <is>
          <t>05/03/2026</t>
        </is>
      </c>
      <c r="I7728" s="10" t="inlineStr">
        <is>
          <t>04/04/2026</t>
        </is>
      </c>
      <c r="J7728" s="10" t="inlineStr">
        <is>
          <t>17/03/2026</t>
        </is>
      </c>
      <c r="K7728" s="10" t="inlineStr">
        <is>
          <t>N/A</t>
        </is>
      </c>
      <c r="L7728" s="10" t="inlineStr">
        <is>
          <t>Industrial Lubricants, Oil and Gas Industry, Lubricants Knowledge, Chemical Sales, Application Portfolio Management</t>
        </is>
      </c>
      <c r="M7728" s="10" t="inlineStr">
        <is>
          <t>Bonus, Healthcare Plan, Paid Leave</t>
        </is>
      </c>
      <c r="N7728" s="11">
        <f>HYPERLINK("https://www.vietnamworks.com/technical-support-officer-raw-lubricants--2019030-jv","Xem chi tiết")</f>
        <v/>
      </c>
      <c r="O7728" s="10" t="n"/>
    </row>
    <row r="7729">
      <c r="B7729" s="7" t="n">
        <v>7727</v>
      </c>
      <c r="C7729" t="inlineStr">
        <is>
          <t>Chuyên Viên Hành Chính (Phụ Trách Mảng Y Tế, An Toàn Lao Động)</t>
        </is>
      </c>
      <c r="D7729" t="inlineStr">
        <is>
          <t>Công Ty Cổ Phần Chứng Khoán SSI</t>
        </is>
      </c>
      <c r="E7729" t="inlineStr">
        <is>
          <t>Thương lượng</t>
        </is>
      </c>
      <c r="F7729" t="inlineStr">
        <is>
          <t>Hà Nội</t>
        </is>
      </c>
      <c r="G7729" t="inlineStr">
        <is>
          <t>Nhân viên</t>
        </is>
      </c>
      <c r="H7729" t="inlineStr">
        <is>
          <t>05/03/2026</t>
        </is>
      </c>
      <c r="I7729" t="inlineStr">
        <is>
          <t>04/04/2026</t>
        </is>
      </c>
      <c r="J7729" t="inlineStr">
        <is>
          <t>17/03/2026</t>
        </is>
      </c>
      <c r="K7729" t="inlineStr">
        <is>
          <t>N/A</t>
        </is>
      </c>
      <c r="L7729" t="inlineStr">
        <is>
          <t>An Toàn Lao Động, Hành Chính, Y Tế, Y Tế Công Cộng, điều dưỡng</t>
        </is>
      </c>
      <c r="M7729" t="inlineStr">
        <is>
          <t>Bonus, Healthcare Plan, Paid Leave, Training</t>
        </is>
      </c>
      <c r="N7729" s="8">
        <f>HYPERLINK("https://www.vietnamworks.com/chuyen-vien-hanh-chinh-phu-trach-mang-y-te-an-toan-lao-djong-2019000-jv","Xem chi tiết")</f>
        <v/>
      </c>
    </row>
    <row r="7730">
      <c r="B7730" s="9" t="n">
        <v>7728</v>
      </c>
      <c r="C7730" s="10" t="inlineStr">
        <is>
          <t>Phó Trưởng Phòng Chính Sách Rủi Ro Tín Dụng</t>
        </is>
      </c>
      <c r="D7730" s="10" t="inlineStr">
        <is>
          <t>Ngân Hàng TMCP Sài Gòn – Hà Nội (SHB)</t>
        </is>
      </c>
      <c r="E7730" s="10" t="inlineStr">
        <is>
          <t>Thương lượng</t>
        </is>
      </c>
      <c r="F7730" s="10" t="inlineStr">
        <is>
          <t>Hà Nội</t>
        </is>
      </c>
      <c r="G7730" s="10" t="inlineStr">
        <is>
          <t>Trưởng phòng</t>
        </is>
      </c>
      <c r="H7730" s="10" t="inlineStr">
        <is>
          <t>05/03/2026</t>
        </is>
      </c>
      <c r="I7730" s="10" t="inlineStr">
        <is>
          <t>04/04/2026</t>
        </is>
      </c>
      <c r="J7730" s="10" t="inlineStr">
        <is>
          <t>17/03/2026</t>
        </is>
      </c>
      <c r="K7730" s="10" t="inlineStr">
        <is>
          <t>N/A</t>
        </is>
      </c>
      <c r="L7730" s="10" t="inlineStr">
        <is>
          <t>Giao Tiếp Tiếng Anh, Lập Kế Hoạch, Quản Lý Rủi Ro, Tài Chính, Tín dụng</t>
        </is>
      </c>
      <c r="M7730" s="10" t="inlineStr">
        <is>
          <t>Bonus, Healthcare Plan, Paid Leave, Laptop, Travel Opportunities, Others</t>
        </is>
      </c>
      <c r="N7730" s="11">
        <f>HYPERLINK("https://www.vietnamworks.com/pho-truong-phong-chinh-sach-rui-ro-tin-dung-2019001-jv","Xem chi tiết")</f>
        <v/>
      </c>
      <c r="O7730" s="10" t="n"/>
    </row>
    <row r="7731">
      <c r="B7731" s="7" t="n">
        <v>7729</v>
      </c>
      <c r="C7731" t="inlineStr">
        <is>
          <t>Revenue &amp; Cash Control Lead - from 30M - On Board Before Or After Tet</t>
        </is>
      </c>
      <c r="D7731" t="inlineStr">
        <is>
          <t>RCE Company Limited</t>
        </is>
      </c>
      <c r="E7731" t="inlineStr">
        <is>
          <t>Từ 30tr ₫/tháng</t>
        </is>
      </c>
      <c r="F7731" t="inlineStr">
        <is>
          <t>Hà Nội</t>
        </is>
      </c>
      <c r="G7731" t="inlineStr">
        <is>
          <t>Nhân viên</t>
        </is>
      </c>
      <c r="H7731" t="inlineStr">
        <is>
          <t>05/03/2026</t>
        </is>
      </c>
      <c r="I7731" t="inlineStr">
        <is>
          <t>04/04/2026</t>
        </is>
      </c>
      <c r="J7731" t="inlineStr">
        <is>
          <t>17/03/2026</t>
        </is>
      </c>
      <c r="K7731" t="inlineStr">
        <is>
          <t>N/A</t>
        </is>
      </c>
      <c r="L7731" t="inlineStr">
        <is>
          <t>Cash Flow Management, P&amp;L Management, Data Analysis, Financial Control, Financial Statements</t>
        </is>
      </c>
      <c r="M7731" t="inlineStr">
        <is>
          <t>Bonus, Training, Laptop, Others</t>
        </is>
      </c>
      <c r="N7731" s="8">
        <f>HYPERLINK("https://www.vietnamworks.com/revenue-and-cash-control-lead-from-30m-on-board-before-or-after-tet-2019003-jv","Xem chi tiết")</f>
        <v/>
      </c>
    </row>
    <row r="7732">
      <c r="B7732" s="9" t="n">
        <v>7730</v>
      </c>
      <c r="C7732" s="10" t="inlineStr">
        <is>
          <t>Financial Analyst (FpA)</t>
        </is>
      </c>
      <c r="D7732" s="10" t="inlineStr">
        <is>
          <t>Wisdomland International Preschool</t>
        </is>
      </c>
      <c r="E7732" s="10" t="inlineStr">
        <is>
          <t>Thương lượng</t>
        </is>
      </c>
      <c r="F7732" s="10" t="inlineStr">
        <is>
          <t>Hồ Chí Minh</t>
        </is>
      </c>
      <c r="G7732" s="10" t="inlineStr">
        <is>
          <t>Nhân viên</t>
        </is>
      </c>
      <c r="H7732" s="10" t="inlineStr">
        <is>
          <t>05/03/2026</t>
        </is>
      </c>
      <c r="I7732" s="10" t="inlineStr">
        <is>
          <t>04/04/2026</t>
        </is>
      </c>
      <c r="J7732" s="10" t="inlineStr">
        <is>
          <t>17/03/2026</t>
        </is>
      </c>
      <c r="K7732" s="10" t="inlineStr">
        <is>
          <t>N/A</t>
        </is>
      </c>
      <c r="L7732" s="10" t="inlineStr">
        <is>
          <t>Excel, Financial Analysis, Financial Modeling, Mô Hình Tài Chính, SQL</t>
        </is>
      </c>
      <c r="M7732" s="10" t="inlineStr">
        <is>
          <t>Bonus, Healthcare Plan, Training</t>
        </is>
      </c>
      <c r="N7732" s="11">
        <f>HYPERLINK("https://www.vietnamworks.com/financial-analyst-fpa-2018997-jv","Xem chi tiết")</f>
        <v/>
      </c>
      <c r="O7732" s="10" t="n"/>
    </row>
    <row r="7733">
      <c r="B7733" s="7" t="n">
        <v>7731</v>
      </c>
      <c r="C7733" t="inlineStr">
        <is>
          <t>Team Leader, Sale Agency Management</t>
        </is>
      </c>
      <c r="D7733" t="inlineStr">
        <is>
          <t>Công Ty TNHH Phát Triển Phú Mỹ Hưng</t>
        </is>
      </c>
      <c r="E7733" t="inlineStr">
        <is>
          <t>$$ 600-1,000 /tháng</t>
        </is>
      </c>
      <c r="F7733" t="inlineStr">
        <is>
          <t>Hà Nội</t>
        </is>
      </c>
      <c r="G7733" t="inlineStr">
        <is>
          <t>Trưởng phòng</t>
        </is>
      </c>
      <c r="H7733" t="inlineStr">
        <is>
          <t>05/03/2026</t>
        </is>
      </c>
      <c r="I7733" t="inlineStr">
        <is>
          <t>04/04/2026</t>
        </is>
      </c>
      <c r="J7733" t="inlineStr">
        <is>
          <t>17/03/2026</t>
        </is>
      </c>
      <c r="K7733" t="inlineStr">
        <is>
          <t>N/A</t>
        </is>
      </c>
      <c r="L7733" t="inlineStr">
        <is>
          <t>Quản Lý Đại Lý, Sales bất động sản, Trưởng phòng kinh doanh</t>
        </is>
      </c>
      <c r="M7733" t="inlineStr">
        <is>
          <t>Healthcare Plan, Paid Leave, Training</t>
        </is>
      </c>
      <c r="N7733" s="8">
        <f>HYPERLINK("https://www.vietnamworks.com/team-leader-sale-agency-management-2019036-jv","Xem chi tiết")</f>
        <v/>
      </c>
    </row>
    <row r="7734">
      <c r="B7734" s="9" t="n">
        <v>7732</v>
      </c>
      <c r="C7734" s="10" t="inlineStr">
        <is>
          <t>Backend / .NET Engineer</t>
        </is>
      </c>
      <c r="D7734" s="10" t="inlineStr">
        <is>
          <t>MCGAAW</t>
        </is>
      </c>
      <c r="E7734" s="10" t="inlineStr">
        <is>
          <t>Thương lượng</t>
        </is>
      </c>
      <c r="F7734" s="10" t="inlineStr">
        <is>
          <t>Hồ Chí Minh</t>
        </is>
      </c>
      <c r="G7734" s="10" t="inlineStr">
        <is>
          <t>Nhân viên</t>
        </is>
      </c>
      <c r="H7734" s="10" t="inlineStr">
        <is>
          <t>05/03/2026</t>
        </is>
      </c>
      <c r="I7734" s="10" t="inlineStr">
        <is>
          <t>04/04/2026</t>
        </is>
      </c>
      <c r="J7734" s="10" t="inlineStr">
        <is>
          <t>17/03/2026</t>
        </is>
      </c>
      <c r="K7734" s="10" t="inlineStr">
        <is>
          <t>N/A</t>
        </is>
      </c>
      <c r="L7734" s="10" t="inlineStr">
        <is>
          <t>RESTful API, SQL Server, ASP.NET Core, Microservices, Backend Engineering</t>
        </is>
      </c>
      <c r="M7734" s="10" t="inlineStr">
        <is>
          <t>Bonus, Healthcare Plan, Paid Leave</t>
        </is>
      </c>
      <c r="N7734" s="11">
        <f>HYPERLINK("https://www.vietnamworks.com/backend-net-engineer-2019038-jv","Xem chi tiết")</f>
        <v/>
      </c>
      <c r="O7734" s="10" t="n"/>
    </row>
    <row r="7735">
      <c r="B7735" s="7" t="n">
        <v>7733</v>
      </c>
      <c r="C7735" t="inlineStr">
        <is>
          <t>Trưởng Nhóm Mua Hàng kiêm Xuất Nhập Khẩu Làm Việc Tại KCN Quang Minh</t>
        </is>
      </c>
      <c r="D7735" t="inlineStr">
        <is>
          <t>Inoac Living Vietnam Co., Ltd.</t>
        </is>
      </c>
      <c r="E7735" t="inlineStr">
        <is>
          <t>Thương lượng</t>
        </is>
      </c>
      <c r="F7735" t="inlineStr">
        <is>
          <t>Hà Nội</t>
        </is>
      </c>
      <c r="G7735" t="inlineStr">
        <is>
          <t>Nhân viên</t>
        </is>
      </c>
      <c r="H7735" t="inlineStr">
        <is>
          <t>05/03/2026</t>
        </is>
      </c>
      <c r="I7735" t="inlineStr">
        <is>
          <t>04/04/2026</t>
        </is>
      </c>
      <c r="J7735" t="inlineStr">
        <is>
          <t>17/03/2026</t>
        </is>
      </c>
      <c r="K7735" t="inlineStr">
        <is>
          <t>N/A</t>
        </is>
      </c>
      <c r="L7735" t="inlineStr">
        <is>
          <t>Tiếng Anh, Mua Hàng, Thủ Tục Hải Quan, Quản Lý Kho</t>
        </is>
      </c>
      <c r="M7735" t="inlineStr">
        <is>
          <t>Bonus, Healthcare Plan, Travel Opportunities</t>
        </is>
      </c>
      <c r="N7735" s="8">
        <f>HYPERLINK("https://www.vietnamworks.com/truong-nhom-mua-hang-kiem-xuat-nhap-khau-lam-viec-tai-kcn-quang-minh--2019012-jv","Xem chi tiết")</f>
        <v/>
      </c>
    </row>
    <row r="7736">
      <c r="B7736" s="9" t="n">
        <v>7734</v>
      </c>
      <c r="C7736" s="10" t="inlineStr">
        <is>
          <t>Chuyên Viên Pháp Lý Dự Án Năng Lượng Xanh (Điện Mặt Trời, Điện Gió)</t>
        </is>
      </c>
      <c r="D7736" s="10" t="inlineStr">
        <is>
          <t>CÔNG TY CỔ PHẦN TẬP ĐOÀN ĐẦU TƯ HOÀNG GIA VIỆT NAM</t>
        </is>
      </c>
      <c r="E7736" s="10" t="inlineStr">
        <is>
          <t>Thương lượng</t>
        </is>
      </c>
      <c r="F7736" s="10" t="inlineStr">
        <is>
          <t>Hồ Chí Minh</t>
        </is>
      </c>
      <c r="G7736" s="10" t="inlineStr">
        <is>
          <t>Nhân viên</t>
        </is>
      </c>
      <c r="H7736" s="10" t="inlineStr">
        <is>
          <t>05/03/2026</t>
        </is>
      </c>
      <c r="I7736" s="10" t="inlineStr">
        <is>
          <t>04/04/2026</t>
        </is>
      </c>
      <c r="J7736" s="10" t="inlineStr">
        <is>
          <t>17/03/2026</t>
        </is>
      </c>
      <c r="K7736" s="10" t="inlineStr">
        <is>
          <t>N/A</t>
        </is>
      </c>
      <c r="L7736" s="10" t="inlineStr">
        <is>
          <t>Pháp Lý Dự Án Đầu Tư, Pháp Lý Về Hợp Đồng, Năng lượng điện mặt trời, Điện</t>
        </is>
      </c>
      <c r="M7736" s="10" t="inlineStr">
        <is>
          <t>Bonus, Healthcare Plan, Training, Laptop, Canteen</t>
        </is>
      </c>
      <c r="N7736" s="11">
        <f>HYPERLINK("https://www.vietnamworks.com/chuyen-vien-phap-ly-du-an-nang-luong-xanh-djien-mat-troi-djien-gio-2019020-jv","Xem chi tiết")</f>
        <v/>
      </c>
      <c r="O7736" s="10" t="n"/>
    </row>
    <row r="7737">
      <c r="B7737" s="7" t="n">
        <v>7735</v>
      </c>
      <c r="C7737" t="inlineStr">
        <is>
          <t>Kế Toán Tổng Hợp (Mức Lương 20-30 Triệu/ Tháng)</t>
        </is>
      </c>
      <c r="D7737" t="inlineStr">
        <is>
          <t>Công Ty Cổ Phần XNK Thương Mại Đài Linh</t>
        </is>
      </c>
      <c r="E7737" t="inlineStr">
        <is>
          <t>20tr-30tr ₫/tháng</t>
        </is>
      </c>
      <c r="F7737" t="inlineStr">
        <is>
          <t>Hà Nội</t>
        </is>
      </c>
      <c r="G7737" t="inlineStr">
        <is>
          <t>Nhân viên</t>
        </is>
      </c>
      <c r="H7737" t="inlineStr">
        <is>
          <t>05/03/2026</t>
        </is>
      </c>
      <c r="I7737" t="inlineStr">
        <is>
          <t>04/04/2026</t>
        </is>
      </c>
      <c r="J7737" t="inlineStr">
        <is>
          <t>17/03/2026</t>
        </is>
      </c>
      <c r="K7737" t="inlineStr">
        <is>
          <t>N/A</t>
        </is>
      </c>
      <c r="L7737" t="inlineStr">
        <is>
          <t>Kế Toán Tổng Hợp, Oracle ERP, Quản Trị Phần Mềm ERP, Kế Toán, Tài Chính</t>
        </is>
      </c>
      <c r="M7737" t="inlineStr">
        <is>
          <t>Bonus, Healthcare Plan, Team Activities, Others</t>
        </is>
      </c>
      <c r="N7737" s="8">
        <f>HYPERLINK("https://www.vietnamworks.com/ke-toan-tong-hop-muc-luong-20-30-trieu-thang-2019007-jv","Xem chi tiết")</f>
        <v/>
      </c>
    </row>
    <row r="7738">
      <c r="B7738" s="9" t="n">
        <v>7736</v>
      </c>
      <c r="C7738" s="10" t="inlineStr">
        <is>
          <t>Marketing Manager</t>
        </is>
      </c>
      <c r="D7738" s="10" t="inlineStr">
        <is>
          <t>CÔNG TY TNHH COSHE GROUP</t>
        </is>
      </c>
      <c r="E7738" s="10" t="inlineStr">
        <is>
          <t>Thương lượng</t>
        </is>
      </c>
      <c r="F7738" s="10" t="inlineStr">
        <is>
          <t>Hồ Chí Minh</t>
        </is>
      </c>
      <c r="G7738" s="10" t="inlineStr">
        <is>
          <t>Trưởng phòng</t>
        </is>
      </c>
      <c r="H7738" s="10" t="inlineStr">
        <is>
          <t>05/03/2026</t>
        </is>
      </c>
      <c r="I7738" s="10" t="inlineStr">
        <is>
          <t>04/04/2026</t>
        </is>
      </c>
      <c r="J7738" s="10" t="inlineStr">
        <is>
          <t>17/03/2026</t>
        </is>
      </c>
      <c r="K7738" s="10" t="inlineStr">
        <is>
          <t>N/A</t>
        </is>
      </c>
      <c r="L7738" s="10" t="inlineStr">
        <is>
          <t>Quản Lý Kinh Doanh, Nghiên Cứu Thị Trường, Kế Hoạch Kinh Doanh, Phát Triển Khách Hàng, Thời Trang</t>
        </is>
      </c>
      <c r="M7738" s="10" t="inlineStr">
        <is>
          <t>Bonus, Healthcare Plan, Training, Team Activities, Others</t>
        </is>
      </c>
      <c r="N7738" s="11">
        <f>HYPERLINK("https://www.vietnamworks.com/marketing-manager-2019062-jv","Xem chi tiết")</f>
        <v/>
      </c>
      <c r="O7738" s="10" t="n"/>
    </row>
    <row r="7739">
      <c r="B7739" s="7" t="n">
        <v>7737</v>
      </c>
      <c r="C7739" t="inlineStr">
        <is>
          <t>Nhân Viên ERP</t>
        </is>
      </c>
      <c r="D7739" t="inlineStr">
        <is>
          <t>Công Ty Cổ Phần Nhựa Thiếu Niên Tiền Phong Phía Nam</t>
        </is>
      </c>
      <c r="E7739" t="inlineStr">
        <is>
          <t>Thương lượng</t>
        </is>
      </c>
      <c r="F7739" t="inlineStr">
        <is>
          <t>Bình Dương</t>
        </is>
      </c>
      <c r="G7739" t="inlineStr">
        <is>
          <t>Nhân viên</t>
        </is>
      </c>
      <c r="H7739" t="inlineStr">
        <is>
          <t>05/03/2026</t>
        </is>
      </c>
      <c r="I7739" t="inlineStr">
        <is>
          <t>04/04/2026</t>
        </is>
      </c>
      <c r="J7739" t="inlineStr">
        <is>
          <t>17/03/2026</t>
        </is>
      </c>
      <c r="K7739" t="inlineStr">
        <is>
          <t>N/A</t>
        </is>
      </c>
      <c r="L7739" t="inlineStr">
        <is>
          <t>Phân tích dữ liệu, Quản Trị Hệ Thống ERP, Thiết Kế Hệ Thống Báo Cháy, Đọc Tiếng Anh, Giao Tiếp</t>
        </is>
      </c>
      <c r="M7739" t="inlineStr">
        <is>
          <t>Bonus, Healthcare Plan, Laptop</t>
        </is>
      </c>
      <c r="N7739" s="8">
        <f>HYPERLINK("https://www.vietnamworks.com/nhan-vien-erp-2019070-jv","Xem chi tiết")</f>
        <v/>
      </c>
    </row>
    <row r="7740">
      <c r="B7740" s="9" t="n">
        <v>7738</v>
      </c>
      <c r="C7740" s="10" t="inlineStr">
        <is>
          <t>Manager Business Development</t>
        </is>
      </c>
      <c r="D7740" s="10" t="inlineStr">
        <is>
          <t>Cargo - Partner Logistics Viet Nam Co., Ltd.</t>
        </is>
      </c>
      <c r="E7740" s="10" t="inlineStr">
        <is>
          <t>Thương lượng</t>
        </is>
      </c>
      <c r="F7740" s="10" t="inlineStr">
        <is>
          <t>Hà Nội, Hồ Chí Minh</t>
        </is>
      </c>
      <c r="G7740" s="10" t="inlineStr">
        <is>
          <t>Nhân viên</t>
        </is>
      </c>
      <c r="H7740" s="10" t="inlineStr">
        <is>
          <t>05/03/2026</t>
        </is>
      </c>
      <c r="I7740" s="10" t="inlineStr">
        <is>
          <t>04/04/2026</t>
        </is>
      </c>
      <c r="J7740" s="10" t="inlineStr">
        <is>
          <t>17/03/2026</t>
        </is>
      </c>
      <c r="K7740" s="10" t="inlineStr">
        <is>
          <t>N/A</t>
        </is>
      </c>
      <c r="L7740" s="10" t="inlineStr">
        <is>
          <t>Logistics Sales, Business Development, Logistics, Freight Forwarding, B2B Sales</t>
        </is>
      </c>
      <c r="M7740" s="10" t="inlineStr">
        <is>
          <t>Bonus, Healthcare Plan, Training</t>
        </is>
      </c>
      <c r="N7740" s="11">
        <f>HYPERLINK("https://www.vietnamworks.com/manager-business-development--2019064-jv","Xem chi tiết")</f>
        <v/>
      </c>
      <c r="O7740" s="10" t="n"/>
    </row>
    <row r="7741">
      <c r="B7741" s="7" t="n">
        <v>7739</v>
      </c>
      <c r="C7741" t="inlineStr">
        <is>
          <t>User Acquisition Lead</t>
        </is>
      </c>
      <c r="D7741" t="inlineStr">
        <is>
          <t>CÔNG TY CỔ PHẦN UNITY SPORT</t>
        </is>
      </c>
      <c r="E7741" t="inlineStr">
        <is>
          <t>Thương lượng</t>
        </is>
      </c>
      <c r="F7741" t="inlineStr">
        <is>
          <t>Hồ Chí Minh</t>
        </is>
      </c>
      <c r="G7741" t="inlineStr">
        <is>
          <t>Nhân viên</t>
        </is>
      </c>
      <c r="H7741" t="inlineStr">
        <is>
          <t>05/03/2026</t>
        </is>
      </c>
      <c r="I7741" t="inlineStr">
        <is>
          <t>04/04/2026</t>
        </is>
      </c>
      <c r="J7741" t="inlineStr">
        <is>
          <t>17/03/2026</t>
        </is>
      </c>
      <c r="K7741" t="inlineStr">
        <is>
          <t>N/A</t>
        </is>
      </c>
      <c r="L7741" t="inlineStr">
        <is>
          <t>Digital Marketing, performance marketing, Client Acquisition, Data Analysis, Creative Thinking</t>
        </is>
      </c>
      <c r="M7741" t="inlineStr">
        <is>
          <t>Bonus, Healthcare Plan, Paid Leave, Training, Team Activities, Others</t>
        </is>
      </c>
      <c r="N7741" s="8">
        <f>HYPERLINK("https://www.vietnamworks.com/user-acquisition-lead-2019044-jv","Xem chi tiết")</f>
        <v/>
      </c>
    </row>
    <row r="7742">
      <c r="B7742" s="9" t="n">
        <v>7740</v>
      </c>
      <c r="C7742" s="10" t="inlineStr">
        <is>
          <t>BBarchitects Tuyển Dụng Kiến Trúc Sư Thiết Kế Kiến Trúc Và Nội Thất / Lương: 15Tr-25Tr/ Tháng</t>
        </is>
      </c>
      <c r="D7742" s="10" t="inlineStr">
        <is>
          <t>BBarchitects</t>
        </is>
      </c>
      <c r="E7742" s="10" t="inlineStr">
        <is>
          <t>15tr-25tr ₫/tháng</t>
        </is>
      </c>
      <c r="F7742" s="10" t="inlineStr">
        <is>
          <t>Hà Nội</t>
        </is>
      </c>
      <c r="G7742" s="10" t="inlineStr">
        <is>
          <t>Nhân viên</t>
        </is>
      </c>
      <c r="H7742" s="10" t="inlineStr">
        <is>
          <t>05/03/2026</t>
        </is>
      </c>
      <c r="I7742" s="10" t="inlineStr">
        <is>
          <t>04/04/2026</t>
        </is>
      </c>
      <c r="J7742" s="10" t="inlineStr">
        <is>
          <t>17/03/2026</t>
        </is>
      </c>
      <c r="K7742" s="10" t="inlineStr">
        <is>
          <t>N/A</t>
        </is>
      </c>
      <c r="L7742" s="10" t="inlineStr">
        <is>
          <t>AutoCAD, Sketchup, Enscape, Kiến Trúc Sư, Nội Thất</t>
        </is>
      </c>
      <c r="M7742" s="10" t="inlineStr">
        <is>
          <t>Bonus, Healthcare Plan, Training, Awards, Others</t>
        </is>
      </c>
      <c r="N7742" s="11">
        <f>HYPERLINK("https://www.vietnamworks.com/bbarchitects-tuyen-dung-kien-truc-su-thiet-ke-kien-truc-va-noi-that-luong-15tr-25tr-thang-2019050-jv","Xem chi tiết")</f>
        <v/>
      </c>
      <c r="O7742" s="10" t="n"/>
    </row>
    <row r="7743">
      <c r="B7743" s="7" t="n">
        <v>7741</v>
      </c>
      <c r="C7743" t="inlineStr">
        <is>
          <t>[Junior Up - Level] Full-Stack Software Engineer (Web)</t>
        </is>
      </c>
      <c r="D7743" t="inlineStr">
        <is>
          <t>MCGAAW</t>
        </is>
      </c>
      <c r="E7743" t="inlineStr">
        <is>
          <t>Thương lượng</t>
        </is>
      </c>
      <c r="F7743" t="inlineStr">
        <is>
          <t>Hồ Chí Minh</t>
        </is>
      </c>
      <c r="G7743" t="inlineStr">
        <is>
          <t>Nhân viên</t>
        </is>
      </c>
      <c r="H7743" t="inlineStr">
        <is>
          <t>05/03/2026</t>
        </is>
      </c>
      <c r="I7743" t="inlineStr">
        <is>
          <t>04/04/2026</t>
        </is>
      </c>
      <c r="J7743" t="inlineStr">
        <is>
          <t>17/03/2026</t>
        </is>
      </c>
      <c r="K7743" t="inlineStr">
        <is>
          <t>N/A</t>
        </is>
      </c>
      <c r="L7743" t="inlineStr">
        <is>
          <t>JavaScript, Golang, SQL, Typescript, FullStack</t>
        </is>
      </c>
      <c r="M7743" t="inlineStr">
        <is>
          <t>Bonus, Healthcare Plan, Paid Leave, Training, Travel Opportunities, Others</t>
        </is>
      </c>
      <c r="N7743" s="8">
        <f>HYPERLINK("https://www.vietnamworks.com/junior-up-level-full-stack-software-engineer-web-2019056-jv","Xem chi tiết")</f>
        <v/>
      </c>
    </row>
    <row r="7744">
      <c r="B7744" s="9" t="n">
        <v>7742</v>
      </c>
      <c r="C7744" s="10" t="inlineStr">
        <is>
          <t>Kỹ Sư Điện (Điện Công Nghiệp, Tự Động Hóa)</t>
        </is>
      </c>
      <c r="D7744" s="10" t="inlineStr">
        <is>
          <t>CTY CP TMDV THÉP HÒA PHÁT LONG AN</t>
        </is>
      </c>
      <c r="E7744" s="10" t="inlineStr">
        <is>
          <t>Thương lượng</t>
        </is>
      </c>
      <c r="F7744" s="10" t="inlineStr">
        <is>
          <t>Long An, Tây Ninh, Bình Dương</t>
        </is>
      </c>
      <c r="G7744" s="10" t="inlineStr">
        <is>
          <t>Nhân viên</t>
        </is>
      </c>
      <c r="H7744" s="10" t="inlineStr">
        <is>
          <t>05/03/2026</t>
        </is>
      </c>
      <c r="I7744" s="10" t="inlineStr">
        <is>
          <t>04/04/2026</t>
        </is>
      </c>
      <c r="J7744" s="10" t="inlineStr">
        <is>
          <t>17/03/2026</t>
        </is>
      </c>
      <c r="K7744" s="10" t="inlineStr">
        <is>
          <t>N/A</t>
        </is>
      </c>
      <c r="L7744" s="10" t="inlineStr">
        <is>
          <t>Tự Động Hóa, Điện Công Nghiệp, MEP, Hệ Thống Điện, PLC</t>
        </is>
      </c>
      <c r="M7744" s="10" t="inlineStr">
        <is>
          <t>Bonus, Healthcare Plan, Paid Leave</t>
        </is>
      </c>
      <c r="N7744" s="11">
        <f>HYPERLINK("https://www.vietnamworks.com/ky-su-djien-djien-cong-nghiep-tu-djong-hoa-2019063-jv","Xem chi tiết")</f>
        <v/>
      </c>
      <c r="O7744" s="10" t="n"/>
    </row>
    <row r="7745">
      <c r="B7745" s="7" t="n">
        <v>7743</v>
      </c>
      <c r="C7745" t="inlineStr">
        <is>
          <t>Thực Tập Sinh / Nhân Viên Kiểm Toán</t>
        </is>
      </c>
      <c r="D7745" t="inlineStr">
        <is>
          <t>Chi Nhánh Công Ty TNHH Kiểm Toán Và Dịch Vụ Tin Học Moore Aisc</t>
        </is>
      </c>
      <c r="E7745" t="inlineStr">
        <is>
          <t>Thương lượng</t>
        </is>
      </c>
      <c r="F7745" t="inlineStr">
        <is>
          <t>Hà Nội</t>
        </is>
      </c>
      <c r="G7745" t="inlineStr">
        <is>
          <t>Thực tập sinh/Sinh viên</t>
        </is>
      </c>
      <c r="H7745" t="inlineStr">
        <is>
          <t>05/03/2026</t>
        </is>
      </c>
      <c r="I7745" t="inlineStr">
        <is>
          <t>04/04/2026</t>
        </is>
      </c>
      <c r="J7745" t="inlineStr">
        <is>
          <t>17/03/2026</t>
        </is>
      </c>
      <c r="K7745" t="inlineStr">
        <is>
          <t>N/A</t>
        </is>
      </c>
      <c r="L7745" t="inlineStr">
        <is>
          <t>Kiểm Toán, Pháp Lý, Tin Học Văn Phòng, Quyết Toán Công Trình, Xây Dựng</t>
        </is>
      </c>
      <c r="M7745" t="inlineStr">
        <is>
          <t>Bonus, Healthcare Plan, Training, Travel Opportunities, Others</t>
        </is>
      </c>
      <c r="N7745" s="8">
        <f>HYPERLINK("https://www.vietnamworks.com/thuc-tap-sinh-nhan-vien-kiem-toan-2019059-jv","Xem chi tiết")</f>
        <v/>
      </c>
    </row>
    <row r="7746">
      <c r="B7746" s="9" t="n">
        <v>7744</v>
      </c>
      <c r="C7746" s="10" t="inlineStr">
        <is>
          <t>HR &amp; Admin. Supervisor</t>
        </is>
      </c>
      <c r="D7746" s="10" t="inlineStr">
        <is>
          <t>Công ty TNHH MTV The Fruit Republic Cần Thơ</t>
        </is>
      </c>
      <c r="E7746" s="10" t="inlineStr">
        <is>
          <t>20tr-30tr ₫/tháng</t>
        </is>
      </c>
      <c r="F7746" s="10" t="inlineStr">
        <is>
          <t>Cần Thơ</t>
        </is>
      </c>
      <c r="G7746" s="10" t="inlineStr">
        <is>
          <t>Nhân viên</t>
        </is>
      </c>
      <c r="H7746" s="10" t="inlineStr">
        <is>
          <t>05/03/2026</t>
        </is>
      </c>
      <c r="I7746" s="10" t="inlineStr">
        <is>
          <t>04/04/2026</t>
        </is>
      </c>
      <c r="J7746" s="10" t="inlineStr">
        <is>
          <t>17/03/2026</t>
        </is>
      </c>
      <c r="K7746" s="10" t="inlineStr">
        <is>
          <t>N/A</t>
        </is>
      </c>
      <c r="L7746" s="10" t="inlineStr">
        <is>
          <t>Quản Trị Nhân Sự, Tuyển Dụng, Đào Tạo, Tiếng Anh, Giao Tiếp</t>
        </is>
      </c>
      <c r="M7746" s="10" t="inlineStr">
        <is>
          <t>Bonus</t>
        </is>
      </c>
      <c r="N7746" s="11">
        <f>HYPERLINK("https://www.vietnamworks.com/hr-admin-supervisor--2019058-jv","Xem chi tiết")</f>
        <v/>
      </c>
      <c r="O7746" s="10" t="n"/>
    </row>
    <row r="7747">
      <c r="B7747" s="7" t="n">
        <v>7745</v>
      </c>
      <c r="C7747" t="inlineStr">
        <is>
          <t>Kỹ Thuật Địa Chất - Lương Upto 40Tr - Đi Làm Ngay Tại Dự Án</t>
        </is>
      </c>
      <c r="D7747" t="inlineStr">
        <is>
          <t>CÔNG TY CỔ PHẦN AMYA HOLDINGS</t>
        </is>
      </c>
      <c r="E7747" t="inlineStr">
        <is>
          <t>Tới 40tr ₫/tháng</t>
        </is>
      </c>
      <c r="F7747" t="inlineStr">
        <is>
          <t>Quốc tế</t>
        </is>
      </c>
      <c r="G7747" t="inlineStr">
        <is>
          <t>Mới Tốt Nghiệp</t>
        </is>
      </c>
      <c r="H7747" t="inlineStr">
        <is>
          <t>05/03/2026</t>
        </is>
      </c>
      <c r="I7747" t="inlineStr">
        <is>
          <t>04/04/2026</t>
        </is>
      </c>
      <c r="J7747" t="inlineStr">
        <is>
          <t>17/03/2026</t>
        </is>
      </c>
      <c r="K7747" t="inlineStr">
        <is>
          <t>N/A</t>
        </is>
      </c>
      <c r="L7747" t="inlineStr">
        <is>
          <t>MapInfo, Phân Tích Cấu Trúc, AutoCAD, Kỹ Thuật Trắc Địa, Địa Chất</t>
        </is>
      </c>
      <c r="M7747" t="inlineStr">
        <is>
          <t>Bonus, Healthcare Plan, Paid Leave, Others</t>
        </is>
      </c>
      <c r="N7747" s="8">
        <f>HYPERLINK("https://www.vietnamworks.com/ky-thuat-dia-chat-luong-upto-40tr-di-lam-ngay-tai-du-an-2019054-jv","Xem chi tiết")</f>
        <v/>
      </c>
    </row>
    <row r="7748">
      <c r="B7748" s="9" t="n">
        <v>7746</v>
      </c>
      <c r="C7748" s="10" t="inlineStr">
        <is>
          <t>Chuyên Viên Quản Lý Doanh Thu - Revenue Management Executive</t>
        </is>
      </c>
      <c r="D7748" s="10" t="inlineStr">
        <is>
          <t>CÔNG TY TNHH LEGACY VOYAGES VIỆT NAM</t>
        </is>
      </c>
      <c r="E7748" s="10" t="inlineStr">
        <is>
          <t>18tr-22tr ₫/tháng</t>
        </is>
      </c>
      <c r="F7748" s="10" t="inlineStr">
        <is>
          <t>Hà Nội</t>
        </is>
      </c>
      <c r="G7748" s="10" t="inlineStr">
        <is>
          <t>Nhân viên</t>
        </is>
      </c>
      <c r="H7748" s="10" t="inlineStr">
        <is>
          <t>05/03/2026</t>
        </is>
      </c>
      <c r="I7748" s="10" t="inlineStr">
        <is>
          <t>04/04/2026</t>
        </is>
      </c>
      <c r="J7748" s="10" t="inlineStr">
        <is>
          <t>17/03/2026</t>
        </is>
      </c>
      <c r="K7748" s="10" t="inlineStr">
        <is>
          <t>N/A</t>
        </is>
      </c>
      <c r="L7748" s="10" t="inlineStr">
        <is>
          <t>Lập Báo Cáo Doanh Thu, Quản Lý Doanh Thu, Phân Tích Doanh Thu, Quản Lý Ngân Sách, Chiến lược giá cả</t>
        </is>
      </c>
      <c r="M7748" s="10" t="inlineStr">
        <is>
          <t>Bonus, Paid Leave, Travel Opportunities</t>
        </is>
      </c>
      <c r="N7748" s="11">
        <f>HYPERLINK("https://www.vietnamworks.com/chuyen-vien-quan-ly-doanh-thu-revenue-management-executive-2019057-jv","Xem chi tiết")</f>
        <v/>
      </c>
      <c r="O7748" s="10" t="n"/>
    </row>
    <row r="7749">
      <c r="B7749" s="7" t="n">
        <v>7747</v>
      </c>
      <c r="C7749" t="inlineStr">
        <is>
          <t>Immigration Sales Consultant - Chuyên Viên Tư Vấn Định Cư</t>
        </is>
      </c>
      <c r="D7749" t="inlineStr">
        <is>
          <t>Công Ty Cổ Phần Tư Vấn AIMS Việt Nam</t>
        </is>
      </c>
      <c r="E7749" t="inlineStr">
        <is>
          <t>Thương lượng</t>
        </is>
      </c>
      <c r="F7749" t="inlineStr">
        <is>
          <t>Hà Nội, Hồ Chí Minh</t>
        </is>
      </c>
      <c r="G7749" t="inlineStr">
        <is>
          <t>Nhân viên</t>
        </is>
      </c>
      <c r="H7749" t="inlineStr">
        <is>
          <t>05/03/2026</t>
        </is>
      </c>
      <c r="I7749" t="inlineStr">
        <is>
          <t>04/04/2026</t>
        </is>
      </c>
      <c r="J7749" t="inlineStr">
        <is>
          <t>17/03/2026</t>
        </is>
      </c>
      <c r="K7749" t="inlineStr">
        <is>
          <t>N/A</t>
        </is>
      </c>
      <c r="L7749" t="inlineStr">
        <is>
          <t>English, Customer Service, Immigration Services, Negotiation Skills, Sales Planning</t>
        </is>
      </c>
      <c r="M7749" t="inlineStr">
        <is>
          <t>Bonus, Healthcare Plan, Others</t>
        </is>
      </c>
      <c r="N7749" s="8">
        <f>HYPERLINK("https://www.vietnamworks.com/immigration-sales-consultant-chuyen-vien-tu-van-dinh-cu--2019072-jv","Xem chi tiết")</f>
        <v/>
      </c>
    </row>
    <row r="7750">
      <c r="B7750" s="9" t="n">
        <v>7748</v>
      </c>
      <c r="C7750" s="10" t="inlineStr">
        <is>
          <t>Trưởng Bộ Phận Phát Triển Sản Phẩm (PRD Manager)</t>
        </is>
      </c>
      <c r="D7750" s="10" t="inlineStr">
        <is>
          <t>Công Ty Cổ Phần Tập Đoàn Dekko</t>
        </is>
      </c>
      <c r="E7750" s="10" t="inlineStr">
        <is>
          <t>Từ 25tr ₫/tháng</t>
        </is>
      </c>
      <c r="F7750" s="10" t="inlineStr">
        <is>
          <t>Hưng Yên</t>
        </is>
      </c>
      <c r="G7750" s="10" t="inlineStr">
        <is>
          <t>Trưởng phòng</t>
        </is>
      </c>
      <c r="H7750" s="10" t="inlineStr">
        <is>
          <t>05/03/2026</t>
        </is>
      </c>
      <c r="I7750" s="10" t="inlineStr">
        <is>
          <t>04/04/2026</t>
        </is>
      </c>
      <c r="J7750" s="10" t="inlineStr">
        <is>
          <t>17/03/2026</t>
        </is>
      </c>
      <c r="K7750" s="10" t="inlineStr">
        <is>
          <t>N/A</t>
        </is>
      </c>
      <c r="L7750" s="10" t="inlineStr">
        <is>
          <t>Quản Lý R&amp;D, Thiết Kế Sản Phẩm, Sử Dụng Phần Mềm, Ansys, Tư Duy Design To Cost</t>
        </is>
      </c>
      <c r="M7750" s="10" t="inlineStr">
        <is>
          <t>Bonus, Healthcare Plan, Paid Leave, Others</t>
        </is>
      </c>
      <c r="N7750" s="11">
        <f>HYPERLINK("https://www.vietnamworks.com/truong-bo-phan-phat-trien-san-pham-prd-manager-2019071-jv","Xem chi tiết")</f>
        <v/>
      </c>
      <c r="O7750" s="10" t="n"/>
    </row>
    <row r="7751">
      <c r="B7751" s="7" t="n">
        <v>7749</v>
      </c>
      <c r="C7751" t="inlineStr">
        <is>
          <t>Trưởng Nhóm Kế Hoạch</t>
        </is>
      </c>
      <c r="D7751" t="inlineStr">
        <is>
          <t>Crystal Martin (Vietnam) Company Limited</t>
        </is>
      </c>
      <c r="E7751" t="inlineStr">
        <is>
          <t>Thương lượng</t>
        </is>
      </c>
      <c r="F7751" t="inlineStr">
        <is>
          <t>Hà Nội, Bắc Giang, Bắc Ninh</t>
        </is>
      </c>
      <c r="G7751" t="inlineStr">
        <is>
          <t>Trưởng phòng</t>
        </is>
      </c>
      <c r="H7751" t="inlineStr">
        <is>
          <t>05/03/2026</t>
        </is>
      </c>
      <c r="I7751" t="inlineStr">
        <is>
          <t>04/04/2026</t>
        </is>
      </c>
      <c r="J7751" t="inlineStr">
        <is>
          <t>17/03/2026</t>
        </is>
      </c>
      <c r="K7751" t="inlineStr">
        <is>
          <t>N/A</t>
        </is>
      </c>
      <c r="L7751" t="inlineStr">
        <is>
          <t>Garment, Kế Hoạch Sản Xuất, Quản Lý Đơn Hàng, Tiếng Anh, Giám Sát Quy Trình Sản Xuất</t>
        </is>
      </c>
      <c r="M7751" t="inlineStr">
        <is>
          <t>Bonus, Transportation, Canteen</t>
        </is>
      </c>
      <c r="N7751" s="8">
        <f>HYPERLINK("https://www.vietnamworks.com/truong-nhom-ke-hoach--2019069-jv","Xem chi tiết")</f>
        <v/>
      </c>
    </row>
    <row r="7752">
      <c r="B7752" s="9" t="n">
        <v>7750</v>
      </c>
      <c r="C7752" s="10" t="inlineStr">
        <is>
          <t>Pattern Maker - Intimate (3D Fitting / US Market)</t>
        </is>
      </c>
      <c r="D7752" s="10" t="inlineStr">
        <is>
          <t>Crossian Việt Nam</t>
        </is>
      </c>
      <c r="E7752" s="10" t="inlineStr">
        <is>
          <t>Thương lượng</t>
        </is>
      </c>
      <c r="F7752" s="10" t="inlineStr">
        <is>
          <t>Hà Nội</t>
        </is>
      </c>
      <c r="G7752" s="10" t="inlineStr">
        <is>
          <t>Nhân viên</t>
        </is>
      </c>
      <c r="H7752" s="10" t="inlineStr">
        <is>
          <t>05/03/2026</t>
        </is>
      </c>
      <c r="I7752" s="10" t="inlineStr">
        <is>
          <t>04/04/2026</t>
        </is>
      </c>
      <c r="J7752" s="10" t="inlineStr">
        <is>
          <t>17/03/2026</t>
        </is>
      </c>
      <c r="K7752" s="10" t="inlineStr">
        <is>
          <t>N/A</t>
        </is>
      </c>
      <c r="L7752" s="10" t="inlineStr">
        <is>
          <t>English, 3D, Attention To Detail, Garment Technology, Pattern Making</t>
        </is>
      </c>
      <c r="M7752" s="10" t="inlineStr">
        <is>
          <t>Bonus, Healthcare Plan, Paid Leave, Training, Team Activities</t>
        </is>
      </c>
      <c r="N7752" s="11">
        <f>HYPERLINK("https://www.vietnamworks.com/pattern-maker-intimate-3d-fitting-us-market-2019060-jv","Xem chi tiết")</f>
        <v/>
      </c>
      <c r="O7752" s="10" t="n"/>
    </row>
    <row r="7753">
      <c r="B7753" s="7" t="n">
        <v>7751</v>
      </c>
      <c r="C7753" t="inlineStr">
        <is>
          <t>Trưởng Bộ Phận Kỹ Thuật Khuôn &amp; Máy (MME Manager)</t>
        </is>
      </c>
      <c r="D7753" t="inlineStr">
        <is>
          <t>Công Ty Cổ Phần Tập Đoàn Dekko</t>
        </is>
      </c>
      <c r="E7753" t="inlineStr">
        <is>
          <t>Từ 30tr ₫/tháng</t>
        </is>
      </c>
      <c r="F7753" t="inlineStr">
        <is>
          <t>Hưng Yên</t>
        </is>
      </c>
      <c r="G7753" t="inlineStr">
        <is>
          <t>Trưởng phòng</t>
        </is>
      </c>
      <c r="H7753" t="inlineStr">
        <is>
          <t>05/03/2026</t>
        </is>
      </c>
      <c r="I7753" t="inlineStr">
        <is>
          <t>04/04/2026</t>
        </is>
      </c>
      <c r="J7753" t="inlineStr">
        <is>
          <t>17/03/2026</t>
        </is>
      </c>
      <c r="K7753" t="inlineStr">
        <is>
          <t>N/A</t>
        </is>
      </c>
      <c r="L7753" t="inlineStr">
        <is>
          <t>CNC Machinery, CAD/CAM, Cơ Khí, Kỹ Thuật, Thiết Kế Khuôn Mẫu</t>
        </is>
      </c>
      <c r="M7753" t="inlineStr">
        <is>
          <t>Bonus, Healthcare Plan, Paid Leave, Others</t>
        </is>
      </c>
      <c r="N7753" s="8">
        <f>HYPERLINK("https://www.vietnamworks.com/truong-bo-phan-ky-thuat-khuon-and-may-mme-manager-2019066-jv","Xem chi tiết")</f>
        <v/>
      </c>
    </row>
    <row r="7754">
      <c r="B7754" s="9" t="n">
        <v>7752</v>
      </c>
      <c r="C7754" s="10" t="inlineStr">
        <is>
          <t>Thiết Kế Nội Thất</t>
        </is>
      </c>
      <c r="D7754" s="10" t="inlineStr">
        <is>
          <t>Công Ty Cổ Phần Dịch Vụ Giải Pháp Cảnh Quan</t>
        </is>
      </c>
      <c r="E7754" s="10" t="inlineStr">
        <is>
          <t>Thương lượng</t>
        </is>
      </c>
      <c r="F7754" s="10" t="inlineStr">
        <is>
          <t>Hồ Chí Minh</t>
        </is>
      </c>
      <c r="G7754" s="10" t="inlineStr">
        <is>
          <t>Nhân viên</t>
        </is>
      </c>
      <c r="H7754" s="10" t="inlineStr">
        <is>
          <t>05/03/2026</t>
        </is>
      </c>
      <c r="I7754" s="10" t="inlineStr">
        <is>
          <t>04/04/2026</t>
        </is>
      </c>
      <c r="J7754" s="10" t="inlineStr">
        <is>
          <t>17/03/2026</t>
        </is>
      </c>
      <c r="K7754" s="10" t="inlineStr">
        <is>
          <t>N/A</t>
        </is>
      </c>
      <c r="L7754" s="10" t="inlineStr">
        <is>
          <t>AutoCAD, 3DSMAX, Photoshop, Furniture &amp; Interior Design, Interior Design</t>
        </is>
      </c>
      <c r="M7754" s="10" t="inlineStr">
        <is>
          <t>Bonus, Healthcare Plan, Others</t>
        </is>
      </c>
      <c r="N7754" s="11">
        <f>HYPERLINK("https://www.vietnamworks.com/thiet-ke-noi-that-2019061-jv","Xem chi tiết")</f>
        <v/>
      </c>
      <c r="O7754" s="10" t="n"/>
    </row>
    <row r="7755">
      <c r="B7755" s="7" t="n">
        <v>7753</v>
      </c>
      <c r="C7755" t="inlineStr">
        <is>
          <t>Chuyên Viên Kinh Doanh Vàng &amp; Bạc Phú Quý (Kênh Showroom &amp; Online)</t>
        </is>
      </c>
      <c r="D7755" t="inlineStr">
        <is>
          <t>CÔNG TY CỔ PHẦN ĐẦU TƯ VÀNG PHÚ QUÝ</t>
        </is>
      </c>
      <c r="E7755" t="inlineStr">
        <is>
          <t>Thương lượng</t>
        </is>
      </c>
      <c r="F7755" t="inlineStr">
        <is>
          <t>Hà Nội</t>
        </is>
      </c>
      <c r="G7755" t="inlineStr">
        <is>
          <t>Nhân viên</t>
        </is>
      </c>
      <c r="H7755" t="inlineStr">
        <is>
          <t>05/03/2026</t>
        </is>
      </c>
      <c r="I7755" t="inlineStr">
        <is>
          <t>20/03/2026</t>
        </is>
      </c>
      <c r="J7755" t="inlineStr">
        <is>
          <t>17/03/2026</t>
        </is>
      </c>
      <c r="K7755" t="inlineStr">
        <is>
          <t>N/A</t>
        </is>
      </c>
      <c r="L7755" t="inlineStr">
        <is>
          <t>Tư Vấn Khách Hàng, Bán hàng, Business Development, Kinh Doanh, Sales</t>
        </is>
      </c>
      <c r="M7755" t="inlineStr">
        <is>
          <t>Bonus, Travel Opportunities, Canteen</t>
        </is>
      </c>
      <c r="N7755" s="8">
        <f>HYPERLINK("https://www.vietnamworks.com/chuyen-vien-kinh-doanh-vang-and-bac-phu-quy-kenh-showroom-and-online-2019073-jv","Xem chi tiết")</f>
        <v/>
      </c>
    </row>
    <row r="7756">
      <c r="B7756" s="9" t="n">
        <v>7754</v>
      </c>
      <c r="C7756" s="10" t="inlineStr">
        <is>
          <t>Logistics Officer</t>
        </is>
      </c>
      <c r="D7756" s="10" t="inlineStr">
        <is>
          <t>CÔNG TY TNHH CWT COMMODITY LOGISTICS (VIỆT NAM)</t>
        </is>
      </c>
      <c r="E7756" s="10" t="inlineStr">
        <is>
          <t>Thương lượng</t>
        </is>
      </c>
      <c r="F7756" s="10" t="inlineStr">
        <is>
          <t>Đồng Nai, Hồ Chí Minh</t>
        </is>
      </c>
      <c r="G7756" s="10" t="inlineStr">
        <is>
          <t>Nhân viên</t>
        </is>
      </c>
      <c r="H7756" s="10" t="inlineStr">
        <is>
          <t>05/03/2026</t>
        </is>
      </c>
      <c r="I7756" s="10" t="inlineStr">
        <is>
          <t>04/04/2026</t>
        </is>
      </c>
      <c r="J7756" s="10" t="inlineStr">
        <is>
          <t>17/03/2026</t>
        </is>
      </c>
      <c r="K7756" s="10" t="inlineStr">
        <is>
          <t>N/A</t>
        </is>
      </c>
      <c r="L7756" s="10" t="inlineStr">
        <is>
          <t>English, Foreign Trade, Shipping Management, Warehouse Management, Import &amp; Export</t>
        </is>
      </c>
      <c r="M7756" s="10" t="inlineStr">
        <is>
          <t>Team Activities, Others</t>
        </is>
      </c>
      <c r="N7756" s="11">
        <f>HYPERLINK("https://www.vietnamworks.com/logistics-officer-2019067-jv","Xem chi tiết")</f>
        <v/>
      </c>
      <c r="O7756" s="10" t="n"/>
    </row>
    <row r="7757">
      <c r="B7757" s="7" t="n">
        <v>7755</v>
      </c>
      <c r="C7757" t="inlineStr">
        <is>
          <t>Chuyên Viên Quản Lý Rủi Ro</t>
        </is>
      </c>
      <c r="D7757" t="inlineStr">
        <is>
          <t>Công Ty Cổ Phần Chuỗi Thực Phẩm TH</t>
        </is>
      </c>
      <c r="E7757" t="inlineStr">
        <is>
          <t>Thương lượng</t>
        </is>
      </c>
      <c r="F7757" t="inlineStr">
        <is>
          <t>Hà Nội</t>
        </is>
      </c>
      <c r="G7757" t="inlineStr">
        <is>
          <t>Nhân viên</t>
        </is>
      </c>
      <c r="H7757" t="inlineStr">
        <is>
          <t>05/03/2026</t>
        </is>
      </c>
      <c r="I7757" t="inlineStr">
        <is>
          <t>04/04/2026</t>
        </is>
      </c>
      <c r="J7757" t="inlineStr">
        <is>
          <t>17/03/2026</t>
        </is>
      </c>
      <c r="K7757" t="inlineStr">
        <is>
          <t>N/A</t>
        </is>
      </c>
      <c r="L7757" t="inlineStr">
        <is>
          <t>Risk Management, Quản Lý Rủi Ro, Kiểm Soát Tuân Thủ, Kiểm Soát Nội Bộ</t>
        </is>
      </c>
      <c r="M7757" t="inlineStr">
        <is>
          <t>Training</t>
        </is>
      </c>
      <c r="N7757" s="8">
        <f>HYPERLINK("https://www.vietnamworks.com/chuyen-vien-quan-ly-rui-ro--2019068-jv","Xem chi tiết")</f>
        <v/>
      </c>
    </row>
    <row r="7758">
      <c r="B7758" s="9" t="n">
        <v>7756</v>
      </c>
      <c r="C7758" s="10" t="inlineStr">
        <is>
          <t>Customer Service</t>
        </is>
      </c>
      <c r="D7758" s="10" t="inlineStr">
        <is>
          <t>CÔNG TY TNHH DỊCH VỤ GIẢI PHÁP VÀ GIAO NHẬN F1</t>
        </is>
      </c>
      <c r="E7758" s="10" t="inlineStr">
        <is>
          <t>Thương lượng</t>
        </is>
      </c>
      <c r="F7758" s="10" t="inlineStr">
        <is>
          <t>Hà Nội</t>
        </is>
      </c>
      <c r="G7758" s="10" t="inlineStr">
        <is>
          <t>Nhân viên</t>
        </is>
      </c>
      <c r="H7758" s="10" t="inlineStr">
        <is>
          <t>05/03/2026</t>
        </is>
      </c>
      <c r="I7758" s="10" t="inlineStr">
        <is>
          <t>04/04/2026</t>
        </is>
      </c>
      <c r="J7758" s="10" t="inlineStr">
        <is>
          <t>17/03/2026</t>
        </is>
      </c>
      <c r="K7758" s="10" t="inlineStr">
        <is>
          <t>N/A</t>
        </is>
      </c>
      <c r="L7758" s="10" t="inlineStr">
        <is>
          <t>Logistics Costs, Xuất Nhập Khẩu, Dịch Vụ Khách Hàng, Customer Service, Customer Support</t>
        </is>
      </c>
      <c r="M7758" s="10" t="inlineStr">
        <is>
          <t>Bonus, Healthcare Plan, Training</t>
        </is>
      </c>
      <c r="N7758" s="11">
        <f>HYPERLINK("https://www.vietnamworks.com/customer-service-254--2019085-jv","Xem chi tiết")</f>
        <v/>
      </c>
      <c r="O7758" s="10" t="n"/>
    </row>
    <row r="7759">
      <c r="B7759" s="7" t="n">
        <v>7757</v>
      </c>
      <c r="C7759" t="inlineStr">
        <is>
          <t>Nhân Viên Kinh Doanh Logistics | Sales Logistics - Thu Nhập Trung Bình 15Tr - 30Tr++ (Lương Cứng + Hoa Hồng Không Giới Hạn)</t>
        </is>
      </c>
      <c r="D7759" t="inlineStr">
        <is>
          <t>CÔNG TY TNHH DỊCH VỤ GIẢI PHÁP VÀ GIAO NHẬN F1</t>
        </is>
      </c>
      <c r="E7759" t="inlineStr">
        <is>
          <t>$$ 15tr-30tr /tháng</t>
        </is>
      </c>
      <c r="F7759" t="inlineStr">
        <is>
          <t>Hà Nội</t>
        </is>
      </c>
      <c r="G7759" t="inlineStr">
        <is>
          <t>Nhân viên</t>
        </is>
      </c>
      <c r="H7759" t="inlineStr">
        <is>
          <t>05/03/2026</t>
        </is>
      </c>
      <c r="I7759" t="inlineStr">
        <is>
          <t>04/04/2026</t>
        </is>
      </c>
      <c r="J7759" t="inlineStr">
        <is>
          <t>17/03/2026</t>
        </is>
      </c>
      <c r="K7759" t="inlineStr">
        <is>
          <t>N/A</t>
        </is>
      </c>
      <c r="L7759" t="inlineStr">
        <is>
          <t>Kinh Doanh, Sales Logistics, Kinh Doanh Logistics</t>
        </is>
      </c>
      <c r="M7759" t="inlineStr">
        <is>
          <t>Bonus, Healthcare Plan, Training, Others</t>
        </is>
      </c>
      <c r="N7759" s="8">
        <f>HYPERLINK("https://www.vietnamworks.com/nhan-vien-kinh-doanh-logistics-sales-logistics-thu-nhap-trung-binh-15tr-30tr-luong-cung-hoa-hong-khong-gioi-han-2019087-jv","Xem chi tiết")</f>
        <v/>
      </c>
    </row>
    <row r="7760">
      <c r="B7760" s="9" t="n">
        <v>7758</v>
      </c>
      <c r="C7760" s="10" t="inlineStr">
        <is>
          <t>Office Receptionist Cum Admin (Multinational Corporation)</t>
        </is>
      </c>
      <c r="D7760" s="10" t="inlineStr">
        <is>
          <t>Source Of Asia</t>
        </is>
      </c>
      <c r="E7760" s="10" t="inlineStr">
        <is>
          <t>9tr-11tr ₫/tháng</t>
        </is>
      </c>
      <c r="F7760" s="10" t="inlineStr">
        <is>
          <t>Hà Nội, Hồ Chí Minh</t>
        </is>
      </c>
      <c r="G7760" s="10" t="inlineStr">
        <is>
          <t>Nhân viên</t>
        </is>
      </c>
      <c r="H7760" s="10" t="inlineStr">
        <is>
          <t>05/03/2026</t>
        </is>
      </c>
      <c r="I7760" s="10" t="inlineStr">
        <is>
          <t>04/04/2026</t>
        </is>
      </c>
      <c r="J7760" s="10" t="inlineStr">
        <is>
          <t>17/03/2026</t>
        </is>
      </c>
      <c r="K7760" s="10" t="inlineStr">
        <is>
          <t>N/A</t>
        </is>
      </c>
      <c r="L7760" s="10" t="inlineStr">
        <is>
          <t>Administration Management, Customer Service, English, Problem-solving, Reception Management</t>
        </is>
      </c>
      <c r="M7760" s="10" t="inlineStr">
        <is>
          <t>Bonus, Healthcare Plan, Training, Awards, Team Activities</t>
        </is>
      </c>
      <c r="N7760" s="11">
        <f>HYPERLINK("https://www.vietnamworks.com/office-receptionist-cum-admin-multinational-corporation-2019075-jv","Xem chi tiết")</f>
        <v/>
      </c>
      <c r="O7760" s="10" t="n"/>
    </row>
    <row r="7761">
      <c r="B7761" s="7" t="n">
        <v>7759</v>
      </c>
      <c r="C7761" t="inlineStr">
        <is>
          <t>Merchandiser / Quản Lý Đơn Hàng</t>
        </is>
      </c>
      <c r="D7761" t="inlineStr">
        <is>
          <t>Crystal Martin (Vietnam) Company Limited</t>
        </is>
      </c>
      <c r="E7761" t="inlineStr">
        <is>
          <t>Thương lượng</t>
        </is>
      </c>
      <c r="F7761" t="inlineStr">
        <is>
          <t>Hà Nội, Bắc Ninh, Bắc Giang</t>
        </is>
      </c>
      <c r="G7761" t="inlineStr">
        <is>
          <t>Nhân viên</t>
        </is>
      </c>
      <c r="H7761" t="inlineStr">
        <is>
          <t>05/03/2026</t>
        </is>
      </c>
      <c r="I7761" t="inlineStr">
        <is>
          <t>04/04/2026</t>
        </is>
      </c>
      <c r="J7761" t="inlineStr">
        <is>
          <t>17/03/2026</t>
        </is>
      </c>
      <c r="K7761" t="inlineStr">
        <is>
          <t>N/A</t>
        </is>
      </c>
      <c r="L7761" t="inlineStr">
        <is>
          <t>Material Handling, Merchandising, Garment Manufacturing, Bulk Production, Garment Production Planning</t>
        </is>
      </c>
      <c r="M7761" t="inlineStr">
        <is>
          <t>Bonus, Transportation, Canteen</t>
        </is>
      </c>
      <c r="N7761" s="8">
        <f>HYPERLINK("https://www.vietnamworks.com/merchandiser-quan-ly-don-hang--2019086-jv","Xem chi tiết")</f>
        <v/>
      </c>
    </row>
    <row r="7762">
      <c r="B7762" s="9" t="n">
        <v>7760</v>
      </c>
      <c r="C7762" s="10" t="inlineStr">
        <is>
          <t>Chief Marketing Officer (CMO)</t>
        </is>
      </c>
      <c r="D7762" s="10" t="inlineStr">
        <is>
          <t>Vietnamworks' Client</t>
        </is>
      </c>
      <c r="E7762" s="10" t="inlineStr">
        <is>
          <t>$$ 4,000-8,000 /tháng</t>
        </is>
      </c>
      <c r="F7762" s="10" t="inlineStr">
        <is>
          <t>Hồ Chí Minh</t>
        </is>
      </c>
      <c r="G7762" s="10" t="inlineStr">
        <is>
          <t>Giám Đốc và Cấp Cao Hơn</t>
        </is>
      </c>
      <c r="H7762" s="10" t="inlineStr">
        <is>
          <t>05/03/2026</t>
        </is>
      </c>
      <c r="I7762" s="10" t="inlineStr">
        <is>
          <t>04/04/2026</t>
        </is>
      </c>
      <c r="J7762" s="10" t="inlineStr">
        <is>
          <t>17/03/2026</t>
        </is>
      </c>
      <c r="K7762" s="10" t="inlineStr">
        <is>
          <t>N/A</t>
        </is>
      </c>
      <c r="L7762" s="10" t="inlineStr">
        <is>
          <t>Marketing Budgeting, Marketing Strategy, Brand Management, CMO, English</t>
        </is>
      </c>
      <c r="M7762" s="10" t="inlineStr">
        <is>
          <t>Others</t>
        </is>
      </c>
      <c r="N7762" s="11">
        <f>HYPERLINK("https://www.vietnamworks.com/chief-marketing-officer-cmo--2019078-jv","Xem chi tiết")</f>
        <v/>
      </c>
      <c r="O7762" s="10" t="n"/>
    </row>
    <row r="7763">
      <c r="B7763" s="7" t="n">
        <v>7761</v>
      </c>
      <c r="C7763" t="inlineStr">
        <is>
          <t>Quản Trị Kênh Youtube &amp; SEO Youtube (Youtube Channel Manager &amp; SEO)</t>
        </is>
      </c>
      <c r="D7763" t="inlineStr">
        <is>
          <t>CÔNG TY TNHH GAOGAO MEDIA</t>
        </is>
      </c>
      <c r="E7763" t="inlineStr">
        <is>
          <t>7tr-12tr ₫/tháng</t>
        </is>
      </c>
      <c r="F7763" t="inlineStr">
        <is>
          <t>Hồ Chí Minh</t>
        </is>
      </c>
      <c r="G7763" t="inlineStr">
        <is>
          <t>Nhân viên</t>
        </is>
      </c>
      <c r="H7763" t="inlineStr">
        <is>
          <t>05/03/2026</t>
        </is>
      </c>
      <c r="I7763" t="inlineStr">
        <is>
          <t>04/04/2026</t>
        </is>
      </c>
      <c r="J7763" t="inlineStr">
        <is>
          <t>17/03/2026</t>
        </is>
      </c>
      <c r="K7763" t="inlineStr">
        <is>
          <t>N/A</t>
        </is>
      </c>
      <c r="L7763" t="inlineStr">
        <is>
          <t>Quản Lý Youtube, SEO Youtube, Sử Dụng Tubebuddy, Thiết Kế Video, Sáng Tạo Nội Dung</t>
        </is>
      </c>
      <c r="M7763" t="inlineStr">
        <is>
          <t>Bonus, Others</t>
        </is>
      </c>
      <c r="N7763" s="8">
        <f>HYPERLINK("https://www.vietnamworks.com/quan-tri-kenh-youtube-and-seo-youtube-youtube-channel-manager-and-seo-2019095-jv","Xem chi tiết")</f>
        <v/>
      </c>
    </row>
    <row r="7764">
      <c r="B7764" s="9" t="n">
        <v>7762</v>
      </c>
      <c r="C7764" s="10" t="inlineStr">
        <is>
          <t>Assistant to Japanese General Director - 601</t>
        </is>
      </c>
      <c r="D7764" s="10" t="inlineStr">
        <is>
          <t>AEONMALL Vietnam Co., Ltd.</t>
        </is>
      </c>
      <c r="E7764" s="10" t="inlineStr">
        <is>
          <t>Thương lượng</t>
        </is>
      </c>
      <c r="F7764" s="10" t="inlineStr">
        <is>
          <t>Hồ Chí Minh</t>
        </is>
      </c>
      <c r="G7764" s="10" t="inlineStr">
        <is>
          <t>Nhân viên</t>
        </is>
      </c>
      <c r="H7764" s="10" t="inlineStr">
        <is>
          <t>05/03/2026</t>
        </is>
      </c>
      <c r="I7764" s="10" t="inlineStr">
        <is>
          <t>04/04/2026</t>
        </is>
      </c>
      <c r="J7764" s="10" t="inlineStr">
        <is>
          <t>17/03/2026</t>
        </is>
      </c>
      <c r="K7764" s="10" t="inlineStr">
        <is>
          <t>N/A</t>
        </is>
      </c>
      <c r="L7764" s="10" t="inlineStr">
        <is>
          <t>communication, Planning, Detailed And Careful Character, Hospitality</t>
        </is>
      </c>
      <c r="M7764" s="10" t="inlineStr">
        <is>
          <t>Healthcare Plan, Training, Others</t>
        </is>
      </c>
      <c r="N7764" s="11">
        <f>HYPERLINK("https://www.vietnamworks.com/assistant-to-japanese-general-director-601-2019093-jv","Xem chi tiết")</f>
        <v/>
      </c>
      <c r="O7764" s="10" t="n"/>
    </row>
    <row r="7765">
      <c r="B7765" s="7" t="n">
        <v>7763</v>
      </c>
      <c r="C7765" t="inlineStr">
        <is>
          <t>Chuyên Viên Sở Hữu Trí Tuệ (Nhãn Hiệu/ Sáng Chế/ Kiểu Dáng) – Lương Từ 500$</t>
        </is>
      </c>
      <c r="D7765" t="inlineStr">
        <is>
          <t>Văn Phòng Luật Sư Lê&amp; Lê</t>
        </is>
      </c>
      <c r="E7765" t="inlineStr">
        <is>
          <t>$$ 500-1,200 /tháng</t>
        </is>
      </c>
      <c r="F7765" t="inlineStr">
        <is>
          <t>Hà Nội</t>
        </is>
      </c>
      <c r="G7765" t="inlineStr">
        <is>
          <t>Nhân viên</t>
        </is>
      </c>
      <c r="H7765" t="inlineStr">
        <is>
          <t>05/03/2026</t>
        </is>
      </c>
      <c r="I7765" t="inlineStr">
        <is>
          <t>04/04/2026</t>
        </is>
      </c>
      <c r="J7765" t="inlineStr">
        <is>
          <t>17/03/2026</t>
        </is>
      </c>
      <c r="K7765" t="inlineStr">
        <is>
          <t>N/A</t>
        </is>
      </c>
      <c r="L7765" t="inlineStr">
        <is>
          <t>Bảo Vệ Bằng Sáng Chế, Pháp Lý, Luật Sở Hữu Trí Tuệ, Kỹ Thuật, Điện tử</t>
        </is>
      </c>
      <c r="M7765" t="inlineStr">
        <is>
          <t>Bonus, Awards, Others</t>
        </is>
      </c>
      <c r="N7765" s="8">
        <f>HYPERLINK("https://www.vietnamworks.com/chuyen-vien-so-huu-tri-tue-nhan-hieu-sang-che-kieu-dang-luong-tu-500-2019076-jv","Xem chi tiết")</f>
        <v/>
      </c>
    </row>
    <row r="7766">
      <c r="B7766" s="9" t="n">
        <v>7764</v>
      </c>
      <c r="C7766" s="10" t="inlineStr">
        <is>
          <t>Marketing Staff (Washing Machine Product)</t>
        </is>
      </c>
      <c r="D7766" s="10" t="inlineStr">
        <is>
          <t>Panasonic Appliances Vietnam</t>
        </is>
      </c>
      <c r="E7766" s="10" t="inlineStr">
        <is>
          <t>Thương lượng</t>
        </is>
      </c>
      <c r="F7766" s="10" t="inlineStr">
        <is>
          <t>Hưng Yên</t>
        </is>
      </c>
      <c r="G7766" s="10" t="inlineStr">
        <is>
          <t>Nhân viên</t>
        </is>
      </c>
      <c r="H7766" s="10" t="inlineStr">
        <is>
          <t>05/03/2026</t>
        </is>
      </c>
      <c r="I7766" s="10" t="inlineStr">
        <is>
          <t>04/04/2026</t>
        </is>
      </c>
      <c r="J7766" s="10" t="inlineStr">
        <is>
          <t>17/03/2026</t>
        </is>
      </c>
      <c r="K7766" s="10" t="inlineStr">
        <is>
          <t>N/A</t>
        </is>
      </c>
      <c r="L7766" s="10" t="inlineStr">
        <is>
          <t>Marketing, Communication Skills, English, Analysis Report, Product Planning</t>
        </is>
      </c>
      <c r="M7766" s="10" t="inlineStr">
        <is>
          <t>Bonus, Healthcare Plan, Transportation</t>
        </is>
      </c>
      <c r="N7766" s="11">
        <f>HYPERLINK("https://www.vietnamworks.com/marketing-staff-washing-machine-product--2019094-jv","Xem chi tiết")</f>
        <v/>
      </c>
      <c r="O7766" s="10" t="n"/>
    </row>
    <row r="7767">
      <c r="B7767" s="7" t="n">
        <v>7765</v>
      </c>
      <c r="C7767" t="inlineStr">
        <is>
          <t>Senior Specialist, Marketing (Real Estate)</t>
        </is>
      </c>
      <c r="D7767" t="inlineStr">
        <is>
          <t>Công Ty Cổ Phần Đầu Tư Nam Long</t>
        </is>
      </c>
      <c r="E7767" t="inlineStr">
        <is>
          <t>Thương lượng</t>
        </is>
      </c>
      <c r="F7767" t="inlineStr">
        <is>
          <t>Hồ Chí Minh</t>
        </is>
      </c>
      <c r="G7767" t="inlineStr">
        <is>
          <t>Nhân viên</t>
        </is>
      </c>
      <c r="H7767" t="inlineStr">
        <is>
          <t>05/03/2026</t>
        </is>
      </c>
      <c r="I7767" t="inlineStr">
        <is>
          <t>04/04/2026</t>
        </is>
      </c>
      <c r="J7767" t="inlineStr">
        <is>
          <t>17/03/2026</t>
        </is>
      </c>
      <c r="K7767" t="inlineStr">
        <is>
          <t>N/A</t>
        </is>
      </c>
      <c r="L7767" t="inlineStr">
        <is>
          <t>Marketing Planning, Marketing, Google Ads, Digital Marketing, Communication</t>
        </is>
      </c>
      <c r="M7767" t="inlineStr">
        <is>
          <t>Bonus, Healthcare Plan, Paid Leave</t>
        </is>
      </c>
      <c r="N7767" s="8">
        <f>HYPERLINK("https://www.vietnamworks.com/senior-specialist-marketing-real-estate--2019083-jv","Xem chi tiết")</f>
        <v/>
      </c>
    </row>
    <row r="7768">
      <c r="B7768" s="9" t="n">
        <v>7766</v>
      </c>
      <c r="C7768" s="10" t="inlineStr">
        <is>
          <t>Tooling Assistant Manager</t>
        </is>
      </c>
      <c r="D7768" s="10" t="inlineStr">
        <is>
          <t>Công Ty Trách Nhiệm Hữu Hạn Công Nghệ Chính Xác Interplex (Hà Nội)</t>
        </is>
      </c>
      <c r="E7768" s="10" t="inlineStr">
        <is>
          <t>Thương lượng</t>
        </is>
      </c>
      <c r="F7768" s="10" t="inlineStr">
        <is>
          <t>Bắc Ninh</t>
        </is>
      </c>
      <c r="G7768" s="10" t="inlineStr">
        <is>
          <t>Trưởng phòng</t>
        </is>
      </c>
      <c r="H7768" s="10" t="inlineStr">
        <is>
          <t>05/03/2026</t>
        </is>
      </c>
      <c r="I7768" s="10" t="inlineStr">
        <is>
          <t>04/04/2026</t>
        </is>
      </c>
      <c r="J7768" s="10" t="inlineStr">
        <is>
          <t>17/03/2026</t>
        </is>
      </c>
      <c r="K7768" s="10" t="inlineStr">
        <is>
          <t>N/A</t>
        </is>
      </c>
      <c r="L7768" s="10" t="inlineStr">
        <is>
          <t>Communication, Data Analysis, Leadership, Organizational skills, Tool Maker</t>
        </is>
      </c>
      <c r="M7768" s="10" t="inlineStr">
        <is>
          <t>Bonus</t>
        </is>
      </c>
      <c r="N7768" s="11">
        <f>HYPERLINK("https://www.vietnamworks.com/tooling-assistant-manager-2019074-jv","Xem chi tiết")</f>
        <v/>
      </c>
      <c r="O7768" s="10" t="n"/>
    </row>
    <row r="7769">
      <c r="B7769" s="7" t="n">
        <v>7767</v>
      </c>
      <c r="C7769" t="inlineStr">
        <is>
          <t>Kỹ Sư Phần Mềm - Software Engineer</t>
        </is>
      </c>
      <c r="D7769" t="inlineStr">
        <is>
          <t>CÔNG TY TNHH LEGACY VOYAGES VIỆT NAM</t>
        </is>
      </c>
      <c r="E7769" t="inlineStr">
        <is>
          <t>Thương lượng</t>
        </is>
      </c>
      <c r="F7769" t="inlineStr">
        <is>
          <t>Hà Nội</t>
        </is>
      </c>
      <c r="G7769" t="inlineStr">
        <is>
          <t>Nhân viên</t>
        </is>
      </c>
      <c r="H7769" t="inlineStr">
        <is>
          <t>05/03/2026</t>
        </is>
      </c>
      <c r="I7769" t="inlineStr">
        <is>
          <t>04/04/2026</t>
        </is>
      </c>
      <c r="J7769" t="inlineStr">
        <is>
          <t>17/03/2026</t>
        </is>
      </c>
      <c r="K7769" t="inlineStr">
        <is>
          <t>N/A</t>
        </is>
      </c>
      <c r="L7769" t="inlineStr">
        <is>
          <t>Software Engineering, IT Software, Kỹ Sư Cntt, Chuyển Đổi Số, Trí Tuệ Nhân Tạo</t>
        </is>
      </c>
      <c r="M7769" t="inlineStr">
        <is>
          <t>Bonus, Paid Leave, Travel Opportunities</t>
        </is>
      </c>
      <c r="N7769" s="8">
        <f>HYPERLINK("https://www.vietnamworks.com/ky-su-phan-mem-software-engineer--2019096-jv","Xem chi tiết")</f>
        <v/>
      </c>
    </row>
    <row r="7770">
      <c r="B7770" s="9" t="n">
        <v>7768</v>
      </c>
      <c r="C7770" s="10" t="inlineStr">
        <is>
          <t>Kế Toán Tổng Hợp (General Accountant) - Nghỉ Thứ 7 - CN</t>
        </is>
      </c>
      <c r="D7770" s="10" t="inlineStr">
        <is>
          <t>CÔNG TY TNHH THƯƠNG MẠI VÀ THIẾT BỊ Y TẾ NHẬT NAM</t>
        </is>
      </c>
      <c r="E7770" s="10" t="inlineStr">
        <is>
          <t>15tr-17tr ₫/tháng</t>
        </is>
      </c>
      <c r="F7770" s="10" t="inlineStr">
        <is>
          <t>Hà Nội</t>
        </is>
      </c>
      <c r="G7770" s="10" t="inlineStr">
        <is>
          <t>Nhân viên</t>
        </is>
      </c>
      <c r="H7770" s="10" t="inlineStr">
        <is>
          <t>05/03/2026</t>
        </is>
      </c>
      <c r="I7770" s="10" t="inlineStr">
        <is>
          <t>04/04/2026</t>
        </is>
      </c>
      <c r="J7770" s="10" t="inlineStr">
        <is>
          <t>17/03/2026</t>
        </is>
      </c>
      <c r="K7770" s="10" t="inlineStr">
        <is>
          <t>N/A</t>
        </is>
      </c>
      <c r="L7770" s="10" t="inlineStr">
        <is>
          <t>Báo Cáo Thuế, Hạch Toán, Đối Chiếu Công Nợ, Quyết Toán Thuế, Báo Cáo Quản Trị</t>
        </is>
      </c>
      <c r="M7770" s="10" t="inlineStr">
        <is>
          <t>Healthcare Plan, Paid Leave, Others</t>
        </is>
      </c>
      <c r="N7770" s="11">
        <f>HYPERLINK("https://www.vietnamworks.com/ke-toan-tong-hop-general-accountant-nghi-thu-7-cn-2019092-jv","Xem chi tiết")</f>
        <v/>
      </c>
      <c r="O7770" s="10" t="n"/>
    </row>
    <row r="7771">
      <c r="B7771" s="7" t="n">
        <v>7769</v>
      </c>
      <c r="C7771" t="inlineStr">
        <is>
          <t>Supplier Quality Engineer (SQE)</t>
        </is>
      </c>
      <c r="D7771" t="inlineStr">
        <is>
          <t>Công Ty Trách Nhiệm Hữu Hạn Công Nghệ Chính Xác Interplex (Hà Nội)</t>
        </is>
      </c>
      <c r="E7771" t="inlineStr">
        <is>
          <t>Thương lượng</t>
        </is>
      </c>
      <c r="F7771" t="inlineStr">
        <is>
          <t>Bắc Ninh</t>
        </is>
      </c>
      <c r="G7771" t="inlineStr">
        <is>
          <t>Nhân viên</t>
        </is>
      </c>
      <c r="H7771" t="inlineStr">
        <is>
          <t>05/03/2026</t>
        </is>
      </c>
      <c r="I7771" t="inlineStr">
        <is>
          <t>04/04/2026</t>
        </is>
      </c>
      <c r="J7771" t="inlineStr">
        <is>
          <t>17/03/2026</t>
        </is>
      </c>
      <c r="K7771" t="inlineStr">
        <is>
          <t>N/A</t>
        </is>
      </c>
      <c r="L7771" t="inlineStr">
        <is>
          <t>6 Sigma, 7 QC Tools, 8D, Mechanical Engineering</t>
        </is>
      </c>
      <c r="M7771" t="inlineStr">
        <is>
          <t>Bonus</t>
        </is>
      </c>
      <c r="N7771" s="8">
        <f>HYPERLINK("https://www.vietnamworks.com/supplier-quality-engineer-sqe-2019084-jv","Xem chi tiết")</f>
        <v/>
      </c>
    </row>
    <row r="7772">
      <c r="B7772" s="9" t="n">
        <v>7770</v>
      </c>
      <c r="C7772" s="10" t="inlineStr">
        <is>
          <t>Soft Tool Designer</t>
        </is>
      </c>
      <c r="D7772" s="10" t="inlineStr">
        <is>
          <t>Công Ty Trách Nhiệm Hữu Hạn Công Nghệ Chính Xác Interplex (Hà Nội)</t>
        </is>
      </c>
      <c r="E7772" s="10" t="inlineStr">
        <is>
          <t>Thương lượng</t>
        </is>
      </c>
      <c r="F7772" s="10" t="inlineStr">
        <is>
          <t>Bắc Ninh</t>
        </is>
      </c>
      <c r="G7772" s="10" t="inlineStr">
        <is>
          <t>Nhân viên</t>
        </is>
      </c>
      <c r="H7772" s="10" t="inlineStr">
        <is>
          <t>05/03/2026</t>
        </is>
      </c>
      <c r="I7772" s="10" t="inlineStr">
        <is>
          <t>04/04/2026</t>
        </is>
      </c>
      <c r="J7772" s="10" t="inlineStr">
        <is>
          <t>17/03/2026</t>
        </is>
      </c>
      <c r="K7772" s="10" t="inlineStr">
        <is>
          <t>N/A</t>
        </is>
      </c>
      <c r="L7772" s="10" t="inlineStr">
        <is>
          <t>3D Modeling, CAD Software, Mechanical Engineering, Stamping Die Design, Tooling Design</t>
        </is>
      </c>
      <c r="M7772" s="10" t="inlineStr">
        <is>
          <t>Bonus</t>
        </is>
      </c>
      <c r="N7772" s="11">
        <f>HYPERLINK("https://www.vietnamworks.com/soft-tool-designer-2019090-jv","Xem chi tiết")</f>
        <v/>
      </c>
      <c r="O7772" s="10" t="n"/>
    </row>
    <row r="7773">
      <c r="B7773" s="7" t="n">
        <v>7771</v>
      </c>
      <c r="C7773" t="inlineStr">
        <is>
          <t>Thư Ký Ban Lãnh Đạo</t>
        </is>
      </c>
      <c r="D7773" t="inlineStr">
        <is>
          <t>Tập Đoàn Vàng Bạc Đá Quý DOJI</t>
        </is>
      </c>
      <c r="E7773" t="inlineStr">
        <is>
          <t>25tr-35tr ₫/tháng</t>
        </is>
      </c>
      <c r="F7773" t="inlineStr">
        <is>
          <t>Hà Nội</t>
        </is>
      </c>
      <c r="G7773" t="inlineStr">
        <is>
          <t>Nhân viên</t>
        </is>
      </c>
      <c r="H7773" t="inlineStr">
        <is>
          <t>05/03/2026</t>
        </is>
      </c>
      <c r="I7773" t="inlineStr">
        <is>
          <t>04/04/2026</t>
        </is>
      </c>
      <c r="J7773" t="inlineStr">
        <is>
          <t>17/03/2026</t>
        </is>
      </c>
      <c r="K7773" t="inlineStr">
        <is>
          <t>N/A</t>
        </is>
      </c>
      <c r="L7773" t="inlineStr">
        <is>
          <t>Excel, Giao Tiếp, Hành Chính, Powerpoint, Word</t>
        </is>
      </c>
      <c r="M7773" t="inlineStr">
        <is>
          <t>Bonus, Healthcare Plan, Team Activities, Canteen</t>
        </is>
      </c>
      <c r="N7773" s="8">
        <f>HYPERLINK("https://www.vietnamworks.com/thu-ky-ban-lanh-djao-2019081-jv","Xem chi tiết")</f>
        <v/>
      </c>
    </row>
    <row r="7774">
      <c r="B7774" s="9" t="n">
        <v>7772</v>
      </c>
      <c r="C7774" s="10" t="inlineStr">
        <is>
          <t>05 Kỹ Sư Kỹ Thuật Công Đoạn (Tiếng Anh) - Không Yêu Cầu Kinh Nghiệm - Nghỉ Thứ 7 và Chủ Nhật, Có Xe Đưa Đón</t>
        </is>
      </c>
      <c r="D7774" s="10" t="inlineStr">
        <is>
          <t>Mektec Manufacturing Corporation (Vietnam) Ltd.</t>
        </is>
      </c>
      <c r="E7774" s="10" t="inlineStr">
        <is>
          <t>$$ 380-540 /tháng</t>
        </is>
      </c>
      <c r="F7774" s="10" t="inlineStr">
        <is>
          <t>Hà Nội, Hải Dương, Hưng Yên</t>
        </is>
      </c>
      <c r="G7774" s="10" t="inlineStr">
        <is>
          <t>Mới Tốt Nghiệp</t>
        </is>
      </c>
      <c r="H7774" s="10" t="inlineStr">
        <is>
          <t>05/03/2026</t>
        </is>
      </c>
      <c r="I7774" s="10" t="inlineStr">
        <is>
          <t>04/04/2026</t>
        </is>
      </c>
      <c r="J7774" s="10" t="inlineStr">
        <is>
          <t>17/03/2026</t>
        </is>
      </c>
      <c r="K7774" s="10" t="inlineStr">
        <is>
          <t>N/A</t>
        </is>
      </c>
      <c r="L7774" s="10" t="inlineStr">
        <is>
          <t>Assembly Process, Process Manufacturing, SMT Engineering, English, Electronics Engineering Technology</t>
        </is>
      </c>
      <c r="M7774" s="10" t="inlineStr">
        <is>
          <t>Bonus</t>
        </is>
      </c>
      <c r="N7774" s="11">
        <f>HYPERLINK("https://www.vietnamworks.com/05-ky-su-ky-thuat-cong-doan-tieng-anh-khong-yeu-cau-kinh-nghiem-nghi-thu-7-va-chu-nhat-co-xe-dua-don-2019091-jv","Xem chi tiết")</f>
        <v/>
      </c>
      <c r="O7774" s="10" t="n"/>
    </row>
    <row r="7775">
      <c r="B7775" s="7" t="n">
        <v>7773</v>
      </c>
      <c r="C7775" t="inlineStr">
        <is>
          <t>Head of Compliance &amp; Member of Internal Control</t>
        </is>
      </c>
      <c r="D7775" t="inlineStr">
        <is>
          <t>UOB Asset Management (Vietnam)</t>
        </is>
      </c>
      <c r="E7775" t="inlineStr">
        <is>
          <t>Thương lượng</t>
        </is>
      </c>
      <c r="F7775" t="inlineStr">
        <is>
          <t>Hồ Chí Minh</t>
        </is>
      </c>
      <c r="G7775" t="inlineStr">
        <is>
          <t>Nhân viên</t>
        </is>
      </c>
      <c r="H7775" t="inlineStr">
        <is>
          <t>05/03/2026</t>
        </is>
      </c>
      <c r="I7775" t="inlineStr">
        <is>
          <t>04/04/2026</t>
        </is>
      </c>
      <c r="J7775" t="inlineStr">
        <is>
          <t>17/03/2026</t>
        </is>
      </c>
      <c r="K7775" t="inlineStr">
        <is>
          <t>N/A</t>
        </is>
      </c>
      <c r="L7775" t="inlineStr">
        <is>
          <t>Audit, Legal, Asset Management, Banking, Regulatory Compliance</t>
        </is>
      </c>
      <c r="M7775" t="inlineStr">
        <is>
          <t>Bonus, Healthcare Plan, Training</t>
        </is>
      </c>
      <c r="N7775" s="8">
        <f>HYPERLINK("https://www.vietnamworks.com/head-of-compliance-member-of-internal-control-2019079-jv","Xem chi tiết")</f>
        <v/>
      </c>
    </row>
    <row r="7776">
      <c r="B7776" s="9" t="n">
        <v>7774</v>
      </c>
      <c r="C7776" s="10" t="inlineStr">
        <is>
          <t>Hà Nội - Chuyên Viên Đào Tạo, Giảng Dạy (Training Specialist)</t>
        </is>
      </c>
      <c r="D7776" s="10" t="inlineStr">
        <is>
          <t>GSM</t>
        </is>
      </c>
      <c r="E7776" s="10" t="inlineStr">
        <is>
          <t>Thương lượng</t>
        </is>
      </c>
      <c r="F7776" s="10" t="inlineStr">
        <is>
          <t>Hà Nội</t>
        </is>
      </c>
      <c r="G7776" s="10" t="inlineStr">
        <is>
          <t>Nhân viên</t>
        </is>
      </c>
      <c r="H7776" s="10" t="inlineStr">
        <is>
          <t>05/03/2026</t>
        </is>
      </c>
      <c r="I7776" s="10" t="inlineStr">
        <is>
          <t>04/04/2026</t>
        </is>
      </c>
      <c r="J7776" s="10" t="inlineStr">
        <is>
          <t>17/03/2026</t>
        </is>
      </c>
      <c r="K7776" s="10" t="inlineStr">
        <is>
          <t>N/A</t>
        </is>
      </c>
      <c r="L7776" s="10" t="inlineStr">
        <is>
          <t>Quản Trị Nhân Sự, Training, Giảng dạy &amp; Huấn luyện, Dịch vụ vận chuyển, Vận Tải</t>
        </is>
      </c>
      <c r="M7776" s="10" t="inlineStr">
        <is>
          <t>Bonus, Healthcare Plan, Training</t>
        </is>
      </c>
      <c r="N7776" s="11">
        <f>HYPERLINK("https://www.vietnamworks.com/ha-noi-chuyen-vien-dao-tao-giang-day-training-specialist-2019089-jv","Xem chi tiết")</f>
        <v/>
      </c>
      <c r="O7776" s="10" t="n"/>
    </row>
    <row r="7777">
      <c r="B7777" s="7" t="n">
        <v>7775</v>
      </c>
      <c r="C7777" t="inlineStr">
        <is>
          <t>Kỹ Sư R&amp;D</t>
        </is>
      </c>
      <c r="D7777" t="inlineStr">
        <is>
          <t>Công Ty TNHH Công Nghệ Shunyun (Hà Nội, Việt Nam)</t>
        </is>
      </c>
      <c r="E7777" t="inlineStr">
        <is>
          <t>Thương lượng</t>
        </is>
      </c>
      <c r="F7777" t="inlineStr">
        <is>
          <t>Bắc Ninh</t>
        </is>
      </c>
      <c r="G7777" t="inlineStr">
        <is>
          <t>Nhân viên</t>
        </is>
      </c>
      <c r="H7777" t="inlineStr">
        <is>
          <t>05/03/2026</t>
        </is>
      </c>
      <c r="I7777" t="inlineStr">
        <is>
          <t>04/04/2026</t>
        </is>
      </c>
      <c r="J7777" t="inlineStr">
        <is>
          <t>17/03/2026</t>
        </is>
      </c>
      <c r="K7777" t="inlineStr">
        <is>
          <t>N/A</t>
        </is>
      </c>
      <c r="L7777" t="inlineStr">
        <is>
          <t>Kiểm Thử Sản Phẩm, Kỹ Thuật, Nghiên Cứu Sản Phẩm, Phát Triển Sản Phẩm, SOP Development</t>
        </is>
      </c>
      <c r="M7777" t="inlineStr">
        <is>
          <t>Bonus, Paid Leave, Transportation</t>
        </is>
      </c>
      <c r="N7777" s="8">
        <f>HYPERLINK("https://www.vietnamworks.com/ky-su-randd-2019097-jv","Xem chi tiết")</f>
        <v/>
      </c>
    </row>
    <row r="7778">
      <c r="B7778" s="9" t="n">
        <v>7776</v>
      </c>
      <c r="C7778" s="10" t="inlineStr">
        <is>
          <t>Cán Bộ Nguồn Ban Điều Hành - Quản Trị Doanh Nghiệp</t>
        </is>
      </c>
      <c r="D7778" s="10" t="inlineStr">
        <is>
          <t>Công ty Cổ phần Vinhomes</t>
        </is>
      </c>
      <c r="E7778" s="10" t="inlineStr">
        <is>
          <t>Thương lượng</t>
        </is>
      </c>
      <c r="F7778" s="10" t="inlineStr">
        <is>
          <t>Hà Nội</t>
        </is>
      </c>
      <c r="G7778" s="10" t="inlineStr">
        <is>
          <t>Giám Đốc và Cấp Cao Hơn</t>
        </is>
      </c>
      <c r="H7778" s="10" t="inlineStr">
        <is>
          <t>05/03/2026</t>
        </is>
      </c>
      <c r="I7778" s="10" t="inlineStr">
        <is>
          <t>04/04/2026</t>
        </is>
      </c>
      <c r="J7778" s="10" t="inlineStr">
        <is>
          <t>17/03/2026</t>
        </is>
      </c>
      <c r="K7778" s="10" t="inlineStr">
        <is>
          <t>N/A</t>
        </is>
      </c>
      <c r="L7778" s="10" t="inlineStr">
        <is>
          <t>Giao Tiếp Tiếng Anh, Property Management, Bất Động Sản Thương Mại, Quản Lý Vận Hành Tòa Nhà</t>
        </is>
      </c>
      <c r="M7778" s="10" t="inlineStr">
        <is>
          <t>Bonus, Healthcare Plan, Training</t>
        </is>
      </c>
      <c r="N7778" s="11">
        <f>HYPERLINK("https://www.vietnamworks.com/can-bo-nguon-ban-dieu-hanh-quan-tri-doanh-nghiep-2019103-jv","Xem chi tiết")</f>
        <v/>
      </c>
      <c r="O7778" s="10" t="n"/>
    </row>
    <row r="7779">
      <c r="B7779" s="7" t="n">
        <v>7777</v>
      </c>
      <c r="C7779" t="inlineStr">
        <is>
          <t>Senior Internal Auditor (Fraud Risk)</t>
        </is>
      </c>
      <c r="D7779" t="inlineStr">
        <is>
          <t>Công Ty TNHH Onpoint</t>
        </is>
      </c>
      <c r="E7779" t="inlineStr">
        <is>
          <t>Thương lượng</t>
        </is>
      </c>
      <c r="F7779" t="inlineStr">
        <is>
          <t>Hồ Chí Minh</t>
        </is>
      </c>
      <c r="G7779" t="inlineStr">
        <is>
          <t>Nhân viên</t>
        </is>
      </c>
      <c r="H7779" t="inlineStr">
        <is>
          <t>05/03/2026</t>
        </is>
      </c>
      <c r="I7779" t="inlineStr">
        <is>
          <t>04/04/2026</t>
        </is>
      </c>
      <c r="J7779" t="inlineStr">
        <is>
          <t>17/03/2026</t>
        </is>
      </c>
      <c r="K7779" t="inlineStr">
        <is>
          <t>N/A</t>
        </is>
      </c>
      <c r="L7779" t="inlineStr">
        <is>
          <t>Internal Audit, Risk Management, Analytical Thinking, Communication, Collaboration</t>
        </is>
      </c>
      <c r="M7779" t="inlineStr">
        <is>
          <t>Bonus, Healthcare Plan, Paid Leave, Laptop, Others</t>
        </is>
      </c>
      <c r="N7779" s="8">
        <f>HYPERLINK("https://www.vietnamworks.com/senior-internal-auditor-fraud-risk-2019100-jv","Xem chi tiết")</f>
        <v/>
      </c>
    </row>
    <row r="7780">
      <c r="B7780" s="9" t="n">
        <v>7778</v>
      </c>
      <c r="C7780" s="10" t="inlineStr">
        <is>
          <t>Cán Bộ Nguồn Ban Điều Hành (Mảng Kinh Doanh Marketing)</t>
        </is>
      </c>
      <c r="D7780" s="10" t="inlineStr">
        <is>
          <t>Công ty Cổ phần Vinhomes</t>
        </is>
      </c>
      <c r="E7780" s="10" t="inlineStr">
        <is>
          <t>Thương lượng</t>
        </is>
      </c>
      <c r="F7780" s="10" t="inlineStr">
        <is>
          <t>Hà Nội</t>
        </is>
      </c>
      <c r="G7780" s="10" t="inlineStr">
        <is>
          <t>Giám Đốc và Cấp Cao Hơn</t>
        </is>
      </c>
      <c r="H7780" s="10" t="inlineStr">
        <is>
          <t>05/03/2026</t>
        </is>
      </c>
      <c r="I7780" s="10" t="inlineStr">
        <is>
          <t>04/04/2026</t>
        </is>
      </c>
      <c r="J7780" s="10" t="inlineStr">
        <is>
          <t>17/03/2026</t>
        </is>
      </c>
      <c r="K7780" s="10" t="inlineStr">
        <is>
          <t>N/A</t>
        </is>
      </c>
      <c r="L7780" s="10" t="inlineStr">
        <is>
          <t>Giao Tiếp Tiếng Anh, Property Management, Bất Động Sản Thương Mại, Quản Lý Vận Hành Tòa Nhà</t>
        </is>
      </c>
      <c r="M7780" s="10" t="inlineStr">
        <is>
          <t>Bonus, Healthcare Plan, Training</t>
        </is>
      </c>
      <c r="N7780" s="11">
        <f>HYPERLINK("https://www.vietnamworks.com/can-bo-nguon-ban-dieu-hanh-mang-kinh-doanh-marketing-2019105-jv","Xem chi tiết")</f>
        <v/>
      </c>
      <c r="O7780" s="10" t="n"/>
    </row>
    <row r="7781">
      <c r="B7781" s="7" t="n">
        <v>7779</v>
      </c>
      <c r="C7781" t="inlineStr">
        <is>
          <t>[Viettel Asset] - Kỹ Sư Quản Lý Kỹ Thuật Cơ Điện Tòa Nhà</t>
        </is>
      </c>
      <c r="D7781" t="inlineStr">
        <is>
          <t>Tập Đoàn Công Nghiệp - Viễn Thông Quân Đội - Công Ty Quản Lý Tài Sản Viettel</t>
        </is>
      </c>
      <c r="E7781" t="inlineStr">
        <is>
          <t>$$ 700-1,200 /tháng</t>
        </is>
      </c>
      <c r="F7781" t="inlineStr">
        <is>
          <t>Hà Nội</t>
        </is>
      </c>
      <c r="G7781" t="inlineStr">
        <is>
          <t>Nhân viên</t>
        </is>
      </c>
      <c r="H7781" t="inlineStr">
        <is>
          <t>05/03/2026</t>
        </is>
      </c>
      <c r="I7781" t="inlineStr">
        <is>
          <t>04/04/2026</t>
        </is>
      </c>
      <c r="J7781" t="inlineStr">
        <is>
          <t>17/03/2026</t>
        </is>
      </c>
      <c r="K7781" t="inlineStr">
        <is>
          <t>N/A</t>
        </is>
      </c>
      <c r="L7781" t="inlineStr">
        <is>
          <t>Quản Lý Vận Hành Tòa Nhà, Cơ Điện Tòa Nhà, Điều Hành Tòa Nhà, Quản Lý Toà Nhà</t>
        </is>
      </c>
      <c r="M7781" t="inlineStr">
        <is>
          <t>Bonus, Healthcare Plan, Travel Opportunities</t>
        </is>
      </c>
      <c r="N7781" s="8">
        <f>HYPERLINK("https://www.vietnamworks.com/viettel-asset-ky-su-quan-ly-ky-thuat-co-dien-toa-nha-2019115-jv","Xem chi tiết")</f>
        <v/>
      </c>
    </row>
    <row r="7782">
      <c r="B7782" s="9" t="n">
        <v>7780</v>
      </c>
      <c r="C7782" s="10" t="inlineStr">
        <is>
          <t>Expert Customer Experience</t>
        </is>
      </c>
      <c r="D7782" s="10" t="inlineStr">
        <is>
          <t>Công Ty Cổ Phần Tập Đoàn Masterise</t>
        </is>
      </c>
      <c r="E7782" s="10" t="inlineStr">
        <is>
          <t>Thương lượng</t>
        </is>
      </c>
      <c r="F7782" s="10" t="inlineStr">
        <is>
          <t>Hà Nội</t>
        </is>
      </c>
      <c r="G7782" s="10" t="inlineStr">
        <is>
          <t>Nhân viên</t>
        </is>
      </c>
      <c r="H7782" s="10" t="inlineStr">
        <is>
          <t>05/03/2026</t>
        </is>
      </c>
      <c r="I7782" s="10" t="inlineStr">
        <is>
          <t>04/04/2026</t>
        </is>
      </c>
      <c r="J7782" s="10" t="inlineStr">
        <is>
          <t>17/03/2026</t>
        </is>
      </c>
      <c r="K7782" s="10" t="inlineStr">
        <is>
          <t>N/A</t>
        </is>
      </c>
      <c r="L7782" s="10" t="inlineStr">
        <is>
          <t>C&amp;B, English, HRSS, ISO Record Keeping, Leadership</t>
        </is>
      </c>
      <c r="M7782" s="10" t="inlineStr">
        <is>
          <t>Bonus, Healthcare Plan, Laptop</t>
        </is>
      </c>
      <c r="N7782" s="11">
        <f>HYPERLINK("https://www.vietnamworks.com/expert-customer-experience-2019110-jv","Xem chi tiết")</f>
        <v/>
      </c>
      <c r="O7782" s="10" t="n"/>
    </row>
    <row r="7783">
      <c r="B7783" s="7" t="n">
        <v>7781</v>
      </c>
      <c r="C7783" t="inlineStr">
        <is>
          <t>Pricing Manager | Attractive Salary + Leadership Opportunity in Logistics</t>
        </is>
      </c>
      <c r="D7783" t="inlineStr">
        <is>
          <t>CÔNG TY CỔ PHẦN TỐC ĐỘ (Headway JSC)</t>
        </is>
      </c>
      <c r="E7783" t="inlineStr">
        <is>
          <t>Thương lượng</t>
        </is>
      </c>
      <c r="F7783" t="inlineStr">
        <is>
          <t>Hồ Chí Minh</t>
        </is>
      </c>
      <c r="G7783" t="inlineStr">
        <is>
          <t>Trưởng phòng</t>
        </is>
      </c>
      <c r="H7783" t="inlineStr">
        <is>
          <t>05/03/2026</t>
        </is>
      </c>
      <c r="I7783" t="inlineStr">
        <is>
          <t>04/04/2026</t>
        </is>
      </c>
      <c r="J7783" t="inlineStr">
        <is>
          <t>17/03/2026</t>
        </is>
      </c>
      <c r="K7783" t="inlineStr">
        <is>
          <t>N/A</t>
        </is>
      </c>
      <c r="L7783" t="inlineStr">
        <is>
          <t>Logistics, Product Pricing, Giá Thành, Forwarding, Price Control</t>
        </is>
      </c>
      <c r="M7783" t="inlineStr">
        <is>
          <t>Bonus, Healthcare Plan, Travel Opportunities</t>
        </is>
      </c>
      <c r="N7783" s="8">
        <f>HYPERLINK("https://www.vietnamworks.com/pricing-manager-attractive-salary-leadership-opportunity-in-logistics--2019131-jv","Xem chi tiết")</f>
        <v/>
      </c>
    </row>
    <row r="7784">
      <c r="B7784" s="9" t="n">
        <v>7782</v>
      </c>
      <c r="C7784" s="10" t="inlineStr">
        <is>
          <t>Customer Service Staff (Air Freight) (Up to 16M Vnd/month) Immediate Availability Preferred</t>
        </is>
      </c>
      <c r="D7784" s="10" t="inlineStr">
        <is>
          <t>Công Ty TNHH Extrans Việt Nam</t>
        </is>
      </c>
      <c r="E7784" s="10" t="inlineStr">
        <is>
          <t>$$ 500-700 /tháng</t>
        </is>
      </c>
      <c r="F7784" s="10" t="inlineStr">
        <is>
          <t>Hà Nội</t>
        </is>
      </c>
      <c r="G7784" s="10" t="inlineStr">
        <is>
          <t>Nhân viên</t>
        </is>
      </c>
      <c r="H7784" s="10" t="inlineStr">
        <is>
          <t>05/03/2026</t>
        </is>
      </c>
      <c r="I7784" s="10" t="inlineStr">
        <is>
          <t>04/04/2026</t>
        </is>
      </c>
      <c r="J7784" s="10" t="inlineStr">
        <is>
          <t>17/03/2026</t>
        </is>
      </c>
      <c r="K7784" s="10" t="inlineStr">
        <is>
          <t>N/A</t>
        </is>
      </c>
      <c r="L7784" s="10" t="inlineStr">
        <is>
          <t>Customer Process, Import-Export Documents, Shipping Management, Import-Export, Customs Clearance</t>
        </is>
      </c>
      <c r="M7784" s="10" t="inlineStr">
        <is>
          <t>Bonus, Healthcare Plan, Others</t>
        </is>
      </c>
      <c r="N7784" s="11">
        <f>HYPERLINK("https://www.vietnamworks.com/customer-service-staff-air-freight-up-to-16m-vnd-month-immediate-availability-preferred--2019129-jv","Xem chi tiết")</f>
        <v/>
      </c>
      <c r="O7784" s="10" t="n"/>
    </row>
    <row r="7785">
      <c r="B7785" s="7" t="n">
        <v>7783</v>
      </c>
      <c r="C7785" t="inlineStr">
        <is>
          <t>Kỹ Sư Kinh Doanh (Sales Engineer) - Lương Cứng 15-25 Triệu + Hoa Hồng</t>
        </is>
      </c>
      <c r="D7785" t="inlineStr">
        <is>
          <t>Công Ty Cổ Phần Quốc Tế Thăng Long P&amp;t</t>
        </is>
      </c>
      <c r="E7785" t="inlineStr">
        <is>
          <t>$$ 700-1,000 /tháng</t>
        </is>
      </c>
      <c r="F7785" t="inlineStr">
        <is>
          <t>Hà Nội, Đà Nẵng, Hồ Chí Minh</t>
        </is>
      </c>
      <c r="G7785" t="inlineStr">
        <is>
          <t>Nhân viên</t>
        </is>
      </c>
      <c r="H7785" t="inlineStr">
        <is>
          <t>05/03/2026</t>
        </is>
      </c>
      <c r="I7785" t="inlineStr">
        <is>
          <t>04/04/2026</t>
        </is>
      </c>
      <c r="J7785" t="inlineStr">
        <is>
          <t>17/03/2026</t>
        </is>
      </c>
      <c r="K7785" t="inlineStr">
        <is>
          <t>N/A</t>
        </is>
      </c>
      <c r="L7785" t="inlineStr">
        <is>
          <t>Bán Hàng Kỹ Thuật, Đàm Phán Hợp Đồng, Giao Tiếp Hiệu Quả, Kỹ Năng Chốt Sale</t>
        </is>
      </c>
      <c r="M7785" t="inlineStr">
        <is>
          <t>Bonus, Training, Team Activities</t>
        </is>
      </c>
      <c r="N7785" s="8">
        <f>HYPERLINK("https://www.vietnamworks.com/ky-su-kinh-doanh-sales-engineer-luong-cung-15-25-trieu-hoa-hong--2019120-jv","Xem chi tiết")</f>
        <v/>
      </c>
    </row>
    <row r="7786">
      <c r="B7786" s="9" t="n">
        <v>7784</v>
      </c>
      <c r="C7786" s="10" t="inlineStr">
        <is>
          <t>Senior Specialist, HRSS</t>
        </is>
      </c>
      <c r="D7786" s="10" t="inlineStr">
        <is>
          <t>Công Ty Cổ Phần Tập Đoàn Masterise</t>
        </is>
      </c>
      <c r="E7786" s="10" t="inlineStr">
        <is>
          <t>Thương lượng</t>
        </is>
      </c>
      <c r="F7786" s="10" t="inlineStr">
        <is>
          <t>Hồ Chí Minh</t>
        </is>
      </c>
      <c r="G7786" s="10" t="inlineStr">
        <is>
          <t>Nhân viên</t>
        </is>
      </c>
      <c r="H7786" s="10" t="inlineStr">
        <is>
          <t>05/03/2026</t>
        </is>
      </c>
      <c r="I7786" s="10" t="inlineStr">
        <is>
          <t>04/04/2026</t>
        </is>
      </c>
      <c r="J7786" s="10" t="inlineStr">
        <is>
          <t>17/03/2026</t>
        </is>
      </c>
      <c r="K7786" s="10" t="inlineStr">
        <is>
          <t>N/A</t>
        </is>
      </c>
      <c r="L7786" s="10" t="inlineStr">
        <is>
          <t>C&amp;B, English, HRSS, ISO Record Keeping</t>
        </is>
      </c>
      <c r="M7786" s="10" t="inlineStr">
        <is>
          <t>Bonus, Healthcare Plan, Laptop</t>
        </is>
      </c>
      <c r="N7786" s="11">
        <f>HYPERLINK("https://www.vietnamworks.com/senior-specialist-hrss-2019108-jv","Xem chi tiết")</f>
        <v/>
      </c>
      <c r="O7786" s="10" t="n"/>
    </row>
    <row r="7787">
      <c r="B7787" s="7" t="n">
        <v>7785</v>
      </c>
      <c r="C7787" t="inlineStr">
        <is>
          <t>Expert, Digital &amp; Media</t>
        </is>
      </c>
      <c r="D7787" t="inlineStr">
        <is>
          <t>Công Ty Cổ Phần Tập Đoàn Masterise</t>
        </is>
      </c>
      <c r="E7787" t="inlineStr">
        <is>
          <t>Thương lượng</t>
        </is>
      </c>
      <c r="F7787" t="inlineStr">
        <is>
          <t>Hà Nội</t>
        </is>
      </c>
      <c r="G7787" t="inlineStr">
        <is>
          <t>Nhân viên</t>
        </is>
      </c>
      <c r="H7787" t="inlineStr">
        <is>
          <t>05/03/2026</t>
        </is>
      </c>
      <c r="I7787" t="inlineStr">
        <is>
          <t>04/04/2026</t>
        </is>
      </c>
      <c r="J7787" t="inlineStr">
        <is>
          <t>17/03/2026</t>
        </is>
      </c>
      <c r="K7787" t="inlineStr">
        <is>
          <t>N/A</t>
        </is>
      </c>
      <c r="L7787" t="inlineStr">
        <is>
          <t>Analytical Skills, Digital Media, Organizational skills, People Management, Planning Skills</t>
        </is>
      </c>
      <c r="M7787" t="inlineStr">
        <is>
          <t>Bonus, Healthcare Plan, Laptop</t>
        </is>
      </c>
      <c r="N7787" s="8">
        <f>HYPERLINK("https://www.vietnamworks.com/expert-digital-and-media-2019118-jv","Xem chi tiết")</f>
        <v/>
      </c>
    </row>
    <row r="7788">
      <c r="B7788" s="9" t="n">
        <v>7786</v>
      </c>
      <c r="C7788" s="10" t="inlineStr">
        <is>
          <t>Production Engineer</t>
        </is>
      </c>
      <c r="D7788" s="10" t="inlineStr">
        <is>
          <t>Công Ty Trách Nhiệm Hữu Hạn Công Nghệ Chính Xác Interplex (Hà Nội)</t>
        </is>
      </c>
      <c r="E7788" s="10" t="inlineStr">
        <is>
          <t>Thương lượng</t>
        </is>
      </c>
      <c r="F7788" s="10" t="inlineStr">
        <is>
          <t>Bắc Ninh</t>
        </is>
      </c>
      <c r="G7788" s="10" t="inlineStr">
        <is>
          <t>Nhân viên</t>
        </is>
      </c>
      <c r="H7788" s="10" t="inlineStr">
        <is>
          <t>05/03/2026</t>
        </is>
      </c>
      <c r="I7788" s="10" t="inlineStr">
        <is>
          <t>04/04/2026</t>
        </is>
      </c>
      <c r="J7788" s="10" t="inlineStr">
        <is>
          <t>17/03/2026</t>
        </is>
      </c>
      <c r="K7788" s="10" t="inlineStr">
        <is>
          <t>N/A</t>
        </is>
      </c>
      <c r="L7788" s="10" t="inlineStr">
        <is>
          <t>CAD Software, Manufacturing</t>
        </is>
      </c>
      <c r="M7788" s="10" t="inlineStr">
        <is>
          <t>Bonus</t>
        </is>
      </c>
      <c r="N7788" s="11">
        <f>HYPERLINK("https://www.vietnamworks.com/production-engineer-2019098-jv","Xem chi tiết")</f>
        <v/>
      </c>
      <c r="O7788" s="10" t="n"/>
    </row>
    <row r="7789">
      <c r="B7789" s="7" t="n">
        <v>7787</v>
      </c>
      <c r="C7789" t="inlineStr">
        <is>
          <t>Chuyên Viên Kinh Doanh Logistic - Delivery</t>
        </is>
      </c>
      <c r="D7789" t="inlineStr">
        <is>
          <t>GSM</t>
        </is>
      </c>
      <c r="E7789" t="inlineStr">
        <is>
          <t>$$ 800-1,000 /tháng</t>
        </is>
      </c>
      <c r="F7789" t="inlineStr">
        <is>
          <t>Hồ Chí Minh</t>
        </is>
      </c>
      <c r="G7789" t="inlineStr">
        <is>
          <t>Nhân viên</t>
        </is>
      </c>
      <c r="H7789" t="inlineStr">
        <is>
          <t>05/03/2026</t>
        </is>
      </c>
      <c r="I7789" t="inlineStr">
        <is>
          <t>04/04/2026</t>
        </is>
      </c>
      <c r="J7789" t="inlineStr">
        <is>
          <t>17/03/2026</t>
        </is>
      </c>
      <c r="K7789" t="inlineStr">
        <is>
          <t>N/A</t>
        </is>
      </c>
      <c r="L7789" t="inlineStr">
        <is>
          <t>Kinh Doanh, Ô Tô Điện, Marketing, Logistic</t>
        </is>
      </c>
      <c r="M7789" t="inlineStr">
        <is>
          <t>Bonus, Healthcare Plan, Training</t>
        </is>
      </c>
      <c r="N7789" s="8">
        <f>HYPERLINK("https://www.vietnamworks.com/chuyen-vien-kinh-doanh-logistic-delivery-2019112-jv","Xem chi tiết")</f>
        <v/>
      </c>
    </row>
    <row r="7790">
      <c r="B7790" s="9" t="n">
        <v>7788</v>
      </c>
      <c r="C7790" s="10" t="inlineStr">
        <is>
          <t>Phó Trưởng Phòng Tài Chính</t>
        </is>
      </c>
      <c r="D7790" s="10" t="inlineStr">
        <is>
          <t>Công Ty Cổ Phần Đầu Tư Thiên Ân</t>
        </is>
      </c>
      <c r="E7790" s="10" t="inlineStr">
        <is>
          <t>Tới 30tr ₫/tháng</t>
        </is>
      </c>
      <c r="F7790" s="10" t="inlineStr">
        <is>
          <t>Hà Nội</t>
        </is>
      </c>
      <c r="G7790" s="10" t="inlineStr">
        <is>
          <t>Trưởng phòng</t>
        </is>
      </c>
      <c r="H7790" s="10" t="inlineStr">
        <is>
          <t>05/03/2026</t>
        </is>
      </c>
      <c r="I7790" s="10" t="inlineStr">
        <is>
          <t>04/04/2026</t>
        </is>
      </c>
      <c r="J7790" s="10" t="inlineStr">
        <is>
          <t>17/03/2026</t>
        </is>
      </c>
      <c r="K7790" s="10" t="inlineStr">
        <is>
          <t>N/A</t>
        </is>
      </c>
      <c r="L7790" s="10" t="inlineStr">
        <is>
          <t>Tài Chính, Kế Toán, ngân hàng, Kế Toán Xây Dựng, Tài Chính Kế Toán</t>
        </is>
      </c>
      <c r="M7790" s="10" t="inlineStr">
        <is>
          <t>Bonus, Healthcare Plan, Paid Leave, Training, Awards, Team Activities, Others</t>
        </is>
      </c>
      <c r="N7790" s="11">
        <f>HYPERLINK("https://www.vietnamworks.com/pho-truong-phong-tai-chinh-2019126-jv","Xem chi tiết")</f>
        <v/>
      </c>
      <c r="O7790" s="10" t="n"/>
    </row>
    <row r="7791">
      <c r="B7791" s="7" t="n">
        <v>7789</v>
      </c>
      <c r="C7791" t="inlineStr">
        <is>
          <t>Customs Broker (Nhân Viên Khai Báo Hải Quan)</t>
        </is>
      </c>
      <c r="D7791" t="inlineStr">
        <is>
          <t>Công Ty TNHH CEVA Logistics (Việt Nam)</t>
        </is>
      </c>
      <c r="E7791" t="inlineStr">
        <is>
          <t>Thương lượng</t>
        </is>
      </c>
      <c r="F7791" t="inlineStr">
        <is>
          <t>Hồ Chí Minh, Hà Nội</t>
        </is>
      </c>
      <c r="G7791" t="inlineStr">
        <is>
          <t>Nhân viên</t>
        </is>
      </c>
      <c r="H7791" t="inlineStr">
        <is>
          <t>05/03/2026</t>
        </is>
      </c>
      <c r="I7791" t="inlineStr">
        <is>
          <t>04/04/2026</t>
        </is>
      </c>
      <c r="J7791" t="inlineStr">
        <is>
          <t>17/03/2026</t>
        </is>
      </c>
      <c r="K7791" t="inlineStr">
        <is>
          <t>N/A</t>
        </is>
      </c>
      <c r="L7791" t="inlineStr">
        <is>
          <t>Customs Declare, Tariff Classification, Customs Compliance, Communication Skills, English Language Proficiency</t>
        </is>
      </c>
      <c r="M7791" t="inlineStr">
        <is>
          <t>Bonus, Healthcare Plan, Team Activities</t>
        </is>
      </c>
      <c r="N7791" s="8">
        <f>HYPERLINK("https://www.vietnamworks.com/customs-broker-nhan-vien-khai-bao-hai-quan--2019117-jv","Xem chi tiết")</f>
        <v/>
      </c>
    </row>
    <row r="7792">
      <c r="B7792" s="9" t="n">
        <v>7790</v>
      </c>
      <c r="C7792" s="10" t="inlineStr">
        <is>
          <t>[Viettel Asset] - Giám Đốc Ban Quản Lý Tòa Nhà/Property Manager</t>
        </is>
      </c>
      <c r="D7792" s="10" t="inlineStr">
        <is>
          <t>Tập Đoàn Công Nghiệp - Viễn Thông Quân Đội - Công Ty Quản Lý Tài Sản Viettel</t>
        </is>
      </c>
      <c r="E7792" s="10" t="inlineStr">
        <is>
          <t>$$ 900-1,500 /tháng</t>
        </is>
      </c>
      <c r="F7792" s="10" t="inlineStr">
        <is>
          <t>Hà Nội</t>
        </is>
      </c>
      <c r="G7792" s="10" t="inlineStr">
        <is>
          <t>Trưởng phòng</t>
        </is>
      </c>
      <c r="H7792" s="10" t="inlineStr">
        <is>
          <t>05/03/2026</t>
        </is>
      </c>
      <c r="I7792" s="10" t="inlineStr">
        <is>
          <t>04/04/2026</t>
        </is>
      </c>
      <c r="J7792" s="10" t="inlineStr">
        <is>
          <t>17/03/2026</t>
        </is>
      </c>
      <c r="K7792" s="10" t="inlineStr">
        <is>
          <t>N/A</t>
        </is>
      </c>
      <c r="L7792" s="10" t="inlineStr">
        <is>
          <t>Quản Lý Kỹ Thuật, Quản Lý Nhân Sự, Quản Lý Tài Chính, Quản Lý Vận Hành, Quản Trị Khách Hàng</t>
        </is>
      </c>
      <c r="M7792" s="10" t="inlineStr">
        <is>
          <t>Bonus</t>
        </is>
      </c>
      <c r="N7792" s="11">
        <f>HYPERLINK("https://www.vietnamworks.com/viettel-asset-giam-djoc-ban-quan-ly-toa-nhaproperty-manager-2019122-jv","Xem chi tiết")</f>
        <v/>
      </c>
      <c r="O7792" s="10" t="n"/>
    </row>
    <row r="7793">
      <c r="B7793" s="7" t="n">
        <v>7791</v>
      </c>
      <c r="C7793" t="inlineStr">
        <is>
          <t>Marketing Director [Upto 5000$]</t>
        </is>
      </c>
      <c r="D7793" t="inlineStr">
        <is>
          <t>Tập Đoàn APEC (APEC GROUP)</t>
        </is>
      </c>
      <c r="E7793" t="inlineStr">
        <is>
          <t>Thương lượng</t>
        </is>
      </c>
      <c r="F7793" t="inlineStr">
        <is>
          <t>Hà Nội</t>
        </is>
      </c>
      <c r="G7793" t="inlineStr">
        <is>
          <t>Giám Đốc và Cấp Cao Hơn</t>
        </is>
      </c>
      <c r="H7793" t="inlineStr">
        <is>
          <t>05/03/2026</t>
        </is>
      </c>
      <c r="I7793" t="inlineStr">
        <is>
          <t>04/04/2026</t>
        </is>
      </c>
      <c r="J7793" t="inlineStr">
        <is>
          <t>17/03/2026</t>
        </is>
      </c>
      <c r="K7793" t="inlineStr">
        <is>
          <t>N/A</t>
        </is>
      </c>
      <c r="L7793" t="inlineStr">
        <is>
          <t>Marketing, Branding Management, Digital Product Transformation, Real Estale Marketing, Real Estate Market Knowledge</t>
        </is>
      </c>
      <c r="M7793" t="inlineStr">
        <is>
          <t>Bonus, Travel Opportunities, Others</t>
        </is>
      </c>
      <c r="N7793" s="8">
        <f>HYPERLINK("https://www.vietnamworks.com/marketing-director-upto-5000-2019106-jv","Xem chi tiết")</f>
        <v/>
      </c>
    </row>
    <row r="7794">
      <c r="B7794" s="9" t="n">
        <v>7792</v>
      </c>
      <c r="C7794" s="10" t="inlineStr">
        <is>
          <t>Chuyên Viên Quản Lý Xây Dựng</t>
        </is>
      </c>
      <c r="D7794" s="10" t="inlineStr">
        <is>
          <t>Công Ty Cổ Phần Dược Phẩm Vĩnh Phúc</t>
        </is>
      </c>
      <c r="E7794" s="10" t="inlineStr">
        <is>
          <t>Thương lượng</t>
        </is>
      </c>
      <c r="F7794" s="10" t="inlineStr">
        <is>
          <t>Hà Nội</t>
        </is>
      </c>
      <c r="G7794" s="10" t="inlineStr">
        <is>
          <t>Nhân viên</t>
        </is>
      </c>
      <c r="H7794" s="10" t="inlineStr">
        <is>
          <t>05/03/2026</t>
        </is>
      </c>
      <c r="I7794" s="10" t="inlineStr">
        <is>
          <t>04/04/2026</t>
        </is>
      </c>
      <c r="J7794" s="10" t="inlineStr">
        <is>
          <t>17/03/2026</t>
        </is>
      </c>
      <c r="K7794" s="10" t="inlineStr">
        <is>
          <t>N/A</t>
        </is>
      </c>
      <c r="L7794" s="10" t="inlineStr">
        <is>
          <t>Giám Sát Thi Công, AutoCAD, Xây Dựng Dân Dụng</t>
        </is>
      </c>
      <c r="M7794" s="10" t="inlineStr">
        <is>
          <t>Bonus, Healthcare Plan, Travel Opportunities</t>
        </is>
      </c>
      <c r="N7794" s="11">
        <f>HYPERLINK("https://www.vietnamworks.com/chuyen-vien-quan-ly-xay-dung--2019128-jv","Xem chi tiết")</f>
        <v/>
      </c>
      <c r="O7794" s="10" t="n"/>
    </row>
    <row r="7795">
      <c r="B7795" s="7" t="n">
        <v>7793</v>
      </c>
      <c r="C7795" t="inlineStr">
        <is>
          <t>Trưởng Phòng Công Nghệ Thông Tin</t>
        </is>
      </c>
      <c r="D7795" t="inlineStr">
        <is>
          <t>Công Ty Cổ Phần Dược Phẩm Vĩnh Phúc</t>
        </is>
      </c>
      <c r="E7795" t="inlineStr">
        <is>
          <t>Thương lượng</t>
        </is>
      </c>
      <c r="F7795" t="inlineStr">
        <is>
          <t>Vĩnh Phúc</t>
        </is>
      </c>
      <c r="G7795" t="inlineStr">
        <is>
          <t>Trưởng phòng</t>
        </is>
      </c>
      <c r="H7795" t="inlineStr">
        <is>
          <t>05/03/2026</t>
        </is>
      </c>
      <c r="I7795" t="inlineStr">
        <is>
          <t>04/04/2026</t>
        </is>
      </c>
      <c r="J7795" t="inlineStr">
        <is>
          <t>17/03/2026</t>
        </is>
      </c>
      <c r="K7795" t="inlineStr">
        <is>
          <t>N/A</t>
        </is>
      </c>
      <c r="L7795" t="inlineStr">
        <is>
          <t>IT System Administration, IT Management, IT Operations, SAP</t>
        </is>
      </c>
      <c r="M7795" t="inlineStr">
        <is>
          <t>Bonus, Healthcare Plan, Travel Opportunities</t>
        </is>
      </c>
      <c r="N7795" s="8">
        <f>HYPERLINK("https://www.vietnamworks.com/truong-phong-cong-nghe-thong-tin--2019132-jv","Xem chi tiết")</f>
        <v/>
      </c>
    </row>
    <row r="7796">
      <c r="B7796" s="9" t="n">
        <v>7794</v>
      </c>
      <c r="C7796" s="10" t="inlineStr">
        <is>
          <t>Chuyên Viên Trí Tuệ Nhân Tạo</t>
        </is>
      </c>
      <c r="D7796" s="10" t="inlineStr">
        <is>
          <t>Công Ty Cổ Phần Dược Phẩm Vĩnh Phúc</t>
        </is>
      </c>
      <c r="E7796" s="10" t="inlineStr">
        <is>
          <t>Thương lượng</t>
        </is>
      </c>
      <c r="F7796" s="10" t="inlineStr">
        <is>
          <t>Hà Nội</t>
        </is>
      </c>
      <c r="G7796" s="10" t="inlineStr">
        <is>
          <t>Nhân viên</t>
        </is>
      </c>
      <c r="H7796" s="10" t="inlineStr">
        <is>
          <t>05/03/2026</t>
        </is>
      </c>
      <c r="I7796" s="10" t="inlineStr">
        <is>
          <t>04/04/2026</t>
        </is>
      </c>
      <c r="J7796" s="10" t="inlineStr">
        <is>
          <t>17/03/2026</t>
        </is>
      </c>
      <c r="K7796" s="10" t="inlineStr">
        <is>
          <t>N/A</t>
        </is>
      </c>
      <c r="L7796" s="10" t="inlineStr">
        <is>
          <t>AI, Trí Tuệ Nhân Tạo</t>
        </is>
      </c>
      <c r="M7796" s="10" t="inlineStr">
        <is>
          <t>Bonus, Healthcare Plan, Travel Opportunities</t>
        </is>
      </c>
      <c r="N7796" s="11">
        <f>HYPERLINK("https://www.vietnamworks.com/chuyen-vien-tri-tue-nhan-tao--2019138-jv","Xem chi tiết")</f>
        <v/>
      </c>
      <c r="O7796" s="10" t="n"/>
    </row>
    <row r="7797">
      <c r="B7797" s="7" t="n">
        <v>7795</v>
      </c>
      <c r="C7797" t="inlineStr">
        <is>
          <t>Restaurant QSR Branch Manager</t>
        </is>
      </c>
      <c r="D7797" t="inlineStr">
        <is>
          <t>Vie Hospitality SARL</t>
        </is>
      </c>
      <c r="E7797" t="inlineStr">
        <is>
          <t>$$ 900-1,000 /tháng</t>
        </is>
      </c>
      <c r="F7797" t="inlineStr">
        <is>
          <t>Hồ Chí Minh</t>
        </is>
      </c>
      <c r="G7797" t="inlineStr">
        <is>
          <t>Trưởng phòng</t>
        </is>
      </c>
      <c r="H7797" t="inlineStr">
        <is>
          <t>05/03/2026</t>
        </is>
      </c>
      <c r="I7797" t="inlineStr">
        <is>
          <t>04/04/2026</t>
        </is>
      </c>
      <c r="J7797" t="inlineStr">
        <is>
          <t>17/03/2026</t>
        </is>
      </c>
      <c r="K7797" t="inlineStr">
        <is>
          <t>N/A</t>
        </is>
      </c>
      <c r="L7797" t="inlineStr">
        <is>
          <t>Communication, Financial Management, Food Safety Regulatory, Leadership, QMS Management</t>
        </is>
      </c>
      <c r="M7797" t="inlineStr">
        <is>
          <t>Bonus, Team Activities, Others</t>
        </is>
      </c>
      <c r="N7797" s="8">
        <f>HYPERLINK("https://www.vietnamworks.com/restaurant-qsr-branch-manager-2019159-jv","Xem chi tiết")</f>
        <v/>
      </c>
    </row>
    <row r="7798">
      <c r="B7798" s="9" t="n">
        <v>7796</v>
      </c>
      <c r="C7798" s="10" t="inlineStr">
        <is>
          <t>Sales Engineer</t>
        </is>
      </c>
      <c r="D7798" s="10" t="inlineStr">
        <is>
          <t>Hioki Electric Vietnam Co., Ltd.</t>
        </is>
      </c>
      <c r="E7798" s="10" t="inlineStr">
        <is>
          <t>Thương lượng</t>
        </is>
      </c>
      <c r="F7798" s="10" t="inlineStr">
        <is>
          <t>Hà Nội, Hồ Chí Minh</t>
        </is>
      </c>
      <c r="G7798" s="10" t="inlineStr">
        <is>
          <t>Nhân viên</t>
        </is>
      </c>
      <c r="H7798" s="10" t="inlineStr">
        <is>
          <t>05/03/2026</t>
        </is>
      </c>
      <c r="I7798" s="10" t="inlineStr">
        <is>
          <t>04/04/2026</t>
        </is>
      </c>
      <c r="J7798" s="10" t="inlineStr">
        <is>
          <t>17/03/2026</t>
        </is>
      </c>
      <c r="K7798" s="10" t="inlineStr">
        <is>
          <t>N/A</t>
        </is>
      </c>
      <c r="L7798" s="10" t="inlineStr">
        <is>
          <t>Customer Communication, Sales Solution, Project Management, Organizational skills, Vietnamese fluency</t>
        </is>
      </c>
      <c r="M7798" s="10" t="inlineStr">
        <is>
          <t>Bonus, Healthcare Plan, Training, Transportation, Others</t>
        </is>
      </c>
      <c r="N7798" s="11">
        <f>HYPERLINK("https://www.vietnamworks.com/sales-engineer-2019154-jv","Xem chi tiết")</f>
        <v/>
      </c>
      <c r="O7798" s="10" t="n"/>
    </row>
    <row r="7799">
      <c r="B7799" s="7" t="n">
        <v>7797</v>
      </c>
      <c r="C7799" t="inlineStr">
        <is>
          <t>Chuyên Viên Quản Lý Dự Án (Project Management)</t>
        </is>
      </c>
      <c r="D7799" t="inlineStr">
        <is>
          <t>Netnam Corp.</t>
        </is>
      </c>
      <c r="E7799" t="inlineStr">
        <is>
          <t>Thương lượng</t>
        </is>
      </c>
      <c r="F7799" t="inlineStr">
        <is>
          <t>Hồ Chí Minh</t>
        </is>
      </c>
      <c r="G7799" t="inlineStr">
        <is>
          <t>Nhân viên</t>
        </is>
      </c>
      <c r="H7799" t="inlineStr">
        <is>
          <t>05/03/2026</t>
        </is>
      </c>
      <c r="I7799" t="inlineStr">
        <is>
          <t>04/04/2026</t>
        </is>
      </c>
      <c r="J7799" t="inlineStr">
        <is>
          <t>17/03/2026</t>
        </is>
      </c>
      <c r="K7799" t="inlineStr">
        <is>
          <t>N/A</t>
        </is>
      </c>
      <c r="L7799" t="inlineStr">
        <is>
          <t>Quản Lý Dự Án, Phân Tích Báo Cáo, Quản Lý Rủi Ro, Giao Tiếp Thuyết Phục, Excel Proficiency</t>
        </is>
      </c>
      <c r="M7799" t="inlineStr">
        <is>
          <t>Bonus, Training, Travel Opportunities</t>
        </is>
      </c>
      <c r="N7799" s="8">
        <f>HYPERLINK("https://www.vietnamworks.com/chuyen-vien-quan-ly-du-an-project-management--2019144-jv","Xem chi tiết")</f>
        <v/>
      </c>
    </row>
    <row r="7800">
      <c r="B7800" s="9" t="n">
        <v>7798</v>
      </c>
      <c r="C7800" s="10" t="inlineStr">
        <is>
          <t>English Customer Service - Travel App / Flight Ticket App</t>
        </is>
      </c>
      <c r="D7800" s="10" t="inlineStr">
        <is>
          <t>Concentrix</t>
        </is>
      </c>
      <c r="E7800" s="10" t="inlineStr">
        <is>
          <t>10tr-13tr ₫/tháng</t>
        </is>
      </c>
      <c r="F7800" s="10" t="inlineStr">
        <is>
          <t>Hồ Chí Minh</t>
        </is>
      </c>
      <c r="G7800" s="10" t="inlineStr">
        <is>
          <t>Mới Tốt Nghiệp</t>
        </is>
      </c>
      <c r="H7800" s="10" t="inlineStr">
        <is>
          <t>05/03/2026</t>
        </is>
      </c>
      <c r="I7800" s="10" t="inlineStr">
        <is>
          <t>04/04/2026</t>
        </is>
      </c>
      <c r="J7800" s="10" t="inlineStr">
        <is>
          <t>17/03/2026</t>
        </is>
      </c>
      <c r="K7800" s="10" t="inlineStr">
        <is>
          <t>N/A</t>
        </is>
      </c>
      <c r="L7800" s="10" t="inlineStr">
        <is>
          <t>Communication, Customer Service, English Fluency, English</t>
        </is>
      </c>
      <c r="M7800" s="10" t="inlineStr">
        <is>
          <t>Bonus, Healthcare Plan, Paid Leave, Others</t>
        </is>
      </c>
      <c r="N7800" s="11">
        <f>HYPERLINK("https://www.vietnamworks.com/english-customer-service-travel-app-flight-ticket-app-2019139-jv","Xem chi tiết")</f>
        <v/>
      </c>
      <c r="O7800" s="10" t="n"/>
    </row>
    <row r="7801">
      <c r="B7801" s="7" t="n">
        <v>7799</v>
      </c>
      <c r="C7801" t="inlineStr">
        <is>
          <t>Thực Tập Sinh Video Editor</t>
        </is>
      </c>
      <c r="D7801" t="inlineStr">
        <is>
          <t>Techcom Securities (Tcbs)</t>
        </is>
      </c>
      <c r="E7801" t="inlineStr">
        <is>
          <t>$$ 300-350 /tháng</t>
        </is>
      </c>
      <c r="F7801" t="inlineStr">
        <is>
          <t>Hà Nội</t>
        </is>
      </c>
      <c r="G7801" t="inlineStr">
        <is>
          <t>Thực tập sinh/Sinh viên</t>
        </is>
      </c>
      <c r="H7801" t="inlineStr">
        <is>
          <t>05/03/2026</t>
        </is>
      </c>
      <c r="I7801" t="inlineStr">
        <is>
          <t>04/04/2026</t>
        </is>
      </c>
      <c r="J7801" t="inlineStr">
        <is>
          <t>17/03/2026</t>
        </is>
      </c>
      <c r="K7801" t="inlineStr">
        <is>
          <t>N/A</t>
        </is>
      </c>
      <c r="L7801" t="inlineStr">
        <is>
          <t>Adobe Premiere Pro, Dựng Video, Adobe Photoshop, Quay Dựng Video, Thiết Kế Ý Tưởng</t>
        </is>
      </c>
      <c r="M7801" t="inlineStr">
        <is>
          <t>Healthcare Plan, Training, Others</t>
        </is>
      </c>
      <c r="N7801" s="8">
        <f>HYPERLINK("https://www.vietnamworks.com/thuc-tap-sinh-video-editor--2019156-jv","Xem chi tiết")</f>
        <v/>
      </c>
    </row>
    <row r="7802">
      <c r="B7802" s="9" t="n">
        <v>7800</v>
      </c>
      <c r="C7802" s="10" t="inlineStr">
        <is>
          <t>HR Officer (C&amp;B) - Urgent</t>
        </is>
      </c>
      <c r="D7802" s="10" t="inlineStr">
        <is>
          <t>Metasource</t>
        </is>
      </c>
      <c r="E7802" s="10" t="inlineStr">
        <is>
          <t>Thương lượng</t>
        </is>
      </c>
      <c r="F7802" s="10" t="inlineStr">
        <is>
          <t>Hồ Chí Minh</t>
        </is>
      </c>
      <c r="G7802" s="10" t="inlineStr">
        <is>
          <t>Nhân viên</t>
        </is>
      </c>
      <c r="H7802" s="10" t="inlineStr">
        <is>
          <t>05/03/2026</t>
        </is>
      </c>
      <c r="I7802" s="10" t="inlineStr">
        <is>
          <t>04/04/2026</t>
        </is>
      </c>
      <c r="J7802" s="10" t="inlineStr">
        <is>
          <t>17/03/2026</t>
        </is>
      </c>
      <c r="K7802" s="10" t="inlineStr">
        <is>
          <t>N/A</t>
        </is>
      </c>
      <c r="L7802" s="10" t="inlineStr">
        <is>
          <t>Communication Skills, Compensation &amp; Benefits, HR Admin, Labour Law, Payroll</t>
        </is>
      </c>
      <c r="M7802" s="10" t="inlineStr">
        <is>
          <t>Bonus, Healthcare Plan, Team Activities, Others</t>
        </is>
      </c>
      <c r="N7802" s="11">
        <f>HYPERLINK("https://www.vietnamworks.com/hr-officer-candb-urgent-2019164-jv","Xem chi tiết")</f>
        <v/>
      </c>
      <c r="O7802" s="10" t="n"/>
    </row>
    <row r="7803">
      <c r="B7803" s="7" t="n">
        <v>7801</v>
      </c>
      <c r="C7803" t="inlineStr">
        <is>
          <t>Trưởng Ban Công Nghệ Thông Tin</t>
        </is>
      </c>
      <c r="D7803" t="inlineStr">
        <is>
          <t>Vietnamworks' Client</t>
        </is>
      </c>
      <c r="E7803" t="inlineStr">
        <is>
          <t>Thương lượng</t>
        </is>
      </c>
      <c r="F7803" t="inlineStr">
        <is>
          <t>Hà Nội</t>
        </is>
      </c>
      <c r="G7803" t="inlineStr">
        <is>
          <t>Trưởng phòng</t>
        </is>
      </c>
      <c r="H7803" t="inlineStr">
        <is>
          <t>05/03/2026</t>
        </is>
      </c>
      <c r="I7803" t="inlineStr">
        <is>
          <t>04/04/2026</t>
        </is>
      </c>
      <c r="J7803" t="inlineStr">
        <is>
          <t>17/03/2026</t>
        </is>
      </c>
      <c r="K7803" t="inlineStr">
        <is>
          <t>N/A</t>
        </is>
      </c>
      <c r="L7803" t="inlineStr">
        <is>
          <t>Giao Tiếp, Phân Tích Giải Pháp Cntt, Quản Lý Dự Án, Quản Trị Hệ Thống CNTT, Xử Lý Hệ Thống</t>
        </is>
      </c>
      <c r="M7803" t="inlineStr">
        <is>
          <t>Bonus, Paid Leave, Travel Opportunities, Others</t>
        </is>
      </c>
      <c r="N7803" s="8">
        <f>HYPERLINK("https://www.vietnamworks.com/truong-ban-cong-nghe-thong-tin-2019155-jv","Xem chi tiết")</f>
        <v/>
      </c>
    </row>
    <row r="7804">
      <c r="B7804" s="9" t="n">
        <v>7802</v>
      </c>
      <c r="C7804" s="10" t="inlineStr">
        <is>
          <t>Chuyên Viên Huy Động Vốn</t>
        </is>
      </c>
      <c r="D7804" s="10" t="inlineStr">
        <is>
          <t>CÔNG TY CỔ PHẦN NĂNG LƯỢNG VINENERGO</t>
        </is>
      </c>
      <c r="E7804" s="10" t="inlineStr">
        <is>
          <t>Thương lượng</t>
        </is>
      </c>
      <c r="F7804" s="10" t="inlineStr">
        <is>
          <t>Hà Nội</t>
        </is>
      </c>
      <c r="G7804" s="10" t="inlineStr">
        <is>
          <t>Nhân viên</t>
        </is>
      </c>
      <c r="H7804" s="10" t="inlineStr">
        <is>
          <t>05/03/2026</t>
        </is>
      </c>
      <c r="I7804" s="10" t="inlineStr">
        <is>
          <t>04/04/2026</t>
        </is>
      </c>
      <c r="J7804" s="10" t="inlineStr">
        <is>
          <t>17/03/2026</t>
        </is>
      </c>
      <c r="K7804" s="10" t="inlineStr">
        <is>
          <t>N/A</t>
        </is>
      </c>
      <c r="L7804" s="10" t="inlineStr">
        <is>
          <t>Kỹ năng đàm phán, Mô Hình Tài Chính, Tiếng Anh, Đánh Giá Rủi Ro, Giao Tiếp Với Tổ Chức Tài Chính</t>
        </is>
      </c>
      <c r="M7804" s="10" t="inlineStr">
        <is>
          <t>Bonus, Healthcare Plan, Training, Others</t>
        </is>
      </c>
      <c r="N7804" s="11">
        <f>HYPERLINK("https://www.vietnamworks.com/chuyen-vien-huy-djong-von-2019150-jv","Xem chi tiết")</f>
        <v/>
      </c>
      <c r="O7804" s="10" t="n"/>
    </row>
    <row r="7805">
      <c r="B7805" s="7" t="n">
        <v>7803</v>
      </c>
      <c r="C7805" t="inlineStr">
        <is>
          <t>[Viettel Asset] - Kỹ Sư Kinh Tế Đấu Thầu (Chủ đầu tư/Bên mời thầu)</t>
        </is>
      </c>
      <c r="D7805" t="inlineStr">
        <is>
          <t>Tập Đoàn Công Nghiệp - Viễn Thông Quân Đội - Công Ty Quản Lý Tài Sản Viettel</t>
        </is>
      </c>
      <c r="E7805" t="inlineStr">
        <is>
          <t>$$ 800-1,500 /tháng</t>
        </is>
      </c>
      <c r="F7805" t="inlineStr">
        <is>
          <t>Hà Nội</t>
        </is>
      </c>
      <c r="G7805" t="inlineStr">
        <is>
          <t>Nhân viên</t>
        </is>
      </c>
      <c r="H7805" t="inlineStr">
        <is>
          <t>05/03/2026</t>
        </is>
      </c>
      <c r="I7805" t="inlineStr">
        <is>
          <t>04/04/2026</t>
        </is>
      </c>
      <c r="J7805" t="inlineStr">
        <is>
          <t>17/03/2026</t>
        </is>
      </c>
      <c r="K7805" t="inlineStr">
        <is>
          <t>N/A</t>
        </is>
      </c>
      <c r="L7805" t="inlineStr">
        <is>
          <t>Dự Thảo Hợp Đồng, Hồ Sơ Mời Thầu, Quản Lý Dự Án, Xây Dựng, Đánh Giá Hồ Sơ Thầu</t>
        </is>
      </c>
      <c r="M7805" t="inlineStr">
        <is>
          <t>Bonus</t>
        </is>
      </c>
      <c r="N7805" s="8">
        <f>HYPERLINK("https://www.vietnamworks.com/viettel-asset-ky-su-kinh-te-djau-thau-chu-djau-tuben-moi-thau-2019145-jv","Xem chi tiết")</f>
        <v/>
      </c>
    </row>
    <row r="7806">
      <c r="B7806" s="9" t="n">
        <v>7804</v>
      </c>
      <c r="C7806" s="10" t="inlineStr">
        <is>
          <t>Sales Director</t>
        </is>
      </c>
      <c r="D7806" s="10" t="inlineStr">
        <is>
          <t>Michael Page Vietnam</t>
        </is>
      </c>
      <c r="E7806" s="10" t="inlineStr">
        <is>
          <t>Thương lượng</t>
        </is>
      </c>
      <c r="F7806" s="10" t="inlineStr">
        <is>
          <t>Hồ Chí Minh</t>
        </is>
      </c>
      <c r="G7806" s="10" t="inlineStr">
        <is>
          <t>Giám Đốc và Cấp Cao Hơn</t>
        </is>
      </c>
      <c r="H7806" s="10" t="inlineStr">
        <is>
          <t>05/03/2026</t>
        </is>
      </c>
      <c r="I7806" s="10" t="inlineStr">
        <is>
          <t>04/04/2026</t>
        </is>
      </c>
      <c r="J7806" s="10" t="inlineStr">
        <is>
          <t>17/03/2026</t>
        </is>
      </c>
      <c r="K7806" s="10" t="inlineStr">
        <is>
          <t>N/A</t>
        </is>
      </c>
      <c r="L7806" s="10" t="inlineStr">
        <is>
          <t>Leadership</t>
        </is>
      </c>
      <c r="M7806" s="10" t="inlineStr">
        <is>
          <t>Bonus, Healthcare Plan, Transportation</t>
        </is>
      </c>
      <c r="N7806" s="11">
        <f>HYPERLINK("https://www.vietnamworks.com/sales-director-145-2019168-jv","Xem chi tiết")</f>
        <v/>
      </c>
      <c r="O7806" s="10" t="n"/>
    </row>
    <row r="7807">
      <c r="B7807" s="7" t="n">
        <v>7805</v>
      </c>
      <c r="C7807" t="inlineStr">
        <is>
          <t>[Viettel Group] - Kỹ Sư Thẩm Định/ Quản Lý Thiết Kế Kết Cấu</t>
        </is>
      </c>
      <c r="D7807" t="inlineStr">
        <is>
          <t>Tập Đoàn Công Nghiệp - Viễn Thông Quân Đội - Công Ty Quản Lý Tài Sản Viettel</t>
        </is>
      </c>
      <c r="E7807" t="inlineStr">
        <is>
          <t>$$ 1,000-1,600 /tháng</t>
        </is>
      </c>
      <c r="F7807" t="inlineStr">
        <is>
          <t>Hồ Chí Minh</t>
        </is>
      </c>
      <c r="G7807" t="inlineStr">
        <is>
          <t>Nhân viên</t>
        </is>
      </c>
      <c r="H7807" t="inlineStr">
        <is>
          <t>05/03/2026</t>
        </is>
      </c>
      <c r="I7807" t="inlineStr">
        <is>
          <t>04/04/2026</t>
        </is>
      </c>
      <c r="J7807" t="inlineStr">
        <is>
          <t>17/03/2026</t>
        </is>
      </c>
      <c r="K7807" t="inlineStr">
        <is>
          <t>N/A</t>
        </is>
      </c>
      <c r="L7807" t="inlineStr">
        <is>
          <t>Giám Sát Thi Công, Kiến Trúc, Thẩm Định Hồ Sơ, Thiết Kế Kết Cấu, Xây Dựng</t>
        </is>
      </c>
      <c r="M7807" t="inlineStr">
        <is>
          <t>Bonus, Healthcare Plan, Paid Leave</t>
        </is>
      </c>
      <c r="N7807" s="8">
        <f>HYPERLINK("https://www.vietnamworks.com/viettel-group-ky-su-tham-djinh-quan-ly-thiet-ke-ket-cau-2019147-jv","Xem chi tiết")</f>
        <v/>
      </c>
    </row>
    <row r="7808">
      <c r="B7808" s="9" t="n">
        <v>7806</v>
      </c>
      <c r="C7808" s="10" t="inlineStr">
        <is>
          <t>Senior QC (Automation)</t>
        </is>
      </c>
      <c r="D7808" s="10" t="inlineStr">
        <is>
          <t>Công Ty Cổ Phần Vàng Bạc Đá Quý Phú Nhuận (PNJ)</t>
        </is>
      </c>
      <c r="E7808" s="10" t="inlineStr">
        <is>
          <t>Thương lượng</t>
        </is>
      </c>
      <c r="F7808" s="10" t="inlineStr">
        <is>
          <t>Hồ Chí Minh</t>
        </is>
      </c>
      <c r="G7808" s="10" t="inlineStr">
        <is>
          <t>Nhân viên</t>
        </is>
      </c>
      <c r="H7808" s="10" t="inlineStr">
        <is>
          <t>05/03/2026</t>
        </is>
      </c>
      <c r="I7808" s="10" t="inlineStr">
        <is>
          <t>04/04/2026</t>
        </is>
      </c>
      <c r="J7808" s="10" t="inlineStr">
        <is>
          <t>17/03/2026</t>
        </is>
      </c>
      <c r="K7808" s="10" t="inlineStr">
        <is>
          <t>N/A</t>
        </is>
      </c>
      <c r="L7808" s="10" t="inlineStr">
        <is>
          <t>AI Testing, Automation Testing, Communication, End-User Support, Risk Analysis</t>
        </is>
      </c>
      <c r="M7808" s="10" t="inlineStr">
        <is>
          <t>Bonus, Healthcare Plan, Paid Leave, Training, Laptop, Travel Opportunities, Others</t>
        </is>
      </c>
      <c r="N7808" s="11">
        <f>HYPERLINK("https://www.vietnamworks.com/senior-qc-automation-2019183-jv","Xem chi tiết")</f>
        <v/>
      </c>
      <c r="O7808" s="10" t="n"/>
    </row>
    <row r="7809">
      <c r="B7809" s="7" t="n">
        <v>7807</v>
      </c>
      <c r="C7809" t="inlineStr">
        <is>
          <t>Thực Tập Sinh Content Marketing</t>
        </is>
      </c>
      <c r="D7809" t="inlineStr">
        <is>
          <t>Techcom Securities (Tcbs)</t>
        </is>
      </c>
      <c r="E7809" t="inlineStr">
        <is>
          <t>$$ 300-350 /tháng</t>
        </is>
      </c>
      <c r="F7809" t="inlineStr">
        <is>
          <t>Hà Nội</t>
        </is>
      </c>
      <c r="G7809" t="inlineStr">
        <is>
          <t>Thực tập sinh/Sinh viên</t>
        </is>
      </c>
      <c r="H7809" t="inlineStr">
        <is>
          <t>05/03/2026</t>
        </is>
      </c>
      <c r="I7809" t="inlineStr">
        <is>
          <t>04/04/2026</t>
        </is>
      </c>
      <c r="J7809" t="inlineStr">
        <is>
          <t>17/03/2026</t>
        </is>
      </c>
      <c r="K7809" t="inlineStr">
        <is>
          <t>N/A</t>
        </is>
      </c>
      <c r="L7809" t="inlineStr">
        <is>
          <t>Content Marketing, Marketing, Truyền Thông, Content Writing, Content</t>
        </is>
      </c>
      <c r="M7809" t="inlineStr">
        <is>
          <t>Healthcare Plan, Training, Others</t>
        </is>
      </c>
      <c r="N7809" s="8">
        <f>HYPERLINK("https://www.vietnamworks.com/thuc-tap-sinh-content-marketing--2019158-jv","Xem chi tiết")</f>
        <v/>
      </c>
    </row>
    <row r="7810">
      <c r="B7810" s="9" t="n">
        <v>7808</v>
      </c>
      <c r="C7810" s="10" t="inlineStr">
        <is>
          <t>Kỹ Sư Thanh Quyết Toán Dự Án</t>
        </is>
      </c>
      <c r="D7810" s="10" t="inlineStr">
        <is>
          <t>Tập Đoàn Công Nghiệp - Viễn Thông Quân Đội - Công Ty Quản Lý Tài Sản Viettel</t>
        </is>
      </c>
      <c r="E7810" s="10" t="inlineStr">
        <is>
          <t>Thương lượng</t>
        </is>
      </c>
      <c r="F7810" s="10" t="inlineStr">
        <is>
          <t>Hà Nội</t>
        </is>
      </c>
      <c r="G7810" s="10" t="inlineStr">
        <is>
          <t>Nhân viên</t>
        </is>
      </c>
      <c r="H7810" s="10" t="inlineStr">
        <is>
          <t>05/03/2026</t>
        </is>
      </c>
      <c r="I7810" s="10" t="inlineStr">
        <is>
          <t>04/04/2026</t>
        </is>
      </c>
      <c r="J7810" s="10" t="inlineStr">
        <is>
          <t>17/03/2026</t>
        </is>
      </c>
      <c r="K7810" s="10" t="inlineStr">
        <is>
          <t>N/A</t>
        </is>
      </c>
      <c r="L7810" s="10" t="inlineStr">
        <is>
          <t>Quản Lý Dự Án, Quản Lý Dự Án Công Trình, Kỹ sư Kinh tế Xây dựng, Nghiệm Thu Thanh Quyết Toán, Thanh Quyết Toán</t>
        </is>
      </c>
      <c r="M7810" s="10" t="inlineStr">
        <is>
          <t>Bonus</t>
        </is>
      </c>
      <c r="N7810" s="11">
        <f>HYPERLINK("https://www.vietnamworks.com/ky-su-thanh-quyet-toan-du-an-2019165-jv","Xem chi tiết")</f>
        <v/>
      </c>
      <c r="O7810" s="10" t="n"/>
    </row>
    <row r="7811">
      <c r="B7811" s="7" t="n">
        <v>7809</v>
      </c>
      <c r="C7811" t="inlineStr">
        <is>
          <t>[Viettel Asset] - Chuyên Viên Kinh Doanh BĐS Thương Mại Văn Phòng</t>
        </is>
      </c>
      <c r="D7811" t="inlineStr">
        <is>
          <t>Tập Đoàn Công Nghiệp - Viễn Thông Quân Đội - Công Ty Quản Lý Tài Sản Viettel</t>
        </is>
      </c>
      <c r="E7811" t="inlineStr">
        <is>
          <t>$$ 600-1,100 /tháng</t>
        </is>
      </c>
      <c r="F7811" t="inlineStr">
        <is>
          <t>Hồ Chí Minh</t>
        </is>
      </c>
      <c r="G7811" t="inlineStr">
        <is>
          <t>Nhân viên</t>
        </is>
      </c>
      <c r="H7811" t="inlineStr">
        <is>
          <t>05/03/2026</t>
        </is>
      </c>
      <c r="I7811" t="inlineStr">
        <is>
          <t>04/04/2026</t>
        </is>
      </c>
      <c r="J7811" t="inlineStr">
        <is>
          <t>17/03/2026</t>
        </is>
      </c>
      <c r="K7811" t="inlineStr">
        <is>
          <t>N/A</t>
        </is>
      </c>
      <c r="L7811" t="inlineStr">
        <is>
          <t>Giao Tiếp, Kinh Tế, Quản Trị Kinh Doanh, Tiếng Anh Giao Tiếp, Bất Động Sản Thương Mại</t>
        </is>
      </c>
      <c r="M7811" t="inlineStr">
        <is>
          <t>Bonus</t>
        </is>
      </c>
      <c r="N7811" s="8">
        <f>HYPERLINK("https://www.vietnamworks.com/viettel-asset-chuyen-vien-kinh-doanh-bdjs-thuong-mai-van-phong-2019163-jv","Xem chi tiết")</f>
        <v/>
      </c>
    </row>
    <row r="7812">
      <c r="B7812" s="9" t="n">
        <v>7810</v>
      </c>
      <c r="C7812" s="10" t="inlineStr">
        <is>
          <t>Corp H&amp;S Performance Coordinator</t>
        </is>
      </c>
      <c r="D7812" s="10" t="inlineStr">
        <is>
          <t>INSEE Vietnam</t>
        </is>
      </c>
      <c r="E7812" s="10" t="inlineStr">
        <is>
          <t>Thương lượng</t>
        </is>
      </c>
      <c r="F7812" s="10" t="inlineStr">
        <is>
          <t>Hồ Chí Minh</t>
        </is>
      </c>
      <c r="G7812" s="10" t="inlineStr">
        <is>
          <t>Nhân viên</t>
        </is>
      </c>
      <c r="H7812" s="10" t="inlineStr">
        <is>
          <t>05/03/2026</t>
        </is>
      </c>
      <c r="I7812" s="10" t="inlineStr">
        <is>
          <t>04/04/2026</t>
        </is>
      </c>
      <c r="J7812" s="10" t="inlineStr">
        <is>
          <t>17/03/2026</t>
        </is>
      </c>
      <c r="K7812" s="10" t="inlineStr">
        <is>
          <t>N/A</t>
        </is>
      </c>
      <c r="L7812" s="10" t="inlineStr">
        <is>
          <t>Electrical Engineering, Interpersonal Communication, ISO 45001, Mechanical Engineering, Safety Management</t>
        </is>
      </c>
      <c r="M7812" s="10" t="inlineStr">
        <is>
          <t>Bonus, Healthcare Plan, Paid Leave, Training, Laptop</t>
        </is>
      </c>
      <c r="N7812" s="11">
        <f>HYPERLINK("https://www.vietnamworks.com/corp-hands-performance-coordinator-2019167-jv","Xem chi tiết")</f>
        <v/>
      </c>
      <c r="O7812" s="10" t="n"/>
    </row>
    <row r="7813">
      <c r="B7813" s="7" t="n">
        <v>7811</v>
      </c>
      <c r="C7813" t="inlineStr">
        <is>
          <t>Chăm Sóc Khách Hàng</t>
        </is>
      </c>
      <c r="D7813" t="inlineStr">
        <is>
          <t>CÔNG TY CỔ PHẦN VINSMART FUTURE</t>
        </is>
      </c>
      <c r="E7813" t="inlineStr">
        <is>
          <t>Thương lượng</t>
        </is>
      </c>
      <c r="F7813" t="inlineStr">
        <is>
          <t>Hà Nội</t>
        </is>
      </c>
      <c r="G7813" t="inlineStr">
        <is>
          <t>Nhân viên</t>
        </is>
      </c>
      <c r="H7813" t="inlineStr">
        <is>
          <t>05/03/2026</t>
        </is>
      </c>
      <c r="I7813" t="inlineStr">
        <is>
          <t>04/04/2026</t>
        </is>
      </c>
      <c r="J7813" t="inlineStr">
        <is>
          <t>17/03/2026</t>
        </is>
      </c>
      <c r="K7813" t="inlineStr">
        <is>
          <t>N/A</t>
        </is>
      </c>
      <c r="L7813" t="inlineStr">
        <is>
          <t>Chăm Sóc Khách Hàng, Dịch Vụ Khách Hàng, Kỹ năng giao tiếp, Xử Lý Tình Huống</t>
        </is>
      </c>
      <c r="M7813" t="inlineStr">
        <is>
          <t>Bonus, Healthcare Plan, Paid Leave, Team Activities, Others</t>
        </is>
      </c>
      <c r="N7813" s="8">
        <f>HYPERLINK("https://www.vietnamworks.com/cham-soc-khach-hang-2019141-jv","Xem chi tiết")</f>
        <v/>
      </c>
    </row>
    <row r="7814">
      <c r="B7814" s="9" t="n">
        <v>7812</v>
      </c>
      <c r="C7814" s="10" t="inlineStr">
        <is>
          <t>[Viettel Asset] - Kỹ Sư Thẩm Định/Quản lý Thiết Kế Kiến Trúc</t>
        </is>
      </c>
      <c r="D7814" s="10" t="inlineStr">
        <is>
          <t>Tập Đoàn Công Nghiệp - Viễn Thông Quân Đội - Công Ty Quản Lý Tài Sản Viettel</t>
        </is>
      </c>
      <c r="E7814" s="10" t="inlineStr">
        <is>
          <t>$$ 800-1,500 /tháng</t>
        </is>
      </c>
      <c r="F7814" s="10" t="inlineStr">
        <is>
          <t>Hà Nội</t>
        </is>
      </c>
      <c r="G7814" s="10" t="inlineStr">
        <is>
          <t>Nhân viên</t>
        </is>
      </c>
      <c r="H7814" s="10" t="inlineStr">
        <is>
          <t>05/03/2026</t>
        </is>
      </c>
      <c r="I7814" s="10" t="inlineStr">
        <is>
          <t>04/04/2026</t>
        </is>
      </c>
      <c r="J7814" s="10" t="inlineStr">
        <is>
          <t>17/03/2026</t>
        </is>
      </c>
      <c r="K7814" s="10" t="inlineStr">
        <is>
          <t>N/A</t>
        </is>
      </c>
      <c r="L7814" s="10" t="inlineStr">
        <is>
          <t>BIM, Kiểm Soát Chất Lượng, Kiến Trúc Công Trình, Quản Lý Dự Án, Thẩm Định</t>
        </is>
      </c>
      <c r="M7814" s="10" t="inlineStr">
        <is>
          <t>Bonus</t>
        </is>
      </c>
      <c r="N7814" s="11">
        <f>HYPERLINK("https://www.vietnamworks.com/viettel-asset-ky-su-tham-djinhquan-ly-thiet-ke-kien-truc-2019161-jv","Xem chi tiết")</f>
        <v/>
      </c>
      <c r="O7814" s="10" t="n"/>
    </row>
    <row r="7815">
      <c r="B7815" s="7" t="n">
        <v>7813</v>
      </c>
      <c r="C7815" t="inlineStr">
        <is>
          <t>Chuyên Viên Digital Marketing (Facebook Ads, Tiktok Ads)</t>
        </is>
      </c>
      <c r="D7815" t="inlineStr">
        <is>
          <t>Công Ty Cổ Phần Vua Nệm</t>
        </is>
      </c>
      <c r="E7815" t="inlineStr">
        <is>
          <t>14tr-18tr ₫/tháng</t>
        </is>
      </c>
      <c r="F7815" t="inlineStr">
        <is>
          <t>Hà Nội</t>
        </is>
      </c>
      <c r="G7815" t="inlineStr">
        <is>
          <t>Nhân viên</t>
        </is>
      </c>
      <c r="H7815" t="inlineStr">
        <is>
          <t>05/03/2026</t>
        </is>
      </c>
      <c r="I7815" t="inlineStr">
        <is>
          <t>04/04/2026</t>
        </is>
      </c>
      <c r="J7815" t="inlineStr">
        <is>
          <t>17/03/2026</t>
        </is>
      </c>
      <c r="K7815" t="inlineStr">
        <is>
          <t>N/A</t>
        </is>
      </c>
      <c r="L7815" t="inlineStr">
        <is>
          <t>Attention To Detail, Data Analysis, Digital Marketing, E-commerce, Facebook Ads</t>
        </is>
      </c>
      <c r="M7815" t="inlineStr">
        <is>
          <t>Bonus, Healthcare Plan, Training, Team Activities</t>
        </is>
      </c>
      <c r="N7815" s="8">
        <f>HYPERLINK("https://www.vietnamworks.com/chuyen-vien-digital-marketing-facebook-ads-tiktok-ads-2019170-jv","Xem chi tiết")</f>
        <v/>
      </c>
    </row>
    <row r="7816">
      <c r="B7816" s="9" t="n">
        <v>7814</v>
      </c>
      <c r="C7816" s="10" t="inlineStr">
        <is>
          <t>Pricing Analysis | B2B</t>
        </is>
      </c>
      <c r="D7816" s="10" t="inlineStr">
        <is>
          <t>INSEE Vietnam</t>
        </is>
      </c>
      <c r="E7816" s="10" t="inlineStr">
        <is>
          <t>Thương lượng</t>
        </is>
      </c>
      <c r="F7816" s="10" t="inlineStr">
        <is>
          <t>Hồ Chí Minh</t>
        </is>
      </c>
      <c r="G7816" s="10" t="inlineStr">
        <is>
          <t>Nhân viên</t>
        </is>
      </c>
      <c r="H7816" s="10" t="inlineStr">
        <is>
          <t>05/03/2026</t>
        </is>
      </c>
      <c r="I7816" s="10" t="inlineStr">
        <is>
          <t>04/04/2026</t>
        </is>
      </c>
      <c r="J7816" s="10" t="inlineStr">
        <is>
          <t>17/03/2026</t>
        </is>
      </c>
      <c r="K7816" s="10" t="inlineStr">
        <is>
          <t>N/A</t>
        </is>
      </c>
      <c r="L7816" s="10" t="inlineStr">
        <is>
          <t>Business Analysis, Customer Focused Design, Microsoft Office, Sales Operation, Trade Management</t>
        </is>
      </c>
      <c r="M7816" s="10" t="inlineStr">
        <is>
          <t>Bonus, Healthcare Plan, Paid Leave, Training, Laptop</t>
        </is>
      </c>
      <c r="N7816" s="11">
        <f>HYPERLINK("https://www.vietnamworks.com/pricing-analysis-or-b2b-2019166-jv","Xem chi tiết")</f>
        <v/>
      </c>
      <c r="O7816" s="10" t="n"/>
    </row>
    <row r="7817">
      <c r="B7817" s="7" t="n">
        <v>7815</v>
      </c>
      <c r="C7817" t="inlineStr">
        <is>
          <t>Kỹ Thuật Phay – Tiện CNC Thu Nhập 20-30M</t>
        </is>
      </c>
      <c r="D7817" t="inlineStr">
        <is>
          <t>Công Ty TNHH Hashikawa</t>
        </is>
      </c>
      <c r="E7817" t="inlineStr">
        <is>
          <t>20tr-30tr ₫/tháng</t>
        </is>
      </c>
      <c r="F7817" t="inlineStr">
        <is>
          <t>Bắc Ninh</t>
        </is>
      </c>
      <c r="G7817" t="inlineStr">
        <is>
          <t>Nhân viên</t>
        </is>
      </c>
      <c r="H7817" t="inlineStr">
        <is>
          <t>13/01/2026</t>
        </is>
      </c>
      <c r="I7817" t="inlineStr">
        <is>
          <t>05/04/2026</t>
        </is>
      </c>
      <c r="J7817" t="inlineStr">
        <is>
          <t>17/03/2026</t>
        </is>
      </c>
      <c r="K7817" t="inlineStr">
        <is>
          <t>N/A</t>
        </is>
      </c>
      <c r="L7817" t="inlineStr">
        <is>
          <t>Cơ Khí Chế Tạo, Cơ Khí, CNC, Hàn Cắt Gọt Kim Loại, Master Cam</t>
        </is>
      </c>
      <c r="M7817" t="inlineStr">
        <is>
          <t>Bonus, Healthcare Plan, Training</t>
        </is>
      </c>
      <c r="N7817" s="8">
        <f>HYPERLINK("https://www.vietnamworks.com/ky-thuat-phay-tien-cnc-thu-nhap-20-30m-2002250-jv","Xem chi tiết")</f>
        <v/>
      </c>
    </row>
    <row r="7818">
      <c r="B7818" s="9" t="n">
        <v>7816</v>
      </c>
      <c r="C7818" s="10" t="inlineStr">
        <is>
          <t>Business Development Staff</t>
        </is>
      </c>
      <c r="D7818" s="10" t="inlineStr">
        <is>
          <t>REDBUS VIETNAM</t>
        </is>
      </c>
      <c r="E7818" s="10" t="inlineStr">
        <is>
          <t>$$ 300-480 /tháng</t>
        </is>
      </c>
      <c r="F7818" s="10" t="inlineStr">
        <is>
          <t>Hà Nội</t>
        </is>
      </c>
      <c r="G7818" s="10" t="inlineStr">
        <is>
          <t>Mới Tốt Nghiệp</t>
        </is>
      </c>
      <c r="H7818" s="10" t="inlineStr">
        <is>
          <t>14/01/2026</t>
        </is>
      </c>
      <c r="I7818" s="10" t="inlineStr">
        <is>
          <t>05/04/2026</t>
        </is>
      </c>
      <c r="J7818" s="10" t="inlineStr">
        <is>
          <t>17/03/2026</t>
        </is>
      </c>
      <c r="K7818" s="10" t="inlineStr">
        <is>
          <t>N/A</t>
        </is>
      </c>
      <c r="L7818" s="10" t="inlineStr">
        <is>
          <t>Client Onboarding, Client Database, Client Relations, After-Sales Support, Sales Report Analysis</t>
        </is>
      </c>
      <c r="M7818" s="10" t="inlineStr">
        <is>
          <t>Healthcare Plan, Laptop, Travel Opportunities</t>
        </is>
      </c>
      <c r="N7818" s="11">
        <f>HYPERLINK("https://www.vietnamworks.com/business-development-staff--2002417-jv","Xem chi tiết")</f>
        <v/>
      </c>
      <c r="O7818" s="10" t="n"/>
    </row>
    <row r="7819">
      <c r="B7819" s="7" t="n">
        <v>7817</v>
      </c>
      <c r="C7819" t="inlineStr">
        <is>
          <t>Quản Lý Kinh Doanh HVAC (Chillers &amp; VRF)</t>
        </is>
      </c>
      <c r="D7819" t="inlineStr">
        <is>
          <t>CÔNG TY TNHH HI-M SOLUTEK VIỆT NAM</t>
        </is>
      </c>
      <c r="E7819" t="inlineStr">
        <is>
          <t>Thương lượng</t>
        </is>
      </c>
      <c r="F7819" t="inlineStr">
        <is>
          <t>Hà Nội</t>
        </is>
      </c>
      <c r="G7819" t="inlineStr">
        <is>
          <t>Nhân viên</t>
        </is>
      </c>
      <c r="H7819" t="inlineStr">
        <is>
          <t>13/01/2026</t>
        </is>
      </c>
      <c r="I7819" t="inlineStr">
        <is>
          <t>05/04/2026</t>
        </is>
      </c>
      <c r="J7819" t="inlineStr">
        <is>
          <t>17/03/2026</t>
        </is>
      </c>
      <c r="K7819" t="inlineStr">
        <is>
          <t>N/A</t>
        </is>
      </c>
      <c r="L7819" t="inlineStr">
        <is>
          <t>HVAC, CAD Drawings, Sales Management, Sales Engineering, Mechanical</t>
        </is>
      </c>
      <c r="M7819" t="inlineStr">
        <is>
          <t>Bonus, Paid Leave, Others</t>
        </is>
      </c>
      <c r="N7819" s="8">
        <f>HYPERLINK("https://www.vietnamworks.com/quan-ly-kinh-doanh-hvac-chillers-vrf-2002217-jv","Xem chi tiết")</f>
        <v/>
      </c>
    </row>
    <row r="7820">
      <c r="B7820" s="9" t="n">
        <v>7818</v>
      </c>
      <c r="C7820" s="10" t="inlineStr">
        <is>
          <t>Operation Executive (Business Development) - FDI Singapore</t>
        </is>
      </c>
      <c r="D7820" s="10" t="inlineStr">
        <is>
          <t>Công ty TNHH Nhãn hiệu Toàn cầu LAC (VietNam)</t>
        </is>
      </c>
      <c r="E7820" s="10" t="inlineStr">
        <is>
          <t>Thương lượng</t>
        </is>
      </c>
      <c r="F7820" s="10" t="inlineStr">
        <is>
          <t>Hồ Chí Minh</t>
        </is>
      </c>
      <c r="G7820" s="10" t="inlineStr">
        <is>
          <t>Nhân viên</t>
        </is>
      </c>
      <c r="H7820" s="10" t="inlineStr">
        <is>
          <t>02/02/2024</t>
        </is>
      </c>
      <c r="I7820" s="10" t="inlineStr">
        <is>
          <t>05/04/2026</t>
        </is>
      </c>
      <c r="J7820" s="10" t="inlineStr">
        <is>
          <t>17/03/2026</t>
        </is>
      </c>
      <c r="K7820" s="10" t="inlineStr">
        <is>
          <t>N/A</t>
        </is>
      </c>
      <c r="L7820" s="10" t="inlineStr">
        <is>
          <t>Operations Management, Retail Operation, Warehouse, Operations Planning, Quản Lý Hệ Thống Bán Lẻ</t>
        </is>
      </c>
      <c r="M7820" s="10" t="inlineStr">
        <is>
          <t>Healthcare Plan, Paid Leave, Training</t>
        </is>
      </c>
      <c r="N7820" s="11">
        <f>HYPERLINK("https://www.vietnamworks.com/operation-executive-business-development-fdi-singapore-1740350-jv","Xem chi tiết")</f>
        <v/>
      </c>
      <c r="O7820" s="10" t="n"/>
    </row>
    <row r="7821">
      <c r="B7821" s="7" t="n">
        <v>7819</v>
      </c>
      <c r="C7821" t="inlineStr">
        <is>
          <t>EHS Senior Officer/ Nhân Viên Cấp Cao Môi Trường- Sức Khỏe- An Toàn - Work in Nui Thanh, Da Nang (Huyện Núi Thành, Tỉnh Quảng Nam Cũ)</t>
        </is>
      </c>
      <c r="D7821" t="inlineStr">
        <is>
          <t>Công Ty TNHH CCI Việt Nam</t>
        </is>
      </c>
      <c r="E7821" t="inlineStr">
        <is>
          <t>Thương lượng</t>
        </is>
      </c>
      <c r="F7821" t="inlineStr">
        <is>
          <t>Đà Nẵng</t>
        </is>
      </c>
      <c r="G7821" t="inlineStr">
        <is>
          <t>Nhân viên</t>
        </is>
      </c>
      <c r="H7821" t="inlineStr">
        <is>
          <t>13/01/2026</t>
        </is>
      </c>
      <c r="I7821" t="inlineStr">
        <is>
          <t>05/04/2026</t>
        </is>
      </c>
      <c r="J7821" t="inlineStr">
        <is>
          <t>17/03/2026</t>
        </is>
      </c>
      <c r="K7821" t="inlineStr">
        <is>
          <t>N/A</t>
        </is>
      </c>
      <c r="L7821" t="inlineStr">
        <is>
          <t>Data Analysis, English Communication, ISO, EHS, RBA &amp; EHS</t>
        </is>
      </c>
      <c r="M7821" t="inlineStr">
        <is>
          <t>Bonus, Healthcare Plan, Paid Leave</t>
        </is>
      </c>
      <c r="N7821" s="8">
        <f>HYPERLINK("https://www.vietnamworks.com/ehs-senior-officer-nhan-vien-cap-cao-moi-truong-suc-khoe-an-toan-work-in-nui-thanh-da-nang-huyen-nui-thanh-tinh-quang-nam-cu-2002098-jv","Xem chi tiết")</f>
        <v/>
      </c>
    </row>
    <row r="7822">
      <c r="B7822" s="9" t="n">
        <v>7820</v>
      </c>
      <c r="C7822" s="10" t="inlineStr">
        <is>
          <t>Chuyên Viên Kinh Doanh Lĩnh Vực Y Tế - Business Development Executive</t>
        </is>
      </c>
      <c r="D7822" s="10" t="inlineStr">
        <is>
          <t>Viet Nam Pathology Laboratory Company Limited</t>
        </is>
      </c>
      <c r="E7822" s="10" t="inlineStr">
        <is>
          <t>$$ 500-1,200 /tháng</t>
        </is>
      </c>
      <c r="F7822" s="10" t="inlineStr">
        <is>
          <t>Hồ Chí Minh</t>
        </is>
      </c>
      <c r="G7822" s="10" t="inlineStr">
        <is>
          <t>Nhân viên</t>
        </is>
      </c>
      <c r="H7822" s="10" t="inlineStr">
        <is>
          <t>12/01/2026</t>
        </is>
      </c>
      <c r="I7822" s="10" t="inlineStr">
        <is>
          <t>05/04/2026</t>
        </is>
      </c>
      <c r="J7822" s="10" t="inlineStr">
        <is>
          <t>17/03/2026</t>
        </is>
      </c>
      <c r="K7822" s="10" t="inlineStr">
        <is>
          <t>N/A</t>
        </is>
      </c>
      <c r="L7822" s="10" t="inlineStr">
        <is>
          <t>Kinh Doanh Y Tế, Dịch Vụ Y Tế, Phát Triển Kinh Doanh, Tìm Kiếm Khách Hàng, Xây Dựng Mối Quan Hệ</t>
        </is>
      </c>
      <c r="M7822" s="10" t="inlineStr">
        <is>
          <t>Bonus, Healthcare Plan, Laptop</t>
        </is>
      </c>
      <c r="N7822" s="11">
        <f>HYPERLINK("https://www.vietnamworks.com/chuyen-vien-kinh-doanh-linh-vuc-y-te-business-development-executive--2001528-jv","Xem chi tiết")</f>
        <v/>
      </c>
      <c r="O7822" s="10" t="n"/>
    </row>
    <row r="7823">
      <c r="B7823" s="7" t="n">
        <v>7821</v>
      </c>
      <c r="C7823" t="inlineStr">
        <is>
          <t>Phó Phòng Marketing Bất Động Sản</t>
        </is>
      </c>
      <c r="D7823" t="inlineStr">
        <is>
          <t>Công Ty Cổ Phần Tập Đoàn BRG</t>
        </is>
      </c>
      <c r="E7823" t="inlineStr">
        <is>
          <t>Thương lượng</t>
        </is>
      </c>
      <c r="F7823" t="inlineStr">
        <is>
          <t>Hà Nội</t>
        </is>
      </c>
      <c r="G7823" t="inlineStr">
        <is>
          <t>Trưởng phòng</t>
        </is>
      </c>
      <c r="H7823" t="inlineStr">
        <is>
          <t>15/01/2026</t>
        </is>
      </c>
      <c r="I7823" t="inlineStr">
        <is>
          <t>05/04/2026</t>
        </is>
      </c>
      <c r="J7823" t="inlineStr">
        <is>
          <t>17/03/2026</t>
        </is>
      </c>
      <c r="K7823" t="inlineStr">
        <is>
          <t>N/A</t>
        </is>
      </c>
      <c r="L7823" t="inlineStr">
        <is>
          <t>Marketing Tổng Hợp, IMC Plan, Bất Động Sản, Lập Kế Hoạch Marketing</t>
        </is>
      </c>
      <c r="M7823" t="inlineStr">
        <is>
          <t>Bonus, Healthcare Plan, Travel Opportunities</t>
        </is>
      </c>
      <c r="N7823" s="8">
        <f>HYPERLINK("https://www.vietnamworks.com/pho-phong-marketing-bat-dong-san--2002985-jv","Xem chi tiết")</f>
        <v/>
      </c>
    </row>
    <row r="7824">
      <c r="B7824" s="9" t="n">
        <v>7822</v>
      </c>
      <c r="C7824" s="10" t="inlineStr">
        <is>
          <t>Giám Đốc Nhà Máy (Sản Xuất Nội Thất)</t>
        </is>
      </c>
      <c r="D7824" s="10" t="inlineStr">
        <is>
          <t>CÔNG TY TRÁCH NHIỆM HỮU HẠN SAIGON ĐỒ GỖ QUỐC TẾ</t>
        </is>
      </c>
      <c r="E7824" s="10" t="inlineStr">
        <is>
          <t>Thương lượng</t>
        </is>
      </c>
      <c r="F7824" s="10" t="inlineStr">
        <is>
          <t>Hồ Chí Minh, Bình Dương</t>
        </is>
      </c>
      <c r="G7824" s="10" t="inlineStr">
        <is>
          <t>Giám Đốc và Cấp Cao Hơn</t>
        </is>
      </c>
      <c r="H7824" s="10" t="inlineStr">
        <is>
          <t>12/01/2026</t>
        </is>
      </c>
      <c r="I7824" s="10" t="inlineStr">
        <is>
          <t>05/04/2026</t>
        </is>
      </c>
      <c r="J7824" s="10" t="inlineStr">
        <is>
          <t>17/03/2026</t>
        </is>
      </c>
      <c r="K7824" s="10" t="inlineStr">
        <is>
          <t>N/A</t>
        </is>
      </c>
      <c r="L7824" s="10" t="inlineStr">
        <is>
          <t>Quản Lý Sản Xuất, Kiểm Soát Chất Lượng, Quản Lý Cung Ứng, Nội Thất, Furniture</t>
        </is>
      </c>
      <c r="M7824" s="10" t="inlineStr">
        <is>
          <t>Bonus, Healthcare Plan, Transportation, Others</t>
        </is>
      </c>
      <c r="N7824" s="11">
        <f>HYPERLINK("https://www.vietnamworks.com/giam-djoc-nha-may-san-xuat-noi-that-2001809-jv","Xem chi tiết")</f>
        <v/>
      </c>
      <c r="O7824" s="10" t="n"/>
    </row>
    <row r="7825">
      <c r="B7825" s="7" t="n">
        <v>7823</v>
      </c>
      <c r="C7825" t="inlineStr">
        <is>
          <t>Archicad Architects (Kiến Trúc Sư Archicad)</t>
        </is>
      </c>
      <c r="D7825" t="inlineStr">
        <is>
          <t>CÔNG TY TNHH PLANB</t>
        </is>
      </c>
      <c r="E7825" t="inlineStr">
        <is>
          <t>Thương lượng</t>
        </is>
      </c>
      <c r="F7825" t="inlineStr">
        <is>
          <t>Hồ Chí Minh</t>
        </is>
      </c>
      <c r="G7825" t="inlineStr">
        <is>
          <t>Nhân viên</t>
        </is>
      </c>
      <c r="H7825" t="inlineStr">
        <is>
          <t>15/01/2026</t>
        </is>
      </c>
      <c r="I7825" t="inlineStr">
        <is>
          <t>05/04/2026</t>
        </is>
      </c>
      <c r="J7825" t="inlineStr">
        <is>
          <t>17/03/2026</t>
        </is>
      </c>
      <c r="K7825" t="inlineStr">
        <is>
          <t>N/A</t>
        </is>
      </c>
      <c r="L7825" t="inlineStr">
        <is>
          <t>Architecture Drawing, 2D&amp;3D Drawing, Architectural Design, ArchiCAD, kiến trúc sư</t>
        </is>
      </c>
      <c r="M7825" t="inlineStr">
        <is>
          <t>Bonus, Healthcare Plan, Paid Leave, Team Activities</t>
        </is>
      </c>
      <c r="N7825" s="8">
        <f>HYPERLINK("https://www.vietnamworks.com/archicad-architects-kien-truc-su-archicad-2002820-jv","Xem chi tiết")</f>
        <v/>
      </c>
    </row>
    <row r="7826">
      <c r="B7826" s="9" t="n">
        <v>7824</v>
      </c>
      <c r="C7826" s="10" t="inlineStr">
        <is>
          <t>Welding Materials Engineer/ Kỹ Sư Hàn</t>
        </is>
      </c>
      <c r="D7826" s="10" t="inlineStr">
        <is>
          <t>Công Ty TNHH HYUNDAI Welding VINA</t>
        </is>
      </c>
      <c r="E7826" s="10" t="inlineStr">
        <is>
          <t>$$ 500-1,500 /tháng</t>
        </is>
      </c>
      <c r="F7826" s="10" t="inlineStr">
        <is>
          <t>Đồng Nai</t>
        </is>
      </c>
      <c r="G7826" s="10" t="inlineStr">
        <is>
          <t>Nhân viên</t>
        </is>
      </c>
      <c r="H7826" s="10" t="inlineStr">
        <is>
          <t>14/01/2026</t>
        </is>
      </c>
      <c r="I7826" s="10" t="inlineStr">
        <is>
          <t>05/04/2026</t>
        </is>
      </c>
      <c r="J7826" s="10" t="inlineStr">
        <is>
          <t>17/03/2026</t>
        </is>
      </c>
      <c r="K7826" s="10" t="inlineStr">
        <is>
          <t>N/A</t>
        </is>
      </c>
      <c r="L7826" s="10" t="inlineStr">
        <is>
          <t>Welding Inspection, Mechanical, Mechanical Engineering, Công Nghệ Hàn, Process Improvement</t>
        </is>
      </c>
      <c r="M7826" s="10" t="inlineStr">
        <is>
          <t>Bonus, Training, Others</t>
        </is>
      </c>
      <c r="N7826" s="11">
        <f>HYPERLINK("https://www.vietnamworks.com/welding-materials-engineer-ky-su-han-2002523-jv","Xem chi tiết")</f>
        <v/>
      </c>
      <c r="O7826" s="10" t="n"/>
    </row>
    <row r="7827">
      <c r="B7827" s="7" t="n">
        <v>7825</v>
      </c>
      <c r="C7827" t="inlineStr">
        <is>
          <t>Nhân Viên Kinh Doanh</t>
        </is>
      </c>
      <c r="D7827" t="inlineStr">
        <is>
          <t>Công Ty Cổ Phần Giải Pháp Công Nghệ Hctech</t>
        </is>
      </c>
      <c r="E7827" t="inlineStr">
        <is>
          <t>12tr-20tr ₫/tháng</t>
        </is>
      </c>
      <c r="F7827" t="inlineStr">
        <is>
          <t>Hồ Chí Minh, Hà Nội, Đà Nẵng</t>
        </is>
      </c>
      <c r="G7827" t="inlineStr">
        <is>
          <t>Nhân viên</t>
        </is>
      </c>
      <c r="H7827" t="inlineStr">
        <is>
          <t>15/01/2026</t>
        </is>
      </c>
      <c r="I7827" t="inlineStr">
        <is>
          <t>05/04/2026</t>
        </is>
      </c>
      <c r="J7827" t="inlineStr">
        <is>
          <t>17/03/2026</t>
        </is>
      </c>
      <c r="K7827" t="inlineStr">
        <is>
          <t>N/A</t>
        </is>
      </c>
      <c r="L7827" t="inlineStr">
        <is>
          <t>Quản Trị Kinh Doanh, Công Nghệ Thông Tin, Điện Tử Viễn Thông, Kinh Doanh, Sales Planning</t>
        </is>
      </c>
      <c r="M7827" t="inlineStr">
        <is>
          <t>Bonus, Healthcare Plan, Training, Awards, Travel Opportunities, Team Activities</t>
        </is>
      </c>
      <c r="N7827" s="8">
        <f>HYPERLINK("https://www.vietnamworks.com/nhan-vien-kinh-doanh-2003132-jv","Xem chi tiết")</f>
        <v/>
      </c>
    </row>
    <row r="7828">
      <c r="B7828" s="9" t="n">
        <v>7826</v>
      </c>
      <c r="C7828" s="10" t="inlineStr">
        <is>
          <t>Rooftop Solar Supervisor / Electrical Engineer</t>
        </is>
      </c>
      <c r="D7828" s="10" t="inlineStr">
        <is>
          <t>Công Ty TNHH Somec</t>
        </is>
      </c>
      <c r="E7828" s="10" t="inlineStr">
        <is>
          <t>Thương lượng</t>
        </is>
      </c>
      <c r="F7828" s="10" t="inlineStr">
        <is>
          <t>Hồ Chí Minh</t>
        </is>
      </c>
      <c r="G7828" s="10" t="inlineStr">
        <is>
          <t>Nhân viên</t>
        </is>
      </c>
      <c r="H7828" s="10" t="inlineStr">
        <is>
          <t>14/01/2026</t>
        </is>
      </c>
      <c r="I7828" s="10" t="inlineStr">
        <is>
          <t>05/04/2026</t>
        </is>
      </c>
      <c r="J7828" s="10" t="inlineStr">
        <is>
          <t>17/03/2026</t>
        </is>
      </c>
      <c r="K7828" s="10" t="inlineStr">
        <is>
          <t>N/A</t>
        </is>
      </c>
      <c r="L7828" s="10" t="inlineStr">
        <is>
          <t>Solar Construction, Solar Energy, AutoCAD, Solar Design, solar</t>
        </is>
      </c>
      <c r="M7828" s="10" t="inlineStr">
        <is>
          <t>Bonus, Healthcare Plan, Paid Leave, Team Activities, Others</t>
        </is>
      </c>
      <c r="N7828" s="11">
        <f>HYPERLINK("https://www.vietnamworks.com/rooftop-solar-supervisor-electrical-engineer-2002394-jv","Xem chi tiết")</f>
        <v/>
      </c>
      <c r="O7828" s="10" t="n"/>
    </row>
    <row r="7829">
      <c r="B7829" s="7" t="n">
        <v>7827</v>
      </c>
      <c r="C7829" t="inlineStr">
        <is>
          <t>Giám Đốc Điều Hành</t>
        </is>
      </c>
      <c r="D7829" t="inlineStr">
        <is>
          <t>Công Ty Cổ Phần Giải Pháp Công Nghệ Hctech</t>
        </is>
      </c>
      <c r="E7829" t="inlineStr">
        <is>
          <t>Tới 40tr ₫/tháng</t>
        </is>
      </c>
      <c r="F7829" t="inlineStr">
        <is>
          <t>Hồ Chí Minh, Đà Nẵng, Hà Nội</t>
        </is>
      </c>
      <c r="G7829" t="inlineStr">
        <is>
          <t>Giám Đốc và Cấp Cao Hơn</t>
        </is>
      </c>
      <c r="H7829" t="inlineStr">
        <is>
          <t>16/01/2026</t>
        </is>
      </c>
      <c r="I7829" t="inlineStr">
        <is>
          <t>05/04/2026</t>
        </is>
      </c>
      <c r="J7829" t="inlineStr">
        <is>
          <t>17/03/2026</t>
        </is>
      </c>
      <c r="K7829" t="inlineStr">
        <is>
          <t>N/A</t>
        </is>
      </c>
      <c r="L7829" t="inlineStr">
        <is>
          <t>Quản Lý Đội Nhóm, Kế Hoạch Kinh Doanh, Phát Triển Khách Hàng, Bán hàng, Business Development</t>
        </is>
      </c>
      <c r="M7829" t="inlineStr">
        <is>
          <t>Bonus, Healthcare Plan, Paid Leave, Awards, Travel Opportunities, Others</t>
        </is>
      </c>
      <c r="N7829" s="8">
        <f>HYPERLINK("https://www.vietnamworks.com/giam-djoc-djieu-hanh-2003224-jv","Xem chi tiết")</f>
        <v/>
      </c>
    </row>
    <row r="7830">
      <c r="B7830" s="9" t="n">
        <v>7828</v>
      </c>
      <c r="C7830" s="10" t="inlineStr">
        <is>
          <t>Nhân Viên Sales Nội Địa - Chuyên Viên Bán Hàng</t>
        </is>
      </c>
      <c r="D7830" s="10" t="inlineStr">
        <is>
          <t>Công Ty Cổ Phần Tập Đoàn Trân Châu</t>
        </is>
      </c>
      <c r="E7830" s="10" t="inlineStr">
        <is>
          <t>$$ 500-1,000 /tháng</t>
        </is>
      </c>
      <c r="F7830" s="10" t="inlineStr">
        <is>
          <t>Hồ Chí Minh</t>
        </is>
      </c>
      <c r="G7830" s="10" t="inlineStr">
        <is>
          <t>Nhân viên</t>
        </is>
      </c>
      <c r="H7830" s="10" t="inlineStr">
        <is>
          <t>15/01/2026</t>
        </is>
      </c>
      <c r="I7830" s="10" t="inlineStr">
        <is>
          <t>05/04/2026</t>
        </is>
      </c>
      <c r="J7830" s="10" t="inlineStr">
        <is>
          <t>17/03/2026</t>
        </is>
      </c>
      <c r="K7830" s="10" t="inlineStr">
        <is>
          <t>N/A</t>
        </is>
      </c>
      <c r="L7830" s="10" t="inlineStr">
        <is>
          <t>Horeca Sales, Tìm Kiếm Khách Hàng, Sales In F&amp;B, Phát Triển Thị Trường, Phát Triển Đại Lý</t>
        </is>
      </c>
      <c r="M7830" s="10" t="inlineStr">
        <is>
          <t>Bonus, Healthcare Plan</t>
        </is>
      </c>
      <c r="N7830" s="11">
        <f>HYPERLINK("https://www.vietnamworks.com/nhan-vien-sales-noi-dia-chuyen-vien-ban-hang-2002849-jv","Xem chi tiết")</f>
        <v/>
      </c>
      <c r="O7830" s="10" t="n"/>
    </row>
    <row r="7831">
      <c r="B7831" s="7" t="n">
        <v>7829</v>
      </c>
      <c r="C7831" t="inlineStr">
        <is>
          <t>Kế Toán Tổng Hợp / General Accountant</t>
        </is>
      </c>
      <c r="D7831" t="inlineStr">
        <is>
          <t>Công Ty TNHH Somec</t>
        </is>
      </c>
      <c r="E7831" t="inlineStr">
        <is>
          <t>Thương lượng</t>
        </is>
      </c>
      <c r="F7831" t="inlineStr">
        <is>
          <t>Hồ Chí Minh</t>
        </is>
      </c>
      <c r="G7831" t="inlineStr">
        <is>
          <t>Nhân viên</t>
        </is>
      </c>
      <c r="H7831" t="inlineStr">
        <is>
          <t>14/01/2026</t>
        </is>
      </c>
      <c r="I7831" t="inlineStr">
        <is>
          <t>05/04/2026</t>
        </is>
      </c>
      <c r="J7831" t="inlineStr">
        <is>
          <t>17/03/2026</t>
        </is>
      </c>
      <c r="K7831" t="inlineStr">
        <is>
          <t>N/A</t>
        </is>
      </c>
      <c r="L7831" t="inlineStr">
        <is>
          <t>Tài Chính, Kế Toán Tổng Hợp, Kế Toán, Accountant, Auditing</t>
        </is>
      </c>
      <c r="M7831" t="inlineStr">
        <is>
          <t>Bonus, Healthcare Plan, Team Activities, Others</t>
        </is>
      </c>
      <c r="N7831" s="8">
        <f>HYPERLINK("https://www.vietnamworks.com/ke-toan-tong-hop-general-accountant-2002389-jv","Xem chi tiết")</f>
        <v/>
      </c>
    </row>
    <row r="7832">
      <c r="B7832" s="9" t="n">
        <v>7830</v>
      </c>
      <c r="C7832" s="10" t="inlineStr">
        <is>
          <t>Phó Phòng Pháp Chế (01 Nam Định)</t>
        </is>
      </c>
      <c r="D7832" s="10" t="inlineStr">
        <is>
          <t>VSIP Nam Định</t>
        </is>
      </c>
      <c r="E7832" s="10" t="inlineStr">
        <is>
          <t>Thương lượng</t>
        </is>
      </c>
      <c r="F7832" s="10" t="inlineStr">
        <is>
          <t>Nam Định, Thái Bình</t>
        </is>
      </c>
      <c r="G7832" s="10" t="inlineStr">
        <is>
          <t>Trưởng phòng</t>
        </is>
      </c>
      <c r="H7832" s="10" t="inlineStr">
        <is>
          <t>16/01/2026</t>
        </is>
      </c>
      <c r="I7832" s="10" t="inlineStr">
        <is>
          <t>05/04/2026</t>
        </is>
      </c>
      <c r="J7832" s="10" t="inlineStr">
        <is>
          <t>17/03/2026</t>
        </is>
      </c>
      <c r="K7832" s="10" t="inlineStr">
        <is>
          <t>N/A</t>
        </is>
      </c>
      <c r="L7832" s="10" t="inlineStr">
        <is>
          <t>Chứng Chỉ Hành Nghề Luật Sư, Luật, Pháp Chế Doanh Nghiệp, Pháp Lý, Tư Vấn Pháp Lý</t>
        </is>
      </c>
      <c r="M7832" s="10" t="inlineStr">
        <is>
          <t>Bonus, Healthcare Plan, Paid Leave, Team Activities, Others</t>
        </is>
      </c>
      <c r="N7832" s="11">
        <f>HYPERLINK("https://www.vietnamworks.com/pho-phong-phap-che-01-nam-dinh-2003420-jv","Xem chi tiết")</f>
        <v/>
      </c>
      <c r="O7832" s="10" t="n"/>
    </row>
    <row r="7833">
      <c r="B7833" s="7" t="n">
        <v>7831</v>
      </c>
      <c r="C7833" t="inlineStr">
        <is>
          <t>Nhân Viên Bảo Trì Cơ</t>
        </is>
      </c>
      <c r="D7833" t="inlineStr">
        <is>
          <t>CÔNG TY TNHH SEAH M&amp;S VIỆT NAM</t>
        </is>
      </c>
      <c r="E7833" t="inlineStr">
        <is>
          <t>$$ 450-500 /tháng</t>
        </is>
      </c>
      <c r="F7833" t="inlineStr">
        <is>
          <t>Bà Rịa - Vũng Tàu</t>
        </is>
      </c>
      <c r="G7833" t="inlineStr">
        <is>
          <t>Nhân viên</t>
        </is>
      </c>
      <c r="H7833" t="inlineStr">
        <is>
          <t>16/01/2026</t>
        </is>
      </c>
      <c r="I7833" t="inlineStr">
        <is>
          <t>05/04/2026</t>
        </is>
      </c>
      <c r="J7833" t="inlineStr">
        <is>
          <t>17/03/2026</t>
        </is>
      </c>
      <c r="K7833" t="inlineStr">
        <is>
          <t>N/A</t>
        </is>
      </c>
      <c r="L7833" t="inlineStr">
        <is>
          <t>Kỹ Thuật, Cơ Khí, Điện, Bảo Trì, Sản xuất</t>
        </is>
      </c>
      <c r="M7833" t="inlineStr">
        <is>
          <t>Bonus, Awards, Transportation</t>
        </is>
      </c>
      <c r="N7833" s="8">
        <f>HYPERLINK("https://www.vietnamworks.com/nhan-vien-bao-tri-co--2003258-jv","Xem chi tiết")</f>
        <v/>
      </c>
    </row>
    <row r="7834">
      <c r="B7834" s="9" t="n">
        <v>7832</v>
      </c>
      <c r="C7834" s="10" t="inlineStr">
        <is>
          <t>Giám Đốc Kinh Doanh - Thương Hiệu BĐS Cao Cấp ROX Signature - Tập Đoàn ROX Group - HO - 1U013</t>
        </is>
      </c>
      <c r="D7834" s="10" t="inlineStr">
        <is>
          <t>Tập đoàn ROX (ROX Group)</t>
        </is>
      </c>
      <c r="E7834" s="10" t="inlineStr">
        <is>
          <t>Thương lượng</t>
        </is>
      </c>
      <c r="F7834" s="10" t="inlineStr">
        <is>
          <t>Hà Nội</t>
        </is>
      </c>
      <c r="G7834" s="10" t="inlineStr">
        <is>
          <t>Giám Đốc và Cấp Cao Hơn</t>
        </is>
      </c>
      <c r="H7834" s="10" t="inlineStr">
        <is>
          <t>15/01/2026</t>
        </is>
      </c>
      <c r="I7834" s="10" t="inlineStr">
        <is>
          <t>05/04/2026</t>
        </is>
      </c>
      <c r="J7834" s="10" t="inlineStr">
        <is>
          <t>17/03/2026</t>
        </is>
      </c>
      <c r="K7834" s="10" t="inlineStr">
        <is>
          <t>N/A</t>
        </is>
      </c>
      <c r="L7834" s="10" t="inlineStr">
        <is>
          <t>Quản Lý Đại Lý, Bất Động Sản, Kinh Doanh</t>
        </is>
      </c>
      <c r="M7834" s="10" t="inlineStr">
        <is>
          <t>Bonus, Healthcare Plan, Paid Leave</t>
        </is>
      </c>
      <c r="N7834" s="11">
        <f>HYPERLINK("https://www.vietnamworks.com/giam-doc-kinh-doanh-thuong-hieu-bds-cao-cap-rox-signature-tap-doan-rox-group-ho-1u013-2003052-jv","Xem chi tiết")</f>
        <v/>
      </c>
      <c r="O7834" s="10" t="n"/>
    </row>
    <row r="7835">
      <c r="B7835" s="7" t="n">
        <v>7833</v>
      </c>
      <c r="C7835" t="inlineStr">
        <is>
          <t>[Hot] Kế Toán Trưởng - Lương Từ 15-20Tr/tháng (Chấp Nhận Phỏng Vấn Trước Tết Đi Làm Sau Tết)</t>
        </is>
      </c>
      <c r="D7835" t="inlineStr">
        <is>
          <t>CÔNG TY CỔ PHẦN BÊ TÔNG SƠN ĐÔNG</t>
        </is>
      </c>
      <c r="E7835" t="inlineStr">
        <is>
          <t>Thương lượng</t>
        </is>
      </c>
      <c r="F7835" t="inlineStr">
        <is>
          <t>Phú Thọ, Vĩnh Phúc</t>
        </is>
      </c>
      <c r="G7835" t="inlineStr">
        <is>
          <t>Trưởng phòng</t>
        </is>
      </c>
      <c r="H7835" t="inlineStr">
        <is>
          <t>15/01/2026</t>
        </is>
      </c>
      <c r="I7835" t="inlineStr">
        <is>
          <t>05/04/2026</t>
        </is>
      </c>
      <c r="J7835" t="inlineStr">
        <is>
          <t>17/03/2026</t>
        </is>
      </c>
      <c r="K7835" t="inlineStr">
        <is>
          <t>N/A</t>
        </is>
      </c>
      <c r="L7835" t="inlineStr">
        <is>
          <t>Kiểm Toán, Tài Chính, Báo Cáo Tài Chính, Kiểm Soát Công Nợ, Kiểm Soát Nội Bộ</t>
        </is>
      </c>
      <c r="M7835" t="inlineStr">
        <is>
          <t>Bonus, Healthcare Plan, Team Activities, Others</t>
        </is>
      </c>
      <c r="N7835" s="8">
        <f>HYPERLINK("https://www.vietnamworks.com/hot-ke-toan-truong-luong-tu-15-20trthang-chap-nhan-phong-van-truoc-tet-dji-lam-sau-tet-2003109-jv","Xem chi tiết")</f>
        <v/>
      </c>
    </row>
    <row r="7836">
      <c r="B7836" s="9" t="n">
        <v>7834</v>
      </c>
      <c r="C7836" s="10" t="inlineStr">
        <is>
          <t>Chuyên Viên Digital Marketing (Ads) Có Thể Đi Làm Sau Tết- Upto 30Tr</t>
        </is>
      </c>
      <c r="D7836" s="10" t="inlineStr">
        <is>
          <t>CÔNG TY CỔ PHẦN HỢP TÁC THƯƠNG MẠI VÀ DỊCH VỤ JVGROUP</t>
        </is>
      </c>
      <c r="E7836" s="10" t="inlineStr">
        <is>
          <t>Tới 30tr ₫/tháng</t>
        </is>
      </c>
      <c r="F7836" s="10" t="inlineStr">
        <is>
          <t>Hà Nội</t>
        </is>
      </c>
      <c r="G7836" s="10" t="inlineStr">
        <is>
          <t>Nhân viên</t>
        </is>
      </c>
      <c r="H7836" s="10" t="inlineStr">
        <is>
          <t>19/01/2026</t>
        </is>
      </c>
      <c r="I7836" s="10" t="inlineStr">
        <is>
          <t>05/04/2026</t>
        </is>
      </c>
      <c r="J7836" s="10" t="inlineStr">
        <is>
          <t>17/03/2026</t>
        </is>
      </c>
      <c r="K7836" s="10" t="inlineStr">
        <is>
          <t>N/A</t>
        </is>
      </c>
      <c r="L7836" s="10" t="inlineStr">
        <is>
          <t>Google Ads, Facebook Ads Content, Digital Performance, Digital Marketing, Adobe Photoshop</t>
        </is>
      </c>
      <c r="M7836" s="10" t="inlineStr">
        <is>
          <t>Bonus, Healthcare Plan</t>
        </is>
      </c>
      <c r="N7836" s="11">
        <f>HYPERLINK("https://www.vietnamworks.com/chuyen-vien-digital-marketing-ads-co-the-di-lam-sau-tet-upto-30tr-2003742-jv","Xem chi tiết")</f>
        <v/>
      </c>
      <c r="O7836" s="10" t="n"/>
    </row>
    <row r="7837">
      <c r="B7837" s="7" t="n">
        <v>7835</v>
      </c>
      <c r="C7837" t="inlineStr">
        <is>
          <t>PM - Thi Công Hoàn Thiện Nội Thất</t>
        </is>
      </c>
      <c r="D7837" t="inlineStr">
        <is>
          <t>Alliance Construction &amp; Fine Furniture Company</t>
        </is>
      </c>
      <c r="E7837" t="inlineStr">
        <is>
          <t>Thương lượng</t>
        </is>
      </c>
      <c r="F7837" t="inlineStr">
        <is>
          <t>Hà Nội, Quảng Ninh, Hồ Chí Minh</t>
        </is>
      </c>
      <c r="G7837" t="inlineStr">
        <is>
          <t>Trưởng phòng</t>
        </is>
      </c>
      <c r="H7837" t="inlineStr">
        <is>
          <t>16/01/2026</t>
        </is>
      </c>
      <c r="I7837" t="inlineStr">
        <is>
          <t>05/04/2026</t>
        </is>
      </c>
      <c r="J7837" t="inlineStr">
        <is>
          <t>17/03/2026</t>
        </is>
      </c>
      <c r="K7837" t="inlineStr">
        <is>
          <t>N/A</t>
        </is>
      </c>
      <c r="L7837" t="inlineStr">
        <is>
          <t>Chỉ Huy Công Trình, Quản Lý Dự Án, Trang Trí Nội Thất, Giám Sát Nhà Thầu, Hoàn Thiện Công Trình</t>
        </is>
      </c>
      <c r="M7837" t="inlineStr">
        <is>
          <t>Bonus, Paid Leave, Team Activities</t>
        </is>
      </c>
      <c r="N7837" s="8">
        <f>HYPERLINK("https://www.vietnamworks.com/pm-thi-cong-hoan-thien-noi-that--2003523-jv","Xem chi tiết")</f>
        <v/>
      </c>
    </row>
    <row r="7838">
      <c r="B7838" s="9" t="n">
        <v>7836</v>
      </c>
      <c r="C7838" s="10" t="inlineStr">
        <is>
          <t>Lập Trình Viên Phần Mềm (C#, ReactJS)</t>
        </is>
      </c>
      <c r="D7838" s="10" t="inlineStr">
        <is>
          <t>Công Ty TNHH Thiết Bị Minh Tâm (Mitalab Co., Ltd)</t>
        </is>
      </c>
      <c r="E7838" s="10" t="inlineStr">
        <is>
          <t>Thương lượng</t>
        </is>
      </c>
      <c r="F7838" s="10" t="inlineStr">
        <is>
          <t>Hà Nội</t>
        </is>
      </c>
      <c r="G7838" s="10" t="inlineStr">
        <is>
          <t>Nhân viên</t>
        </is>
      </c>
      <c r="H7838" s="10" t="inlineStr">
        <is>
          <t>19/01/2026</t>
        </is>
      </c>
      <c r="I7838" s="10" t="inlineStr">
        <is>
          <t>05/04/2026</t>
        </is>
      </c>
      <c r="J7838" s="10" t="inlineStr">
        <is>
          <t>17/03/2026</t>
        </is>
      </c>
      <c r="K7838" s="10" t="inlineStr">
        <is>
          <t>N/A</t>
        </is>
      </c>
      <c r="L7838" s="10" t="inlineStr">
        <is>
          <t>.NetCore, ReactJs, CSharp</t>
        </is>
      </c>
      <c r="M7838" s="10" t="inlineStr">
        <is>
          <t>Bonus, Training, Canteen, Others</t>
        </is>
      </c>
      <c r="N7838" s="11">
        <f>HYPERLINK("https://www.vietnamworks.com/lap-trinh-vien-phan-mem-c-reactjs-2003820-jv","Xem chi tiết")</f>
        <v/>
      </c>
      <c r="O7838" s="10" t="n"/>
    </row>
    <row r="7839">
      <c r="B7839" s="7" t="n">
        <v>7837</v>
      </c>
      <c r="C7839" t="inlineStr">
        <is>
          <t>Trưởng Bán Hàng Vùng (Area Sales Manager)</t>
        </is>
      </c>
      <c r="D7839" t="inlineStr">
        <is>
          <t>Công Ty Cổ Phần Sữa Việt Nam (Vinamilk)</t>
        </is>
      </c>
      <c r="E7839" t="inlineStr">
        <is>
          <t>Thương lượng</t>
        </is>
      </c>
      <c r="F7839" t="inlineStr">
        <is>
          <t>Hồ Chí Minh</t>
        </is>
      </c>
      <c r="G7839" t="inlineStr">
        <is>
          <t>Trưởng phòng</t>
        </is>
      </c>
      <c r="H7839" t="inlineStr">
        <is>
          <t>19/01/2026</t>
        </is>
      </c>
      <c r="I7839" t="inlineStr">
        <is>
          <t>05/04/2026</t>
        </is>
      </c>
      <c r="J7839" t="inlineStr">
        <is>
          <t>17/03/2026</t>
        </is>
      </c>
      <c r="K7839" t="inlineStr">
        <is>
          <t>N/A</t>
        </is>
      </c>
      <c r="L7839" t="inlineStr">
        <is>
          <t>Quản Lý Bán Hàng Khu Vực, Kinh Doanh Khu Vực, Quản Lý Khu Vực, Quản Lý Kinh Doanh, Quản Lý</t>
        </is>
      </c>
      <c r="M7839" t="inlineStr">
        <is>
          <t>Bonus, Healthcare Plan, Training</t>
        </is>
      </c>
      <c r="N7839" s="8">
        <f>HYPERLINK("https://www.vietnamworks.com/truong-ban-hang-vung-area-sales-manager--2003849-jv","Xem chi tiết")</f>
        <v/>
      </c>
    </row>
    <row r="7840">
      <c r="B7840" s="9" t="n">
        <v>7838</v>
      </c>
      <c r="C7840" s="10" t="inlineStr">
        <is>
          <t>Assistant Credit Card Operation Manager</t>
        </is>
      </c>
      <c r="D7840" s="10" t="inlineStr">
        <is>
          <t>Shinhan Vietnam Finance Company Limited</t>
        </is>
      </c>
      <c r="E7840" s="10" t="inlineStr">
        <is>
          <t>Thương lượng</t>
        </is>
      </c>
      <c r="F7840" s="10" t="inlineStr">
        <is>
          <t>Hồ Chí Minh</t>
        </is>
      </c>
      <c r="G7840" s="10" t="inlineStr">
        <is>
          <t>Nhân viên</t>
        </is>
      </c>
      <c r="H7840" s="10" t="inlineStr">
        <is>
          <t>19/01/2026</t>
        </is>
      </c>
      <c r="I7840" s="10" t="inlineStr">
        <is>
          <t>05/04/2026</t>
        </is>
      </c>
      <c r="J7840" s="10" t="inlineStr">
        <is>
          <t>17/03/2026</t>
        </is>
      </c>
      <c r="K7840" s="10" t="inlineStr">
        <is>
          <t>N/A</t>
        </is>
      </c>
      <c r="L7840" s="10" t="inlineStr">
        <is>
          <t>Credit Appraisal, Card Technology, Credit Card System, Fraud Management, Underwriting</t>
        </is>
      </c>
      <c r="M7840" s="10" t="inlineStr">
        <is>
          <t>Bonus, Healthcare Plan, Paid Leave</t>
        </is>
      </c>
      <c r="N7840" s="11">
        <f>HYPERLINK("https://www.vietnamworks.com/assistant-credit-card-operation-manager--2003731-jv","Xem chi tiết")</f>
        <v/>
      </c>
      <c r="O7840" s="10" t="n"/>
    </row>
    <row r="7841">
      <c r="B7841" s="7" t="n">
        <v>7839</v>
      </c>
      <c r="C7841" t="inlineStr">
        <is>
          <t>Nhân Viên Marketing &amp; Kinh Doanh - Điện Mặt Trời</t>
        </is>
      </c>
      <c r="D7841" t="inlineStr">
        <is>
          <t>Công ty Cổ phần Đầu tư SLM</t>
        </is>
      </c>
      <c r="E7841" t="inlineStr">
        <is>
          <t>10tr-10tr ₫/tháng</t>
        </is>
      </c>
      <c r="F7841" t="inlineStr">
        <is>
          <t>Hồ Chí Minh, Hà Nội</t>
        </is>
      </c>
      <c r="G7841" t="inlineStr">
        <is>
          <t>Mới Tốt Nghiệp</t>
        </is>
      </c>
      <c r="H7841" t="inlineStr">
        <is>
          <t>19/01/2026</t>
        </is>
      </c>
      <c r="I7841" t="inlineStr">
        <is>
          <t>05/04/2026</t>
        </is>
      </c>
      <c r="J7841" t="inlineStr">
        <is>
          <t>17/03/2026</t>
        </is>
      </c>
      <c r="K7841" t="inlineStr">
        <is>
          <t>N/A</t>
        </is>
      </c>
      <c r="L7841" t="inlineStr">
        <is>
          <t>Marketing Development, Video Production, Digital Media, Content Creation, Positive Attitude</t>
        </is>
      </c>
      <c r="M7841" t="inlineStr">
        <is>
          <t>Bonus, Paid Leave, Training, Others</t>
        </is>
      </c>
      <c r="N7841" s="8">
        <f>HYPERLINK("https://www.vietnamworks.com/nhan-vien-marketing-and-kinh-doanh-djien-mat-troi-2003851-jv","Xem chi tiết")</f>
        <v/>
      </c>
    </row>
    <row r="7842">
      <c r="B7842" s="9" t="n">
        <v>7840</v>
      </c>
      <c r="C7842" s="10" t="inlineStr">
        <is>
          <t>Group Internal Control Lead</t>
        </is>
      </c>
      <c r="D7842" s="10" t="inlineStr">
        <is>
          <t>Công Ty Cổ Phần Openasia</t>
        </is>
      </c>
      <c r="E7842" s="10" t="inlineStr">
        <is>
          <t>Thương lượng</t>
        </is>
      </c>
      <c r="F7842" s="10" t="inlineStr">
        <is>
          <t>Hà Nội</t>
        </is>
      </c>
      <c r="G7842" s="10" t="inlineStr">
        <is>
          <t>Nhân viên</t>
        </is>
      </c>
      <c r="H7842" s="10" t="inlineStr">
        <is>
          <t>19/01/2026</t>
        </is>
      </c>
      <c r="I7842" s="10" t="inlineStr">
        <is>
          <t>05/04/2026</t>
        </is>
      </c>
      <c r="J7842" s="10" t="inlineStr">
        <is>
          <t>17/03/2026</t>
        </is>
      </c>
      <c r="K7842" s="10" t="inlineStr">
        <is>
          <t>N/A</t>
        </is>
      </c>
      <c r="L7842" s="10" t="inlineStr">
        <is>
          <t>RNN</t>
        </is>
      </c>
      <c r="M7842" s="10" t="inlineStr">
        <is>
          <t>Bonus</t>
        </is>
      </c>
      <c r="N7842" s="11">
        <f>HYPERLINK("https://www.vietnamworks.com/group-internal-control-lead-1-2003961-jv","Xem chi tiết")</f>
        <v/>
      </c>
      <c r="O7842" s="10" t="n"/>
    </row>
    <row r="7843">
      <c r="B7843" s="7" t="n">
        <v>7841</v>
      </c>
      <c r="C7843" t="inlineStr">
        <is>
          <t>Design Manager (Chấp Nhận Đi Công Tác Dài Ngày) - Living Global - 1U012</t>
        </is>
      </c>
      <c r="D7843" t="inlineStr">
        <is>
          <t>Tập đoàn ROX (ROX Group)</t>
        </is>
      </c>
      <c r="E7843" t="inlineStr">
        <is>
          <t>Thương lượng</t>
        </is>
      </c>
      <c r="F7843" t="inlineStr">
        <is>
          <t>Quốc tế, Hà Nội</t>
        </is>
      </c>
      <c r="G7843" t="inlineStr">
        <is>
          <t>Trưởng phòng</t>
        </is>
      </c>
      <c r="H7843" t="inlineStr">
        <is>
          <t>16/01/2026</t>
        </is>
      </c>
      <c r="I7843" t="inlineStr">
        <is>
          <t>05/04/2026</t>
        </is>
      </c>
      <c r="J7843" t="inlineStr">
        <is>
          <t>17/03/2026</t>
        </is>
      </c>
      <c r="K7843" t="inlineStr">
        <is>
          <t>N/A</t>
        </is>
      </c>
      <c r="L7843" t="inlineStr">
        <is>
          <t>Thiết Kế, Quản Lý Dự Án, Quản Lý Thiết Kế</t>
        </is>
      </c>
      <c r="M7843" t="inlineStr">
        <is>
          <t>Bonus, Healthcare Plan, Paid Leave</t>
        </is>
      </c>
      <c r="N7843" s="8">
        <f>HYPERLINK("https://www.vietnamworks.com/design-manager-chap-nhan-di-cong-tac-dai-ngay-living-global-1u012-2003339-jv","Xem chi tiết")</f>
        <v/>
      </c>
    </row>
    <row r="7844">
      <c r="B7844" s="9" t="n">
        <v>7842</v>
      </c>
      <c r="C7844" s="10" t="inlineStr">
        <is>
          <t>Nhân Viên IPC</t>
        </is>
      </c>
      <c r="D7844" s="10" t="inlineStr">
        <is>
          <t>Công Ty Cổ Phần Dược Phẩm 3/2</t>
        </is>
      </c>
      <c r="E7844" s="10" t="inlineStr">
        <is>
          <t>8tr-9tr ₫/tháng</t>
        </is>
      </c>
      <c r="F7844" s="10" t="inlineStr">
        <is>
          <t>Hồ Chí Minh</t>
        </is>
      </c>
      <c r="G7844" s="10" t="inlineStr">
        <is>
          <t>Nhân viên</t>
        </is>
      </c>
      <c r="H7844" s="10" t="inlineStr">
        <is>
          <t>19/01/2026</t>
        </is>
      </c>
      <c r="I7844" s="10" t="inlineStr">
        <is>
          <t>05/04/2026</t>
        </is>
      </c>
      <c r="J7844" s="10" t="inlineStr">
        <is>
          <t>17/03/2026</t>
        </is>
      </c>
      <c r="K7844" s="10" t="inlineStr">
        <is>
          <t>N/A</t>
        </is>
      </c>
      <c r="L7844" s="10" t="inlineStr">
        <is>
          <t>Giám Sát Sản Xuất, GMP, Mô Hình Sản Phẩm</t>
        </is>
      </c>
      <c r="M7844" s="10" t="inlineStr">
        <is>
          <t>Healthcare Plan, Training, Others</t>
        </is>
      </c>
      <c r="N7844" s="11">
        <f>HYPERLINK("https://www.vietnamworks.com/nhan-vien-ipc-2004100-jv","Xem chi tiết")</f>
        <v/>
      </c>
      <c r="O7844" s="10" t="n"/>
    </row>
    <row r="7845">
      <c r="B7845" s="7" t="n">
        <v>7843</v>
      </c>
      <c r="C7845" t="inlineStr">
        <is>
          <t>Trưởng Phòng Nghiên Cứu Ứng Dụng (Sản Phẩm)</t>
        </is>
      </c>
      <c r="D7845" t="inlineStr">
        <is>
          <t>Công Ty TNHH Vinatech Vina</t>
        </is>
      </c>
      <c r="E7845" t="inlineStr">
        <is>
          <t>Thương lượng</t>
        </is>
      </c>
      <c r="F7845" t="inlineStr">
        <is>
          <t>Bắc Ninh</t>
        </is>
      </c>
      <c r="G7845" t="inlineStr">
        <is>
          <t>Trưởng phòng</t>
        </is>
      </c>
      <c r="H7845" t="inlineStr">
        <is>
          <t>19/01/2026</t>
        </is>
      </c>
      <c r="I7845" t="inlineStr">
        <is>
          <t>05/04/2026</t>
        </is>
      </c>
      <c r="J7845" t="inlineStr">
        <is>
          <t>17/03/2026</t>
        </is>
      </c>
      <c r="K7845" t="inlineStr">
        <is>
          <t>N/A</t>
        </is>
      </c>
      <c r="L7845" t="inlineStr">
        <is>
          <t>Thiết Kế Hệ Thống Điện, Hệ Thống Cơ Điện Công Trình, Cải Tiến Năng Lực Sản Xuất, Tư Vấn Kỹ Thuật, Giao Tiếp</t>
        </is>
      </c>
      <c r="M7845" t="inlineStr">
        <is>
          <t>Bonus, Healthcare Plan, Training, Travel Opportunities, Others</t>
        </is>
      </c>
      <c r="N7845" s="8">
        <f>HYPERLINK("https://www.vietnamworks.com/truong-phong-nghien-cuu-ung-dung-san-pham--2003862-jv","Xem chi tiết")</f>
        <v/>
      </c>
    </row>
    <row r="7846">
      <c r="B7846" s="9" t="n">
        <v>7844</v>
      </c>
      <c r="C7846" s="10" t="inlineStr">
        <is>
          <t>Trưởng Phòng Nghiên Cứu Quản Lý Điện Cực</t>
        </is>
      </c>
      <c r="D7846" s="10" t="inlineStr">
        <is>
          <t>Công Ty TNHH Vinatech Vina</t>
        </is>
      </c>
      <c r="E7846" s="10" t="inlineStr">
        <is>
          <t>Thương lượng</t>
        </is>
      </c>
      <c r="F7846" s="10" t="inlineStr">
        <is>
          <t>Bắc Ninh</t>
        </is>
      </c>
      <c r="G7846" s="10" t="inlineStr">
        <is>
          <t>Trưởng phòng</t>
        </is>
      </c>
      <c r="H7846" s="10" t="inlineStr">
        <is>
          <t>19/01/2026</t>
        </is>
      </c>
      <c r="I7846" s="10" t="inlineStr">
        <is>
          <t>05/04/2026</t>
        </is>
      </c>
      <c r="J7846" s="10" t="inlineStr">
        <is>
          <t>17/03/2026</t>
        </is>
      </c>
      <c r="K7846" s="10" t="inlineStr">
        <is>
          <t>N/A</t>
        </is>
      </c>
      <c r="L7846" s="10" t="inlineStr">
        <is>
          <t>Quản Lý Nhóm, Nghiên Cứu Vật Liệu, Giao Tiếp Tiếng Anh, Thiết Kế Điện Cực, Xây Dựng Mô Hình</t>
        </is>
      </c>
      <c r="M7846" s="10" t="inlineStr">
        <is>
          <t>Bonus, Healthcare Plan, Training, Travel Opportunities, Others</t>
        </is>
      </c>
      <c r="N7846" s="11">
        <f>HYPERLINK("https://www.vietnamworks.com/truong-phong-nghien-cuu-quan-ly-dien-cuc-2003860-jv","Xem chi tiết")</f>
        <v/>
      </c>
      <c r="O7846" s="10" t="n"/>
    </row>
    <row r="7847">
      <c r="B7847" s="7" t="n">
        <v>7845</v>
      </c>
      <c r="C7847" t="inlineStr">
        <is>
          <t>Executive, Key Account (Surgical Instrument - Alcon)</t>
        </is>
      </c>
      <c r="D7847" t="inlineStr">
        <is>
          <t>DKSH Vietnam Co., Ltd.</t>
        </is>
      </c>
      <c r="E7847" t="inlineStr">
        <is>
          <t>Thương lượng</t>
        </is>
      </c>
      <c r="F7847" t="inlineStr">
        <is>
          <t>Hồ Chí Minh</t>
        </is>
      </c>
      <c r="G7847" t="inlineStr">
        <is>
          <t>Nhân viên</t>
        </is>
      </c>
      <c r="H7847" t="inlineStr">
        <is>
          <t>19/01/2026</t>
        </is>
      </c>
      <c r="I7847" t="inlineStr">
        <is>
          <t>05/04/2026</t>
        </is>
      </c>
      <c r="J7847" t="inlineStr">
        <is>
          <t>17/03/2026</t>
        </is>
      </c>
      <c r="K7847" t="inlineStr">
        <is>
          <t>N/A</t>
        </is>
      </c>
      <c r="L7847" t="inlineStr">
        <is>
          <t>Sales Engineering, Medical Device, Surgical Instruments, Negotiation Skills, Sales</t>
        </is>
      </c>
      <c r="M7847" t="inlineStr">
        <is>
          <t>Bonus, Healthcare Plan, Training</t>
        </is>
      </c>
      <c r="N7847" s="8">
        <f>HYPERLINK("https://www.vietnamworks.com/executive-key-account-surgical-instrument-alcon--2003887-jv","Xem chi tiết")</f>
        <v/>
      </c>
    </row>
    <row r="7848">
      <c r="B7848" s="9" t="n">
        <v>7846</v>
      </c>
      <c r="C7848" s="10" t="inlineStr">
        <is>
          <t>Chief Accountant (Kế Toán Trưởng)</t>
        </is>
      </c>
      <c r="D7848" s="10" t="inlineStr">
        <is>
          <t>Vietnamworks' Client</t>
        </is>
      </c>
      <c r="E7848" s="10" t="inlineStr">
        <is>
          <t>Thương lượng</t>
        </is>
      </c>
      <c r="F7848" s="10" t="inlineStr">
        <is>
          <t>Hồ Chí Minh</t>
        </is>
      </c>
      <c r="G7848" s="10" t="inlineStr">
        <is>
          <t>Trưởng phòng</t>
        </is>
      </c>
      <c r="H7848" s="10" t="inlineStr">
        <is>
          <t>19/01/2026</t>
        </is>
      </c>
      <c r="I7848" s="10" t="inlineStr">
        <is>
          <t>05/04/2026</t>
        </is>
      </c>
      <c r="J7848" s="10" t="inlineStr">
        <is>
          <t>17/03/2026</t>
        </is>
      </c>
      <c r="K7848" s="10" t="inlineStr">
        <is>
          <t>N/A</t>
        </is>
      </c>
      <c r="L7848" s="10" t="inlineStr">
        <is>
          <t>Chief Accountant, VAS, IFRS, Chief Accountant Certificate, Finance</t>
        </is>
      </c>
      <c r="M7848" s="10" t="inlineStr">
        <is>
          <t>Bonus, Healthcare Plan, Training</t>
        </is>
      </c>
      <c r="N7848" s="11">
        <f>HYPERLINK("https://www.vietnamworks.com/chief-accountant-ke-toan-truong--2003704-jv","Xem chi tiết")</f>
        <v/>
      </c>
      <c r="O7848" s="10" t="n"/>
    </row>
    <row r="7849">
      <c r="B7849" s="7" t="n">
        <v>7847</v>
      </c>
      <c r="C7849" t="inlineStr">
        <is>
          <t>Chuyên Viên Quan Hệ Khách Hàng - [BAC A BANK - CN Quảng Bình, Cà Mau, Đà Lạt, Cam Ranh Khánh Hòa]</t>
        </is>
      </c>
      <c r="D7849" t="inlineStr">
        <is>
          <t>Bắc Á Bank - Https://tuyendung.baca-Bank.vn/</t>
        </is>
      </c>
      <c r="E7849" t="inlineStr">
        <is>
          <t>Thương lượng</t>
        </is>
      </c>
      <c r="F7849" t="inlineStr">
        <is>
          <t>Quảng Bình, Cà Mau, Lâm Đồng</t>
        </is>
      </c>
      <c r="G7849" t="inlineStr">
        <is>
          <t>Nhân viên</t>
        </is>
      </c>
      <c r="H7849" t="inlineStr">
        <is>
          <t>19/01/2026</t>
        </is>
      </c>
      <c r="I7849" t="inlineStr">
        <is>
          <t>05/04/2026</t>
        </is>
      </c>
      <c r="J7849" t="inlineStr">
        <is>
          <t>17/03/2026</t>
        </is>
      </c>
      <c r="K7849" t="inlineStr">
        <is>
          <t>N/A</t>
        </is>
      </c>
      <c r="L7849" t="inlineStr">
        <is>
          <t>Quan Hệ Khách Hàng, Tìm Kiếm Khách Hàng, Tư Vấn Giao Dịch, Ngân hàng, Tài Chính Ngân Hàng</t>
        </is>
      </c>
      <c r="M7849" t="inlineStr">
        <is>
          <t>Bonus, Healthcare Plan, Travel Opportunities</t>
        </is>
      </c>
      <c r="N7849" s="8">
        <f>HYPERLINK("https://www.vietnamworks.com/chuyen-vien-quan-he-khach-hang-bac-a-bank-cn-quang-binh-ca-mau-dja-lat-cam-ranh-khanh-hoa-2003955-jv","Xem chi tiết")</f>
        <v/>
      </c>
    </row>
    <row r="7850">
      <c r="B7850" s="9" t="n">
        <v>7848</v>
      </c>
      <c r="C7850" s="10" t="inlineStr">
        <is>
          <t>MAC (Marketing Admissions Communications) Manager</t>
        </is>
      </c>
      <c r="D7850" s="10" t="inlineStr">
        <is>
          <t>Renaissance International School Saigon</t>
        </is>
      </c>
      <c r="E7850" s="10" t="inlineStr">
        <is>
          <t>Thương lượng</t>
        </is>
      </c>
      <c r="F7850" s="10" t="inlineStr">
        <is>
          <t>Hồ Chí Minh</t>
        </is>
      </c>
      <c r="G7850" s="10" t="inlineStr">
        <is>
          <t>Trưởng phòng</t>
        </is>
      </c>
      <c r="H7850" s="10" t="inlineStr">
        <is>
          <t>19/01/2026</t>
        </is>
      </c>
      <c r="I7850" s="10" t="inlineStr">
        <is>
          <t>05/04/2026</t>
        </is>
      </c>
      <c r="J7850" s="10" t="inlineStr">
        <is>
          <t>17/03/2026</t>
        </is>
      </c>
      <c r="K7850" s="10" t="inlineStr">
        <is>
          <t>N/A</t>
        </is>
      </c>
      <c r="L7850" s="10" t="inlineStr">
        <is>
          <t>Marketing Development, Telecommunications, Sales Management, Data Analysis, Customer Experiences</t>
        </is>
      </c>
      <c r="M7850" s="10" t="inlineStr">
        <is>
          <t>Healthcare Plan, Paid Leave, Others</t>
        </is>
      </c>
      <c r="N7850" s="11">
        <f>HYPERLINK("https://www.vietnamworks.com/mac-marketing-admissions-communications-manager-2004063-jv","Xem chi tiết")</f>
        <v/>
      </c>
      <c r="O7850" s="10" t="n"/>
    </row>
    <row r="7851">
      <c r="B7851" s="7" t="n">
        <v>7849</v>
      </c>
      <c r="C7851" t="inlineStr">
        <is>
          <t>Garment Merchandiser</t>
        </is>
      </c>
      <c r="D7851" t="inlineStr">
        <is>
          <t>Yakjin Ho Chi Minh Company Limited</t>
        </is>
      </c>
      <c r="E7851" t="inlineStr">
        <is>
          <t>Thương lượng</t>
        </is>
      </c>
      <c r="F7851" t="inlineStr">
        <is>
          <t>Hồ Chí Minh</t>
        </is>
      </c>
      <c r="G7851" t="inlineStr">
        <is>
          <t>Nhân viên</t>
        </is>
      </c>
      <c r="H7851" t="inlineStr">
        <is>
          <t>19/01/2026</t>
        </is>
      </c>
      <c r="I7851" t="inlineStr">
        <is>
          <t>05/04/2026</t>
        </is>
      </c>
      <c r="J7851" t="inlineStr">
        <is>
          <t>17/03/2026</t>
        </is>
      </c>
      <c r="K7851" t="inlineStr">
        <is>
          <t>N/A</t>
        </is>
      </c>
      <c r="L7851" t="inlineStr">
        <is>
          <t>English, Vendor Service Management, Merchandise Garment</t>
        </is>
      </c>
      <c r="M7851" t="inlineStr">
        <is>
          <t>Bonus, Training</t>
        </is>
      </c>
      <c r="N7851" s="8">
        <f>HYPERLINK("https://www.vietnamworks.com/garment-merchandiser-70-1-1-1--2004082-jv","Xem chi tiết")</f>
        <v/>
      </c>
    </row>
    <row r="7852">
      <c r="B7852" s="9" t="n">
        <v>7850</v>
      </c>
      <c r="C7852" s="10" t="inlineStr">
        <is>
          <t>Lập Trình PC - Topk (Kinh Nghiệm 3 Năm)</t>
        </is>
      </c>
      <c r="D7852" s="10" t="inlineStr">
        <is>
          <t>CÔNG TY TRÁCH NHIỆM HỮU HẠN TOP ENGINEERING VINA</t>
        </is>
      </c>
      <c r="E7852" s="10" t="inlineStr">
        <is>
          <t>Từ 20tr ₫/tháng</t>
        </is>
      </c>
      <c r="F7852" s="10" t="inlineStr">
        <is>
          <t>Hà Nội, Vĩnh Phúc</t>
        </is>
      </c>
      <c r="G7852" s="10" t="inlineStr">
        <is>
          <t>Mới Tốt Nghiệp</t>
        </is>
      </c>
      <c r="H7852" s="10" t="inlineStr">
        <is>
          <t>19/01/2026</t>
        </is>
      </c>
      <c r="I7852" s="10" t="inlineStr">
        <is>
          <t>05/04/2026</t>
        </is>
      </c>
      <c r="J7852" s="10" t="inlineStr">
        <is>
          <t>17/03/2026</t>
        </is>
      </c>
      <c r="K7852" s="10" t="inlineStr">
        <is>
          <t>N/A</t>
        </is>
      </c>
      <c r="L7852" s="10" t="inlineStr">
        <is>
          <t>PC Software, C++, Korean, Mechanical Design, Mechanical Engineering</t>
        </is>
      </c>
      <c r="M7852" s="10" t="inlineStr">
        <is>
          <t>Bonus, Healthcare Plan, Training</t>
        </is>
      </c>
      <c r="N7852" s="11">
        <f>HYPERLINK("https://www.vietnamworks.com/lap-trinh-pc-topk-kinh-nghiem-3-nam-2003783-jv","Xem chi tiết")</f>
        <v/>
      </c>
      <c r="O7852" s="10" t="n"/>
    </row>
    <row r="7853">
      <c r="B7853" s="7" t="n">
        <v>7851</v>
      </c>
      <c r="C7853" t="inlineStr">
        <is>
          <t>Export Sales Manager (National Sales Manager)</t>
        </is>
      </c>
      <c r="D7853" t="inlineStr">
        <is>
          <t>Soji Electronics.,jsc</t>
        </is>
      </c>
      <c r="E7853" t="inlineStr">
        <is>
          <t>$$ 1,500-2,500 /tháng</t>
        </is>
      </c>
      <c r="F7853" t="inlineStr">
        <is>
          <t>Hà Nội</t>
        </is>
      </c>
      <c r="G7853" t="inlineStr">
        <is>
          <t>Trưởng phòng</t>
        </is>
      </c>
      <c r="H7853" t="inlineStr">
        <is>
          <t>19/01/2026</t>
        </is>
      </c>
      <c r="I7853" t="inlineStr">
        <is>
          <t>05/04/2026</t>
        </is>
      </c>
      <c r="J7853" t="inlineStr">
        <is>
          <t>17/03/2026</t>
        </is>
      </c>
      <c r="K7853" t="inlineStr">
        <is>
          <t>N/A</t>
        </is>
      </c>
      <c r="L7853" t="inlineStr">
        <is>
          <t>Sales manager, International Capital Raising, Export Sales, Giám đốc kinh doanh, Kinh Doanh Quốc Tế</t>
        </is>
      </c>
      <c r="M7853" t="inlineStr">
        <is>
          <t>Bonus, Healthcare Plan</t>
        </is>
      </c>
      <c r="N7853" s="8">
        <f>HYPERLINK("https://www.vietnamworks.com/export-sales-manager-national-sales-manager-2004189-jv","Xem chi tiết")</f>
        <v/>
      </c>
    </row>
    <row r="7854">
      <c r="B7854" s="9" t="n">
        <v>7852</v>
      </c>
      <c r="C7854" s="10" t="inlineStr">
        <is>
          <t>Trưởng Ban Hành Chính Nhân Sự - Làm Việc Tại NM Cần Thơ (Human Resources Manager)</t>
        </is>
      </c>
      <c r="D7854" s="10" t="inlineStr">
        <is>
          <t>Công Ty Cổ Phần Sữa Việt Nam (Vinamilk)</t>
        </is>
      </c>
      <c r="E7854" s="10" t="inlineStr">
        <is>
          <t>Thương lượng</t>
        </is>
      </c>
      <c r="F7854" s="10" t="inlineStr">
        <is>
          <t>Cần Thơ</t>
        </is>
      </c>
      <c r="G7854" s="10" t="inlineStr">
        <is>
          <t>Trưởng phòng</t>
        </is>
      </c>
      <c r="H7854" s="10" t="inlineStr">
        <is>
          <t>19/01/2026</t>
        </is>
      </c>
      <c r="I7854" s="10" t="inlineStr">
        <is>
          <t>05/04/2026</t>
        </is>
      </c>
      <c r="J7854" s="10" t="inlineStr">
        <is>
          <t>17/03/2026</t>
        </is>
      </c>
      <c r="K7854" s="10" t="inlineStr">
        <is>
          <t>N/A</t>
        </is>
      </c>
      <c r="L7854" s="10" t="inlineStr">
        <is>
          <t>Human Resources, General HR Management, HR General, Recruitment, Compensation &amp; Benefits Management</t>
        </is>
      </c>
      <c r="M7854" s="10" t="inlineStr">
        <is>
          <t>Bonus, Healthcare Plan, Training</t>
        </is>
      </c>
      <c r="N7854" s="11">
        <f>HYPERLINK("https://www.vietnamworks.com/truong-ban-hanh-chinh-nhan-su-lam-viec-tai-nm-can-tho-human-resources-manager-2004105-jv","Xem chi tiết")</f>
        <v/>
      </c>
      <c r="O7854" s="10" t="n"/>
    </row>
    <row r="7855">
      <c r="B7855" s="7" t="n">
        <v>7853</v>
      </c>
      <c r="C7855" t="inlineStr">
        <is>
          <t>[Tuyển Gấp] Nhân Viên Marketing (Tiếng Nhật) - Không Yêu Cầu Kinh Nghiệm</t>
        </is>
      </c>
      <c r="D7855" t="inlineStr">
        <is>
          <t>Công Ty TNHH DYM Việt Nam</t>
        </is>
      </c>
      <c r="E7855" t="inlineStr">
        <is>
          <t>Từ $ 430 /tháng</t>
        </is>
      </c>
      <c r="F7855" t="inlineStr">
        <is>
          <t>Hồ Chí Minh</t>
        </is>
      </c>
      <c r="G7855" t="inlineStr">
        <is>
          <t>Mới Tốt Nghiệp</t>
        </is>
      </c>
      <c r="H7855" t="inlineStr">
        <is>
          <t>19/01/2026</t>
        </is>
      </c>
      <c r="I7855" t="inlineStr">
        <is>
          <t>05/04/2026</t>
        </is>
      </c>
      <c r="J7855" t="inlineStr">
        <is>
          <t>17/03/2026</t>
        </is>
      </c>
      <c r="K7855" t="inlineStr">
        <is>
          <t>N/A</t>
        </is>
      </c>
      <c r="L7855" t="inlineStr">
        <is>
          <t>Marketing, Tiếng Nhật, Japanese, Digital Marketing</t>
        </is>
      </c>
      <c r="M7855" t="inlineStr">
        <is>
          <t>Bonus, Healthcare Plan, Transportation</t>
        </is>
      </c>
      <c r="N7855" s="8">
        <f>HYPERLINK("https://www.vietnamworks.com/tuyen-gap-nhan-vien-marketing-tieng-nhat-khong-yeu-cau-kinh-nghiem--2003984-jv","Xem chi tiết")</f>
        <v/>
      </c>
    </row>
    <row r="7856">
      <c r="B7856" s="9" t="n">
        <v>7854</v>
      </c>
      <c r="C7856" s="10" t="inlineStr">
        <is>
          <t>Nhân Viên Quảng Cáo Tiếng Nhật (N3/ N2/ N1)</t>
        </is>
      </c>
      <c r="D7856" s="10" t="inlineStr">
        <is>
          <t>Công Ty TNHH DYM Việt Nam</t>
        </is>
      </c>
      <c r="E7856" s="10" t="inlineStr">
        <is>
          <t>Từ $ 303 /tháng</t>
        </is>
      </c>
      <c r="F7856" s="10" t="inlineStr">
        <is>
          <t>Hồ Chí Minh</t>
        </is>
      </c>
      <c r="G7856" s="10" t="inlineStr">
        <is>
          <t>Mới Tốt Nghiệp</t>
        </is>
      </c>
      <c r="H7856" s="10" t="inlineStr">
        <is>
          <t>19/01/2026</t>
        </is>
      </c>
      <c r="I7856" s="10" t="inlineStr">
        <is>
          <t>05/04/2026</t>
        </is>
      </c>
      <c r="J7856" s="10" t="inlineStr">
        <is>
          <t>17/03/2026</t>
        </is>
      </c>
      <c r="K7856" s="10" t="inlineStr">
        <is>
          <t>N/A</t>
        </is>
      </c>
      <c r="L7856" s="10" t="inlineStr">
        <is>
          <t>Tiếng Nhật, Quảng Cáo, Marketing, Japanese, Digital Marketing</t>
        </is>
      </c>
      <c r="M7856" s="10" t="inlineStr">
        <is>
          <t>Bonus, Healthcare Plan, Transportation</t>
        </is>
      </c>
      <c r="N7856" s="11">
        <f>HYPERLINK("https://www.vietnamworks.com/nhan-vien-quang-cao-tieng-nhat-n3-n2-n1--2003985-jv","Xem chi tiết")</f>
        <v/>
      </c>
      <c r="O7856" s="10" t="n"/>
    </row>
    <row r="7857">
      <c r="B7857" s="7" t="n">
        <v>7855</v>
      </c>
      <c r="C7857" t="inlineStr">
        <is>
          <t>Nam Staff Quản Lý Chất Lượng Linh Kiện Đầu Vào</t>
        </is>
      </c>
      <c r="D7857" t="inlineStr">
        <is>
          <t>Công Ty TNHH TOA Việt Nam</t>
        </is>
      </c>
      <c r="E7857" t="inlineStr">
        <is>
          <t>Thương lượng</t>
        </is>
      </c>
      <c r="F7857" t="inlineStr">
        <is>
          <t>Hà Nội</t>
        </is>
      </c>
      <c r="G7857" t="inlineStr">
        <is>
          <t>Mới Tốt Nghiệp</t>
        </is>
      </c>
      <c r="H7857" t="inlineStr">
        <is>
          <t>19/01/2026</t>
        </is>
      </c>
      <c r="I7857" t="inlineStr">
        <is>
          <t>05/04/2026</t>
        </is>
      </c>
      <c r="J7857" t="inlineStr">
        <is>
          <t>17/03/2026</t>
        </is>
      </c>
      <c r="K7857" t="inlineStr">
        <is>
          <t>N/A</t>
        </is>
      </c>
      <c r="L7857" t="inlineStr">
        <is>
          <t>Chất Lượng Linh Kiện, Kiểm Tra Chất Lượng Linh Kiện, Kỹ Thuật Linh Kiện, Quản Lý Chất Lượng, Input Material Management</t>
        </is>
      </c>
      <c r="M7857" t="inlineStr">
        <is>
          <t>Bonus, Healthcare Plan, Team Activities, Transportation</t>
        </is>
      </c>
      <c r="N7857" s="8">
        <f>HYPERLINK("https://www.vietnamworks.com/nam-staff-quan-ly-chat-luong-linh-kien-djau-vao-2003867-jv","Xem chi tiết")</f>
        <v/>
      </c>
    </row>
    <row r="7858">
      <c r="B7858" s="9" t="n">
        <v>7856</v>
      </c>
      <c r="C7858" s="10" t="inlineStr">
        <is>
          <t>Kế Toán Trưởng (Vietsugar Công Ty Con Vinamilk)</t>
        </is>
      </c>
      <c r="D7858" s="10" t="inlineStr">
        <is>
          <t>Công Ty Cổ Phần Sữa Việt Nam (Vinamilk)</t>
        </is>
      </c>
      <c r="E7858" s="10" t="inlineStr">
        <is>
          <t>Thương lượng</t>
        </is>
      </c>
      <c r="F7858" s="10" t="inlineStr">
        <is>
          <t>Khánh Hòa</t>
        </is>
      </c>
      <c r="G7858" s="10" t="inlineStr">
        <is>
          <t>Trưởng phòng</t>
        </is>
      </c>
      <c r="H7858" s="10" t="inlineStr">
        <is>
          <t>19/01/2026</t>
        </is>
      </c>
      <c r="I7858" s="10" t="inlineStr">
        <is>
          <t>05/04/2026</t>
        </is>
      </c>
      <c r="J7858" s="10" t="inlineStr">
        <is>
          <t>17/03/2026</t>
        </is>
      </c>
      <c r="K7858" s="10" t="inlineStr">
        <is>
          <t>N/A</t>
        </is>
      </c>
      <c r="L7858" s="10" t="inlineStr">
        <is>
          <t>Accounting Management, Chief Accountant Certificate</t>
        </is>
      </c>
      <c r="M7858" s="10" t="inlineStr">
        <is>
          <t>Bonus, Healthcare Plan, Training</t>
        </is>
      </c>
      <c r="N7858" s="11">
        <f>HYPERLINK("https://www.vietnamworks.com/ke-toan-truong-vietsugar-cong-ty-con-vinamilk--2003969-jv","Xem chi tiết")</f>
        <v/>
      </c>
      <c r="O7858" s="10" t="n"/>
    </row>
    <row r="7859">
      <c r="B7859" s="7" t="n">
        <v>7857</v>
      </c>
      <c r="C7859" t="inlineStr">
        <is>
          <t>Giám Sát Nhà Phân Phối (Sales Supervisor)</t>
        </is>
      </c>
      <c r="D7859" t="inlineStr">
        <is>
          <t>Công Ty Cổ Phần Sữa Việt Nam (Vinamilk)</t>
        </is>
      </c>
      <c r="E7859" t="inlineStr">
        <is>
          <t>Thương lượng</t>
        </is>
      </c>
      <c r="F7859" t="inlineStr">
        <is>
          <t>Lâm Đồng, Khánh Hòa, Phú Yên</t>
        </is>
      </c>
      <c r="G7859" t="inlineStr">
        <is>
          <t>Nhân viên</t>
        </is>
      </c>
      <c r="H7859" t="inlineStr">
        <is>
          <t>19/01/2026</t>
        </is>
      </c>
      <c r="I7859" t="inlineStr">
        <is>
          <t>05/04/2026</t>
        </is>
      </c>
      <c r="J7859" t="inlineStr">
        <is>
          <t>17/03/2026</t>
        </is>
      </c>
      <c r="K7859" t="inlineStr">
        <is>
          <t>N/A</t>
        </is>
      </c>
      <c r="L7859" t="inlineStr">
        <is>
          <t>Sales Supervisor, Sales Development, General Trade, GT Channel, FMCG</t>
        </is>
      </c>
      <c r="M7859" t="inlineStr">
        <is>
          <t>Bonus, Healthcare Plan, Training</t>
        </is>
      </c>
      <c r="N7859" s="8">
        <f>HYPERLINK("https://www.vietnamworks.com/giam-sat-nha-phan-phoi-sales-supervisor--2003857-jv","Xem chi tiết")</f>
        <v/>
      </c>
    </row>
    <row r="7860">
      <c r="B7860" s="9" t="n">
        <v>7858</v>
      </c>
      <c r="C7860" s="10" t="inlineStr">
        <is>
          <t>Giám Sát Nhà Phân Phối (Sales Supervisor)</t>
        </is>
      </c>
      <c r="D7860" s="10" t="inlineStr">
        <is>
          <t>Công Ty Cổ Phần Sữa Việt Nam (Vinamilk)</t>
        </is>
      </c>
      <c r="E7860" s="10" t="inlineStr">
        <is>
          <t>Thương lượng</t>
        </is>
      </c>
      <c r="F7860" s="10" t="inlineStr">
        <is>
          <t>Lào Cai, Bắc Giang, Lạng Sơn</t>
        </is>
      </c>
      <c r="G7860" s="10" t="inlineStr">
        <is>
          <t>Nhân viên</t>
        </is>
      </c>
      <c r="H7860" s="10" t="inlineStr">
        <is>
          <t>19/01/2026</t>
        </is>
      </c>
      <c r="I7860" s="10" t="inlineStr">
        <is>
          <t>05/04/2026</t>
        </is>
      </c>
      <c r="J7860" s="10" t="inlineStr">
        <is>
          <t>17/03/2026</t>
        </is>
      </c>
      <c r="K7860" s="10" t="inlineStr">
        <is>
          <t>N/A</t>
        </is>
      </c>
      <c r="L7860" s="10" t="inlineStr">
        <is>
          <t>Kinh Doanh, Giám Sát Kênh Phân Phối</t>
        </is>
      </c>
      <c r="M7860" s="10" t="inlineStr">
        <is>
          <t>Bonus, Healthcare Plan, Training</t>
        </is>
      </c>
      <c r="N7860" s="11">
        <f>HYPERLINK("https://www.vietnamworks.com/giam-sat-nha-phan-phoi-sales-supervisor--2004162-jv","Xem chi tiết")</f>
        <v/>
      </c>
      <c r="O7860" s="10" t="n"/>
    </row>
    <row r="7861">
      <c r="B7861" s="7" t="n">
        <v>7859</v>
      </c>
      <c r="C7861" t="inlineStr">
        <is>
          <t>Marketing Lead – Dtc Brand</t>
        </is>
      </c>
      <c r="D7861" t="inlineStr">
        <is>
          <t>ECOMLAUNCH</t>
        </is>
      </c>
      <c r="E7861" t="inlineStr">
        <is>
          <t>$$ 600-800 /tháng</t>
        </is>
      </c>
      <c r="F7861" t="inlineStr">
        <is>
          <t>Hồ Chí Minh</t>
        </is>
      </c>
      <c r="G7861" t="inlineStr">
        <is>
          <t>Nhân viên</t>
        </is>
      </c>
      <c r="H7861" t="inlineStr">
        <is>
          <t>19/01/2026</t>
        </is>
      </c>
      <c r="I7861" t="inlineStr">
        <is>
          <t>05/04/2026</t>
        </is>
      </c>
      <c r="J7861" t="inlineStr">
        <is>
          <t>17/03/2026</t>
        </is>
      </c>
      <c r="K7861" t="inlineStr">
        <is>
          <t>N/A</t>
        </is>
      </c>
      <c r="L7861" t="inlineStr">
        <is>
          <t>SEO, E- Commerce, Shopify, Branding, Marketing Planning</t>
        </is>
      </c>
      <c r="M7861" t="inlineStr">
        <is>
          <t>Bonus, Travel Opportunities</t>
        </is>
      </c>
      <c r="N7861" s="8">
        <f>HYPERLINK("https://www.vietnamworks.com/marketing-lead-dtc-brand-2003908-jv","Xem chi tiết")</f>
        <v/>
      </c>
    </row>
    <row r="7862">
      <c r="B7862" s="9" t="n">
        <v>7860</v>
      </c>
      <c r="C7862" s="10" t="inlineStr">
        <is>
          <t>Sales Executive / Engineer</t>
        </is>
      </c>
      <c r="D7862" s="10" t="inlineStr">
        <is>
          <t>Công Ty TNHH Exim &amp; Mfr Enterprise (Vietnam)</t>
        </is>
      </c>
      <c r="E7862" s="10" t="inlineStr">
        <is>
          <t>$$ 700-1,200 /tháng</t>
        </is>
      </c>
      <c r="F7862" s="10" t="inlineStr">
        <is>
          <t>Đồng Nai</t>
        </is>
      </c>
      <c r="G7862" s="10" t="inlineStr">
        <is>
          <t>Nhân viên</t>
        </is>
      </c>
      <c r="H7862" s="10" t="inlineStr">
        <is>
          <t>19/02/2026</t>
        </is>
      </c>
      <c r="I7862" s="10" t="inlineStr">
        <is>
          <t>05/04/2026</t>
        </is>
      </c>
      <c r="J7862" s="10" t="inlineStr">
        <is>
          <t>17/03/2026</t>
        </is>
      </c>
      <c r="K7862" s="10" t="inlineStr">
        <is>
          <t>N/A</t>
        </is>
      </c>
      <c r="L7862" s="10" t="inlineStr">
        <is>
          <t>Sales Oriented, Negotiation, Customer Account Management, Customer-Oriented</t>
        </is>
      </c>
      <c r="M7862" s="10" t="inlineStr">
        <is>
          <t>Bonus, Healthcare Plan, Mobile</t>
        </is>
      </c>
      <c r="N7862" s="11">
        <f>HYPERLINK("https://www.vietnamworks.com/sales-executive-engineer--2012185-jv","Xem chi tiết")</f>
        <v/>
      </c>
      <c r="O7862" s="10" t="n"/>
    </row>
    <row r="7863">
      <c r="B7863" s="7" t="n">
        <v>7861</v>
      </c>
      <c r="C7863" t="inlineStr">
        <is>
          <t>Nhân Viên Kinh Doanh Xuất Khẩu Nông Sản (Không Yêu Cầu Kinh Nghiệm)</t>
        </is>
      </c>
      <c r="D7863" t="inlineStr">
        <is>
          <t>Công ty TNHH Thương mại &amp; Đầu tư Tbestpro</t>
        </is>
      </c>
      <c r="E7863" t="inlineStr">
        <is>
          <t>15tr-25tr ₫/tháng</t>
        </is>
      </c>
      <c r="F7863" t="inlineStr">
        <is>
          <t>Hà Nội</t>
        </is>
      </c>
      <c r="G7863" t="inlineStr">
        <is>
          <t>Nhân viên</t>
        </is>
      </c>
      <c r="H7863" t="inlineStr">
        <is>
          <t>02/03/2026</t>
        </is>
      </c>
      <c r="I7863" t="inlineStr">
        <is>
          <t>05/04/2026</t>
        </is>
      </c>
      <c r="J7863" t="inlineStr">
        <is>
          <t>17/03/2026</t>
        </is>
      </c>
      <c r="K7863" t="inlineStr">
        <is>
          <t>N/A</t>
        </is>
      </c>
      <c r="L7863" t="inlineStr">
        <is>
          <t>Kinh Doanh Xuất Nhập Khẩu, Sales xuất khẩu, Tiếng  Anh Giao Tiếp, Tìm Kiếm Khách Hàng, Tư Vấn Khách Hàng</t>
        </is>
      </c>
      <c r="M7863" t="inlineStr">
        <is>
          <t>Bonus, Travel Opportunities, Others</t>
        </is>
      </c>
      <c r="N7863" s="8">
        <f>HYPERLINK("https://www.vietnamworks.com/nhan-vien-kinh-doanh-xuat-khau-nong-san-khong-yeu-cau-kinh-nghiem-2016978-jv","Xem chi tiết")</f>
        <v/>
      </c>
    </row>
    <row r="7864">
      <c r="B7864" s="9" t="n">
        <v>7862</v>
      </c>
      <c r="C7864" s="10" t="inlineStr">
        <is>
          <t>Giám Đốc Xúc Tiến Đầu Tư</t>
        </is>
      </c>
      <c r="D7864" s="10" t="inlineStr">
        <is>
          <t>Công Ty Cổ Phần Đầu Tư Và Phân Phối DTJ</t>
        </is>
      </c>
      <c r="E7864" s="10" t="inlineStr">
        <is>
          <t>Thương lượng</t>
        </is>
      </c>
      <c r="F7864" s="10" t="inlineStr">
        <is>
          <t>Hà Nội</t>
        </is>
      </c>
      <c r="G7864" s="10" t="inlineStr">
        <is>
          <t>Giám Đốc và Cấp Cao Hơn</t>
        </is>
      </c>
      <c r="H7864" s="10" t="inlineStr">
        <is>
          <t>05/03/2026</t>
        </is>
      </c>
      <c r="I7864" s="10" t="inlineStr">
        <is>
          <t>05/04/2026</t>
        </is>
      </c>
      <c r="J7864" s="10" t="inlineStr">
        <is>
          <t>17/03/2026</t>
        </is>
      </c>
      <c r="K7864" s="10" t="inlineStr">
        <is>
          <t>N/A</t>
        </is>
      </c>
      <c r="L7864" s="10" t="inlineStr">
        <is>
          <t>Tài Chính Đầu Tư, Bđs Kcn, FDI, Tư Vấn Đầu Tư, Tự Làm Chủ</t>
        </is>
      </c>
      <c r="M7864" s="10" t="inlineStr">
        <is>
          <t>Bonus, Healthcare Plan, Paid Leave, Others</t>
        </is>
      </c>
      <c r="N7864" s="11">
        <f>HYPERLINK("https://www.vietnamworks.com/giam-djoc-xuc-tien-djau-tu-2018530-jv","Xem chi tiết")</f>
        <v/>
      </c>
      <c r="O7864" s="10" t="n"/>
    </row>
    <row r="7865">
      <c r="B7865" s="7" t="n">
        <v>7863</v>
      </c>
      <c r="C7865" t="inlineStr">
        <is>
          <t>Trưởng Bộ Phận Vận Hành Thu Nhập Từ 18 - 25 Triệu/tháng</t>
        </is>
      </c>
      <c r="D7865" t="inlineStr">
        <is>
          <t>Công ty TNHH Worksmate</t>
        </is>
      </c>
      <c r="E7865" t="inlineStr">
        <is>
          <t>18tr-25tr ₫/tháng</t>
        </is>
      </c>
      <c r="F7865" t="inlineStr">
        <is>
          <t>Hà Nội</t>
        </is>
      </c>
      <c r="G7865" t="inlineStr">
        <is>
          <t>Trưởng phòng</t>
        </is>
      </c>
      <c r="H7865" t="inlineStr">
        <is>
          <t>24/02/2026</t>
        </is>
      </c>
      <c r="I7865" t="inlineStr">
        <is>
          <t>05/04/2026</t>
        </is>
      </c>
      <c r="J7865" t="inlineStr">
        <is>
          <t>17/03/2026</t>
        </is>
      </c>
      <c r="K7865" t="inlineStr">
        <is>
          <t>N/A</t>
        </is>
      </c>
      <c r="L7865" t="inlineStr">
        <is>
          <t>Phân Tích Dữ Liệu, Quản Lý Vận Hành, Xây Dựng Quy Trình, Vận Hành, SOP</t>
        </is>
      </c>
      <c r="M7865" t="inlineStr">
        <is>
          <t>Healthcare Plan, Travel Opportunities, Others</t>
        </is>
      </c>
      <c r="N7865" s="8">
        <f>HYPERLINK("https://www.vietnamworks.com/truong-bo-phan-van-hanh-thu-nhap-tu-18-25-trieuthang-2012874-jv","Xem chi tiết")</f>
        <v/>
      </c>
    </row>
    <row r="7866">
      <c r="B7866" s="9" t="n">
        <v>7864</v>
      </c>
      <c r="C7866" s="10" t="inlineStr">
        <is>
          <t>Chuyên Viên Mua Hàng (Tiếng Trung)</t>
        </is>
      </c>
      <c r="D7866" s="10" t="inlineStr">
        <is>
          <t>Công Ty Cổ Phần Thương Mại Citicom</t>
        </is>
      </c>
      <c r="E7866" s="10" t="inlineStr">
        <is>
          <t>12tr-16tr ₫/tháng</t>
        </is>
      </c>
      <c r="F7866" s="10" t="inlineStr">
        <is>
          <t>Hà Nội</t>
        </is>
      </c>
      <c r="G7866" s="10" t="inlineStr">
        <is>
          <t>Nhân viên</t>
        </is>
      </c>
      <c r="H7866" s="10" t="inlineStr">
        <is>
          <t>04/03/2026</t>
        </is>
      </c>
      <c r="I7866" s="10" t="inlineStr">
        <is>
          <t>05/04/2026</t>
        </is>
      </c>
      <c r="J7866" s="10" t="inlineStr">
        <is>
          <t>17/03/2026</t>
        </is>
      </c>
      <c r="K7866" s="10" t="inlineStr">
        <is>
          <t>N/A</t>
        </is>
      </c>
      <c r="L7866" s="10" t="inlineStr">
        <is>
          <t>HSK5, Kế Hoạch Mua Hàng, Kiểm Soát Chứng Từ, Kiểm Tra Hàng Hóa, Quản Lý Nhà Cung Cấp</t>
        </is>
      </c>
      <c r="M7866" s="10" t="inlineStr">
        <is>
          <t>Healthcare Plan</t>
        </is>
      </c>
      <c r="N7866" s="11">
        <f>HYPERLINK("https://www.vietnamworks.com/chuyen-vien-mua-hang-tieng-trung-2018304-jv","Xem chi tiết")</f>
        <v/>
      </c>
      <c r="O7866" s="10" t="n"/>
    </row>
    <row r="7867">
      <c r="B7867" s="7" t="n">
        <v>7865</v>
      </c>
      <c r="C7867" t="inlineStr">
        <is>
          <t>.NET/Java Developer (Enrich Mendix)</t>
        </is>
      </c>
      <c r="D7867" t="inlineStr">
        <is>
          <t>FPT Software</t>
        </is>
      </c>
      <c r="E7867" t="inlineStr">
        <is>
          <t>Thương lượng</t>
        </is>
      </c>
      <c r="F7867" t="inlineStr">
        <is>
          <t>Hồ Chí Minh</t>
        </is>
      </c>
      <c r="G7867" t="inlineStr">
        <is>
          <t>Nhân viên</t>
        </is>
      </c>
      <c r="H7867" t="inlineStr">
        <is>
          <t>11/02/2026</t>
        </is>
      </c>
      <c r="I7867" t="inlineStr">
        <is>
          <t>05/04/2026</t>
        </is>
      </c>
      <c r="J7867" t="inlineStr">
        <is>
          <t>17/03/2026</t>
        </is>
      </c>
      <c r="K7867" t="inlineStr">
        <is>
          <t>N/A</t>
        </is>
      </c>
      <c r="L7867" t="inlineStr">
        <is>
          <t>AWS, Docker</t>
        </is>
      </c>
      <c r="M7867" t="inlineStr">
        <is>
          <t>Healthcare Plan, Paid Leave, Training, Others</t>
        </is>
      </c>
      <c r="N7867" s="8">
        <f>HYPERLINK("https://www.vietnamworks.com/-netjava-developer-enrich-mendix-2011488-jv","Xem chi tiết")</f>
        <v/>
      </c>
    </row>
    <row r="7868">
      <c r="B7868" s="9" t="n">
        <v>7866</v>
      </c>
      <c r="C7868" s="10" t="inlineStr">
        <is>
          <t>Senior Architect</t>
        </is>
      </c>
      <c r="D7868" s="10" t="inlineStr">
        <is>
          <t>CÔNG TY TNHH MAC ZT VIỆT NAM</t>
        </is>
      </c>
      <c r="E7868" s="10" t="inlineStr">
        <is>
          <t>Thương lượng</t>
        </is>
      </c>
      <c r="F7868" s="10" t="inlineStr">
        <is>
          <t>Hồ Chí Minh</t>
        </is>
      </c>
      <c r="G7868" s="10" t="inlineStr">
        <is>
          <t>Nhân viên</t>
        </is>
      </c>
      <c r="H7868" s="10" t="inlineStr">
        <is>
          <t>05/03/2026</t>
        </is>
      </c>
      <c r="I7868" s="10" t="inlineStr">
        <is>
          <t>05/04/2026</t>
        </is>
      </c>
      <c r="J7868" s="10" t="inlineStr">
        <is>
          <t>17/03/2026</t>
        </is>
      </c>
      <c r="K7868" s="10" t="inlineStr">
        <is>
          <t>N/A</t>
        </is>
      </c>
      <c r="L7868" s="10" t="inlineStr">
        <is>
          <t>3D Modeling, Revit, German Construction Projects, BIM Workflows, Project Controls</t>
        </is>
      </c>
      <c r="M7868" s="10" t="inlineStr">
        <is>
          <t>Bonus, Awards, Others</t>
        </is>
      </c>
      <c r="N7868" s="11">
        <f>HYPERLINK("https://www.vietnamworks.com/senior-architect-2018542-jv","Xem chi tiết")</f>
        <v/>
      </c>
      <c r="O7868" s="10" t="n"/>
    </row>
    <row r="7869">
      <c r="B7869" s="7" t="n">
        <v>7867</v>
      </c>
      <c r="C7869" t="inlineStr">
        <is>
          <t>Kế Toán Bán Hàng</t>
        </is>
      </c>
      <c r="D7869" t="inlineStr">
        <is>
          <t>Vietnamworks' Client</t>
        </is>
      </c>
      <c r="E7869" t="inlineStr">
        <is>
          <t>8tr-12tr ₫/tháng</t>
        </is>
      </c>
      <c r="F7869" t="inlineStr">
        <is>
          <t>Hồ Chí Minh</t>
        </is>
      </c>
      <c r="G7869" t="inlineStr">
        <is>
          <t>Mới Tốt Nghiệp</t>
        </is>
      </c>
      <c r="H7869" t="inlineStr">
        <is>
          <t>05/03/2026</t>
        </is>
      </c>
      <c r="I7869" t="inlineStr">
        <is>
          <t>05/04/2026</t>
        </is>
      </c>
      <c r="J7869" t="inlineStr">
        <is>
          <t>17/03/2026</t>
        </is>
      </c>
      <c r="K7869" t="inlineStr">
        <is>
          <t>N/A</t>
        </is>
      </c>
      <c r="L7869" t="inlineStr">
        <is>
          <t>Kế Toán, Kế Toán Bán Hàng, Kế Toán Nội Bộ, Tin Học Văn Phòng, Trách Nhiệm</t>
        </is>
      </c>
      <c r="M7869" t="inlineStr">
        <is>
          <t>Bonus, Others</t>
        </is>
      </c>
      <c r="N7869" s="8">
        <f>HYPERLINK("https://www.vietnamworks.com/ke-toan-ban-hang-2018993-jv","Xem chi tiết")</f>
        <v/>
      </c>
    </row>
    <row r="7870">
      <c r="B7870" s="9" t="n">
        <v>7868</v>
      </c>
      <c r="C7870" s="10" t="inlineStr">
        <is>
          <t>Trưởng Nhóm Nhân Sự - Phụ Trách Hành Chính Nhân Sự</t>
        </is>
      </c>
      <c r="D7870" s="10" t="inlineStr">
        <is>
          <t>Công Ty Cổ Phần Thương Mại Citicom</t>
        </is>
      </c>
      <c r="E7870" s="10" t="inlineStr">
        <is>
          <t>22tr-30tr ₫/tháng</t>
        </is>
      </c>
      <c r="F7870" s="10" t="inlineStr">
        <is>
          <t>Hà Nội</t>
        </is>
      </c>
      <c r="G7870" s="10" t="inlineStr">
        <is>
          <t>Trưởng phòng</t>
        </is>
      </c>
      <c r="H7870" s="10" t="inlineStr">
        <is>
          <t>04/03/2026</t>
        </is>
      </c>
      <c r="I7870" s="10" t="inlineStr">
        <is>
          <t>05/04/2026</t>
        </is>
      </c>
      <c r="J7870" s="10" t="inlineStr">
        <is>
          <t>17/03/2026</t>
        </is>
      </c>
      <c r="K7870" s="10" t="inlineStr">
        <is>
          <t>N/A</t>
        </is>
      </c>
      <c r="L7870" s="10" t="inlineStr">
        <is>
          <t>Cải Tiến Quy Trình Vận Hành, Kiểm Soát Hồ Sơ, Quản Trị Nhân Sự, Tuyển Dụng Đào Tạo</t>
        </is>
      </c>
      <c r="M7870" s="10" t="inlineStr">
        <is>
          <t>Healthcare Plan</t>
        </is>
      </c>
      <c r="N7870" s="11">
        <f>HYPERLINK("https://www.vietnamworks.com/truong-nhom-nhan-su-phu-trach-hanh-chinh-nhan-su-2018310-jv","Xem chi tiết")</f>
        <v/>
      </c>
      <c r="O7870" s="10" t="n"/>
    </row>
    <row r="7871">
      <c r="B7871" s="7" t="n">
        <v>7869</v>
      </c>
      <c r="C7871" t="inlineStr">
        <is>
          <t>Phó Giám Đốc Ban Quản Lý Dự Án Noxh Tây Dĩnh Trì - Lương Upto 35Tr/tháng (Làm Việc Tại Bắc Ninh)</t>
        </is>
      </c>
      <c r="D7871" t="inlineStr">
        <is>
          <t>Công Ty CP Tập Đoàn Bách Việt</t>
        </is>
      </c>
      <c r="E7871" t="inlineStr">
        <is>
          <t>Tới 35tr ₫/tháng</t>
        </is>
      </c>
      <c r="F7871" t="inlineStr">
        <is>
          <t>Bắc Ninh</t>
        </is>
      </c>
      <c r="G7871" t="inlineStr">
        <is>
          <t>Giám Đốc và Cấp Cao Hơn</t>
        </is>
      </c>
      <c r="H7871" t="inlineStr">
        <is>
          <t>05/03/2026</t>
        </is>
      </c>
      <c r="I7871" t="inlineStr">
        <is>
          <t>05/04/2026</t>
        </is>
      </c>
      <c r="J7871" t="inlineStr">
        <is>
          <t>17/03/2026</t>
        </is>
      </c>
      <c r="K7871" t="inlineStr">
        <is>
          <t>N/A</t>
        </is>
      </c>
      <c r="L7871" t="inlineStr">
        <is>
          <t>Quản Lý Dự Án, Quản Lý Dự Án Công Trình, Quản Lý Dự Án Công Trình Xây Dựng, Quản Lý Dự Án Kiến Trúc, Xây Dựng</t>
        </is>
      </c>
      <c r="M7871" t="inlineStr">
        <is>
          <t>Bonus, Healthcare Plan, Training, Others</t>
        </is>
      </c>
      <c r="N7871" s="8">
        <f>HYPERLINK("https://www.vietnamworks.com/pho-giam-djoc-ban-quan-ly-du-an-noxh-tay-dinh-tri-luong-upto-35trthang-lam-viec-tai-bac-ninh-2018937-jv","Xem chi tiết")</f>
        <v/>
      </c>
    </row>
    <row r="7872">
      <c r="B7872" s="9" t="n">
        <v>7870</v>
      </c>
      <c r="C7872" s="10" t="inlineStr">
        <is>
          <t>Sales Executive / Engineer</t>
        </is>
      </c>
      <c r="D7872" s="10" t="inlineStr">
        <is>
          <t>Công Ty TNHH Exim &amp; Mfr Enterprise (Vietnam)</t>
        </is>
      </c>
      <c r="E7872" s="10" t="inlineStr">
        <is>
          <t>$$ 700-1,200 /tháng</t>
        </is>
      </c>
      <c r="F7872" s="10" t="inlineStr">
        <is>
          <t>Bình Dương</t>
        </is>
      </c>
      <c r="G7872" s="10" t="inlineStr">
        <is>
          <t>Nhân viên</t>
        </is>
      </c>
      <c r="H7872" s="10" t="inlineStr">
        <is>
          <t>19/02/2026</t>
        </is>
      </c>
      <c r="I7872" s="10" t="inlineStr">
        <is>
          <t>05/04/2026</t>
        </is>
      </c>
      <c r="J7872" s="10" t="inlineStr">
        <is>
          <t>17/03/2026</t>
        </is>
      </c>
      <c r="K7872" s="10" t="inlineStr">
        <is>
          <t>N/A</t>
        </is>
      </c>
      <c r="L7872" s="10" t="inlineStr">
        <is>
          <t>Sales-Oriented Attitude, Negotiation Skills, Customer Account Management</t>
        </is>
      </c>
      <c r="M7872" s="10" t="inlineStr">
        <is>
          <t>Bonus, Healthcare Plan, Mobile</t>
        </is>
      </c>
      <c r="N7872" s="11">
        <f>HYPERLINK("https://www.vietnamworks.com/sales-executive-engineer--2012184-jv","Xem chi tiết")</f>
        <v/>
      </c>
      <c r="O7872" s="10" t="n"/>
    </row>
    <row r="7873">
      <c r="B7873" s="7" t="n">
        <v>7871</v>
      </c>
      <c r="C7873" t="inlineStr">
        <is>
          <t>Trưởng Bộ Phận Kế Toán Công Nợ (AR Accounting Associate Manager)</t>
        </is>
      </c>
      <c r="D7873" t="inlineStr">
        <is>
          <t>CÔNG TY CỔ PHẦN GONSA</t>
        </is>
      </c>
      <c r="E7873" t="inlineStr">
        <is>
          <t>$$ 900-1,100 /tháng</t>
        </is>
      </c>
      <c r="F7873" t="inlineStr">
        <is>
          <t>Hồ Chí Minh</t>
        </is>
      </c>
      <c r="G7873" t="inlineStr">
        <is>
          <t>Nhân viên</t>
        </is>
      </c>
      <c r="H7873" t="inlineStr">
        <is>
          <t>19/02/2026</t>
        </is>
      </c>
      <c r="I7873" t="inlineStr">
        <is>
          <t>05/04/2026</t>
        </is>
      </c>
      <c r="J7873" t="inlineStr">
        <is>
          <t>17/03/2026</t>
        </is>
      </c>
      <c r="K7873" t="inlineStr">
        <is>
          <t>N/A</t>
        </is>
      </c>
      <c r="L7873" t="inlineStr">
        <is>
          <t>Accounting, Receivable Accounting, Kế Toán Thuế Công Nợ, Accountant, General Accountant</t>
        </is>
      </c>
      <c r="M7873" t="inlineStr">
        <is>
          <t>Bonus, Healthcare Plan, Awards</t>
        </is>
      </c>
      <c r="N7873" s="8">
        <f>HYPERLINK("https://www.vietnamworks.com/truong-bo-phan-ke-toan-cong-no-ar-accounting-associate-manager-2012189-jv","Xem chi tiết")</f>
        <v/>
      </c>
    </row>
    <row r="7874">
      <c r="B7874" s="9" t="n">
        <v>7872</v>
      </c>
      <c r="C7874" s="10" t="inlineStr">
        <is>
          <t>Maths Teacher</t>
        </is>
      </c>
      <c r="D7874" s="10" t="inlineStr">
        <is>
          <t>Scotch Australian Grammar School (AGS)</t>
        </is>
      </c>
      <c r="E7874" s="10" t="inlineStr">
        <is>
          <t>Thương lượng</t>
        </is>
      </c>
      <c r="F7874" s="10" t="inlineStr">
        <is>
          <t>Hồ Chí Minh</t>
        </is>
      </c>
      <c r="G7874" s="10" t="inlineStr">
        <is>
          <t>Nhân viên</t>
        </is>
      </c>
      <c r="H7874" s="10" t="inlineStr">
        <is>
          <t>03/02/2026</t>
        </is>
      </c>
      <c r="I7874" s="10" t="inlineStr">
        <is>
          <t>05/04/2026</t>
        </is>
      </c>
      <c r="J7874" s="10" t="inlineStr">
        <is>
          <t>17/03/2026</t>
        </is>
      </c>
      <c r="K7874" s="10" t="inlineStr">
        <is>
          <t>N/A</t>
        </is>
      </c>
      <c r="L7874" s="10" t="inlineStr">
        <is>
          <t>Teaching, Giáo Dục Đào Tạo, Giảng Viên Toán Học, Giảng Dạy, Education</t>
        </is>
      </c>
      <c r="M7874" s="10" t="inlineStr">
        <is>
          <t>Bonus, Healthcare Plan, Canteen</t>
        </is>
      </c>
      <c r="N7874" s="11">
        <f>HYPERLINK("https://www.vietnamworks.com/maths-teacher--2009345-jv","Xem chi tiết")</f>
        <v/>
      </c>
      <c r="O7874" s="10" t="n"/>
    </row>
    <row r="7875">
      <c r="B7875" s="7" t="n">
        <v>7873</v>
      </c>
      <c r="C7875" t="inlineStr">
        <is>
          <t>Content Marketing Executive (Mảng Giáo Dục / Du Học)</t>
        </is>
      </c>
      <c r="D7875" t="inlineStr">
        <is>
          <t>Công Ty Cổ Phần Giáo Dục VIETINT</t>
        </is>
      </c>
      <c r="E7875" t="inlineStr">
        <is>
          <t>Thương lượng</t>
        </is>
      </c>
      <c r="F7875" t="inlineStr">
        <is>
          <t>Hà Nội, Hồ Chí Minh</t>
        </is>
      </c>
      <c r="G7875" t="inlineStr">
        <is>
          <t>Nhân viên</t>
        </is>
      </c>
      <c r="H7875" t="inlineStr">
        <is>
          <t>05/03/2026</t>
        </is>
      </c>
      <c r="I7875" t="inlineStr">
        <is>
          <t>05/04/2026</t>
        </is>
      </c>
      <c r="J7875" t="inlineStr">
        <is>
          <t>17/03/2026</t>
        </is>
      </c>
      <c r="K7875" t="inlineStr">
        <is>
          <t>N/A</t>
        </is>
      </c>
      <c r="L7875" t="inlineStr">
        <is>
          <t>Tư Vấn, Tiếng Anh, Consultant Service, Hồ Sơ Du Học, Tư Vấn Du Học</t>
        </is>
      </c>
      <c r="M7875" t="inlineStr">
        <is>
          <t>Bonus, Healthcare Plan, Mobile</t>
        </is>
      </c>
      <c r="N7875" s="8">
        <f>HYPERLINK("https://www.vietnamworks.com/content-marketing-executive-mang-giao-duc-du-hoc-2019037-jv","Xem chi tiết")</f>
        <v/>
      </c>
    </row>
    <row r="7876">
      <c r="B7876" s="9" t="n">
        <v>7874</v>
      </c>
      <c r="C7876" s="10" t="inlineStr">
        <is>
          <t>Supply Chain Interns/ Entry-Level</t>
        </is>
      </c>
      <c r="D7876" s="10" t="inlineStr">
        <is>
          <t>B.Braun Vietnam Company Ltd.</t>
        </is>
      </c>
      <c r="E7876" s="10" t="inlineStr">
        <is>
          <t>Thương lượng</t>
        </is>
      </c>
      <c r="F7876" s="10" t="inlineStr">
        <is>
          <t>Hà Nội</t>
        </is>
      </c>
      <c r="G7876" s="10" t="inlineStr">
        <is>
          <t>Thực tập sinh/Sinh viên</t>
        </is>
      </c>
      <c r="H7876" s="10" t="inlineStr">
        <is>
          <t>05/03/2026</t>
        </is>
      </c>
      <c r="I7876" s="10" t="inlineStr">
        <is>
          <t>05/04/2026</t>
        </is>
      </c>
      <c r="J7876" s="10" t="inlineStr">
        <is>
          <t>17/03/2026</t>
        </is>
      </c>
      <c r="K7876" s="10" t="inlineStr">
        <is>
          <t>N/A</t>
        </is>
      </c>
      <c r="L7876" s="10" t="inlineStr">
        <is>
          <t>Tiếng Anh thành thạo, Quản Lý Chuỗi Cung Ứng, Kỹ Năng Quản Lý Thời Gian, Kỹ năng giao tiếp, Mua hàng &amp; quản lý chuỗi cung ứng</t>
        </is>
      </c>
      <c r="M7876" s="10" t="inlineStr">
        <is>
          <t>Training, Transportation, Canteen</t>
        </is>
      </c>
      <c r="N7876" s="11">
        <f>HYPERLINK("https://www.vietnamworks.com/supply-chain-interns-entry-level-2019013-jv","Xem chi tiết")</f>
        <v/>
      </c>
      <c r="O7876" s="10" t="n"/>
    </row>
    <row r="7877">
      <c r="B7877" s="7" t="n">
        <v>7875</v>
      </c>
      <c r="C7877" t="inlineStr">
        <is>
          <t>Hỗ Trợ Kinh Doanh (Sale Admin)</t>
        </is>
      </c>
      <c r="D7877" t="inlineStr">
        <is>
          <t>CÔNG TY TNHH CÔNG NGHỆ PEO</t>
        </is>
      </c>
      <c r="E7877" t="inlineStr">
        <is>
          <t>Thương lượng</t>
        </is>
      </c>
      <c r="F7877" t="inlineStr">
        <is>
          <t>Hồ Chí Minh</t>
        </is>
      </c>
      <c r="G7877" t="inlineStr">
        <is>
          <t>Nhân viên</t>
        </is>
      </c>
      <c r="H7877" t="inlineStr">
        <is>
          <t>05/03/2026</t>
        </is>
      </c>
      <c r="I7877" t="inlineStr">
        <is>
          <t>05/04/2026</t>
        </is>
      </c>
      <c r="J7877" t="inlineStr">
        <is>
          <t>17/03/2026</t>
        </is>
      </c>
      <c r="K7877" t="inlineStr">
        <is>
          <t>N/A</t>
        </is>
      </c>
      <c r="L7877" t="inlineStr">
        <is>
          <t>Sales Event, Sales Support, Hỗ Trợ Kinh Doanh, Sales Admin, Sales Operations</t>
        </is>
      </c>
      <c r="M7877" t="inlineStr">
        <is>
          <t>Healthcare Plan, Training, Others</t>
        </is>
      </c>
      <c r="N7877" s="8">
        <f>HYPERLINK("https://www.vietnamworks.com/ho-tro-kinh-doanh-sale-admin-2018996-jv","Xem chi tiết")</f>
        <v/>
      </c>
    </row>
    <row r="7878">
      <c r="B7878" s="9" t="n">
        <v>7876</v>
      </c>
      <c r="C7878" s="10" t="inlineStr">
        <is>
          <t>Nhân Viên Phòng Đảm Bảo An Toàn và Môi Trường</t>
        </is>
      </c>
      <c r="D7878" s="10" t="inlineStr">
        <is>
          <t>Brother Industries (Vietnam) Ltd.</t>
        </is>
      </c>
      <c r="E7878" s="10" t="inlineStr">
        <is>
          <t>Thương lượng</t>
        </is>
      </c>
      <c r="F7878" s="10" t="inlineStr">
        <is>
          <t>Hải Phòng</t>
        </is>
      </c>
      <c r="G7878" s="10" t="inlineStr">
        <is>
          <t>Nhân viên</t>
        </is>
      </c>
      <c r="H7878" s="10" t="inlineStr">
        <is>
          <t>05/03/2026</t>
        </is>
      </c>
      <c r="I7878" s="10" t="inlineStr">
        <is>
          <t>05/04/2026</t>
        </is>
      </c>
      <c r="J7878" s="10" t="inlineStr">
        <is>
          <t>17/03/2026</t>
        </is>
      </c>
      <c r="K7878" s="10" t="inlineStr">
        <is>
          <t>N/A</t>
        </is>
      </c>
      <c r="L7878" s="10" t="inlineStr">
        <is>
          <t>Quan Trắc Môi Trường, ISO 14001, EHS, Quản Lý Chất Thải, Tiết Kiệm Năng Lượng</t>
        </is>
      </c>
      <c r="M7878" s="10" t="inlineStr">
        <is>
          <t>Travel Opportunities, Team Activities, Transportation</t>
        </is>
      </c>
      <c r="N7878" s="11">
        <f>HYPERLINK("https://www.vietnamworks.com/nhan-vien-phong-dam-bao-an-toan-va-moi-truong-2018910-jv","Xem chi tiết")</f>
        <v/>
      </c>
      <c r="O7878" s="10" t="n"/>
    </row>
    <row r="7879">
      <c r="B7879" s="7" t="n">
        <v>7877</v>
      </c>
      <c r="C7879" t="inlineStr">
        <is>
          <t>Nhân Viên Sales Thị Trường (Ngành Thực Phẩm)</t>
        </is>
      </c>
      <c r="D7879" t="inlineStr">
        <is>
          <t>CÔNG TY TNHH THỰC PHẨM SAMURAI</t>
        </is>
      </c>
      <c r="E7879" t="inlineStr">
        <is>
          <t>Thương lượng</t>
        </is>
      </c>
      <c r="F7879" t="inlineStr">
        <is>
          <t>Hồ Chí Minh</t>
        </is>
      </c>
      <c r="G7879" t="inlineStr">
        <is>
          <t>Nhân viên</t>
        </is>
      </c>
      <c r="H7879" t="inlineStr">
        <is>
          <t>02/03/2026</t>
        </is>
      </c>
      <c r="I7879" t="inlineStr">
        <is>
          <t>05/04/2026</t>
        </is>
      </c>
      <c r="J7879" t="inlineStr">
        <is>
          <t>17/03/2026</t>
        </is>
      </c>
      <c r="K7879" t="inlineStr">
        <is>
          <t>N/A</t>
        </is>
      </c>
      <c r="L7879" t="inlineStr">
        <is>
          <t>Sales experience, Negotiation Skills, FMCG, Kinh Doanh Thực Phẩm, Bán hàng</t>
        </is>
      </c>
      <c r="M7879" t="inlineStr">
        <is>
          <t>Bonus, Healthcare Plan, Training, Others</t>
        </is>
      </c>
      <c r="N7879" s="8">
        <f>HYPERLINK("https://www.vietnamworks.com/nhan-vien-sales-thi-truong-nganh-thuc-pham-2016915-jv","Xem chi tiết")</f>
        <v/>
      </c>
    </row>
    <row r="7880">
      <c r="B7880" s="9" t="n">
        <v>7878</v>
      </c>
      <c r="C7880" s="10" t="inlineStr">
        <is>
          <t>Senior People Operations Associate</t>
        </is>
      </c>
      <c r="D7880" s="10" t="inlineStr">
        <is>
          <t>Vietnamworks' Client</t>
        </is>
      </c>
      <c r="E7880" s="10" t="inlineStr">
        <is>
          <t>Thương lượng</t>
        </is>
      </c>
      <c r="F7880" s="10" t="inlineStr">
        <is>
          <t>Hồ Chí Minh</t>
        </is>
      </c>
      <c r="G7880" s="10" t="inlineStr">
        <is>
          <t>Nhân viên</t>
        </is>
      </c>
      <c r="H7880" s="10" t="inlineStr">
        <is>
          <t>19/02/2026</t>
        </is>
      </c>
      <c r="I7880" s="10" t="inlineStr">
        <is>
          <t>05/04/2026</t>
        </is>
      </c>
      <c r="J7880" s="10" t="inlineStr">
        <is>
          <t>17/03/2026</t>
        </is>
      </c>
      <c r="K7880" s="10" t="inlineStr">
        <is>
          <t>N/A</t>
        </is>
      </c>
      <c r="L7880" s="10" t="inlineStr">
        <is>
          <t>Communication Skills, HR Process Application, HRIS System, Managing HR Operations, Policy Development</t>
        </is>
      </c>
      <c r="M7880" s="10" t="inlineStr">
        <is>
          <t>Bonus, Healthcare Plan, Paid Leave, Laptop, Canteen</t>
        </is>
      </c>
      <c r="N7880" s="11">
        <f>HYPERLINK("https://www.vietnamworks.com/senior-people-operations-associate-2012187-jv","Xem chi tiết")</f>
        <v/>
      </c>
      <c r="O7880" s="10" t="n"/>
    </row>
    <row r="7881">
      <c r="B7881" s="7" t="n">
        <v>7879</v>
      </c>
      <c r="C7881" t="inlineStr">
        <is>
          <t>Trợ Lý Kinh Doanh (Sales Admin)</t>
        </is>
      </c>
      <c r="D7881" t="inlineStr">
        <is>
          <t>Công Ty Cổ Phần Thương Mại Citicom</t>
        </is>
      </c>
      <c r="E7881" t="inlineStr">
        <is>
          <t>8tr-12tr ₫/tháng</t>
        </is>
      </c>
      <c r="F7881" t="inlineStr">
        <is>
          <t>Hà Nội</t>
        </is>
      </c>
      <c r="G7881" t="inlineStr">
        <is>
          <t>Nhân viên</t>
        </is>
      </c>
      <c r="H7881" t="inlineStr">
        <is>
          <t>04/03/2026</t>
        </is>
      </c>
      <c r="I7881" t="inlineStr">
        <is>
          <t>05/04/2026</t>
        </is>
      </c>
      <c r="J7881" t="inlineStr">
        <is>
          <t>17/03/2026</t>
        </is>
      </c>
      <c r="K7881" t="inlineStr">
        <is>
          <t>N/A</t>
        </is>
      </c>
      <c r="L7881" t="inlineStr">
        <is>
          <t>Giải Quyết Vấn Đề, Chăm Sóc Khách Hàng, Hỗ Trợ Khách Hàng, Sales Administration, Xử Lý Đơn Hàng</t>
        </is>
      </c>
      <c r="M7881" t="inlineStr">
        <is>
          <t>Healthcare Plan</t>
        </is>
      </c>
      <c r="N7881" s="8">
        <f>HYPERLINK("https://www.vietnamworks.com/tro-ly-kinh-doanh-sales-admin-2018313-jv","Xem chi tiết")</f>
        <v/>
      </c>
    </row>
    <row r="7882">
      <c r="B7882" s="9" t="n">
        <v>7880</v>
      </c>
      <c r="C7882" s="10" t="inlineStr">
        <is>
          <t>Solutions Architect ( Banking / Finance )</t>
        </is>
      </c>
      <c r="D7882" s="10" t="inlineStr">
        <is>
          <t>CharterTech Global</t>
        </is>
      </c>
      <c r="E7882" s="10" t="inlineStr">
        <is>
          <t>Thương lượng</t>
        </is>
      </c>
      <c r="F7882" s="10" t="inlineStr">
        <is>
          <t>Hà Nội</t>
        </is>
      </c>
      <c r="G7882" s="10" t="inlineStr">
        <is>
          <t>Trưởng phòng</t>
        </is>
      </c>
      <c r="H7882" s="10" t="inlineStr">
        <is>
          <t>05/03/2026</t>
        </is>
      </c>
      <c r="I7882" s="10" t="inlineStr">
        <is>
          <t>05/04/2026</t>
        </is>
      </c>
      <c r="J7882" s="10" t="inlineStr">
        <is>
          <t>17/03/2026</t>
        </is>
      </c>
      <c r="K7882" s="10" t="inlineStr">
        <is>
          <t>N/A</t>
        </is>
      </c>
      <c r="L7882" s="10" t="inlineStr">
        <is>
          <t>Software Solution Architecture, AWS, Technical Architecture, Banking, Application Solution</t>
        </is>
      </c>
      <c r="M7882" s="10" t="inlineStr">
        <is>
          <t>Bonus, Team Activities</t>
        </is>
      </c>
      <c r="N7882" s="11">
        <f>HYPERLINK("https://www.vietnamworks.com/solutions-architect-banking-finance-2019033-jv","Xem chi tiết")</f>
        <v/>
      </c>
      <c r="O7882" s="10" t="n"/>
    </row>
    <row r="7883">
      <c r="B7883" s="7" t="n">
        <v>7881</v>
      </c>
      <c r="C7883" t="inlineStr">
        <is>
          <t>Trình Dược Viên ETC (Team North) – Base Hà Nội</t>
        </is>
      </c>
      <c r="D7883" t="inlineStr">
        <is>
          <t>Egis Pharmaceuticals Private Limited Company ( Hungary)</t>
        </is>
      </c>
      <c r="E7883" t="inlineStr">
        <is>
          <t>Thương lượng</t>
        </is>
      </c>
      <c r="F7883" t="inlineStr">
        <is>
          <t>Hà Nội</t>
        </is>
      </c>
      <c r="G7883" t="inlineStr">
        <is>
          <t>Nhân viên</t>
        </is>
      </c>
      <c r="H7883" t="inlineStr">
        <is>
          <t>05/03/2026</t>
        </is>
      </c>
      <c r="I7883" t="inlineStr">
        <is>
          <t>05/04/2026</t>
        </is>
      </c>
      <c r="J7883" t="inlineStr">
        <is>
          <t>17/03/2026</t>
        </is>
      </c>
      <c r="K7883" t="inlineStr">
        <is>
          <t>N/A</t>
        </is>
      </c>
      <c r="L7883" t="inlineStr">
        <is>
          <t>Pharmacy, Health, Pharmacist, Trình dược viên, ETC</t>
        </is>
      </c>
      <c r="M7883" t="inlineStr">
        <is>
          <t>Bonus, Healthcare Plan, Paid Leave</t>
        </is>
      </c>
      <c r="N7883" s="8">
        <f>HYPERLINK("https://www.vietnamworks.com/trinh-duoc-vien-etc-team-north-base-ha-noi-2019055-jv","Xem chi tiết")</f>
        <v/>
      </c>
    </row>
    <row r="7884">
      <c r="B7884" s="9" t="n">
        <v>7882</v>
      </c>
      <c r="C7884" s="10" t="inlineStr">
        <is>
          <t>Chief Accountant</t>
        </is>
      </c>
      <c r="D7884" s="10" t="inlineStr">
        <is>
          <t>Công ty TNHH Bando Vina</t>
        </is>
      </c>
      <c r="E7884" s="10" t="inlineStr">
        <is>
          <t>Thương lượng</t>
        </is>
      </c>
      <c r="F7884" s="10" t="inlineStr">
        <is>
          <t>Hồ Chí Minh</t>
        </is>
      </c>
      <c r="G7884" s="10" t="inlineStr">
        <is>
          <t>Trưởng phòng</t>
        </is>
      </c>
      <c r="H7884" s="10" t="inlineStr">
        <is>
          <t>05/03/2026</t>
        </is>
      </c>
      <c r="I7884" s="10" t="inlineStr">
        <is>
          <t>05/04/2026</t>
        </is>
      </c>
      <c r="J7884" s="10" t="inlineStr">
        <is>
          <t>17/03/2026</t>
        </is>
      </c>
      <c r="K7884" s="10" t="inlineStr">
        <is>
          <t>N/A</t>
        </is>
      </c>
      <c r="L7884" s="10" t="inlineStr">
        <is>
          <t>Cash Control, Tax Compliance, Payroll Management, Financial Reporting, VAS Standards</t>
        </is>
      </c>
      <c r="M7884" s="10" t="inlineStr">
        <is>
          <t>Bonus, Healthcare Plan, Paid Leave</t>
        </is>
      </c>
      <c r="N7884" s="11">
        <f>HYPERLINK("https://www.vietnamworks.com/chief-accountant-2019148-jv","Xem chi tiết")</f>
        <v/>
      </c>
      <c r="O7884" s="10" t="n"/>
    </row>
    <row r="7885">
      <c r="B7885" s="7" t="n">
        <v>7883</v>
      </c>
      <c r="C7885" t="inlineStr">
        <is>
          <t>Sales Tour Inbound - Thu Nhập Từ 15 - 30 Triệu/Tháng</t>
        </is>
      </c>
      <c r="D7885" t="inlineStr">
        <is>
          <t>Tonkin Travel</t>
        </is>
      </c>
      <c r="E7885" t="inlineStr">
        <is>
          <t>10tr-14tr ₫/tháng</t>
        </is>
      </c>
      <c r="F7885" t="inlineStr">
        <is>
          <t>Hà Nội</t>
        </is>
      </c>
      <c r="G7885" t="inlineStr">
        <is>
          <t>Nhân viên</t>
        </is>
      </c>
      <c r="H7885" t="inlineStr">
        <is>
          <t>05/03/2026</t>
        </is>
      </c>
      <c r="I7885" t="inlineStr">
        <is>
          <t>05/04/2026</t>
        </is>
      </c>
      <c r="J7885" t="inlineStr">
        <is>
          <t>17/03/2026</t>
        </is>
      </c>
      <c r="K7885" t="inlineStr">
        <is>
          <t>N/A</t>
        </is>
      </c>
      <c r="L7885" t="inlineStr">
        <is>
          <t>Communication Skills, English Language Proficiency, French Speaking, Inbound Sales, Office Software</t>
        </is>
      </c>
      <c r="M7885" t="inlineStr">
        <is>
          <t>Bonus, Healthcare Plan, Travel Opportunities, Others</t>
        </is>
      </c>
      <c r="N7885" s="8">
        <f>HYPERLINK("https://www.vietnamworks.com/sales-tour-inbound-thu-nhap-tu-15-30-trieuthang-2019157-jv","Xem chi tiết")</f>
        <v/>
      </c>
    </row>
    <row r="7886">
      <c r="B7886" s="9" t="n">
        <v>7884</v>
      </c>
      <c r="C7886" s="10" t="inlineStr">
        <is>
          <t>Nhân Viên Tư Vấn Khóa Học</t>
        </is>
      </c>
      <c r="D7886" s="10" t="inlineStr">
        <is>
          <t>CÔNG TY TNHH DOUGLAS BUSINESS SCHOOL</t>
        </is>
      </c>
      <c r="E7886" s="10" t="inlineStr">
        <is>
          <t>6tr-35tr ₫/tháng</t>
        </is>
      </c>
      <c r="F7886" s="10" t="inlineStr">
        <is>
          <t>Hồ Chí Minh</t>
        </is>
      </c>
      <c r="G7886" s="10" t="inlineStr">
        <is>
          <t>Nhân viên</t>
        </is>
      </c>
      <c r="H7886" s="10" t="inlineStr">
        <is>
          <t>05/03/2026</t>
        </is>
      </c>
      <c r="I7886" s="10" t="inlineStr">
        <is>
          <t>05/04/2026</t>
        </is>
      </c>
      <c r="J7886" s="10" t="inlineStr">
        <is>
          <t>17/03/2026</t>
        </is>
      </c>
      <c r="K7886" s="10" t="inlineStr">
        <is>
          <t>N/A</t>
        </is>
      </c>
      <c r="L7886" s="10" t="inlineStr">
        <is>
          <t>Giáo Dục Đào Tạo, Kinh Doanh, Tư Vấn Học Viên, Tư Vấn Khóa Học, Tuyển Sinh</t>
        </is>
      </c>
      <c r="M7886" s="10" t="inlineStr">
        <is>
          <t>Bonus, Paid Leave, Training, Others</t>
        </is>
      </c>
      <c r="N7886" s="11">
        <f>HYPERLINK("https://www.vietnamworks.com/nhan-vien-tu-van-khoa-hoc-2019125-jv","Xem chi tiết")</f>
        <v/>
      </c>
      <c r="O7886" s="10" t="n"/>
    </row>
    <row r="7887">
      <c r="B7887" s="7" t="n">
        <v>7885</v>
      </c>
      <c r="C7887" t="inlineStr">
        <is>
          <t>Nhân Viên Kinh Doanh Logistics (Sales B2B) - Thu Nhập 15-75 Triệu ++</t>
        </is>
      </c>
      <c r="D7887" t="inlineStr">
        <is>
          <t>Viet Sun Global Co., Ltd.</t>
        </is>
      </c>
      <c r="E7887" t="inlineStr">
        <is>
          <t>15tr-75tr ₫/tháng</t>
        </is>
      </c>
      <c r="F7887" t="inlineStr">
        <is>
          <t>Hồ Chí Minh</t>
        </is>
      </c>
      <c r="G7887" t="inlineStr">
        <is>
          <t>Nhân viên</t>
        </is>
      </c>
      <c r="H7887" t="inlineStr">
        <is>
          <t>05/03/2026</t>
        </is>
      </c>
      <c r="I7887" t="inlineStr">
        <is>
          <t>05/04/2026</t>
        </is>
      </c>
      <c r="J7887" t="inlineStr">
        <is>
          <t>17/03/2026</t>
        </is>
      </c>
      <c r="K7887" t="inlineStr">
        <is>
          <t>N/A</t>
        </is>
      </c>
      <c r="L7887" t="inlineStr">
        <is>
          <t>Sales B2B, Logistics, Customer Service, Tìm Kiếm Khách Hàng, Tư Vấn Khách Hàng</t>
        </is>
      </c>
      <c r="M7887" t="inlineStr">
        <is>
          <t>Bonus, Healthcare Plan, Training, Others</t>
        </is>
      </c>
      <c r="N7887" s="8">
        <f>HYPERLINK("https://www.vietnamworks.com/nhan-vien-kinh-doanh-logistics-sales-b2b-thu-nhap-15-75-trieu-2019104-jv","Xem chi tiết")</f>
        <v/>
      </c>
    </row>
    <row r="7888">
      <c r="B7888" s="9" t="n">
        <v>7886</v>
      </c>
      <c r="C7888" s="10" t="inlineStr">
        <is>
          <t>SEO Specialist (Global SEO)</t>
        </is>
      </c>
      <c r="D7888" s="10" t="inlineStr">
        <is>
          <t>Pixel Perfect</t>
        </is>
      </c>
      <c r="E7888" s="10" t="inlineStr">
        <is>
          <t>11tr-16tr ₫/tháng</t>
        </is>
      </c>
      <c r="F7888" s="10" t="inlineStr">
        <is>
          <t>Hồ Chí Minh</t>
        </is>
      </c>
      <c r="G7888" s="10" t="inlineStr">
        <is>
          <t>Nhân viên</t>
        </is>
      </c>
      <c r="H7888" s="10" t="inlineStr">
        <is>
          <t>06/03/2026</t>
        </is>
      </c>
      <c r="I7888" s="10" t="inlineStr">
        <is>
          <t>05/04/2026</t>
        </is>
      </c>
      <c r="J7888" s="10" t="inlineStr">
        <is>
          <t>17/03/2026</t>
        </is>
      </c>
      <c r="K7888" s="10" t="inlineStr">
        <is>
          <t>N/A</t>
        </is>
      </c>
      <c r="L7888" s="10" t="inlineStr">
        <is>
          <t>Google Analytics, Keyword research, SEO Optimization, Digital Marketing, Marketing</t>
        </is>
      </c>
      <c r="M7888" s="10" t="inlineStr">
        <is>
          <t>Bonus, Paid Leave, Team Activities, Canteen, Others</t>
        </is>
      </c>
      <c r="N7888" s="11">
        <f>HYPERLINK("https://www.vietnamworks.com/seo-specialist-global-seo-2019189-jv","Xem chi tiết")</f>
        <v/>
      </c>
      <c r="O7888" s="10" t="n"/>
    </row>
    <row r="7889">
      <c r="B7889" s="7" t="n">
        <v>7887</v>
      </c>
      <c r="C7889" t="inlineStr">
        <is>
          <t>Inbound Tour Operator</t>
        </is>
      </c>
      <c r="D7889" t="inlineStr">
        <is>
          <t>Asia Pioneer Travel</t>
        </is>
      </c>
      <c r="E7889" t="inlineStr">
        <is>
          <t>Tới 20tr ₫/tháng</t>
        </is>
      </c>
      <c r="F7889" t="inlineStr">
        <is>
          <t>Hà Nội</t>
        </is>
      </c>
      <c r="G7889" t="inlineStr">
        <is>
          <t>Nhân viên</t>
        </is>
      </c>
      <c r="H7889" t="inlineStr">
        <is>
          <t>05/03/2026</t>
        </is>
      </c>
      <c r="I7889" t="inlineStr">
        <is>
          <t>05/04/2026</t>
        </is>
      </c>
      <c r="J7889" t="inlineStr">
        <is>
          <t>17/03/2026</t>
        </is>
      </c>
      <c r="K7889" t="inlineStr">
        <is>
          <t>N/A</t>
        </is>
      </c>
      <c r="L7889" t="inlineStr">
        <is>
          <t>Tourism Management, Office Support, Customer Service, Inbound Tour Operations, Tour Guide</t>
        </is>
      </c>
      <c r="M7889" t="inlineStr">
        <is>
          <t>Bonus, Healthcare Plan, Paid Leave, Training, Awards, Others</t>
        </is>
      </c>
      <c r="N7889" s="8">
        <f>HYPERLINK("https://www.vietnamworks.com/inbound-tour-operator-2019162-jv","Xem chi tiết")</f>
        <v/>
      </c>
    </row>
    <row r="7890">
      <c r="B7890" s="9" t="n">
        <v>7888</v>
      </c>
      <c r="C7890" s="10" t="inlineStr">
        <is>
          <t>Senior Content Creator</t>
        </is>
      </c>
      <c r="D7890" s="10" t="inlineStr">
        <is>
          <t>Công ty TNHH Đầu tư và Thương mại Elva</t>
        </is>
      </c>
      <c r="E7890" s="10" t="inlineStr">
        <is>
          <t>$$ 480-640 /tháng</t>
        </is>
      </c>
      <c r="F7890" s="10" t="inlineStr">
        <is>
          <t>Hồ Chí Minh</t>
        </is>
      </c>
      <c r="G7890" s="10" t="inlineStr">
        <is>
          <t>Nhân viên</t>
        </is>
      </c>
      <c r="H7890" s="10" t="inlineStr">
        <is>
          <t>05/03/2026</t>
        </is>
      </c>
      <c r="I7890" s="10" t="inlineStr">
        <is>
          <t>05/04/2026</t>
        </is>
      </c>
      <c r="J7890" s="10" t="inlineStr">
        <is>
          <t>17/03/2026</t>
        </is>
      </c>
      <c r="K7890" s="10" t="inlineStr">
        <is>
          <t>N/A</t>
        </is>
      </c>
      <c r="L7890" s="10" t="inlineStr">
        <is>
          <t>Copywriting, Content Writing, Content Marketing, Content Creation, Content</t>
        </is>
      </c>
      <c r="M7890" s="10" t="inlineStr">
        <is>
          <t>Bonus, Training, Laptop</t>
        </is>
      </c>
      <c r="N7890" s="11">
        <f>HYPERLINK("https://www.vietnamworks.com/senior-content-creator--2019173-jv","Xem chi tiết")</f>
        <v/>
      </c>
      <c r="O7890" s="10" t="n"/>
    </row>
    <row r="7891">
      <c r="B7891" s="7" t="n">
        <v>7889</v>
      </c>
      <c r="C7891" t="inlineStr">
        <is>
          <t>Senior Media Creator</t>
        </is>
      </c>
      <c r="D7891" t="inlineStr">
        <is>
          <t>Công ty TNHH Đầu tư và Thương mại Elva</t>
        </is>
      </c>
      <c r="E7891" t="inlineStr">
        <is>
          <t>$$ 600-880 /tháng</t>
        </is>
      </c>
      <c r="F7891" t="inlineStr">
        <is>
          <t>Hồ Chí Minh</t>
        </is>
      </c>
      <c r="G7891" t="inlineStr">
        <is>
          <t>Nhân viên</t>
        </is>
      </c>
      <c r="H7891" t="inlineStr">
        <is>
          <t>05/03/2026</t>
        </is>
      </c>
      <c r="I7891" t="inlineStr">
        <is>
          <t>05/04/2026</t>
        </is>
      </c>
      <c r="J7891" t="inlineStr">
        <is>
          <t>17/03/2026</t>
        </is>
      </c>
      <c r="K7891" t="inlineStr">
        <is>
          <t>N/A</t>
        </is>
      </c>
      <c r="L7891" t="inlineStr">
        <is>
          <t>Video Producing, Video Creation, Video Content Production, Social Media Marketing, Media</t>
        </is>
      </c>
      <c r="M7891" t="inlineStr">
        <is>
          <t>Bonus, Training, Laptop</t>
        </is>
      </c>
      <c r="N7891" s="8">
        <f>HYPERLINK("https://www.vietnamworks.com/senior-media-creator--2019174-jv","Xem chi tiết")</f>
        <v/>
      </c>
    </row>
    <row r="7892">
      <c r="B7892" s="9" t="n">
        <v>7890</v>
      </c>
      <c r="C7892" s="10" t="inlineStr">
        <is>
          <t>Nhân Viên Bảo Trì Kĩ Thuật Điện</t>
        </is>
      </c>
      <c r="D7892" s="10" t="inlineStr">
        <is>
          <t>Công Ty TNHH Emberfoods</t>
        </is>
      </c>
      <c r="E7892" s="10" t="inlineStr">
        <is>
          <t>$$ 400-600 /tháng</t>
        </is>
      </c>
      <c r="F7892" s="10" t="inlineStr">
        <is>
          <t>Hồ Chí Minh</t>
        </is>
      </c>
      <c r="G7892" s="10" t="inlineStr">
        <is>
          <t>Nhân viên</t>
        </is>
      </c>
      <c r="H7892" s="10" t="inlineStr">
        <is>
          <t>05/03/2026</t>
        </is>
      </c>
      <c r="I7892" s="10" t="inlineStr">
        <is>
          <t>05/04/2026</t>
        </is>
      </c>
      <c r="J7892" s="10" t="inlineStr">
        <is>
          <t>17/03/2026</t>
        </is>
      </c>
      <c r="K7892" s="10" t="inlineStr">
        <is>
          <t>N/A</t>
        </is>
      </c>
      <c r="L7892" s="10" t="inlineStr">
        <is>
          <t>PLC, Hệ Thống Điện, Vận Hành Bảo Trì, Thiết Bị Điện, Bảo Dưỡng</t>
        </is>
      </c>
      <c r="M7892" s="10" t="inlineStr">
        <is>
          <t>Bonus, Healthcare Plan, Paid Leave</t>
        </is>
      </c>
      <c r="N7892" s="11">
        <f>HYPERLINK("https://www.vietnamworks.com/nhan-vien-bao-tri-ki-thuat-dien-2019116-jv","Xem chi tiết")</f>
        <v/>
      </c>
      <c r="O7892" s="10" t="n"/>
    </row>
    <row r="7893">
      <c r="B7893" s="7" t="n">
        <v>7891</v>
      </c>
      <c r="C7893" t="inlineStr">
        <is>
          <t>General Accountant</t>
        </is>
      </c>
      <c r="D7893" t="inlineStr">
        <is>
          <t>Công Ty TNHH WGR Industries</t>
        </is>
      </c>
      <c r="E7893" t="inlineStr">
        <is>
          <t>$$ 1,000-1,200 /tháng</t>
        </is>
      </c>
      <c r="F7893" t="inlineStr">
        <is>
          <t>Bình Định</t>
        </is>
      </c>
      <c r="G7893" t="inlineStr">
        <is>
          <t>Nhân viên</t>
        </is>
      </c>
      <c r="H7893" t="inlineStr">
        <is>
          <t>06/03/2026</t>
        </is>
      </c>
      <c r="I7893" t="inlineStr">
        <is>
          <t>05/04/2026</t>
        </is>
      </c>
      <c r="J7893" t="inlineStr">
        <is>
          <t>17/03/2026</t>
        </is>
      </c>
      <c r="K7893" t="inlineStr">
        <is>
          <t>N/A</t>
        </is>
      </c>
      <c r="L7893" t="inlineStr">
        <is>
          <t>Accounting, Accounting Software, Communication Skills, Finance, Microsoft Excel</t>
        </is>
      </c>
      <c r="M7893" t="inlineStr">
        <is>
          <t>Healthcare Plan, Training, Mobile, Team Activities, Others</t>
        </is>
      </c>
      <c r="N7893" s="8">
        <f>HYPERLINK("https://www.vietnamworks.com/general-accountant-2019195-jv","Xem chi tiết")</f>
        <v/>
      </c>
    </row>
    <row r="7894">
      <c r="B7894" s="9" t="n">
        <v>7892</v>
      </c>
      <c r="C7894" s="10" t="inlineStr">
        <is>
          <t>Marketing Manager</t>
        </is>
      </c>
      <c r="D7894" s="10" t="inlineStr">
        <is>
          <t>Công ty TNHH Đầu tư và Thương mại Elva</t>
        </is>
      </c>
      <c r="E7894" s="10" t="inlineStr">
        <is>
          <t>$$ 1,000-1,600 /tháng</t>
        </is>
      </c>
      <c r="F7894" s="10" t="inlineStr">
        <is>
          <t>Hồ Chí Minh</t>
        </is>
      </c>
      <c r="G7894" s="10" t="inlineStr">
        <is>
          <t>Trưởng phòng</t>
        </is>
      </c>
      <c r="H7894" s="10" t="inlineStr">
        <is>
          <t>05/03/2026</t>
        </is>
      </c>
      <c r="I7894" s="10" t="inlineStr">
        <is>
          <t>05/04/2026</t>
        </is>
      </c>
      <c r="J7894" s="10" t="inlineStr">
        <is>
          <t>17/03/2026</t>
        </is>
      </c>
      <c r="K7894" s="10" t="inlineStr">
        <is>
          <t>N/A</t>
        </is>
      </c>
      <c r="L7894" s="10" t="inlineStr">
        <is>
          <t>Truyền Thông, Quảng Cáo, Marketing Planning, Digital Marketing, Branding</t>
        </is>
      </c>
      <c r="M7894" s="10" t="inlineStr">
        <is>
          <t>Bonus, Training, Laptop</t>
        </is>
      </c>
      <c r="N7894" s="11">
        <f>HYPERLINK("https://www.vietnamworks.com/marketing-manager--2019179-jv","Xem chi tiết")</f>
        <v/>
      </c>
      <c r="O7894" s="10" t="n"/>
    </row>
    <row r="7895">
      <c r="B7895" s="7" t="n">
        <v>7893</v>
      </c>
      <c r="C7895" t="inlineStr">
        <is>
          <t>QMS - ISO Quality Specialist (Working in Ha Tinh/hai Phong)</t>
        </is>
      </c>
      <c r="D7895" t="inlineStr">
        <is>
          <t>VINFAST TRADING AND PRODUCTION JSC</t>
        </is>
      </c>
      <c r="E7895" t="inlineStr">
        <is>
          <t>$$ 800-1,500 /tháng</t>
        </is>
      </c>
      <c r="F7895" t="inlineStr">
        <is>
          <t>Hà Tĩnh, Hải Phòng</t>
        </is>
      </c>
      <c r="G7895" t="inlineStr">
        <is>
          <t>Nhân viên</t>
        </is>
      </c>
      <c r="H7895" t="inlineStr">
        <is>
          <t>06/03/2026</t>
        </is>
      </c>
      <c r="I7895" t="inlineStr">
        <is>
          <t>05/04/2026</t>
        </is>
      </c>
      <c r="J7895" t="inlineStr">
        <is>
          <t>17/03/2026</t>
        </is>
      </c>
      <c r="K7895" t="inlineStr">
        <is>
          <t>N/A</t>
        </is>
      </c>
      <c r="L7895" t="inlineStr">
        <is>
          <t>English Communication, IATF 16949:2016, ISO 9001, MS Office, Quality Management</t>
        </is>
      </c>
      <c r="M7895" t="inlineStr">
        <is>
          <t>Healthcare Plan, Transportation, Others</t>
        </is>
      </c>
      <c r="N7895" s="8">
        <f>HYPERLINK("https://www.vietnamworks.com/qms-iso-quality-specialist-working-in-ha-tinhhai-phong-2019205-jv","Xem chi tiết")</f>
        <v/>
      </c>
    </row>
    <row r="7896">
      <c r="B7896" s="9" t="n">
        <v>7894</v>
      </c>
      <c r="C7896" s="10" t="inlineStr">
        <is>
          <t>Kế toán công nợ phải trả (Dalatmilk - Lâm Đồng)</t>
        </is>
      </c>
      <c r="D7896" s="10" t="inlineStr">
        <is>
          <t>Công Ty Cổ phần Sữa Đà Lạt</t>
        </is>
      </c>
      <c r="E7896" s="10" t="inlineStr">
        <is>
          <t>9tr-15tr ₫/tháng</t>
        </is>
      </c>
      <c r="F7896" s="10" t="inlineStr">
        <is>
          <t>Lâm Đồng</t>
        </is>
      </c>
      <c r="G7896" s="10" t="inlineStr">
        <is>
          <t>Nhân viên</t>
        </is>
      </c>
      <c r="H7896" s="10" t="inlineStr">
        <is>
          <t>06/03/2026</t>
        </is>
      </c>
      <c r="I7896" s="10" t="inlineStr">
        <is>
          <t>05/04/2026</t>
        </is>
      </c>
      <c r="J7896" s="10" t="inlineStr">
        <is>
          <t>17/03/2026</t>
        </is>
      </c>
      <c r="K7896" s="10" t="inlineStr">
        <is>
          <t>N/A</t>
        </is>
      </c>
      <c r="L7896" s="10" t="inlineStr">
        <is>
          <t>Giải Quyết Vấn Đề, Giao Tiếp Chủ Động, Vi tính văn phòng</t>
        </is>
      </c>
      <c r="M7896" s="10" t="inlineStr">
        <is>
          <t>Bonus, Training, Others</t>
        </is>
      </c>
      <c r="N7896" s="11">
        <f>HYPERLINK("https://www.vietnamworks.com/ke-toan-cong-no-phai-tra-dalatmilk-lam-djong-2019188-jv","Xem chi tiết")</f>
        <v/>
      </c>
      <c r="O7896" s="10" t="n"/>
    </row>
    <row r="7897">
      <c r="B7897" s="7" t="n">
        <v>7895</v>
      </c>
      <c r="C7897" t="inlineStr">
        <is>
          <t>Quản Lý Sản Xuất</t>
        </is>
      </c>
      <c r="D7897" t="inlineStr">
        <is>
          <t>Công Ty TNHH Emberfoods</t>
        </is>
      </c>
      <c r="E7897" t="inlineStr">
        <is>
          <t>$$ 800-1,400 /tháng</t>
        </is>
      </c>
      <c r="F7897" t="inlineStr">
        <is>
          <t>Hồ Chí Minh</t>
        </is>
      </c>
      <c r="G7897" t="inlineStr">
        <is>
          <t>Nhân viên</t>
        </is>
      </c>
      <c r="H7897" t="inlineStr">
        <is>
          <t>05/03/2026</t>
        </is>
      </c>
      <c r="I7897" t="inlineStr">
        <is>
          <t>05/04/2026</t>
        </is>
      </c>
      <c r="J7897" t="inlineStr">
        <is>
          <t>17/03/2026</t>
        </is>
      </c>
      <c r="K7897" t="inlineStr">
        <is>
          <t>N/A</t>
        </is>
      </c>
      <c r="L7897" t="inlineStr">
        <is>
          <t>Production Management, ISO 22000, Kế Hoạch Sản Xuất, Quản Lý Hiệu Suất, Excel</t>
        </is>
      </c>
      <c r="M7897" t="inlineStr">
        <is>
          <t>Bonus, Healthcare Plan, Paid Leave</t>
        </is>
      </c>
      <c r="N7897" s="8">
        <f>HYPERLINK("https://www.vietnamworks.com/quan-ly-san-xuat--2019107-jv","Xem chi tiết")</f>
        <v/>
      </c>
    </row>
    <row r="7898">
      <c r="B7898" s="9" t="n">
        <v>7896</v>
      </c>
      <c r="C7898" s="10" t="inlineStr">
        <is>
          <t>Kỹ Sư Thiết Kế Hạ Tầng &amp; Giao Thông (Civil Design Engineer); Kỹ sư tài nguyên nước, môi trường, thủy văn (Water engineer)</t>
        </is>
      </c>
      <c r="D7898" s="10" t="inlineStr">
        <is>
          <t>Công ty CP tư vấn kỹ thuật AQUATIC</t>
        </is>
      </c>
      <c r="E7898" s="10" t="inlineStr">
        <is>
          <t>Thương lượng</t>
        </is>
      </c>
      <c r="F7898" s="10" t="inlineStr">
        <is>
          <t>Hà Nội</t>
        </is>
      </c>
      <c r="G7898" s="10" t="inlineStr">
        <is>
          <t>Nhân viên</t>
        </is>
      </c>
      <c r="H7898" s="10" t="inlineStr">
        <is>
          <t>06/03/2026</t>
        </is>
      </c>
      <c r="I7898" s="10" t="inlineStr">
        <is>
          <t>05/04/2026</t>
        </is>
      </c>
      <c r="J7898" s="10" t="inlineStr">
        <is>
          <t>17/03/2026</t>
        </is>
      </c>
      <c r="K7898" s="10" t="inlineStr">
        <is>
          <t>N/A</t>
        </is>
      </c>
      <c r="L7898" s="10" t="inlineStr">
        <is>
          <t>3D Modeling, Autocad, Water Resource Management</t>
        </is>
      </c>
      <c r="M7898" s="10" t="inlineStr">
        <is>
          <t>Bonus, Paid Leave, Travel Opportunities, Others</t>
        </is>
      </c>
      <c r="N7898" s="11">
        <f>HYPERLINK("https://www.vietnamworks.com/ky-su-thiet-ke-ha-tang-and-giao-thong-civil-design-engineer-ky-su-tai-nguyen-nuoc-moi-truong-thuy-van-water-engineer-2019193-jv","Xem chi tiết")</f>
        <v/>
      </c>
      <c r="O7898" s="10" t="n"/>
    </row>
    <row r="7899">
      <c r="B7899" s="7" t="n">
        <v>7897</v>
      </c>
      <c r="C7899" t="inlineStr">
        <is>
          <t>Chief Accountant</t>
        </is>
      </c>
      <c r="D7899" t="inlineStr">
        <is>
          <t>CÔNG TY TNHH IONIAGA VIỆT NAM</t>
        </is>
      </c>
      <c r="E7899" t="inlineStr">
        <is>
          <t>$$ 1,000-1,300 /tháng</t>
        </is>
      </c>
      <c r="F7899" t="inlineStr">
        <is>
          <t>Hồ Chí Minh</t>
        </is>
      </c>
      <c r="G7899" t="inlineStr">
        <is>
          <t>Trưởng phòng</t>
        </is>
      </c>
      <c r="H7899" t="inlineStr">
        <is>
          <t>06/03/2026</t>
        </is>
      </c>
      <c r="I7899" t="inlineStr">
        <is>
          <t>05/04/2026</t>
        </is>
      </c>
      <c r="J7899" t="inlineStr">
        <is>
          <t>17/03/2026</t>
        </is>
      </c>
      <c r="K7899" t="inlineStr">
        <is>
          <t>N/A</t>
        </is>
      </c>
      <c r="L7899" t="inlineStr">
        <is>
          <t>Finance, Chief Accountant Certificate, General Accounting, Tax reporting, English</t>
        </is>
      </c>
      <c r="M7899" t="inlineStr">
        <is>
          <t>Bonus, Paid Leave, Laptop</t>
        </is>
      </c>
      <c r="N7899" s="8">
        <f>HYPERLINK("https://www.vietnamworks.com/chief-accountant--2019206-jv","Xem chi tiết")</f>
        <v/>
      </c>
    </row>
    <row r="7900">
      <c r="B7900" s="9" t="n">
        <v>7898</v>
      </c>
      <c r="C7900" s="10" t="inlineStr">
        <is>
          <t>Assistant Supervisor</t>
        </is>
      </c>
      <c r="D7900" s="10" t="inlineStr">
        <is>
          <t>Top Textiles</t>
        </is>
      </c>
      <c r="E7900" s="10" t="inlineStr">
        <is>
          <t>Tới $ 650 /tháng</t>
        </is>
      </c>
      <c r="F7900" s="10" t="inlineStr">
        <is>
          <t>Nam Định</t>
        </is>
      </c>
      <c r="G7900" s="10" t="inlineStr">
        <is>
          <t>Nhân viên</t>
        </is>
      </c>
      <c r="H7900" s="10" t="inlineStr">
        <is>
          <t>06/03/2026</t>
        </is>
      </c>
      <c r="I7900" s="10" t="inlineStr">
        <is>
          <t>05/04/2026</t>
        </is>
      </c>
      <c r="J7900" s="10" t="inlineStr">
        <is>
          <t>17/03/2026</t>
        </is>
      </c>
      <c r="K7900" s="10" t="inlineStr">
        <is>
          <t>N/A</t>
        </is>
      </c>
      <c r="L7900" s="10" t="inlineStr">
        <is>
          <t>Accounting, General Accounting, Tax Accounting, Excel proficiency, English Speaking</t>
        </is>
      </c>
      <c r="M7900" s="10" t="inlineStr">
        <is>
          <t>Bonus, Training, Canteen</t>
        </is>
      </c>
      <c r="N7900" s="11">
        <f>HYPERLINK("https://www.vietnamworks.com/assistant-supervisor-2019198-jv","Xem chi tiết")</f>
        <v/>
      </c>
      <c r="O7900" s="10" t="n"/>
    </row>
    <row r="7901">
      <c r="B7901" s="7" t="n">
        <v>7899</v>
      </c>
      <c r="C7901" t="inlineStr">
        <is>
          <t>Nhân Viên Phát Triển Thị Trường</t>
        </is>
      </c>
      <c r="D7901" t="inlineStr">
        <is>
          <t>Chicilon Media</t>
        </is>
      </c>
      <c r="E7901" t="inlineStr">
        <is>
          <t>12tr-20tr ₫/tháng</t>
        </is>
      </c>
      <c r="F7901" t="inlineStr">
        <is>
          <t>Hồ Chí Minh</t>
        </is>
      </c>
      <c r="G7901" t="inlineStr">
        <is>
          <t>Nhân viên</t>
        </is>
      </c>
      <c r="H7901" t="inlineStr">
        <is>
          <t>06/03/2026</t>
        </is>
      </c>
      <c r="I7901" t="inlineStr">
        <is>
          <t>05/04/2026</t>
        </is>
      </c>
      <c r="J7901" t="inlineStr">
        <is>
          <t>17/03/2026</t>
        </is>
      </c>
      <c r="K7901" t="inlineStr">
        <is>
          <t>N/A</t>
        </is>
      </c>
      <c r="L7901" t="inlineStr">
        <is>
          <t>Phát Triển Thị Trường, Nghiên Cứu Thị Trường, Quản Lý Đối Tác, Quảng cáo OOH, Tìm Kiếm Đối Tác</t>
        </is>
      </c>
      <c r="M7901" t="inlineStr">
        <is>
          <t>Bonus, Training, Team Activities</t>
        </is>
      </c>
      <c r="N7901" s="8">
        <f>HYPERLINK("https://www.vietnamworks.com/nhan-vien-phat-trien-thi-truong-2019212-jv","Xem chi tiết")</f>
        <v/>
      </c>
    </row>
    <row r="7902">
      <c r="B7902" s="9" t="n">
        <v>7900</v>
      </c>
      <c r="C7902" s="10" t="inlineStr">
        <is>
          <t>Sales Executive - Freight Forwarder</t>
        </is>
      </c>
      <c r="D7902" s="10" t="inlineStr">
        <is>
          <t>UNIPART LOGISTICS</t>
        </is>
      </c>
      <c r="E7902" s="10" t="inlineStr">
        <is>
          <t>Thương lượng</t>
        </is>
      </c>
      <c r="F7902" s="10" t="inlineStr">
        <is>
          <t>Hồ Chí Minh</t>
        </is>
      </c>
      <c r="G7902" s="10" t="inlineStr">
        <is>
          <t>Nhân viên</t>
        </is>
      </c>
      <c r="H7902" s="10" t="inlineStr">
        <is>
          <t>06/03/2026</t>
        </is>
      </c>
      <c r="I7902" s="10" t="inlineStr">
        <is>
          <t>05/04/2026</t>
        </is>
      </c>
      <c r="J7902" s="10" t="inlineStr">
        <is>
          <t>17/03/2026</t>
        </is>
      </c>
      <c r="K7902" s="10" t="inlineStr">
        <is>
          <t>N/A</t>
        </is>
      </c>
      <c r="L7902" s="10" t="inlineStr">
        <is>
          <t>Freight Forwarding, Logistics Sales, Sales Logistics, Kinh Doanh Logistics, Chuyên Viên Kinh Doanh</t>
        </is>
      </c>
      <c r="M7902" s="10" t="inlineStr">
        <is>
          <t>Bonus, Healthcare Plan, Training</t>
        </is>
      </c>
      <c r="N7902" s="11">
        <f>HYPERLINK("https://www.vietnamworks.com/sales-executive-freight-forwarder--2019210-jv","Xem chi tiết")</f>
        <v/>
      </c>
      <c r="O7902" s="10" t="n"/>
    </row>
    <row r="7903">
      <c r="B7903" s="7" t="n">
        <v>7901</v>
      </c>
      <c r="C7903" t="inlineStr">
        <is>
          <t>Chuyên Viên Pháp Lý</t>
        </is>
      </c>
      <c r="D7903" t="inlineStr">
        <is>
          <t>Trường Đại Học Nguyễn Tất Thành</t>
        </is>
      </c>
      <c r="E7903" t="inlineStr">
        <is>
          <t>$$ 400-900 /tháng</t>
        </is>
      </c>
      <c r="F7903" t="inlineStr">
        <is>
          <t>Hồ Chí Minh</t>
        </is>
      </c>
      <c r="G7903" t="inlineStr">
        <is>
          <t>Nhân viên</t>
        </is>
      </c>
      <c r="H7903" t="inlineStr">
        <is>
          <t>06/03/2026</t>
        </is>
      </c>
      <c r="I7903" t="inlineStr">
        <is>
          <t>05/04/2026</t>
        </is>
      </c>
      <c r="J7903" t="inlineStr">
        <is>
          <t>17/03/2026</t>
        </is>
      </c>
      <c r="K7903" t="inlineStr">
        <is>
          <t>N/A</t>
        </is>
      </c>
      <c r="L7903" t="inlineStr">
        <is>
          <t>Gia Công Áp Lực, Luật, Pháp Luật, Soạn Thảo Văn Bản, Tư Vấn Pháp Lý</t>
        </is>
      </c>
      <c r="M7903" t="inlineStr">
        <is>
          <t>Bonus, Healthcare Plan, Training, Travel Opportunities, Canteen, Kindergarten</t>
        </is>
      </c>
      <c r="N7903" s="8">
        <f>HYPERLINK("https://www.vietnamworks.com/chuyen-vien-phap-ly-2019201-jv","Xem chi tiết")</f>
        <v/>
      </c>
    </row>
    <row r="7904">
      <c r="B7904" s="9" t="n">
        <v>7902</v>
      </c>
      <c r="C7904" s="10" t="inlineStr">
        <is>
          <t>Engineering In Training - Nhon Trach (Having Shuttle Bus HCM and Bien Hoa,dong Nai)</t>
        </is>
      </c>
      <c r="D7904" s="10" t="inlineStr">
        <is>
          <t>CÔNG TY TNHH SUMMIT POLYMERS VIETNAM</t>
        </is>
      </c>
      <c r="E7904" s="10" t="inlineStr">
        <is>
          <t>Từ $ 50 /tháng</t>
        </is>
      </c>
      <c r="F7904" s="10" t="inlineStr">
        <is>
          <t>Đồng Nai</t>
        </is>
      </c>
      <c r="G7904" s="10" t="inlineStr">
        <is>
          <t>Mới Tốt Nghiệp</t>
        </is>
      </c>
      <c r="H7904" s="10" t="inlineStr">
        <is>
          <t>06/03/2026</t>
        </is>
      </c>
      <c r="I7904" s="10" t="inlineStr">
        <is>
          <t>05/04/2026</t>
        </is>
      </c>
      <c r="J7904" s="10" t="inlineStr">
        <is>
          <t>17/03/2026</t>
        </is>
      </c>
      <c r="K7904" s="10" t="inlineStr">
        <is>
          <t>N/A</t>
        </is>
      </c>
      <c r="L7904" s="10" t="inlineStr">
        <is>
          <t>English Pronunciation</t>
        </is>
      </c>
      <c r="M7904" s="10" t="inlineStr">
        <is>
          <t>Healthcare Plan, Transportation, Canteen</t>
        </is>
      </c>
      <c r="N7904" s="11">
        <f>HYPERLINK("https://www.vietnamworks.com/engineering-in-training-nhon-trach-having-shuttle-bus-hcm-and-bien-hoa-dong-nai-2019216-jv","Xem chi tiết")</f>
        <v/>
      </c>
      <c r="O7904" s="10" t="n"/>
    </row>
    <row r="7905">
      <c r="B7905" s="7" t="n">
        <v>7903</v>
      </c>
      <c r="C7905" t="inlineStr">
        <is>
          <t>Academic Officer</t>
        </is>
      </c>
      <c r="D7905" t="inlineStr">
        <is>
          <t>Hệ thống Giáo dục Vinschool</t>
        </is>
      </c>
      <c r="E7905" t="inlineStr">
        <is>
          <t>Thương lượng</t>
        </is>
      </c>
      <c r="F7905" t="inlineStr">
        <is>
          <t>Hà Nội</t>
        </is>
      </c>
      <c r="G7905" t="inlineStr">
        <is>
          <t>Nhân viên</t>
        </is>
      </c>
      <c r="H7905" t="inlineStr">
        <is>
          <t>06/03/2026</t>
        </is>
      </c>
      <c r="I7905" t="inlineStr">
        <is>
          <t>05/04/2026</t>
        </is>
      </c>
      <c r="J7905" t="inlineStr">
        <is>
          <t>17/03/2026</t>
        </is>
      </c>
      <c r="K7905" t="inlineStr">
        <is>
          <t>N/A</t>
        </is>
      </c>
      <c r="L7905" t="inlineStr">
        <is>
          <t>Mathematics, Curriculum research and development, Academic, Curriculum Implementation</t>
        </is>
      </c>
      <c r="M7905" t="inlineStr">
        <is>
          <t>Bonus, Healthcare Plan, Others</t>
        </is>
      </c>
      <c r="N7905" s="8">
        <f>HYPERLINK("https://www.vietnamworks.com/academic-officer-2019214-jv","Xem chi tiết")</f>
        <v/>
      </c>
    </row>
    <row r="7906">
      <c r="B7906" s="9" t="n">
        <v>7904</v>
      </c>
      <c r="C7906" s="10" t="inlineStr">
        <is>
          <t>Pricing Executive</t>
        </is>
      </c>
      <c r="D7906" s="10" t="inlineStr">
        <is>
          <t>Dolphin Sea Air Services Corp.</t>
        </is>
      </c>
      <c r="E7906" s="10" t="inlineStr">
        <is>
          <t>$$ 500-1,000 /tháng</t>
        </is>
      </c>
      <c r="F7906" s="10" t="inlineStr">
        <is>
          <t>Hồ Chí Minh, Hà Nội</t>
        </is>
      </c>
      <c r="G7906" s="10" t="inlineStr">
        <is>
          <t>Nhân viên</t>
        </is>
      </c>
      <c r="H7906" s="10" t="inlineStr">
        <is>
          <t>06/03/2026</t>
        </is>
      </c>
      <c r="I7906" s="10" t="inlineStr">
        <is>
          <t>05/04/2026</t>
        </is>
      </c>
      <c r="J7906" s="10" t="inlineStr">
        <is>
          <t>17/03/2026</t>
        </is>
      </c>
      <c r="K7906" s="10" t="inlineStr">
        <is>
          <t>N/A</t>
        </is>
      </c>
      <c r="L7906" s="10" t="inlineStr">
        <is>
          <t>Freight Forwarding, Logistics, Pricing FCL, Price Control, Export</t>
        </is>
      </c>
      <c r="M7906" s="10" t="inlineStr">
        <is>
          <t>Bonus, Training, Others</t>
        </is>
      </c>
      <c r="N7906" s="11">
        <f>HYPERLINK("https://www.vietnamworks.com/pricing-executive--2019190-jv","Xem chi tiết")</f>
        <v/>
      </c>
      <c r="O7906" s="10" t="n"/>
    </row>
    <row r="7907">
      <c r="B7907" s="7" t="n">
        <v>7905</v>
      </c>
      <c r="C7907" t="inlineStr">
        <is>
          <t>Nhân Viên Kinh Doanh Xe Tải Xe Đầu Kéo (20-30 Triệu + % Hoa Hồng)</t>
        </is>
      </c>
      <c r="D7907" t="inlineStr">
        <is>
          <t>FOTON VIETNAM VEHICLE COMPANY LIMITED</t>
        </is>
      </c>
      <c r="E7907" t="inlineStr">
        <is>
          <t>20tr-30tr ₫/tháng</t>
        </is>
      </c>
      <c r="F7907" t="inlineStr">
        <is>
          <t>Đà Nẵng, Hồ Chí Minh, Nghệ An</t>
        </is>
      </c>
      <c r="G7907" t="inlineStr">
        <is>
          <t>Nhân viên</t>
        </is>
      </c>
      <c r="H7907" t="inlineStr">
        <is>
          <t>06/03/2026</t>
        </is>
      </c>
      <c r="I7907" t="inlineStr">
        <is>
          <t>21/03/2026</t>
        </is>
      </c>
      <c r="J7907" t="inlineStr">
        <is>
          <t>17/03/2026</t>
        </is>
      </c>
      <c r="K7907" t="inlineStr">
        <is>
          <t>N/A</t>
        </is>
      </c>
      <c r="L7907" t="inlineStr">
        <is>
          <t>Phát Triển Khách Hàng, Kinh Doanh, Sales, Ô Tô</t>
        </is>
      </c>
      <c r="M7907" t="inlineStr">
        <is>
          <t>Bonus, Healthcare Plan, Paid Leave, Training, Team Activities, Others</t>
        </is>
      </c>
      <c r="N7907" s="8">
        <f>HYPERLINK("https://www.vietnamworks.com/nhan-vien-kinh-doanh-xe-tai-xe-djau-keo-20-30-trieu-percent-hoa-hong-2019223-jv","Xem chi tiết")</f>
        <v/>
      </c>
    </row>
    <row r="7908">
      <c r="B7908" s="9" t="n">
        <v>7906</v>
      </c>
      <c r="C7908" s="10" t="inlineStr">
        <is>
          <t>Field Service Engineer _Kỹ Sư Dịch Vụ (HCM Office)</t>
        </is>
      </c>
      <c r="D7908" s="10" t="inlineStr">
        <is>
          <t>Công Ty TNHH Metrohm Việt Nam</t>
        </is>
      </c>
      <c r="E7908" s="10" t="inlineStr">
        <is>
          <t>$$ 500-1,000 /tháng</t>
        </is>
      </c>
      <c r="F7908" s="10" t="inlineStr">
        <is>
          <t>Hồ Chí Minh</t>
        </is>
      </c>
      <c r="G7908" s="10" t="inlineStr">
        <is>
          <t>Nhân viên</t>
        </is>
      </c>
      <c r="H7908" s="10" t="inlineStr">
        <is>
          <t>06/03/2026</t>
        </is>
      </c>
      <c r="I7908" s="10" t="inlineStr">
        <is>
          <t>05/04/2026</t>
        </is>
      </c>
      <c r="J7908" s="10" t="inlineStr">
        <is>
          <t>17/03/2026</t>
        </is>
      </c>
      <c r="K7908" s="10" t="inlineStr">
        <is>
          <t>N/A</t>
        </is>
      </c>
      <c r="L7908" s="10" t="inlineStr">
        <is>
          <t>Analytical Chemistry, Instrumental Analysis, Lab Instrument, Operation Measuring Instruments</t>
        </is>
      </c>
      <c r="M7908" s="10" t="inlineStr">
        <is>
          <t>Healthcare Plan, Others</t>
        </is>
      </c>
      <c r="N7908" s="11">
        <f>HYPERLINK("https://www.vietnamworks.com/field-service-engineer-ky-su-dich-vu-hcm-office--2019197-jv","Xem chi tiết")</f>
        <v/>
      </c>
      <c r="O7908" s="10" t="n"/>
    </row>
    <row r="7909">
      <c r="B7909" s="7" t="n">
        <v>7907</v>
      </c>
      <c r="C7909" t="inlineStr">
        <is>
          <t>Kỹ Sư Thiết Kế Hạ Tầng Kỹ Thuật</t>
        </is>
      </c>
      <c r="D7909" t="inlineStr">
        <is>
          <t>Tập đoàn Hateco</t>
        </is>
      </c>
      <c r="E7909" t="inlineStr">
        <is>
          <t>$$ 600-1,100 /tháng</t>
        </is>
      </c>
      <c r="F7909" t="inlineStr">
        <is>
          <t>Hà Nội</t>
        </is>
      </c>
      <c r="G7909" t="inlineStr">
        <is>
          <t>Nhân viên</t>
        </is>
      </c>
      <c r="H7909" t="inlineStr">
        <is>
          <t>06/03/2026</t>
        </is>
      </c>
      <c r="I7909" t="inlineStr">
        <is>
          <t>05/04/2026</t>
        </is>
      </c>
      <c r="J7909" t="inlineStr">
        <is>
          <t>17/03/2026</t>
        </is>
      </c>
      <c r="K7909" t="inlineStr">
        <is>
          <t>N/A</t>
        </is>
      </c>
      <c r="L7909" t="inlineStr">
        <is>
          <t>Hạ Tầng Kỹ Thuật, M&amp;E, Giao Thông San Nền, AutoCAD, Infrastructure Design</t>
        </is>
      </c>
      <c r="M7909" t="inlineStr">
        <is>
          <t>Bonus, Team Activities, Canteen</t>
        </is>
      </c>
      <c r="N7909" s="8">
        <f>HYPERLINK("https://www.vietnamworks.com/ky-su-thiet-ke-ha-tang-ky-thuat--2019192-jv","Xem chi tiết")</f>
        <v/>
      </c>
    </row>
    <row r="7910">
      <c r="B7910" s="9" t="n">
        <v>7908</v>
      </c>
      <c r="C7910" s="10" t="inlineStr">
        <is>
          <t>Giám Đốc Kinh Doanh Mảng Hóa Chất Cơ Bản</t>
        </is>
      </c>
      <c r="D7910" s="10" t="inlineStr">
        <is>
          <t>CÔNG TY CỔ PHẦN SAMETEL</t>
        </is>
      </c>
      <c r="E7910" s="10" t="inlineStr">
        <is>
          <t>Từ 80tr ₫/tháng</t>
        </is>
      </c>
      <c r="F7910" s="10" t="inlineStr">
        <is>
          <t>Hà Nội</t>
        </is>
      </c>
      <c r="G7910" s="10" t="inlineStr">
        <is>
          <t>Giám Đốc và Cấp Cao Hơn</t>
        </is>
      </c>
      <c r="H7910" s="10" t="inlineStr">
        <is>
          <t>06/03/2026</t>
        </is>
      </c>
      <c r="I7910" s="10" t="inlineStr">
        <is>
          <t>05/04/2026</t>
        </is>
      </c>
      <c r="J7910" s="10" t="inlineStr">
        <is>
          <t>17/03/2026</t>
        </is>
      </c>
      <c r="K7910" s="10" t="inlineStr">
        <is>
          <t>N/A</t>
        </is>
      </c>
      <c r="L7910" s="10" t="inlineStr">
        <is>
          <t>Hóa Dầu, Hóa Học, Kinh Doanh, Kỹ Thuật Hoá Học, Phát Triển Thị Trường</t>
        </is>
      </c>
      <c r="M7910" s="10" t="inlineStr">
        <is>
          <t>Bonus, Healthcare Plan, Awards, Others</t>
        </is>
      </c>
      <c r="N7910" s="11">
        <f>HYPERLINK("https://www.vietnamworks.com/giam-djoc-kinh-doanh-mang-hoa-chat-co-ban-2019225-jv","Xem chi tiết")</f>
        <v/>
      </c>
      <c r="O7910" s="10" t="n"/>
    </row>
    <row r="7911">
      <c r="B7911" s="7" t="n">
        <v>7909</v>
      </c>
      <c r="C7911" t="inlineStr">
        <is>
          <t>Chuyên Viên, Chuyên Viên Cao Cấp Quản Trị Rủi Ro Công Nghệ - Senior IT Risks Management Specialist - Khối Quản Trị Rủi Ro (HO26.70)</t>
        </is>
      </c>
      <c r="D7911" t="inlineStr">
        <is>
          <t>NGÂN HÀNG TMCP QUÂN ĐỘI – MBBANK</t>
        </is>
      </c>
      <c r="E7911" t="inlineStr">
        <is>
          <t>Thương lượng</t>
        </is>
      </c>
      <c r="F7911" t="inlineStr">
        <is>
          <t>Hà Nội</t>
        </is>
      </c>
      <c r="G7911" t="inlineStr">
        <is>
          <t>Nhân viên</t>
        </is>
      </c>
      <c r="H7911" t="inlineStr">
        <is>
          <t>06/03/2026</t>
        </is>
      </c>
      <c r="I7911" t="inlineStr">
        <is>
          <t>05/04/2026</t>
        </is>
      </c>
      <c r="J7911" t="inlineStr">
        <is>
          <t>17/03/2026</t>
        </is>
      </c>
      <c r="K7911" t="inlineStr">
        <is>
          <t>N/A</t>
        </is>
      </c>
      <c r="L7911" t="inlineStr">
        <is>
          <t>SQL, Python, Data Analysis, Qlikview, PowerBI</t>
        </is>
      </c>
      <c r="M7911" t="inlineStr">
        <is>
          <t>Bonus, Laptop, Mobile, Travel Opportunities, Team Activities, Transportation, Canteen, Vouchers, Kindergarten</t>
        </is>
      </c>
      <c r="N7911" s="8">
        <f>HYPERLINK("https://www.vietnamworks.com/chuyen-vien-chuyen-vien-cao-cap-quan-tri-rui-ro-cong-nghe-senior-it-risks-management-specialist-khoi-quan-tri-rui-ro-ho26-70-2019196-jv","Xem chi tiết")</f>
        <v/>
      </c>
    </row>
    <row r="7912">
      <c r="B7912" s="9" t="n">
        <v>7910</v>
      </c>
      <c r="C7912" s="10" t="inlineStr">
        <is>
          <t>Nhân Viên Kỹ Thuật</t>
        </is>
      </c>
      <c r="D7912" s="10" t="inlineStr">
        <is>
          <t>Công Ty TNHH Kỹ Thương Tân Tiến</t>
        </is>
      </c>
      <c r="E7912" s="10" t="inlineStr">
        <is>
          <t>Thương lượng</t>
        </is>
      </c>
      <c r="F7912" s="10" t="inlineStr">
        <is>
          <t>Hà Nội</t>
        </is>
      </c>
      <c r="G7912" s="10" t="inlineStr">
        <is>
          <t>Nhân viên</t>
        </is>
      </c>
      <c r="H7912" s="10" t="inlineStr">
        <is>
          <t>06/03/2026</t>
        </is>
      </c>
      <c r="I7912" s="10" t="inlineStr">
        <is>
          <t>05/04/2026</t>
        </is>
      </c>
      <c r="J7912" s="10" t="inlineStr">
        <is>
          <t>17/03/2026</t>
        </is>
      </c>
      <c r="K7912" s="10" t="inlineStr">
        <is>
          <t>N/A</t>
        </is>
      </c>
      <c r="L7912" s="10" t="inlineStr">
        <is>
          <t>Bóc Tách Bản Vẽ Chế Tạo, Bản Vẽ Cơ Khí, Thiết Kế Cơ Khí, Cơ Khí, Sản xuất</t>
        </is>
      </c>
      <c r="M7912" s="10" t="inlineStr">
        <is>
          <t>Bonus, Awards, Others</t>
        </is>
      </c>
      <c r="N7912" s="11">
        <f>HYPERLINK("https://www.vietnamworks.com/nhan-vien-ky-thuat-2019226-jv","Xem chi tiết")</f>
        <v/>
      </c>
      <c r="O7912" s="10" t="n"/>
    </row>
    <row r="7913">
      <c r="B7913" s="7" t="n">
        <v>7911</v>
      </c>
      <c r="C7913" t="inlineStr">
        <is>
          <t>Telesales Team Leader</t>
        </is>
      </c>
      <c r="D7913" t="inlineStr">
        <is>
          <t>Trusting Social</t>
        </is>
      </c>
      <c r="E7913" t="inlineStr">
        <is>
          <t>Thương lượng</t>
        </is>
      </c>
      <c r="F7913" t="inlineStr">
        <is>
          <t>Hồ Chí Minh</t>
        </is>
      </c>
      <c r="G7913" t="inlineStr">
        <is>
          <t>Trưởng phòng</t>
        </is>
      </c>
      <c r="H7913" t="inlineStr">
        <is>
          <t>06/03/2026</t>
        </is>
      </c>
      <c r="I7913" t="inlineStr">
        <is>
          <t>05/04/2026</t>
        </is>
      </c>
      <c r="J7913" t="inlineStr">
        <is>
          <t>17/03/2026</t>
        </is>
      </c>
      <c r="K7913" t="inlineStr">
        <is>
          <t>N/A</t>
        </is>
      </c>
      <c r="L7913" t="inlineStr">
        <is>
          <t>Telesales Management, Telesales, Telemarketing, Bán Hàng Qua Điện Thoại, Planning</t>
        </is>
      </c>
      <c r="M7913" t="inlineStr">
        <is>
          <t>Bonus, Healthcare Plan, Transportation</t>
        </is>
      </c>
      <c r="N7913" s="8">
        <f>HYPERLINK("https://www.vietnamworks.com/telesales-team-leader--2019222-jv","Xem chi tiết")</f>
        <v/>
      </c>
    </row>
    <row r="7914">
      <c r="B7914" s="9" t="n">
        <v>7912</v>
      </c>
      <c r="C7914" s="10" t="inlineStr">
        <is>
          <t>Trợ Lý Cá Nhân Kiêm Phiên Dịch Tiếng Hàn (개인 비서 겸 한국어 통역)</t>
        </is>
      </c>
      <c r="D7914" s="10" t="inlineStr">
        <is>
          <t>CÔNG TY TNHH THƯƠNG HIỆU MỸ PHẨM HEALTH&amp;BEAUTY LAB</t>
        </is>
      </c>
      <c r="E7914" s="10" t="inlineStr">
        <is>
          <t>Thương lượng</t>
        </is>
      </c>
      <c r="F7914" s="10" t="inlineStr">
        <is>
          <t>Hồ Chí Minh</t>
        </is>
      </c>
      <c r="G7914" s="10" t="inlineStr">
        <is>
          <t>Nhân viên</t>
        </is>
      </c>
      <c r="H7914" s="10" t="inlineStr">
        <is>
          <t>06/03/2026</t>
        </is>
      </c>
      <c r="I7914" s="10" t="inlineStr">
        <is>
          <t>05/04/2026</t>
        </is>
      </c>
      <c r="J7914" s="10" t="inlineStr">
        <is>
          <t>17/03/2026</t>
        </is>
      </c>
      <c r="K7914" s="10" t="inlineStr">
        <is>
          <t>N/A</t>
        </is>
      </c>
      <c r="L7914" s="10" t="inlineStr">
        <is>
          <t>Topik 5, Hành chính văn phòng, Phiên Dịch Tiếng Hàn, Quản Lý Lịch Trình, Trợ lý cá nhân</t>
        </is>
      </c>
      <c r="M7914" s="10" t="inlineStr">
        <is>
          <t>Bonus, Healthcare Plan, Paid Leave, Training, Others</t>
        </is>
      </c>
      <c r="N7914" s="11">
        <f>HYPERLINK("https://www.vietnamworks.com/tro-ly-ca-nhan-kiem-phien-dich-tieng-han-2019219-jv","Xem chi tiết")</f>
        <v/>
      </c>
      <c r="O7914" s="10" t="n"/>
    </row>
    <row r="7915">
      <c r="B7915" s="7" t="n">
        <v>7913</v>
      </c>
      <c r="C7915" t="inlineStr">
        <is>
          <t>QA/QC Specialist (Garments)</t>
        </is>
      </c>
      <c r="D7915" t="inlineStr">
        <is>
          <t>French People Vietnam</t>
        </is>
      </c>
      <c r="E7915" t="inlineStr">
        <is>
          <t>Thương lượng</t>
        </is>
      </c>
      <c r="F7915" t="inlineStr">
        <is>
          <t>Hồ Chí Minh</t>
        </is>
      </c>
      <c r="G7915" t="inlineStr">
        <is>
          <t>Nhân viên</t>
        </is>
      </c>
      <c r="H7915" t="inlineStr">
        <is>
          <t>06/03/2026</t>
        </is>
      </c>
      <c r="I7915" t="inlineStr">
        <is>
          <t>05/04/2026</t>
        </is>
      </c>
      <c r="J7915" t="inlineStr">
        <is>
          <t>17/03/2026</t>
        </is>
      </c>
      <c r="K7915" t="inlineStr">
        <is>
          <t>N/A</t>
        </is>
      </c>
      <c r="L7915" t="inlineStr">
        <is>
          <t>QAC, Garment Technical Design, AQL System, Quality Control, Quality Management</t>
        </is>
      </c>
      <c r="M7915" t="inlineStr">
        <is>
          <t>Bonus, Healthcare Plan, Travel Opportunities, Others</t>
        </is>
      </c>
      <c r="N7915" s="8">
        <f>HYPERLINK("https://www.vietnamworks.com/qaqc-specialist-garments-2019218-jv","Xem chi tiết")</f>
        <v/>
      </c>
    </row>
    <row r="7916">
      <c r="B7916" s="9" t="n">
        <v>7914</v>
      </c>
      <c r="C7916" s="10" t="inlineStr">
        <is>
          <t xml:space="preserve">Distribution Centre &amp; Operations Manager </t>
        </is>
      </c>
      <c r="D7916" s="10" t="inlineStr">
        <is>
          <t>Avery Dennison Vietnam</t>
        </is>
      </c>
      <c r="E7916" s="10" t="inlineStr">
        <is>
          <t>100tr-145tr ₫/tháng</t>
        </is>
      </c>
      <c r="F7916" s="10" t="inlineStr">
        <is>
          <t>Hồ Chí Minh</t>
        </is>
      </c>
      <c r="G7916" s="10" t="inlineStr">
        <is>
          <t>Trưởng phòng</t>
        </is>
      </c>
      <c r="H7916" s="10" t="inlineStr">
        <is>
          <t>06/03/2026</t>
        </is>
      </c>
      <c r="I7916" s="10" t="inlineStr">
        <is>
          <t>05/04/2026</t>
        </is>
      </c>
      <c r="J7916" s="10" t="inlineStr">
        <is>
          <t>17/03/2026</t>
        </is>
      </c>
      <c r="K7916" s="10" t="inlineStr">
        <is>
          <t>N/A</t>
        </is>
      </c>
      <c r="L7916" s="10" t="inlineStr">
        <is>
          <t>Interpersonal Skills, Lean Manufacturing, Manufacturing Support, Operations Management, Project Management</t>
        </is>
      </c>
      <c r="M7916" s="10" t="inlineStr">
        <is>
          <t>Others</t>
        </is>
      </c>
      <c r="N7916" s="11">
        <f>HYPERLINK("https://www.vietnamworks.com/distribution-centre-and-operations-manager-2019221-jv","Xem chi tiết")</f>
        <v/>
      </c>
      <c r="O7916" s="10" t="n"/>
    </row>
    <row r="7917">
      <c r="B7917" s="7" t="n">
        <v>7915</v>
      </c>
      <c r="C7917" t="inlineStr">
        <is>
          <t>Fashion + Technical Designer Position</t>
        </is>
      </c>
      <c r="D7917" t="inlineStr">
        <is>
          <t>French People Vietnam</t>
        </is>
      </c>
      <c r="E7917" t="inlineStr">
        <is>
          <t>Thương lượng</t>
        </is>
      </c>
      <c r="F7917" t="inlineStr">
        <is>
          <t>Hồ Chí Minh</t>
        </is>
      </c>
      <c r="G7917" t="inlineStr">
        <is>
          <t>Nhân viên</t>
        </is>
      </c>
      <c r="H7917" t="inlineStr">
        <is>
          <t>06/03/2026</t>
        </is>
      </c>
      <c r="I7917" t="inlineStr">
        <is>
          <t>05/04/2026</t>
        </is>
      </c>
      <c r="J7917" t="inlineStr">
        <is>
          <t>17/03/2026</t>
        </is>
      </c>
      <c r="K7917" t="inlineStr">
        <is>
          <t>N/A</t>
        </is>
      </c>
      <c r="L7917" t="inlineStr">
        <is>
          <t>Adobe Photoshop, AutoCAD, Adobe Photoshop Sketch, Pattern Making, Textile Design</t>
        </is>
      </c>
      <c r="M7917" t="inlineStr">
        <is>
          <t>Bonus, Healthcare Plan, Travel Opportunities</t>
        </is>
      </c>
      <c r="N7917" s="8">
        <f>HYPERLINK("https://www.vietnamworks.com/fashion-technical-designer-position--2019217-jv","Xem chi tiết")</f>
        <v/>
      </c>
    </row>
    <row r="7918">
      <c r="B7918" s="9" t="n">
        <v>7916</v>
      </c>
      <c r="C7918" s="10" t="inlineStr">
        <is>
          <t>Product Marketing Communication Specialist</t>
        </is>
      </c>
      <c r="D7918" s="10" t="inlineStr">
        <is>
          <t>Panasonic Sales Vietnam</t>
        </is>
      </c>
      <c r="E7918" s="10" t="inlineStr">
        <is>
          <t>Thương lượng</t>
        </is>
      </c>
      <c r="F7918" s="10" t="inlineStr">
        <is>
          <t>Hà Nội</t>
        </is>
      </c>
      <c r="G7918" s="10" t="inlineStr">
        <is>
          <t>Nhân viên</t>
        </is>
      </c>
      <c r="H7918" s="10" t="inlineStr">
        <is>
          <t>06/03/2026</t>
        </is>
      </c>
      <c r="I7918" s="10" t="inlineStr">
        <is>
          <t>05/04/2026</t>
        </is>
      </c>
      <c r="J7918" s="10" t="inlineStr">
        <is>
          <t>17/03/2026</t>
        </is>
      </c>
      <c r="K7918" s="10" t="inlineStr">
        <is>
          <t>N/A</t>
        </is>
      </c>
      <c r="L7918" s="10" t="inlineStr">
        <is>
          <t>Digital Campaign Execution, ATL Marketing, Btl Marketing Channels, Integrated Marketing Communication, Product Launching</t>
        </is>
      </c>
      <c r="M7918" s="10" t="inlineStr">
        <is>
          <t>Bonus, Healthcare Plan, Paid Leave</t>
        </is>
      </c>
      <c r="N7918" s="11">
        <f>HYPERLINK("https://www.vietnamworks.com/product-marketing-communication-specialist-2019209-jv","Xem chi tiết")</f>
        <v/>
      </c>
      <c r="O7918" s="10" t="n"/>
    </row>
    <row r="7919">
      <c r="B7919" s="7" t="n">
        <v>7917</v>
      </c>
      <c r="C7919" t="inlineStr">
        <is>
          <t>Kế Toán Tổng Hợp</t>
        </is>
      </c>
      <c r="D7919" t="inlineStr">
        <is>
          <t>Công ty TNHH Hiệp Long</t>
        </is>
      </c>
      <c r="E7919" t="inlineStr">
        <is>
          <t>Thương lượng</t>
        </is>
      </c>
      <c r="F7919" t="inlineStr">
        <is>
          <t>Hồ Chí Minh, Bình Dương</t>
        </is>
      </c>
      <c r="G7919" t="inlineStr">
        <is>
          <t>Nhân viên</t>
        </is>
      </c>
      <c r="H7919" t="inlineStr">
        <is>
          <t>06/03/2026</t>
        </is>
      </c>
      <c r="I7919" t="inlineStr">
        <is>
          <t>05/04/2026</t>
        </is>
      </c>
      <c r="J7919" t="inlineStr">
        <is>
          <t>17/03/2026</t>
        </is>
      </c>
      <c r="K7919" t="inlineStr">
        <is>
          <t>N/A</t>
        </is>
      </c>
      <c r="L7919" t="inlineStr">
        <is>
          <t>Kế Toán, Accountant, Kế toán quản trị, Kế Toán Tổng Hợp, General Accountant</t>
        </is>
      </c>
      <c r="M7919" t="inlineStr">
        <is>
          <t>Healthcare Plan, Paid Leave, Travel Opportunities, Others</t>
        </is>
      </c>
      <c r="N7919" s="8">
        <f>HYPERLINK("https://www.vietnamworks.com/ke-toan-tong-hop--2019230-jv","Xem chi tiết")</f>
        <v/>
      </c>
    </row>
    <row r="7920">
      <c r="B7920" s="9" t="n">
        <v>7918</v>
      </c>
      <c r="C7920" s="10" t="inlineStr">
        <is>
          <t>[Hot Job] Nhân Viên Cơ Điện (Đi Làm Ngay)</t>
        </is>
      </c>
      <c r="D7920" s="10" t="inlineStr">
        <is>
          <t>Công Ty Cổ phần trung tâm gia công Posco Việt Nam</t>
        </is>
      </c>
      <c r="E7920" s="10" t="inlineStr">
        <is>
          <t>12,000-15,000 ₫/tháng</t>
        </is>
      </c>
      <c r="F7920" s="10" t="inlineStr">
        <is>
          <t>Hải Dương, Hà Nội, Hưng Yên</t>
        </is>
      </c>
      <c r="G7920" s="10" t="inlineStr">
        <is>
          <t>Nhân viên</t>
        </is>
      </c>
      <c r="H7920" s="10" t="inlineStr">
        <is>
          <t>06/03/2026</t>
        </is>
      </c>
      <c r="I7920" s="10" t="inlineStr">
        <is>
          <t>05/04/2026</t>
        </is>
      </c>
      <c r="J7920" s="10" t="inlineStr">
        <is>
          <t>17/03/2026</t>
        </is>
      </c>
      <c r="K7920" s="10" t="inlineStr">
        <is>
          <t>N/A</t>
        </is>
      </c>
      <c r="L7920" s="10" t="inlineStr">
        <is>
          <t>Sửa Chữa Bảo Trì Thiết Bị, Hệ Thống Điện Công Nghiệp, PLC Control Systems, Bảo Dưỡng Máy Móc, Cơ Điện</t>
        </is>
      </c>
      <c r="M7920" s="10" t="inlineStr">
        <is>
          <t>Bonus, Healthcare Plan, Awards</t>
        </is>
      </c>
      <c r="N7920" s="11">
        <f>HYPERLINK("https://www.vietnamworks.com/hot-job-nhan-vien-co-dien-di-lam-ngay-2019237-jv","Xem chi tiết")</f>
        <v/>
      </c>
      <c r="O7920" s="10" t="n"/>
    </row>
    <row r="7921">
      <c r="B7921" s="7" t="n">
        <v>7919</v>
      </c>
      <c r="C7921" t="inlineStr">
        <is>
          <t>Trưởng Phòng Bán Hàng</t>
        </is>
      </c>
      <c r="D7921" t="inlineStr">
        <is>
          <t>CÔNG TY TNHH KIM HÀ VIỆT</t>
        </is>
      </c>
      <c r="E7921" t="inlineStr">
        <is>
          <t>Thương lượng</t>
        </is>
      </c>
      <c r="F7921" t="inlineStr">
        <is>
          <t>Hồ Chí Minh</t>
        </is>
      </c>
      <c r="G7921" t="inlineStr">
        <is>
          <t>Trưởng phòng</t>
        </is>
      </c>
      <c r="H7921" t="inlineStr">
        <is>
          <t>06/03/2026</t>
        </is>
      </c>
      <c r="I7921" t="inlineStr">
        <is>
          <t>05/04/2026</t>
        </is>
      </c>
      <c r="J7921" t="inlineStr">
        <is>
          <t>17/03/2026</t>
        </is>
      </c>
      <c r="K7921" t="inlineStr">
        <is>
          <t>N/A</t>
        </is>
      </c>
      <c r="L7921" t="inlineStr">
        <is>
          <t>Đàm Phán Hợp Đồng, Phân Tích Thị Trường, Quản Lý Bán Hàng, Quản Lý Đội Nhóm, Sales Strategy</t>
        </is>
      </c>
      <c r="M7921" t="inlineStr">
        <is>
          <t>Bonus, Healthcare Plan, Training, Team Activities, Transportation, Others</t>
        </is>
      </c>
      <c r="N7921" s="8">
        <f>HYPERLINK("https://www.vietnamworks.com/truong-phong-ban-hang-2019238-jv","Xem chi tiết")</f>
        <v/>
      </c>
    </row>
    <row r="7922">
      <c r="B7922" s="9" t="n">
        <v>7920</v>
      </c>
      <c r="C7922" s="10" t="inlineStr">
        <is>
          <t>Quality Control Analyst</t>
        </is>
      </c>
      <c r="D7922" s="10" t="inlineStr">
        <is>
          <t>AJINOMOTO VIETNAM COMPANY</t>
        </is>
      </c>
      <c r="E7922" s="10" t="inlineStr">
        <is>
          <t>Thương lượng</t>
        </is>
      </c>
      <c r="F7922" s="10" t="inlineStr">
        <is>
          <t>Đồng Nai</t>
        </is>
      </c>
      <c r="G7922" s="10" t="inlineStr">
        <is>
          <t>Nhân viên</t>
        </is>
      </c>
      <c r="H7922" s="10" t="inlineStr">
        <is>
          <t>06/03/2026</t>
        </is>
      </c>
      <c r="I7922" s="10" t="inlineStr">
        <is>
          <t>05/04/2026</t>
        </is>
      </c>
      <c r="J7922" s="10" t="inlineStr">
        <is>
          <t>17/03/2026</t>
        </is>
      </c>
      <c r="K7922" s="10" t="inlineStr">
        <is>
          <t>N/A</t>
        </is>
      </c>
      <c r="L7922" s="10" t="inlineStr">
        <is>
          <t>Laboratory Operations, Quality Control and Compliance, Sample Management</t>
        </is>
      </c>
      <c r="M7922" s="10" t="inlineStr">
        <is>
          <t>Bonus, Healthcare Plan, Training, Transportation, Canteen</t>
        </is>
      </c>
      <c r="N7922" s="11">
        <f>HYPERLINK("https://www.vietnamworks.com/quality-control-analyst-2019228-jv","Xem chi tiết")</f>
        <v/>
      </c>
      <c r="O7922" s="10" t="n"/>
    </row>
    <row r="7923">
      <c r="B7923" s="7" t="n">
        <v>7921</v>
      </c>
      <c r="C7923" t="inlineStr">
        <is>
          <t>Nhân Viên Kinh Doanh</t>
        </is>
      </c>
      <c r="D7923" t="inlineStr">
        <is>
          <t>Công Ty Cổ Phần Quảng Cáo Và Xúc Tiến Thương Mại Đông Nam</t>
        </is>
      </c>
      <c r="E7923" t="inlineStr">
        <is>
          <t>Thương lượng</t>
        </is>
      </c>
      <c r="F7923" t="inlineStr">
        <is>
          <t>Hồ Chí Minh</t>
        </is>
      </c>
      <c r="G7923" t="inlineStr">
        <is>
          <t>Nhân viên</t>
        </is>
      </c>
      <c r="H7923" t="inlineStr">
        <is>
          <t>06/03/2026</t>
        </is>
      </c>
      <c r="I7923" t="inlineStr">
        <is>
          <t>05/04/2026</t>
        </is>
      </c>
      <c r="J7923" t="inlineStr">
        <is>
          <t>17/03/2026</t>
        </is>
      </c>
      <c r="K7923" t="inlineStr">
        <is>
          <t>N/A</t>
        </is>
      </c>
      <c r="L7923" t="inlineStr">
        <is>
          <t>Tìm Kiếm Khách Hàng, Kinh Doanh, Chăm Sóc Khách Hàng, Business Development, Bán Hàng</t>
        </is>
      </c>
      <c r="M7923" t="inlineStr">
        <is>
          <t>Healthcare Plan, Awards, Team Activities</t>
        </is>
      </c>
      <c r="N7923" s="8">
        <f>HYPERLINK("https://www.vietnamworks.com/nhan-vien-kinh-doanh--2019235-jv","Xem chi tiết")</f>
        <v/>
      </c>
    </row>
    <row r="7924">
      <c r="B7924" s="9" t="n">
        <v>7922</v>
      </c>
      <c r="C7924" s="10" t="inlineStr">
        <is>
          <t>Nhân Viên Admin Tổng Hợp</t>
        </is>
      </c>
      <c r="D7924" s="10" t="inlineStr">
        <is>
          <t>Công Ty Cổ Phần Thương Mại Tràng An- Việt Nam</t>
        </is>
      </c>
      <c r="E7924" s="10" t="inlineStr">
        <is>
          <t>Thương lượng</t>
        </is>
      </c>
      <c r="F7924" s="10" t="inlineStr">
        <is>
          <t>Hà Nội</t>
        </is>
      </c>
      <c r="G7924" s="10" t="inlineStr">
        <is>
          <t>Nhân viên</t>
        </is>
      </c>
      <c r="H7924" s="10" t="inlineStr">
        <is>
          <t>06/03/2026</t>
        </is>
      </c>
      <c r="I7924" s="10" t="inlineStr">
        <is>
          <t>05/04/2026</t>
        </is>
      </c>
      <c r="J7924" s="10" t="inlineStr">
        <is>
          <t>17/03/2026</t>
        </is>
      </c>
      <c r="K7924" s="10" t="inlineStr">
        <is>
          <t>N/A</t>
        </is>
      </c>
      <c r="L7924" s="10" t="inlineStr">
        <is>
          <t>Chấm Công Nhân Viên, Excel/Word Proficiency, Hỗ Trợ Kỹ Thuật, Quản Lý Dữ Liệu, Quản Trị Bán Hàng</t>
        </is>
      </c>
      <c r="M7924" s="10" t="inlineStr">
        <is>
          <t>Bonus, Healthcare Plan, Paid Leave, Training, Others</t>
        </is>
      </c>
      <c r="N7924" s="11">
        <f>HYPERLINK("https://www.vietnamworks.com/nhan-vien-admin-tong-hop-2019227-jv","Xem chi tiết")</f>
        <v/>
      </c>
      <c r="O7924" s="10" t="n"/>
    </row>
    <row r="7925">
      <c r="B7925" s="7" t="n">
        <v>7923</v>
      </c>
      <c r="C7925" t="inlineStr">
        <is>
          <t>Sales Manager, ASEAN</t>
        </is>
      </c>
      <c r="D7925" t="inlineStr">
        <is>
          <t>Avery Dennison Vietnam</t>
        </is>
      </c>
      <c r="E7925" t="inlineStr">
        <is>
          <t>60tr-73.5tr ₫/tháng</t>
        </is>
      </c>
      <c r="F7925" t="inlineStr">
        <is>
          <t>Hồ Chí Minh</t>
        </is>
      </c>
      <c r="G7925" t="inlineStr">
        <is>
          <t>Trưởng phòng</t>
        </is>
      </c>
      <c r="H7925" t="inlineStr">
        <is>
          <t>06/03/2026</t>
        </is>
      </c>
      <c r="I7925" t="inlineStr">
        <is>
          <t>05/04/2026</t>
        </is>
      </c>
      <c r="J7925" t="inlineStr">
        <is>
          <t>17/03/2026</t>
        </is>
      </c>
      <c r="K7925" t="inlineStr">
        <is>
          <t>N/A</t>
        </is>
      </c>
      <c r="L7925" t="inlineStr">
        <is>
          <t>IT Knowledge, Project Management, RFID, Sales Strategy, Teamwork</t>
        </is>
      </c>
      <c r="M7925" t="inlineStr">
        <is>
          <t>Others</t>
        </is>
      </c>
      <c r="N7925" s="8">
        <f>HYPERLINK("https://www.vietnamworks.com/sales-manager-asean-2019236-jv","Xem chi tiết")</f>
        <v/>
      </c>
    </row>
    <row r="7926">
      <c r="B7926" s="9" t="n">
        <v>7924</v>
      </c>
      <c r="C7926" s="10" t="inlineStr">
        <is>
          <t>Kỹ Thuật Sửa Chữa Khuôn Dập</t>
        </is>
      </c>
      <c r="D7926" s="10" t="inlineStr">
        <is>
          <t>Công Ty Cổ Phần Thiết Bị Điện Simon Việt Nam</t>
        </is>
      </c>
      <c r="E7926" s="10" t="inlineStr">
        <is>
          <t>13tr-18tr ₫/tháng</t>
        </is>
      </c>
      <c r="F7926" s="10" t="inlineStr">
        <is>
          <t>Hưng Yên</t>
        </is>
      </c>
      <c r="G7926" s="10" t="inlineStr">
        <is>
          <t>Nhân viên</t>
        </is>
      </c>
      <c r="H7926" s="10" t="inlineStr">
        <is>
          <t>06/03/2026</t>
        </is>
      </c>
      <c r="I7926" s="10" t="inlineStr">
        <is>
          <t>05/04/2026</t>
        </is>
      </c>
      <c r="J7926" s="10" t="inlineStr">
        <is>
          <t>17/03/2026</t>
        </is>
      </c>
      <c r="K7926" s="10" t="inlineStr">
        <is>
          <t>N/A</t>
        </is>
      </c>
      <c r="L7926" s="10" t="inlineStr">
        <is>
          <t>Thiết Kế Khuôn, Bảo Trì Khuôn, Quản Lý Hồ Sơ, Phân Tích Lỗi, Nhanh nhẹn</t>
        </is>
      </c>
      <c r="M7926" s="10" t="inlineStr">
        <is>
          <t>Bonus, Training, Others</t>
        </is>
      </c>
      <c r="N7926" s="11">
        <f>HYPERLINK("https://www.vietnamworks.com/ky-thuat-sua-chua-khuon-dap-2019233-jv","Xem chi tiết")</f>
        <v/>
      </c>
      <c r="O7926" s="10" t="n"/>
    </row>
    <row r="7927">
      <c r="B7927" s="7" t="n">
        <v>7925</v>
      </c>
      <c r="C7927" t="inlineStr">
        <is>
          <t>Nhân Viên Kinh Doanh - Sales Tour Inbound (Thu Nhập Upto 25Tr)</t>
        </is>
      </c>
      <c r="D7927" t="inlineStr">
        <is>
          <t>Lac Viet Travel</t>
        </is>
      </c>
      <c r="E7927" t="inlineStr">
        <is>
          <t>18tr-25tr ₫/tháng</t>
        </is>
      </c>
      <c r="F7927" t="inlineStr">
        <is>
          <t>Hà Nội</t>
        </is>
      </c>
      <c r="G7927" t="inlineStr">
        <is>
          <t>Mới Tốt Nghiệp</t>
        </is>
      </c>
      <c r="H7927" t="inlineStr">
        <is>
          <t>06/03/2026</t>
        </is>
      </c>
      <c r="I7927" t="inlineStr">
        <is>
          <t>05/04/2026</t>
        </is>
      </c>
      <c r="J7927" t="inlineStr">
        <is>
          <t>17/03/2026</t>
        </is>
      </c>
      <c r="K7927" t="inlineStr">
        <is>
          <t>N/A</t>
        </is>
      </c>
      <c r="L7927" t="inlineStr">
        <is>
          <t>Inbound Sales, Business Development, Sales, Du Lịch Lữ Hành, Kinh Doanh</t>
        </is>
      </c>
      <c r="M7927" t="inlineStr">
        <is>
          <t>Bonus, Healthcare Plan, Travel Opportunities, Team Activities, Others</t>
        </is>
      </c>
      <c r="N7927" s="8">
        <f>HYPERLINK("https://www.vietnamworks.com/nhan-vien-kinh-doanh-sales-tour-inbound-thu-nhap-upto-25tr-2019244-jv","Xem chi tiết")</f>
        <v/>
      </c>
    </row>
    <row r="7928">
      <c r="B7928" s="9" t="n">
        <v>7926</v>
      </c>
      <c r="C7928" s="10" t="inlineStr">
        <is>
          <t>Phó Phòng Quản Lý Chất Lượng (QC Manager) - Thu Nhập Từ 20-25 Triệu VND</t>
        </is>
      </c>
      <c r="D7928" s="10" t="inlineStr">
        <is>
          <t>CÔNG TY CỔ PHẦN GIẶT ỦI XANH</t>
        </is>
      </c>
      <c r="E7928" s="10" t="inlineStr">
        <is>
          <t>20tr-25tr ₫/tháng</t>
        </is>
      </c>
      <c r="F7928" s="10" t="inlineStr">
        <is>
          <t>Hồ Chí Minh</t>
        </is>
      </c>
      <c r="G7928" s="10" t="inlineStr">
        <is>
          <t>Trưởng phòng</t>
        </is>
      </c>
      <c r="H7928" s="10" t="inlineStr">
        <is>
          <t>06/03/2026</t>
        </is>
      </c>
      <c r="I7928" s="10" t="inlineStr">
        <is>
          <t>05/04/2026</t>
        </is>
      </c>
      <c r="J7928" s="10" t="inlineStr">
        <is>
          <t>17/03/2026</t>
        </is>
      </c>
      <c r="K7928" s="10" t="inlineStr">
        <is>
          <t>N/A</t>
        </is>
      </c>
      <c r="L7928" s="10" t="inlineStr">
        <is>
          <t>Giám Sát Chất Lượng Sản Xuất, ISO 9001, Kỹ Thuật Công Nghiệp, Quản lý chất lượng, Six Sigma</t>
        </is>
      </c>
      <c r="M7928" s="10" t="inlineStr">
        <is>
          <t>Bonus, Healthcare Plan, Paid Leave</t>
        </is>
      </c>
      <c r="N7928" s="11">
        <f>HYPERLINK("https://www.vietnamworks.com/pho-phong-quan-ly-chat-luong-qc-manager-thu-nhap-tu-20-25-trieu-vnd-2019243-jv","Xem chi tiết")</f>
        <v/>
      </c>
      <c r="O7928" s="10" t="n"/>
    </row>
    <row r="7929">
      <c r="B7929" s="7" t="n">
        <v>7927</v>
      </c>
      <c r="C7929" t="inlineStr">
        <is>
          <t>Trợ Lý Tổng Giám Đốc</t>
        </is>
      </c>
      <c r="D7929" t="inlineStr">
        <is>
          <t>CÔNG TY TNHH KIM HÀ VIỆT</t>
        </is>
      </c>
      <c r="E7929" t="inlineStr">
        <is>
          <t>Thương lượng</t>
        </is>
      </c>
      <c r="F7929" t="inlineStr">
        <is>
          <t>Hồ Chí Minh</t>
        </is>
      </c>
      <c r="G7929" t="inlineStr">
        <is>
          <t>Nhân viên</t>
        </is>
      </c>
      <c r="H7929" t="inlineStr">
        <is>
          <t>06/03/2026</t>
        </is>
      </c>
      <c r="I7929" t="inlineStr">
        <is>
          <t>05/04/2026</t>
        </is>
      </c>
      <c r="J7929" t="inlineStr">
        <is>
          <t>17/03/2026</t>
        </is>
      </c>
      <c r="K7929" t="inlineStr">
        <is>
          <t>N/A</t>
        </is>
      </c>
      <c r="L7929" t="inlineStr">
        <is>
          <t>Business Operations, Contract Management, Executive Assistant, Legal Counseling, Soạn Thảo Hợp Đồng</t>
        </is>
      </c>
      <c r="M7929" t="inlineStr">
        <is>
          <t>Bonus, Healthcare Plan, Paid Leave, Training, Team Activities, Transportation, Others</t>
        </is>
      </c>
      <c r="N7929" s="8">
        <f>HYPERLINK("https://www.vietnamworks.com/tro-ly-tong-giam-djoc-2019241-jv","Xem chi tiết")</f>
        <v/>
      </c>
    </row>
    <row r="7930">
      <c r="B7930" s="9" t="n">
        <v>7928</v>
      </c>
      <c r="C7930" s="10" t="inlineStr">
        <is>
          <t>Tổng Quản Lý Nhân Sự Hệ Thống (Ngành F&amp;B)</t>
        </is>
      </c>
      <c r="D7930" s="10" t="inlineStr">
        <is>
          <t>Công ty cổ phần Đầu tư ATAG</t>
        </is>
      </c>
      <c r="E7930" s="10" t="inlineStr">
        <is>
          <t>20tr-25tr ₫/tháng</t>
        </is>
      </c>
      <c r="F7930" s="10" t="inlineStr">
        <is>
          <t>Hà Nội</t>
        </is>
      </c>
      <c r="G7930" s="10" t="inlineStr">
        <is>
          <t>Trưởng phòng</t>
        </is>
      </c>
      <c r="H7930" s="10" t="inlineStr">
        <is>
          <t>06/03/2026</t>
        </is>
      </c>
      <c r="I7930" s="10" t="inlineStr">
        <is>
          <t>05/04/2026</t>
        </is>
      </c>
      <c r="J7930" s="10" t="inlineStr">
        <is>
          <t>17/03/2026</t>
        </is>
      </c>
      <c r="K7930" s="10" t="inlineStr">
        <is>
          <t>N/A</t>
        </is>
      </c>
      <c r="L7930" s="10" t="inlineStr">
        <is>
          <t>Quản Lý Nhân Sự, Luật Doanh Nghiệp, Luật Lao Động, KPI Reporting, Giao Tiếp</t>
        </is>
      </c>
      <c r="M7930" s="10" t="inlineStr">
        <is>
          <t>Healthcare Plan, Paid Leave</t>
        </is>
      </c>
      <c r="N7930" s="11">
        <f>HYPERLINK("https://www.vietnamworks.com/tong-quan-ly-nhan-su-he-thong-nganh-f-b-2019245-jv","Xem chi tiết")</f>
        <v/>
      </c>
      <c r="O7930" s="10" t="n"/>
    </row>
    <row r="7931">
      <c r="B7931" s="7" t="n">
        <v>7929</v>
      </c>
      <c r="C7931" t="inlineStr">
        <is>
          <t>Enrolment Support Executive</t>
        </is>
      </c>
      <c r="D7931" t="inlineStr">
        <is>
          <t>Kinderworld International Group (Singapore International School)</t>
        </is>
      </c>
      <c r="E7931" t="inlineStr">
        <is>
          <t>Từ 10tr ₫/tháng</t>
        </is>
      </c>
      <c r="F7931" t="inlineStr">
        <is>
          <t>Hồ Chí Minh</t>
        </is>
      </c>
      <c r="G7931" t="inlineStr">
        <is>
          <t>Mới Tốt Nghiệp</t>
        </is>
      </c>
      <c r="H7931" t="inlineStr">
        <is>
          <t>06/03/2026</t>
        </is>
      </c>
      <c r="I7931" t="inlineStr">
        <is>
          <t>05/04/2026</t>
        </is>
      </c>
      <c r="J7931" t="inlineStr">
        <is>
          <t>17/03/2026</t>
        </is>
      </c>
      <c r="K7931" t="inlineStr">
        <is>
          <t>N/A</t>
        </is>
      </c>
      <c r="L7931" t="inlineStr">
        <is>
          <t>Customer Service, English/Vietnamese Communication, MS Office, Sales, Team Work</t>
        </is>
      </c>
      <c r="M7931" t="inlineStr">
        <is>
          <t>Training</t>
        </is>
      </c>
      <c r="N7931" s="8">
        <f>HYPERLINK("https://www.vietnamworks.com/enrolment-support-executive-2019220-jv","Xem chi tiết")</f>
        <v/>
      </c>
    </row>
    <row r="7932">
      <c r="B7932" s="9" t="n">
        <v>7930</v>
      </c>
      <c r="C7932" s="10" t="inlineStr">
        <is>
          <t>Business Development Executive</t>
        </is>
      </c>
      <c r="D7932" s="10" t="inlineStr">
        <is>
          <t>Air Sea Worldwide</t>
        </is>
      </c>
      <c r="E7932" s="10" t="inlineStr">
        <is>
          <t>Thương lượng</t>
        </is>
      </c>
      <c r="F7932" s="10" t="inlineStr">
        <is>
          <t>Hồ Chí Minh</t>
        </is>
      </c>
      <c r="G7932" s="10" t="inlineStr">
        <is>
          <t>Nhân viên</t>
        </is>
      </c>
      <c r="H7932" s="10" t="inlineStr">
        <is>
          <t>06/03/2026</t>
        </is>
      </c>
      <c r="I7932" s="10" t="inlineStr">
        <is>
          <t>05/04/2026</t>
        </is>
      </c>
      <c r="J7932" s="10" t="inlineStr">
        <is>
          <t>17/03/2026</t>
        </is>
      </c>
      <c r="K7932" s="10" t="inlineStr">
        <is>
          <t>N/A</t>
        </is>
      </c>
      <c r="L7932" s="10" t="inlineStr">
        <is>
          <t>Freight Forwarding, Logistics, Customer Service, Microsoft Office, Communication</t>
        </is>
      </c>
      <c r="M7932" s="10" t="inlineStr">
        <is>
          <t>Bonus, Training, Others</t>
        </is>
      </c>
      <c r="N7932" s="11">
        <f>HYPERLINK("https://www.vietnamworks.com/business-development-executive-2019251-jv","Xem chi tiết")</f>
        <v/>
      </c>
      <c r="O7932" s="10" t="n"/>
    </row>
    <row r="7933">
      <c r="B7933" s="7" t="n">
        <v>7931</v>
      </c>
      <c r="C7933" t="inlineStr">
        <is>
          <t>Trưởng Phòng Hành Chính Nhân Sự</t>
        </is>
      </c>
      <c r="D7933" t="inlineStr">
        <is>
          <t>CÔNG TY CỔ PHẦN ĐẦU TƯ THƯƠNG MẠI TÂY VIÊN HÀ NỘI</t>
        </is>
      </c>
      <c r="E7933" t="inlineStr">
        <is>
          <t>18tr-25tr ₫/tháng</t>
        </is>
      </c>
      <c r="F7933" t="inlineStr">
        <is>
          <t>Hà Nội</t>
        </is>
      </c>
      <c r="G7933" t="inlineStr">
        <is>
          <t>Trưởng phòng</t>
        </is>
      </c>
      <c r="H7933" t="inlineStr">
        <is>
          <t>06/03/2026</t>
        </is>
      </c>
      <c r="I7933" t="inlineStr">
        <is>
          <t>05/04/2026</t>
        </is>
      </c>
      <c r="J7933" t="inlineStr">
        <is>
          <t>17/03/2026</t>
        </is>
      </c>
      <c r="K7933" t="inlineStr">
        <is>
          <t>N/A</t>
        </is>
      </c>
      <c r="L7933" t="inlineStr">
        <is>
          <t>Quản Trị Nhân Sự, Giao Tiếp, Quản Trị Văn Phòng, Truyền Thông Nội Bộ, Tuyển Dụng Đào Tạo</t>
        </is>
      </c>
      <c r="M7933" t="inlineStr">
        <is>
          <t>Bonus, Healthcare Plan, Paid Leave, Training, Laptop, Team Activities, Others</t>
        </is>
      </c>
      <c r="N7933" s="8">
        <f>HYPERLINK("https://www.vietnamworks.com/truong-phong-hanh-chinh-nhan-su-2019249-jv","Xem chi tiết")</f>
        <v/>
      </c>
    </row>
    <row r="7934">
      <c r="B7934" s="9" t="n">
        <v>7932</v>
      </c>
      <c r="C7934" s="10" t="inlineStr">
        <is>
          <t>Technical Service Engineer - Đắk Lắk</t>
        </is>
      </c>
      <c r="D7934" s="10" t="inlineStr">
        <is>
          <t>Konica Minolta Business SOLUTIONS VN</t>
        </is>
      </c>
      <c r="E7934" s="10" t="inlineStr">
        <is>
          <t>Thương lượng</t>
        </is>
      </c>
      <c r="F7934" s="10" t="inlineStr">
        <is>
          <t>Đắk Lắk</t>
        </is>
      </c>
      <c r="G7934" s="10" t="inlineStr">
        <is>
          <t>Nhân viên</t>
        </is>
      </c>
      <c r="H7934" s="10" t="inlineStr">
        <is>
          <t>06/03/2026</t>
        </is>
      </c>
      <c r="I7934" s="10" t="inlineStr">
        <is>
          <t>05/04/2026</t>
        </is>
      </c>
      <c r="J7934" s="10" t="inlineStr">
        <is>
          <t>17/03/2026</t>
        </is>
      </c>
      <c r="K7934" s="10" t="inlineStr">
        <is>
          <t>N/A</t>
        </is>
      </c>
      <c r="L7934" s="10" t="inlineStr">
        <is>
          <t>Technical Service, User Support, Troubleshooting Skills, Electronics Repair, English</t>
        </is>
      </c>
      <c r="M7934" s="10" t="inlineStr">
        <is>
          <t>Bonus, Healthcare Plan, Travel Opportunities</t>
        </is>
      </c>
      <c r="N7934" s="11">
        <f>HYPERLINK("https://www.vietnamworks.com/technical-service-engineer-dak-lak-2019248-jv","Xem chi tiết")</f>
        <v/>
      </c>
      <c r="O7934" s="10" t="n"/>
    </row>
    <row r="7935">
      <c r="B7935" s="7" t="n">
        <v>7933</v>
      </c>
      <c r="C7935" t="inlineStr">
        <is>
          <t>Phó Phòng Kinh Doanh - Thu Nhập Từ 20-25 Triệu VND</t>
        </is>
      </c>
      <c r="D7935" t="inlineStr">
        <is>
          <t>CÔNG TY CỔ PHẦN GIẶT ỦI XANH</t>
        </is>
      </c>
      <c r="E7935" t="inlineStr">
        <is>
          <t>20tr-25tr ₫/tháng</t>
        </is>
      </c>
      <c r="F7935" t="inlineStr">
        <is>
          <t>Hồ Chí Minh</t>
        </is>
      </c>
      <c r="G7935" t="inlineStr">
        <is>
          <t>Trưởng phòng</t>
        </is>
      </c>
      <c r="H7935" t="inlineStr">
        <is>
          <t>06/03/2026</t>
        </is>
      </c>
      <c r="I7935" t="inlineStr">
        <is>
          <t>05/04/2026</t>
        </is>
      </c>
      <c r="J7935" t="inlineStr">
        <is>
          <t>17/03/2026</t>
        </is>
      </c>
      <c r="K7935" t="inlineStr">
        <is>
          <t>N/A</t>
        </is>
      </c>
      <c r="L7935" t="inlineStr">
        <is>
          <t>Quản Lý Bán Hàng, Phát Triển Khách Hàng, Giám Sát Bán Hàng, Quản Lý Đấu Thầu, Xây Dựng Mối Quan Hệ</t>
        </is>
      </c>
      <c r="M7935" t="inlineStr">
        <is>
          <t>Bonus, Healthcare Plan, Paid Leave, Laptop</t>
        </is>
      </c>
      <c r="N7935" s="8">
        <f>HYPERLINK("https://www.vietnamworks.com/pho-phong-kinh-doanh-thu-nhap-tu-20-25-trieu-vnd-2019240-jv","Xem chi tiết")</f>
        <v/>
      </c>
    </row>
    <row r="7936">
      <c r="B7936" s="9" t="n">
        <v>7934</v>
      </c>
      <c r="C7936" s="10" t="inlineStr">
        <is>
          <t>Pattern Maker - Outerwear (3D Fitting, US Market)</t>
        </is>
      </c>
      <c r="D7936" s="10" t="inlineStr">
        <is>
          <t>Crossian Việt Nam</t>
        </is>
      </c>
      <c r="E7936" s="10" t="inlineStr">
        <is>
          <t>Tới $ 4,000 /tháng</t>
        </is>
      </c>
      <c r="F7936" s="10" t="inlineStr">
        <is>
          <t>Hà Nội, Hồ Chí Minh</t>
        </is>
      </c>
      <c r="G7936" s="10" t="inlineStr">
        <is>
          <t>Nhân viên</t>
        </is>
      </c>
      <c r="H7936" s="10" t="inlineStr">
        <is>
          <t>06/03/2026</t>
        </is>
      </c>
      <c r="I7936" s="10" t="inlineStr">
        <is>
          <t>05/04/2026</t>
        </is>
      </c>
      <c r="J7936" s="10" t="inlineStr">
        <is>
          <t>17/03/2026</t>
        </is>
      </c>
      <c r="K7936" s="10" t="inlineStr">
        <is>
          <t>N/A</t>
        </is>
      </c>
      <c r="L7936" s="10" t="inlineStr">
        <is>
          <t>CLO 3D, Garment Technology, Outerwear, Pattern Making, US Garment Standard</t>
        </is>
      </c>
      <c r="M7936" s="10" t="inlineStr">
        <is>
          <t>Bonus, Healthcare Plan, Paid Leave, Training, Team Activities</t>
        </is>
      </c>
      <c r="N7936" s="11">
        <f>HYPERLINK("https://www.vietnamworks.com/pattern-maker-outerwear-3d-fitting-us-market-2019231-jv","Xem chi tiết")</f>
        <v/>
      </c>
      <c r="O7936" s="10" t="n"/>
    </row>
    <row r="7937">
      <c r="B7937" s="7" t="n">
        <v>7935</v>
      </c>
      <c r="C7937" t="inlineStr">
        <is>
          <t>Chuyên Viên Kinh Doanh (Thiết Bị Y Tế/ Ngoại Khoa/vtth)</t>
        </is>
      </c>
      <c r="D7937" t="inlineStr">
        <is>
          <t>VMED Group</t>
        </is>
      </c>
      <c r="E7937" t="inlineStr">
        <is>
          <t>$$ 700-1,000 /tháng</t>
        </is>
      </c>
      <c r="F7937" t="inlineStr">
        <is>
          <t>Hồ Chí Minh</t>
        </is>
      </c>
      <c r="G7937" t="inlineStr">
        <is>
          <t>Nhân viên</t>
        </is>
      </c>
      <c r="H7937" t="inlineStr">
        <is>
          <t>06/03/2026</t>
        </is>
      </c>
      <c r="I7937" t="inlineStr">
        <is>
          <t>05/04/2026</t>
        </is>
      </c>
      <c r="J7937" t="inlineStr">
        <is>
          <t>17/03/2026</t>
        </is>
      </c>
      <c r="K7937" t="inlineStr">
        <is>
          <t>N/A</t>
        </is>
      </c>
      <c r="L7937" t="inlineStr">
        <is>
          <t>Lập Kế Hoạch Kinh Doanh, Tìm Kiếm Khách Hàng, Tư Vấn Khách Hàng, Phát Triển Khách Hàng, Kinh Doanh Thiết Bị Y Tế</t>
        </is>
      </c>
      <c r="M7937" t="inlineStr">
        <is>
          <t>Bonus, Healthcare Plan, Paid Leave</t>
        </is>
      </c>
      <c r="N7937" s="8">
        <f>HYPERLINK("https://www.vietnamworks.com/chuyen-vien-kinh-doanh-thiet-bi-y-te-ngoai-khoa-vtth-2019239-jv","Xem chi tiết")</f>
        <v/>
      </c>
    </row>
    <row r="7938">
      <c r="B7938" s="9" t="n">
        <v>7936</v>
      </c>
      <c r="C7938" s="10" t="inlineStr">
        <is>
          <t>Trưởng Phòng Chăm Sóc Khách Hàng - Thu Nhập Từ 25-35 Triệu VND</t>
        </is>
      </c>
      <c r="D7938" s="10" t="inlineStr">
        <is>
          <t>CÔNG TY CỔ PHẦN GIẶT ỦI XANH</t>
        </is>
      </c>
      <c r="E7938" s="10" t="inlineStr">
        <is>
          <t>25tr-35tr ₫/tháng</t>
        </is>
      </c>
      <c r="F7938" s="10" t="inlineStr">
        <is>
          <t>Hồ Chí Minh</t>
        </is>
      </c>
      <c r="G7938" s="10" t="inlineStr">
        <is>
          <t>Trưởng phòng</t>
        </is>
      </c>
      <c r="H7938" s="10" t="inlineStr">
        <is>
          <t>06/03/2026</t>
        </is>
      </c>
      <c r="I7938" s="10" t="inlineStr">
        <is>
          <t>05/04/2026</t>
        </is>
      </c>
      <c r="J7938" s="10" t="inlineStr">
        <is>
          <t>17/03/2026</t>
        </is>
      </c>
      <c r="K7938" s="10" t="inlineStr">
        <is>
          <t>N/A</t>
        </is>
      </c>
      <c r="L7938" s="10" t="inlineStr">
        <is>
          <t>Customer Service Management, Delivery Management, Dịch Vụ Khách Hàng, Quản Lý Chất Lượng Dịch Vụ, Customer Support</t>
        </is>
      </c>
      <c r="M7938" s="10" t="inlineStr">
        <is>
          <t>Bonus, Healthcare Plan, Paid Leave, Laptop</t>
        </is>
      </c>
      <c r="N7938" s="11">
        <f>HYPERLINK("https://www.vietnamworks.com/truong-phong-cham-soc-khach-hang-thu-nhap-tu-25-35-trieu-vnd-2019242-jv","Xem chi tiết")</f>
        <v/>
      </c>
      <c r="O7938" s="10" t="n"/>
    </row>
    <row r="7939">
      <c r="B7939" s="7" t="n">
        <v>7937</v>
      </c>
      <c r="C7939" t="inlineStr">
        <is>
          <t>Sales Executive International Logistics</t>
        </is>
      </c>
      <c r="D7939" t="inlineStr">
        <is>
          <t>Kartash Logistics</t>
        </is>
      </c>
      <c r="E7939" t="inlineStr">
        <is>
          <t>Từ $ 600 /tháng</t>
        </is>
      </c>
      <c r="F7939" t="inlineStr">
        <is>
          <t>Hồ Chí Minh</t>
        </is>
      </c>
      <c r="G7939" t="inlineStr">
        <is>
          <t>Nhân viên</t>
        </is>
      </c>
      <c r="H7939" t="inlineStr">
        <is>
          <t>06/03/2026</t>
        </is>
      </c>
      <c r="I7939" t="inlineStr">
        <is>
          <t>05/04/2026</t>
        </is>
      </c>
      <c r="J7939" t="inlineStr">
        <is>
          <t>17/03/2026</t>
        </is>
      </c>
      <c r="K7939" t="inlineStr">
        <is>
          <t>N/A</t>
        </is>
      </c>
      <c r="L7939" t="inlineStr">
        <is>
          <t>Sales, Relationship Building, International Logistics, Freight Forwarding, Supply Chain</t>
        </is>
      </c>
      <c r="M7939" t="inlineStr">
        <is>
          <t>Bonus</t>
        </is>
      </c>
      <c r="N7939" s="8">
        <f>HYPERLINK("https://www.vietnamworks.com/sales-executive-international-logistics-2019247-jv","Xem chi tiết")</f>
        <v/>
      </c>
    </row>
    <row r="7940">
      <c r="B7940" s="9" t="n">
        <v>7938</v>
      </c>
      <c r="C7940" s="10" t="inlineStr">
        <is>
          <t>Business Development Executive</t>
        </is>
      </c>
      <c r="D7940" s="10" t="inlineStr">
        <is>
          <t>Dolphin Sea Air Services Corp.</t>
        </is>
      </c>
      <c r="E7940" s="10" t="inlineStr">
        <is>
          <t>$$ 500-1,000 /tháng</t>
        </is>
      </c>
      <c r="F7940" s="10" t="inlineStr">
        <is>
          <t>Hồ Chí Minh, Hải Phòng, Hà Nội</t>
        </is>
      </c>
      <c r="G7940" s="10" t="inlineStr">
        <is>
          <t>Mới Tốt Nghiệp</t>
        </is>
      </c>
      <c r="H7940" s="10" t="inlineStr">
        <is>
          <t>06/03/2026</t>
        </is>
      </c>
      <c r="I7940" s="10" t="inlineStr">
        <is>
          <t>05/04/2026</t>
        </is>
      </c>
      <c r="J7940" s="10" t="inlineStr">
        <is>
          <t>17/03/2026</t>
        </is>
      </c>
      <c r="K7940" s="10" t="inlineStr">
        <is>
          <t>N/A</t>
        </is>
      </c>
      <c r="L7940" s="10" t="inlineStr">
        <is>
          <t>Xuất Nhập Khẩu, Logistics Sales, Kinh Doanh, Logistics, Freight Forwarding</t>
        </is>
      </c>
      <c r="M7940" s="10" t="inlineStr">
        <is>
          <t>Bonus, Training, Others</t>
        </is>
      </c>
      <c r="N7940" s="11">
        <f>HYPERLINK("https://www.vietnamworks.com/business-development-executive--2019254-jv","Xem chi tiết")</f>
        <v/>
      </c>
      <c r="O7940" s="10" t="n"/>
    </row>
    <row r="7941">
      <c r="B7941" s="7" t="n">
        <v>7939</v>
      </c>
      <c r="C7941" t="inlineStr">
        <is>
          <t>Giám Đốc Kinh Doanh HCM (Media/Adtech)</t>
        </is>
      </c>
      <c r="D7941" t="inlineStr">
        <is>
          <t>AWING Technologies And Media</t>
        </is>
      </c>
      <c r="E7941" t="inlineStr">
        <is>
          <t>40tr-65tr ₫/tháng</t>
        </is>
      </c>
      <c r="F7941" t="inlineStr">
        <is>
          <t>Hà Nội</t>
        </is>
      </c>
      <c r="G7941" t="inlineStr">
        <is>
          <t>Giám Đốc và Cấp Cao Hơn</t>
        </is>
      </c>
      <c r="H7941" t="inlineStr">
        <is>
          <t>06/03/2026</t>
        </is>
      </c>
      <c r="I7941" t="inlineStr">
        <is>
          <t>05/04/2026</t>
        </is>
      </c>
      <c r="J7941" t="inlineStr">
        <is>
          <t>17/03/2026</t>
        </is>
      </c>
      <c r="K7941" t="inlineStr">
        <is>
          <t>N/A</t>
        </is>
      </c>
      <c r="L7941" t="inlineStr">
        <is>
          <t>Quản Lý Kinh Doanh, Xây dựng đội ngũ giảng viên, Bán Hàng B2B, Lãnh Đạo, Giao Tiếp</t>
        </is>
      </c>
      <c r="M7941" t="inlineStr">
        <is>
          <t>Bonus, Healthcare Plan, Paid Leave, Training, Laptop, Mobile, Transportation, Others</t>
        </is>
      </c>
      <c r="N7941" s="8">
        <f>HYPERLINK("https://www.vietnamworks.com/giam-djoc-kinh-doanh-hcm-mediaadtech-2019252-jv","Xem chi tiết")</f>
        <v/>
      </c>
    </row>
    <row r="7942">
      <c r="B7942" s="9" t="n">
        <v>7940</v>
      </c>
      <c r="C7942" s="10" t="inlineStr">
        <is>
          <t>Technical Sales Engineer (Cosmetics Ingredients)/ Kinh Doanh Hóa Chất Mỹ Phẩm</t>
        </is>
      </c>
      <c r="D7942" s="10" t="inlineStr">
        <is>
          <t>DC Chemicals Co. Ltd.</t>
        </is>
      </c>
      <c r="E7942" s="10" t="inlineStr">
        <is>
          <t>Thương lượng</t>
        </is>
      </c>
      <c r="F7942" s="10" t="inlineStr">
        <is>
          <t>Hồ Chí Minh</t>
        </is>
      </c>
      <c r="G7942" s="10" t="inlineStr">
        <is>
          <t>Nhân viên</t>
        </is>
      </c>
      <c r="H7942" s="10" t="inlineStr">
        <is>
          <t>06/03/2026</t>
        </is>
      </c>
      <c r="I7942" s="10" t="inlineStr">
        <is>
          <t>05/04/2026</t>
        </is>
      </c>
      <c r="J7942" s="10" t="inlineStr">
        <is>
          <t>17/03/2026</t>
        </is>
      </c>
      <c r="K7942" s="10" t="inlineStr">
        <is>
          <t>N/A</t>
        </is>
      </c>
      <c r="L7942" s="10" t="inlineStr">
        <is>
          <t>Kinh Doanh Hóa Chất, Hoá Dược, Chăm Sóc Khách Hàng, Tư Vấn Sản Phẩm, Kinh Doanh</t>
        </is>
      </c>
      <c r="M7942" s="10" t="inlineStr">
        <is>
          <t>Bonus, Healthcare Plan, Others</t>
        </is>
      </c>
      <c r="N7942" s="11">
        <f>HYPERLINK("https://www.vietnamworks.com/technical-sales-engineer-cosmetics-ingredients-kinh-doanh-hoa-chat-my-pham--2019253-jv","Xem chi tiết")</f>
        <v/>
      </c>
      <c r="O7942" s="10" t="n"/>
    </row>
    <row r="7943">
      <c r="B7943" s="7" t="n">
        <v>7941</v>
      </c>
      <c r="C7943" t="inlineStr">
        <is>
          <t>Kế Toán Tổng Hợp</t>
        </is>
      </c>
      <c r="D7943" t="inlineStr">
        <is>
          <t>Công Ty TNHH Nippon Kouatsu Electric Việt Nam</t>
        </is>
      </c>
      <c r="E7943" t="inlineStr">
        <is>
          <t>Thương lượng</t>
        </is>
      </c>
      <c r="F7943" t="inlineStr">
        <is>
          <t>Hà Nội</t>
        </is>
      </c>
      <c r="G7943" t="inlineStr">
        <is>
          <t>Nhân viên</t>
        </is>
      </c>
      <c r="H7943" t="inlineStr">
        <is>
          <t>06/03/2026</t>
        </is>
      </c>
      <c r="I7943" t="inlineStr">
        <is>
          <t>05/04/2026</t>
        </is>
      </c>
      <c r="J7943" t="inlineStr">
        <is>
          <t>17/03/2026</t>
        </is>
      </c>
      <c r="K7943" t="inlineStr">
        <is>
          <t>N/A</t>
        </is>
      </c>
      <c r="L7943" t="inlineStr">
        <is>
          <t>Kế Toán Tổng Hợp, Tài Chính Kế Toán, Kê Khai Thuế, Tiếng Anh, Hạch Toán Chi Phí</t>
        </is>
      </c>
      <c r="M7943" t="inlineStr">
        <is>
          <t>Bonus, Healthcare Plan, Transportation</t>
        </is>
      </c>
      <c r="N7943" s="8">
        <f>HYPERLINK("https://www.vietnamworks.com/ke-toan-tong-hop--2019273-jv","Xem chi tiết")</f>
        <v/>
      </c>
    </row>
    <row r="7944">
      <c r="B7944" s="9" t="n">
        <v>7942</v>
      </c>
      <c r="C7944" s="10" t="inlineStr">
        <is>
          <t>Chuyên Viên Quản Lý Thiết Kế - Làm Việc Tại Hà Nội</t>
        </is>
      </c>
      <c r="D7944" s="10" t="inlineStr">
        <is>
          <t>CÔNG TY CỔ PHẦN ĐẦU TƯ THƯƠNG MẠI TÂY VIÊN HÀ NỘI</t>
        </is>
      </c>
      <c r="E7944" s="10" t="inlineStr">
        <is>
          <t>18tr-25tr ₫/tháng</t>
        </is>
      </c>
      <c r="F7944" s="10" t="inlineStr">
        <is>
          <t>Hà Nội</t>
        </is>
      </c>
      <c r="G7944" s="10" t="inlineStr">
        <is>
          <t>Nhân viên</t>
        </is>
      </c>
      <c r="H7944" s="10" t="inlineStr">
        <is>
          <t>06/03/2026</t>
        </is>
      </c>
      <c r="I7944" s="10" t="inlineStr">
        <is>
          <t>05/04/2026</t>
        </is>
      </c>
      <c r="J7944" s="10" t="inlineStr">
        <is>
          <t>17/03/2026</t>
        </is>
      </c>
      <c r="K7944" s="10" t="inlineStr">
        <is>
          <t>N/A</t>
        </is>
      </c>
      <c r="L7944" s="10" t="inlineStr">
        <is>
          <t>AutoCAD, Công Trình Dân Dụng, Kiến Trúc, Thiết Kế, Thiết Kế Xây Dựng</t>
        </is>
      </c>
      <c r="M7944" s="10" t="inlineStr">
        <is>
          <t>Bonus, Healthcare Plan, Paid Leave, Training, Laptop, Team Activities, Others</t>
        </is>
      </c>
      <c r="N7944" s="11">
        <f>HYPERLINK("https://www.vietnamworks.com/chuyen-vien-quan-ly-thiet-ke-lam-viec-tai-ha-noi-2019264-jv","Xem chi tiết")</f>
        <v/>
      </c>
      <c r="O7944" s="10" t="n"/>
    </row>
    <row r="7945">
      <c r="B7945" s="7" t="n">
        <v>7943</v>
      </c>
      <c r="C7945" t="inlineStr">
        <is>
          <t>Nhân Viên Kinh Doanh</t>
        </is>
      </c>
      <c r="D7945" t="inlineStr">
        <is>
          <t>Công Ty TNHH Vinatech Vina</t>
        </is>
      </c>
      <c r="E7945" t="inlineStr">
        <is>
          <t>$$ 800-1,500 /tháng</t>
        </is>
      </c>
      <c r="F7945" t="inlineStr">
        <is>
          <t>Bắc Ninh</t>
        </is>
      </c>
      <c r="G7945" t="inlineStr">
        <is>
          <t>Nhân viên</t>
        </is>
      </c>
      <c r="H7945" t="inlineStr">
        <is>
          <t>06/03/2026</t>
        </is>
      </c>
      <c r="I7945" t="inlineStr">
        <is>
          <t>05/04/2026</t>
        </is>
      </c>
      <c r="J7945" t="inlineStr">
        <is>
          <t>17/03/2026</t>
        </is>
      </c>
      <c r="K7945" t="inlineStr">
        <is>
          <t>N/A</t>
        </is>
      </c>
      <c r="L7945" t="inlineStr">
        <is>
          <t>Tìm Kiếm Khách Hàng, B2B Sales Executive, Kinh Doanh, Tiếng Anh, Chăm Sóc Khách Hàng</t>
        </is>
      </c>
      <c r="M7945" t="inlineStr">
        <is>
          <t>Bonus, Healthcare Plan, Training</t>
        </is>
      </c>
      <c r="N7945" s="8">
        <f>HYPERLINK("https://www.vietnamworks.com/nhan-vien-kinh-doanh--2019261-jv","Xem chi tiết")</f>
        <v/>
      </c>
    </row>
    <row r="7946">
      <c r="B7946" s="9" t="n">
        <v>7944</v>
      </c>
      <c r="C7946" s="10" t="inlineStr">
        <is>
          <t>Nhân Viên Media</t>
        </is>
      </c>
      <c r="D7946" s="10" t="inlineStr">
        <is>
          <t>CÔNG TY CỔ PHẦN XÂY DỰNG VÀ ĐẦU TƯ GALAXY</t>
        </is>
      </c>
      <c r="E7946" s="10" t="inlineStr">
        <is>
          <t>Thương lượng</t>
        </is>
      </c>
      <c r="F7946" s="10" t="inlineStr">
        <is>
          <t>Hồ Chí Minh</t>
        </is>
      </c>
      <c r="G7946" s="10" t="inlineStr">
        <is>
          <t>Nhân viên</t>
        </is>
      </c>
      <c r="H7946" s="10" t="inlineStr">
        <is>
          <t>06/03/2026</t>
        </is>
      </c>
      <c r="I7946" s="10" t="inlineStr">
        <is>
          <t>05/04/2026</t>
        </is>
      </c>
      <c r="J7946" s="10" t="inlineStr">
        <is>
          <t>17/03/2026</t>
        </is>
      </c>
      <c r="K7946" s="10" t="inlineStr">
        <is>
          <t>N/A</t>
        </is>
      </c>
      <c r="L7946" s="10" t="inlineStr">
        <is>
          <t>Truyền Thông, Thiết Kế Đồ Họa, Sáng Tạo Nội Dung, Chụp Hình, Quay Video</t>
        </is>
      </c>
      <c r="M7946" s="10" t="inlineStr">
        <is>
          <t>Healthcare Plan, Paid Leave, Travel Opportunities</t>
        </is>
      </c>
      <c r="N7946" s="11">
        <f>HYPERLINK("https://www.vietnamworks.com/nhan-vien-media-2019272-jv","Xem chi tiết")</f>
        <v/>
      </c>
      <c r="O7946" s="10" t="n"/>
    </row>
    <row r="7947">
      <c r="B7947" s="7" t="n">
        <v>7945</v>
      </c>
      <c r="C7947" t="inlineStr">
        <is>
          <t>Chuyên Viên Kế Toán - Accountant</t>
        </is>
      </c>
      <c r="D7947" t="inlineStr">
        <is>
          <t>Công Ty TNHH Phát Triển Phú Mỹ Hưng</t>
        </is>
      </c>
      <c r="E7947" t="inlineStr">
        <is>
          <t>Thương lượng</t>
        </is>
      </c>
      <c r="F7947" t="inlineStr">
        <is>
          <t>Hòa Bình</t>
        </is>
      </c>
      <c r="G7947" t="inlineStr">
        <is>
          <t>Nhân viên</t>
        </is>
      </c>
      <c r="H7947" t="inlineStr">
        <is>
          <t>06/03/2026</t>
        </is>
      </c>
      <c r="I7947" t="inlineStr">
        <is>
          <t>05/04/2026</t>
        </is>
      </c>
      <c r="J7947" t="inlineStr">
        <is>
          <t>17/03/2026</t>
        </is>
      </c>
      <c r="K7947" t="inlineStr">
        <is>
          <t>N/A</t>
        </is>
      </c>
      <c r="L7947" t="inlineStr">
        <is>
          <t>Accounting, Invoice Processing, Financial Reporting, Audit Management, Communication</t>
        </is>
      </c>
      <c r="M7947" t="inlineStr">
        <is>
          <t>Healthcare Plan, Paid Leave, Training</t>
        </is>
      </c>
      <c r="N7947" s="8">
        <f>HYPERLINK("https://www.vietnamworks.com/chuyen-vien-ke-toan-accountant-2019262-jv","Xem chi tiết")</f>
        <v/>
      </c>
    </row>
    <row r="7948">
      <c r="B7948" s="9" t="n">
        <v>7946</v>
      </c>
      <c r="C7948" s="10" t="inlineStr">
        <is>
          <t>Trưởng nhóm tuyển dụng - Lương upto 20 triệu</t>
        </is>
      </c>
      <c r="D7948" s="10" t="inlineStr">
        <is>
          <t>CÔNG TY CỔ PHẦN NÔNG NGHIỆP EASYFARM VIỆT NAM</t>
        </is>
      </c>
      <c r="E7948" s="10" t="inlineStr">
        <is>
          <t>15tr-20tr ₫/tháng</t>
        </is>
      </c>
      <c r="F7948" s="10" t="inlineStr">
        <is>
          <t>Hà Nội</t>
        </is>
      </c>
      <c r="G7948" s="10" t="inlineStr">
        <is>
          <t>Nhân viên</t>
        </is>
      </c>
      <c r="H7948" s="10" t="inlineStr">
        <is>
          <t>06/03/2026</t>
        </is>
      </c>
      <c r="I7948" s="10" t="inlineStr">
        <is>
          <t>05/04/2026</t>
        </is>
      </c>
      <c r="J7948" s="10" t="inlineStr">
        <is>
          <t>17/03/2026</t>
        </is>
      </c>
      <c r="K7948" s="10" t="inlineStr">
        <is>
          <t>N/A</t>
        </is>
      </c>
      <c r="L7948" s="10" t="inlineStr">
        <is>
          <t>Kỹ năng giao tiếp, Kỹ năng làm việc nhóm, Kỹ Năng Phân Tích, Kỹ năng đàm phán</t>
        </is>
      </c>
      <c r="M7948" s="10" t="inlineStr">
        <is>
          <t>Bonus, Healthcare Plan, Travel Opportunities, Team Activities, Others</t>
        </is>
      </c>
      <c r="N7948" s="11">
        <f>HYPERLINK("https://www.vietnamworks.com/truong-nhom-tuyen-dung-luong-upto-20-trieu-2019274-jv","Xem chi tiết")</f>
        <v/>
      </c>
      <c r="O7948" s="10" t="n"/>
    </row>
    <row r="7949">
      <c r="B7949" s="7" t="n">
        <v>7947</v>
      </c>
      <c r="C7949" t="inlineStr">
        <is>
          <t>Cán Bộ Kỹ Thuật Phòng Cháy Chữa Cháy</t>
        </is>
      </c>
      <c r="D7949" t="inlineStr">
        <is>
          <t>Công Ty CP Xây Dựng Thiết Bị Thái An</t>
        </is>
      </c>
      <c r="E7949" t="inlineStr">
        <is>
          <t>13tr-22tr ₫/tháng</t>
        </is>
      </c>
      <c r="F7949" t="inlineStr">
        <is>
          <t>Hà Nội</t>
        </is>
      </c>
      <c r="G7949" t="inlineStr">
        <is>
          <t>Nhân viên</t>
        </is>
      </c>
      <c r="H7949" t="inlineStr">
        <is>
          <t>06/03/2026</t>
        </is>
      </c>
      <c r="I7949" t="inlineStr">
        <is>
          <t>05/04/2026</t>
        </is>
      </c>
      <c r="J7949" t="inlineStr">
        <is>
          <t>17/03/2026</t>
        </is>
      </c>
      <c r="K7949" t="inlineStr">
        <is>
          <t>N/A</t>
        </is>
      </c>
      <c r="L7949" t="inlineStr">
        <is>
          <t>Thiết Kế Hệ Thống, Quản Lý Kỹ Thuật, Lập Trình AutoCAD, Phòng Cháy Chữa Cháy, Lập Hồ Sơ Thầu</t>
        </is>
      </c>
      <c r="M7949" t="inlineStr">
        <is>
          <t>Bonus, Healthcare Plan, Paid Leave, Others</t>
        </is>
      </c>
      <c r="N7949" s="8">
        <f>HYPERLINK("https://www.vietnamworks.com/can-bo-ky-thuat-phong-chay-chua-chay-2019256-jv","Xem chi tiết")</f>
        <v/>
      </c>
    </row>
    <row r="7950">
      <c r="B7950" s="9" t="n">
        <v>7948</v>
      </c>
      <c r="C7950" s="10" t="inlineStr">
        <is>
          <t>Chuyên Viên Tài Chính Cao Cấp - Làm Việc Tại Hà Nội</t>
        </is>
      </c>
      <c r="D7950" s="10" t="inlineStr">
        <is>
          <t>CÔNG TY CỔ PHẦN ĐẦU TƯ THƯƠNG MẠI TÂY VIÊN HÀ NỘI</t>
        </is>
      </c>
      <c r="E7950" s="10" t="inlineStr">
        <is>
          <t>18tr-25tr ₫/tháng</t>
        </is>
      </c>
      <c r="F7950" s="10" t="inlineStr">
        <is>
          <t>Hà Nội</t>
        </is>
      </c>
      <c r="G7950" s="10" t="inlineStr">
        <is>
          <t>Nhân viên</t>
        </is>
      </c>
      <c r="H7950" s="10" t="inlineStr">
        <is>
          <t>06/03/2026</t>
        </is>
      </c>
      <c r="I7950" s="10" t="inlineStr">
        <is>
          <t>05/04/2026</t>
        </is>
      </c>
      <c r="J7950" s="10" t="inlineStr">
        <is>
          <t>17/03/2026</t>
        </is>
      </c>
      <c r="K7950" s="10" t="inlineStr">
        <is>
          <t>N/A</t>
        </is>
      </c>
      <c r="L7950" s="10" t="inlineStr">
        <is>
          <t>Quản Lý Dòng Tiền, Phân Tích Tài Chính, MS Word, Kỹ năng giao tiêp, Quản Lý Rủi Ro Tài Chính</t>
        </is>
      </c>
      <c r="M7950" s="10" t="inlineStr">
        <is>
          <t>Bonus, Healthcare Plan, Paid Leave, Training, Laptop, Team Activities, Others</t>
        </is>
      </c>
      <c r="N7950" s="11">
        <f>HYPERLINK("https://www.vietnamworks.com/chuyen-vien-tai-chinh-cao-cap-lam-viec-tai-ha-noi-2019255-jv","Xem chi tiết")</f>
        <v/>
      </c>
      <c r="O7950" s="10" t="n"/>
    </row>
    <row r="7951">
      <c r="B7951" s="7" t="n">
        <v>7949</v>
      </c>
      <c r="C7951" t="inlineStr">
        <is>
          <t>Sales Manager</t>
        </is>
      </c>
      <c r="D7951" t="inlineStr">
        <is>
          <t>TechnoNICOL Vietnam</t>
        </is>
      </c>
      <c r="E7951" t="inlineStr">
        <is>
          <t>Thương lượng</t>
        </is>
      </c>
      <c r="F7951" t="inlineStr">
        <is>
          <t>Đà Nẵng, Hà Nội</t>
        </is>
      </c>
      <c r="G7951" t="inlineStr">
        <is>
          <t>Trưởng phòng</t>
        </is>
      </c>
      <c r="H7951" t="inlineStr">
        <is>
          <t>06/03/2026</t>
        </is>
      </c>
      <c r="I7951" t="inlineStr">
        <is>
          <t>05/04/2026</t>
        </is>
      </c>
      <c r="J7951" t="inlineStr">
        <is>
          <t>17/03/2026</t>
        </is>
      </c>
      <c r="K7951" t="inlineStr">
        <is>
          <t>N/A</t>
        </is>
      </c>
      <c r="L7951" t="inlineStr">
        <is>
          <t>Bán Hàng Dự Án, Sales Engineering, Thi Công Chống Thấm, Waterproofing, Sales</t>
        </is>
      </c>
      <c r="M7951" t="inlineStr">
        <is>
          <t>Bonus, Healthcare Plan, Training</t>
        </is>
      </c>
      <c r="N7951" s="8">
        <f>HYPERLINK("https://www.vietnamworks.com/sales-manager-2019267-jv","Xem chi tiết")</f>
        <v/>
      </c>
    </row>
    <row r="7952">
      <c r="B7952" s="9" t="n">
        <v>7950</v>
      </c>
      <c r="C7952" s="10" t="inlineStr">
        <is>
          <t>Technical Manager</t>
        </is>
      </c>
      <c r="D7952" s="10" t="inlineStr">
        <is>
          <t>TechnoNICOL Vietnam</t>
        </is>
      </c>
      <c r="E7952" s="10" t="inlineStr">
        <is>
          <t>Từ $ 1,000 /tháng</t>
        </is>
      </c>
      <c r="F7952" s="10" t="inlineStr">
        <is>
          <t>Hồ Chí Minh</t>
        </is>
      </c>
      <c r="G7952" s="10" t="inlineStr">
        <is>
          <t>Trưởng phòng</t>
        </is>
      </c>
      <c r="H7952" s="10" t="inlineStr">
        <is>
          <t>06/03/2026</t>
        </is>
      </c>
      <c r="I7952" s="10" t="inlineStr">
        <is>
          <t>05/04/2026</t>
        </is>
      </c>
      <c r="J7952" s="10" t="inlineStr">
        <is>
          <t>17/03/2026</t>
        </is>
      </c>
      <c r="K7952" s="10" t="inlineStr">
        <is>
          <t>N/A</t>
        </is>
      </c>
      <c r="L7952" s="10" t="inlineStr">
        <is>
          <t>Chống Thấm, Mechanical, PVC, Technical Management, Waterproofing</t>
        </is>
      </c>
      <c r="M7952" s="10" t="inlineStr">
        <is>
          <t>Bonus, Healthcare Plan, Training</t>
        </is>
      </c>
      <c r="N7952" s="11">
        <f>HYPERLINK("https://www.vietnamworks.com/technical-manager-2019268-jv","Xem chi tiết")</f>
        <v/>
      </c>
      <c r="O7952" s="10" t="n"/>
    </row>
    <row r="7953">
      <c r="B7953" s="7" t="n">
        <v>7951</v>
      </c>
      <c r="C7953" t="inlineStr">
        <is>
          <t>Treasury Executive</t>
        </is>
      </c>
      <c r="D7953" t="inlineStr">
        <is>
          <t>Shinhan Vietnam Finance Company Limited</t>
        </is>
      </c>
      <c r="E7953" t="inlineStr">
        <is>
          <t>Thương lượng</t>
        </is>
      </c>
      <c r="F7953" t="inlineStr">
        <is>
          <t>Hồ Chí Minh</t>
        </is>
      </c>
      <c r="G7953" t="inlineStr">
        <is>
          <t>Nhân viên</t>
        </is>
      </c>
      <c r="H7953" t="inlineStr">
        <is>
          <t>06/03/2026</t>
        </is>
      </c>
      <c r="I7953" t="inlineStr">
        <is>
          <t>05/04/2026</t>
        </is>
      </c>
      <c r="J7953" t="inlineStr">
        <is>
          <t>17/03/2026</t>
        </is>
      </c>
      <c r="K7953" t="inlineStr">
        <is>
          <t>N/A</t>
        </is>
      </c>
      <c r="L7953" t="inlineStr">
        <is>
          <t>Communication Skills, English Speaking, Financial Literacy, Interpersonal Skills, Team Work</t>
        </is>
      </c>
      <c r="M7953" t="inlineStr">
        <is>
          <t>Bonus, Healthcare Plan, Paid Leave, Training, Library, Laptop, Travel Opportunities, Canteen</t>
        </is>
      </c>
      <c r="N7953" s="8">
        <f>HYPERLINK("https://www.vietnamworks.com/treasury-executive-2019265-jv","Xem chi tiết")</f>
        <v/>
      </c>
    </row>
    <row r="7954">
      <c r="B7954" s="9" t="n">
        <v>7952</v>
      </c>
      <c r="C7954" s="10" t="inlineStr">
        <is>
          <t>Software Developer</t>
        </is>
      </c>
      <c r="D7954" s="10" t="inlineStr">
        <is>
          <t>Manulife IT Delivery Center Vietnam Company Limited</t>
        </is>
      </c>
      <c r="E7954" s="10" t="inlineStr">
        <is>
          <t>Thương lượng</t>
        </is>
      </c>
      <c r="F7954" s="10" t="inlineStr">
        <is>
          <t>Hồ Chí Minh</t>
        </is>
      </c>
      <c r="G7954" s="10" t="inlineStr">
        <is>
          <t>Nhân viên</t>
        </is>
      </c>
      <c r="H7954" s="10" t="inlineStr">
        <is>
          <t>06/03/2026</t>
        </is>
      </c>
      <c r="I7954" s="10" t="inlineStr">
        <is>
          <t>05/04/2026</t>
        </is>
      </c>
      <c r="J7954" s="10" t="inlineStr">
        <is>
          <t>17/03/2026</t>
        </is>
      </c>
      <c r="K7954" s="10" t="inlineStr">
        <is>
          <t>N/A</t>
        </is>
      </c>
      <c r="L7954" s="10" t="inlineStr">
        <is>
          <t>Backend, Front End, FullStack, Lập Trình Viên</t>
        </is>
      </c>
      <c r="M7954" s="10" t="inlineStr">
        <is>
          <t>Bonus, Healthcare Plan, Paid Leave, Training, Others</t>
        </is>
      </c>
      <c r="N7954" s="11">
        <f>HYPERLINK("https://www.vietnamworks.com/software-developer-2019271-jv","Xem chi tiết")</f>
        <v/>
      </c>
      <c r="O7954" s="10" t="n"/>
    </row>
    <row r="7955">
      <c r="B7955" s="7" t="n">
        <v>7953</v>
      </c>
      <c r="C7955" t="inlineStr">
        <is>
          <t>EHS Engineer Vietnam</t>
        </is>
      </c>
      <c r="D7955" t="inlineStr">
        <is>
          <t>Công Ty TNHH Polarium Việt Nam</t>
        </is>
      </c>
      <c r="E7955" t="inlineStr">
        <is>
          <t>25tr-35tr ₫/tháng</t>
        </is>
      </c>
      <c r="F7955" t="inlineStr">
        <is>
          <t>Hải Phòng</t>
        </is>
      </c>
      <c r="G7955" t="inlineStr">
        <is>
          <t>Nhân viên</t>
        </is>
      </c>
      <c r="H7955" t="inlineStr">
        <is>
          <t>06/03/2026</t>
        </is>
      </c>
      <c r="I7955" t="inlineStr">
        <is>
          <t>05/04/2026</t>
        </is>
      </c>
      <c r="J7955" t="inlineStr">
        <is>
          <t>17/03/2026</t>
        </is>
      </c>
      <c r="K7955" t="inlineStr">
        <is>
          <t>N/A</t>
        </is>
      </c>
      <c r="L7955" t="inlineStr">
        <is>
          <t>Failure Analysis, Productivity Improvement, EHS Assessment, Hazard Control, ISO Standard</t>
        </is>
      </c>
      <c r="M7955" t="inlineStr">
        <is>
          <t>Healthcare Plan, Transportation, Others</t>
        </is>
      </c>
      <c r="N7955" s="8">
        <f>HYPERLINK("https://www.vietnamworks.com/ehs-engineer-vietnam-2019279-jv","Xem chi tiết")</f>
        <v/>
      </c>
    </row>
    <row r="7956">
      <c r="B7956" s="9" t="n">
        <v>7954</v>
      </c>
      <c r="C7956" s="10" t="inlineStr">
        <is>
          <t>Giám Đốc Trung Tâm Khách Hàng Cá Nhân - KV Bình Dương, Đồng Tháp - RB - MSB - 4X013</t>
        </is>
      </c>
      <c r="D7956" s="10" t="inlineStr">
        <is>
          <t>Ngân Hàng Thương Mại Cổ Phần Hàng Hải Việt Nam (MSB)</t>
        </is>
      </c>
      <c r="E7956" s="10" t="inlineStr">
        <is>
          <t>Thương lượng</t>
        </is>
      </c>
      <c r="F7956" s="10" t="inlineStr">
        <is>
          <t>Bình Dương, Đà Nẵng, Đồng Tháp</t>
        </is>
      </c>
      <c r="G7956" s="10" t="inlineStr">
        <is>
          <t>Giám Đốc và Cấp Cao Hơn</t>
        </is>
      </c>
      <c r="H7956" s="10" t="inlineStr">
        <is>
          <t>06/03/2026</t>
        </is>
      </c>
      <c r="I7956" s="10" t="inlineStr">
        <is>
          <t>05/04/2026</t>
        </is>
      </c>
      <c r="J7956" s="10" t="inlineStr">
        <is>
          <t>17/03/2026</t>
        </is>
      </c>
      <c r="K7956" s="10" t="inlineStr">
        <is>
          <t>N/A</t>
        </is>
      </c>
      <c r="L7956" s="10" t="inlineStr">
        <is>
          <t>Giao Tiếp Tiếng Anh, Kinh Doanh, Quản Trị Khách Hàng, Tin Học Văn Phòng, Đàm Phán</t>
        </is>
      </c>
      <c r="M7956" s="10" t="inlineStr">
        <is>
          <t>Bonus, Healthcare Plan, Paid Leave, Training, Laptop, Travel Opportunities, Others</t>
        </is>
      </c>
      <c r="N7956" s="11">
        <f>HYPERLINK("https://www.vietnamworks.com/giam-djoc-trung-tam-khach-hang-ca-nhan-kv-binh-duong-djong-thap-rb-msb-4x013-2019280-jv","Xem chi tiết")</f>
        <v/>
      </c>
      <c r="O7956" s="10" t="n"/>
    </row>
    <row r="7957">
      <c r="B7957" s="7" t="n">
        <v>7955</v>
      </c>
      <c r="C7957" t="inlineStr">
        <is>
          <t>Sourcing Lead (Decor)</t>
        </is>
      </c>
      <c r="D7957" t="inlineStr">
        <is>
          <t>Article</t>
        </is>
      </c>
      <c r="E7957" t="inlineStr">
        <is>
          <t>80tr-110tr ₫/tháng</t>
        </is>
      </c>
      <c r="F7957" t="inlineStr">
        <is>
          <t>Hồ Chí Minh</t>
        </is>
      </c>
      <c r="G7957" t="inlineStr">
        <is>
          <t>Trưởng phòng</t>
        </is>
      </c>
      <c r="H7957" t="inlineStr">
        <is>
          <t>06/03/2026</t>
        </is>
      </c>
      <c r="I7957" t="inlineStr">
        <is>
          <t>05/04/2026</t>
        </is>
      </c>
      <c r="J7957" t="inlineStr">
        <is>
          <t>17/03/2026</t>
        </is>
      </c>
      <c r="K7957" t="inlineStr">
        <is>
          <t>N/A</t>
        </is>
      </c>
      <c r="L7957" t="inlineStr">
        <is>
          <t>Communication, Leadership, Negotiation Skills, Sourcing, Sourcing Management</t>
        </is>
      </c>
      <c r="M7957" t="inlineStr">
        <is>
          <t>Bonus, Healthcare Plan, Paid Leave, Training, Laptop, Others</t>
        </is>
      </c>
      <c r="N7957" s="8">
        <f>HYPERLINK("https://www.vietnamworks.com/sourcing-lead-decor-2019275-jv","Xem chi tiết")</f>
        <v/>
      </c>
    </row>
    <row r="7958">
      <c r="B7958" s="9" t="n">
        <v>7956</v>
      </c>
      <c r="C7958" s="10" t="inlineStr">
        <is>
          <t>QA-QC (Chuyên Ngành Công Nghệ Thực Phẩm)</t>
        </is>
      </c>
      <c r="D7958" s="10" t="inlineStr">
        <is>
          <t>Công Ty Cổ Phần Tập Đoàn Trân Châu</t>
        </is>
      </c>
      <c r="E7958" s="10" t="inlineStr">
        <is>
          <t>$$ 400-700 /tháng</t>
        </is>
      </c>
      <c r="F7958" s="10" t="inlineStr">
        <is>
          <t>Hồ Chí Minh</t>
        </is>
      </c>
      <c r="G7958" s="10" t="inlineStr">
        <is>
          <t>Nhân viên</t>
        </is>
      </c>
      <c r="H7958" s="10" t="inlineStr">
        <is>
          <t>06/03/2026</t>
        </is>
      </c>
      <c r="I7958" s="10" t="inlineStr">
        <is>
          <t>05/04/2026</t>
        </is>
      </c>
      <c r="J7958" s="10" t="inlineStr">
        <is>
          <t>17/03/2026</t>
        </is>
      </c>
      <c r="K7958" s="10" t="inlineStr">
        <is>
          <t>N/A</t>
        </is>
      </c>
      <c r="L7958" s="10" t="inlineStr">
        <is>
          <t>QA, QC, sản xuất thực phẩm, Công Nghệ Thực Phẩm, ISO &amp; AATCC testing</t>
        </is>
      </c>
      <c r="M7958" s="10" t="inlineStr">
        <is>
          <t>Bonus, Healthcare Plan</t>
        </is>
      </c>
      <c r="N7958" s="11">
        <f>HYPERLINK("https://www.vietnamworks.com/qa-qc-chuyen-nganh-cong-nghe-thuc-pham--2019278-jv","Xem chi tiết")</f>
        <v/>
      </c>
      <c r="O7958" s="10" t="n"/>
    </row>
    <row r="7959">
      <c r="B7959" s="7" t="n">
        <v>7957</v>
      </c>
      <c r="C7959" t="inlineStr">
        <is>
          <t>Garment Merchandiser (10 Triệu - 20 Triệu/ Tháng)</t>
        </is>
      </c>
      <c r="D7959" t="inlineStr">
        <is>
          <t>Công Ty CP May Mặc Qtnp</t>
        </is>
      </c>
      <c r="E7959" t="inlineStr">
        <is>
          <t>$$ 450-800 /tháng</t>
        </is>
      </c>
      <c r="F7959" t="inlineStr">
        <is>
          <t>Hà Nội</t>
        </is>
      </c>
      <c r="G7959" t="inlineStr">
        <is>
          <t>Mới Tốt Nghiệp</t>
        </is>
      </c>
      <c r="H7959" t="inlineStr">
        <is>
          <t>06/03/2026</t>
        </is>
      </c>
      <c r="I7959" t="inlineStr">
        <is>
          <t>05/04/2026</t>
        </is>
      </c>
      <c r="J7959" t="inlineStr">
        <is>
          <t>17/03/2026</t>
        </is>
      </c>
      <c r="K7959" t="inlineStr">
        <is>
          <t>N/A</t>
        </is>
      </c>
      <c r="L7959" t="inlineStr">
        <is>
          <t>Purchase Management, English, Material Sourcing, Order Management, Sample Development</t>
        </is>
      </c>
      <c r="M7959" t="inlineStr">
        <is>
          <t>Bonus, Training, Others</t>
        </is>
      </c>
      <c r="N7959" s="8">
        <f>HYPERLINK("https://www.vietnamworks.com/garment-merchandiser-10-trieu-20-trieu-thang--2019276-jv","Xem chi tiết")</f>
        <v/>
      </c>
    </row>
    <row r="7960">
      <c r="B7960" s="9" t="n">
        <v>7958</v>
      </c>
      <c r="C7960" s="10" t="inlineStr">
        <is>
          <t>Kỹ Sư Thiết Kế Cơ Khí - Phỏng Vấn Đi Làm Ngay</t>
        </is>
      </c>
      <c r="D7960" s="10" t="inlineStr">
        <is>
          <t>CÔNG TY CỔ PHẦN AMECC ENGINEERING</t>
        </is>
      </c>
      <c r="E7960" s="10" t="inlineStr">
        <is>
          <t>Tới $ 25tr /tháng</t>
        </is>
      </c>
      <c r="F7960" s="10" t="inlineStr">
        <is>
          <t>Hà Nội</t>
        </is>
      </c>
      <c r="G7960" s="10" t="inlineStr">
        <is>
          <t>Nhân viên</t>
        </is>
      </c>
      <c r="H7960" s="10" t="inlineStr">
        <is>
          <t>06/03/2026</t>
        </is>
      </c>
      <c r="I7960" s="10" t="inlineStr">
        <is>
          <t>05/04/2026</t>
        </is>
      </c>
      <c r="J7960" s="10" t="inlineStr">
        <is>
          <t>17/03/2026</t>
        </is>
      </c>
      <c r="K7960" s="10" t="inlineStr">
        <is>
          <t>N/A</t>
        </is>
      </c>
      <c r="L7960" s="10" t="inlineStr">
        <is>
          <t>Auto Cad, Tekla Structures, Tiếng Anh, Cơ Khí, Thiết Kế Kết Cấu</t>
        </is>
      </c>
      <c r="M7960" s="10" t="inlineStr">
        <is>
          <t>Bonus, Healthcare Plan, Team Activities</t>
        </is>
      </c>
      <c r="N7960" s="11">
        <f>HYPERLINK("https://www.vietnamworks.com/ky-su-thiet-ke-co-khi-phong-van-di-lam-ngay-2019290-jv","Xem chi tiết")</f>
        <v/>
      </c>
      <c r="O7960" s="10" t="n"/>
    </row>
    <row r="7961">
      <c r="B7961" s="7" t="n">
        <v>7959</v>
      </c>
      <c r="C7961" t="inlineStr">
        <is>
          <t>Kế Toán Tổng Hợp</t>
        </is>
      </c>
      <c r="D7961" t="inlineStr">
        <is>
          <t>CÔNG TY TNHH PHÒNG KHÁM ĐA KHOA HẠNH PHÚC</t>
        </is>
      </c>
      <c r="E7961" t="inlineStr">
        <is>
          <t>$$ 500-600 /tháng</t>
        </is>
      </c>
      <c r="F7961" t="inlineStr">
        <is>
          <t>Hồ Chí Minh</t>
        </is>
      </c>
      <c r="G7961" t="inlineStr">
        <is>
          <t>Nhân viên</t>
        </is>
      </c>
      <c r="H7961" t="inlineStr">
        <is>
          <t>06/03/2026</t>
        </is>
      </c>
      <c r="I7961" t="inlineStr">
        <is>
          <t>05/04/2026</t>
        </is>
      </c>
      <c r="J7961" t="inlineStr">
        <is>
          <t>17/03/2026</t>
        </is>
      </c>
      <c r="K7961" t="inlineStr">
        <is>
          <t>N/A</t>
        </is>
      </c>
      <c r="L7961" t="inlineStr">
        <is>
          <t>Kế Toán Tổng Hợp, Kế Toán, Báo Cáo Tài Chính, Tài Chính, Tài Chính Kế Toán</t>
        </is>
      </c>
      <c r="M7961" t="inlineStr">
        <is>
          <t>Healthcare Plan, Paid Leave</t>
        </is>
      </c>
      <c r="N7961" s="8">
        <f>HYPERLINK("https://www.vietnamworks.com/ke-toan-tong-hop--2019285-jv","Xem chi tiết")</f>
        <v/>
      </c>
    </row>
    <row r="7962">
      <c r="B7962" s="9" t="n">
        <v>7960</v>
      </c>
      <c r="C7962" s="10" t="inlineStr">
        <is>
          <t>Nhân Viên Hỗ Trợ Dự Án Bất Động Sản KCN (Tiếng Hàn - Thu Nhập 30-35 Triệu)</t>
        </is>
      </c>
      <c r="D7962" s="10" t="inlineStr">
        <is>
          <t>iMarket Viet Nam Co., Ltd</t>
        </is>
      </c>
      <c r="E7962" s="10" t="inlineStr">
        <is>
          <t>30tr-35tr ₫/tháng</t>
        </is>
      </c>
      <c r="F7962" s="10" t="inlineStr">
        <is>
          <t>Hà Nội, Phú Thọ</t>
        </is>
      </c>
      <c r="G7962" s="10" t="inlineStr">
        <is>
          <t>Nhân viên</t>
        </is>
      </c>
      <c r="H7962" s="10" t="inlineStr">
        <is>
          <t>06/03/2026</t>
        </is>
      </c>
      <c r="I7962" s="10" t="inlineStr">
        <is>
          <t>05/04/2026</t>
        </is>
      </c>
      <c r="J7962" s="10" t="inlineStr">
        <is>
          <t>17/03/2026</t>
        </is>
      </c>
      <c r="K7962" s="10" t="inlineStr">
        <is>
          <t>N/A</t>
        </is>
      </c>
      <c r="L7962" s="10" t="inlineStr">
        <is>
          <t>Biên Dịch, Kỹ năng đa nhiệm, Hỗ Trợ Dự Án, Tiếng Hàn, Topik 5</t>
        </is>
      </c>
      <c r="M7962" s="10" t="inlineStr">
        <is>
          <t>Bonus, Training, Team Activities</t>
        </is>
      </c>
      <c r="N7962" s="11">
        <f>HYPERLINK("https://www.vietnamworks.com/nhan-vien-ho-tro-du-an-bat-djong-san-kcn-tieng-han-thu-nhap-30-35-trieu-2019284-jv","Xem chi tiết")</f>
        <v/>
      </c>
      <c r="O7962" s="10" t="n"/>
    </row>
    <row r="7963">
      <c r="B7963" s="7" t="n">
        <v>7961</v>
      </c>
      <c r="C7963" t="inlineStr">
        <is>
          <t>Nhân Viên Kinh Doanh Xuất Khẩu</t>
        </is>
      </c>
      <c r="D7963" t="inlineStr">
        <is>
          <t>Công ty Cổ phần Gạch Men Ý Mỹ</t>
        </is>
      </c>
      <c r="E7963" t="inlineStr">
        <is>
          <t>Thương lượng</t>
        </is>
      </c>
      <c r="F7963" t="inlineStr">
        <is>
          <t>Hồ Chí Minh</t>
        </is>
      </c>
      <c r="G7963" t="inlineStr">
        <is>
          <t>Nhân viên</t>
        </is>
      </c>
      <c r="H7963" t="inlineStr">
        <is>
          <t>06/03/2026</t>
        </is>
      </c>
      <c r="I7963" t="inlineStr">
        <is>
          <t>05/04/2026</t>
        </is>
      </c>
      <c r="J7963" t="inlineStr">
        <is>
          <t>17/03/2026</t>
        </is>
      </c>
      <c r="K7963" t="inlineStr">
        <is>
          <t>N/A</t>
        </is>
      </c>
      <c r="L7963" t="inlineStr">
        <is>
          <t>Kỹ năng bán hàng, Kỹ Năng Lãnh Đạo Đội Nhóm, Kỹ năng quan sát và phân tích vấn đề, Kỹ Năng Thương Thảo Tốt</t>
        </is>
      </c>
      <c r="M7963" t="inlineStr">
        <is>
          <t>Bonus</t>
        </is>
      </c>
      <c r="N7963" s="8">
        <f>HYPERLINK("https://www.vietnamworks.com/nhan-vien-kinh-doanh-xuat-khau-2019289-jv","Xem chi tiết")</f>
        <v/>
      </c>
    </row>
    <row r="7964">
      <c r="B7964" s="9" t="n">
        <v>7962</v>
      </c>
      <c r="C7964" s="10" t="inlineStr">
        <is>
          <t>Real Estate Sales Executive (International Clients) - Fresh Graduates Welcome - High Commission Opportunity</t>
        </is>
      </c>
      <c r="D7964" s="10" t="inlineStr">
        <is>
          <t>Alliance Real Estate &amp; Management</t>
        </is>
      </c>
      <c r="E7964" s="10" t="inlineStr">
        <is>
          <t>$$ 500-5,000 /tháng</t>
        </is>
      </c>
      <c r="F7964" s="10" t="inlineStr">
        <is>
          <t>Hồ Chí Minh</t>
        </is>
      </c>
      <c r="G7964" s="10" t="inlineStr">
        <is>
          <t>Mới Tốt Nghiệp</t>
        </is>
      </c>
      <c r="H7964" s="10" t="inlineStr">
        <is>
          <t>06/03/2026</t>
        </is>
      </c>
      <c r="I7964" s="10" t="inlineStr">
        <is>
          <t>05/04/2026</t>
        </is>
      </c>
      <c r="J7964" s="10" t="inlineStr">
        <is>
          <t>17/03/2026</t>
        </is>
      </c>
      <c r="K7964" s="10" t="inlineStr">
        <is>
          <t>N/A</t>
        </is>
      </c>
      <c r="L7964" s="10" t="inlineStr">
        <is>
          <t>Leasing Process, Real Estate, Japanese, Bất Động Sản, Korean</t>
        </is>
      </c>
      <c r="M7964" s="10" t="inlineStr">
        <is>
          <t>Bonus, Healthcare Plan, Team Activities</t>
        </is>
      </c>
      <c r="N7964" s="11">
        <f>HYPERLINK("https://www.vietnamworks.com/real-estate-sales-executive-international-clients-fresh-graduates-welcome-high-commission-opportunity-2019292-jv","Xem chi tiết")</f>
        <v/>
      </c>
      <c r="O7964" s="10" t="n"/>
    </row>
    <row r="7965">
      <c r="B7965" s="7" t="n">
        <v>7963</v>
      </c>
      <c r="C7965" t="inlineStr">
        <is>
          <t>Purchasing Executive</t>
        </is>
      </c>
      <c r="D7965" t="inlineStr">
        <is>
          <t>Unigen Vietnam Hanoi Co.Ltd</t>
        </is>
      </c>
      <c r="E7965" t="inlineStr">
        <is>
          <t>Thương lượng</t>
        </is>
      </c>
      <c r="F7965" t="inlineStr">
        <is>
          <t>Bắc Ninh, Hưng Yên, Hà Nội</t>
        </is>
      </c>
      <c r="G7965" t="inlineStr">
        <is>
          <t>Mới Tốt Nghiệp</t>
        </is>
      </c>
      <c r="H7965" t="inlineStr">
        <is>
          <t>06/03/2026</t>
        </is>
      </c>
      <c r="I7965" t="inlineStr">
        <is>
          <t>05/04/2026</t>
        </is>
      </c>
      <c r="J7965" t="inlineStr">
        <is>
          <t>17/03/2026</t>
        </is>
      </c>
      <c r="K7965" t="inlineStr">
        <is>
          <t>N/A</t>
        </is>
      </c>
      <c r="L7965" t="inlineStr">
        <is>
          <t>English, Raw Materials, Purchasing, Negotiation, Purchasing Logistics</t>
        </is>
      </c>
      <c r="M7965" t="inlineStr">
        <is>
          <t>Bonus, Healthcare Plan, Paid Leave</t>
        </is>
      </c>
      <c r="N7965" s="8">
        <f>HYPERLINK("https://www.vietnamworks.com/purchasing-executive--2019286-jv","Xem chi tiết")</f>
        <v/>
      </c>
    </row>
    <row r="7966">
      <c r="B7966" s="9" t="n">
        <v>7964</v>
      </c>
      <c r="C7966" s="10" t="inlineStr">
        <is>
          <t>Expert, Financial Control</t>
        </is>
      </c>
      <c r="D7966" s="10" t="inlineStr">
        <is>
          <t>Techcombank</t>
        </is>
      </c>
      <c r="E7966" s="10" t="inlineStr">
        <is>
          <t>Thương lượng</t>
        </is>
      </c>
      <c r="F7966" s="10" t="inlineStr">
        <is>
          <t>Hà Nội</t>
        </is>
      </c>
      <c r="G7966" s="10" t="inlineStr">
        <is>
          <t>Nhân viên</t>
        </is>
      </c>
      <c r="H7966" s="10" t="inlineStr">
        <is>
          <t>06/03/2026</t>
        </is>
      </c>
      <c r="I7966" s="10" t="inlineStr">
        <is>
          <t>05/04/2026</t>
        </is>
      </c>
      <c r="J7966" s="10" t="inlineStr">
        <is>
          <t>17/03/2026</t>
        </is>
      </c>
      <c r="K7966" s="10" t="inlineStr">
        <is>
          <t>N/A</t>
        </is>
      </c>
      <c r="L7966" s="10" t="inlineStr">
        <is>
          <t>Risk Management, Financial Control, Accounting, Banking, Finance</t>
        </is>
      </c>
      <c r="M7966" s="10" t="inlineStr">
        <is>
          <t>Bonus</t>
        </is>
      </c>
      <c r="N7966" s="11">
        <f>HYPERLINK("https://www.vietnamworks.com/expert-financial-control-2019282-jv","Xem chi tiết")</f>
        <v/>
      </c>
      <c r="O7966" s="10" t="n"/>
    </row>
    <row r="7967">
      <c r="B7967" s="7" t="n">
        <v>7965</v>
      </c>
      <c r="C7967" t="inlineStr">
        <is>
          <t>Nhân Viên Kinh Doanh - Sales Admin</t>
        </is>
      </c>
      <c r="D7967" t="inlineStr">
        <is>
          <t>Công Ty TNHH Thiết Bị Công Nghiệp Và Xây Dựng Gh</t>
        </is>
      </c>
      <c r="E7967" t="inlineStr">
        <is>
          <t>10tr-20tr ₫/tháng</t>
        </is>
      </c>
      <c r="F7967" t="inlineStr">
        <is>
          <t>Hà Nội</t>
        </is>
      </c>
      <c r="G7967" t="inlineStr">
        <is>
          <t>Nhân viên</t>
        </is>
      </c>
      <c r="H7967" t="inlineStr">
        <is>
          <t>06/03/2026</t>
        </is>
      </c>
      <c r="I7967" t="inlineStr">
        <is>
          <t>05/04/2026</t>
        </is>
      </c>
      <c r="J7967" t="inlineStr">
        <is>
          <t>17/03/2026</t>
        </is>
      </c>
      <c r="K7967" t="inlineStr">
        <is>
          <t>N/A</t>
        </is>
      </c>
      <c r="L7967" t="inlineStr">
        <is>
          <t>Giao Tiếp Khách Hàng, Bán Hàng, Tiếng Anh, Kinh Doanh, Đàm Phán</t>
        </is>
      </c>
      <c r="M7967" t="inlineStr">
        <is>
          <t>Bonus, Laptop, Mobile</t>
        </is>
      </c>
      <c r="N7967" s="8">
        <f>HYPERLINK("https://www.vietnamworks.com/nhan-vien-kinh-doanh-sales-admin--2019297-jv","Xem chi tiết")</f>
        <v/>
      </c>
    </row>
    <row r="7968">
      <c r="B7968" s="9" t="n">
        <v>7966</v>
      </c>
      <c r="C7968" s="10" t="inlineStr">
        <is>
          <t>Kế Toán Tổng Hợp (Lương $1.000-$1.500)</t>
        </is>
      </c>
      <c r="D7968" s="10" t="inlineStr">
        <is>
          <t>Vietnamworks' Client</t>
        </is>
      </c>
      <c r="E7968" s="10" t="inlineStr">
        <is>
          <t>$$ 1,000-1,500 /tháng</t>
        </is>
      </c>
      <c r="F7968" s="10" t="inlineStr">
        <is>
          <t>Hà Nội</t>
        </is>
      </c>
      <c r="G7968" s="10" t="inlineStr">
        <is>
          <t>Trưởng phòng</t>
        </is>
      </c>
      <c r="H7968" s="10" t="inlineStr">
        <is>
          <t>06/03/2026</t>
        </is>
      </c>
      <c r="I7968" s="10" t="inlineStr">
        <is>
          <t>05/04/2026</t>
        </is>
      </c>
      <c r="J7968" s="10" t="inlineStr">
        <is>
          <t>17/03/2026</t>
        </is>
      </c>
      <c r="K7968" s="10" t="inlineStr">
        <is>
          <t>N/A</t>
        </is>
      </c>
      <c r="L7968" s="10" t="inlineStr">
        <is>
          <t>Kế Toán Tổng Hợp, Kế Toán, Báo Cáo Tài Chính, Thuế GTGT, TNDN, TNCN, Kế Toán Trưởng</t>
        </is>
      </c>
      <c r="M7968" s="10" t="inlineStr">
        <is>
          <t>Bonus, Training, Others</t>
        </is>
      </c>
      <c r="N7968" s="11">
        <f>HYPERLINK("https://www.vietnamworks.com/ke-toan-tong-hop-luong-1-000-1-500-2019296-jv","Xem chi tiết")</f>
        <v/>
      </c>
      <c r="O7968" s="10" t="n"/>
    </row>
    <row r="7969">
      <c r="B7969" s="7" t="n">
        <v>7967</v>
      </c>
      <c r="C7969" t="inlineStr">
        <is>
          <t>TUYỂN KỸ SƯ HIỆN TRƯỜNG - ĐI LÀM NGAY</t>
        </is>
      </c>
      <c r="D7969" t="inlineStr">
        <is>
          <t>CÔNG TY TNHH XÂY DỰNG TMT VIỆT NAM</t>
        </is>
      </c>
      <c r="E7969" t="inlineStr">
        <is>
          <t>13tr-20tr ₫/tháng</t>
        </is>
      </c>
      <c r="F7969" t="inlineStr">
        <is>
          <t>Hà Nội</t>
        </is>
      </c>
      <c r="G7969" t="inlineStr">
        <is>
          <t>Nhân viên</t>
        </is>
      </c>
      <c r="H7969" t="inlineStr">
        <is>
          <t>06/03/2026</t>
        </is>
      </c>
      <c r="I7969" t="inlineStr">
        <is>
          <t>05/04/2026</t>
        </is>
      </c>
      <c r="J7969" t="inlineStr">
        <is>
          <t>17/03/2026</t>
        </is>
      </c>
      <c r="K7969" t="inlineStr">
        <is>
          <t>N/A</t>
        </is>
      </c>
      <c r="L7969" t="inlineStr">
        <is>
          <t>Chịu Được Áp Lực, CÓ trách nhiệm với công việc, Sẵn Sàng Đi Công Tác, Đọc Hiểu Bản Vẽ Kỹ Thuật</t>
        </is>
      </c>
      <c r="M7969" t="inlineStr">
        <is>
          <t>Bonus, Healthcare Plan, Paid Leave, Training, Awards</t>
        </is>
      </c>
      <c r="N7969" s="8">
        <f>HYPERLINK("https://www.vietnamworks.com/tuyen-ky-su-hien-truong-dji-lam-ngay-2019287-jv","Xem chi tiết")</f>
        <v/>
      </c>
    </row>
    <row r="7970">
      <c r="B7970" s="9" t="n">
        <v>7968</v>
      </c>
      <c r="C7970" s="10" t="inlineStr">
        <is>
          <t>Trình Dược Viên (Kênh Bệnh Viện ETC) - Ngành Hàng Dược Phẩm - Hồ Chí Minh / Hà Nội</t>
        </is>
      </c>
      <c r="D7970" s="10" t="inlineStr">
        <is>
          <t>Abbott</t>
        </is>
      </c>
      <c r="E7970" s="10" t="inlineStr">
        <is>
          <t>Thương lượng</t>
        </is>
      </c>
      <c r="F7970" s="10" t="inlineStr">
        <is>
          <t>Hà Nội, Hồ Chí Minh</t>
        </is>
      </c>
      <c r="G7970" s="10" t="inlineStr">
        <is>
          <t>Nhân viên</t>
        </is>
      </c>
      <c r="H7970" s="10" t="inlineStr">
        <is>
          <t>06/03/2026</t>
        </is>
      </c>
      <c r="I7970" s="10" t="inlineStr">
        <is>
          <t>05/04/2026</t>
        </is>
      </c>
      <c r="J7970" s="10" t="inlineStr">
        <is>
          <t>17/03/2026</t>
        </is>
      </c>
      <c r="K7970" s="10" t="inlineStr">
        <is>
          <t>N/A</t>
        </is>
      </c>
      <c r="L7970" s="10" t="inlineStr">
        <is>
          <t>Bán Hàng, Trình dược viên ETC, Bán Hàng Kênh Bệnh Viện</t>
        </is>
      </c>
      <c r="M7970" s="10" t="inlineStr">
        <is>
          <t>Bonus, Healthcare Plan, Training</t>
        </is>
      </c>
      <c r="N7970" s="11">
        <f>HYPERLINK("https://www.vietnamworks.com/trinh-duoc-vien-kenh-benh-vien-etc-nganh-hang-duoc-pham-ho-chi-minh-ha-noi--2019301-jv","Xem chi tiết")</f>
        <v/>
      </c>
      <c r="O7970" s="10" t="n"/>
    </row>
    <row r="7971">
      <c r="B7971" s="7" t="n">
        <v>7969</v>
      </c>
      <c r="C7971" t="inlineStr">
        <is>
          <t>Trưởng Ca Vận Hành Nhà Máy Thuỷ Điện</t>
        </is>
      </c>
      <c r="D7971" t="inlineStr">
        <is>
          <t>Công Ty Cổ Phần Sông Cầu</t>
        </is>
      </c>
      <c r="E7971" t="inlineStr">
        <is>
          <t>17tr-22tr ₫/tháng</t>
        </is>
      </c>
      <c r="F7971" t="inlineStr">
        <is>
          <t>Quảng Trị, Đà Nẵng, Hồ Chí Minh</t>
        </is>
      </c>
      <c r="G7971" t="inlineStr">
        <is>
          <t>Nhân viên</t>
        </is>
      </c>
      <c r="H7971" t="inlineStr">
        <is>
          <t>06/03/2026</t>
        </is>
      </c>
      <c r="I7971" t="inlineStr">
        <is>
          <t>05/04/2026</t>
        </is>
      </c>
      <c r="J7971" t="inlineStr">
        <is>
          <t>17/03/2026</t>
        </is>
      </c>
      <c r="K7971" t="inlineStr">
        <is>
          <t>N/A</t>
        </is>
      </c>
      <c r="L7971" t="inlineStr">
        <is>
          <t>Vận Hành Nhà Máy, Xử Lý Sự Cố, Vận Hành Thuỷ Điện, Điện, Sửa Chữa Khắc Phục</t>
        </is>
      </c>
      <c r="M7971" t="inlineStr">
        <is>
          <t>Bonus, Canteen, Others</t>
        </is>
      </c>
      <c r="N7971" s="8">
        <f>HYPERLINK("https://www.vietnamworks.com/truong-ca-van-hanh-nha-may-thuy-dien--2019299-jv","Xem chi tiết")</f>
        <v/>
      </c>
    </row>
    <row r="7972">
      <c r="B7972" s="9" t="n">
        <v>7970</v>
      </c>
      <c r="C7972" s="10" t="inlineStr">
        <is>
          <t>Business Development Executive (Experienced in Finance/saas)</t>
        </is>
      </c>
      <c r="D7972" s="10" t="inlineStr">
        <is>
          <t>Fiingroup</t>
        </is>
      </c>
      <c r="E7972" s="10" t="inlineStr">
        <is>
          <t>$$ 800-1,500 /tháng</t>
        </is>
      </c>
      <c r="F7972" s="10" t="inlineStr">
        <is>
          <t>Hà Nội</t>
        </is>
      </c>
      <c r="G7972" s="10" t="inlineStr">
        <is>
          <t>Nhân viên</t>
        </is>
      </c>
      <c r="H7972" s="10" t="inlineStr">
        <is>
          <t>06/03/2026</t>
        </is>
      </c>
      <c r="I7972" s="10" t="inlineStr">
        <is>
          <t>05/04/2026</t>
        </is>
      </c>
      <c r="J7972" s="10" t="inlineStr">
        <is>
          <t>17/03/2026</t>
        </is>
      </c>
      <c r="K7972" s="10" t="inlineStr">
        <is>
          <t>N/A</t>
        </is>
      </c>
      <c r="L7972" s="10" t="inlineStr">
        <is>
          <t>Business Development, B2B Sale, Commercial, SaaS, Sales</t>
        </is>
      </c>
      <c r="M7972" s="10" t="inlineStr">
        <is>
          <t>Healthcare Plan, Training, Travel Opportunities</t>
        </is>
      </c>
      <c r="N7972" s="11">
        <f>HYPERLINK("https://www.vietnamworks.com/business-development-executive-experienced-in-finance-saas-2019294-jv","Xem chi tiết")</f>
        <v/>
      </c>
      <c r="O7972" s="10" t="n"/>
    </row>
    <row r="7973">
      <c r="B7973" s="7" t="n">
        <v>7971</v>
      </c>
      <c r="C7973" t="inlineStr">
        <is>
          <t>Design Engineer (Steel Structure) - Ho Chi Minh Office</t>
        </is>
      </c>
      <c r="D7973" t="inlineStr">
        <is>
          <t>Zamil Steel Vietnam</t>
        </is>
      </c>
      <c r="E7973" t="inlineStr">
        <is>
          <t>Thương lượng</t>
        </is>
      </c>
      <c r="F7973" t="inlineStr">
        <is>
          <t>Hồ Chí Minh</t>
        </is>
      </c>
      <c r="G7973" t="inlineStr">
        <is>
          <t>Mới Tốt Nghiệp</t>
        </is>
      </c>
      <c r="H7973" t="inlineStr">
        <is>
          <t>06/03/2026</t>
        </is>
      </c>
      <c r="I7973" t="inlineStr">
        <is>
          <t>05/04/2026</t>
        </is>
      </c>
      <c r="J7973" t="inlineStr">
        <is>
          <t>17/03/2026</t>
        </is>
      </c>
      <c r="K7973" t="inlineStr">
        <is>
          <t>N/A</t>
        </is>
      </c>
      <c r="L7973" t="inlineStr">
        <is>
          <t>Structural Design, Tekla Structures, SAP2000, AutoCAD, English</t>
        </is>
      </c>
      <c r="M7973" t="inlineStr">
        <is>
          <t>Bonus, Others</t>
        </is>
      </c>
      <c r="N7973" s="8">
        <f>HYPERLINK("https://www.vietnamworks.com/design-engineer-steel-structure-ho-chi-minh-office--2019298-jv","Xem chi tiết")</f>
        <v/>
      </c>
    </row>
    <row r="7974">
      <c r="B7974" s="9" t="n">
        <v>7972</v>
      </c>
      <c r="C7974" s="10" t="inlineStr">
        <is>
          <t>Retail Operation Manager (Brand Stanley)</t>
        </is>
      </c>
      <c r="D7974" s="10" t="inlineStr">
        <is>
          <t>Maison Retail Management International</t>
        </is>
      </c>
      <c r="E7974" s="10" t="inlineStr">
        <is>
          <t>Thương lượng</t>
        </is>
      </c>
      <c r="F7974" s="10" t="inlineStr">
        <is>
          <t>Hồ Chí Minh</t>
        </is>
      </c>
      <c r="G7974" s="10" t="inlineStr">
        <is>
          <t>Trưởng phòng</t>
        </is>
      </c>
      <c r="H7974" s="10" t="inlineStr">
        <is>
          <t>06/03/2026</t>
        </is>
      </c>
      <c r="I7974" s="10" t="inlineStr">
        <is>
          <t>05/04/2026</t>
        </is>
      </c>
      <c r="J7974" s="10" t="inlineStr">
        <is>
          <t>17/03/2026</t>
        </is>
      </c>
      <c r="K7974" s="10" t="inlineStr">
        <is>
          <t>N/A</t>
        </is>
      </c>
      <c r="L7974" s="10" t="inlineStr">
        <is>
          <t>Kế Hoạch Kinh Doanh, Quản Lý Sản Phẩm, Quản Lý Thương Hiệu, Quản Lý Tồn Kho, Quản Lý Trải Nghiệm Khách Hàng</t>
        </is>
      </c>
      <c r="M7974" s="10" t="inlineStr">
        <is>
          <t>Bonus, Awards, Laptop</t>
        </is>
      </c>
      <c r="N7974" s="11">
        <f>HYPERLINK("https://www.vietnamworks.com/retail-operation-manager-brand-stanley-2019293-jv","Xem chi tiết")</f>
        <v/>
      </c>
      <c r="O7974" s="10" t="n"/>
    </row>
    <row r="7975">
      <c r="B7975" s="7" t="n">
        <v>7973</v>
      </c>
      <c r="C7975" t="inlineStr">
        <is>
          <t>Nhân Viên Phiên Dịch Tiếng Hàn</t>
        </is>
      </c>
      <c r="D7975" t="inlineStr">
        <is>
          <t>Seoul Semiconductor Vina</t>
        </is>
      </c>
      <c r="E7975" t="inlineStr">
        <is>
          <t>Thương lượng</t>
        </is>
      </c>
      <c r="F7975" t="inlineStr">
        <is>
          <t>Hà Nam, Hà Nội, Hưng Yên</t>
        </is>
      </c>
      <c r="G7975" t="inlineStr">
        <is>
          <t>Nhân viên</t>
        </is>
      </c>
      <c r="H7975" t="inlineStr">
        <is>
          <t>06/03/2026</t>
        </is>
      </c>
      <c r="I7975" t="inlineStr">
        <is>
          <t>05/04/2026</t>
        </is>
      </c>
      <c r="J7975" t="inlineStr">
        <is>
          <t>17/03/2026</t>
        </is>
      </c>
      <c r="K7975" t="inlineStr">
        <is>
          <t>N/A</t>
        </is>
      </c>
      <c r="L7975" t="inlineStr">
        <is>
          <t>Biên Phiên Dịch, Biên Phiên Dịch Tiếng Hàn, Phiên Dịch Tiếng Hàn, Phiên Dịch Sản Xuất, Korean Language</t>
        </is>
      </c>
      <c r="M7975" t="inlineStr">
        <is>
          <t>Bonus, Laptop, Transportation</t>
        </is>
      </c>
      <c r="N7975" s="8">
        <f>HYPERLINK("https://www.vietnamworks.com/nhan-vien-phien-dich-tieng-han--2019304-jv","Xem chi tiết")</f>
        <v/>
      </c>
    </row>
    <row r="7976">
      <c r="B7976" s="9" t="n">
        <v>7974</v>
      </c>
      <c r="C7976" s="10" t="inlineStr">
        <is>
          <t>Kỹ Sư Thiết Kế - Chế Tạo Máy</t>
        </is>
      </c>
      <c r="D7976" s="10" t="inlineStr">
        <is>
          <t>CÔNG TY CP CÔNG NGHỆ OTANICS</t>
        </is>
      </c>
      <c r="E7976" s="10" t="inlineStr">
        <is>
          <t>Thương lượng</t>
        </is>
      </c>
      <c r="F7976" s="10" t="inlineStr">
        <is>
          <t>Hồ Chí Minh</t>
        </is>
      </c>
      <c r="G7976" s="10" t="inlineStr">
        <is>
          <t>Nhân viên</t>
        </is>
      </c>
      <c r="H7976" s="10" t="inlineStr">
        <is>
          <t>06/03/2026</t>
        </is>
      </c>
      <c r="I7976" s="10" t="inlineStr">
        <is>
          <t>05/04/2026</t>
        </is>
      </c>
      <c r="J7976" s="10" t="inlineStr">
        <is>
          <t>17/03/2026</t>
        </is>
      </c>
      <c r="K7976" s="10" t="inlineStr">
        <is>
          <t>N/A</t>
        </is>
      </c>
      <c r="L7976" s="10" t="inlineStr">
        <is>
          <t>SolidWorks, AutoCAD, Inventor, Mechanical Design, Machine Design</t>
        </is>
      </c>
      <c r="M7976" s="10" t="inlineStr">
        <is>
          <t>Bonus, Healthcare Plan, Training, Team Activities, Others</t>
        </is>
      </c>
      <c r="N7976" s="11">
        <f>HYPERLINK("https://www.vietnamworks.com/ky-su-thiet-ke-che-tao-may-2019308-jv","Xem chi tiết")</f>
        <v/>
      </c>
      <c r="O7976" s="10" t="n"/>
    </row>
    <row r="7977">
      <c r="B7977" s="7" t="n">
        <v>7975</v>
      </c>
      <c r="C7977" t="inlineStr">
        <is>
          <t>Kế Toán Tổng Hợp (General Accountant)</t>
        </is>
      </c>
      <c r="D7977" t="inlineStr">
        <is>
          <t>CÔNG TY TNHH L'ACHARM FOODS</t>
        </is>
      </c>
      <c r="E7977" t="inlineStr">
        <is>
          <t>15tr-25tr ₫/tháng</t>
        </is>
      </c>
      <c r="F7977" t="inlineStr">
        <is>
          <t>Hồ Chí Minh</t>
        </is>
      </c>
      <c r="G7977" t="inlineStr">
        <is>
          <t>Nhân viên</t>
        </is>
      </c>
      <c r="H7977" t="inlineStr">
        <is>
          <t>06/03/2026</t>
        </is>
      </c>
      <c r="I7977" t="inlineStr">
        <is>
          <t>05/04/2026</t>
        </is>
      </c>
      <c r="J7977" t="inlineStr">
        <is>
          <t>17/03/2026</t>
        </is>
      </c>
      <c r="K7977" t="inlineStr">
        <is>
          <t>N/A</t>
        </is>
      </c>
      <c r="L7977" t="inlineStr">
        <is>
          <t>Kế Toán Công Nợ, Kế Toán Thu Chi, MISA, Kế Toán Nội Bộ, General Accounting</t>
        </is>
      </c>
      <c r="M7977" t="inlineStr">
        <is>
          <t>Bonus, Healthcare Plan, Paid Leave, Travel Opportunities</t>
        </is>
      </c>
      <c r="N7977" s="8">
        <f>HYPERLINK("https://www.vietnamworks.com/ke-toan-tong-hop-general-accountant-2019306-jv","Xem chi tiết")</f>
        <v/>
      </c>
    </row>
    <row r="7978">
      <c r="B7978" s="9" t="n">
        <v>7976</v>
      </c>
      <c r="C7978" s="10" t="inlineStr">
        <is>
          <t>Sales Engineer/ Senior Sales Engineer</t>
        </is>
      </c>
      <c r="D7978" s="10" t="inlineStr">
        <is>
          <t>Netzsch Vietnam Limited</t>
        </is>
      </c>
      <c r="E7978" s="10" t="inlineStr">
        <is>
          <t>Thương lượng</t>
        </is>
      </c>
      <c r="F7978" s="10" t="inlineStr">
        <is>
          <t>Hồ Chí Minh</t>
        </is>
      </c>
      <c r="G7978" s="10" t="inlineStr">
        <is>
          <t>Nhân viên</t>
        </is>
      </c>
      <c r="H7978" s="10" t="inlineStr">
        <is>
          <t>06/03/2026</t>
        </is>
      </c>
      <c r="I7978" s="10" t="inlineStr">
        <is>
          <t>05/04/2026</t>
        </is>
      </c>
      <c r="J7978" s="10" t="inlineStr">
        <is>
          <t>17/03/2026</t>
        </is>
      </c>
      <c r="K7978" s="10" t="inlineStr">
        <is>
          <t>N/A</t>
        </is>
      </c>
      <c r="L7978" s="10" t="inlineStr">
        <is>
          <t>Sales Channel Development, Customer Service, Business Development, Phát Triển Thị Trường, Tìm Kiếm Khách Hàng</t>
        </is>
      </c>
      <c r="M7978" s="10" t="inlineStr">
        <is>
          <t>Bonus, Healthcare Plan, Laptop, Others</t>
        </is>
      </c>
      <c r="N7978" s="11">
        <f>HYPERLINK("https://www.vietnamworks.com/sales-engineer-senior-sales-engineer-2019309-jv","Xem chi tiết")</f>
        <v/>
      </c>
      <c r="O7978" s="10" t="n"/>
    </row>
    <row r="7979">
      <c r="B7979" s="7" t="n">
        <v>7977</v>
      </c>
      <c r="C7979" t="inlineStr">
        <is>
          <t>Kĩ Thuật Hiện Trường [ Up to 30Tr]</t>
        </is>
      </c>
      <c r="D7979" t="inlineStr">
        <is>
          <t>Công ty Cổ phần Tập đoàn Tonmat</t>
        </is>
      </c>
      <c r="E7979" t="inlineStr">
        <is>
          <t>18tr-30tr ₫/tháng</t>
        </is>
      </c>
      <c r="F7979" t="inlineStr">
        <is>
          <t>Bắc Ninh</t>
        </is>
      </c>
      <c r="G7979" t="inlineStr">
        <is>
          <t>Nhân viên</t>
        </is>
      </c>
      <c r="H7979" t="inlineStr">
        <is>
          <t>06/03/2026</t>
        </is>
      </c>
      <c r="I7979" t="inlineStr">
        <is>
          <t>05/04/2026</t>
        </is>
      </c>
      <c r="J7979" t="inlineStr">
        <is>
          <t>17/03/2026</t>
        </is>
      </c>
      <c r="K7979" t="inlineStr">
        <is>
          <t>N/A</t>
        </is>
      </c>
      <c r="L7979" t="inlineStr">
        <is>
          <t>AutoCAD, Xây Dựng, Giám Sát Thi Công, Dự Án Công Nghiệp, Đọc Hiểu Bản Vẽ Kỹ Thuật</t>
        </is>
      </c>
      <c r="M7979" t="inlineStr">
        <is>
          <t>Bonus, Healthcare Plan, Others</t>
        </is>
      </c>
      <c r="N7979" s="8">
        <f>HYPERLINK("https://www.vietnamworks.com/ki-thuat-hien-truong-up-to-30tr-2019313-jv","Xem chi tiết")</f>
        <v/>
      </c>
    </row>
    <row r="7980">
      <c r="B7980" s="9" t="n">
        <v>7978</v>
      </c>
      <c r="C7980" s="10" t="inlineStr">
        <is>
          <t>Senior Business Development/ Account Manager (English &amp; Chinese Bi-Languagues Speaking)</t>
        </is>
      </c>
      <c r="D7980" s="10" t="inlineStr">
        <is>
          <t>Avery Dennison Vietnam</t>
        </is>
      </c>
      <c r="E7980" s="10" t="inlineStr">
        <is>
          <t>$$ 1,500-3,500 /tháng</t>
        </is>
      </c>
      <c r="F7980" s="10" t="inlineStr">
        <is>
          <t>Hồ Chí Minh</t>
        </is>
      </c>
      <c r="G7980" s="10" t="inlineStr">
        <is>
          <t>Nhân viên</t>
        </is>
      </c>
      <c r="H7980" s="10" t="inlineStr">
        <is>
          <t>06/03/2026</t>
        </is>
      </c>
      <c r="I7980" s="10" t="inlineStr">
        <is>
          <t>05/04/2026</t>
        </is>
      </c>
      <c r="J7980" s="10" t="inlineStr">
        <is>
          <t>17/03/2026</t>
        </is>
      </c>
      <c r="K7980" s="10" t="inlineStr">
        <is>
          <t>N/A</t>
        </is>
      </c>
      <c r="L7980" s="10" t="inlineStr">
        <is>
          <t>Business Development, B2B Sales, Commercial, Negotiation Techniques</t>
        </is>
      </c>
      <c r="M7980" s="10" t="inlineStr">
        <is>
          <t>Healthcare Plan, Transportation, Canteen</t>
        </is>
      </c>
      <c r="N7980" s="11">
        <f>HYPERLINK("https://www.vietnamworks.com/senior-business-development-account-manager-english-chinese-bi-languagues-speaking--2019318-jv","Xem chi tiết")</f>
        <v/>
      </c>
      <c r="O7980" s="10" t="n"/>
    </row>
    <row r="7981">
      <c r="B7981" s="7" t="n">
        <v>7979</v>
      </c>
      <c r="C7981" t="inlineStr">
        <is>
          <t>Nhân Viên Chất Lượng Công Ty Điện Tử</t>
        </is>
      </c>
      <c r="D7981" t="inlineStr">
        <is>
          <t>Anam Electronics Vietnam Co., ltd</t>
        </is>
      </c>
      <c r="E7981" t="inlineStr">
        <is>
          <t>$$ 300-1,000 /tháng</t>
        </is>
      </c>
      <c r="F7981" t="inlineStr">
        <is>
          <t>Hà Nam</t>
        </is>
      </c>
      <c r="G7981" t="inlineStr">
        <is>
          <t>Nhân viên</t>
        </is>
      </c>
      <c r="H7981" t="inlineStr">
        <is>
          <t>06/03/2026</t>
        </is>
      </c>
      <c r="I7981" t="inlineStr">
        <is>
          <t>05/04/2026</t>
        </is>
      </c>
      <c r="J7981" t="inlineStr">
        <is>
          <t>17/03/2026</t>
        </is>
      </c>
      <c r="K7981" t="inlineStr">
        <is>
          <t>N/A</t>
        </is>
      </c>
      <c r="L7981" t="inlineStr">
        <is>
          <t>IQC, PQC, Continuous Improvement, ISO 9001, Quản lý chất lượng</t>
        </is>
      </c>
      <c r="M7981" t="inlineStr">
        <is>
          <t>Bonus, Healthcare Plan, Transportation</t>
        </is>
      </c>
      <c r="N7981" s="8">
        <f>HYPERLINK("https://www.vietnamworks.com/nhan-vien-chat-luong-cong-ty-dien-tu-2019324-jv","Xem chi tiết")</f>
        <v/>
      </c>
    </row>
    <row r="7982">
      <c r="B7982" s="9" t="n">
        <v>7980</v>
      </c>
      <c r="C7982" s="10" t="inlineStr">
        <is>
          <t>Solution Presales</t>
        </is>
      </c>
      <c r="D7982" s="10" t="inlineStr">
        <is>
          <t>FUJIFILM Business Innovation Vietnam</t>
        </is>
      </c>
      <c r="E7982" s="10" t="inlineStr">
        <is>
          <t>Thương lượng</t>
        </is>
      </c>
      <c r="F7982" s="10" t="inlineStr">
        <is>
          <t>Hồ Chí Minh, Hà Nội</t>
        </is>
      </c>
      <c r="G7982" s="10" t="inlineStr">
        <is>
          <t>Nhân viên</t>
        </is>
      </c>
      <c r="H7982" s="10" t="inlineStr">
        <is>
          <t>06/03/2026</t>
        </is>
      </c>
      <c r="I7982" s="10" t="inlineStr">
        <is>
          <t>05/04/2026</t>
        </is>
      </c>
      <c r="J7982" s="10" t="inlineStr">
        <is>
          <t>17/03/2026</t>
        </is>
      </c>
      <c r="K7982" s="10" t="inlineStr">
        <is>
          <t>N/A</t>
        </is>
      </c>
      <c r="L7982" s="10" t="inlineStr">
        <is>
          <t>Project Management, Communication Skills, Solution Design, Oracle CRM, Manage ERP Software</t>
        </is>
      </c>
      <c r="M7982" s="10" t="inlineStr">
        <is>
          <t>Bonus, Healthcare Plan, Training</t>
        </is>
      </c>
      <c r="N7982" s="11">
        <f>HYPERLINK("https://www.vietnamworks.com/solution-presales-2019305-jv","Xem chi tiết")</f>
        <v/>
      </c>
      <c r="O7982" s="10" t="n"/>
    </row>
    <row r="7983">
      <c r="B7983" s="7" t="n">
        <v>7981</v>
      </c>
      <c r="C7983" t="inlineStr">
        <is>
          <t>Exhibition Sales Manager (Project Lead)</t>
        </is>
      </c>
      <c r="D7983" t="inlineStr">
        <is>
          <t>Công Ty TNHH Coex VINA</t>
        </is>
      </c>
      <c r="E7983" t="inlineStr">
        <is>
          <t>Thương lượng</t>
        </is>
      </c>
      <c r="F7983" t="inlineStr">
        <is>
          <t>Hồ Chí Minh</t>
        </is>
      </c>
      <c r="G7983" t="inlineStr">
        <is>
          <t>Trưởng phòng</t>
        </is>
      </c>
      <c r="H7983" t="inlineStr">
        <is>
          <t>06/03/2026</t>
        </is>
      </c>
      <c r="I7983" t="inlineStr">
        <is>
          <t>05/04/2026</t>
        </is>
      </c>
      <c r="J7983" t="inlineStr">
        <is>
          <t>17/03/2026</t>
        </is>
      </c>
      <c r="K7983" t="inlineStr">
        <is>
          <t>N/A</t>
        </is>
      </c>
      <c r="L7983" t="inlineStr">
        <is>
          <t>B2B Sales, Account Management, Kinh Doanh, MICE Management, Sales Management</t>
        </is>
      </c>
      <c r="M7983" t="inlineStr">
        <is>
          <t>Bonus, Healthcare Plan, Travel Opportunities, Others</t>
        </is>
      </c>
      <c r="N7983" s="8">
        <f>HYPERLINK("https://www.vietnamworks.com/exhibition-sales-manager-project-lead-2019312-jv","Xem chi tiết")</f>
        <v/>
      </c>
    </row>
    <row r="7984">
      <c r="B7984" s="9" t="n">
        <v>7982</v>
      </c>
      <c r="C7984" s="10" t="inlineStr">
        <is>
          <t>Business Analyst</t>
        </is>
      </c>
      <c r="D7984" s="10" t="inlineStr">
        <is>
          <t>Manulife IT Delivery Center Vietnam Company Limited</t>
        </is>
      </c>
      <c r="E7984" s="10" t="inlineStr">
        <is>
          <t>Thương lượng</t>
        </is>
      </c>
      <c r="F7984" s="10" t="inlineStr">
        <is>
          <t>Hồ Chí Minh</t>
        </is>
      </c>
      <c r="G7984" s="10" t="inlineStr">
        <is>
          <t>Trưởng phòng</t>
        </is>
      </c>
      <c r="H7984" s="10" t="inlineStr">
        <is>
          <t>06/03/2026</t>
        </is>
      </c>
      <c r="I7984" s="10" t="inlineStr">
        <is>
          <t>05/04/2026</t>
        </is>
      </c>
      <c r="J7984" s="10" t="inlineStr">
        <is>
          <t>17/03/2026</t>
        </is>
      </c>
      <c r="K7984" s="10" t="inlineStr">
        <is>
          <t>N/A</t>
        </is>
      </c>
      <c r="L7984" s="10" t="inlineStr">
        <is>
          <t>Business Analysis, System Analysis</t>
        </is>
      </c>
      <c r="M7984" s="10" t="inlineStr">
        <is>
          <t>Bonus, Healthcare Plan, Paid Leave, Training, Others</t>
        </is>
      </c>
      <c r="N7984" s="11">
        <f>HYPERLINK("https://www.vietnamworks.com/business-analyst-2019315-jv","Xem chi tiết")</f>
        <v/>
      </c>
      <c r="O7984" s="10" t="n"/>
    </row>
    <row r="7985">
      <c r="B7985" s="7" t="n">
        <v>7983</v>
      </c>
      <c r="C7985" t="inlineStr">
        <is>
          <t>Chuyên Viên Tổ Chức Sự Kiện</t>
        </is>
      </c>
      <c r="D7985" t="inlineStr">
        <is>
          <t>Công Ty Cổ Phần Quảng Cáo Và Xúc Tiến Thương Mại Đông Nam</t>
        </is>
      </c>
      <c r="E7985" t="inlineStr">
        <is>
          <t>$$ 450-650 /tháng</t>
        </is>
      </c>
      <c r="F7985" t="inlineStr">
        <is>
          <t>Hồ Chí Minh</t>
        </is>
      </c>
      <c r="G7985" t="inlineStr">
        <is>
          <t>Mới Tốt Nghiệp</t>
        </is>
      </c>
      <c r="H7985" t="inlineStr">
        <is>
          <t>06/03/2026</t>
        </is>
      </c>
      <c r="I7985" t="inlineStr">
        <is>
          <t>05/04/2026</t>
        </is>
      </c>
      <c r="J7985" t="inlineStr">
        <is>
          <t>17/03/2026</t>
        </is>
      </c>
      <c r="K7985" t="inlineStr">
        <is>
          <t>N/A</t>
        </is>
      </c>
      <c r="L7985" t="inlineStr">
        <is>
          <t>Lập Kế Hoạch, Tổ Chức Sự Kiện, Quản Trị Kinh Doanh, Quản Lý Nội Dung, Quản Lý Sự Kiện</t>
        </is>
      </c>
      <c r="M7985" t="inlineStr">
        <is>
          <t>Healthcare Plan, Awards, Team Activities</t>
        </is>
      </c>
      <c r="N7985" s="8">
        <f>HYPERLINK("https://www.vietnamworks.com/chuyen-vien-to-chuc-su-kien--2019310-jv","Xem chi tiết")</f>
        <v/>
      </c>
    </row>
    <row r="7986">
      <c r="B7986" s="9" t="n">
        <v>7984</v>
      </c>
      <c r="C7986" s="10" t="inlineStr">
        <is>
          <t>Kế Toán Công Nợ - TP.HCM</t>
        </is>
      </c>
      <c r="D7986" s="10" t="inlineStr">
        <is>
          <t>Thami Corporation</t>
        </is>
      </c>
      <c r="E7986" s="10" t="inlineStr">
        <is>
          <t>$$ 400-500 /tháng</t>
        </is>
      </c>
      <c r="F7986" s="10" t="inlineStr">
        <is>
          <t>Hồ Chí Minh</t>
        </is>
      </c>
      <c r="G7986" s="10" t="inlineStr">
        <is>
          <t>Nhân viên</t>
        </is>
      </c>
      <c r="H7986" s="10" t="inlineStr">
        <is>
          <t>06/03/2026</t>
        </is>
      </c>
      <c r="I7986" s="10" t="inlineStr">
        <is>
          <t>05/04/2026</t>
        </is>
      </c>
      <c r="J7986" s="10" t="inlineStr">
        <is>
          <t>17/03/2026</t>
        </is>
      </c>
      <c r="K7986" s="10" t="inlineStr">
        <is>
          <t>N/A</t>
        </is>
      </c>
      <c r="L7986" s="10" t="inlineStr">
        <is>
          <t>Theo Dõi Công Nợ, Quản Lý Chứng Từ, Lưu Trữ Hồ Sơ, Báo Cáo Công Nợ, Tiếng Anh</t>
        </is>
      </c>
      <c r="M7986" s="10" t="inlineStr">
        <is>
          <t>Bonus, Healthcare Plan, Paid Leave</t>
        </is>
      </c>
      <c r="N7986" s="11">
        <f>HYPERLINK("https://www.vietnamworks.com/ke-toan-cong-no-tp-hcm--2019327-jv","Xem chi tiết")</f>
        <v/>
      </c>
      <c r="O7986" s="10" t="n"/>
    </row>
    <row r="7987">
      <c r="B7987" s="7" t="n">
        <v>7985</v>
      </c>
      <c r="C7987" t="inlineStr">
        <is>
          <t>CPA Manager (Trade Marketing Manager)</t>
        </is>
      </c>
      <c r="D7987" t="inlineStr">
        <is>
          <t>Công ty Cổ Phần Tập Đoàn Merap</t>
        </is>
      </c>
      <c r="E7987" t="inlineStr">
        <is>
          <t>Thương lượng</t>
        </is>
      </c>
      <c r="F7987" t="inlineStr">
        <is>
          <t>Hồ Chí Minh</t>
        </is>
      </c>
      <c r="G7987" t="inlineStr">
        <is>
          <t>Trưởng phòng</t>
        </is>
      </c>
      <c r="H7987" t="inlineStr">
        <is>
          <t>06/03/2026</t>
        </is>
      </c>
      <c r="I7987" t="inlineStr">
        <is>
          <t>05/04/2026</t>
        </is>
      </c>
      <c r="J7987" t="inlineStr">
        <is>
          <t>17/03/2026</t>
        </is>
      </c>
      <c r="K7987" t="inlineStr">
        <is>
          <t>N/A</t>
        </is>
      </c>
      <c r="L7987" t="inlineStr">
        <is>
          <t>Phân Tích Dữ Liệu, Tổ Chức Công Việc, Làm việc nhóm</t>
        </is>
      </c>
      <c r="M7987" t="inlineStr">
        <is>
          <t>Bonus, Paid Leave, Travel Opportunities</t>
        </is>
      </c>
      <c r="N7987" s="8">
        <f>HYPERLINK("https://www.vietnamworks.com/cpa-manager-trade-marketing-manager--2019317-jv","Xem chi tiết")</f>
        <v/>
      </c>
    </row>
    <row r="7988">
      <c r="B7988" s="9" t="n">
        <v>7986</v>
      </c>
      <c r="C7988" s="10" t="inlineStr">
        <is>
          <t>Hoạ Viên (Autocad/Revit) Fresher - Được Đào Tạo 100%</t>
        </is>
      </c>
      <c r="D7988" s="10" t="inlineStr">
        <is>
          <t>MiTek Việt Nam</t>
        </is>
      </c>
      <c r="E7988" s="10" t="inlineStr">
        <is>
          <t>10-12tr ₫/tháng</t>
        </is>
      </c>
      <c r="F7988" s="10" t="inlineStr">
        <is>
          <t>Hồ Chí Minh</t>
        </is>
      </c>
      <c r="G7988" s="10" t="inlineStr">
        <is>
          <t>Mới Tốt Nghiệp</t>
        </is>
      </c>
      <c r="H7988" s="10" t="inlineStr">
        <is>
          <t>06/03/2026</t>
        </is>
      </c>
      <c r="I7988" s="10" t="inlineStr">
        <is>
          <t>05/04/2026</t>
        </is>
      </c>
      <c r="J7988" s="10" t="inlineStr">
        <is>
          <t>17/03/2026</t>
        </is>
      </c>
      <c r="K7988" s="10" t="inlineStr">
        <is>
          <t>N/A</t>
        </is>
      </c>
      <c r="L7988" s="10" t="inlineStr">
        <is>
          <t>Revit, Bản Vẽ Kỹ Thuật, Hệ Thống Điện Cơ, Thiết Kế CAD 3D, Thiết Kế Kỹ Thuật</t>
        </is>
      </c>
      <c r="M7988" s="10" t="inlineStr">
        <is>
          <t>Bonus, Healthcare Plan, Paid Leave, Training, Team Activities, Others</t>
        </is>
      </c>
      <c r="N7988" s="11">
        <f>HYPERLINK("https://www.vietnamworks.com/hoa-vien-autocadrevit-fresher-djuoc-djao-tao-100percent-2019307-jv","Xem chi tiết")</f>
        <v/>
      </c>
      <c r="O7988" s="10" t="n"/>
    </row>
    <row r="7989">
      <c r="B7989" s="7" t="n">
        <v>7987</v>
      </c>
      <c r="C7989" t="inlineStr">
        <is>
          <t>[Remote] Influencer Marketing (Booking KOL/KOC) - Làm tại nhà</t>
        </is>
      </c>
      <c r="D7989" t="inlineStr">
        <is>
          <t>PICKDI CORP</t>
        </is>
      </c>
      <c r="E7989" t="inlineStr">
        <is>
          <t>12tr-14tr ₫/tháng</t>
        </is>
      </c>
      <c r="F7989" t="inlineStr">
        <is>
          <t>Hồ Chí Minh, Quốc tế, Hà Nội</t>
        </is>
      </c>
      <c r="G7989" t="inlineStr">
        <is>
          <t>Nhân viên</t>
        </is>
      </c>
      <c r="H7989" t="inlineStr">
        <is>
          <t>06/03/2026</t>
        </is>
      </c>
      <c r="I7989" t="inlineStr">
        <is>
          <t>05/04/2026</t>
        </is>
      </c>
      <c r="J7989" t="inlineStr">
        <is>
          <t>17/03/2026</t>
        </is>
      </c>
      <c r="K7989" t="inlineStr">
        <is>
          <t>N/A</t>
        </is>
      </c>
      <c r="L7989" t="inlineStr">
        <is>
          <t>Influencer Marketing, Account Executive, Marketing, Korean, Korean Topik 3</t>
        </is>
      </c>
      <c r="M7989" t="inlineStr">
        <is>
          <t>Others</t>
        </is>
      </c>
      <c r="N7989" s="8">
        <f>HYPERLINK("https://www.vietnamworks.com/remote-influencer-marketing-booking-kolkoc-lam-tai-nha-2019319-jv","Xem chi tiết")</f>
        <v/>
      </c>
    </row>
    <row r="7990">
      <c r="B7990" s="9" t="n">
        <v>7988</v>
      </c>
      <c r="C7990" s="10" t="inlineStr">
        <is>
          <t>(Hot) Sale Logistics</t>
        </is>
      </c>
      <c r="D7990" s="10" t="inlineStr">
        <is>
          <t>Công Ty Cổ Phần Giao Nhận Vận Tải Hải An</t>
        </is>
      </c>
      <c r="E7990" s="10" t="inlineStr">
        <is>
          <t>Tới $ 1,500 /tháng</t>
        </is>
      </c>
      <c r="F7990" s="10" t="inlineStr">
        <is>
          <t>Hà Nội, Hồ Chí Minh</t>
        </is>
      </c>
      <c r="G7990" s="10" t="inlineStr">
        <is>
          <t>Nhân viên</t>
        </is>
      </c>
      <c r="H7990" s="10" t="inlineStr">
        <is>
          <t>06/03/2026</t>
        </is>
      </c>
      <c r="I7990" s="10" t="inlineStr">
        <is>
          <t>05/04/2026</t>
        </is>
      </c>
      <c r="J7990" s="10" t="inlineStr">
        <is>
          <t>17/03/2026</t>
        </is>
      </c>
      <c r="K7990" s="10" t="inlineStr">
        <is>
          <t>N/A</t>
        </is>
      </c>
      <c r="L7990" s="10" t="inlineStr">
        <is>
          <t>Hàng Hải, Xuất Nhập Khẩu, Logistics Sales, Logistics, Kinh Doanh</t>
        </is>
      </c>
      <c r="M7990" s="10" t="inlineStr">
        <is>
          <t>Healthcare Plan, Training, Team Activities</t>
        </is>
      </c>
      <c r="N7990" s="11">
        <f>HYPERLINK("https://www.vietnamworks.com/hot-sale-logistics--2019320-jv","Xem chi tiết")</f>
        <v/>
      </c>
      <c r="O7990" s="10" t="n"/>
    </row>
    <row r="7991">
      <c r="B7991" s="7" t="n">
        <v>7989</v>
      </c>
      <c r="C7991" t="inlineStr">
        <is>
          <t>VIP Membership Program &amp; Retention Manager</t>
        </is>
      </c>
      <c r="D7991" t="inlineStr">
        <is>
          <t>WOWSUITE SOFTWARE</t>
        </is>
      </c>
      <c r="E7991" t="inlineStr">
        <is>
          <t>Thương lượng</t>
        </is>
      </c>
      <c r="F7991" t="inlineStr">
        <is>
          <t>Hồ Chí Minh</t>
        </is>
      </c>
      <c r="G7991" t="inlineStr">
        <is>
          <t>Trưởng phòng</t>
        </is>
      </c>
      <c r="H7991" t="inlineStr">
        <is>
          <t>06/03/2026</t>
        </is>
      </c>
      <c r="I7991" t="inlineStr">
        <is>
          <t>05/04/2026</t>
        </is>
      </c>
      <c r="J7991" t="inlineStr">
        <is>
          <t>17/03/2026</t>
        </is>
      </c>
      <c r="K7991" t="inlineStr">
        <is>
          <t>N/A</t>
        </is>
      </c>
      <c r="L7991" t="inlineStr">
        <is>
          <t>Retention &amp; Engagement, eCommerce, Membership Growth, Tiếp thị, Marketing</t>
        </is>
      </c>
      <c r="M7991" t="inlineStr">
        <is>
          <t>Bonus, Healthcare Plan, Training, Travel Opportunities, Others</t>
        </is>
      </c>
      <c r="N7991" s="8">
        <f>HYPERLINK("https://www.vietnamworks.com/vip-membership-program-retention-manager-2019321-jv","Xem chi tiết")</f>
        <v/>
      </c>
    </row>
    <row r="7992">
      <c r="B7992" s="9" t="n">
        <v>7990</v>
      </c>
      <c r="C7992" s="10" t="inlineStr">
        <is>
          <t>Experienced International Sales (Doors And Windows)</t>
        </is>
      </c>
      <c r="D7992" s="10" t="inlineStr">
        <is>
          <t>Glazedfrog Australia Pty. Ltd.</t>
        </is>
      </c>
      <c r="E7992" s="10" t="inlineStr">
        <is>
          <t>15tr-20tr ₫/tháng</t>
        </is>
      </c>
      <c r="F7992" s="10" t="inlineStr">
        <is>
          <t>Hồ Chí Minh</t>
        </is>
      </c>
      <c r="G7992" s="10" t="inlineStr">
        <is>
          <t>Nhân viên</t>
        </is>
      </c>
      <c r="H7992" s="10" t="inlineStr">
        <is>
          <t>06/03/2026</t>
        </is>
      </c>
      <c r="I7992" s="10" t="inlineStr">
        <is>
          <t>05/04/2026</t>
        </is>
      </c>
      <c r="J7992" s="10" t="inlineStr">
        <is>
          <t>17/03/2026</t>
        </is>
      </c>
      <c r="K7992" s="10" t="inlineStr">
        <is>
          <t>N/A</t>
        </is>
      </c>
      <c r="L7992" s="10" t="inlineStr">
        <is>
          <t>Sales Strategy, Negotiation Skills, English Fluency, Attention To Detail, Sales Operations</t>
        </is>
      </c>
      <c r="M7992" s="10" t="inlineStr">
        <is>
          <t>Healthcare Plan, Paid Leave, Team Activities, Others</t>
        </is>
      </c>
      <c r="N7992" s="11">
        <f>HYPERLINK("https://www.vietnamworks.com/experienced-international-sales-doors-and-windows-2019323-jv","Xem chi tiết")</f>
        <v/>
      </c>
      <c r="O7992" s="10" t="n"/>
    </row>
    <row r="7993">
      <c r="B7993" s="7" t="n">
        <v>7991</v>
      </c>
      <c r="C7993" t="inlineStr">
        <is>
          <t>Ecom - Marketing Management</t>
        </is>
      </c>
      <c r="D7993" t="inlineStr">
        <is>
          <t>Công Ty TNHH Công Nghệ Huawei Việt Nam</t>
        </is>
      </c>
      <c r="E7993" t="inlineStr">
        <is>
          <t>Thương lượng</t>
        </is>
      </c>
      <c r="F7993" t="inlineStr">
        <is>
          <t>Hồ Chí Minh</t>
        </is>
      </c>
      <c r="G7993" t="inlineStr">
        <is>
          <t>Nhân viên</t>
        </is>
      </c>
      <c r="H7993" t="inlineStr">
        <is>
          <t>06/03/2026</t>
        </is>
      </c>
      <c r="I7993" t="inlineStr">
        <is>
          <t>05/04/2026</t>
        </is>
      </c>
      <c r="J7993" t="inlineStr">
        <is>
          <t>17/03/2026</t>
        </is>
      </c>
      <c r="K7993" t="inlineStr">
        <is>
          <t>N/A</t>
        </is>
      </c>
      <c r="L7993" t="inlineStr">
        <is>
          <t>Communication Skills, E-commerce, E-Marketing, Influencer Marketing, Tiktok Commerce</t>
        </is>
      </c>
      <c r="M7993" t="inlineStr">
        <is>
          <t>Bonus, Healthcare Plan, Others</t>
        </is>
      </c>
      <c r="N7993" s="8">
        <f>HYPERLINK("https://www.vietnamworks.com/ecom-marketing-management-2019325-jv","Xem chi tiết")</f>
        <v/>
      </c>
    </row>
    <row r="7994">
      <c r="B7994" s="9" t="n">
        <v>7992</v>
      </c>
      <c r="C7994" s="10" t="inlineStr">
        <is>
          <t>Kỹ Sư Utility</t>
        </is>
      </c>
      <c r="D7994" s="10" t="inlineStr">
        <is>
          <t>Seoul Semiconductor Vina</t>
        </is>
      </c>
      <c r="E7994" s="10" t="inlineStr">
        <is>
          <t>Thương lượng</t>
        </is>
      </c>
      <c r="F7994" s="10" t="inlineStr">
        <is>
          <t>Hà Nam</t>
        </is>
      </c>
      <c r="G7994" s="10" t="inlineStr">
        <is>
          <t>Nhân viên</t>
        </is>
      </c>
      <c r="H7994" s="10" t="inlineStr">
        <is>
          <t>06/03/2026</t>
        </is>
      </c>
      <c r="I7994" s="10" t="inlineStr">
        <is>
          <t>05/04/2026</t>
        </is>
      </c>
      <c r="J7994" s="10" t="inlineStr">
        <is>
          <t>17/03/2026</t>
        </is>
      </c>
      <c r="K7994" s="10" t="inlineStr">
        <is>
          <t>N/A</t>
        </is>
      </c>
      <c r="L7994" s="10" t="inlineStr">
        <is>
          <t>HVAC System, Operation Of 110Kv Substation, Plant Maintenance, Power System, System Troubleshooting</t>
        </is>
      </c>
      <c r="M7994" s="10" t="inlineStr">
        <is>
          <t>Bonus, Laptop, Transportation</t>
        </is>
      </c>
      <c r="N7994" s="11">
        <f>HYPERLINK("https://www.vietnamworks.com/ky-su-utility-2019326-jv","Xem chi tiết")</f>
        <v/>
      </c>
      <c r="O7994" s="10" t="n"/>
    </row>
    <row r="7995">
      <c r="B7995" s="7" t="n">
        <v>7993</v>
      </c>
      <c r="C7995" t="inlineStr">
        <is>
          <t>Quản Lý Kho</t>
        </is>
      </c>
      <c r="D7995" t="inlineStr">
        <is>
          <t>Công Ty TNHH Xây Dựng Đông Nam</t>
        </is>
      </c>
      <c r="E7995" t="inlineStr">
        <is>
          <t>Thương lượng</t>
        </is>
      </c>
      <c r="F7995" t="inlineStr">
        <is>
          <t>Bà Rịa - Vũng Tàu</t>
        </is>
      </c>
      <c r="G7995" t="inlineStr">
        <is>
          <t>Nhân viên</t>
        </is>
      </c>
      <c r="H7995" t="inlineStr">
        <is>
          <t>06/03/2026</t>
        </is>
      </c>
      <c r="I7995" t="inlineStr">
        <is>
          <t>05/04/2026</t>
        </is>
      </c>
      <c r="J7995" t="inlineStr">
        <is>
          <t>17/03/2026</t>
        </is>
      </c>
      <c r="K7995" t="inlineStr">
        <is>
          <t>N/A</t>
        </is>
      </c>
      <c r="L7995" t="inlineStr">
        <is>
          <t>Làm Việc Nhóm, Lãnh Đạo, Logistics, Microsoft Office, Quản Lý Kho</t>
        </is>
      </c>
      <c r="M7995" t="inlineStr">
        <is>
          <t>Others</t>
        </is>
      </c>
      <c r="N7995" s="8">
        <f>HYPERLINK("https://www.vietnamworks.com/quan-ly-kho-2019331-jv","Xem chi tiết")</f>
        <v/>
      </c>
    </row>
    <row r="7996">
      <c r="B7996" s="9" t="n">
        <v>7994</v>
      </c>
      <c r="C7996" s="10" t="inlineStr">
        <is>
          <t>Chief Accountant (Kế Toán Trưởng)</t>
        </is>
      </c>
      <c r="D7996" s="10" t="inlineStr">
        <is>
          <t>Công ty TNHH Thương Mại Dịch Vụ Kỹ Thuật Cao Hùng _ Oshima</t>
        </is>
      </c>
      <c r="E7996" s="10" t="inlineStr">
        <is>
          <t>Thương lượng</t>
        </is>
      </c>
      <c r="F7996" s="10" t="inlineStr">
        <is>
          <t>Hồ Chí Minh</t>
        </is>
      </c>
      <c r="G7996" s="10" t="inlineStr">
        <is>
          <t>Giám Đốc và Cấp Cao Hơn</t>
        </is>
      </c>
      <c r="H7996" s="10" t="inlineStr">
        <is>
          <t>06/03/2026</t>
        </is>
      </c>
      <c r="I7996" s="10" t="inlineStr">
        <is>
          <t>05/04/2026</t>
        </is>
      </c>
      <c r="J7996" s="10" t="inlineStr">
        <is>
          <t>17/03/2026</t>
        </is>
      </c>
      <c r="K7996" s="10" t="inlineStr">
        <is>
          <t>N/A</t>
        </is>
      </c>
      <c r="L7996" s="10" t="inlineStr">
        <is>
          <t>Quản Lý Kế Toán, Báo Cáo Tài Chính, Kê Khai Thuế, Kiểm Soát Nội Bộ, Tài Chính Doanh Nghiệp</t>
        </is>
      </c>
      <c r="M7996" s="10" t="inlineStr">
        <is>
          <t>Bonus, Healthcare Plan, Team Activities</t>
        </is>
      </c>
      <c r="N7996" s="11">
        <f>HYPERLINK("https://www.vietnamworks.com/chief-accountant-ke-toan-truong-2019344-jv","Xem chi tiết")</f>
        <v/>
      </c>
      <c r="O7996" s="10" t="n"/>
    </row>
    <row r="7997">
      <c r="B7997" s="7" t="n">
        <v>7995</v>
      </c>
      <c r="C7997" t="inlineStr">
        <is>
          <t>Core Network Engineer Salary Upto 80M</t>
        </is>
      </c>
      <c r="D7997" t="inlineStr">
        <is>
          <t>Công Ty TNHH Công Nghệ Huawei Việt Nam</t>
        </is>
      </c>
      <c r="E7997" t="inlineStr">
        <is>
          <t>Thương lượng</t>
        </is>
      </c>
      <c r="F7997" t="inlineStr">
        <is>
          <t>Cần Thơ, Hồ Chí Minh, Hà Nội</t>
        </is>
      </c>
      <c r="G7997" t="inlineStr">
        <is>
          <t>Nhân viên</t>
        </is>
      </c>
      <c r="H7997" t="inlineStr">
        <is>
          <t>06/03/2026</t>
        </is>
      </c>
      <c r="I7997" t="inlineStr">
        <is>
          <t>05/04/2026</t>
        </is>
      </c>
      <c r="J7997" t="inlineStr">
        <is>
          <t>17/03/2026</t>
        </is>
      </c>
      <c r="K7997" t="inlineStr">
        <is>
          <t>N/A</t>
        </is>
      </c>
      <c r="L7997" t="inlineStr">
        <is>
          <t>Core Network Solution, Technical Support, Troubleshooting, Mạng 2G/3G/4G/5G, IP Networking</t>
        </is>
      </c>
      <c r="M7997" t="inlineStr">
        <is>
          <t>Bonus, Paid Leave, Others</t>
        </is>
      </c>
      <c r="N7997" s="8">
        <f>HYPERLINK("https://www.vietnamworks.com/core-network-engineer-salary-upto-80m--2019343-jv","Xem chi tiết")</f>
        <v/>
      </c>
    </row>
    <row r="7998">
      <c r="B7998" s="9" t="n">
        <v>7996</v>
      </c>
      <c r="C7998" s="10" t="inlineStr">
        <is>
          <t>Nhân Viên Cung Ứng (Trang trại Lao Jargo)</t>
        </is>
      </c>
      <c r="D7998" s="10" t="inlineStr">
        <is>
          <t>Công Ty Cổ Phần Sữa Việt Nam (Vinamilk)</t>
        </is>
      </c>
      <c r="E7998" s="10" t="inlineStr">
        <is>
          <t>$$ 500-1,000 /tháng</t>
        </is>
      </c>
      <c r="F7998" s="10" t="inlineStr">
        <is>
          <t>Khác</t>
        </is>
      </c>
      <c r="G7998" s="10" t="inlineStr">
        <is>
          <t>Nhân viên</t>
        </is>
      </c>
      <c r="H7998" s="10" t="inlineStr">
        <is>
          <t>06/03/2026</t>
        </is>
      </c>
      <c r="I7998" s="10" t="inlineStr">
        <is>
          <t>05/04/2026</t>
        </is>
      </c>
      <c r="J7998" s="10" t="inlineStr">
        <is>
          <t>17/03/2026</t>
        </is>
      </c>
      <c r="K7998" s="10" t="inlineStr">
        <is>
          <t>N/A</t>
        </is>
      </c>
      <c r="L7998" s="10" t="inlineStr">
        <is>
          <t>Giao Tiếp, Kỹ năng giao tiếp, Mua Hàng, Quản Lý Nhà Cung Cấp, Tin Học Văn Phòng</t>
        </is>
      </c>
      <c r="M7998" s="10" t="inlineStr">
        <is>
          <t>Bonus, Healthcare Plan</t>
        </is>
      </c>
      <c r="N7998" s="11">
        <f>HYPERLINK("https://www.vietnamworks.com/nhan-vien-cung-ung-trang-trai-lao-jargo-2019329-jv","Xem chi tiết")</f>
        <v/>
      </c>
      <c r="O7998" s="10" t="n"/>
    </row>
    <row r="7999">
      <c r="B7999" s="7" t="n">
        <v>7997</v>
      </c>
      <c r="C7999" t="inlineStr">
        <is>
          <t>Nhân Viên Kỹ Thuật Lương Từ 13-18 Triệu</t>
        </is>
      </c>
      <c r="D7999" t="inlineStr">
        <is>
          <t>CÔNG TY CỔ PHẦN NICESTAR</t>
        </is>
      </c>
      <c r="E7999" t="inlineStr">
        <is>
          <t>13tr-18tr ₫/tháng</t>
        </is>
      </c>
      <c r="F7999" t="inlineStr">
        <is>
          <t>Hà Nội</t>
        </is>
      </c>
      <c r="G7999" t="inlineStr">
        <is>
          <t>Nhân viên</t>
        </is>
      </c>
      <c r="H7999" t="inlineStr">
        <is>
          <t>06/03/2026</t>
        </is>
      </c>
      <c r="I7999" t="inlineStr">
        <is>
          <t>05/04/2026</t>
        </is>
      </c>
      <c r="J7999" t="inlineStr">
        <is>
          <t>17/03/2026</t>
        </is>
      </c>
      <c r="K7999" t="inlineStr">
        <is>
          <t>N/A</t>
        </is>
      </c>
      <c r="L7999" t="inlineStr">
        <is>
          <t>Thiết Kế 3D, Auto Cad, Bóc Tách Khối Lượng, Giải Pháp Kỹ Thuật, Đọc Bản Vẽ Kỹ Thuật</t>
        </is>
      </c>
      <c r="M7999" t="inlineStr">
        <is>
          <t>Bonus, Healthcare Plan, Awards, Others</t>
        </is>
      </c>
      <c r="N7999" s="8">
        <f>HYPERLINK("https://www.vietnamworks.com/nhan-vien-ky-thuat-luong-tu-13-18-trieu-2019337-jv","Xem chi tiết")</f>
        <v/>
      </c>
    </row>
    <row r="8000">
      <c r="B8000" s="9" t="n">
        <v>7998</v>
      </c>
      <c r="C8000" s="10" t="inlineStr">
        <is>
          <t>GA Manager</t>
        </is>
      </c>
      <c r="D8000" s="10" t="inlineStr">
        <is>
          <t>Seoul Semiconductor Vina</t>
        </is>
      </c>
      <c r="E8000" s="10" t="inlineStr">
        <is>
          <t>Thương lượng</t>
        </is>
      </c>
      <c r="F8000" s="10" t="inlineStr">
        <is>
          <t>Hà Nam</t>
        </is>
      </c>
      <c r="G8000" s="10" t="inlineStr">
        <is>
          <t>Trưởng phòng</t>
        </is>
      </c>
      <c r="H8000" s="10" t="inlineStr">
        <is>
          <t>06/03/2026</t>
        </is>
      </c>
      <c r="I8000" s="10" t="inlineStr">
        <is>
          <t>05/04/2026</t>
        </is>
      </c>
      <c r="J8000" s="10" t="inlineStr">
        <is>
          <t>17/03/2026</t>
        </is>
      </c>
      <c r="K8000" s="10" t="inlineStr">
        <is>
          <t>N/A</t>
        </is>
      </c>
      <c r="L8000" s="10" t="inlineStr">
        <is>
          <t>Quản Lý Hành Chính, Vận Hành Nhà Máy, Facility Management, Office Administration, Budget Management</t>
        </is>
      </c>
      <c r="M8000" s="10" t="inlineStr">
        <is>
          <t>Bonus, Transportation, Canteen</t>
        </is>
      </c>
      <c r="N8000" s="11">
        <f>HYPERLINK("https://www.vietnamworks.com/ga-manager-24-1-1--2019328-jv","Xem chi tiết")</f>
        <v/>
      </c>
      <c r="O8000" s="10" t="n"/>
    </row>
    <row r="8001">
      <c r="B8001" s="7" t="n">
        <v>7999</v>
      </c>
      <c r="C8001" t="inlineStr">
        <is>
          <t>Senior Architect (Kiến Trúc Sư Revit)</t>
        </is>
      </c>
      <c r="D8001" t="inlineStr">
        <is>
          <t>NQH Architects Co., Ltd</t>
        </is>
      </c>
      <c r="E8001" t="inlineStr">
        <is>
          <t>Thương lượng</t>
        </is>
      </c>
      <c r="F8001" t="inlineStr">
        <is>
          <t>Hồ Chí Minh</t>
        </is>
      </c>
      <c r="G8001" t="inlineStr">
        <is>
          <t>Nhân viên</t>
        </is>
      </c>
      <c r="H8001" t="inlineStr">
        <is>
          <t>06/03/2026</t>
        </is>
      </c>
      <c r="I8001" t="inlineStr">
        <is>
          <t>05/04/2026</t>
        </is>
      </c>
      <c r="J8001" t="inlineStr">
        <is>
          <t>17/03/2026</t>
        </is>
      </c>
      <c r="K8001" t="inlineStr">
        <is>
          <t>N/A</t>
        </is>
      </c>
      <c r="L8001" t="inlineStr">
        <is>
          <t>AutoCAD, Architectural Concept Design, Conceptual Design, Revit, BIM Model</t>
        </is>
      </c>
      <c r="M8001" t="inlineStr">
        <is>
          <t>Bonus, Healthcare Plan, Paid Leave</t>
        </is>
      </c>
      <c r="N8001" s="8">
        <f>HYPERLINK("https://www.vietnamworks.com/senior-architect-kien-truc-su-revit-2019332-jv","Xem chi tiết")</f>
        <v/>
      </c>
    </row>
    <row r="8002">
      <c r="B8002" s="9" t="n">
        <v>8000</v>
      </c>
      <c r="C8002" s="10" t="inlineStr">
        <is>
          <t>Chuyên Viên Chăm Sóc Khách Hàng (Customer Service Executive/ Receptionist) Lương 11-13 Triệu</t>
        </is>
      </c>
      <c r="D8002" s="10" t="inlineStr">
        <is>
          <t>Công ty TNHH trung tâm thương mại và Nhà ở Hà nội</t>
        </is>
      </c>
      <c r="E8002" s="10" t="inlineStr">
        <is>
          <t>11tr-13tr ₫/tháng</t>
        </is>
      </c>
      <c r="F8002" s="10" t="inlineStr">
        <is>
          <t>Hà Nội</t>
        </is>
      </c>
      <c r="G8002" s="10" t="inlineStr">
        <is>
          <t>Nhân viên</t>
        </is>
      </c>
      <c r="H8002" s="10" t="inlineStr">
        <is>
          <t>06/03/2026</t>
        </is>
      </c>
      <c r="I8002" s="10" t="inlineStr">
        <is>
          <t>05/04/2026</t>
        </is>
      </c>
      <c r="J8002" s="10" t="inlineStr">
        <is>
          <t>17/03/2026</t>
        </is>
      </c>
      <c r="K8002" s="10" t="inlineStr">
        <is>
          <t>N/A</t>
        </is>
      </c>
      <c r="L8002" s="10" t="inlineStr">
        <is>
          <t>Customer Service, Receptionist, Call Center, Office Administration, Operations</t>
        </is>
      </c>
      <c r="M8002" s="10" t="inlineStr">
        <is>
          <t>Bonus, Healthcare Plan, Others</t>
        </is>
      </c>
      <c r="N8002" s="11">
        <f>HYPERLINK("https://www.vietnamworks.com/chuyen-vien-cham-soc-khach-hang-customer-service-executive-receptionist-luong-11-13-trieu--2019346-jv","Xem chi tiết")</f>
        <v/>
      </c>
      <c r="O8002" s="10" t="n"/>
    </row>
    <row r="8003">
      <c r="B8003" s="7" t="n">
        <v>8001</v>
      </c>
      <c r="C8003" t="inlineStr">
        <is>
          <t>Senior Bookkeeping Staff - Trưởng Nhóm Dịch Vụ Kế Toán và Tư Vấn Thuế</t>
        </is>
      </c>
      <c r="D8003" t="inlineStr">
        <is>
          <t>CHI NHÁNH TẠI HÀ NỘI - CÔNG TY TNHH KẾ TOÁN SAMDO VIỆT NAM</t>
        </is>
      </c>
      <c r="E8003" t="inlineStr">
        <is>
          <t>Thương lượng</t>
        </is>
      </c>
      <c r="F8003" t="inlineStr">
        <is>
          <t>Hà Nội</t>
        </is>
      </c>
      <c r="G8003" t="inlineStr">
        <is>
          <t>Nhân viên</t>
        </is>
      </c>
      <c r="H8003" t="inlineStr">
        <is>
          <t>06/03/2026</t>
        </is>
      </c>
      <c r="I8003" t="inlineStr">
        <is>
          <t>05/04/2026</t>
        </is>
      </c>
      <c r="J8003" t="inlineStr">
        <is>
          <t>17/03/2026</t>
        </is>
      </c>
      <c r="K8003" t="inlineStr">
        <is>
          <t>N/A</t>
        </is>
      </c>
      <c r="L8003" t="inlineStr">
        <is>
          <t>Accounting, Tax Declaration, Payroll Management, Hạch Toán, Thuế</t>
        </is>
      </c>
      <c r="M8003" t="inlineStr">
        <is>
          <t>Bonus, Healthcare Plan, Paid Leave, Training, Team Activities, Others</t>
        </is>
      </c>
      <c r="N8003" s="8">
        <f>HYPERLINK("https://www.vietnamworks.com/senior-bookkeeping-staff-truong-nhom-dich-vu-ke-toan-va-tu-van-thue-2019335-jv","Xem chi tiết")</f>
        <v/>
      </c>
    </row>
    <row r="8004">
      <c r="B8004" s="9" t="n">
        <v>8002</v>
      </c>
      <c r="C8004" s="10" t="inlineStr">
        <is>
          <t>Audit Senior - Trưởng Nhóm Kiểm Toán</t>
        </is>
      </c>
      <c r="D8004" s="10" t="inlineStr">
        <is>
          <t>CHI NHÁNH TẠI HÀ NỘI - CÔNG TY TNHH KẾ TOÁN SAMDO VIỆT NAM</t>
        </is>
      </c>
      <c r="E8004" s="10" t="inlineStr">
        <is>
          <t>Thương lượng</t>
        </is>
      </c>
      <c r="F8004" s="10" t="inlineStr">
        <is>
          <t>Hà Nội</t>
        </is>
      </c>
      <c r="G8004" s="10" t="inlineStr">
        <is>
          <t>Trưởng phòng</t>
        </is>
      </c>
      <c r="H8004" s="10" t="inlineStr">
        <is>
          <t>06/03/2026</t>
        </is>
      </c>
      <c r="I8004" s="10" t="inlineStr">
        <is>
          <t>05/04/2026</t>
        </is>
      </c>
      <c r="J8004" s="10" t="inlineStr">
        <is>
          <t>17/03/2026</t>
        </is>
      </c>
      <c r="K8004" s="10" t="inlineStr">
        <is>
          <t>N/A</t>
        </is>
      </c>
      <c r="L8004" s="10" t="inlineStr">
        <is>
          <t>Tài Chính, Audit, Kiểm Toán, Hạch Toán, Risk Control</t>
        </is>
      </c>
      <c r="M8004" s="10" t="inlineStr">
        <is>
          <t>Bonus, Healthcare Plan</t>
        </is>
      </c>
      <c r="N8004" s="11">
        <f>HYPERLINK("https://www.vietnamworks.com/audit-senior-truong-nhom-kiem-toan-2019336-jv","Xem chi tiết")</f>
        <v/>
      </c>
      <c r="O8004" s="10" t="n"/>
    </row>
    <row r="8005">
      <c r="B8005" s="7" t="n">
        <v>8003</v>
      </c>
      <c r="C8005" t="inlineStr">
        <is>
          <t>QA Engineer (Overseas Testing)</t>
        </is>
      </c>
      <c r="D8005" t="inlineStr">
        <is>
          <t>CÔNG TY TNHH NEXYS MEDIA</t>
        </is>
      </c>
      <c r="E8005" t="inlineStr">
        <is>
          <t>Thương lượng</t>
        </is>
      </c>
      <c r="F8005" t="inlineStr">
        <is>
          <t>Hồ Chí Minh</t>
        </is>
      </c>
      <c r="G8005" t="inlineStr">
        <is>
          <t>Nhân viên</t>
        </is>
      </c>
      <c r="H8005" t="inlineStr">
        <is>
          <t>06/03/2026</t>
        </is>
      </c>
      <c r="I8005" t="inlineStr">
        <is>
          <t>05/04/2026</t>
        </is>
      </c>
      <c r="J8005" t="inlineStr">
        <is>
          <t>17/03/2026</t>
        </is>
      </c>
      <c r="K8005" t="inlineStr">
        <is>
          <t>N/A</t>
        </is>
      </c>
      <c r="L8005" t="inlineStr">
        <is>
          <t>Functional Testing, Regression Testing, Test Case Design, API Testing, Collaboration</t>
        </is>
      </c>
      <c r="M8005" t="inlineStr">
        <is>
          <t>Bonus, Others</t>
        </is>
      </c>
      <c r="N8005" s="8">
        <f>HYPERLINK("https://www.vietnamworks.com/qa-engineer-overseas-testing-2019351-jv","Xem chi tiết")</f>
        <v/>
      </c>
    </row>
    <row r="8006">
      <c r="B8006" s="9" t="n">
        <v>8004</v>
      </c>
      <c r="C8006" s="10" t="inlineStr">
        <is>
          <t>Quảng Ninh - Dự Án Điện Mặt Trời Đầm Hà - Trưởng Nhóm Điện</t>
        </is>
      </c>
      <c r="D8006" s="10" t="inlineStr">
        <is>
          <t>BIM Group Quảng Ninh</t>
        </is>
      </c>
      <c r="E8006" s="10" t="inlineStr">
        <is>
          <t>Thương lượng</t>
        </is>
      </c>
      <c r="F8006" s="10" t="inlineStr">
        <is>
          <t>Quảng Ninh</t>
        </is>
      </c>
      <c r="G8006" s="10" t="inlineStr">
        <is>
          <t>Trưởng phòng</t>
        </is>
      </c>
      <c r="H8006" s="10" t="inlineStr">
        <is>
          <t>06/03/2026</t>
        </is>
      </c>
      <c r="I8006" s="10" t="inlineStr">
        <is>
          <t>05/04/2026</t>
        </is>
      </c>
      <c r="J8006" s="10" t="inlineStr">
        <is>
          <t>17/03/2026</t>
        </is>
      </c>
      <c r="K8006" s="10" t="inlineStr">
        <is>
          <t>N/A</t>
        </is>
      </c>
      <c r="L8006" s="10" t="inlineStr">
        <is>
          <t>Giám Sát Thi Công, Hệ Thống Điện, Lập Kế Hoạch, Quản Lý Dự Án, Quản Lý Năng Lượng</t>
        </is>
      </c>
      <c r="M8006" s="10" t="inlineStr">
        <is>
          <t>Bonus</t>
        </is>
      </c>
      <c r="N8006" s="11">
        <f>HYPERLINK("https://www.vietnamworks.com/quang-ninh-du-an-djien-mat-troi-djam-ha-truong-nhom-djien-2019349-jv","Xem chi tiết")</f>
        <v/>
      </c>
      <c r="O8006" s="10" t="n"/>
    </row>
    <row r="8007">
      <c r="B8007" s="7" t="n">
        <v>8005</v>
      </c>
      <c r="C8007" t="inlineStr">
        <is>
          <t>External Sales Executive</t>
        </is>
      </c>
      <c r="D8007" t="inlineStr">
        <is>
          <t>Công Ty TNHH Vssc Steel Center</t>
        </is>
      </c>
      <c r="E8007" t="inlineStr">
        <is>
          <t>$$ 1,000-1,300 /tháng</t>
        </is>
      </c>
      <c r="F8007" t="inlineStr">
        <is>
          <t>Hồ Chí Minh</t>
        </is>
      </c>
      <c r="G8007" t="inlineStr">
        <is>
          <t>Nhân viên</t>
        </is>
      </c>
      <c r="H8007" t="inlineStr">
        <is>
          <t>06/03/2026</t>
        </is>
      </c>
      <c r="I8007" t="inlineStr">
        <is>
          <t>05/04/2026</t>
        </is>
      </c>
      <c r="J8007" t="inlineStr">
        <is>
          <t>17/03/2026</t>
        </is>
      </c>
      <c r="K8007" t="inlineStr">
        <is>
          <t>N/A</t>
        </is>
      </c>
      <c r="L8007" t="inlineStr">
        <is>
          <t>Kinh Doanh, Business Development, Business Administration, B2C Sales, english skill</t>
        </is>
      </c>
      <c r="M8007" t="inlineStr">
        <is>
          <t>Bonus, Healthcare Plan, Training</t>
        </is>
      </c>
      <c r="N8007" s="8">
        <f>HYPERLINK("https://www.vietnamworks.com/external-sales-executive--2019348-jv","Xem chi tiết")</f>
        <v/>
      </c>
    </row>
    <row r="8008">
      <c r="B8008" s="9" t="n">
        <v>8006</v>
      </c>
      <c r="C8008" s="10" t="inlineStr">
        <is>
          <t>Kế Toán Nội Bộ - Bán Thời Gian 100% Làm Việc Từ Xa / Part-Time Bookkeeper - 100% Remote (Hub Hoi An)</t>
        </is>
      </c>
      <c r="D8008" s="10" t="inlineStr">
        <is>
          <t>Hub Hoi An - International Coworking Community</t>
        </is>
      </c>
      <c r="E8008" s="10" t="inlineStr">
        <is>
          <t>7tr-9tr ₫/tháng</t>
        </is>
      </c>
      <c r="F8008" s="10" t="inlineStr">
        <is>
          <t>Quảng Nam</t>
        </is>
      </c>
      <c r="G8008" s="10" t="inlineStr">
        <is>
          <t>Nhân viên</t>
        </is>
      </c>
      <c r="H8008" s="10" t="inlineStr">
        <is>
          <t>06/03/2026</t>
        </is>
      </c>
      <c r="I8008" s="10" t="inlineStr">
        <is>
          <t>05/04/2026</t>
        </is>
      </c>
      <c r="J8008" s="10" t="inlineStr">
        <is>
          <t>17/03/2026</t>
        </is>
      </c>
      <c r="K8008" s="10" t="inlineStr">
        <is>
          <t>N/A</t>
        </is>
      </c>
      <c r="L8008" s="10" t="inlineStr">
        <is>
          <t>Google Sheets, Excel, English, Accounting, Kế Toán</t>
        </is>
      </c>
      <c r="M8008" s="10" t="inlineStr">
        <is>
          <t>Bonus, Paid Leave, Others</t>
        </is>
      </c>
      <c r="N8008" s="11">
        <f>HYPERLINK("https://www.vietnamworks.com/ke-toan-noi-bo-ban-thoi-gian-100-lam-viec-tu-xa-part-time-bookkeeper-100-remote-hub-hoi-an-2019341-jv","Xem chi tiết")</f>
        <v/>
      </c>
      <c r="O8008" s="10" t="n"/>
    </row>
    <row r="8009">
      <c r="B8009" s="7" t="n">
        <v>8007</v>
      </c>
      <c r="C8009" t="inlineStr">
        <is>
          <t>R&amp;D Engineer - Kỹ Sư Nghiên Cứu Và Phát Triển Sản Phẩm LED</t>
        </is>
      </c>
      <c r="D8009" t="inlineStr">
        <is>
          <t>Seoul Semiconductor Vina</t>
        </is>
      </c>
      <c r="E8009" t="inlineStr">
        <is>
          <t>Thương lượng</t>
        </is>
      </c>
      <c r="F8009" t="inlineStr">
        <is>
          <t>Hà Nội, Hà Nam, Hưng Yên</t>
        </is>
      </c>
      <c r="G8009" t="inlineStr">
        <is>
          <t>Nhân viên</t>
        </is>
      </c>
      <c r="H8009" t="inlineStr">
        <is>
          <t>06/03/2026</t>
        </is>
      </c>
      <c r="I8009" t="inlineStr">
        <is>
          <t>05/04/2026</t>
        </is>
      </c>
      <c r="J8009" t="inlineStr">
        <is>
          <t>17/03/2026</t>
        </is>
      </c>
      <c r="K8009" t="inlineStr">
        <is>
          <t>N/A</t>
        </is>
      </c>
      <c r="L8009" t="inlineStr">
        <is>
          <t>Điện Tử, Công Nghệ Bán Dẫn, AutoCAD Design, SMT Process, R&amp;D</t>
        </is>
      </c>
      <c r="M8009" t="inlineStr">
        <is>
          <t>Bonus, Laptop, Transportation</t>
        </is>
      </c>
      <c r="N8009" s="8">
        <f>HYPERLINK("https://www.vietnamworks.com/r-d-engineer-ky-su-nghien-cuu-va-phat-trien-san-pham-led--2019330-jv","Xem chi tiết")</f>
        <v/>
      </c>
    </row>
    <row r="8010">
      <c r="B8010" s="9" t="n">
        <v>8008</v>
      </c>
      <c r="C8010" s="10" t="inlineStr">
        <is>
          <t>Merchandisers (PO &amp; Shipment Management Position)</t>
        </is>
      </c>
      <c r="D8010" s="10" t="inlineStr">
        <is>
          <t>Công Ty TNHH Kanaan Central Việt Nam</t>
        </is>
      </c>
      <c r="E8010" s="10" t="inlineStr">
        <is>
          <t>Thương lượng</t>
        </is>
      </c>
      <c r="F8010" s="10" t="inlineStr">
        <is>
          <t>Hồ Chí Minh</t>
        </is>
      </c>
      <c r="G8010" s="10" t="inlineStr">
        <is>
          <t>Nhân viên</t>
        </is>
      </c>
      <c r="H8010" s="10" t="inlineStr">
        <is>
          <t>06/03/2026</t>
        </is>
      </c>
      <c r="I8010" s="10" t="inlineStr">
        <is>
          <t>05/04/2026</t>
        </is>
      </c>
      <c r="J8010" s="10" t="inlineStr">
        <is>
          <t>17/03/2026</t>
        </is>
      </c>
      <c r="K8010" s="10" t="inlineStr">
        <is>
          <t>N/A</t>
        </is>
      </c>
      <c r="L8010" s="10" t="inlineStr">
        <is>
          <t>Cargo Handling, Communication Skills, Excel Skills, Infor Nexus</t>
        </is>
      </c>
      <c r="M8010" s="10" t="inlineStr">
        <is>
          <t>Bonus, Others</t>
        </is>
      </c>
      <c r="N8010" s="11">
        <f>HYPERLINK("https://www.vietnamworks.com/merchandisers-po-and-shipment-management-position-2019365-jv","Xem chi tiết")</f>
        <v/>
      </c>
      <c r="O8010" s="10" t="n"/>
    </row>
    <row r="8011">
      <c r="B8011" s="7" t="n">
        <v>8009</v>
      </c>
      <c r="C8011" t="inlineStr">
        <is>
          <t>Nhân Viên Cơ Khí (Trang trại Lao-Jargo)</t>
        </is>
      </c>
      <c r="D8011" t="inlineStr">
        <is>
          <t>Công Ty Cổ Phần Sữa Việt Nam (Vinamilk)</t>
        </is>
      </c>
      <c r="E8011" t="inlineStr">
        <is>
          <t>$$ 500-1,000 /tháng</t>
        </is>
      </c>
      <c r="F8011" t="inlineStr">
        <is>
          <t>Khác</t>
        </is>
      </c>
      <c r="G8011" t="inlineStr">
        <is>
          <t>Nhân viên</t>
        </is>
      </c>
      <c r="H8011" t="inlineStr">
        <is>
          <t>06/03/2026</t>
        </is>
      </c>
      <c r="I8011" t="inlineStr">
        <is>
          <t>05/04/2026</t>
        </is>
      </c>
      <c r="J8011" t="inlineStr">
        <is>
          <t>17/03/2026</t>
        </is>
      </c>
      <c r="K8011" t="inlineStr">
        <is>
          <t>N/A</t>
        </is>
      </c>
      <c r="L8011" t="inlineStr">
        <is>
          <t>Gia Công Chế Tạo Máy, Giải Quyết Vấn Đề, Kỹ năng phối hợp, Sử Dụng Máy Tiện, Sử Dụng Dụng Cụ Cầm Tay</t>
        </is>
      </c>
      <c r="M8011" t="inlineStr">
        <is>
          <t>Bonus, Healthcare Plan</t>
        </is>
      </c>
      <c r="N8011" s="8">
        <f>HYPERLINK("https://www.vietnamworks.com/nhan-vien-co-khi-trang-trai-lao-jargo-2019345-jv","Xem chi tiết")</f>
        <v/>
      </c>
    </row>
    <row r="8012">
      <c r="B8012" s="9" t="n">
        <v>8010</v>
      </c>
      <c r="C8012" s="10" t="inlineStr">
        <is>
          <t>RF Engineer Salary Upto 100M</t>
        </is>
      </c>
      <c r="D8012" s="10" t="inlineStr">
        <is>
          <t>Công Ty TNHH Công Nghệ Huawei Việt Nam</t>
        </is>
      </c>
      <c r="E8012" s="10" t="inlineStr">
        <is>
          <t>Thương lượng</t>
        </is>
      </c>
      <c r="F8012" s="10" t="inlineStr">
        <is>
          <t>Cần Thơ, Hồ Chí Minh, Hà Nội</t>
        </is>
      </c>
      <c r="G8012" s="10" t="inlineStr">
        <is>
          <t>Nhân viên</t>
        </is>
      </c>
      <c r="H8012" s="10" t="inlineStr">
        <is>
          <t>06/03/2026</t>
        </is>
      </c>
      <c r="I8012" s="10" t="inlineStr">
        <is>
          <t>05/04/2026</t>
        </is>
      </c>
      <c r="J8012" s="10" t="inlineStr">
        <is>
          <t>17/03/2026</t>
        </is>
      </c>
      <c r="K8012" s="10" t="inlineStr">
        <is>
          <t>N/A</t>
        </is>
      </c>
      <c r="L8012" s="10" t="inlineStr">
        <is>
          <t>Điện Tử Viễn Thông, Viễn Thông, Radio Frequency, Radio Network Optimization, 5G</t>
        </is>
      </c>
      <c r="M8012" s="10" t="inlineStr">
        <is>
          <t>Bonus, Paid Leave, Others</t>
        </is>
      </c>
      <c r="N8012" s="11">
        <f>HYPERLINK("https://www.vietnamworks.com/rf-engineer-salary-upto-100m-2019340-jv","Xem chi tiết")</f>
        <v/>
      </c>
      <c r="O8012" s="10" t="n"/>
    </row>
    <row r="8013">
      <c r="B8013" s="7" t="n">
        <v>8011</v>
      </c>
      <c r="C8013" t="inlineStr">
        <is>
          <t>Logistics Manager</t>
        </is>
      </c>
      <c r="D8013" t="inlineStr">
        <is>
          <t>Vietnamworks' Client</t>
        </is>
      </c>
      <c r="E8013" t="inlineStr">
        <is>
          <t>Thương lượng</t>
        </is>
      </c>
      <c r="F8013" t="inlineStr">
        <is>
          <t>Hồ Chí Minh</t>
        </is>
      </c>
      <c r="G8013" t="inlineStr">
        <is>
          <t>Trưởng phòng</t>
        </is>
      </c>
      <c r="H8013" t="inlineStr">
        <is>
          <t>06/03/2026</t>
        </is>
      </c>
      <c r="I8013" t="inlineStr">
        <is>
          <t>05/04/2026</t>
        </is>
      </c>
      <c r="J8013" t="inlineStr">
        <is>
          <t>17/03/2026</t>
        </is>
      </c>
      <c r="K8013" t="inlineStr">
        <is>
          <t>N/A</t>
        </is>
      </c>
      <c r="L8013" t="inlineStr">
        <is>
          <t>Xuất Nhập Khẩu, Logistics Operations, Thủ Tục Hải Quan, Giao Nhận Vận Chuyển, Logistics Management</t>
        </is>
      </c>
      <c r="M8013" t="inlineStr">
        <is>
          <t>Bonus, Healthcare Plan, Training</t>
        </is>
      </c>
      <c r="N8013" s="8">
        <f>HYPERLINK("https://www.vietnamworks.com/logistics-manager-37--2019367-jv","Xem chi tiết")</f>
        <v/>
      </c>
    </row>
    <row r="8014">
      <c r="B8014" s="9" t="n">
        <v>8012</v>
      </c>
      <c r="C8014" s="10" t="inlineStr">
        <is>
          <t>Warehouse Management</t>
        </is>
      </c>
      <c r="D8014" s="10" t="inlineStr">
        <is>
          <t>Công Ty TNHH Công Nghệ Huawei Việt Nam</t>
        </is>
      </c>
      <c r="E8014" s="10" t="inlineStr">
        <is>
          <t>Thương lượng</t>
        </is>
      </c>
      <c r="F8014" s="10" t="inlineStr">
        <is>
          <t>Hồ Chí Minh</t>
        </is>
      </c>
      <c r="G8014" s="10" t="inlineStr">
        <is>
          <t>Nhân viên</t>
        </is>
      </c>
      <c r="H8014" s="10" t="inlineStr">
        <is>
          <t>06/03/2026</t>
        </is>
      </c>
      <c r="I8014" s="10" t="inlineStr">
        <is>
          <t>05/04/2026</t>
        </is>
      </c>
      <c r="J8014" s="10" t="inlineStr">
        <is>
          <t>17/03/2026</t>
        </is>
      </c>
      <c r="K8014" s="10" t="inlineStr">
        <is>
          <t>N/A</t>
        </is>
      </c>
      <c r="L8014" s="10" t="inlineStr">
        <is>
          <t>Communication Skills, Data Analysis, Problem-solving, Warehouse Operation, WMS Implementations</t>
        </is>
      </c>
      <c r="M8014" s="10" t="inlineStr">
        <is>
          <t>Bonus, Healthcare Plan, Others</t>
        </is>
      </c>
      <c r="N8014" s="11">
        <f>HYPERLINK("https://www.vietnamworks.com/warehouse-management-2019350-jv","Xem chi tiết")</f>
        <v/>
      </c>
      <c r="O8014" s="10" t="n"/>
    </row>
    <row r="8015">
      <c r="B8015" s="7" t="n">
        <v>8013</v>
      </c>
      <c r="C8015" t="inlineStr">
        <is>
          <t>Họa Viên 3D</t>
        </is>
      </c>
      <c r="D8015" t="inlineStr">
        <is>
          <t>Công Ty Cổ Phần Đầu Tư VCN</t>
        </is>
      </c>
      <c r="E8015" t="inlineStr">
        <is>
          <t>Từ 25.7tr ₫/tháng</t>
        </is>
      </c>
      <c r="F8015" t="inlineStr">
        <is>
          <t>Khánh Hòa</t>
        </is>
      </c>
      <c r="G8015" t="inlineStr">
        <is>
          <t>Nhân viên</t>
        </is>
      </c>
      <c r="H8015" t="inlineStr">
        <is>
          <t>06/03/2026</t>
        </is>
      </c>
      <c r="I8015" t="inlineStr">
        <is>
          <t>05/04/2026</t>
        </is>
      </c>
      <c r="J8015" t="inlineStr">
        <is>
          <t>17/03/2026</t>
        </is>
      </c>
      <c r="K8015" t="inlineStr">
        <is>
          <t>N/A</t>
        </is>
      </c>
      <c r="L8015" t="inlineStr">
        <is>
          <t>3D Max, Lumion, Photoshop, Sketchup, Vray</t>
        </is>
      </c>
      <c r="M8015" t="inlineStr">
        <is>
          <t>Bonus, Training, Travel Opportunities, Canteen, Others</t>
        </is>
      </c>
      <c r="N8015" s="8">
        <f>HYPERLINK("https://www.vietnamworks.com/hoa-vien-3d-2019369-jv","Xem chi tiết")</f>
        <v/>
      </c>
    </row>
    <row r="8016">
      <c r="B8016" s="9" t="n">
        <v>8014</v>
      </c>
      <c r="C8016" s="10" t="inlineStr">
        <is>
          <t xml:space="preserve">Nhân Viên Thú Y (điều Trị Bò) </t>
        </is>
      </c>
      <c r="D8016" s="10" t="inlineStr">
        <is>
          <t>Công Ty Cổ Phần Sữa Việt Nam (Vinamilk)</t>
        </is>
      </c>
      <c r="E8016" s="10" t="inlineStr">
        <is>
          <t>16tr-21tr ₫/tháng</t>
        </is>
      </c>
      <c r="F8016" s="10" t="inlineStr">
        <is>
          <t>Khác</t>
        </is>
      </c>
      <c r="G8016" s="10" t="inlineStr">
        <is>
          <t>Nhân viên</t>
        </is>
      </c>
      <c r="H8016" s="10" t="inlineStr">
        <is>
          <t>06/03/2026</t>
        </is>
      </c>
      <c r="I8016" s="10" t="inlineStr">
        <is>
          <t>05/04/2026</t>
        </is>
      </c>
      <c r="J8016" s="10" t="inlineStr">
        <is>
          <t>17/03/2026</t>
        </is>
      </c>
      <c r="K8016" s="10" t="inlineStr">
        <is>
          <t>N/A</t>
        </is>
      </c>
      <c r="L8016" s="10" t="inlineStr">
        <is>
          <t>Công Nghệ Sinh Học, Làm việc độc lập, Sinh Học Y Dược, Thú Y Chăn Nuôi, Tin Học Văn Phòng (Word- Excel- Powerpoint)</t>
        </is>
      </c>
      <c r="M8016" s="10" t="inlineStr">
        <is>
          <t>Bonus, Healthcare Plan</t>
        </is>
      </c>
      <c r="N8016" s="11">
        <f>HYPERLINK("https://www.vietnamworks.com/nhan-vien-thu-y-djieu-tri-bo-2019338-jv","Xem chi tiết")</f>
        <v/>
      </c>
      <c r="O8016" s="10" t="n"/>
    </row>
    <row r="8017">
      <c r="B8017" s="7" t="n">
        <v>8015</v>
      </c>
      <c r="C8017" t="inlineStr">
        <is>
          <t>Nhân Viên Kế Toán Nội Bộ</t>
        </is>
      </c>
      <c r="D8017" t="inlineStr">
        <is>
          <t>Công Ty Cổ Phần Nhựa Tiến Đức</t>
        </is>
      </c>
      <c r="E8017" t="inlineStr">
        <is>
          <t>14tr-18tr ₫/tháng</t>
        </is>
      </c>
      <c r="F8017" t="inlineStr">
        <is>
          <t>Hà Nội</t>
        </is>
      </c>
      <c r="G8017" t="inlineStr">
        <is>
          <t>Nhân viên</t>
        </is>
      </c>
      <c r="H8017" t="inlineStr">
        <is>
          <t>06/03/2026</t>
        </is>
      </c>
      <c r="I8017" t="inlineStr">
        <is>
          <t>05/04/2026</t>
        </is>
      </c>
      <c r="J8017" t="inlineStr">
        <is>
          <t>17/03/2026</t>
        </is>
      </c>
      <c r="K8017" t="inlineStr">
        <is>
          <t>N/A</t>
        </is>
      </c>
      <c r="L8017" t="inlineStr">
        <is>
          <t>Hạch Toán, Phần Mềm Kế Toán, Quản Lý Chứng Từ, Theo Dõi Công Nợ, Theo Dõi Thu Chi Nội Bộ</t>
        </is>
      </c>
      <c r="M8017" t="inlineStr">
        <is>
          <t>Bonus, Awards, Others</t>
        </is>
      </c>
      <c r="N8017" s="8">
        <f>HYPERLINK("https://www.vietnamworks.com/nhan-vien-ke-toan-noi-bo-2019372-jv","Xem chi tiết")</f>
        <v/>
      </c>
    </row>
    <row r="8018">
      <c r="B8018" s="9" t="n">
        <v>8016</v>
      </c>
      <c r="C8018" s="10" t="inlineStr">
        <is>
          <t>Quảng Ninh - Dự Án Điện Mặt Trời Đầm Hà - Chuyên Viên Thủ Tục Pháp Lý</t>
        </is>
      </c>
      <c r="D8018" s="10" t="inlineStr">
        <is>
          <t>BIM Group Quảng Ninh</t>
        </is>
      </c>
      <c r="E8018" s="10" t="inlineStr">
        <is>
          <t>Thương lượng</t>
        </is>
      </c>
      <c r="F8018" s="10" t="inlineStr">
        <is>
          <t>Quảng Ninh</t>
        </is>
      </c>
      <c r="G8018" s="10" t="inlineStr">
        <is>
          <t>Nhân viên</t>
        </is>
      </c>
      <c r="H8018" s="10" t="inlineStr">
        <is>
          <t>06/03/2026</t>
        </is>
      </c>
      <c r="I8018" s="10" t="inlineStr">
        <is>
          <t>05/04/2026</t>
        </is>
      </c>
      <c r="J8018" s="10" t="inlineStr">
        <is>
          <t>17/03/2026</t>
        </is>
      </c>
      <c r="K8018" s="10" t="inlineStr">
        <is>
          <t>N/A</t>
        </is>
      </c>
      <c r="L8018" s="10" t="inlineStr">
        <is>
          <t>Kiến Thức Pháp Lý, Luật Đầu Tư, Nghiên Cứu Năng Lượng Công Trình, Pháp Lý Dự Án, Soạn Thảo Văn Bản</t>
        </is>
      </c>
      <c r="M8018" s="10" t="inlineStr">
        <is>
          <t>Bonus</t>
        </is>
      </c>
      <c r="N8018" s="11">
        <f>HYPERLINK("https://www.vietnamworks.com/quang-ninh-du-an-djien-mat-troi-djam-ha-chuyen-vien-thu-tuc-phap-ly-2019370-jv","Xem chi tiết")</f>
        <v/>
      </c>
      <c r="O8018" s="10" t="n"/>
    </row>
    <row r="8019">
      <c r="B8019" s="7" t="n">
        <v>8017</v>
      </c>
      <c r="C8019" t="inlineStr">
        <is>
          <t>University/ College Counselor</t>
        </is>
      </c>
      <c r="D8019" t="inlineStr">
        <is>
          <t>Trường Quốc Tế Nam Mỹ</t>
        </is>
      </c>
      <c r="E8019" t="inlineStr">
        <is>
          <t>Thương lượng</t>
        </is>
      </c>
      <c r="F8019" t="inlineStr">
        <is>
          <t>Hồ Chí Minh</t>
        </is>
      </c>
      <c r="G8019" t="inlineStr">
        <is>
          <t>Nhân viên</t>
        </is>
      </c>
      <c r="H8019" t="inlineStr">
        <is>
          <t>06/03/2026</t>
        </is>
      </c>
      <c r="I8019" t="inlineStr">
        <is>
          <t>05/04/2026</t>
        </is>
      </c>
      <c r="J8019" t="inlineStr">
        <is>
          <t>17/03/2026</t>
        </is>
      </c>
      <c r="K8019" t="inlineStr">
        <is>
          <t>N/A</t>
        </is>
      </c>
      <c r="L8019" t="inlineStr">
        <is>
          <t>Brand Management, Digital Platforms, Education, Market Research, Marketing</t>
        </is>
      </c>
      <c r="M8019" t="inlineStr">
        <is>
          <t>Bonus, Healthcare Plan, Paid Leave, Team Activities, Canteen, Vouchers, Others</t>
        </is>
      </c>
      <c r="N8019" s="8">
        <f>HYPERLINK("https://www.vietnamworks.com/university-college-counselor-2019352-jv","Xem chi tiết")</f>
        <v/>
      </c>
    </row>
    <row r="8020">
      <c r="B8020" s="9" t="n">
        <v>8018</v>
      </c>
      <c r="C8020" s="10" t="inlineStr">
        <is>
          <t>Nhân Viên Kinh Doanh (Sales Executive) - Làm Việc Cho Công Ty Dược Phẩm</t>
        </is>
      </c>
      <c r="D8020" s="10" t="inlineStr">
        <is>
          <t>VPĐD China National Pharmaceutical Foreign Trade Corporation tại Hà Nội</t>
        </is>
      </c>
      <c r="E8020" s="10" t="inlineStr">
        <is>
          <t>Thương lượng</t>
        </is>
      </c>
      <c r="F8020" s="10" t="inlineStr">
        <is>
          <t>Hà Nội</t>
        </is>
      </c>
      <c r="G8020" s="10" t="inlineStr">
        <is>
          <t>Nhân viên</t>
        </is>
      </c>
      <c r="H8020" s="10" t="inlineStr">
        <is>
          <t>06/03/2026</t>
        </is>
      </c>
      <c r="I8020" s="10" t="inlineStr">
        <is>
          <t>05/04/2026</t>
        </is>
      </c>
      <c r="J8020" s="10" t="inlineStr">
        <is>
          <t>17/03/2026</t>
        </is>
      </c>
      <c r="K8020" s="10" t="inlineStr">
        <is>
          <t>N/A</t>
        </is>
      </c>
      <c r="L8020" s="10" t="inlineStr">
        <is>
          <t>Tìm Kiếm Khách Hàng, Giao Tiếp Tiếng Anh, Bán Hàng Bao Bì, Phát Triển Khách Hàng, Tư Vấn Sản Phẩm</t>
        </is>
      </c>
      <c r="M8020" s="10" t="inlineStr">
        <is>
          <t>Others</t>
        </is>
      </c>
      <c r="N8020" s="11">
        <f>HYPERLINK("https://www.vietnamworks.com/nhan-vien-kinh-doanh-sales-executive-lam-viec-cho-cong-ty-duoc-pham-2019375-jv","Xem chi tiết")</f>
        <v/>
      </c>
      <c r="O8020" s="10" t="n"/>
    </row>
    <row r="8021">
      <c r="B8021" s="7" t="n">
        <v>8019</v>
      </c>
      <c r="C8021" t="inlineStr">
        <is>
          <t>Chuyên Viên C&amp;B kiêm Hành Chính</t>
        </is>
      </c>
      <c r="D8021" t="inlineStr">
        <is>
          <t>Tập Đoàn Bất Động Sản An Gia</t>
        </is>
      </c>
      <c r="E8021" t="inlineStr">
        <is>
          <t>Thương lượng</t>
        </is>
      </c>
      <c r="F8021" t="inlineStr">
        <is>
          <t>Hồ Chí Minh</t>
        </is>
      </c>
      <c r="G8021" t="inlineStr">
        <is>
          <t>Nhân viên</t>
        </is>
      </c>
      <c r="H8021" t="inlineStr">
        <is>
          <t>06/03/2026</t>
        </is>
      </c>
      <c r="I8021" t="inlineStr">
        <is>
          <t>05/04/2026</t>
        </is>
      </c>
      <c r="J8021" t="inlineStr">
        <is>
          <t>17/03/2026</t>
        </is>
      </c>
      <c r="K8021" t="inlineStr">
        <is>
          <t>N/A</t>
        </is>
      </c>
      <c r="L8021" t="inlineStr">
        <is>
          <t>C&amp;B, Hành Chính Nhân Sự, Luật Lao Động, Quản Lý Ngân Sách, Thành Thạo Excel</t>
        </is>
      </c>
      <c r="M8021" t="inlineStr">
        <is>
          <t>Bonus, Healthcare Plan, Paid Leave, Training, Laptop, Travel Opportunities, Vouchers</t>
        </is>
      </c>
      <c r="N8021" s="8">
        <f>HYPERLINK("https://www.vietnamworks.com/chuyen-vien-candb-kiem-hanh-chinh-2019368-jv","Xem chi tiết")</f>
        <v/>
      </c>
    </row>
    <row r="8022">
      <c r="B8022" s="9" t="n">
        <v>8020</v>
      </c>
      <c r="C8022" s="10" t="inlineStr">
        <is>
          <t>Nhân Viên Bảo Dưỡng Thiết Bị Trên Chuyền Sản Xuất</t>
        </is>
      </c>
      <c r="D8022" s="10" t="inlineStr">
        <is>
          <t>Tohoku Pioneer Vietnam Co., Ltd</t>
        </is>
      </c>
      <c r="E8022" s="10" t="inlineStr">
        <is>
          <t>Thương lượng</t>
        </is>
      </c>
      <c r="F8022" s="10" t="inlineStr">
        <is>
          <t>Hải Phòng</t>
        </is>
      </c>
      <c r="G8022" s="10" t="inlineStr">
        <is>
          <t>Mới Tốt Nghiệp</t>
        </is>
      </c>
      <c r="H8022" s="10" t="inlineStr">
        <is>
          <t>06/03/2026</t>
        </is>
      </c>
      <c r="I8022" s="10" t="inlineStr">
        <is>
          <t>05/04/2026</t>
        </is>
      </c>
      <c r="J8022" s="10" t="inlineStr">
        <is>
          <t>17/03/2026</t>
        </is>
      </c>
      <c r="K8022" s="10" t="inlineStr">
        <is>
          <t>N/A</t>
        </is>
      </c>
      <c r="L8022" s="10" t="inlineStr">
        <is>
          <t>Sửa Chữa Máy Móc, Bảo Dưỡng, Kiến thức điện, Cơ Điện Tự Động, Thiết Bị</t>
        </is>
      </c>
      <c r="M8022" s="10" t="inlineStr">
        <is>
          <t>Bonus, Training, Travel Opportunities</t>
        </is>
      </c>
      <c r="N8022" s="11">
        <f>HYPERLINK("https://www.vietnamworks.com/nhan-vien-bao-duong-thiet-bi-tren-chuyen-san-xuat-2019378-jv","Xem chi tiết")</f>
        <v/>
      </c>
      <c r="O8022" s="10" t="n"/>
    </row>
    <row r="8023">
      <c r="B8023" s="7" t="n">
        <v>8021</v>
      </c>
      <c r="C8023" t="inlineStr">
        <is>
          <t>Nhân Viên Hồ Sơ Thầu</t>
        </is>
      </c>
      <c r="D8023" t="inlineStr">
        <is>
          <t>CÔNG TY CỔ PHẦN CƠ ĐIỆN THIÊN NIÊN KỶ</t>
        </is>
      </c>
      <c r="E8023" t="inlineStr">
        <is>
          <t>10tr-15tr ₫/tháng</t>
        </is>
      </c>
      <c r="F8023" t="inlineStr">
        <is>
          <t>Hà Nội</t>
        </is>
      </c>
      <c r="G8023" t="inlineStr">
        <is>
          <t>Mới Tốt Nghiệp</t>
        </is>
      </c>
      <c r="H8023" t="inlineStr">
        <is>
          <t>06/03/2026</t>
        </is>
      </c>
      <c r="I8023" t="inlineStr">
        <is>
          <t>05/04/2026</t>
        </is>
      </c>
      <c r="J8023" t="inlineStr">
        <is>
          <t>17/03/2026</t>
        </is>
      </c>
      <c r="K8023" t="inlineStr">
        <is>
          <t>N/A</t>
        </is>
      </c>
      <c r="L8023" t="inlineStr">
        <is>
          <t>Luật Đấu Thầu, Phân Tích Dữ Liệu, Quản Lý Hồ Sơ, Soạn Thảo Hồ Sơ, Theo Dõi Hợp Đồng</t>
        </is>
      </c>
      <c r="M8023" t="inlineStr">
        <is>
          <t>Bonus, Healthcare Plan, Training, Travel Opportunities</t>
        </is>
      </c>
      <c r="N8023" s="8">
        <f>HYPERLINK("https://www.vietnamworks.com/nhan-vien-ho-so-thau-2019385-jv","Xem chi tiết")</f>
        <v/>
      </c>
    </row>
    <row r="8024">
      <c r="B8024" s="9" t="n">
        <v>8022</v>
      </c>
      <c r="C8024" s="10" t="inlineStr">
        <is>
          <t>Nhân Viên Kỹ Thuật Thiết Kế</t>
        </is>
      </c>
      <c r="D8024" s="10" t="inlineStr">
        <is>
          <t>Công Ty TNHH Sumitomo Heavy Industries (Việt Nam)</t>
        </is>
      </c>
      <c r="E8024" s="10" t="inlineStr">
        <is>
          <t>$$ 400-650 /tháng</t>
        </is>
      </c>
      <c r="F8024" s="10" t="inlineStr">
        <is>
          <t>Hà Nội</t>
        </is>
      </c>
      <c r="G8024" s="10" t="inlineStr">
        <is>
          <t>Nhân viên</t>
        </is>
      </c>
      <c r="H8024" s="10" t="inlineStr">
        <is>
          <t>06/03/2026</t>
        </is>
      </c>
      <c r="I8024" s="10" t="inlineStr">
        <is>
          <t>05/04/2026</t>
        </is>
      </c>
      <c r="J8024" s="10" t="inlineStr">
        <is>
          <t>17/03/2026</t>
        </is>
      </c>
      <c r="K8024" s="10" t="inlineStr">
        <is>
          <t>N/A</t>
        </is>
      </c>
      <c r="L8024" s="10" t="inlineStr">
        <is>
          <t>AutoCAD, Cơ Khí, Cơ Điện Tử, Thiết Kế Kỹ Thuật, Kỹ Thuật Sản Xuất</t>
        </is>
      </c>
      <c r="M8024" s="10" t="inlineStr">
        <is>
          <t>Awards, Travel Opportunities, Canteen</t>
        </is>
      </c>
      <c r="N8024" s="11">
        <f>HYPERLINK("https://www.vietnamworks.com/nhan-vien-ky-thuat-thiet-ke--2019381-jv","Xem chi tiết")</f>
        <v/>
      </c>
      <c r="O8024" s="10" t="n"/>
    </row>
    <row r="8025">
      <c r="B8025" s="7" t="n">
        <v>8023</v>
      </c>
      <c r="C8025" t="inlineStr">
        <is>
          <t>Deputy CEO / COO (CEO Kế Nhiệm) Dap Smartsale</t>
        </is>
      </c>
      <c r="D8025" t="inlineStr">
        <is>
          <t>Công Ty TNHH Thương Mại Dược Phẩm Đông Á</t>
        </is>
      </c>
      <c r="E8025" t="inlineStr">
        <is>
          <t>Thương lượng</t>
        </is>
      </c>
      <c r="F8025" t="inlineStr">
        <is>
          <t>Hà Nội</t>
        </is>
      </c>
      <c r="G8025" t="inlineStr">
        <is>
          <t>Giám Đốc và Cấp Cao Hơn</t>
        </is>
      </c>
      <c r="H8025" t="inlineStr">
        <is>
          <t>06/03/2026</t>
        </is>
      </c>
      <c r="I8025" t="inlineStr">
        <is>
          <t>05/04/2026</t>
        </is>
      </c>
      <c r="J8025" t="inlineStr">
        <is>
          <t>17/03/2026</t>
        </is>
      </c>
      <c r="K8025" t="inlineStr">
        <is>
          <t>N/A</t>
        </is>
      </c>
      <c r="L8025" t="inlineStr">
        <is>
          <t>Quản Lý Sales, Lãnh Đạo, Dược Phẩm, Sales Development, Sales Management</t>
        </is>
      </c>
      <c r="M8025" t="inlineStr">
        <is>
          <t>Bonus, Healthcare Plan, Training, Team Activities, Others</t>
        </is>
      </c>
      <c r="N8025" s="8">
        <f>HYPERLINK("https://www.vietnamworks.com/deputy-ceo-coo-ceo-ke-nhiem-dap-smartsale-2019371-jv","Xem chi tiết")</f>
        <v/>
      </c>
    </row>
    <row r="8026">
      <c r="B8026" s="9" t="n">
        <v>8024</v>
      </c>
      <c r="C8026" s="10" t="inlineStr">
        <is>
          <t>Nhân Viên Kinh Doanh OTA/TA | Du Lịch Cao Cấp – Thu Nhập Up To 25 Triệu</t>
        </is>
      </c>
      <c r="D8026" s="10" t="inlineStr">
        <is>
          <t>CÔNG TY TNHH ĐẦU TƯ PHÁT TRIỂN QUỐC TẾ HẢI AN</t>
        </is>
      </c>
      <c r="E8026" s="10" t="inlineStr">
        <is>
          <t>Tới 25tr ₫/tháng</t>
        </is>
      </c>
      <c r="F8026" s="10" t="inlineStr">
        <is>
          <t>Hà Nội</t>
        </is>
      </c>
      <c r="G8026" s="10" t="inlineStr">
        <is>
          <t>Mới Tốt Nghiệp</t>
        </is>
      </c>
      <c r="H8026" s="10" t="inlineStr">
        <is>
          <t>06/03/2026</t>
        </is>
      </c>
      <c r="I8026" s="10" t="inlineStr">
        <is>
          <t>05/04/2026</t>
        </is>
      </c>
      <c r="J8026" s="10" t="inlineStr">
        <is>
          <t>17/03/2026</t>
        </is>
      </c>
      <c r="K8026" s="10" t="inlineStr">
        <is>
          <t>N/A</t>
        </is>
      </c>
      <c r="L8026" s="10" t="inlineStr">
        <is>
          <t>Quản Lý Kênh Bán Hàng, Chăm Sóc Khách Hàng, Kinh Doanh, Sales Planning</t>
        </is>
      </c>
      <c r="M8026" s="10" t="inlineStr">
        <is>
          <t>Healthcare Plan, Others</t>
        </is>
      </c>
      <c r="N8026" s="11">
        <f>HYPERLINK("https://www.vietnamworks.com/nhan-vien-kinh-doanh-otata-or-du-lich-cao-cap-thu-nhap-up-to-25-trieu-2019380-jv","Xem chi tiết")</f>
        <v/>
      </c>
      <c r="O8026" s="10" t="n"/>
    </row>
    <row r="8027">
      <c r="B8027" s="7" t="n">
        <v>8025</v>
      </c>
      <c r="C8027" t="inlineStr">
        <is>
          <t>Kỹ Sư Tự Động Hóa</t>
        </is>
      </c>
      <c r="D8027" t="inlineStr">
        <is>
          <t>CÔNG TY CỔ PHẦN CƠ ĐIỆN THIÊN NIÊN KỶ</t>
        </is>
      </c>
      <c r="E8027" t="inlineStr">
        <is>
          <t>Thương lượng</t>
        </is>
      </c>
      <c r="F8027" t="inlineStr">
        <is>
          <t>Hà Nội</t>
        </is>
      </c>
      <c r="G8027" t="inlineStr">
        <is>
          <t>Nhân viên</t>
        </is>
      </c>
      <c r="H8027" t="inlineStr">
        <is>
          <t>06/03/2026</t>
        </is>
      </c>
      <c r="I8027" t="inlineStr">
        <is>
          <t>05/04/2026</t>
        </is>
      </c>
      <c r="J8027" t="inlineStr">
        <is>
          <t>17/03/2026</t>
        </is>
      </c>
      <c r="K8027" t="inlineStr">
        <is>
          <t>N/A</t>
        </is>
      </c>
      <c r="L8027" t="inlineStr">
        <is>
          <t>EPLAN, SCADA, Thiết Kế Dự Án, Tự Động Hóa, Điện Tử</t>
        </is>
      </c>
      <c r="M8027" t="inlineStr">
        <is>
          <t>Bonus, Healthcare Plan, Training, Awards, Travel Opportunities, Transportation</t>
        </is>
      </c>
      <c r="N8027" s="8">
        <f>HYPERLINK("https://www.vietnamworks.com/ky-su-tu-djong-hoa-2019383-jv","Xem chi tiết")</f>
        <v/>
      </c>
    </row>
    <row r="8028">
      <c r="B8028" s="9" t="n">
        <v>8026</v>
      </c>
      <c r="C8028" s="10" t="inlineStr">
        <is>
          <t>Trưởng Phòng Tài Chính Kế Toán</t>
        </is>
      </c>
      <c r="D8028" s="10" t="inlineStr">
        <is>
          <t>CÔNG TY CỔ PHẦN TỐC ĐỘ (Headway JSC)</t>
        </is>
      </c>
      <c r="E8028" s="10" t="inlineStr">
        <is>
          <t>Thương lượng</t>
        </is>
      </c>
      <c r="F8028" s="10" t="inlineStr">
        <is>
          <t>Hồ Chí Minh</t>
        </is>
      </c>
      <c r="G8028" s="10" t="inlineStr">
        <is>
          <t>Giám Đốc và Cấp Cao Hơn</t>
        </is>
      </c>
      <c r="H8028" s="10" t="inlineStr">
        <is>
          <t>06/03/2026</t>
        </is>
      </c>
      <c r="I8028" s="10" t="inlineStr">
        <is>
          <t>05/04/2026</t>
        </is>
      </c>
      <c r="J8028" s="10" t="inlineStr">
        <is>
          <t>17/03/2026</t>
        </is>
      </c>
      <c r="K8028" s="10" t="inlineStr">
        <is>
          <t>N/A</t>
        </is>
      </c>
      <c r="L8028" s="10" t="inlineStr">
        <is>
          <t>Kế Toán, Tài Chính, Quản Lý Rủi Ro, Phân Tích Tài Chính, Tài Chính Kế Toán</t>
        </is>
      </c>
      <c r="M8028" s="10" t="inlineStr">
        <is>
          <t>Bonus, Healthcare Plan, Training, Others</t>
        </is>
      </c>
      <c r="N8028" s="11">
        <f>HYPERLINK("https://www.vietnamworks.com/truong-phong-tai-chinh-ke-toan-2019382-jv","Xem chi tiết")</f>
        <v/>
      </c>
      <c r="O8028" s="10" t="n"/>
    </row>
    <row r="8029">
      <c r="B8029" s="7" t="n">
        <v>8027</v>
      </c>
      <c r="C8029" t="inlineStr">
        <is>
          <t>Trưởng Nhóm Digital Marketing</t>
        </is>
      </c>
      <c r="D8029" t="inlineStr">
        <is>
          <t>Công Ty CP Đầu tư và Thương mại Quốc tế Phan Nguyễn</t>
        </is>
      </c>
      <c r="E8029" t="inlineStr">
        <is>
          <t>15tr-20tr ₫/tháng</t>
        </is>
      </c>
      <c r="F8029" t="inlineStr">
        <is>
          <t>Hà Nội</t>
        </is>
      </c>
      <c r="G8029" t="inlineStr">
        <is>
          <t>Trưởng phòng</t>
        </is>
      </c>
      <c r="H8029" t="inlineStr">
        <is>
          <t>06/03/2026</t>
        </is>
      </c>
      <c r="I8029" t="inlineStr">
        <is>
          <t>05/04/2026</t>
        </is>
      </c>
      <c r="J8029" t="inlineStr">
        <is>
          <t>17/03/2026</t>
        </is>
      </c>
      <c r="K8029" t="inlineStr">
        <is>
          <t>N/A</t>
        </is>
      </c>
      <c r="L8029" t="inlineStr">
        <is>
          <t>Ad Optimization, Branding, Digital Marketing, Performance Marketing, Social Media Management</t>
        </is>
      </c>
      <c r="M8029" t="inlineStr">
        <is>
          <t>Bonus, Healthcare Plan, Paid Leave, Team Activities, Others</t>
        </is>
      </c>
      <c r="N8029" s="8">
        <f>HYPERLINK("https://www.vietnamworks.com/truong-nhom-digital-marketing-2019388-jv","Xem chi tiết")</f>
        <v/>
      </c>
    </row>
    <row r="8030">
      <c r="B8030" s="9" t="n">
        <v>8028</v>
      </c>
      <c r="C8030" s="10" t="inlineStr">
        <is>
          <t>[Làm Việc Tại Hải Phòng] Quản Lý Dự Án/ Project Management</t>
        </is>
      </c>
      <c r="D8030" s="10" t="inlineStr">
        <is>
          <t>CÔNG TY CỔ PHẦN CƠ KHÍ XÂY DỰNG AMECC</t>
        </is>
      </c>
      <c r="E8030" s="10" t="inlineStr">
        <is>
          <t>Thương lượng</t>
        </is>
      </c>
      <c r="F8030" s="10" t="inlineStr">
        <is>
          <t>Hải Phòng</t>
        </is>
      </c>
      <c r="G8030" s="10" t="inlineStr">
        <is>
          <t>Nhân viên</t>
        </is>
      </c>
      <c r="H8030" s="10" t="inlineStr">
        <is>
          <t>06/03/2026</t>
        </is>
      </c>
      <c r="I8030" s="10" t="inlineStr">
        <is>
          <t>05/04/2026</t>
        </is>
      </c>
      <c r="J8030" s="10" t="inlineStr">
        <is>
          <t>17/03/2026</t>
        </is>
      </c>
      <c r="K8030" s="10" t="inlineStr">
        <is>
          <t>N/A</t>
        </is>
      </c>
      <c r="L8030" s="10" t="inlineStr">
        <is>
          <t>Lập Dự Toán, Thiết Kế Biện Pháp Thi Công, AutoCAD, Lập Kế Hoạch Dự Án, Quyết Toán Dự Án</t>
        </is>
      </c>
      <c r="M8030" s="10" t="inlineStr">
        <is>
          <t>Healthcare Plan, Paid Leave, Team Activities</t>
        </is>
      </c>
      <c r="N8030" s="11">
        <f>HYPERLINK("https://www.vietnamworks.com/lam-viec-tai-hai-phong-quan-ly-du-an-project-management-2019391-jv","Xem chi tiết")</f>
        <v/>
      </c>
      <c r="O8030" s="10" t="n"/>
    </row>
    <row r="8031">
      <c r="B8031" s="7" t="n">
        <v>8029</v>
      </c>
      <c r="C8031" t="inlineStr">
        <is>
          <t>Quản Lý Sàn Thương Mại Điện Tử</t>
        </is>
      </c>
      <c r="D8031" t="inlineStr">
        <is>
          <t>Công Ty CP Đầu tư và Thương mại Quốc tế Phan Nguyễn</t>
        </is>
      </c>
      <c r="E8031" t="inlineStr">
        <is>
          <t>15tr-20tr ₫/tháng</t>
        </is>
      </c>
      <c r="F8031" t="inlineStr">
        <is>
          <t>Hà Nội</t>
        </is>
      </c>
      <c r="G8031" t="inlineStr">
        <is>
          <t>Trưởng phòng</t>
        </is>
      </c>
      <c r="H8031" t="inlineStr">
        <is>
          <t>06/03/2026</t>
        </is>
      </c>
      <c r="I8031" t="inlineStr">
        <is>
          <t>05/04/2026</t>
        </is>
      </c>
      <c r="J8031" t="inlineStr">
        <is>
          <t>17/03/2026</t>
        </is>
      </c>
      <c r="K8031" t="inlineStr">
        <is>
          <t>N/A</t>
        </is>
      </c>
      <c r="L8031" t="inlineStr">
        <is>
          <t>Kế Hoạch Kinh Doanh, Marketing Planning, Phân Tích Số Liệu, Phát triển doanh số</t>
        </is>
      </c>
      <c r="M8031" t="inlineStr">
        <is>
          <t>Bonus, Healthcare Plan, Paid Leave, Awards, Team Activities, Others</t>
        </is>
      </c>
      <c r="N8031" s="8">
        <f>HYPERLINK("https://www.vietnamworks.com/quan-ly-san-thuong-mai-djien-tu-2019389-jv","Xem chi tiết")</f>
        <v/>
      </c>
    </row>
    <row r="8032">
      <c r="B8032" s="9" t="n">
        <v>8030</v>
      </c>
      <c r="C8032" s="10" t="inlineStr">
        <is>
          <t>HR Staff (Japanese Teaching)</t>
        </is>
      </c>
      <c r="D8032" s="10" t="inlineStr">
        <is>
          <t>Panasonic Appliances Vietnam</t>
        </is>
      </c>
      <c r="E8032" s="10" t="inlineStr">
        <is>
          <t>Thương lượng</t>
        </is>
      </c>
      <c r="F8032" s="10" t="inlineStr">
        <is>
          <t>Hà Nội</t>
        </is>
      </c>
      <c r="G8032" s="10" t="inlineStr">
        <is>
          <t>Mới Tốt Nghiệp</t>
        </is>
      </c>
      <c r="H8032" s="10" t="inlineStr">
        <is>
          <t>06/03/2026</t>
        </is>
      </c>
      <c r="I8032" s="10" t="inlineStr">
        <is>
          <t>05/04/2026</t>
        </is>
      </c>
      <c r="J8032" s="10" t="inlineStr">
        <is>
          <t>17/03/2026</t>
        </is>
      </c>
      <c r="K8032" s="10" t="inlineStr">
        <is>
          <t>N/A</t>
        </is>
      </c>
      <c r="L8032" s="10" t="inlineStr">
        <is>
          <t>Giảng Dạy Tiếng Nhật, Japanese Teaching, Xuất Khẩu Lao Động, Tuyển Dụng, Tuyển Dụng Phổ Thông</t>
        </is>
      </c>
      <c r="M8032" s="10" t="inlineStr">
        <is>
          <t>Bonus, Healthcare Plan, Transportation</t>
        </is>
      </c>
      <c r="N8032" s="11">
        <f>HYPERLINK("https://www.vietnamworks.com/hr-staff-japanese-teaching-2019393-jv","Xem chi tiết")</f>
        <v/>
      </c>
      <c r="O8032" s="10" t="n"/>
    </row>
    <row r="8033">
      <c r="B8033" s="7" t="n">
        <v>8031</v>
      </c>
      <c r="C8033" t="inlineStr">
        <is>
          <t>Nhân Viên QA/QC</t>
        </is>
      </c>
      <c r="D8033" t="inlineStr">
        <is>
          <t>CÔNG TY CỔ PHẦN CƠ KHÍ XÂY DỰNG AMECC</t>
        </is>
      </c>
      <c r="E8033" t="inlineStr">
        <is>
          <t>Thương lượng</t>
        </is>
      </c>
      <c r="F8033" t="inlineStr">
        <is>
          <t>Hải Phòng</t>
        </is>
      </c>
      <c r="G8033" t="inlineStr">
        <is>
          <t>Nhân viên</t>
        </is>
      </c>
      <c r="H8033" t="inlineStr">
        <is>
          <t>06/03/2026</t>
        </is>
      </c>
      <c r="I8033" t="inlineStr">
        <is>
          <t>05/04/2026</t>
        </is>
      </c>
      <c r="J8033" t="inlineStr">
        <is>
          <t>17/03/2026</t>
        </is>
      </c>
      <c r="K8033" t="inlineStr">
        <is>
          <t>N/A</t>
        </is>
      </c>
      <c r="L8033" t="inlineStr">
        <is>
          <t>ISO 9001, Kiểm Soát Chất Lượng, Đánh Giá Chất Lượng, QC, QA</t>
        </is>
      </c>
      <c r="M8033" t="inlineStr">
        <is>
          <t>Others</t>
        </is>
      </c>
      <c r="N8033" s="8">
        <f>HYPERLINK("https://www.vietnamworks.com/nhan-vien-qaqc-2019397-jv","Xem chi tiết")</f>
        <v/>
      </c>
    </row>
    <row r="8034">
      <c r="B8034" s="9" t="n">
        <v>8032</v>
      </c>
      <c r="C8034" s="10" t="inlineStr">
        <is>
          <t>Quản Lý Nhãn Hàng – Kênh Thực Phẩm</t>
        </is>
      </c>
      <c r="D8034" s="10" t="inlineStr">
        <is>
          <t>Công Ty CP Đầu tư và Thương mại Quốc tế Phan Nguyễn</t>
        </is>
      </c>
      <c r="E8034" s="10" t="inlineStr">
        <is>
          <t>25tr-30tr ₫/tháng</t>
        </is>
      </c>
      <c r="F8034" s="10" t="inlineStr">
        <is>
          <t>Hà Nội</t>
        </is>
      </c>
      <c r="G8034" s="10" t="inlineStr">
        <is>
          <t>Trưởng phòng</t>
        </is>
      </c>
      <c r="H8034" s="10" t="inlineStr">
        <is>
          <t>06/03/2026</t>
        </is>
      </c>
      <c r="I8034" s="10" t="inlineStr">
        <is>
          <t>05/04/2026</t>
        </is>
      </c>
      <c r="J8034" s="10" t="inlineStr">
        <is>
          <t>17/03/2026</t>
        </is>
      </c>
      <c r="K8034" s="10" t="inlineStr">
        <is>
          <t>N/A</t>
        </is>
      </c>
      <c r="L8034" s="10" t="inlineStr">
        <is>
          <t>Branding, Giải Quyết Vấn Đề, Lập Kế Hoạch Marketing, Nghiên Cứu Thị Trường, Quản Lý Nhãn Hàng</t>
        </is>
      </c>
      <c r="M8034" s="10" t="inlineStr">
        <is>
          <t>Bonus, Healthcare Plan, Paid Leave, Team Activities, Others</t>
        </is>
      </c>
      <c r="N8034" s="11">
        <f>HYPERLINK("https://www.vietnamworks.com/quan-ly-nhan-hang-kenh-thuc-pham-2019390-jv","Xem chi tiết")</f>
        <v/>
      </c>
      <c r="O8034" s="10" t="n"/>
    </row>
    <row r="8035">
      <c r="B8035" s="7" t="n">
        <v>8033</v>
      </c>
      <c r="C8035" t="inlineStr">
        <is>
          <t>Kỹ Sư Thiết Kế</t>
        </is>
      </c>
      <c r="D8035" t="inlineStr">
        <is>
          <t>CÔNG TY CỔ PHẦN CƠ KHÍ XÂY DỰNG AMECC</t>
        </is>
      </c>
      <c r="E8035" t="inlineStr">
        <is>
          <t>10tr-15tr ₫/tháng</t>
        </is>
      </c>
      <c r="F8035" t="inlineStr">
        <is>
          <t>Hải Phòng</t>
        </is>
      </c>
      <c r="G8035" t="inlineStr">
        <is>
          <t>Nhân viên</t>
        </is>
      </c>
      <c r="H8035" t="inlineStr">
        <is>
          <t>06/03/2026</t>
        </is>
      </c>
      <c r="I8035" t="inlineStr">
        <is>
          <t>05/04/2026</t>
        </is>
      </c>
      <c r="J8035" t="inlineStr">
        <is>
          <t>17/03/2026</t>
        </is>
      </c>
      <c r="K8035" t="inlineStr">
        <is>
          <t>N/A</t>
        </is>
      </c>
      <c r="L8035" t="inlineStr">
        <is>
          <t>AutoCAD, Bóc Tách Bản Vẽ Thiết Kế, Kết Cấu Thép, Tekla, Triển Khai Bản Vẽ</t>
        </is>
      </c>
      <c r="M8035" t="inlineStr">
        <is>
          <t>Bonus, Healthcare Plan, Training, Awards, Transportation, Canteen</t>
        </is>
      </c>
      <c r="N8035" s="8">
        <f>HYPERLINK("https://www.vietnamworks.com/ky-su-thiet-ke-2019392-jv","Xem chi tiết")</f>
        <v/>
      </c>
    </row>
    <row r="8036">
      <c r="B8036" s="9" t="n">
        <v>8034</v>
      </c>
      <c r="C8036" s="10" t="inlineStr">
        <is>
          <t>Chuyên Viên Kinh Tế Xây Dựng (Lương Từ 20Tr/ tháng)</t>
        </is>
      </c>
      <c r="D8036" s="10" t="inlineStr">
        <is>
          <t>Công ty Cổ phần Đầu tư, Phát triển Nhà và Hạ tầng - TKV</t>
        </is>
      </c>
      <c r="E8036" s="10" t="inlineStr">
        <is>
          <t>Từ 20tr ₫/tháng</t>
        </is>
      </c>
      <c r="F8036" s="10" t="inlineStr">
        <is>
          <t>Hà Nội</t>
        </is>
      </c>
      <c r="G8036" s="10" t="inlineStr">
        <is>
          <t>Nhân viên</t>
        </is>
      </c>
      <c r="H8036" s="10" t="inlineStr">
        <is>
          <t>06/03/2026</t>
        </is>
      </c>
      <c r="I8036" s="10" t="inlineStr">
        <is>
          <t>05/04/2026</t>
        </is>
      </c>
      <c r="J8036" s="10" t="inlineStr">
        <is>
          <t>17/03/2026</t>
        </is>
      </c>
      <c r="K8036" s="10" t="inlineStr">
        <is>
          <t>N/A</t>
        </is>
      </c>
      <c r="L8036" s="10" t="inlineStr">
        <is>
          <t>Bóc Tách Khối Lượng, Dự Toán, Kinh Tế Xây Dựng, Quản Lý Chi Phí, Soạn Thảo Hợp Đồng</t>
        </is>
      </c>
      <c r="M8036" s="10" t="inlineStr">
        <is>
          <t>Healthcare Plan, Paid Leave, Training, Others</t>
        </is>
      </c>
      <c r="N8036" s="11">
        <f>HYPERLINK("https://www.vietnamworks.com/chuyen-vien-kinh-te-xay-dung-luong-tu-20tr-thang-2019398-jv","Xem chi tiết")</f>
        <v/>
      </c>
      <c r="O8036" s="10" t="n"/>
    </row>
    <row r="8037">
      <c r="B8037" s="7" t="n">
        <v>8035</v>
      </c>
      <c r="C8037" t="inlineStr">
        <is>
          <t>Middle/Senior Business Analyst - Up To $3000</t>
        </is>
      </c>
      <c r="D8037" t="inlineStr">
        <is>
          <t>Công ty TNHH Alpaca Việt Nam</t>
        </is>
      </c>
      <c r="E8037" t="inlineStr">
        <is>
          <t>Thương lượng</t>
        </is>
      </c>
      <c r="F8037" t="inlineStr">
        <is>
          <t>Hồ Chí Minh</t>
        </is>
      </c>
      <c r="G8037" t="inlineStr">
        <is>
          <t>Nhân viên</t>
        </is>
      </c>
      <c r="H8037" t="inlineStr">
        <is>
          <t>06/03/2026</t>
        </is>
      </c>
      <c r="I8037" t="inlineStr">
        <is>
          <t>05/04/2026</t>
        </is>
      </c>
      <c r="J8037" t="inlineStr">
        <is>
          <t>17/03/2026</t>
        </is>
      </c>
      <c r="K8037" t="inlineStr">
        <is>
          <t>N/A</t>
        </is>
      </c>
      <c r="L8037" t="inlineStr">
        <is>
          <t>Agile Methodology, Business Analysis, IT Phần Mềm, Phân Tích Kinh Doanh, Project Management</t>
        </is>
      </c>
      <c r="M8037" t="inlineStr">
        <is>
          <t>Bonus, Healthcare Plan, Paid Leave, Training, Laptop, Team Activities</t>
        </is>
      </c>
      <c r="N8037" s="8">
        <f>HYPERLINK("https://www.vietnamworks.com/middlesenior-business-analyst-up-to-dollar3000-2019394-jv","Xem chi tiết")</f>
        <v/>
      </c>
    </row>
    <row r="8038">
      <c r="B8038" s="9" t="n">
        <v>8036</v>
      </c>
      <c r="C8038" s="10" t="inlineStr">
        <is>
          <t>Chuyên Viên Kinh Doanh B2B Sản Phẩm Khí LNG</t>
        </is>
      </c>
      <c r="D8038" s="10" t="inlineStr">
        <is>
          <t>Công ty TNHH Năng Lượng Xanh Meta</t>
        </is>
      </c>
      <c r="E8038" s="10" t="inlineStr">
        <is>
          <t>Tới 15tr ₫/tháng</t>
        </is>
      </c>
      <c r="F8038" s="10" t="inlineStr">
        <is>
          <t>Hồ Chí Minh</t>
        </is>
      </c>
      <c r="G8038" s="10" t="inlineStr">
        <is>
          <t>Nhân viên</t>
        </is>
      </c>
      <c r="H8038" s="10" t="inlineStr">
        <is>
          <t>06/03/2026</t>
        </is>
      </c>
      <c r="I8038" s="10" t="inlineStr">
        <is>
          <t>05/04/2026</t>
        </is>
      </c>
      <c r="J8038" s="10" t="inlineStr">
        <is>
          <t>17/03/2026</t>
        </is>
      </c>
      <c r="K8038" s="10" t="inlineStr">
        <is>
          <t>N/A</t>
        </is>
      </c>
      <c r="L8038" s="10" t="inlineStr">
        <is>
          <t>Kinh Doanh B2B, Negotiation, Customer Experience Management, Microsoft Office, Communication</t>
        </is>
      </c>
      <c r="M8038" s="10" t="inlineStr">
        <is>
          <t>Bonus, Healthcare Plan, Training, Others</t>
        </is>
      </c>
      <c r="N8038" s="11">
        <f>HYPERLINK("https://www.vietnamworks.com/chuyen-vien-kinh-doanh-b2b-san-pham-khi-lng-2019395-jv","Xem chi tiết")</f>
        <v/>
      </c>
      <c r="O8038" s="10" t="n"/>
    </row>
    <row r="8039">
      <c r="B8039" s="7" t="n">
        <v>8037</v>
      </c>
      <c r="C8039" t="inlineStr">
        <is>
          <t>Nhân Viên Kỹ Thuật Sản Xuất (Gia Công Cơ Khí Chính Xác)</t>
        </is>
      </c>
      <c r="D8039" t="inlineStr">
        <is>
          <t>Công Ty TNHH Sumitomo Heavy Industries (Việt Nam)</t>
        </is>
      </c>
      <c r="E8039" t="inlineStr">
        <is>
          <t>$$ 400-750 /tháng</t>
        </is>
      </c>
      <c r="F8039" t="inlineStr">
        <is>
          <t>Hà Nội</t>
        </is>
      </c>
      <c r="G8039" t="inlineStr">
        <is>
          <t>Nhân viên</t>
        </is>
      </c>
      <c r="H8039" t="inlineStr">
        <is>
          <t>06/03/2026</t>
        </is>
      </c>
      <c r="I8039" t="inlineStr">
        <is>
          <t>05/04/2026</t>
        </is>
      </c>
      <c r="J8039" t="inlineStr">
        <is>
          <t>17/03/2026</t>
        </is>
      </c>
      <c r="K8039" t="inlineStr">
        <is>
          <t>N/A</t>
        </is>
      </c>
      <c r="L8039" t="inlineStr">
        <is>
          <t>Kỹ Thuật Sản Xuất, Cơ Khí, CNC, Gia Công Cơ Khí, Cơ Khí Chế Tạo Máy</t>
        </is>
      </c>
      <c r="M8039" t="inlineStr">
        <is>
          <t>Bonus, Training, Team Activities</t>
        </is>
      </c>
      <c r="N8039" s="8">
        <f>HYPERLINK("https://www.vietnamworks.com/nhan-vien-ky-thuat-san-xuat-gia-cong-co-khi-chinh-xac--2019401-jv","Xem chi tiết")</f>
        <v/>
      </c>
    </row>
    <row r="8040">
      <c r="B8040" s="9" t="n">
        <v>8038</v>
      </c>
      <c r="C8040" s="10" t="inlineStr">
        <is>
          <t>Logistics Operations Assistant (Third Party Contract)</t>
        </is>
      </c>
      <c r="D8040" s="10" t="inlineStr">
        <is>
          <t>Nestlé Vietnam LTD.</t>
        </is>
      </c>
      <c r="E8040" s="10" t="inlineStr">
        <is>
          <t>Thương lượng</t>
        </is>
      </c>
      <c r="F8040" s="10" t="inlineStr">
        <is>
          <t>Đồng Nai</t>
        </is>
      </c>
      <c r="G8040" s="10" t="inlineStr">
        <is>
          <t>Nhân viên</t>
        </is>
      </c>
      <c r="H8040" s="10" t="inlineStr">
        <is>
          <t>06/03/2026</t>
        </is>
      </c>
      <c r="I8040" s="10" t="inlineStr">
        <is>
          <t>05/04/2026</t>
        </is>
      </c>
      <c r="J8040" s="10" t="inlineStr">
        <is>
          <t>17/03/2026</t>
        </is>
      </c>
      <c r="K8040" s="10" t="inlineStr">
        <is>
          <t>N/A</t>
        </is>
      </c>
      <c r="L8040" s="10" t="inlineStr">
        <is>
          <t>Data Warehouse Systems, Logistics Operations, Power BI analytics, Transportation Operations, Supply Chain &amp; Logistic Coordination</t>
        </is>
      </c>
      <c r="M8040" s="10" t="inlineStr">
        <is>
          <t>Bonus, Laptop, Transportation</t>
        </is>
      </c>
      <c r="N8040" s="11">
        <f>HYPERLINK("https://www.vietnamworks.com/logistics-operations-assistant-third-party-contract-2019406-jv","Xem chi tiết")</f>
        <v/>
      </c>
      <c r="O8040" s="10" t="n"/>
    </row>
    <row r="8041">
      <c r="B8041" s="7" t="n">
        <v>8039</v>
      </c>
      <c r="C8041" t="inlineStr">
        <is>
          <t>Chuyên Viên Kinh Doanh Sales Logistics - Thu Nhập Cao</t>
        </is>
      </c>
      <c r="D8041" t="inlineStr">
        <is>
          <t>Whale Logistics (Hanoi) Co., Ltd</t>
        </is>
      </c>
      <c r="E8041" t="inlineStr">
        <is>
          <t>15tr-25tr ₫/tháng</t>
        </is>
      </c>
      <c r="F8041" t="inlineStr">
        <is>
          <t>Hà Nội</t>
        </is>
      </c>
      <c r="G8041" t="inlineStr">
        <is>
          <t>Nhân viên</t>
        </is>
      </c>
      <c r="H8041" t="inlineStr">
        <is>
          <t>06/03/2026</t>
        </is>
      </c>
      <c r="I8041" t="inlineStr">
        <is>
          <t>05/04/2026</t>
        </is>
      </c>
      <c r="J8041" t="inlineStr">
        <is>
          <t>17/03/2026</t>
        </is>
      </c>
      <c r="K8041" t="inlineStr">
        <is>
          <t>N/A</t>
        </is>
      </c>
      <c r="L8041" t="inlineStr">
        <is>
          <t>Chăm Sóc Khách Hàng, Kinh Doanh Vận Tải, Giao Nhận Vận Chuyển, Logistic Forwarding, Xuất Nhập Khẩu &amp; Logistics</t>
        </is>
      </c>
      <c r="M8041" t="inlineStr">
        <is>
          <t>Bonus, Healthcare Plan, Training, Others</t>
        </is>
      </c>
      <c r="N8041" s="8">
        <f>HYPERLINK("https://www.vietnamworks.com/chuyen-vien-kinh-doanh-sales-logistics-thu-nhap-cao-2019407-jv","Xem chi tiết")</f>
        <v/>
      </c>
    </row>
    <row r="8042">
      <c r="B8042" s="9" t="n">
        <v>8040</v>
      </c>
      <c r="C8042" s="10" t="inlineStr">
        <is>
          <t>Brand Manager</t>
        </is>
      </c>
      <c r="D8042" s="10" t="inlineStr">
        <is>
          <t>Hệ thống Giáo dục Vinschool</t>
        </is>
      </c>
      <c r="E8042" s="10" t="inlineStr">
        <is>
          <t>Thương lượng</t>
        </is>
      </c>
      <c r="F8042" s="10" t="inlineStr">
        <is>
          <t>Hà Nội</t>
        </is>
      </c>
      <c r="G8042" s="10" t="inlineStr">
        <is>
          <t>Trưởng phòng</t>
        </is>
      </c>
      <c r="H8042" s="10" t="inlineStr">
        <is>
          <t>06/03/2026</t>
        </is>
      </c>
      <c r="I8042" s="10" t="inlineStr">
        <is>
          <t>05/04/2026</t>
        </is>
      </c>
      <c r="J8042" s="10" t="inlineStr">
        <is>
          <t>17/03/2026</t>
        </is>
      </c>
      <c r="K8042" s="10" t="inlineStr">
        <is>
          <t>N/A</t>
        </is>
      </c>
      <c r="L8042" s="10" t="inlineStr">
        <is>
          <t>Bilingual Proficiency, Brand Building, Marketing Strategy, Strategic Thinking, K–12 Education Knowledge</t>
        </is>
      </c>
      <c r="M8042" s="10" t="inlineStr">
        <is>
          <t>Bonus</t>
        </is>
      </c>
      <c r="N8042" s="11">
        <f>HYPERLINK("https://www.vietnamworks.com/brand-manager-2019409-jv","Xem chi tiết")</f>
        <v/>
      </c>
      <c r="O8042" s="10" t="n"/>
    </row>
    <row r="8043">
      <c r="B8043" s="7" t="n">
        <v>8041</v>
      </c>
      <c r="C8043" t="inlineStr">
        <is>
          <t>Kỹ Sư Thiết Kế</t>
        </is>
      </c>
      <c r="D8043" t="inlineStr">
        <is>
          <t>Công Ty TNHH True Soltec Việt Nam</t>
        </is>
      </c>
      <c r="E8043" t="inlineStr">
        <is>
          <t>Thương lượng</t>
        </is>
      </c>
      <c r="F8043" t="inlineStr">
        <is>
          <t>Long An, Hồ Chí Minh</t>
        </is>
      </c>
      <c r="G8043" t="inlineStr">
        <is>
          <t>Nhân viên</t>
        </is>
      </c>
      <c r="H8043" t="inlineStr">
        <is>
          <t>06/03/2026</t>
        </is>
      </c>
      <c r="I8043" t="inlineStr">
        <is>
          <t>05/04/2026</t>
        </is>
      </c>
      <c r="J8043" t="inlineStr">
        <is>
          <t>17/03/2026</t>
        </is>
      </c>
      <c r="K8043" t="inlineStr">
        <is>
          <t>N/A</t>
        </is>
      </c>
      <c r="L8043" t="inlineStr">
        <is>
          <t>Thiết Kế 3D Inventor, Lắp Ráp Máy Móc, Thiết Kế Máy Móc, AutoCAD, Thiết Kế Cơ Khí</t>
        </is>
      </c>
      <c r="M8043" t="inlineStr">
        <is>
          <t>Bonus, Healthcare Plan, Paid Leave, Others</t>
        </is>
      </c>
      <c r="N8043" s="8">
        <f>HYPERLINK("https://www.vietnamworks.com/ky-su-thiet-ke-2019414-jv","Xem chi tiết")</f>
        <v/>
      </c>
    </row>
    <row r="8044">
      <c r="B8044" s="9" t="n">
        <v>8042</v>
      </c>
      <c r="C8044" s="10" t="inlineStr">
        <is>
          <t>Senior Materials Library Developer</t>
        </is>
      </c>
      <c r="D8044" s="10" t="inlineStr">
        <is>
          <t>VF Asia Ltd.</t>
        </is>
      </c>
      <c r="E8044" s="10" t="inlineStr">
        <is>
          <t>Thương lượng</t>
        </is>
      </c>
      <c r="F8044" s="10" t="inlineStr">
        <is>
          <t>Hồ Chí Minh</t>
        </is>
      </c>
      <c r="G8044" s="10" t="inlineStr">
        <is>
          <t>Nhân viên</t>
        </is>
      </c>
      <c r="H8044" s="10" t="inlineStr">
        <is>
          <t>06/03/2026</t>
        </is>
      </c>
      <c r="I8044" s="10" t="inlineStr">
        <is>
          <t>05/04/2026</t>
        </is>
      </c>
      <c r="J8044" s="10" t="inlineStr">
        <is>
          <t>17/03/2026</t>
        </is>
      </c>
      <c r="K8044" s="10" t="inlineStr">
        <is>
          <t>N/A</t>
        </is>
      </c>
      <c r="L8044" s="10" t="inlineStr">
        <is>
          <t>Good English communication at work</t>
        </is>
      </c>
      <c r="M8044" s="10" t="inlineStr">
        <is>
          <t>Bonus</t>
        </is>
      </c>
      <c r="N8044" s="11">
        <f>HYPERLINK("https://www.vietnamworks.com/senior-materials-library-developer-2019410-jv","Xem chi tiết")</f>
        <v/>
      </c>
      <c r="O8044" s="10" t="n"/>
    </row>
    <row r="8045">
      <c r="B8045" s="7" t="n">
        <v>8043</v>
      </c>
      <c r="C8045" t="inlineStr">
        <is>
          <t>Trưởng Phòng Quản Lý Chất Lượng</t>
        </is>
      </c>
      <c r="D8045" t="inlineStr">
        <is>
          <t>CÔNG TY CỔ PHẦN XUẤT NHẬP KHẨU HOÀ AN</t>
        </is>
      </c>
      <c r="E8045" t="inlineStr">
        <is>
          <t>Thương lượng</t>
        </is>
      </c>
      <c r="F8045" t="inlineStr">
        <is>
          <t>Bắc Ninh</t>
        </is>
      </c>
      <c r="G8045" t="inlineStr">
        <is>
          <t>Trưởng phòng</t>
        </is>
      </c>
      <c r="H8045" t="inlineStr">
        <is>
          <t>06/03/2026</t>
        </is>
      </c>
      <c r="I8045" t="inlineStr">
        <is>
          <t>05/04/2026</t>
        </is>
      </c>
      <c r="J8045" t="inlineStr">
        <is>
          <t>17/03/2026</t>
        </is>
      </c>
      <c r="K8045" t="inlineStr">
        <is>
          <t>N/A</t>
        </is>
      </c>
      <c r="L8045" t="inlineStr">
        <is>
          <t>QA, QC, Kiểm Soát Chất Lượng, Quality Control, Quản Lý Chất Lượng</t>
        </is>
      </c>
      <c r="M8045" t="inlineStr">
        <is>
          <t>Bonus</t>
        </is>
      </c>
      <c r="N8045" s="8">
        <f>HYPERLINK("https://www.vietnamworks.com/truong-phong-quan-ly-chat-luong--2019396-jv","Xem chi tiết")</f>
        <v/>
      </c>
    </row>
    <row r="8046">
      <c r="B8046" s="9" t="n">
        <v>8044</v>
      </c>
      <c r="C8046" s="10" t="inlineStr">
        <is>
          <t>Trưởng Nhóm QC Chuyên Ngành Hóa Học</t>
        </is>
      </c>
      <c r="D8046" s="10" t="inlineStr">
        <is>
          <t>CÔNG TY CỔ PHẦN ASIA SPECIALTY INGREDIENTS</t>
        </is>
      </c>
      <c r="E8046" s="10" t="inlineStr">
        <is>
          <t>20tr-30tr ₫/tháng</t>
        </is>
      </c>
      <c r="F8046" s="10" t="inlineStr">
        <is>
          <t>Hưng Yên, Hà Nội</t>
        </is>
      </c>
      <c r="G8046" s="10" t="inlineStr">
        <is>
          <t>Trưởng phòng</t>
        </is>
      </c>
      <c r="H8046" s="10" t="inlineStr">
        <is>
          <t>06/03/2026</t>
        </is>
      </c>
      <c r="I8046" s="10" t="inlineStr">
        <is>
          <t>05/04/2026</t>
        </is>
      </c>
      <c r="J8046" s="10" t="inlineStr">
        <is>
          <t>17/03/2026</t>
        </is>
      </c>
      <c r="K8046" s="10" t="inlineStr">
        <is>
          <t>N/A</t>
        </is>
      </c>
      <c r="L8046" s="10" t="inlineStr">
        <is>
          <t>Hóa Học, QC, Quản Lý Chất Lượng, Kĩ thuật hoá học, Hóa Hữa Cơ</t>
        </is>
      </c>
      <c r="M8046" s="10" t="inlineStr">
        <is>
          <t>Bonus, Healthcare Plan, Travel Opportunities, Others</t>
        </is>
      </c>
      <c r="N8046" s="11">
        <f>HYPERLINK("https://www.vietnamworks.com/truong-nhom-qc-chuyen-nganh-hoa-hoc-2019413-jv","Xem chi tiết")</f>
        <v/>
      </c>
      <c r="O8046" s="10" t="n"/>
    </row>
    <row r="8047">
      <c r="B8047" s="7" t="n">
        <v>8045</v>
      </c>
      <c r="C8047" t="inlineStr">
        <is>
          <t>Trợ Lý Quan Hệ Khách Hàng (ARM) - Tiếng Trung</t>
        </is>
      </c>
      <c r="D8047" t="inlineStr">
        <is>
          <t>Ngân Hàng Thương Mại TNHH E.SUN – Chi Nhánh Đồng Nai</t>
        </is>
      </c>
      <c r="E8047" t="inlineStr">
        <is>
          <t>Thương lượng</t>
        </is>
      </c>
      <c r="F8047" t="inlineStr">
        <is>
          <t>Đồng Nai, Hà Nội, Hồ Chí Minh</t>
        </is>
      </c>
      <c r="G8047" t="inlineStr">
        <is>
          <t>Mới Tốt Nghiệp</t>
        </is>
      </c>
      <c r="H8047" t="inlineStr">
        <is>
          <t>06/03/2026</t>
        </is>
      </c>
      <c r="I8047" t="inlineStr">
        <is>
          <t>05/04/2026</t>
        </is>
      </c>
      <c r="J8047" t="inlineStr">
        <is>
          <t>17/03/2026</t>
        </is>
      </c>
      <c r="K8047" t="inlineStr">
        <is>
          <t>N/A</t>
        </is>
      </c>
      <c r="L8047" t="inlineStr">
        <is>
          <t>ARM, Phân Tích Tín Dụng, Risk Management, Tài Chính Ngân Hàng, Tiếng Trung</t>
        </is>
      </c>
      <c r="M8047" t="inlineStr">
        <is>
          <t>Bonus, Paid Leave, Training</t>
        </is>
      </c>
      <c r="N8047" s="8">
        <f>HYPERLINK("https://www.vietnamworks.com/tro-ly-quan-he-khach-hang-arm-tieng-trung-2019404-jv","Xem chi tiết")</f>
        <v/>
      </c>
    </row>
    <row r="8048">
      <c r="B8048" s="9" t="n">
        <v>8046</v>
      </c>
      <c r="C8048" s="10" t="inlineStr">
        <is>
          <t>Nhân Viên Kiểm Soát Chất Lượng (QC) - Hóa Lý, Vi Sinh</t>
        </is>
      </c>
      <c r="D8048" s="10" t="inlineStr">
        <is>
          <t>Công Ty TNHH NIPRO Pharma Việt Nam</t>
        </is>
      </c>
      <c r="E8048" s="10" t="inlineStr">
        <is>
          <t>Thương lượng</t>
        </is>
      </c>
      <c r="F8048" s="10" t="inlineStr">
        <is>
          <t>Hải Phòng</t>
        </is>
      </c>
      <c r="G8048" s="10" t="inlineStr">
        <is>
          <t>Nhân viên</t>
        </is>
      </c>
      <c r="H8048" s="10" t="inlineStr">
        <is>
          <t>06/03/2026</t>
        </is>
      </c>
      <c r="I8048" s="10" t="inlineStr">
        <is>
          <t>05/04/2026</t>
        </is>
      </c>
      <c r="J8048" s="10" t="inlineStr">
        <is>
          <t>17/03/2026</t>
        </is>
      </c>
      <c r="K8048" s="10" t="inlineStr">
        <is>
          <t>N/A</t>
        </is>
      </c>
      <c r="L8048" s="10" t="inlineStr">
        <is>
          <t>Kiểm Soát Chất Lượng, QC, Hóa Lý, Vi sinh, Hoá Dược</t>
        </is>
      </c>
      <c r="M8048" s="10" t="inlineStr">
        <is>
          <t>Bonus, Healthcare Plan, Others</t>
        </is>
      </c>
      <c r="N8048" s="11">
        <f>HYPERLINK("https://www.vietnamworks.com/nhan-vien-kiem-soat-chat-luong-qc-hoa-ly-vi-sinh-2019431-jv","Xem chi tiết")</f>
        <v/>
      </c>
      <c r="O8048" s="10" t="n"/>
    </row>
    <row r="8049">
      <c r="B8049" s="7" t="n">
        <v>8047</v>
      </c>
      <c r="C8049" t="inlineStr">
        <is>
          <t>Frontend Developer (ReactJS / Nextjs)</t>
        </is>
      </c>
      <c r="D8049" t="inlineStr">
        <is>
          <t>Công Ty Cổ Phần Orotech</t>
        </is>
      </c>
      <c r="E8049" t="inlineStr">
        <is>
          <t>Thương lượng</t>
        </is>
      </c>
      <c r="F8049" t="inlineStr">
        <is>
          <t>Hồ Chí Minh</t>
        </is>
      </c>
      <c r="G8049" t="inlineStr">
        <is>
          <t>Nhân viên</t>
        </is>
      </c>
      <c r="H8049" t="inlineStr">
        <is>
          <t>06/03/2026</t>
        </is>
      </c>
      <c r="I8049" t="inlineStr">
        <is>
          <t>05/04/2026</t>
        </is>
      </c>
      <c r="J8049" t="inlineStr">
        <is>
          <t>17/03/2026</t>
        </is>
      </c>
      <c r="K8049" t="inlineStr">
        <is>
          <t>N/A</t>
        </is>
      </c>
      <c r="L8049" t="inlineStr">
        <is>
          <t>ReactJS, Nextjs, CSS3, JavaScript, Typescript</t>
        </is>
      </c>
      <c r="M8049" t="inlineStr">
        <is>
          <t>Others</t>
        </is>
      </c>
      <c r="N8049" s="8">
        <f>HYPERLINK("https://www.vietnamworks.com/frontend-developer-reactjs-nextjs-2019419-jv","Xem chi tiết")</f>
        <v/>
      </c>
    </row>
    <row r="8050">
      <c r="B8050" s="9" t="n">
        <v>8048</v>
      </c>
      <c r="C8050" s="10" t="inlineStr">
        <is>
          <t>Nhân Viên Nhân Sự (HR Staff)</t>
        </is>
      </c>
      <c r="D8050" s="10" t="inlineStr">
        <is>
          <t>CÔNG TY TNHH MTV SX TM DV HOẰNG ĐẠT</t>
        </is>
      </c>
      <c r="E8050" s="10" t="inlineStr">
        <is>
          <t>Thương lượng</t>
        </is>
      </c>
      <c r="F8050" s="10" t="inlineStr">
        <is>
          <t>Hồ Chí Minh</t>
        </is>
      </c>
      <c r="G8050" s="10" t="inlineStr">
        <is>
          <t>Nhân viên</t>
        </is>
      </c>
      <c r="H8050" s="10" t="inlineStr">
        <is>
          <t>06/03/2026</t>
        </is>
      </c>
      <c r="I8050" s="10" t="inlineStr">
        <is>
          <t>05/04/2026</t>
        </is>
      </c>
      <c r="J8050" s="10" t="inlineStr">
        <is>
          <t>17/03/2026</t>
        </is>
      </c>
      <c r="K8050" s="10" t="inlineStr">
        <is>
          <t>N/A</t>
        </is>
      </c>
      <c r="L8050" s="10" t="inlineStr">
        <is>
          <t>Tuyển Dụng, Nhân Sự, Human Resources, HR, Hành Chính Nhân Sự</t>
        </is>
      </c>
      <c r="M8050" s="10" t="inlineStr">
        <is>
          <t>Bonus, Healthcare Plan, Training</t>
        </is>
      </c>
      <c r="N8050" s="11">
        <f>HYPERLINK("https://www.vietnamworks.com/nhan-vien-nhan-su-hr-staff--2019418-jv","Xem chi tiết")</f>
        <v/>
      </c>
      <c r="O8050" s="10" t="n"/>
    </row>
    <row r="8051">
      <c r="B8051" s="7" t="n">
        <v>8049</v>
      </c>
      <c r="C8051" t="inlineStr">
        <is>
          <t>Chuyên Viên Digital Performance Marketing</t>
        </is>
      </c>
      <c r="D8051" t="inlineStr">
        <is>
          <t>Trường Đào Tạo Thiết Kế Đồ Hoạ Ứng Dụng (dpiCENTER)</t>
        </is>
      </c>
      <c r="E8051" t="inlineStr">
        <is>
          <t>17tr-19tr ₫/tháng</t>
        </is>
      </c>
      <c r="F8051" t="inlineStr">
        <is>
          <t>Hồ Chí Minh</t>
        </is>
      </c>
      <c r="G8051" t="inlineStr">
        <is>
          <t>Nhân viên</t>
        </is>
      </c>
      <c r="H8051" t="inlineStr">
        <is>
          <t>06/03/2026</t>
        </is>
      </c>
      <c r="I8051" t="inlineStr">
        <is>
          <t>05/04/2026</t>
        </is>
      </c>
      <c r="J8051" t="inlineStr">
        <is>
          <t>17/03/2026</t>
        </is>
      </c>
      <c r="K8051" t="inlineStr">
        <is>
          <t>N/A</t>
        </is>
      </c>
      <c r="L8051" t="inlineStr">
        <is>
          <t>Digital Marketing, Google Analytics, Facebook Ads, Email Marketing, Seo</t>
        </is>
      </c>
      <c r="M8051" t="inlineStr">
        <is>
          <t>Bonus, Healthcare Plan, Paid Leave, Training, Travel Opportunities, Others</t>
        </is>
      </c>
      <c r="N8051" s="8">
        <f>HYPERLINK("https://www.vietnamworks.com/chuyen-vien-digital-performance-marketing-2019423-jv","Xem chi tiết")</f>
        <v/>
      </c>
    </row>
    <row r="8052">
      <c r="B8052" s="9" t="n">
        <v>8050</v>
      </c>
      <c r="C8052" s="10" t="inlineStr">
        <is>
          <t>Trưởng Nhóm Kỹ Thuật (Technical Lead)</t>
        </is>
      </c>
      <c r="D8052" s="10" t="inlineStr">
        <is>
          <t>Renaissance International School Saigon</t>
        </is>
      </c>
      <c r="E8052" s="10" t="inlineStr">
        <is>
          <t>Thương lượng</t>
        </is>
      </c>
      <c r="F8052" s="10" t="inlineStr">
        <is>
          <t>Hồ Chí Minh</t>
        </is>
      </c>
      <c r="G8052" s="10" t="inlineStr">
        <is>
          <t>Trưởng phòng</t>
        </is>
      </c>
      <c r="H8052" s="10" t="inlineStr">
        <is>
          <t>06/03/2026</t>
        </is>
      </c>
      <c r="I8052" s="10" t="inlineStr">
        <is>
          <t>05/04/2026</t>
        </is>
      </c>
      <c r="J8052" s="10" t="inlineStr">
        <is>
          <t>17/03/2026</t>
        </is>
      </c>
      <c r="K8052" s="10" t="inlineStr">
        <is>
          <t>N/A</t>
        </is>
      </c>
      <c r="L8052" s="10" t="inlineStr">
        <is>
          <t>Bản Vẽ Kỹ Thuật, Cơ Điện Tòa Nhà, Facilities Management, Giám Sát Nhà Thầu, Kiểm Tra Bảo Dưỡng</t>
        </is>
      </c>
      <c r="M8052" s="10" t="inlineStr">
        <is>
          <t>Healthcare Plan, Paid Leave, Others</t>
        </is>
      </c>
      <c r="N8052" s="11">
        <f>HYPERLINK("https://www.vietnamworks.com/truong-nhom-ky-thuat-technical-lead-2019417-jv","Xem chi tiết")</f>
        <v/>
      </c>
      <c r="O8052" s="10" t="n"/>
    </row>
    <row r="8053">
      <c r="B8053" s="7" t="n">
        <v>8051</v>
      </c>
      <c r="C8053" t="inlineStr">
        <is>
          <t>Divisional Merchandise Manager_ Off-Price Furniture and Hardline Model</t>
        </is>
      </c>
      <c r="D8053" t="inlineStr">
        <is>
          <t>William E. Connor &amp; Associates Ltd - Resident Representative Office In Vietnam</t>
        </is>
      </c>
      <c r="E8053" t="inlineStr">
        <is>
          <t>Thương lượng</t>
        </is>
      </c>
      <c r="F8053" t="inlineStr">
        <is>
          <t>Hồ Chí Minh</t>
        </is>
      </c>
      <c r="G8053" t="inlineStr">
        <is>
          <t>Trưởng phòng</t>
        </is>
      </c>
      <c r="H8053" t="inlineStr">
        <is>
          <t>06/03/2026</t>
        </is>
      </c>
      <c r="I8053" t="inlineStr">
        <is>
          <t>05/04/2026</t>
        </is>
      </c>
      <c r="J8053" t="inlineStr">
        <is>
          <t>17/03/2026</t>
        </is>
      </c>
      <c r="K8053" t="inlineStr">
        <is>
          <t>N/A</t>
        </is>
      </c>
      <c r="L8053" t="inlineStr">
        <is>
          <t>Merchandise, Vendor Relationship Management, Furniture, Hardlines, Supply Chain Management</t>
        </is>
      </c>
      <c r="M8053" t="inlineStr">
        <is>
          <t>Bonus, Healthcare Plan, Training</t>
        </is>
      </c>
      <c r="N8053" s="8">
        <f>HYPERLINK("https://www.vietnamworks.com/divisional-merchandise-manager-off-price-furniture-and-hardline-model-2019416-jv","Xem chi tiết")</f>
        <v/>
      </c>
    </row>
    <row r="8054">
      <c r="B8054" s="9" t="n">
        <v>8052</v>
      </c>
      <c r="C8054" s="10" t="inlineStr">
        <is>
          <t>Retail Merchandiser - Food Planning</t>
        </is>
      </c>
      <c r="D8054" s="10" t="inlineStr">
        <is>
          <t>Công Ty TNHH Muji Retail (Việt Nam)</t>
        </is>
      </c>
      <c r="E8054" s="10" t="inlineStr">
        <is>
          <t>Thương lượng</t>
        </is>
      </c>
      <c r="F8054" s="10" t="inlineStr">
        <is>
          <t>Hồ Chí Minh</t>
        </is>
      </c>
      <c r="G8054" s="10" t="inlineStr">
        <is>
          <t>Nhân viên</t>
        </is>
      </c>
      <c r="H8054" s="10" t="inlineStr">
        <is>
          <t>06/03/2026</t>
        </is>
      </c>
      <c r="I8054" s="10" t="inlineStr">
        <is>
          <t>05/04/2026</t>
        </is>
      </c>
      <c r="J8054" s="10" t="inlineStr">
        <is>
          <t>17/03/2026</t>
        </is>
      </c>
      <c r="K8054" s="10" t="inlineStr">
        <is>
          <t>N/A</t>
        </is>
      </c>
      <c r="L8054" s="10" t="inlineStr">
        <is>
          <t>Fashion Retail, Softline Merchandising</t>
        </is>
      </c>
      <c r="M8054" s="10" t="inlineStr">
        <is>
          <t>Paid Leave, Training</t>
        </is>
      </c>
      <c r="N8054" s="11">
        <f>HYPERLINK("https://www.vietnamworks.com/retail-merchandiser-food-planning-2019433-jv","Xem chi tiết")</f>
        <v/>
      </c>
      <c r="O8054" s="10" t="n"/>
    </row>
    <row r="8055">
      <c r="B8055" s="7" t="n">
        <v>8053</v>
      </c>
      <c r="C8055" t="inlineStr">
        <is>
          <t>[Viettel Asset] - Chuyên viên Kế toán Quản trị (Phòng Tài Chính Kế Toán)</t>
        </is>
      </c>
      <c r="D8055" t="inlineStr">
        <is>
          <t>Tập Đoàn Công Nghiệp - Viễn Thông Quân Đội - Công Ty Quản Lý Tài Sản Viettel</t>
        </is>
      </c>
      <c r="E8055" t="inlineStr">
        <is>
          <t>$$ 600-1,200 /tháng</t>
        </is>
      </c>
      <c r="F8055" t="inlineStr">
        <is>
          <t>Hà Nội</t>
        </is>
      </c>
      <c r="G8055" t="inlineStr">
        <is>
          <t>Nhân viên</t>
        </is>
      </c>
      <c r="H8055" t="inlineStr">
        <is>
          <t>06/03/2026</t>
        </is>
      </c>
      <c r="I8055" t="inlineStr">
        <is>
          <t>05/04/2026</t>
        </is>
      </c>
      <c r="J8055" t="inlineStr">
        <is>
          <t>17/03/2026</t>
        </is>
      </c>
      <c r="K8055" t="inlineStr">
        <is>
          <t>N/A</t>
        </is>
      </c>
      <c r="L8055" t="inlineStr">
        <is>
          <t>Kế Toán, Kiểm Soát Chi Phí, Kiểm toán, Phân Tích Số Liệu, Quản Lý Tài Chính</t>
        </is>
      </c>
      <c r="M8055" t="inlineStr">
        <is>
          <t>Bonus</t>
        </is>
      </c>
      <c r="N8055" s="8">
        <f>HYPERLINK("https://www.vietnamworks.com/viettel-asset-chuyen-vien-ke-toan-quan-tri-phong-tai-chinh-ke-toan-2019400-jv","Xem chi tiết")</f>
        <v/>
      </c>
    </row>
    <row r="8056">
      <c r="B8056" s="9" t="n">
        <v>8054</v>
      </c>
      <c r="C8056" s="10" t="inlineStr">
        <is>
          <t>Kỹ Sư Cơ Điện</t>
        </is>
      </c>
      <c r="D8056" s="10" t="inlineStr">
        <is>
          <t>CÔNG TY CỔ PHẦN KỸ THUẬT CÔNG NGHIỆP HÀ THANH</t>
        </is>
      </c>
      <c r="E8056" s="10" t="inlineStr">
        <is>
          <t>15tr-30tr ₫/tháng</t>
        </is>
      </c>
      <c r="F8056" s="10" t="inlineStr">
        <is>
          <t>Hà Nội</t>
        </is>
      </c>
      <c r="G8056" s="10" t="inlineStr">
        <is>
          <t>Nhân viên</t>
        </is>
      </c>
      <c r="H8056" s="10" t="inlineStr">
        <is>
          <t>06/03/2026</t>
        </is>
      </c>
      <c r="I8056" s="10" t="inlineStr">
        <is>
          <t>05/04/2026</t>
        </is>
      </c>
      <c r="J8056" s="10" t="inlineStr">
        <is>
          <t>17/03/2026</t>
        </is>
      </c>
      <c r="K8056" s="10" t="inlineStr">
        <is>
          <t>N/A</t>
        </is>
      </c>
      <c r="L8056" s="10" t="inlineStr">
        <is>
          <t>Thiết Kế Hệ Thống Cơ Điện, thành thào autocad, MS Office, Phần Mềm Thiết Kế 3D, Nhanh nhẹn</t>
        </is>
      </c>
      <c r="M8056" s="10" t="inlineStr">
        <is>
          <t>Bonus, Healthcare Plan, Others</t>
        </is>
      </c>
      <c r="N8056" s="11">
        <f>HYPERLINK("https://www.vietnamworks.com/ky-su-co-djien-2019439-jv","Xem chi tiết")</f>
        <v/>
      </c>
      <c r="O8056" s="10" t="n"/>
    </row>
    <row r="8057">
      <c r="B8057" s="7" t="n">
        <v>8055</v>
      </c>
      <c r="C8057" t="inlineStr">
        <is>
          <t>Kế Toán Trưởng</t>
        </is>
      </c>
      <c r="D8057" t="inlineStr">
        <is>
          <t>CÔNG TY TNHH PHÁT TRIỂN GIÁO DỤC APU</t>
        </is>
      </c>
      <c r="E8057" t="inlineStr">
        <is>
          <t>Thương lượng</t>
        </is>
      </c>
      <c r="F8057" t="inlineStr">
        <is>
          <t>Đà Nẵng</t>
        </is>
      </c>
      <c r="G8057" t="inlineStr">
        <is>
          <t>Trưởng phòng</t>
        </is>
      </c>
      <c r="H8057" t="inlineStr">
        <is>
          <t>06/03/2026</t>
        </is>
      </c>
      <c r="I8057" t="inlineStr">
        <is>
          <t>05/04/2026</t>
        </is>
      </c>
      <c r="J8057" t="inlineStr">
        <is>
          <t>17/03/2026</t>
        </is>
      </c>
      <c r="K8057" t="inlineStr">
        <is>
          <t>N/A</t>
        </is>
      </c>
      <c r="L8057" t="inlineStr">
        <is>
          <t>Bảo Mật Thông Tin, Trung Thực- Có Trách Nhiệm</t>
        </is>
      </c>
      <c r="M8057" t="inlineStr">
        <is>
          <t>Bonus, Healthcare Plan, Paid Leave, Others</t>
        </is>
      </c>
      <c r="N8057" s="8">
        <f>HYPERLINK("https://www.vietnamworks.com/ke-toan-truong-2019445-jv","Xem chi tiết")</f>
        <v/>
      </c>
    </row>
    <row r="8058">
      <c r="B8058" s="9" t="n">
        <v>8056</v>
      </c>
      <c r="C8058" s="10" t="inlineStr">
        <is>
          <t>Corporate And Legal Affairs Executive</t>
        </is>
      </c>
      <c r="D8058" s="10" t="inlineStr">
        <is>
          <t>Imperial Tobacco</t>
        </is>
      </c>
      <c r="E8058" s="10" t="inlineStr">
        <is>
          <t>Thương lượng</t>
        </is>
      </c>
      <c r="F8058" s="10" t="inlineStr">
        <is>
          <t>Hồ Chí Minh</t>
        </is>
      </c>
      <c r="G8058" s="10" t="inlineStr">
        <is>
          <t>Nhân viên</t>
        </is>
      </c>
      <c r="H8058" s="10" t="inlineStr">
        <is>
          <t>06/03/2026</t>
        </is>
      </c>
      <c r="I8058" s="10" t="inlineStr">
        <is>
          <t>05/04/2026</t>
        </is>
      </c>
      <c r="J8058" s="10" t="inlineStr">
        <is>
          <t>17/03/2026</t>
        </is>
      </c>
      <c r="K8058" s="10" t="inlineStr">
        <is>
          <t>N/A</t>
        </is>
      </c>
      <c r="L8058" s="10" t="inlineStr">
        <is>
          <t>Legal Advise, Regulatory Management, Stakeholder Management, Compliance Procedure, Legal Consultancy</t>
        </is>
      </c>
      <c r="M8058" s="10" t="inlineStr">
        <is>
          <t>Bonus, Healthcare Plan, Paid Leave, Training, Others</t>
        </is>
      </c>
      <c r="N8058" s="11">
        <f>HYPERLINK("https://www.vietnamworks.com/corporate-and-legal-affairs-executive-2019446-jv","Xem chi tiết")</f>
        <v/>
      </c>
      <c r="O8058" s="10" t="n"/>
    </row>
    <row r="8059">
      <c r="B8059" s="7" t="n">
        <v>8057</v>
      </c>
      <c r="C8059" t="inlineStr">
        <is>
          <t>Assistant Accounting Manager</t>
        </is>
      </c>
      <c r="D8059" t="inlineStr">
        <is>
          <t>Vietnamworks' Client</t>
        </is>
      </c>
      <c r="E8059" t="inlineStr">
        <is>
          <t>Thương lượng</t>
        </is>
      </c>
      <c r="F8059" t="inlineStr">
        <is>
          <t>Đà Nẵng, Quảng Nam</t>
        </is>
      </c>
      <c r="G8059" t="inlineStr">
        <is>
          <t>Trưởng phòng</t>
        </is>
      </c>
      <c r="H8059" t="inlineStr">
        <is>
          <t>06/03/2026</t>
        </is>
      </c>
      <c r="I8059" t="inlineStr">
        <is>
          <t>05/04/2026</t>
        </is>
      </c>
      <c r="J8059" t="inlineStr">
        <is>
          <t>17/03/2026</t>
        </is>
      </c>
      <c r="K8059" t="inlineStr">
        <is>
          <t>N/A</t>
        </is>
      </c>
      <c r="L8059" t="inlineStr">
        <is>
          <t>Accounting Standards, Auditing, Financial Reporting, Internal Control, Tax Compliance</t>
        </is>
      </c>
      <c r="M8059" t="inlineStr">
        <is>
          <t>Bonus, Healthcare Plan, Training, Team Activities, Canteen</t>
        </is>
      </c>
      <c r="N8059" s="8">
        <f>HYPERLINK("https://www.vietnamworks.com/assistant-accounting-manager-2019436-jv","Xem chi tiết")</f>
        <v/>
      </c>
    </row>
    <row r="8060">
      <c r="B8060" s="9" t="n">
        <v>8058</v>
      </c>
      <c r="C8060" s="10" t="inlineStr">
        <is>
          <t>Nhân Viên Kinh Doanh Máy Móc Thiết Bị Công Nghiệp (Tây Ninh, Bắc Giang, Nghệ An)</t>
        </is>
      </c>
      <c r="D8060" s="10" t="inlineStr">
        <is>
          <t>Công Ty TNHH Zoomlion Việt Nam</t>
        </is>
      </c>
      <c r="E8060" s="10" t="inlineStr">
        <is>
          <t>15tr-50tr ₫/tháng</t>
        </is>
      </c>
      <c r="F8060" s="10" t="inlineStr">
        <is>
          <t>Nghệ An, Bắc Giang, Tây Ninh</t>
        </is>
      </c>
      <c r="G8060" s="10" t="inlineStr">
        <is>
          <t>Nhân viên</t>
        </is>
      </c>
      <c r="H8060" s="10" t="inlineStr">
        <is>
          <t>06/03/2026</t>
        </is>
      </c>
      <c r="I8060" s="10" t="inlineStr">
        <is>
          <t>05/04/2026</t>
        </is>
      </c>
      <c r="J8060" s="10" t="inlineStr">
        <is>
          <t>17/03/2026</t>
        </is>
      </c>
      <c r="K8060" s="10" t="inlineStr">
        <is>
          <t>N/A</t>
        </is>
      </c>
      <c r="L8060" s="10" t="inlineStr">
        <is>
          <t>Kinh Doanh, Sales Engineering, Technical Sales, Bán hàng, Tìm Kiếm Khách Hàng</t>
        </is>
      </c>
      <c r="M8060" s="10" t="inlineStr">
        <is>
          <t>Bonus, Healthcare Plan, Training, Team Activities, Others</t>
        </is>
      </c>
      <c r="N8060" s="11">
        <f>HYPERLINK("https://www.vietnamworks.com/nhan-vien-kinh-doanh-may-moc-thiet-bi-cong-nghiep-tay-ninh-bac-giang-nghe-an-2019435-jv","Xem chi tiết")</f>
        <v/>
      </c>
      <c r="O8060" s="10" t="n"/>
    </row>
    <row r="8061">
      <c r="B8061" s="7" t="n">
        <v>8059</v>
      </c>
      <c r="C8061" t="inlineStr">
        <is>
          <t>BIM Modeler</t>
        </is>
      </c>
      <c r="D8061" t="inlineStr">
        <is>
          <t>Công Ty Obayashi Việt Nam</t>
        </is>
      </c>
      <c r="E8061" t="inlineStr">
        <is>
          <t>$$ 500-600 /tháng</t>
        </is>
      </c>
      <c r="F8061" t="inlineStr">
        <is>
          <t>Hồ Chí Minh</t>
        </is>
      </c>
      <c r="G8061" t="inlineStr">
        <is>
          <t>Mới Tốt Nghiệp</t>
        </is>
      </c>
      <c r="H8061" t="inlineStr">
        <is>
          <t>06/03/2026</t>
        </is>
      </c>
      <c r="I8061" t="inlineStr">
        <is>
          <t>05/04/2026</t>
        </is>
      </c>
      <c r="J8061" t="inlineStr">
        <is>
          <t>17/03/2026</t>
        </is>
      </c>
      <c r="K8061" t="inlineStr">
        <is>
          <t>N/A</t>
        </is>
      </c>
      <c r="L8061" t="inlineStr">
        <is>
          <t>Architecture Design, BIM Revit</t>
        </is>
      </c>
      <c r="M8061" t="inlineStr">
        <is>
          <t>Bonus, Training, Laptop</t>
        </is>
      </c>
      <c r="N8061" s="8">
        <f>HYPERLINK("https://www.vietnamworks.com/bim-modeler-5--2019425-jv","Xem chi tiết")</f>
        <v/>
      </c>
    </row>
    <row r="8062">
      <c r="B8062" s="9" t="n">
        <v>8060</v>
      </c>
      <c r="C8062" s="10" t="inlineStr">
        <is>
          <t>Nhân Viên Kho (Warehouse Staff)</t>
        </is>
      </c>
      <c r="D8062" s="10" t="inlineStr">
        <is>
          <t>Công Ty Liên Doanh TNHH Crown Hà Nội-hov</t>
        </is>
      </c>
      <c r="E8062" s="10" t="inlineStr">
        <is>
          <t>Thương lượng</t>
        </is>
      </c>
      <c r="F8062" s="10" t="inlineStr">
        <is>
          <t>Hà Nội</t>
        </is>
      </c>
      <c r="G8062" s="10" t="inlineStr">
        <is>
          <t>Nhân viên</t>
        </is>
      </c>
      <c r="H8062" s="10" t="inlineStr">
        <is>
          <t>06/03/2026</t>
        </is>
      </c>
      <c r="I8062" s="10" t="inlineStr">
        <is>
          <t>05/04/2026</t>
        </is>
      </c>
      <c r="J8062" s="10" t="inlineStr">
        <is>
          <t>17/03/2026</t>
        </is>
      </c>
      <c r="K8062" s="10" t="inlineStr">
        <is>
          <t>N/A</t>
        </is>
      </c>
      <c r="L8062" s="10" t="inlineStr">
        <is>
          <t>Bảo Quản Nguyên Vật Liệu, Chứng Từ Xuất Nhập Kho, Kiểm Soát Hàng Tồn, Nghiệp Vụ Kho, Điều Hành Kho Vận</t>
        </is>
      </c>
      <c r="M8062" s="10" t="inlineStr">
        <is>
          <t>Healthcare Plan, Paid Leave, Team Activities, Transportation, Canteen</t>
        </is>
      </c>
      <c r="N8062" s="11">
        <f>HYPERLINK("https://www.vietnamworks.com/nhan-vien-kho-warehouse-staff-2019442-jv","Xem chi tiết")</f>
        <v/>
      </c>
      <c r="O8062" s="10" t="n"/>
    </row>
    <row r="8063">
      <c r="B8063" s="7" t="n">
        <v>8061</v>
      </c>
      <c r="C8063" t="inlineStr">
        <is>
          <t>Kỹ Sư Giám Sát Xây Dựng</t>
        </is>
      </c>
      <c r="D8063" t="inlineStr">
        <is>
          <t>Công Ty Cổ Phần Phát Triển Và Tăng Trưởng Xanh - Edge</t>
        </is>
      </c>
      <c r="E8063" t="inlineStr">
        <is>
          <t>Thương lượng</t>
        </is>
      </c>
      <c r="F8063" t="inlineStr">
        <is>
          <t>Hà Nội</t>
        </is>
      </c>
      <c r="G8063" t="inlineStr">
        <is>
          <t>Nhân viên</t>
        </is>
      </c>
      <c r="H8063" t="inlineStr">
        <is>
          <t>06/03/2026</t>
        </is>
      </c>
      <c r="I8063" t="inlineStr">
        <is>
          <t>05/04/2026</t>
        </is>
      </c>
      <c r="J8063" t="inlineStr">
        <is>
          <t>17/03/2026</t>
        </is>
      </c>
      <c r="K8063" t="inlineStr">
        <is>
          <t>N/A</t>
        </is>
      </c>
      <c r="L8063" t="inlineStr">
        <is>
          <t>Xây Dựng Dân Dụng, Hạ Tầng Khu Đô Thị</t>
        </is>
      </c>
      <c r="M8063" t="inlineStr">
        <is>
          <t>Bonus, Paid Leave, Training</t>
        </is>
      </c>
      <c r="N8063" s="8">
        <f>HYPERLINK("https://www.vietnamworks.com/ky-su-giam-sat-xay-dung--2019430-jv","Xem chi tiết")</f>
        <v/>
      </c>
    </row>
    <row r="8064">
      <c r="B8064" s="9" t="n">
        <v>8062</v>
      </c>
      <c r="C8064" s="10" t="inlineStr">
        <is>
          <t>Giám Đốc Phát Triển Đối Tác Kinh Doanh</t>
        </is>
      </c>
      <c r="D8064" s="10" t="inlineStr">
        <is>
          <t>Công Ty Cổ Phần Đầu Tư Kinh Doanh Bất Động Sản Vietnam Groove</t>
        </is>
      </c>
      <c r="E8064" s="10" t="inlineStr">
        <is>
          <t>Thương lượng</t>
        </is>
      </c>
      <c r="F8064" s="10" t="inlineStr">
        <is>
          <t>Hồ Chí Minh, Hà Nội</t>
        </is>
      </c>
      <c r="G8064" s="10" t="inlineStr">
        <is>
          <t>Giám Đốc và Cấp Cao Hơn</t>
        </is>
      </c>
      <c r="H8064" s="10" t="inlineStr">
        <is>
          <t>06/03/2026</t>
        </is>
      </c>
      <c r="I8064" s="10" t="inlineStr">
        <is>
          <t>05/04/2026</t>
        </is>
      </c>
      <c r="J8064" s="10" t="inlineStr">
        <is>
          <t>17/03/2026</t>
        </is>
      </c>
      <c r="K8064" s="10" t="inlineStr">
        <is>
          <t>N/A</t>
        </is>
      </c>
      <c r="L8064" s="10" t="inlineStr">
        <is>
          <t>Hoạch Định Chiến Lược, Phát Triển Đối Tác, Quản Lý Đội Nhóm, Phân Tích Thị Trường, Bất Động Sản</t>
        </is>
      </c>
      <c r="M8064" s="10" t="inlineStr">
        <is>
          <t>Bonus, Healthcare Plan, Travel Opportunities</t>
        </is>
      </c>
      <c r="N8064" s="11">
        <f>HYPERLINK("https://www.vietnamworks.com/giam-djoc-phat-trien-djoi-tac-kinh-doanh-2019422-jv","Xem chi tiết")</f>
        <v/>
      </c>
      <c r="O8064" s="10" t="n"/>
    </row>
    <row r="8065">
      <c r="B8065" s="7" t="n">
        <v>8063</v>
      </c>
      <c r="C8065" t="inlineStr">
        <is>
          <t>Giám Sát Dịch Vụ Tòa Nhà</t>
        </is>
      </c>
      <c r="D8065" t="inlineStr">
        <is>
          <t>Aden Service - chi nhánh Đà Nẵng</t>
        </is>
      </c>
      <c r="E8065" t="inlineStr">
        <is>
          <t>Thương lượng</t>
        </is>
      </c>
      <c r="F8065" t="inlineStr">
        <is>
          <t>Đà Nẵng</t>
        </is>
      </c>
      <c r="G8065" t="inlineStr">
        <is>
          <t>Nhân viên</t>
        </is>
      </c>
      <c r="H8065" t="inlineStr">
        <is>
          <t>06/03/2026</t>
        </is>
      </c>
      <c r="I8065" t="inlineStr">
        <is>
          <t>05/04/2026</t>
        </is>
      </c>
      <c r="J8065" t="inlineStr">
        <is>
          <t>17/03/2026</t>
        </is>
      </c>
      <c r="K8065" t="inlineStr">
        <is>
          <t>N/A</t>
        </is>
      </c>
      <c r="L8065" t="inlineStr">
        <is>
          <t>Quản Lý Vận Hành Tòa Nhà, Quản Lý Dịch Vụ, Giám Sát Dịch Vụ, Giám Sát Chất Lượng Dịch Vụ, Dịch Vụ Khách Hàng</t>
        </is>
      </c>
      <c r="M8065" t="inlineStr">
        <is>
          <t>Bonus, Healthcare Plan, Paid Leave</t>
        </is>
      </c>
      <c r="N8065" s="8">
        <f>HYPERLINK("https://www.vietnamworks.com/giam-sat-dich-vu-toa-nha--2019438-jv","Xem chi tiết")</f>
        <v/>
      </c>
    </row>
    <row r="8066">
      <c r="B8066" s="9" t="n">
        <v>8064</v>
      </c>
      <c r="C8066" s="10" t="inlineStr">
        <is>
          <t>Nhân Viên Kinh Doanh (Thực Phẩm)- Lương Cố Định Từ 10- 20 Triệu</t>
        </is>
      </c>
      <c r="D8066" s="10" t="inlineStr">
        <is>
          <t>Công Ty TNHH Giải Trí Gogo</t>
        </is>
      </c>
      <c r="E8066" s="10" t="inlineStr">
        <is>
          <t>10tr-20tr ₫/tháng</t>
        </is>
      </c>
      <c r="F8066" s="10" t="inlineStr">
        <is>
          <t>Hồ Chí Minh</t>
        </is>
      </c>
      <c r="G8066" s="10" t="inlineStr">
        <is>
          <t>Nhân viên</t>
        </is>
      </c>
      <c r="H8066" s="10" t="inlineStr">
        <is>
          <t>06/03/2026</t>
        </is>
      </c>
      <c r="I8066" s="10" t="inlineStr">
        <is>
          <t>05/04/2026</t>
        </is>
      </c>
      <c r="J8066" s="10" t="inlineStr">
        <is>
          <t>17/03/2026</t>
        </is>
      </c>
      <c r="K8066" s="10" t="inlineStr">
        <is>
          <t>N/A</t>
        </is>
      </c>
      <c r="L8066" s="10" t="inlineStr">
        <is>
          <t>Kinh Doanh, Bán Hàng, Chăm Sóc Khách Hàng, Công Nghệ Thực Phẩm, Sales &amp; Business Development</t>
        </is>
      </c>
      <c r="M8066" s="10" t="inlineStr">
        <is>
          <t>Healthcare Plan, Training</t>
        </is>
      </c>
      <c r="N8066" s="11">
        <f>HYPERLINK("https://www.vietnamworks.com/nhan-vien-kinh-doanh-thuc-pham-luong-co-dinh-tu-10-20-trieu--2019420-jv","Xem chi tiết")</f>
        <v/>
      </c>
      <c r="O8066" s="10" t="n"/>
    </row>
    <row r="8067">
      <c r="B8067" s="7" t="n">
        <v>8065</v>
      </c>
      <c r="C8067" t="inlineStr">
        <is>
          <t>Retail Merchandiser - Product Development</t>
        </is>
      </c>
      <c r="D8067" t="inlineStr">
        <is>
          <t>Công Ty TNHH Muji Retail (Việt Nam)</t>
        </is>
      </c>
      <c r="E8067" t="inlineStr">
        <is>
          <t>Thương lượng</t>
        </is>
      </c>
      <c r="F8067" t="inlineStr">
        <is>
          <t>Hồ Chí Minh</t>
        </is>
      </c>
      <c r="G8067" t="inlineStr">
        <is>
          <t>Nhân viên</t>
        </is>
      </c>
      <c r="H8067" t="inlineStr">
        <is>
          <t>06/03/2026</t>
        </is>
      </c>
      <c r="I8067" t="inlineStr">
        <is>
          <t>05/04/2026</t>
        </is>
      </c>
      <c r="J8067" t="inlineStr">
        <is>
          <t>17/03/2026</t>
        </is>
      </c>
      <c r="K8067" t="inlineStr">
        <is>
          <t>N/A</t>
        </is>
      </c>
      <c r="L8067" t="inlineStr">
        <is>
          <t>Fashion Retail, Softline Merchandising</t>
        </is>
      </c>
      <c r="M8067" t="inlineStr">
        <is>
          <t>Paid Leave, Training</t>
        </is>
      </c>
      <c r="N8067" s="8">
        <f>HYPERLINK("https://www.vietnamworks.com/retail-merchandiser-product-development-2019428-jv","Xem chi tiết")</f>
        <v/>
      </c>
    </row>
    <row r="8068">
      <c r="B8068" s="9" t="n">
        <v>8066</v>
      </c>
      <c r="C8068" s="10" t="inlineStr">
        <is>
          <t>Kỹ Sư Điện (Tiếng Nhật)</t>
        </is>
      </c>
      <c r="D8068" s="10" t="inlineStr">
        <is>
          <t>CÔNG TY TNHH CHURITSU VIỆT NAM</t>
        </is>
      </c>
      <c r="E8068" s="10" t="inlineStr">
        <is>
          <t>Tới 15tr ₫/tháng</t>
        </is>
      </c>
      <c r="F8068" s="10" t="inlineStr">
        <is>
          <t>Đà Nẵng</t>
        </is>
      </c>
      <c r="G8068" s="10" t="inlineStr">
        <is>
          <t>Mới Tốt Nghiệp</t>
        </is>
      </c>
      <c r="H8068" s="10" t="inlineStr">
        <is>
          <t>06/03/2026</t>
        </is>
      </c>
      <c r="I8068" s="10" t="inlineStr">
        <is>
          <t>05/04/2026</t>
        </is>
      </c>
      <c r="J8068" s="10" t="inlineStr">
        <is>
          <t>17/03/2026</t>
        </is>
      </c>
      <c r="K8068" s="10" t="inlineStr">
        <is>
          <t>N/A</t>
        </is>
      </c>
      <c r="L8068" s="10" t="inlineStr">
        <is>
          <t>Thiết Kế Mạch Điện, Tiếng Nhật N3, AutoCAD, Cơ Điện Tử, Thiết Kế Tủ Điện</t>
        </is>
      </c>
      <c r="M8068" s="10" t="inlineStr">
        <is>
          <t>Bonus, Healthcare Plan, Paid Leave, Travel Opportunities, Others</t>
        </is>
      </c>
      <c r="N8068" s="11">
        <f>HYPERLINK("https://www.vietnamworks.com/ky-su-dien-tieng-nhat-2019451-jv","Xem chi tiết")</f>
        <v/>
      </c>
      <c r="O8068" s="10" t="n"/>
    </row>
    <row r="8069">
      <c r="B8069" s="7" t="n">
        <v>8067</v>
      </c>
      <c r="C8069" t="inlineStr">
        <is>
          <t>Sales Administrator (International Trade)</t>
        </is>
      </c>
      <c r="D8069" t="inlineStr">
        <is>
          <t>Kouei Vietnam Trading Co., Ltd.</t>
        </is>
      </c>
      <c r="E8069" t="inlineStr">
        <is>
          <t>10tr-16tr ₫/tháng</t>
        </is>
      </c>
      <c r="F8069" t="inlineStr">
        <is>
          <t>Hồ Chí Minh</t>
        </is>
      </c>
      <c r="G8069" t="inlineStr">
        <is>
          <t>Nhân viên</t>
        </is>
      </c>
      <c r="H8069" t="inlineStr">
        <is>
          <t>06/03/2026</t>
        </is>
      </c>
      <c r="I8069" t="inlineStr">
        <is>
          <t>05/04/2026</t>
        </is>
      </c>
      <c r="J8069" t="inlineStr">
        <is>
          <t>17/03/2026</t>
        </is>
      </c>
      <c r="K8069" t="inlineStr">
        <is>
          <t>N/A</t>
        </is>
      </c>
      <c r="L8069" t="inlineStr">
        <is>
          <t>Business Developing, Communication Skills, Customer Support, English Conversation, Quality Control</t>
        </is>
      </c>
      <c r="M8069" t="inlineStr">
        <is>
          <t>Bonus, Healthcare Plan, Training</t>
        </is>
      </c>
      <c r="N8069" s="8">
        <f>HYPERLINK("https://www.vietnamworks.com/sales-administrator-international-trade-2019449-jv","Xem chi tiết")</f>
        <v/>
      </c>
    </row>
    <row r="8070">
      <c r="B8070" s="9" t="n">
        <v>8068</v>
      </c>
      <c r="C8070" s="10" t="inlineStr">
        <is>
          <t>[Tuyển Gấp] Kỹ Sư Xây Dựng - Giao Thông - Lương Từ 15 - 25 Triệu (Không Hạn Chế Mức Tối Đa)</t>
        </is>
      </c>
      <c r="D8070" s="10" t="inlineStr">
        <is>
          <t>Công Ty Cổ Phần Xây Dựng Và Dịch Vụ Kỹ Thuật Việt Hưng</t>
        </is>
      </c>
      <c r="E8070" s="10" t="inlineStr">
        <is>
          <t>15tr-25tr ₫/tháng</t>
        </is>
      </c>
      <c r="F8070" s="10" t="inlineStr">
        <is>
          <t>Hà Nội</t>
        </is>
      </c>
      <c r="G8070" s="10" t="inlineStr">
        <is>
          <t>Nhân viên</t>
        </is>
      </c>
      <c r="H8070" s="10" t="inlineStr">
        <is>
          <t>06/03/2026</t>
        </is>
      </c>
      <c r="I8070" s="10" t="inlineStr">
        <is>
          <t>05/04/2026</t>
        </is>
      </c>
      <c r="J8070" s="10" t="inlineStr">
        <is>
          <t>17/03/2026</t>
        </is>
      </c>
      <c r="K8070" s="10" t="inlineStr">
        <is>
          <t>N/A</t>
        </is>
      </c>
      <c r="L8070" s="10" t="inlineStr">
        <is>
          <t>Kỹ Sư Xây Dựng, An Toàn Giao Thông, Civil, Civil Construction</t>
        </is>
      </c>
      <c r="M8070" s="10" t="inlineStr">
        <is>
          <t>Bonus, Healthcare Plan, Training, Library, Laptop, Travel Opportunities, Transportation, Others</t>
        </is>
      </c>
      <c r="N8070" s="11">
        <f>HYPERLINK("https://www.vietnamworks.com/tuyen-gap-ky-su-xay-dung-giao-thong-luong-tu-15-25-trieu-khong-han-che-muc-toi-dja-2019447-jv","Xem chi tiết")</f>
        <v/>
      </c>
      <c r="O8070" s="10" t="n"/>
    </row>
    <row r="8071">
      <c r="B8071" s="7" t="n">
        <v>8069</v>
      </c>
      <c r="C8071" t="inlineStr">
        <is>
          <t>Customer Service Executive (Japanese) Upto 20 Triệu</t>
        </is>
      </c>
      <c r="D8071" t="inlineStr">
        <is>
          <t>CÔNG TY TNHH ACHILLES LOGISTICS</t>
        </is>
      </c>
      <c r="E8071" t="inlineStr">
        <is>
          <t>15tr-20tr ₫/tháng</t>
        </is>
      </c>
      <c r="F8071" t="inlineStr">
        <is>
          <t>Hà Nội</t>
        </is>
      </c>
      <c r="G8071" t="inlineStr">
        <is>
          <t>Nhân viên</t>
        </is>
      </c>
      <c r="H8071" t="inlineStr">
        <is>
          <t>06/03/2026</t>
        </is>
      </c>
      <c r="I8071" t="inlineStr">
        <is>
          <t>05/04/2026</t>
        </is>
      </c>
      <c r="J8071" t="inlineStr">
        <is>
          <t>17/03/2026</t>
        </is>
      </c>
      <c r="K8071" t="inlineStr">
        <is>
          <t>N/A</t>
        </is>
      </c>
      <c r="L8071" t="inlineStr">
        <is>
          <t>Logistics, Microsoft Excel, Chứng Từ Xuất Nhập Khẩu, Custom Clearance, JLPT N2</t>
        </is>
      </c>
      <c r="M8071" t="inlineStr">
        <is>
          <t>Bonus, Healthcare Plan, Others</t>
        </is>
      </c>
      <c r="N8071" s="8">
        <f>HYPERLINK("https://www.vietnamworks.com/customer-service-executive-japanese-upto-20-trieu-2019459-jv","Xem chi tiết")</f>
        <v/>
      </c>
    </row>
    <row r="8072">
      <c r="B8072" s="9" t="n">
        <v>8070</v>
      </c>
      <c r="C8072" s="10" t="inlineStr">
        <is>
          <t>IT Account Manager (Tiếng Hàn)</t>
        </is>
      </c>
      <c r="D8072" s="10" t="inlineStr">
        <is>
          <t>Công Ty GMO-Z.com RUNSYSTEM</t>
        </is>
      </c>
      <c r="E8072" s="10" t="inlineStr">
        <is>
          <t>Tới 35tr ₫/tháng</t>
        </is>
      </c>
      <c r="F8072" s="10" t="inlineStr">
        <is>
          <t>Hà Nội</t>
        </is>
      </c>
      <c r="G8072" s="10" t="inlineStr">
        <is>
          <t>Nhân viên</t>
        </is>
      </c>
      <c r="H8072" s="10" t="inlineStr">
        <is>
          <t>06/03/2026</t>
        </is>
      </c>
      <c r="I8072" s="10" t="inlineStr">
        <is>
          <t>05/04/2026</t>
        </is>
      </c>
      <c r="J8072" s="10" t="inlineStr">
        <is>
          <t>17/03/2026</t>
        </is>
      </c>
      <c r="K8072" s="10" t="inlineStr">
        <is>
          <t>N/A</t>
        </is>
      </c>
      <c r="L8072" s="10" t="inlineStr">
        <is>
          <t>Sales Management, Customer Relation, Korean Language, IT Consulting, IT Presale</t>
        </is>
      </c>
      <c r="M8072" s="10" t="inlineStr">
        <is>
          <t>Bonus, Healthcare Plan, Paid Leave, Training, Awards, Travel Opportunities, Team Activities, Others</t>
        </is>
      </c>
      <c r="N8072" s="11">
        <f>HYPERLINK("https://www.vietnamworks.com/it-account-manager-tieng-han-2019458-jv","Xem chi tiết")</f>
        <v/>
      </c>
      <c r="O8072" s="10" t="n"/>
    </row>
    <row r="8073">
      <c r="B8073" s="7" t="n">
        <v>8071</v>
      </c>
      <c r="C8073" t="inlineStr">
        <is>
          <t>Chuyên Viên Kinh Doanh Logistics</t>
        </is>
      </c>
      <c r="D8073" t="inlineStr">
        <is>
          <t>CÔNG TY TNHH VẬN CHUYỂN “K” LINE (VIỆT NAM)</t>
        </is>
      </c>
      <c r="E8073" t="inlineStr">
        <is>
          <t>Thương lượng</t>
        </is>
      </c>
      <c r="F8073" t="inlineStr">
        <is>
          <t>Hà Nội</t>
        </is>
      </c>
      <c r="G8073" t="inlineStr">
        <is>
          <t>Nhân viên</t>
        </is>
      </c>
      <c r="H8073" t="inlineStr">
        <is>
          <t>06/03/2026</t>
        </is>
      </c>
      <c r="I8073" t="inlineStr">
        <is>
          <t>05/04/2026</t>
        </is>
      </c>
      <c r="J8073" t="inlineStr">
        <is>
          <t>17/03/2026</t>
        </is>
      </c>
      <c r="K8073" t="inlineStr">
        <is>
          <t>N/A</t>
        </is>
      </c>
      <c r="L8073" t="inlineStr">
        <is>
          <t>Kinh Doanh, Xuất Nhập Khẩu, Logistics, Nghiên Cứu Thị Trường, Tìm Kiếm Khách Hàng</t>
        </is>
      </c>
      <c r="M8073" t="inlineStr">
        <is>
          <t>Bonus, Healthcare Plan, Paid Leave, Training, Travel Opportunities, Others</t>
        </is>
      </c>
      <c r="N8073" s="8">
        <f>HYPERLINK("https://www.vietnamworks.com/chuyen-vien-kinh-doanh-logistics-2019450-jv","Xem chi tiết")</f>
        <v/>
      </c>
    </row>
    <row r="8074">
      <c r="B8074" s="9" t="n">
        <v>8072</v>
      </c>
      <c r="C8074" s="10" t="inlineStr">
        <is>
          <t>[ Hot Job ] Trưởng Phòng Kinh Doanh Quốc Tế ( Tiếng Anh/ Tiếng Trung, Thu Nhập 40 Triệu - 50 Triệu+/tháng)</t>
        </is>
      </c>
      <c r="D8074" s="10" t="inlineStr">
        <is>
          <t>Công Ty Cổ Phần Khoáng Sản Công Nghiệp Yên Bái (YBM)</t>
        </is>
      </c>
      <c r="E8074" s="10" t="inlineStr">
        <is>
          <t>40tr-50tr ₫/tháng</t>
        </is>
      </c>
      <c r="F8074" s="10" t="inlineStr">
        <is>
          <t>Hà Nội</t>
        </is>
      </c>
      <c r="G8074" s="10" t="inlineStr">
        <is>
          <t>Trưởng phòng</t>
        </is>
      </c>
      <c r="H8074" s="10" t="inlineStr">
        <is>
          <t>06/03/2026</t>
        </is>
      </c>
      <c r="I8074" s="10" t="inlineStr">
        <is>
          <t>05/04/2026</t>
        </is>
      </c>
      <c r="J8074" s="10" t="inlineStr">
        <is>
          <t>17/03/2026</t>
        </is>
      </c>
      <c r="K8074" s="10" t="inlineStr">
        <is>
          <t>N/A</t>
        </is>
      </c>
      <c r="L8074" s="10" t="inlineStr">
        <is>
          <t>Quản Trị Kinh Doanh, Phát Triển Khách Hàng, Phát Triển Kinh Doanh, Phát Triển Thị Trường, Tìm Kiếm Khách Hàng</t>
        </is>
      </c>
      <c r="M8074" s="10" t="inlineStr">
        <is>
          <t>Bonus, Healthcare Plan, Canteen, Others</t>
        </is>
      </c>
      <c r="N8074" s="11">
        <f>HYPERLINK("https://www.vietnamworks.com/hot-job-truong-phong-kinh-doanh-quoc-te-tieng-anh-tieng-trung-thu-nhap-40-trieu-50-trieu-thang-2019461-jv","Xem chi tiết")</f>
        <v/>
      </c>
      <c r="O8074" s="10" t="n"/>
    </row>
    <row r="8075">
      <c r="B8075" s="7" t="n">
        <v>8073</v>
      </c>
      <c r="C8075" t="inlineStr">
        <is>
          <t>Nhân Viên Chứng Từ Xuất Nhập Khẩu (SL: 02 Người)</t>
        </is>
      </c>
      <c r="D8075" t="inlineStr">
        <is>
          <t>Công Ty Cổ Phần Khoáng Sản Công Nghiệp Yên Bái (YBM)</t>
        </is>
      </c>
      <c r="E8075" t="inlineStr">
        <is>
          <t>15tr-17tr ₫/tháng</t>
        </is>
      </c>
      <c r="F8075" t="inlineStr">
        <is>
          <t>Hà Nội</t>
        </is>
      </c>
      <c r="G8075" t="inlineStr">
        <is>
          <t>Nhân viên</t>
        </is>
      </c>
      <c r="H8075" t="inlineStr">
        <is>
          <t>06/03/2026</t>
        </is>
      </c>
      <c r="I8075" t="inlineStr">
        <is>
          <t>05/04/2026</t>
        </is>
      </c>
      <c r="J8075" t="inlineStr">
        <is>
          <t>17/03/2026</t>
        </is>
      </c>
      <c r="K8075" t="inlineStr">
        <is>
          <t>N/A</t>
        </is>
      </c>
      <c r="L8075" t="inlineStr">
        <is>
          <t>Sales Support, Chứng Từ Xnk, Logistic Quốc Tế, Thủ Tục Hải Quan, Kinh Doanh Quốc Tế</t>
        </is>
      </c>
      <c r="M8075" t="inlineStr">
        <is>
          <t>Bonus, Healthcare Plan, Canteen, Others</t>
        </is>
      </c>
      <c r="N8075" s="8">
        <f>HYPERLINK("https://www.vietnamworks.com/nhan-vien-chung-tu-xuat-nhap-khau-sl-02-nguoi-2019462-jv","Xem chi tiết")</f>
        <v/>
      </c>
    </row>
    <row r="8076">
      <c r="B8076" s="9" t="n">
        <v>8074</v>
      </c>
      <c r="C8076" s="10" t="inlineStr">
        <is>
          <t>Sales/ Overseas Sales (Forwarder-Logistics) (Attractive Salary)</t>
        </is>
      </c>
      <c r="D8076" s="10" t="inlineStr">
        <is>
          <t>CÔNG TY TNHH KTL INTERNATIONAL VIET NAM</t>
        </is>
      </c>
      <c r="E8076" s="10" t="inlineStr">
        <is>
          <t>Thương lượng</t>
        </is>
      </c>
      <c r="F8076" s="10" t="inlineStr">
        <is>
          <t>Hồ Chí Minh</t>
        </is>
      </c>
      <c r="G8076" s="10" t="inlineStr">
        <is>
          <t>Nhân viên</t>
        </is>
      </c>
      <c r="H8076" s="10" t="inlineStr">
        <is>
          <t>06/03/2026</t>
        </is>
      </c>
      <c r="I8076" s="10" t="inlineStr">
        <is>
          <t>05/04/2026</t>
        </is>
      </c>
      <c r="J8076" s="10" t="inlineStr">
        <is>
          <t>17/03/2026</t>
        </is>
      </c>
      <c r="K8076" s="10" t="inlineStr">
        <is>
          <t>N/A</t>
        </is>
      </c>
      <c r="L8076" s="10" t="inlineStr">
        <is>
          <t>Freight Forwarding Sales, Logistics, International Business Development, Negotiation, Communication</t>
        </is>
      </c>
      <c r="M8076" s="10" t="inlineStr">
        <is>
          <t>Bonus, Healthcare Plan, Paid Leave, Awards, Others</t>
        </is>
      </c>
      <c r="N8076" s="11">
        <f>HYPERLINK("https://www.vietnamworks.com/sales-overseas-sales-forwarder-logistics-attractive-salary-2019453-jv","Xem chi tiết")</f>
        <v/>
      </c>
      <c r="O8076" s="10" t="n"/>
    </row>
    <row r="8077">
      <c r="B8077" s="7" t="n">
        <v>8075</v>
      </c>
      <c r="C8077" t="inlineStr">
        <is>
          <t>Tân Phát Etek | [Tuyển Gấp ] Trưởng Phòng Marketing Thu Nhập Hấp Dẫn</t>
        </is>
      </c>
      <c r="D8077" t="inlineStr">
        <is>
          <t>Công Ty Cổ Phần Công Nghệ Thiết Bị Tân Phát</t>
        </is>
      </c>
      <c r="E8077" t="inlineStr">
        <is>
          <t>$$ 900-1,300 /tháng</t>
        </is>
      </c>
      <c r="F8077" t="inlineStr">
        <is>
          <t>Hà Nội</t>
        </is>
      </c>
      <c r="G8077" t="inlineStr">
        <is>
          <t>Trưởng phòng</t>
        </is>
      </c>
      <c r="H8077" t="inlineStr">
        <is>
          <t>06/03/2026</t>
        </is>
      </c>
      <c r="I8077" t="inlineStr">
        <is>
          <t>05/04/2026</t>
        </is>
      </c>
      <c r="J8077" t="inlineStr">
        <is>
          <t>17/03/2026</t>
        </is>
      </c>
      <c r="K8077" t="inlineStr">
        <is>
          <t>N/A</t>
        </is>
      </c>
      <c r="L8077" t="inlineStr">
        <is>
          <t>Marketing Planning, Marketing sản phẩm, Trade Marketing, Trade Promotion, Trade Category Management</t>
        </is>
      </c>
      <c r="M8077" t="inlineStr">
        <is>
          <t>Bonus, Healthcare Plan, Training</t>
        </is>
      </c>
      <c r="N8077" s="8">
        <f>HYPERLINK("https://www.vietnamworks.com/tan-phat-etek-tuyen-gap-truong-phong-marketing-thu-nhap-hap-dan-2019452-jv","Xem chi tiết")</f>
        <v/>
      </c>
    </row>
    <row r="8078">
      <c r="B8078" s="9" t="n">
        <v>8076</v>
      </c>
      <c r="C8078" s="10" t="inlineStr">
        <is>
          <t>General Accountant - Kế Toán Tổng Hợp - Thu Nhập Upto 20Tr/ Tháng</t>
        </is>
      </c>
      <c r="D8078" s="10" t="inlineStr">
        <is>
          <t>Công Ty Cổ Phần Thiết Bị Và Hóa Chất Thăng Long</t>
        </is>
      </c>
      <c r="E8078" s="10" t="inlineStr">
        <is>
          <t>12tr-20tr ₫/tháng</t>
        </is>
      </c>
      <c r="F8078" s="10" t="inlineStr">
        <is>
          <t>Hà Nội</t>
        </is>
      </c>
      <c r="G8078" s="10" t="inlineStr">
        <is>
          <t>Nhân viên</t>
        </is>
      </c>
      <c r="H8078" s="10" t="inlineStr">
        <is>
          <t>06/03/2026</t>
        </is>
      </c>
      <c r="I8078" s="10" t="inlineStr">
        <is>
          <t>05/04/2026</t>
        </is>
      </c>
      <c r="J8078" s="10" t="inlineStr">
        <is>
          <t>17/03/2026</t>
        </is>
      </c>
      <c r="K8078" s="10" t="inlineStr">
        <is>
          <t>N/A</t>
        </is>
      </c>
      <c r="L8078" s="10" t="inlineStr">
        <is>
          <t>Kế Toán, Báo Cáo Tài Chính, Kế Toán Tổng Hợp, Theo Dõi Công Nợ, Cân Đối Sổ Sách</t>
        </is>
      </c>
      <c r="M8078" s="10" t="inlineStr">
        <is>
          <t>Bonus, Healthcare Plan, Travel Opportunities</t>
        </is>
      </c>
      <c r="N8078" s="11">
        <f>HYPERLINK("https://www.vietnamworks.com/general-accountant-ke-toan-tong-hop-thu-nhap-upto-20tr-thang-2019455-jv","Xem chi tiết")</f>
        <v/>
      </c>
      <c r="O8078" s="10" t="n"/>
    </row>
    <row r="8079">
      <c r="B8079" s="7" t="n">
        <v>8077</v>
      </c>
      <c r="C8079" t="inlineStr">
        <is>
          <t>Nhân Viên Tư Vấn Tuyển Sinh (Data Sẵn, Thử Việc Nhận Full Lương) - HCM, Bình Dương, Đồng Nai</t>
        </is>
      </c>
      <c r="D8079" t="inlineStr">
        <is>
          <t>VUS - The English Center</t>
        </is>
      </c>
      <c r="E8079" t="inlineStr">
        <is>
          <t>$$ 300-600 /tháng</t>
        </is>
      </c>
      <c r="F8079" t="inlineStr">
        <is>
          <t>Hồ Chí Minh, Bình Dương, Đồng Nai</t>
        </is>
      </c>
      <c r="G8079" t="inlineStr">
        <is>
          <t>Nhân viên</t>
        </is>
      </c>
      <c r="H8079" t="inlineStr">
        <is>
          <t>06/03/2026</t>
        </is>
      </c>
      <c r="I8079" t="inlineStr">
        <is>
          <t>05/04/2026</t>
        </is>
      </c>
      <c r="J8079" t="inlineStr">
        <is>
          <t>17/03/2026</t>
        </is>
      </c>
      <c r="K8079" t="inlineStr">
        <is>
          <t>N/A</t>
        </is>
      </c>
      <c r="L8079" t="inlineStr">
        <is>
          <t>Education Consultant, Sales, Telesales, Customer Service, Thu Ngân</t>
        </is>
      </c>
      <c r="M8079" t="inlineStr">
        <is>
          <t>Healthcare Plan, Vouchers, Others</t>
        </is>
      </c>
      <c r="N8079" s="8">
        <f>HYPERLINK("https://www.vietnamworks.com/nhan-vien-tu-van-tuyen-sinh-data-san-thu-viec-nhan-full-luong-hcm-binh-duong-dong-nai-2019464-jv","Xem chi tiết")</f>
        <v/>
      </c>
    </row>
    <row r="8080">
      <c r="B8080" s="9" t="n">
        <v>8078</v>
      </c>
      <c r="C8080" s="10" t="inlineStr">
        <is>
          <t>Tuyển Nhân Viên Tiếng Nhật - Long Biên, Hà Nội</t>
        </is>
      </c>
      <c r="D8080" s="10" t="inlineStr">
        <is>
          <t>Công Ty Cổ Phần Intraco Quốc Tế</t>
        </is>
      </c>
      <c r="E8080" s="10" t="inlineStr">
        <is>
          <t>Từ 10tr ₫/tháng</t>
        </is>
      </c>
      <c r="F8080" s="10" t="inlineStr">
        <is>
          <t>Hà Nội</t>
        </is>
      </c>
      <c r="G8080" s="10" t="inlineStr">
        <is>
          <t>Mới Tốt Nghiệp</t>
        </is>
      </c>
      <c r="H8080" s="10" t="inlineStr">
        <is>
          <t>06/03/2026</t>
        </is>
      </c>
      <c r="I8080" s="10" t="inlineStr">
        <is>
          <t>05/04/2026</t>
        </is>
      </c>
      <c r="J8080" s="10" t="inlineStr">
        <is>
          <t>17/03/2026</t>
        </is>
      </c>
      <c r="K8080" s="10" t="inlineStr">
        <is>
          <t>N/A</t>
        </is>
      </c>
      <c r="L8080" s="10" t="inlineStr">
        <is>
          <t>Japanese N2, Japanese proficiency, Phiên Dịch Tiếng Nhật, Tiếng Nhật, Tiếng Nhật Thành thạo</t>
        </is>
      </c>
      <c r="M8080" s="10" t="inlineStr">
        <is>
          <t>Bonus, Healthcare Plan, Others</t>
        </is>
      </c>
      <c r="N8080" s="11">
        <f>HYPERLINK("https://www.vietnamworks.com/tuyen-nhan-vien-tieng-nhat-long-bien-ha-noi-2019469-jv","Xem chi tiết")</f>
        <v/>
      </c>
      <c r="O8080" s="10" t="n"/>
    </row>
    <row r="8081">
      <c r="B8081" s="7" t="n">
        <v>8079</v>
      </c>
      <c r="C8081" t="inlineStr">
        <is>
          <t>Nhân Viên Kinh Doanh - Phỏng Vấn Đi Làm Luôn</t>
        </is>
      </c>
      <c r="D8081" t="inlineStr">
        <is>
          <t>Công Ty Cổ Phần MG Logistics</t>
        </is>
      </c>
      <c r="E8081" t="inlineStr">
        <is>
          <t>Thương lượng</t>
        </is>
      </c>
      <c r="F8081" t="inlineStr">
        <is>
          <t>Hà Nội</t>
        </is>
      </c>
      <c r="G8081" t="inlineStr">
        <is>
          <t>Mới Tốt Nghiệp</t>
        </is>
      </c>
      <c r="H8081" t="inlineStr">
        <is>
          <t>06/03/2026</t>
        </is>
      </c>
      <c r="I8081" t="inlineStr">
        <is>
          <t>05/04/2026</t>
        </is>
      </c>
      <c r="J8081" t="inlineStr">
        <is>
          <t>17/03/2026</t>
        </is>
      </c>
      <c r="K8081" t="inlineStr">
        <is>
          <t>N/A</t>
        </is>
      </c>
      <c r="L8081" t="inlineStr">
        <is>
          <t>Kinh Doanh, Shipping Logistics, Xuất Nhập Khẩu, Kinh Doanh Logistics, Sales Logistics</t>
        </is>
      </c>
      <c r="M8081" t="inlineStr">
        <is>
          <t>Bonus, Healthcare Plan, Paid Leave, Travel Opportunities, Team Activities, Others</t>
        </is>
      </c>
      <c r="N8081" s="8">
        <f>HYPERLINK("https://www.vietnamworks.com/nhan-vien-kinh-doanh-phong-van-dji-lam-luon-2019467-jv","Xem chi tiết")</f>
        <v/>
      </c>
    </row>
    <row r="8082">
      <c r="B8082" s="9" t="n">
        <v>8080</v>
      </c>
      <c r="C8082" s="10" t="inlineStr">
        <is>
          <t>Kỹ Sư Qs/qa QC - Thu Nhập Hấp Dẫn - Phỏng Vấn Đi Làm Ngay</t>
        </is>
      </c>
      <c r="D8082" s="10" t="inlineStr">
        <is>
          <t>CÔNG TY CỔ PHẨN ĐẦU TƯ XÂY DỰNG ICONS VIỆT NAM</t>
        </is>
      </c>
      <c r="E8082" s="10" t="inlineStr">
        <is>
          <t>Tới 25tr ₫/tháng</t>
        </is>
      </c>
      <c r="F8082" s="10" t="inlineStr">
        <is>
          <t>Hà Nội</t>
        </is>
      </c>
      <c r="G8082" s="10" t="inlineStr">
        <is>
          <t>Nhân viên</t>
        </is>
      </c>
      <c r="H8082" s="10" t="inlineStr">
        <is>
          <t>06/03/2026</t>
        </is>
      </c>
      <c r="I8082" s="10" t="inlineStr">
        <is>
          <t>05/04/2026</t>
        </is>
      </c>
      <c r="J8082" s="10" t="inlineStr">
        <is>
          <t>17/03/2026</t>
        </is>
      </c>
      <c r="K8082" s="10" t="inlineStr">
        <is>
          <t>N/A</t>
        </is>
      </c>
      <c r="L8082" s="10" t="inlineStr">
        <is>
          <t>Autocad, Dự Toán, Quản Lý Chất Lượng, Quantity Surveyor Management, Xây Dựng</t>
        </is>
      </c>
      <c r="M8082" s="10" t="inlineStr">
        <is>
          <t>Bonus</t>
        </is>
      </c>
      <c r="N8082" s="11">
        <f>HYPERLINK("https://www.vietnamworks.com/ky-su-qs-qa-qc-thu-nhap-hap-dan-phong-van-di-lam-ngay-2019474-jv","Xem chi tiết")</f>
        <v/>
      </c>
      <c r="O8082" s="10" t="n"/>
    </row>
    <row r="8083">
      <c r="B8083" s="7" t="n">
        <v>8081</v>
      </c>
      <c r="C8083" t="inlineStr">
        <is>
          <t>Trưởng Nhóm Tư Vấn Tuyển Sinh (Làm Việc Tại CS Quận 8 hoặc Kdc Trung Sơn)</t>
        </is>
      </c>
      <c r="D8083" t="inlineStr">
        <is>
          <t>EDUCATION FIRST INSTITUTE ( I Can Read)</t>
        </is>
      </c>
      <c r="E8083" t="inlineStr">
        <is>
          <t>Thương lượng</t>
        </is>
      </c>
      <c r="F8083" t="inlineStr">
        <is>
          <t>Hồ Chí Minh</t>
        </is>
      </c>
      <c r="G8083" t="inlineStr">
        <is>
          <t>Nhân viên</t>
        </is>
      </c>
      <c r="H8083" t="inlineStr">
        <is>
          <t>06/03/2026</t>
        </is>
      </c>
      <c r="I8083" t="inlineStr">
        <is>
          <t>05/04/2026</t>
        </is>
      </c>
      <c r="J8083" t="inlineStr">
        <is>
          <t>17/03/2026</t>
        </is>
      </c>
      <c r="K8083" t="inlineStr">
        <is>
          <t>N/A</t>
        </is>
      </c>
      <c r="L8083" t="inlineStr">
        <is>
          <t>Tư Vấn Giáo Dục, Sale B2C, Tuyển sinh &amp; chăm sóc khách hàng, Sale Team Leader, Education Consulting</t>
        </is>
      </c>
      <c r="M8083" t="inlineStr">
        <is>
          <t>Bonus, Awards, Others</t>
        </is>
      </c>
      <c r="N8083" s="8">
        <f>HYPERLINK("https://www.vietnamworks.com/truong-nhom-tu-van-tuyen-sinh-lam-viec-tai-cs-quan-8-hoac-kdc-trung-son-2019468-jv","Xem chi tiết")</f>
        <v/>
      </c>
    </row>
    <row r="8084">
      <c r="B8084" s="9" t="n">
        <v>8082</v>
      </c>
      <c r="C8084" s="10" t="inlineStr">
        <is>
          <t>Chuyên Viên Kinh Doanh Giải Pháp Phần Mềm (B2B)</t>
        </is>
      </c>
      <c r="D8084" s="10" t="inlineStr">
        <is>
          <t>Công Ty GMO-Z.com RUNSYSTEM</t>
        </is>
      </c>
      <c r="E8084" s="10" t="inlineStr">
        <is>
          <t>15tr-35tr ₫/tháng</t>
        </is>
      </c>
      <c r="F8084" s="10" t="inlineStr">
        <is>
          <t>Hà Nội, Hồ Chí Minh, Đà Nẵng</t>
        </is>
      </c>
      <c r="G8084" s="10" t="inlineStr">
        <is>
          <t>Nhân viên</t>
        </is>
      </c>
      <c r="H8084" s="10" t="inlineStr">
        <is>
          <t>06/03/2026</t>
        </is>
      </c>
      <c r="I8084" s="10" t="inlineStr">
        <is>
          <t>05/04/2026</t>
        </is>
      </c>
      <c r="J8084" s="10" t="inlineStr">
        <is>
          <t>17/03/2026</t>
        </is>
      </c>
      <c r="K8084" s="10" t="inlineStr">
        <is>
          <t>N/A</t>
        </is>
      </c>
      <c r="L8084" s="10" t="inlineStr">
        <is>
          <t>Kinh Doanh B2B, ERP Solution, Customer Experience Management, Market Research, Strategic Thinking</t>
        </is>
      </c>
      <c r="M8084" s="10" t="inlineStr">
        <is>
          <t>Bonus, Healthcare Plan, Paid Leave, Training, Awards, Travel Opportunities, Team Activities, Others</t>
        </is>
      </c>
      <c r="N8084" s="11">
        <f>HYPERLINK("https://www.vietnamworks.com/chuyen-vien-kinh-doanh-giai-phap-phan-mem-b2b-2019470-jv","Xem chi tiết")</f>
        <v/>
      </c>
      <c r="O8084" s="10" t="n"/>
    </row>
    <row r="8085">
      <c r="B8085" s="7" t="n">
        <v>8083</v>
      </c>
      <c r="C8085" t="inlineStr">
        <is>
          <t>Kế Toán Viên</t>
        </is>
      </c>
      <c r="D8085" t="inlineStr">
        <is>
          <t>Công Ty Cổ Phần Thiết Bị Kỹ Thuật V.t</t>
        </is>
      </c>
      <c r="E8085" t="inlineStr">
        <is>
          <t>Thương lượng</t>
        </is>
      </c>
      <c r="F8085" t="inlineStr">
        <is>
          <t>Hồ Chí Minh</t>
        </is>
      </c>
      <c r="G8085" t="inlineStr">
        <is>
          <t>Nhân viên</t>
        </is>
      </c>
      <c r="H8085" t="inlineStr">
        <is>
          <t>06/03/2026</t>
        </is>
      </c>
      <c r="I8085" t="inlineStr">
        <is>
          <t>05/04/2026</t>
        </is>
      </c>
      <c r="J8085" t="inlineStr">
        <is>
          <t>17/03/2026</t>
        </is>
      </c>
      <c r="K8085" t="inlineStr">
        <is>
          <t>N/A</t>
        </is>
      </c>
      <c r="L8085" t="inlineStr">
        <is>
          <t xml:space="preserve"> Chứng Từ Kế Toán, Hạch Toán, MISA Accounting Software, Tài Chính Kế Toán, Theo Dõi Công Nợ</t>
        </is>
      </c>
      <c r="M8085" t="inlineStr">
        <is>
          <t>Bonus, Healthcare Plan, Training, Awards, Canteen, Others</t>
        </is>
      </c>
      <c r="N8085" s="8">
        <f>HYPERLINK("https://www.vietnamworks.com/ke-toan-vien-2019473-jv","Xem chi tiết")</f>
        <v/>
      </c>
    </row>
    <row r="8086">
      <c r="B8086" s="9" t="n">
        <v>8084</v>
      </c>
      <c r="C8086" s="10" t="inlineStr">
        <is>
          <t>[ Hot Job ] Kế Toán Trưởng 35-40 Triệu (Hà Nội); Từ 30-35 Triệu (Nam Định)</t>
        </is>
      </c>
      <c r="D8086" s="10" t="inlineStr">
        <is>
          <t>Công Ty Cổ Phần Viking Việt Nam</t>
        </is>
      </c>
      <c r="E8086" s="10" t="inlineStr">
        <is>
          <t>35tr-40tr ₫/tháng</t>
        </is>
      </c>
      <c r="F8086" s="10" t="inlineStr">
        <is>
          <t>Hà Nội, Nam Định</t>
        </is>
      </c>
      <c r="G8086" s="10" t="inlineStr">
        <is>
          <t>Trưởng phòng</t>
        </is>
      </c>
      <c r="H8086" s="10" t="inlineStr">
        <is>
          <t>06/03/2026</t>
        </is>
      </c>
      <c r="I8086" s="10" t="inlineStr">
        <is>
          <t>05/04/2026</t>
        </is>
      </c>
      <c r="J8086" s="10" t="inlineStr">
        <is>
          <t>17/03/2026</t>
        </is>
      </c>
      <c r="K8086" s="10" t="inlineStr">
        <is>
          <t>N/A</t>
        </is>
      </c>
      <c r="L8086" s="10" t="inlineStr">
        <is>
          <t>Kế Toán Xây Dựng, Kế Toán Sản Xuất, Kế Toán Xây Lắp, Kết Cấu Thép, thi công</t>
        </is>
      </c>
      <c r="M8086" s="10" t="inlineStr">
        <is>
          <t>Bonus, Healthcare Plan, Paid Leave, Training, Awards, Canteen, Others</t>
        </is>
      </c>
      <c r="N8086" s="11">
        <f>HYPERLINK("https://www.vietnamworks.com/hot-job-ke-toan-truong-35-40-trieu-ha-noi-tu-30-35-trieu-nam-djinh-2019465-jv","Xem chi tiết")</f>
        <v/>
      </c>
      <c r="O8086" s="10" t="n"/>
    </row>
    <row r="8087">
      <c r="B8087" s="7" t="n">
        <v>8085</v>
      </c>
      <c r="C8087" t="inlineStr">
        <is>
          <t>Kế Toán Tổng Hợp</t>
        </is>
      </c>
      <c r="D8087" t="inlineStr">
        <is>
          <t>Công Ty Cổ Phần Thiết Bị Kỹ Thuật V.t</t>
        </is>
      </c>
      <c r="E8087" t="inlineStr">
        <is>
          <t>Thương lượng</t>
        </is>
      </c>
      <c r="F8087" t="inlineStr">
        <is>
          <t>Hồ Chí Minh</t>
        </is>
      </c>
      <c r="G8087" t="inlineStr">
        <is>
          <t>Nhân viên</t>
        </is>
      </c>
      <c r="H8087" t="inlineStr">
        <is>
          <t>06/03/2026</t>
        </is>
      </c>
      <c r="I8087" t="inlineStr">
        <is>
          <t>05/04/2026</t>
        </is>
      </c>
      <c r="J8087" t="inlineStr">
        <is>
          <t>17/03/2026</t>
        </is>
      </c>
      <c r="K8087" t="inlineStr">
        <is>
          <t>N/A</t>
        </is>
      </c>
      <c r="L8087" t="inlineStr">
        <is>
          <t>Kế Toán Tổng Hợp, Báo Cáo Công Nợ, Báo Cáo Kiểm Kê, Hạch Toán, Kiểm Duyệt Hồ Sơ</t>
        </is>
      </c>
      <c r="M8087" t="inlineStr">
        <is>
          <t>Bonus, Healthcare Plan, Training, Awards, Canteen, Others</t>
        </is>
      </c>
      <c r="N8087" s="8">
        <f>HYPERLINK("https://www.vietnamworks.com/ke-toan-tong-hop-2019476-jv","Xem chi tiết")</f>
        <v/>
      </c>
    </row>
    <row r="8088">
      <c r="B8088" s="9" t="n">
        <v>8086</v>
      </c>
      <c r="C8088" s="10" t="inlineStr">
        <is>
          <t>Kỹ Sư Xây Dựng - Thu Nhập Hấp Dẫn - Phỏng Vấn Đi Làm Ngay</t>
        </is>
      </c>
      <c r="D8088" s="10" t="inlineStr">
        <is>
          <t>CÔNG TY CỔ PHẨN ĐẦU TƯ XÂY DỰNG ICONS VIỆT NAM</t>
        </is>
      </c>
      <c r="E8088" s="10" t="inlineStr">
        <is>
          <t>Tới 25tr ₫/tháng</t>
        </is>
      </c>
      <c r="F8088" s="10" t="inlineStr">
        <is>
          <t>Hà Nội</t>
        </is>
      </c>
      <c r="G8088" s="10" t="inlineStr">
        <is>
          <t>Nhân viên</t>
        </is>
      </c>
      <c r="H8088" s="10" t="inlineStr">
        <is>
          <t>06/03/2026</t>
        </is>
      </c>
      <c r="I8088" s="10" t="inlineStr">
        <is>
          <t>05/04/2026</t>
        </is>
      </c>
      <c r="J8088" s="10" t="inlineStr">
        <is>
          <t>17/03/2026</t>
        </is>
      </c>
      <c r="K8088" s="10" t="inlineStr">
        <is>
          <t>N/A</t>
        </is>
      </c>
      <c r="L8088" s="10" t="inlineStr">
        <is>
          <t>Kiểm Tra Chất Liệu, Kỹ Sư Xây Dựng, Nghiệm Thu Chất Lượng, Quản Lý Chất Lượng, Xây Dựng</t>
        </is>
      </c>
      <c r="M8088" s="10" t="inlineStr">
        <is>
          <t>Bonus, Healthcare Plan, Travel Opportunities, Others</t>
        </is>
      </c>
      <c r="N8088" s="11">
        <f>HYPERLINK("https://www.vietnamworks.com/ky-su-xay-dung-thu-nhap-hap-dan-phong-van-di-lam-ngay-2019477-jv","Xem chi tiết")</f>
        <v/>
      </c>
      <c r="O8088" s="10" t="n"/>
    </row>
    <row r="8089">
      <c r="B8089" s="7" t="n">
        <v>8087</v>
      </c>
      <c r="C8089" t="inlineStr">
        <is>
          <t>HR Executive (Talent Management) - Làm Việc Nhà Máy KCN Cái Mép, Bà Rịa - Vũng Tàu</t>
        </is>
      </c>
      <c r="D8089" t="inlineStr">
        <is>
          <t>Công ty TNHH Hóa chất AGC Việt Nam / AGC Chemicals Vietnam Co., Ltd.</t>
        </is>
      </c>
      <c r="E8089" t="inlineStr">
        <is>
          <t>Thương lượng</t>
        </is>
      </c>
      <c r="F8089" t="inlineStr">
        <is>
          <t>Hồ Chí Minh, Bà Rịa - Vũng Tàu</t>
        </is>
      </c>
      <c r="G8089" t="inlineStr">
        <is>
          <t>Nhân viên</t>
        </is>
      </c>
      <c r="H8089" t="inlineStr">
        <is>
          <t>06/03/2026</t>
        </is>
      </c>
      <c r="I8089" t="inlineStr">
        <is>
          <t>05/04/2026</t>
        </is>
      </c>
      <c r="J8089" t="inlineStr">
        <is>
          <t>17/03/2026</t>
        </is>
      </c>
      <c r="K8089" t="inlineStr">
        <is>
          <t>N/A</t>
        </is>
      </c>
      <c r="L8089" t="inlineStr">
        <is>
          <t>Communication Skills, Employee Engagement, Leadership Management, Organization Development, Talent Management</t>
        </is>
      </c>
      <c r="M8089" t="inlineStr">
        <is>
          <t>Bonus, Healthcare Plan</t>
        </is>
      </c>
      <c r="N8089" s="8">
        <f>HYPERLINK("https://www.vietnamworks.com/hr-executive-talent-management-lam-viec-nha-may-kcn-cai-mep-ba-ria-vung-tau-2019475-jv","Xem chi tiết")</f>
        <v/>
      </c>
    </row>
    <row r="8090">
      <c r="B8090" s="9" t="n">
        <v>8088</v>
      </c>
      <c r="C8090" s="10" t="inlineStr">
        <is>
          <t>[Hot Job ] Kỹ Sư Tự Động Hóa (Làm Việc Tại KCN Đồng Văn, Hà Nam Cũ)</t>
        </is>
      </c>
      <c r="D8090" s="10" t="inlineStr">
        <is>
          <t>EuP Group</t>
        </is>
      </c>
      <c r="E8090" s="10" t="inlineStr">
        <is>
          <t>15,000-25,000 ₫/tháng</t>
        </is>
      </c>
      <c r="F8090" s="10" t="inlineStr">
        <is>
          <t>Hà Nội, Ninh Bình, Hà Nam</t>
        </is>
      </c>
      <c r="G8090" s="10" t="inlineStr">
        <is>
          <t>Nhân viên</t>
        </is>
      </c>
      <c r="H8090" s="10" t="inlineStr">
        <is>
          <t>06/03/2026</t>
        </is>
      </c>
      <c r="I8090" s="10" t="inlineStr">
        <is>
          <t>05/04/2026</t>
        </is>
      </c>
      <c r="J8090" s="10" t="inlineStr">
        <is>
          <t>17/03/2026</t>
        </is>
      </c>
      <c r="K8090" s="10" t="inlineStr">
        <is>
          <t>N/A</t>
        </is>
      </c>
      <c r="L8090" s="10" t="inlineStr">
        <is>
          <t>Automation, Tự Động Hóa, PLC, Kĩ Thuật Cảm Biến, Electrical</t>
        </is>
      </c>
      <c r="M8090" s="10" t="inlineStr">
        <is>
          <t>Bonus, Healthcare Plan, Paid Leave</t>
        </is>
      </c>
      <c r="N8090" s="11">
        <f>HYPERLINK("https://www.vietnamworks.com/hot-job-ky-su-tu-dong-hoa-lam-viec-tai-kcn-dong-van-ha-nam-cu--2019472-jv","Xem chi tiết")</f>
        <v/>
      </c>
      <c r="O8090" s="10" t="n"/>
    </row>
    <row r="8091">
      <c r="B8091" s="7" t="n">
        <v>8089</v>
      </c>
      <c r="C8091" t="inlineStr">
        <is>
          <t>Nhân Viên Kế Hoạch Sản Xuất MC( Tiếng Trung )</t>
        </is>
      </c>
      <c r="D8091" t="inlineStr">
        <is>
          <t>Công Ty TNHH Công Nghệ Lens VIỆT NAM</t>
        </is>
      </c>
      <c r="E8091" t="inlineStr">
        <is>
          <t>Thương lượng</t>
        </is>
      </c>
      <c r="F8091" t="inlineStr">
        <is>
          <t>Bắc Ninh, Bắc Giang</t>
        </is>
      </c>
      <c r="G8091" t="inlineStr">
        <is>
          <t>Nhân viên</t>
        </is>
      </c>
      <c r="H8091" t="inlineStr">
        <is>
          <t>06/03/2026</t>
        </is>
      </c>
      <c r="I8091" t="inlineStr">
        <is>
          <t>05/04/2026</t>
        </is>
      </c>
      <c r="J8091" t="inlineStr">
        <is>
          <t>17/03/2026</t>
        </is>
      </c>
      <c r="K8091" t="inlineStr">
        <is>
          <t>N/A</t>
        </is>
      </c>
      <c r="L8091" t="inlineStr">
        <is>
          <t>Tiếng Trung Giao Tiếp, Material Control, MRP, Quản Lý Tồn Kho, Supply Chain Coordination</t>
        </is>
      </c>
      <c r="M8091" t="inlineStr">
        <is>
          <t>Bonus, Healthcare Plan, Training</t>
        </is>
      </c>
      <c r="N8091" s="8">
        <f>HYPERLINK("https://www.vietnamworks.com/nhan-vien-ke-hoach-san-xuat-mc-tieng-trung-2019478-jv","Xem chi tiết")</f>
        <v/>
      </c>
    </row>
    <row r="8092">
      <c r="B8092" s="9" t="n">
        <v>8090</v>
      </c>
      <c r="C8092" s="10" t="inlineStr">
        <is>
          <t>Assistant Manager, Business Development (Chinese)</t>
        </is>
      </c>
      <c r="D8092" s="10" t="inlineStr">
        <is>
          <t>Công Ty TNHH Loscam Việt Nam</t>
        </is>
      </c>
      <c r="E8092" s="10" t="inlineStr">
        <is>
          <t>Từ $ 1,000 /tháng</t>
        </is>
      </c>
      <c r="F8092" s="10" t="inlineStr">
        <is>
          <t>Bắc Ninh</t>
        </is>
      </c>
      <c r="G8092" s="10" t="inlineStr">
        <is>
          <t>Nhân viên</t>
        </is>
      </c>
      <c r="H8092" s="10" t="inlineStr">
        <is>
          <t>06/03/2026</t>
        </is>
      </c>
      <c r="I8092" s="10" t="inlineStr">
        <is>
          <t>05/04/2026</t>
        </is>
      </c>
      <c r="J8092" s="10" t="inlineStr">
        <is>
          <t>17/03/2026</t>
        </is>
      </c>
      <c r="K8092" s="10" t="inlineStr">
        <is>
          <t>N/A</t>
        </is>
      </c>
      <c r="L8092" s="10" t="inlineStr">
        <is>
          <t>Customer Management, Effective Communication, Market Research, Sales Reporting, Sales Strategy</t>
        </is>
      </c>
      <c r="M8092" s="10" t="inlineStr">
        <is>
          <t>Healthcare Plan, Paid Leave, Others</t>
        </is>
      </c>
      <c r="N8092" s="11">
        <f>HYPERLINK("https://www.vietnamworks.com/assistant-manager-business-development-chinese-2019481-jv","Xem chi tiết")</f>
        <v/>
      </c>
      <c r="O8092" s="10" t="n"/>
    </row>
    <row r="8093">
      <c r="B8093" s="7" t="n">
        <v>8091</v>
      </c>
      <c r="C8093" t="inlineStr">
        <is>
          <t>Digital Marketing (Education) (Làm Việc Tại CS Quận 8 - Kdc Trung Sơn)</t>
        </is>
      </c>
      <c r="D8093" t="inlineStr">
        <is>
          <t>EDUCATION FIRST INSTITUTE ( I Can Read)</t>
        </is>
      </c>
      <c r="E8093" t="inlineStr">
        <is>
          <t>Thương lượng</t>
        </is>
      </c>
      <c r="F8093" t="inlineStr">
        <is>
          <t>Hồ Chí Minh</t>
        </is>
      </c>
      <c r="G8093" t="inlineStr">
        <is>
          <t>Nhân viên</t>
        </is>
      </c>
      <c r="H8093" t="inlineStr">
        <is>
          <t>06/03/2026</t>
        </is>
      </c>
      <c r="I8093" t="inlineStr">
        <is>
          <t>05/04/2026</t>
        </is>
      </c>
      <c r="J8093" t="inlineStr">
        <is>
          <t>17/03/2026</t>
        </is>
      </c>
      <c r="K8093" t="inlineStr">
        <is>
          <t>N/A</t>
        </is>
      </c>
      <c r="L8093" t="inlineStr">
        <is>
          <t>Ads Performance, Conten Social Media, Giáo Dục, Data, TikTok &amp; Event Marketing</t>
        </is>
      </c>
      <c r="M8093" t="inlineStr">
        <is>
          <t>Bonus, Training, Awards, Others</t>
        </is>
      </c>
      <c r="N8093" s="8">
        <f>HYPERLINK("https://www.vietnamworks.com/digital-marketing-education-lam-viec-tai-cs-quan-8-kdc-trung-son-2019482-jv","Xem chi tiết")</f>
        <v/>
      </c>
    </row>
    <row r="8094">
      <c r="B8094" s="9" t="n">
        <v>8092</v>
      </c>
      <c r="C8094" s="10" t="inlineStr">
        <is>
          <t>Chuyên Viên ME (Kỹ Sư Cơ Điện Phòng Thầu) - Thu Nhập Hấp Dẫn - Phỏng Vấn Đi Làm Ngay</t>
        </is>
      </c>
      <c r="D8094" s="10" t="inlineStr">
        <is>
          <t>CÔNG TY CỔ PHẨN ĐẦU TƯ XÂY DỰNG ICONS VIỆT NAM</t>
        </is>
      </c>
      <c r="E8094" s="10" t="inlineStr">
        <is>
          <t>Tới 25tr ₫/tháng</t>
        </is>
      </c>
      <c r="F8094" s="10" t="inlineStr">
        <is>
          <t>Hà Nội</t>
        </is>
      </c>
      <c r="G8094" s="10" t="inlineStr">
        <is>
          <t>Nhân viên</t>
        </is>
      </c>
      <c r="H8094" s="10" t="inlineStr">
        <is>
          <t>06/03/2026</t>
        </is>
      </c>
      <c r="I8094" s="10" t="inlineStr">
        <is>
          <t>05/04/2026</t>
        </is>
      </c>
      <c r="J8094" s="10" t="inlineStr">
        <is>
          <t>17/03/2026</t>
        </is>
      </c>
      <c r="K8094" s="10" t="inlineStr">
        <is>
          <t>N/A</t>
        </is>
      </c>
      <c r="L8094" s="10" t="inlineStr">
        <is>
          <t>Bóc Tách Khối Lượng, Cơ Điện, Dự thầu, Kỹ Thuật Cơ Điện Tử</t>
        </is>
      </c>
      <c r="M8094" s="10" t="inlineStr">
        <is>
          <t>Healthcare Plan, Others</t>
        </is>
      </c>
      <c r="N8094" s="11">
        <f>HYPERLINK("https://www.vietnamworks.com/chuyen-vien-me-ky-su-co-dien-phong-thau-thu-nhap-hap-dan-phong-van-di-lam-ngay-2019479-jv","Xem chi tiết")</f>
        <v/>
      </c>
      <c r="O8094" s="10" t="n"/>
    </row>
    <row r="8095">
      <c r="B8095" s="7" t="n">
        <v>8093</v>
      </c>
      <c r="C8095" t="inlineStr">
        <is>
          <t>QAQC Factory Audit</t>
        </is>
      </c>
      <c r="D8095" t="inlineStr">
        <is>
          <t>Công Ty TNHH Muji Retail (Việt Nam)</t>
        </is>
      </c>
      <c r="E8095" t="inlineStr">
        <is>
          <t>Thương lượng</t>
        </is>
      </c>
      <c r="F8095" t="inlineStr">
        <is>
          <t>Hồ Chí Minh</t>
        </is>
      </c>
      <c r="G8095" t="inlineStr">
        <is>
          <t>Nhân viên</t>
        </is>
      </c>
      <c r="H8095" t="inlineStr">
        <is>
          <t>06/03/2026</t>
        </is>
      </c>
      <c r="I8095" t="inlineStr">
        <is>
          <t>05/04/2026</t>
        </is>
      </c>
      <c r="J8095" t="inlineStr">
        <is>
          <t>17/03/2026</t>
        </is>
      </c>
      <c r="K8095" t="inlineStr">
        <is>
          <t>N/A</t>
        </is>
      </c>
      <c r="L8095" t="inlineStr">
        <is>
          <t>Researching, Product Development, Market Trend Research, New Product Development, Food and Beverage</t>
        </is>
      </c>
      <c r="M8095" t="inlineStr">
        <is>
          <t>Paid Leave, Training</t>
        </is>
      </c>
      <c r="N8095" s="8">
        <f>HYPERLINK("https://www.vietnamworks.com/qaqc-factory-audit-2019483-jv","Xem chi tiết")</f>
        <v/>
      </c>
    </row>
    <row r="8096">
      <c r="B8096" s="9" t="n">
        <v>8094</v>
      </c>
      <c r="C8096" s="10" t="inlineStr">
        <is>
          <t>Kỹ Sư Cơ Khí</t>
        </is>
      </c>
      <c r="D8096" s="10" t="inlineStr">
        <is>
          <t>Công Ty TNHH VINA Tokai Powdex</t>
        </is>
      </c>
      <c r="E8096" s="10" t="inlineStr">
        <is>
          <t>$$ 300-1,000 /tháng</t>
        </is>
      </c>
      <c r="F8096" s="10" t="inlineStr">
        <is>
          <t>Hồ Chí Minh</t>
        </is>
      </c>
      <c r="G8096" s="10" t="inlineStr">
        <is>
          <t>Nhân viên</t>
        </is>
      </c>
      <c r="H8096" s="10" t="inlineStr">
        <is>
          <t>06/03/2026</t>
        </is>
      </c>
      <c r="I8096" s="10" t="inlineStr">
        <is>
          <t>05/04/2026</t>
        </is>
      </c>
      <c r="J8096" s="10" t="inlineStr">
        <is>
          <t>17/03/2026</t>
        </is>
      </c>
      <c r="K8096" s="10" t="inlineStr">
        <is>
          <t>N/A</t>
        </is>
      </c>
      <c r="L8096" s="10" t="inlineStr">
        <is>
          <t>Thiết Kế Cơ Khí, Gia Công Cơ Khí, AutoCAD, MS Office, Tiếng Nhật</t>
        </is>
      </c>
      <c r="M8096" s="10" t="inlineStr">
        <is>
          <t>Bonus, Healthcare Plan, Paid Leave, Training, Others</t>
        </is>
      </c>
      <c r="N8096" s="11">
        <f>HYPERLINK("https://www.vietnamworks.com/ky-su-co-khi-2019486-jv","Xem chi tiết")</f>
        <v/>
      </c>
      <c r="O8096" s="10" t="n"/>
    </row>
    <row r="8097">
      <c r="B8097" s="7" t="n">
        <v>8095</v>
      </c>
      <c r="C8097" t="inlineStr">
        <is>
          <t>Chuyên Gia Quản Lý Rủi Ro Tích Hợp</t>
        </is>
      </c>
      <c r="D8097" t="inlineStr">
        <is>
          <t>Ngân Hàng Thương Mại Cổ Phần Thịnh Vượng Và Phát Triển (PGBANK)</t>
        </is>
      </c>
      <c r="E8097" t="inlineStr">
        <is>
          <t>$$ 1,500-2,500 /tháng</t>
        </is>
      </c>
      <c r="F8097" t="inlineStr">
        <is>
          <t>Hà Nội</t>
        </is>
      </c>
      <c r="G8097" t="inlineStr">
        <is>
          <t>Nhân viên</t>
        </is>
      </c>
      <c r="H8097" t="inlineStr">
        <is>
          <t>06/03/2026</t>
        </is>
      </c>
      <c r="I8097" t="inlineStr">
        <is>
          <t>05/04/2026</t>
        </is>
      </c>
      <c r="J8097" t="inlineStr">
        <is>
          <t>17/03/2026</t>
        </is>
      </c>
      <c r="K8097" t="inlineStr">
        <is>
          <t>N/A</t>
        </is>
      </c>
      <c r="L8097" t="inlineStr">
        <is>
          <t>Quản Trị Rủi Ro, Tài Chính Ngân Hàng, Basel II, ICAAP, CAR</t>
        </is>
      </c>
      <c r="M8097" t="inlineStr">
        <is>
          <t>Bonus, Healthcare Plan, Transportation</t>
        </is>
      </c>
      <c r="N8097" s="8">
        <f>HYPERLINK("https://www.vietnamworks.com/chuyen-gia-quan-ly-rui-ro-tich-hop-2019484-jv","Xem chi tiết")</f>
        <v/>
      </c>
    </row>
    <row r="8098">
      <c r="B8098" s="9" t="n">
        <v>8096</v>
      </c>
      <c r="C8098" s="10" t="inlineStr">
        <is>
          <t>Head of Customer &amp; Market Insights</t>
        </is>
      </c>
      <c r="D8098" s="10" t="inlineStr">
        <is>
          <t>Công Ty Cổ Phần Vàng Bạc Đá Quý Phú Nhuận (PNJ)</t>
        </is>
      </c>
      <c r="E8098" s="10" t="inlineStr">
        <is>
          <t>Thương lượng</t>
        </is>
      </c>
      <c r="F8098" s="10" t="inlineStr">
        <is>
          <t>Hồ Chí Minh</t>
        </is>
      </c>
      <c r="G8098" s="10" t="inlineStr">
        <is>
          <t>Giám Đốc và Cấp Cao Hơn</t>
        </is>
      </c>
      <c r="H8098" s="10" t="inlineStr">
        <is>
          <t>06/03/2026</t>
        </is>
      </c>
      <c r="I8098" s="10" t="inlineStr">
        <is>
          <t>05/04/2026</t>
        </is>
      </c>
      <c r="J8098" s="10" t="inlineStr">
        <is>
          <t>17/03/2026</t>
        </is>
      </c>
      <c r="K8098" s="10" t="inlineStr">
        <is>
          <t>N/A</t>
        </is>
      </c>
      <c r="L8098" s="10" t="inlineStr">
        <is>
          <t>Market Research, Strategy Consulting, Marketing Planning, Business Intelligence, Customer Insight</t>
        </is>
      </c>
      <c r="M8098" s="10" t="inlineStr">
        <is>
          <t>Bonus, Healthcare Plan, Paid Leave</t>
        </is>
      </c>
      <c r="N8098" s="11">
        <f>HYPERLINK("https://www.vietnamworks.com/head-of-customer-market-insights--2019485-jv","Xem chi tiết")</f>
        <v/>
      </c>
      <c r="O8098" s="10" t="n"/>
    </row>
    <row r="8099">
      <c r="B8099" s="7" t="n">
        <v>8097</v>
      </c>
      <c r="C8099" t="inlineStr">
        <is>
          <t>Giám Đốc Vận Hành (COO)</t>
        </is>
      </c>
      <c r="D8099" t="inlineStr">
        <is>
          <t>CÔNG TY TNHH KIM HÀ VIỆT</t>
        </is>
      </c>
      <c r="E8099" t="inlineStr">
        <is>
          <t>Thương lượng</t>
        </is>
      </c>
      <c r="F8099" t="inlineStr">
        <is>
          <t>Hồ Chí Minh</t>
        </is>
      </c>
      <c r="G8099" t="inlineStr">
        <is>
          <t>Giám Đốc và Cấp Cao Hơn</t>
        </is>
      </c>
      <c r="H8099" t="inlineStr">
        <is>
          <t>06/03/2026</t>
        </is>
      </c>
      <c r="I8099" t="inlineStr">
        <is>
          <t>05/04/2026</t>
        </is>
      </c>
      <c r="J8099" t="inlineStr">
        <is>
          <t>17/03/2026</t>
        </is>
      </c>
      <c r="K8099" t="inlineStr">
        <is>
          <t>N/A</t>
        </is>
      </c>
      <c r="L8099" t="inlineStr">
        <is>
          <t>English, Quản Lý Hiệu Suất, Quản Lý Vận Hành, Xây Dựng Chiến Lược, Điều hành &amp; Lãnh đạo</t>
        </is>
      </c>
      <c r="M8099" t="inlineStr">
        <is>
          <t>Bonus, Healthcare Plan, Training, Transportation, Others</t>
        </is>
      </c>
      <c r="N8099" s="8">
        <f>HYPERLINK("https://www.vietnamworks.com/giam-djoc-van-hanh-coo-2019480-jv","Xem chi tiết")</f>
        <v/>
      </c>
    </row>
    <row r="8100">
      <c r="B8100" s="9" t="n">
        <v>8098</v>
      </c>
      <c r="C8100" s="10" t="inlineStr">
        <is>
          <t>QAQC Inspection and Regulation</t>
        </is>
      </c>
      <c r="D8100" s="10" t="inlineStr">
        <is>
          <t>Công Ty TNHH Muji Retail (Việt Nam)</t>
        </is>
      </c>
      <c r="E8100" s="10" t="inlineStr">
        <is>
          <t>Thương lượng</t>
        </is>
      </c>
      <c r="F8100" s="10" t="inlineStr">
        <is>
          <t>Hồ Chí Minh</t>
        </is>
      </c>
      <c r="G8100" s="10" t="inlineStr">
        <is>
          <t>Nhân viên</t>
        </is>
      </c>
      <c r="H8100" s="10" t="inlineStr">
        <is>
          <t>06/03/2026</t>
        </is>
      </c>
      <c r="I8100" s="10" t="inlineStr">
        <is>
          <t>05/04/2026</t>
        </is>
      </c>
      <c r="J8100" s="10" t="inlineStr">
        <is>
          <t>17/03/2026</t>
        </is>
      </c>
      <c r="K8100" s="10" t="inlineStr">
        <is>
          <t>N/A</t>
        </is>
      </c>
      <c r="L8100" s="10" t="inlineStr">
        <is>
          <t>Researching, Product Development, Market Trend Research, New Product Development, Food and Beverage</t>
        </is>
      </c>
      <c r="M8100" s="10" t="inlineStr">
        <is>
          <t>Paid Leave, Training</t>
        </is>
      </c>
      <c r="N8100" s="11">
        <f>HYPERLINK("https://www.vietnamworks.com/qaqc-inspection-and-regulation-2019492-jv","Xem chi tiết")</f>
        <v/>
      </c>
      <c r="O8100" s="10" t="n"/>
    </row>
    <row r="8101">
      <c r="B8101" s="7" t="n">
        <v>8099</v>
      </c>
      <c r="C8101" t="inlineStr">
        <is>
          <t>Sales Engineer</t>
        </is>
      </c>
      <c r="D8101" t="inlineStr">
        <is>
          <t>Igus Vietnam Company Limited</t>
        </is>
      </c>
      <c r="E8101" t="inlineStr">
        <is>
          <t>Thương lượng</t>
        </is>
      </c>
      <c r="F8101" t="inlineStr">
        <is>
          <t>Hồ Chí Minh, Hà Nội</t>
        </is>
      </c>
      <c r="G8101" t="inlineStr">
        <is>
          <t>Nhân viên</t>
        </is>
      </c>
      <c r="H8101" t="inlineStr">
        <is>
          <t>06/03/2026</t>
        </is>
      </c>
      <c r="I8101" t="inlineStr">
        <is>
          <t>05/04/2026</t>
        </is>
      </c>
      <c r="J8101" t="inlineStr">
        <is>
          <t>17/03/2026</t>
        </is>
      </c>
      <c r="K8101" t="inlineStr">
        <is>
          <t>N/A</t>
        </is>
      </c>
      <c r="L8101" t="inlineStr">
        <is>
          <t>Sales Planning, English, Automation, Automotive, Electrical Engineer</t>
        </is>
      </c>
      <c r="M8101" t="inlineStr">
        <is>
          <t>Bonus, Healthcare Plan, Team Activities</t>
        </is>
      </c>
      <c r="N8101" s="8">
        <f>HYPERLINK("https://www.vietnamworks.com/sales-engineer--2019487-jv","Xem chi tiết")</f>
        <v/>
      </c>
    </row>
    <row r="8102">
      <c r="B8102" s="9" t="n">
        <v>8100</v>
      </c>
      <c r="C8102" s="10" t="inlineStr">
        <is>
          <t>Nhân Viên Mua Hàng</t>
        </is>
      </c>
      <c r="D8102" s="10" t="inlineStr">
        <is>
          <t>Công ty CP Liên Doanh Cảng Quốc tế Mỹ Thủy</t>
        </is>
      </c>
      <c r="E8102" s="10" t="inlineStr">
        <is>
          <t>Thương lượng</t>
        </is>
      </c>
      <c r="F8102" s="10" t="inlineStr">
        <is>
          <t>Quảng Trị, Đà Nẵng, Thừa Thiên Huế</t>
        </is>
      </c>
      <c r="G8102" s="10" t="inlineStr">
        <is>
          <t>Nhân viên</t>
        </is>
      </c>
      <c r="H8102" s="10" t="inlineStr">
        <is>
          <t>06/03/2026</t>
        </is>
      </c>
      <c r="I8102" s="10" t="inlineStr">
        <is>
          <t>05/04/2026</t>
        </is>
      </c>
      <c r="J8102" s="10" t="inlineStr">
        <is>
          <t>17/03/2026</t>
        </is>
      </c>
      <c r="K8102" s="10" t="inlineStr">
        <is>
          <t>N/A</t>
        </is>
      </c>
      <c r="L8102" s="10" t="inlineStr">
        <is>
          <t>Mua Sắm Vật Tư, Quản Lý Nhà Cung Cấp, Kỹ năng đàm phán, Kỹ năng lập kế hoạch, Giao Tiếp</t>
        </is>
      </c>
      <c r="M8102" s="10" t="inlineStr">
        <is>
          <t>Bonus, Healthcare Plan, Transportation</t>
        </is>
      </c>
      <c r="N8102" s="11">
        <f>HYPERLINK("https://www.vietnamworks.com/nhan-vien-mua-hang-2019495-jv","Xem chi tiết")</f>
        <v/>
      </c>
      <c r="O8102" s="10" t="n"/>
    </row>
    <row r="8103">
      <c r="B8103" s="7" t="n">
        <v>8101</v>
      </c>
      <c r="C8103" t="inlineStr">
        <is>
          <t>Nhân Viên Kế Hoạch Sản Xuất PC ( Tiếng Trung )</t>
        </is>
      </c>
      <c r="D8103" t="inlineStr">
        <is>
          <t>Công Ty TNHH Công Nghệ Lens VIỆT NAM</t>
        </is>
      </c>
      <c r="E8103" t="inlineStr">
        <is>
          <t>Thương lượng</t>
        </is>
      </c>
      <c r="F8103" t="inlineStr">
        <is>
          <t>Bắc Ninh, Bắc Giang</t>
        </is>
      </c>
      <c r="G8103" t="inlineStr">
        <is>
          <t>Nhân viên</t>
        </is>
      </c>
      <c r="H8103" t="inlineStr">
        <is>
          <t>06/03/2026</t>
        </is>
      </c>
      <c r="I8103" t="inlineStr">
        <is>
          <t>05/04/2026</t>
        </is>
      </c>
      <c r="J8103" t="inlineStr">
        <is>
          <t>17/03/2026</t>
        </is>
      </c>
      <c r="K8103" t="inlineStr">
        <is>
          <t>N/A</t>
        </is>
      </c>
      <c r="L8103" t="inlineStr">
        <is>
          <t>Quản Lý Kho, Kế Hoạch Sản Xuất, Kiểm Soát Tồn Kho, Production Control, Tiếng Trung</t>
        </is>
      </c>
      <c r="M8103" t="inlineStr">
        <is>
          <t>Bonus, Healthcare Plan, Training</t>
        </is>
      </c>
      <c r="N8103" s="8">
        <f>HYPERLINK("https://www.vietnamworks.com/nhan-vien-ke-hoach-san-xuat-pc-tieng-trung-2019499-jv","Xem chi tiết")</f>
        <v/>
      </c>
    </row>
    <row r="8104">
      <c r="B8104" s="9" t="n">
        <v>8102</v>
      </c>
      <c r="C8104" s="10" t="inlineStr">
        <is>
          <t>Academic Supervisor (Làm Việc Tại CS Quận 8 và Kdc Trung Sơn)</t>
        </is>
      </c>
      <c r="D8104" s="10" t="inlineStr">
        <is>
          <t>EDUCATION FIRST INSTITUTE ( I Can Read)</t>
        </is>
      </c>
      <c r="E8104" s="10" t="inlineStr">
        <is>
          <t>Thương lượng</t>
        </is>
      </c>
      <c r="F8104" s="10" t="inlineStr">
        <is>
          <t>Hồ Chí Minh</t>
        </is>
      </c>
      <c r="G8104" s="10" t="inlineStr">
        <is>
          <t>Trưởng phòng</t>
        </is>
      </c>
      <c r="H8104" s="10" t="inlineStr">
        <is>
          <t>06/03/2026</t>
        </is>
      </c>
      <c r="I8104" s="10" t="inlineStr">
        <is>
          <t>05/04/2026</t>
        </is>
      </c>
      <c r="J8104" s="10" t="inlineStr">
        <is>
          <t>17/03/2026</t>
        </is>
      </c>
      <c r="K8104" s="10" t="inlineStr">
        <is>
          <t>N/A</t>
        </is>
      </c>
      <c r="L8104" s="10" t="inlineStr">
        <is>
          <t>Academic Management, Ngôn Ngữ Anh, Quản Lý Học Thuật, Sư Phạm, Đào Tạo Giáo Viên</t>
        </is>
      </c>
      <c r="M8104" s="10" t="inlineStr">
        <is>
          <t>Bonus, Training, Awards, Others</t>
        </is>
      </c>
      <c r="N8104" s="11">
        <f>HYPERLINK("https://www.vietnamworks.com/academic-supervisor-lam-viec-tai-cs-quan-8-va-kdc-trung-son-2019497-jv","Xem chi tiết")</f>
        <v/>
      </c>
      <c r="O8104" s="10" t="n"/>
    </row>
    <row r="8105">
      <c r="B8105" s="7" t="n">
        <v>8103</v>
      </c>
      <c r="C8105" t="inlineStr">
        <is>
          <t>Tuyển Dụng Nhân Viên Kinh Doanh</t>
        </is>
      </c>
      <c r="D8105" t="inlineStr">
        <is>
          <t>Interlink JSC - North Branch</t>
        </is>
      </c>
      <c r="E8105" t="inlineStr">
        <is>
          <t>Thương lượng</t>
        </is>
      </c>
      <c r="F8105" t="inlineStr">
        <is>
          <t>Hải Phòng</t>
        </is>
      </c>
      <c r="G8105" t="inlineStr">
        <is>
          <t>Nhân viên</t>
        </is>
      </c>
      <c r="H8105" t="inlineStr">
        <is>
          <t>06/03/2026</t>
        </is>
      </c>
      <c r="I8105" t="inlineStr">
        <is>
          <t>05/04/2026</t>
        </is>
      </c>
      <c r="J8105" t="inlineStr">
        <is>
          <t>17/03/2026</t>
        </is>
      </c>
      <c r="K8105" t="inlineStr">
        <is>
          <t>N/A</t>
        </is>
      </c>
      <c r="L8105" t="inlineStr">
        <is>
          <t>Tìm Kiếm Khách Hàng, Kinh Doanh Logistics, Tư Vấn Dịch Vụ, Lập Kế Hoạch Kinh Doanh, Đàm Phán</t>
        </is>
      </c>
      <c r="M8105" t="inlineStr">
        <is>
          <t>Bonus, Healthcare Plan, Others</t>
        </is>
      </c>
      <c r="N8105" s="8">
        <f>HYPERLINK("https://www.vietnamworks.com/tuyen-dung-nhan-vien-kinh-doanh--2019491-jv","Xem chi tiết")</f>
        <v/>
      </c>
    </row>
    <row r="8106">
      <c r="B8106" s="9" t="n">
        <v>8104</v>
      </c>
      <c r="C8106" s="10" t="inlineStr">
        <is>
          <t>Nhân Viên Xuất Nhập Khẩu (Import-Export Executive)</t>
        </is>
      </c>
      <c r="D8106" s="10" t="inlineStr">
        <is>
          <t>Công ty TNHH SAMBU VINA SPORTS</t>
        </is>
      </c>
      <c r="E8106" s="10" t="inlineStr">
        <is>
          <t>8tr-9tr ₫/tháng</t>
        </is>
      </c>
      <c r="F8106" s="10" t="inlineStr">
        <is>
          <t>Hồ Chí Minh</t>
        </is>
      </c>
      <c r="G8106" s="10" t="inlineStr">
        <is>
          <t>Mới Tốt Nghiệp</t>
        </is>
      </c>
      <c r="H8106" s="10" t="inlineStr">
        <is>
          <t>06/03/2026</t>
        </is>
      </c>
      <c r="I8106" s="10" t="inlineStr">
        <is>
          <t>05/04/2026</t>
        </is>
      </c>
      <c r="J8106" s="10" t="inlineStr">
        <is>
          <t>17/03/2026</t>
        </is>
      </c>
      <c r="K8106" s="10" t="inlineStr">
        <is>
          <t>N/A</t>
        </is>
      </c>
      <c r="L8106" s="10" t="inlineStr">
        <is>
          <t>Documentation Handling, Cargo Tracking, Customs Procedures, ERP systems, Import Export Procedure</t>
        </is>
      </c>
      <c r="M8106" s="10" t="inlineStr">
        <is>
          <t>Bonus, Team Activities, Others</t>
        </is>
      </c>
      <c r="N8106" s="11">
        <f>HYPERLINK("https://www.vietnamworks.com/nhan-vien-xuat-nhap-khau-import-export-executive-2019496-jv","Xem chi tiết")</f>
        <v/>
      </c>
      <c r="O8106" s="10" t="n"/>
    </row>
    <row r="8107">
      <c r="B8107" s="7" t="n">
        <v>8105</v>
      </c>
      <c r="C8107" t="inlineStr">
        <is>
          <t>Chuyên Viên Graphic Designer</t>
        </is>
      </c>
      <c r="D8107" t="inlineStr">
        <is>
          <t>Công Ty Cổ Phần Chứng Khoán KB Việt Nam</t>
        </is>
      </c>
      <c r="E8107" t="inlineStr">
        <is>
          <t>Thương lượng</t>
        </is>
      </c>
      <c r="F8107" t="inlineStr">
        <is>
          <t>Hà Nội</t>
        </is>
      </c>
      <c r="G8107" t="inlineStr">
        <is>
          <t>Nhân viên</t>
        </is>
      </c>
      <c r="H8107" t="inlineStr">
        <is>
          <t>06/03/2026</t>
        </is>
      </c>
      <c r="I8107" t="inlineStr">
        <is>
          <t>05/04/2026</t>
        </is>
      </c>
      <c r="J8107" t="inlineStr">
        <is>
          <t>17/03/2026</t>
        </is>
      </c>
      <c r="K8107" t="inlineStr">
        <is>
          <t>N/A</t>
        </is>
      </c>
      <c r="L8107" t="inlineStr">
        <is>
          <t>Adobe Photoshop, Adobe Illustrator, Adobe InDesign, Digital Marketing, Creative Thinking</t>
        </is>
      </c>
      <c r="M8107" t="inlineStr">
        <is>
          <t>Bonus, Healthcare Plan, Paid Leave, Others</t>
        </is>
      </c>
      <c r="N8107" s="8">
        <f>HYPERLINK("https://www.vietnamworks.com/chuyen-vien-graphic-designer-2019488-jv","Xem chi tiết")</f>
        <v/>
      </c>
    </row>
    <row r="8108">
      <c r="B8108" s="9" t="n">
        <v>8106</v>
      </c>
      <c r="C8108" s="10" t="inlineStr">
        <is>
          <t>Business Development Senior Manager</t>
        </is>
      </c>
      <c r="D8108" s="10" t="inlineStr">
        <is>
          <t>Công Ty Cổ Phần Vàng Bạc Đá Quý Phú Nhuận (PNJ)</t>
        </is>
      </c>
      <c r="E8108" s="10" t="inlineStr">
        <is>
          <t>Thương lượng</t>
        </is>
      </c>
      <c r="F8108" s="10" t="inlineStr">
        <is>
          <t>Hồ Chí Minh</t>
        </is>
      </c>
      <c r="G8108" s="10" t="inlineStr">
        <is>
          <t>Trưởng phòng</t>
        </is>
      </c>
      <c r="H8108" s="10" t="inlineStr">
        <is>
          <t>06/03/2026</t>
        </is>
      </c>
      <c r="I8108" s="10" t="inlineStr">
        <is>
          <t>05/04/2026</t>
        </is>
      </c>
      <c r="J8108" s="10" t="inlineStr">
        <is>
          <t>17/03/2026</t>
        </is>
      </c>
      <c r="K8108" s="10" t="inlineStr">
        <is>
          <t>N/A</t>
        </is>
      </c>
      <c r="L8108" s="10" t="inlineStr">
        <is>
          <t>Phát Triển Kinh Doanh, Retail Operations, Business Development, Sale &amp; Business development, Sales &amp; Partnership Management</t>
        </is>
      </c>
      <c r="M8108" s="10" t="inlineStr">
        <is>
          <t>Bonus, Healthcare Plan, Paid Leave, Laptop</t>
        </is>
      </c>
      <c r="N8108" s="11">
        <f>HYPERLINK("https://www.vietnamworks.com/business-development-senior-manager-2019489-jv","Xem chi tiết")</f>
        <v/>
      </c>
      <c r="O8108" s="10" t="n"/>
    </row>
    <row r="8109">
      <c r="B8109" s="7" t="n">
        <v>8107</v>
      </c>
      <c r="C8109" t="inlineStr">
        <is>
          <t>PARTNER MẢNG GIÁO DỤC (HN VÀ HCM)</t>
        </is>
      </c>
      <c r="D8109" t="inlineStr">
        <is>
          <t>Công ty Cổ phần FCE Việt Nam</t>
        </is>
      </c>
      <c r="E8109" t="inlineStr">
        <is>
          <t>$$ 2,500-4,000 /tháng</t>
        </is>
      </c>
      <c r="F8109" t="inlineStr">
        <is>
          <t>Hà Nội, Hồ Chí Minh</t>
        </is>
      </c>
      <c r="G8109" t="inlineStr">
        <is>
          <t>Giám Đốc và Cấp Cao Hơn</t>
        </is>
      </c>
      <c r="H8109" t="inlineStr">
        <is>
          <t>06/03/2026</t>
        </is>
      </c>
      <c r="I8109" t="inlineStr">
        <is>
          <t>05/04/2026</t>
        </is>
      </c>
      <c r="J8109" t="inlineStr">
        <is>
          <t>17/03/2026</t>
        </is>
      </c>
      <c r="K8109" t="inlineStr">
        <is>
          <t>N/A</t>
        </is>
      </c>
      <c r="L8109" t="inlineStr">
        <is>
          <t>Quản Lý Giáo Dục, Phát Triển Dự Án, Quản Lý Điều Hành, Giám đốc chi nhánh, Giám Đốc Kinh Doanh</t>
        </is>
      </c>
      <c r="M8109" t="inlineStr">
        <is>
          <t>Bonus, Training, Others</t>
        </is>
      </c>
      <c r="N8109" s="8">
        <f>HYPERLINK("https://www.vietnamworks.com/partner-mang-giao-duc-hn-va-hcm-2019500-jv","Xem chi tiết")</f>
        <v/>
      </c>
    </row>
    <row r="8110">
      <c r="B8110" s="9" t="n">
        <v>8108</v>
      </c>
      <c r="C8110" s="10" t="inlineStr">
        <is>
          <t>POLITICAL ASSISTANT, FSN-9</t>
        </is>
      </c>
      <c r="D8110" s="10" t="inlineStr">
        <is>
          <t>Consulate General of The United States of America Ho Chi Minh City</t>
        </is>
      </c>
      <c r="E8110" s="10" t="inlineStr">
        <is>
          <t>Thương lượng</t>
        </is>
      </c>
      <c r="F8110" s="10" t="inlineStr">
        <is>
          <t>Hồ Chí Minh</t>
        </is>
      </c>
      <c r="G8110" s="10" t="inlineStr">
        <is>
          <t>Nhân viên</t>
        </is>
      </c>
      <c r="H8110" s="10" t="inlineStr">
        <is>
          <t>06/03/2026</t>
        </is>
      </c>
      <c r="I8110" s="10" t="inlineStr">
        <is>
          <t>05/04/2026</t>
        </is>
      </c>
      <c r="J8110" s="10" t="inlineStr">
        <is>
          <t>17/03/2026</t>
        </is>
      </c>
      <c r="K8110" s="10" t="inlineStr">
        <is>
          <t>N/A</t>
        </is>
      </c>
      <c r="L8110" s="10" t="inlineStr">
        <is>
          <t>Political Analysis, International Relations, Report Writing, Interpersonal skills, Discretion</t>
        </is>
      </c>
      <c r="M8110" s="10" t="inlineStr">
        <is>
          <t>Bonus, Healthcare Plan, Paid Leave, Training, Awards, Team Activities, Others</t>
        </is>
      </c>
      <c r="N8110" s="11">
        <f>HYPERLINK("https://www.vietnamworks.com/political-assistant-fsn-9-2019501-jv","Xem chi tiết")</f>
        <v/>
      </c>
      <c r="O8110" s="10" t="n"/>
    </row>
    <row r="8111">
      <c r="B8111" s="7" t="n">
        <v>8109</v>
      </c>
      <c r="C8111" t="inlineStr">
        <is>
          <t>Nhân Viên Quầy Giao Dịch</t>
        </is>
      </c>
      <c r="D8111" t="inlineStr">
        <is>
          <t>Ngân Hàng Mega International Commercial Bank Co.,Ltd - Tại Hồ Chí Minh</t>
        </is>
      </c>
      <c r="E8111" t="inlineStr">
        <is>
          <t>Thương lượng</t>
        </is>
      </c>
      <c r="F8111" t="inlineStr">
        <is>
          <t>Hồ Chí Minh</t>
        </is>
      </c>
      <c r="G8111" t="inlineStr">
        <is>
          <t>Nhân viên</t>
        </is>
      </c>
      <c r="H8111" t="inlineStr">
        <is>
          <t>06/03/2026</t>
        </is>
      </c>
      <c r="I8111" t="inlineStr">
        <is>
          <t>05/04/2026</t>
        </is>
      </c>
      <c r="J8111" t="inlineStr">
        <is>
          <t>17/03/2026</t>
        </is>
      </c>
      <c r="K8111" t="inlineStr">
        <is>
          <t>N/A</t>
        </is>
      </c>
      <c r="L8111" t="inlineStr">
        <is>
          <t>Chăm Sóc Khách Hàng, Tiếng Hoa, Tiếng Anh, Tài Chính Ngân Hàng, Chứng Từ Kế Toán</t>
        </is>
      </c>
      <c r="M8111" t="inlineStr">
        <is>
          <t>Bonus, Healthcare Plan, Team Activities</t>
        </is>
      </c>
      <c r="N8111" s="8">
        <f>HYPERLINK("https://www.vietnamworks.com/nhan-vien-quay-giao-dich-2019502-jv","Xem chi tiết")</f>
        <v/>
      </c>
    </row>
    <row r="8112">
      <c r="B8112" s="9" t="n">
        <v>8110</v>
      </c>
      <c r="C8112" s="10" t="inlineStr">
        <is>
          <t>Kỹ Sư Xây Dựng (Chủ Đầu Tư BĐS)</t>
        </is>
      </c>
      <c r="D8112" s="10" t="inlineStr">
        <is>
          <t>Công Ty Cổ Phần Đầu Tư Bất Động Sản Toàn Cầu (GP. INVEST)</t>
        </is>
      </c>
      <c r="E8112" s="10" t="inlineStr">
        <is>
          <t>Thương lượng</t>
        </is>
      </c>
      <c r="F8112" s="10" t="inlineStr">
        <is>
          <t>Hà Nội, Lạng Sơn, Phú Thọ</t>
        </is>
      </c>
      <c r="G8112" s="10" t="inlineStr">
        <is>
          <t>Nhân viên</t>
        </is>
      </c>
      <c r="H8112" s="10" t="inlineStr">
        <is>
          <t>06/03/2026</t>
        </is>
      </c>
      <c r="I8112" s="10" t="inlineStr">
        <is>
          <t>05/04/2026</t>
        </is>
      </c>
      <c r="J8112" s="10" t="inlineStr">
        <is>
          <t>17/03/2026</t>
        </is>
      </c>
      <c r="K8112" s="10" t="inlineStr">
        <is>
          <t>N/A</t>
        </is>
      </c>
      <c r="L8112" s="10" t="inlineStr">
        <is>
          <t>Quản Lý Chất Lượng Bản Vẽ, Giám Sát Thi Công, Thẩm Định Vấn Đề, Làm Hồ Sơ Thanh Quyết Toán, Xây Dựng</t>
        </is>
      </c>
      <c r="M8112" s="10" t="inlineStr">
        <is>
          <t>Bonus, Healthcare Plan, Training, Travel Opportunities, Team Activities, Vouchers, Others</t>
        </is>
      </c>
      <c r="N8112" s="11">
        <f>HYPERLINK("https://www.vietnamworks.com/ky-su-xay-dung-chu-djau-tu-bdjs-2019503-jv","Xem chi tiết")</f>
        <v/>
      </c>
      <c r="O8112" s="10" t="n"/>
    </row>
    <row r="8113">
      <c r="B8113" s="7" t="n">
        <v>8111</v>
      </c>
      <c r="C8113" t="inlineStr">
        <is>
          <t>Graphic Designer (6 Month Contract)</t>
        </is>
      </c>
      <c r="D8113" t="inlineStr">
        <is>
          <t>Chi nhánh Công ty TNHH Envision Education</t>
        </is>
      </c>
      <c r="E8113" t="inlineStr">
        <is>
          <t>Thương lượng</t>
        </is>
      </c>
      <c r="F8113" t="inlineStr">
        <is>
          <t>Hà Nội</t>
        </is>
      </c>
      <c r="G8113" t="inlineStr">
        <is>
          <t>Nhân viên</t>
        </is>
      </c>
      <c r="H8113" t="inlineStr">
        <is>
          <t>06/03/2026</t>
        </is>
      </c>
      <c r="I8113" t="inlineStr">
        <is>
          <t>05/04/2026</t>
        </is>
      </c>
      <c r="J8113" t="inlineStr">
        <is>
          <t>17/03/2026</t>
        </is>
      </c>
      <c r="K8113" t="inlineStr">
        <is>
          <t>N/A</t>
        </is>
      </c>
      <c r="L8113" t="inlineStr">
        <is>
          <t>InDesign, Graphic Design, Adobe Photoshop, Thiết Kế Ấn Phẩm Đồ Họa</t>
        </is>
      </c>
      <c r="M8113" t="inlineStr">
        <is>
          <t>Bonus, Healthcare Plan, Paid Leave, Training, Others</t>
        </is>
      </c>
      <c r="N8113" s="8">
        <f>HYPERLINK("https://www.vietnamworks.com/graphic-designer-6-month-contract-2019513-jv","Xem chi tiết")</f>
        <v/>
      </c>
    </row>
    <row r="8114">
      <c r="B8114" s="9" t="n">
        <v>8112</v>
      </c>
      <c r="C8114" s="10" t="inlineStr">
        <is>
          <t>HR Manager</t>
        </is>
      </c>
      <c r="D8114" s="10" t="inlineStr">
        <is>
          <t>Công ty TNHH Phát triển Deli Việt Nam</t>
        </is>
      </c>
      <c r="E8114" s="10" t="inlineStr">
        <is>
          <t>Thương lượng</t>
        </is>
      </c>
      <c r="F8114" s="10" t="inlineStr">
        <is>
          <t>Hà Nội</t>
        </is>
      </c>
      <c r="G8114" s="10" t="inlineStr">
        <is>
          <t>Trưởng phòng</t>
        </is>
      </c>
      <c r="H8114" s="10" t="inlineStr">
        <is>
          <t>06/03/2026</t>
        </is>
      </c>
      <c r="I8114" s="10" t="inlineStr">
        <is>
          <t>05/04/2026</t>
        </is>
      </c>
      <c r="J8114" s="10" t="inlineStr">
        <is>
          <t>17/03/2026</t>
        </is>
      </c>
      <c r="K8114" s="10" t="inlineStr">
        <is>
          <t>N/A</t>
        </is>
      </c>
      <c r="L8114" s="10" t="inlineStr">
        <is>
          <t>Communication Skills, Analytical Skills, Problem-solving, Teamwork, Sequential Learning</t>
        </is>
      </c>
      <c r="M8114" s="10" t="inlineStr">
        <is>
          <t>Bonus, Healthcare Plan, Travel Opportunities, Team Activities, Others</t>
        </is>
      </c>
      <c r="N8114" s="11">
        <f>HYPERLINK("https://www.vietnamworks.com/hr-manager--2019504-jv","Xem chi tiết")</f>
        <v/>
      </c>
      <c r="O8114" s="10" t="n"/>
    </row>
    <row r="8115">
      <c r="B8115" s="7" t="n">
        <v>8113</v>
      </c>
      <c r="C8115" t="inlineStr">
        <is>
          <t>Technical Support / Engineer</t>
        </is>
      </c>
      <c r="D8115" t="inlineStr">
        <is>
          <t>Công Ty TNHH Kỹ Thuật CKD Việt Nam</t>
        </is>
      </c>
      <c r="E8115" t="inlineStr">
        <is>
          <t>Thương lượng</t>
        </is>
      </c>
      <c r="F8115" t="inlineStr">
        <is>
          <t>Hà Nội</t>
        </is>
      </c>
      <c r="G8115" t="inlineStr">
        <is>
          <t>Nhân viên</t>
        </is>
      </c>
      <c r="H8115" t="inlineStr">
        <is>
          <t>06/03/2026</t>
        </is>
      </c>
      <c r="I8115" t="inlineStr">
        <is>
          <t>05/04/2026</t>
        </is>
      </c>
      <c r="J8115" t="inlineStr">
        <is>
          <t>17/03/2026</t>
        </is>
      </c>
      <c r="K8115" t="inlineStr">
        <is>
          <t>N/A</t>
        </is>
      </c>
      <c r="L8115" t="inlineStr">
        <is>
          <t>Technical Support, AutoCAD, PLC Programming, Microsoft Office</t>
        </is>
      </c>
      <c r="M8115" t="inlineStr">
        <is>
          <t>Healthcare Plan, Paid Leave, Laptop, Team Activities</t>
        </is>
      </c>
      <c r="N8115" s="8">
        <f>HYPERLINK("https://www.vietnamworks.com/technical-support-engineer-2019515-jv","Xem chi tiết")</f>
        <v/>
      </c>
    </row>
    <row r="8116">
      <c r="B8116" s="9" t="n">
        <v>8114</v>
      </c>
      <c r="C8116" s="10" t="inlineStr">
        <is>
          <t>Giáo Viên Tiểu Học</t>
        </is>
      </c>
      <c r="D8116" s="10" t="inlineStr">
        <is>
          <t>Chi nhánh Công ty TNHH Envision Education</t>
        </is>
      </c>
      <c r="E8116" s="10" t="inlineStr">
        <is>
          <t>Thương lượng</t>
        </is>
      </c>
      <c r="F8116" s="10" t="inlineStr">
        <is>
          <t>Hà Nội</t>
        </is>
      </c>
      <c r="G8116" s="10" t="inlineStr">
        <is>
          <t>Nhân viên</t>
        </is>
      </c>
      <c r="H8116" s="10" t="inlineStr">
        <is>
          <t>06/03/2026</t>
        </is>
      </c>
      <c r="I8116" s="10" t="inlineStr">
        <is>
          <t>05/04/2026</t>
        </is>
      </c>
      <c r="J8116" s="10" t="inlineStr">
        <is>
          <t>17/03/2026</t>
        </is>
      </c>
      <c r="K8116" s="10" t="inlineStr">
        <is>
          <t>N/A</t>
        </is>
      </c>
      <c r="L8116" s="10" t="inlineStr">
        <is>
          <t>Sư Phạm Tiểu Học, Giám Sát Học Sinh, Giảng Dạy, Soạn Thảo Giáo Án, Tin Học Văn Phòng</t>
        </is>
      </c>
      <c r="M8116" s="10" t="inlineStr">
        <is>
          <t>Bonus, Healthcare Plan, Paid Leave, Canteen, Vouchers, Others</t>
        </is>
      </c>
      <c r="N8116" s="11">
        <f>HYPERLINK("https://www.vietnamworks.com/giao-vien-tieu-hoc-2019514-jv","Xem chi tiết")</f>
        <v/>
      </c>
      <c r="O8116" s="10" t="n"/>
    </row>
    <row r="8117">
      <c r="B8117" s="7" t="n">
        <v>8115</v>
      </c>
      <c r="C8117" t="inlineStr">
        <is>
          <t>MAINTENANCE SUPERVISOR, FSN-9</t>
        </is>
      </c>
      <c r="D8117" t="inlineStr">
        <is>
          <t>Consulate General of The United States of America Ho Chi Minh City</t>
        </is>
      </c>
      <c r="E8117" t="inlineStr">
        <is>
          <t>Thương lượng</t>
        </is>
      </c>
      <c r="F8117" t="inlineStr">
        <is>
          <t>Hồ Chí Minh</t>
        </is>
      </c>
      <c r="G8117" t="inlineStr">
        <is>
          <t>Trưởng phòng</t>
        </is>
      </c>
      <c r="H8117" t="inlineStr">
        <is>
          <t>06/03/2026</t>
        </is>
      </c>
      <c r="I8117" t="inlineStr">
        <is>
          <t>05/04/2026</t>
        </is>
      </c>
      <c r="J8117" t="inlineStr">
        <is>
          <t>17/03/2026</t>
        </is>
      </c>
      <c r="K8117" t="inlineStr">
        <is>
          <t>N/A</t>
        </is>
      </c>
      <c r="L8117" t="inlineStr">
        <is>
          <t>Construction Degree, Autodesk, Microsoft Office, Building Maintenance, Interpersonal skills</t>
        </is>
      </c>
      <c r="M8117" t="inlineStr">
        <is>
          <t>Bonus, Healthcare Plan, Paid Leave, Training, Awards, Team Activities, Others</t>
        </is>
      </c>
      <c r="N8117" s="8">
        <f>HYPERLINK("https://www.vietnamworks.com/maintenance-supervisor-fsn-9-2019508-jv","Xem chi tiết")</f>
        <v/>
      </c>
    </row>
    <row r="8118">
      <c r="B8118" s="9" t="n">
        <v>8116</v>
      </c>
      <c r="C8118" s="10" t="inlineStr">
        <is>
          <t>Kỹ Sư Dự Án (Lĩnh Vực Công Nghệ Môi Trường)</t>
        </is>
      </c>
      <c r="D8118" s="10" t="inlineStr">
        <is>
          <t>Công ty Cổ Phần Hóa Chất và Môi Trường Vũ Hoàng</t>
        </is>
      </c>
      <c r="E8118" s="10" t="inlineStr">
        <is>
          <t>Tới 25tr ₫/tháng</t>
        </is>
      </c>
      <c r="F8118" s="10" t="inlineStr">
        <is>
          <t>Hồ Chí Minh</t>
        </is>
      </c>
      <c r="G8118" s="10" t="inlineStr">
        <is>
          <t>Nhân viên</t>
        </is>
      </c>
      <c r="H8118" s="10" t="inlineStr">
        <is>
          <t>06/03/2026</t>
        </is>
      </c>
      <c r="I8118" s="10" t="inlineStr">
        <is>
          <t>05/04/2026</t>
        </is>
      </c>
      <c r="J8118" s="10" t="inlineStr">
        <is>
          <t>17/03/2026</t>
        </is>
      </c>
      <c r="K8118" s="10" t="inlineStr">
        <is>
          <t>N/A</t>
        </is>
      </c>
      <c r="L8118" s="10" t="inlineStr">
        <is>
          <t>AutoCAD, Môi Trường, Thiết Kế Thi Công, Triển Khai Dự Án, Dự Toán</t>
        </is>
      </c>
      <c r="M8118" s="10" t="inlineStr">
        <is>
          <t>Bonus, Healthcare Plan, Travel Opportunities, Others</t>
        </is>
      </c>
      <c r="N8118" s="11">
        <f>HYPERLINK("https://www.vietnamworks.com/ky-su-du-an-linh-vuc-cong-nghe-moi-truong-2019512-jv","Xem chi tiết")</f>
        <v/>
      </c>
      <c r="O8118" s="10" t="n"/>
    </row>
    <row r="8119">
      <c r="B8119" s="7" t="n">
        <v>8117</v>
      </c>
      <c r="C8119" t="inlineStr">
        <is>
          <t>Immigration Sales</t>
        </is>
      </c>
      <c r="D8119" t="inlineStr">
        <is>
          <t>CÔNG TY TNHH GLOBEVISA (VIỆT NAM)</t>
        </is>
      </c>
      <c r="E8119" t="inlineStr">
        <is>
          <t>$$ 300-1,200 /tháng</t>
        </is>
      </c>
      <c r="F8119" t="inlineStr">
        <is>
          <t>Hồ Chí Minh</t>
        </is>
      </c>
      <c r="G8119" t="inlineStr">
        <is>
          <t>Nhân viên</t>
        </is>
      </c>
      <c r="H8119" t="inlineStr">
        <is>
          <t>06/03/2026</t>
        </is>
      </c>
      <c r="I8119" t="inlineStr">
        <is>
          <t>05/04/2026</t>
        </is>
      </c>
      <c r="J8119" t="inlineStr">
        <is>
          <t>17/03/2026</t>
        </is>
      </c>
      <c r="K8119" t="inlineStr">
        <is>
          <t>N/A</t>
        </is>
      </c>
      <c r="L8119" t="inlineStr">
        <is>
          <t>Kinh Doanh, Business Development, Immigration Consulting, New Customer Acquisitions, English</t>
        </is>
      </c>
      <c r="M8119" t="inlineStr">
        <is>
          <t>Bonus, Training, Team Activities</t>
        </is>
      </c>
      <c r="N8119" s="8">
        <f>HYPERLINK("https://www.vietnamworks.com/immigration-sales--2019519-jv","Xem chi tiết")</f>
        <v/>
      </c>
    </row>
    <row r="8120">
      <c r="B8120" s="9" t="n">
        <v>8118</v>
      </c>
      <c r="C8120" s="10" t="inlineStr">
        <is>
          <t>Chuyên Viên Quản Trị Nhân Sự (C&amp;B)</t>
        </is>
      </c>
      <c r="D8120" s="10" t="inlineStr">
        <is>
          <t>Công ty CP Liên Doanh Cảng Quốc tế Mỹ Thủy</t>
        </is>
      </c>
      <c r="E8120" s="10" t="inlineStr">
        <is>
          <t>Thương lượng</t>
        </is>
      </c>
      <c r="F8120" s="10" t="inlineStr">
        <is>
          <t>Quảng Trị, Đà Nẵng, Thừa Thiên Huế</t>
        </is>
      </c>
      <c r="G8120" s="10" t="inlineStr">
        <is>
          <t>Nhân viên</t>
        </is>
      </c>
      <c r="H8120" s="10" t="inlineStr">
        <is>
          <t>06/03/2026</t>
        </is>
      </c>
      <c r="I8120" s="10" t="inlineStr">
        <is>
          <t>05/04/2026</t>
        </is>
      </c>
      <c r="J8120" s="10" t="inlineStr">
        <is>
          <t>17/03/2026</t>
        </is>
      </c>
      <c r="K8120" s="10" t="inlineStr">
        <is>
          <t>N/A</t>
        </is>
      </c>
      <c r="L8120" s="10" t="inlineStr">
        <is>
          <t>Quản Trị Nhân Sự, Phân tích dữ liệu, Lập Kế Hoạch, Giao Tiếp, Tiếng Anh</t>
        </is>
      </c>
      <c r="M8120" s="10" t="inlineStr">
        <is>
          <t>Bonus, Healthcare Plan, Transportation</t>
        </is>
      </c>
      <c r="N8120" s="11">
        <f>HYPERLINK("https://www.vietnamworks.com/chuyen-vien-quan-tri-nhan-su-candb-2019511-jv","Xem chi tiết")</f>
        <v/>
      </c>
      <c r="O8120" s="10" t="n"/>
    </row>
    <row r="8121">
      <c r="B8121" s="7" t="n">
        <v>8119</v>
      </c>
      <c r="C8121" t="inlineStr">
        <is>
          <t>Chuyên Viên Cung Ứng</t>
        </is>
      </c>
      <c r="D8121" t="inlineStr">
        <is>
          <t>Công Ty Cổ Phần Cọc Và Xây Dựng FECON</t>
        </is>
      </c>
      <c r="E8121" t="inlineStr">
        <is>
          <t>20tr-24tr ₫/tháng</t>
        </is>
      </c>
      <c r="F8121" t="inlineStr">
        <is>
          <t>Hà Nội</t>
        </is>
      </c>
      <c r="G8121" t="inlineStr">
        <is>
          <t>Nhân viên</t>
        </is>
      </c>
      <c r="H8121" t="inlineStr">
        <is>
          <t>06/03/2026</t>
        </is>
      </c>
      <c r="I8121" t="inlineStr">
        <is>
          <t>05/04/2026</t>
        </is>
      </c>
      <c r="J8121" t="inlineStr">
        <is>
          <t>17/03/2026</t>
        </is>
      </c>
      <c r="K8121" t="inlineStr">
        <is>
          <t>N/A</t>
        </is>
      </c>
      <c r="L8121" t="inlineStr">
        <is>
          <t>Cung Ứng, Mua Hàng, Đấu Thầu, Bóc Tách Khối Lượng, Xây Dựng</t>
        </is>
      </c>
      <c r="M8121" t="inlineStr">
        <is>
          <t>Bonus, Healthcare Plan, Paid Leave</t>
        </is>
      </c>
      <c r="N8121" s="8">
        <f>HYPERLINK("https://www.vietnamworks.com/chuyen-vien-cung-ung--2019516-jv","Xem chi tiết")</f>
        <v/>
      </c>
    </row>
    <row r="8122">
      <c r="B8122" s="9" t="n">
        <v>8120</v>
      </c>
      <c r="C8122" s="10" t="inlineStr">
        <is>
          <t>Corporate Paralegal (Singapore &amp; Hong Kong Clients)</t>
        </is>
      </c>
      <c r="D8122" s="10" t="inlineStr">
        <is>
          <t>CÔNG TY TNHH RBA VIỆT NAM</t>
        </is>
      </c>
      <c r="E8122" s="10" t="inlineStr">
        <is>
          <t>Thương lượng</t>
        </is>
      </c>
      <c r="F8122" s="10" t="inlineStr">
        <is>
          <t>Hồ Chí Minh</t>
        </is>
      </c>
      <c r="G8122" s="10" t="inlineStr">
        <is>
          <t>Nhân viên</t>
        </is>
      </c>
      <c r="H8122" s="10" t="inlineStr">
        <is>
          <t>06/03/2026</t>
        </is>
      </c>
      <c r="I8122" s="10" t="inlineStr">
        <is>
          <t>05/04/2026</t>
        </is>
      </c>
      <c r="J8122" s="10" t="inlineStr">
        <is>
          <t>17/03/2026</t>
        </is>
      </c>
      <c r="K8122" s="10" t="inlineStr">
        <is>
          <t>N/A</t>
        </is>
      </c>
      <c r="L8122" s="10" t="inlineStr">
        <is>
          <t>Corporate Law, Legal Drafting, Microsoft Office, Regulatory Compliance, Solution Oriented</t>
        </is>
      </c>
      <c r="M8122" s="10" t="inlineStr">
        <is>
          <t>Bonus, Healthcare Plan, Paid Leave, Training, Team Activities, Others</t>
        </is>
      </c>
      <c r="N8122" s="11">
        <f>HYPERLINK("https://www.vietnamworks.com/corporate-paralegal-singapore-and-hong-kong-clients-2019518-jv","Xem chi tiết")</f>
        <v/>
      </c>
      <c r="O8122" s="10" t="n"/>
    </row>
    <row r="8123">
      <c r="B8123" s="7" t="n">
        <v>8121</v>
      </c>
      <c r="C8123" t="inlineStr">
        <is>
          <t>Chuyên Viên Khách Hàng Doanh Nghiệp - An Giang, Đồng Tháp, Cà Mau</t>
        </is>
      </c>
      <c r="D8123" t="inlineStr">
        <is>
          <t>Ngân Hàng TMCP Việt Nam Thương Tín (Vietbank)</t>
        </is>
      </c>
      <c r="E8123" t="inlineStr">
        <is>
          <t>Thương lượng</t>
        </is>
      </c>
      <c r="F8123" t="inlineStr">
        <is>
          <t>An Giang, Đồng Tháp, Cà Mau</t>
        </is>
      </c>
      <c r="G8123" t="inlineStr">
        <is>
          <t>Nhân viên</t>
        </is>
      </c>
      <c r="H8123" t="inlineStr">
        <is>
          <t>06/03/2026</t>
        </is>
      </c>
      <c r="I8123" t="inlineStr">
        <is>
          <t>05/04/2026</t>
        </is>
      </c>
      <c r="J8123" t="inlineStr">
        <is>
          <t>17/03/2026</t>
        </is>
      </c>
      <c r="K8123" t="inlineStr">
        <is>
          <t>N/A</t>
        </is>
      </c>
      <c r="L8123" t="inlineStr">
        <is>
          <t>Banking, Sales and Profit Management</t>
        </is>
      </c>
      <c r="M8123" t="inlineStr">
        <is>
          <t>Bonus, Healthcare Plan, Others</t>
        </is>
      </c>
      <c r="N8123" s="8">
        <f>HYPERLINK("https://www.vietnamworks.com/chuyen-vien-khach-hang-doanh-nghiep-an-giang-dong-thap-ca-mau-2019505-jv","Xem chi tiết")</f>
        <v/>
      </c>
    </row>
    <row r="8124">
      <c r="B8124" s="9" t="n">
        <v>8122</v>
      </c>
      <c r="C8124" s="10" t="inlineStr">
        <is>
          <t>Giám Đốc Quan Hệ Khách Hàng Doanh Nghiệp Lớn</t>
        </is>
      </c>
      <c r="D8124" s="10" t="inlineStr">
        <is>
          <t>Ngân Hàng Thương Mại Cổ Phần Thịnh Vượng Và Phát Triển (PGBANK)</t>
        </is>
      </c>
      <c r="E8124" s="10" t="inlineStr">
        <is>
          <t>$$ 2,500-4,000 /tháng</t>
        </is>
      </c>
      <c r="F8124" s="10" t="inlineStr">
        <is>
          <t>Hà Nội</t>
        </is>
      </c>
      <c r="G8124" s="10" t="inlineStr">
        <is>
          <t>Trưởng phòng</t>
        </is>
      </c>
      <c r="H8124" s="10" t="inlineStr">
        <is>
          <t>06/03/2026</t>
        </is>
      </c>
      <c r="I8124" s="10" t="inlineStr">
        <is>
          <t>05/04/2026</t>
        </is>
      </c>
      <c r="J8124" s="10" t="inlineStr">
        <is>
          <t>17/03/2026</t>
        </is>
      </c>
      <c r="K8124" s="10" t="inlineStr">
        <is>
          <t>N/A</t>
        </is>
      </c>
      <c r="L8124" s="10" t="inlineStr">
        <is>
          <t>Tài Chính Ngân Hàng, Quan Hệ Khách Hàng, Quan Hệ Doanh Nghiệp, Tài Chính, Tín Dụng Doanh Nghiệp</t>
        </is>
      </c>
      <c r="M8124" s="10" t="inlineStr">
        <is>
          <t>Bonus, Healthcare Plan, Transportation</t>
        </is>
      </c>
      <c r="N8124" s="11">
        <f>HYPERLINK("https://www.vietnamworks.com/giam-doc-quan-he-khach-hang-doanh-nghiep-lon--2019522-jv","Xem chi tiết")</f>
        <v/>
      </c>
      <c r="O8124" s="10" t="n"/>
    </row>
    <row r="8125">
      <c r="B8125" s="7" t="n">
        <v>8123</v>
      </c>
      <c r="C8125" t="inlineStr">
        <is>
          <t>Trưởng Phòng Vận Hành và Chăm Sóc Khách Hàng- Có Kinh Nghiệm Về Giáo Dục - Hệ Thống Giáo Dục VIP &amp;gt;10 + Năm, Thu Nhập Up to 30++</t>
        </is>
      </c>
      <c r="D8125" t="inlineStr">
        <is>
          <t>Công ty cổ phần giáo dục HMT Việt Nam</t>
        </is>
      </c>
      <c r="E8125" t="inlineStr">
        <is>
          <t>22tr-30tr ₫/tháng</t>
        </is>
      </c>
      <c r="F8125" t="inlineStr">
        <is>
          <t>Hà Nội</t>
        </is>
      </c>
      <c r="G8125" t="inlineStr">
        <is>
          <t>Trưởng phòng</t>
        </is>
      </c>
      <c r="H8125" t="inlineStr">
        <is>
          <t>06/03/2026</t>
        </is>
      </c>
      <c r="I8125" t="inlineStr">
        <is>
          <t>05/04/2026</t>
        </is>
      </c>
      <c r="J8125" t="inlineStr">
        <is>
          <t>17/03/2026</t>
        </is>
      </c>
      <c r="K8125" t="inlineStr">
        <is>
          <t>N/A</t>
        </is>
      </c>
      <c r="L8125" t="inlineStr">
        <is>
          <t>Quản Lý Hệ Thống, Tư Vấn Giáo Dục, Lập Kế Hoạch, Chăm Sóc Khách Hàng, Quản Lý Nhân Sự</t>
        </is>
      </c>
      <c r="M8125" t="inlineStr">
        <is>
          <t>Bonus, Healthcare Plan, Paid Leave, Training, Awards, Team Activities, Others</t>
        </is>
      </c>
      <c r="N8125" s="8">
        <f>HYPERLINK("https://www.vietnamworks.com/truong-phong-van-hanh-va-cham-soc-khach-hang-co-kinh-nghiem-ve-giao-duc-he-thong-giao-duc-vip-greater10-nam-thu-nhap-up-to-30-2019523-jv","Xem chi tiết")</f>
        <v/>
      </c>
    </row>
    <row r="8126">
      <c r="B8126" s="9" t="n">
        <v>8124</v>
      </c>
      <c r="C8126" s="10" t="inlineStr">
        <is>
          <t>Customer Support Officer, Email Team - Up-To 20 Months of Annual Salary</t>
        </is>
      </c>
      <c r="D8126" s="10" t="inlineStr">
        <is>
          <t>Crossian Việt Nam</t>
        </is>
      </c>
      <c r="E8126" s="10" t="inlineStr">
        <is>
          <t>Tới $ 4,000 /tháng</t>
        </is>
      </c>
      <c r="F8126" s="10" t="inlineStr">
        <is>
          <t>Hồ Chí Minh</t>
        </is>
      </c>
      <c r="G8126" s="10" t="inlineStr">
        <is>
          <t>Nhân viên</t>
        </is>
      </c>
      <c r="H8126" s="10" t="inlineStr">
        <is>
          <t>06/03/2026</t>
        </is>
      </c>
      <c r="I8126" s="10" t="inlineStr">
        <is>
          <t>05/04/2026</t>
        </is>
      </c>
      <c r="J8126" s="10" t="inlineStr">
        <is>
          <t>17/03/2026</t>
        </is>
      </c>
      <c r="K8126" s="10" t="inlineStr">
        <is>
          <t>N/A</t>
        </is>
      </c>
      <c r="L8126" s="10" t="inlineStr">
        <is>
          <t>Customer Support, English, Freshdesk, Problem Solving</t>
        </is>
      </c>
      <c r="M8126" s="10" t="inlineStr">
        <is>
          <t>Bonus, Healthcare Plan, Paid Leave, Training, Team Activities</t>
        </is>
      </c>
      <c r="N8126" s="11">
        <f>HYPERLINK("https://www.vietnamworks.com/customer-support-officer-email-team-up-to-20-months-of-annual-salary-2019520-jv","Xem chi tiết")</f>
        <v/>
      </c>
      <c r="O8126" s="10" t="n"/>
    </row>
    <row r="8127">
      <c r="B8127" s="7" t="n">
        <v>8125</v>
      </c>
      <c r="C8127" t="inlineStr">
        <is>
          <t>Kế Toán Tổng Hợp (Thu Nhập Lên Tới 25 Triệu/ Tháng)</t>
        </is>
      </c>
      <c r="D8127" t="inlineStr">
        <is>
          <t>Công Ty TNHH Thương Mại NTB Pharma New</t>
        </is>
      </c>
      <c r="E8127" t="inlineStr">
        <is>
          <t>18tr-25tr ₫/tháng</t>
        </is>
      </c>
      <c r="F8127" t="inlineStr">
        <is>
          <t>Hà Nội</t>
        </is>
      </c>
      <c r="G8127" t="inlineStr">
        <is>
          <t>Nhân viên</t>
        </is>
      </c>
      <c r="H8127" t="inlineStr">
        <is>
          <t>06/03/2026</t>
        </is>
      </c>
      <c r="I8127" t="inlineStr">
        <is>
          <t>05/04/2026</t>
        </is>
      </c>
      <c r="J8127" t="inlineStr">
        <is>
          <t>17/03/2026</t>
        </is>
      </c>
      <c r="K8127" t="inlineStr">
        <is>
          <t>N/A</t>
        </is>
      </c>
      <c r="L8127" t="inlineStr">
        <is>
          <t>Kế Toán, Phân Tích Tài Chính, Quản Trị Rủi Ro, Quản Lý Quỹ Đầu Tư, Hoạch Định Chiến Lược</t>
        </is>
      </c>
      <c r="M8127" t="inlineStr">
        <is>
          <t>Paid Leave</t>
        </is>
      </c>
      <c r="N8127" s="8">
        <f>HYPERLINK("https://www.vietnamworks.com/ke-toan-tong-hop-thu-nhap-len-toi-25-trieu-thang-2019517-jv","Xem chi tiết")</f>
        <v/>
      </c>
    </row>
    <row r="8128">
      <c r="B8128" s="9" t="n">
        <v>8126</v>
      </c>
      <c r="C8128" s="10" t="inlineStr">
        <is>
          <t>Junior Customer Support Officer, Call Team (Night Shift) - Up-To 20 Months of Annual Salary</t>
        </is>
      </c>
      <c r="D8128" s="10" t="inlineStr">
        <is>
          <t>Crossian Việt Nam</t>
        </is>
      </c>
      <c r="E8128" s="10" t="inlineStr">
        <is>
          <t>Thương lượng</t>
        </is>
      </c>
      <c r="F8128" s="10" t="inlineStr">
        <is>
          <t>Hồ Chí Minh</t>
        </is>
      </c>
      <c r="G8128" s="10" t="inlineStr">
        <is>
          <t>Nhân viên</t>
        </is>
      </c>
      <c r="H8128" s="10" t="inlineStr">
        <is>
          <t>06/03/2026</t>
        </is>
      </c>
      <c r="I8128" s="10" t="inlineStr">
        <is>
          <t>05/04/2026</t>
        </is>
      </c>
      <c r="J8128" s="10" t="inlineStr">
        <is>
          <t>17/03/2026</t>
        </is>
      </c>
      <c r="K8128" s="10" t="inlineStr">
        <is>
          <t>N/A</t>
        </is>
      </c>
      <c r="L8128" s="10" t="inlineStr">
        <is>
          <t>IELTS skills, Customer Support, Freshdesk, Problem Solving</t>
        </is>
      </c>
      <c r="M8128" s="10" t="inlineStr">
        <is>
          <t>Bonus, Healthcare Plan, Paid Leave, Training, Team Activities</t>
        </is>
      </c>
      <c r="N8128" s="11">
        <f>HYPERLINK("https://www.vietnamworks.com/junior-customer-support-officer-call-team-night-shift-up-to-20-months-of-annual-salary-2019526-jv","Xem chi tiết")</f>
        <v/>
      </c>
      <c r="O8128" s="10" t="n"/>
    </row>
    <row r="8129">
      <c r="B8129" s="7" t="n">
        <v>8127</v>
      </c>
      <c r="C8129" t="inlineStr">
        <is>
          <t>Kế Toán &amp; Chuyên Viên Tài Chính Đầu Tư</t>
        </is>
      </c>
      <c r="D8129" t="inlineStr">
        <is>
          <t>Cuor Co., LTD</t>
        </is>
      </c>
      <c r="E8129" t="inlineStr">
        <is>
          <t>$$ 500-2,000 /tháng</t>
        </is>
      </c>
      <c r="F8129" t="inlineStr">
        <is>
          <t>Hồ Chí Minh</t>
        </is>
      </c>
      <c r="G8129" t="inlineStr">
        <is>
          <t>Nhân viên</t>
        </is>
      </c>
      <c r="H8129" t="inlineStr">
        <is>
          <t>06/03/2026</t>
        </is>
      </c>
      <c r="I8129" t="inlineStr">
        <is>
          <t>05/04/2026</t>
        </is>
      </c>
      <c r="J8129" t="inlineStr">
        <is>
          <t>17/03/2026</t>
        </is>
      </c>
      <c r="K8129" t="inlineStr">
        <is>
          <t>N/A</t>
        </is>
      </c>
      <c r="L8129" t="inlineStr">
        <is>
          <t>Data Analysis, Báo Cáo Thuế, Investment Analyst, Kế Toán Tổng Hợp, VBA</t>
        </is>
      </c>
      <c r="M8129" t="inlineStr">
        <is>
          <t>Bonus, Others</t>
        </is>
      </c>
      <c r="N8129" s="8">
        <f>HYPERLINK("https://www.vietnamworks.com/ke-toan-and-chuyen-vien-tai-chinh-djau-tu-2019527-jv","Xem chi tiết")</f>
        <v/>
      </c>
    </row>
    <row r="8130">
      <c r="B8130" s="9" t="n">
        <v>8128</v>
      </c>
      <c r="C8130" s="10" t="inlineStr">
        <is>
          <t>Trưởng Nhóm Giám Sát MEP (Chủ Đầu Tư)</t>
        </is>
      </c>
      <c r="D8130" s="10" t="inlineStr">
        <is>
          <t>Công Ty Cổ Phần Bất Động Sản Tập Đoàn Tân Á Đại Thành</t>
        </is>
      </c>
      <c r="E8130" s="10" t="inlineStr">
        <is>
          <t>Thương lượng</t>
        </is>
      </c>
      <c r="F8130" s="10" t="inlineStr">
        <is>
          <t>Kiên Giang, Hà Nội, Hồ Chí Minh</t>
        </is>
      </c>
      <c r="G8130" s="10" t="inlineStr">
        <is>
          <t>Nhân viên</t>
        </is>
      </c>
      <c r="H8130" s="10" t="inlineStr">
        <is>
          <t>06/03/2026</t>
        </is>
      </c>
      <c r="I8130" s="10" t="inlineStr">
        <is>
          <t>05/04/2026</t>
        </is>
      </c>
      <c r="J8130" s="10" t="inlineStr">
        <is>
          <t>17/03/2026</t>
        </is>
      </c>
      <c r="K8130" s="10" t="inlineStr">
        <is>
          <t>N/A</t>
        </is>
      </c>
      <c r="L8130" s="10" t="inlineStr">
        <is>
          <t>MEP Project, Điện Nước Tòa Nhà, Điện, Điện Nước Dân Dụng, Điện Công Trình</t>
        </is>
      </c>
      <c r="M8130" s="10" t="inlineStr">
        <is>
          <t>Bonus, Canteen, Vouchers</t>
        </is>
      </c>
      <c r="N8130" s="11">
        <f>HYPERLINK("https://www.vietnamworks.com/truong-nhom-giam-sat-mep-chu-dau-tu--2019530-jv","Xem chi tiết")</f>
        <v/>
      </c>
      <c r="O8130" s="10" t="n"/>
    </row>
    <row r="8131">
      <c r="B8131" s="7" t="n">
        <v>8129</v>
      </c>
      <c r="C8131" t="inlineStr">
        <is>
          <t>Nhân Viên Kinh Doanh - Lương Up to 30 Triệu, Thu Nhập Không Giới Hạn</t>
        </is>
      </c>
      <c r="D8131" t="inlineStr">
        <is>
          <t>Công Ty Cổ Phần Vi Na Phạm</t>
        </is>
      </c>
      <c r="E8131" t="inlineStr">
        <is>
          <t>Tới 30tr ₫/tháng</t>
        </is>
      </c>
      <c r="F8131" t="inlineStr">
        <is>
          <t>Hà Nội, Đà Nẵng, Hồ Chí Minh</t>
        </is>
      </c>
      <c r="G8131" t="inlineStr">
        <is>
          <t>Mới Tốt Nghiệp</t>
        </is>
      </c>
      <c r="H8131" t="inlineStr">
        <is>
          <t>06/03/2026</t>
        </is>
      </c>
      <c r="I8131" t="inlineStr">
        <is>
          <t>05/04/2026</t>
        </is>
      </c>
      <c r="J8131" t="inlineStr">
        <is>
          <t>17/03/2026</t>
        </is>
      </c>
      <c r="K8131" t="inlineStr">
        <is>
          <t>N/A</t>
        </is>
      </c>
      <c r="L8131" t="inlineStr">
        <is>
          <t>Chăm Sóc Khách Hàng, Duy Trì Mối Quan Hệ, Phát Triển Khách Hàng, Tư Vấn Khách Hàng, Đàm Phán</t>
        </is>
      </c>
      <c r="M8131" t="inlineStr">
        <is>
          <t>Bonus, Healthcare Plan, Paid Leave, Training, Travel Opportunities, Others</t>
        </is>
      </c>
      <c r="N8131" s="8">
        <f>HYPERLINK("https://www.vietnamworks.com/nhan-vien-kinh-doanh-luong-up-to-30-trieu-thu-nhap-khong-gioi-han-2019535-jv","Xem chi tiết")</f>
        <v/>
      </c>
    </row>
    <row r="8132">
      <c r="B8132" s="9" t="n">
        <v>8130</v>
      </c>
      <c r="C8132" s="10" t="inlineStr">
        <is>
          <t>Trưởng Phòng Dự Án (Lĩnh Vực Công Nghệ Môi Trường)</t>
        </is>
      </c>
      <c r="D8132" s="10" t="inlineStr">
        <is>
          <t>Công ty Cổ Phần Hóa Chất và Môi Trường Vũ Hoàng</t>
        </is>
      </c>
      <c r="E8132" s="10" t="inlineStr">
        <is>
          <t>Thương lượng</t>
        </is>
      </c>
      <c r="F8132" s="10" t="inlineStr">
        <is>
          <t>Hồ Chí Minh</t>
        </is>
      </c>
      <c r="G8132" s="10" t="inlineStr">
        <is>
          <t>Trưởng phòng</t>
        </is>
      </c>
      <c r="H8132" s="10" t="inlineStr">
        <is>
          <t>06/03/2026</t>
        </is>
      </c>
      <c r="I8132" s="10" t="inlineStr">
        <is>
          <t>05/04/2026</t>
        </is>
      </c>
      <c r="J8132" s="10" t="inlineStr">
        <is>
          <t>17/03/2026</t>
        </is>
      </c>
      <c r="K8132" s="10" t="inlineStr">
        <is>
          <t>N/A</t>
        </is>
      </c>
      <c r="L8132" s="10" t="inlineStr">
        <is>
          <t>Hệ Thống Nước Thải, AutoCAD, Quản Lý Thi Công, Xử Lý Nước Thải, Môi Trường</t>
        </is>
      </c>
      <c r="M8132" s="10" t="inlineStr">
        <is>
          <t>Bonus, Healthcare Plan, Paid Leave, Travel Opportunities, Others</t>
        </is>
      </c>
      <c r="N8132" s="11">
        <f>HYPERLINK("https://www.vietnamworks.com/truong-phong-du-an-linh-vuc-cong-nghe-moi-truong-2019536-jv","Xem chi tiết")</f>
        <v/>
      </c>
      <c r="O8132" s="10" t="n"/>
    </row>
    <row r="8133">
      <c r="B8133" s="7" t="n">
        <v>8131</v>
      </c>
      <c r="C8133" t="inlineStr">
        <is>
          <t>Kỹ Sư Thiết Kế Cơ Khí</t>
        </is>
      </c>
      <c r="D8133" t="inlineStr">
        <is>
          <t>Công Ty Cổ Phần Tự Động Hóa AFM Việt Nam</t>
        </is>
      </c>
      <c r="E8133" t="inlineStr">
        <is>
          <t>15tr-30tr ₫/tháng</t>
        </is>
      </c>
      <c r="F8133" t="inlineStr">
        <is>
          <t>Hà Nội</t>
        </is>
      </c>
      <c r="G8133" t="inlineStr">
        <is>
          <t>Nhân viên</t>
        </is>
      </c>
      <c r="H8133" t="inlineStr">
        <is>
          <t>06/03/2026</t>
        </is>
      </c>
      <c r="I8133" t="inlineStr">
        <is>
          <t>05/04/2026</t>
        </is>
      </c>
      <c r="J8133" t="inlineStr">
        <is>
          <t>17/03/2026</t>
        </is>
      </c>
      <c r="K8133" t="inlineStr">
        <is>
          <t>N/A</t>
        </is>
      </c>
      <c r="L8133" t="inlineStr">
        <is>
          <t>Chế Tạo Máy, Cơ Khí, Cơ Điện Tử, Thiết Kế Cơ Khí, Thiết Kế Công Nghiệp</t>
        </is>
      </c>
      <c r="M8133" t="inlineStr">
        <is>
          <t>Bonus, Healthcare Plan, Others</t>
        </is>
      </c>
      <c r="N8133" s="8">
        <f>HYPERLINK("https://www.vietnamworks.com/ky-su-thiet-ke-co-khi-2019540-jv","Xem chi tiết")</f>
        <v/>
      </c>
    </row>
    <row r="8134">
      <c r="B8134" s="9" t="n">
        <v>8132</v>
      </c>
      <c r="C8134" s="10" t="inlineStr">
        <is>
          <t>[Urgent] Sales Executive / Good Income - Chuyên Viên Kinh Doanh</t>
        </is>
      </c>
      <c r="D8134" s="10" t="inlineStr">
        <is>
          <t>Dym Medical Center Vietnam Company Limited (Japanese Company)</t>
        </is>
      </c>
      <c r="E8134" s="10" t="inlineStr">
        <is>
          <t>Từ $ 500 /tháng</t>
        </is>
      </c>
      <c r="F8134" s="10" t="inlineStr">
        <is>
          <t>Hà Nội</t>
        </is>
      </c>
      <c r="G8134" s="10" t="inlineStr">
        <is>
          <t>Nhân viên</t>
        </is>
      </c>
      <c r="H8134" s="10" t="inlineStr">
        <is>
          <t>06/03/2026</t>
        </is>
      </c>
      <c r="I8134" s="10" t="inlineStr">
        <is>
          <t>05/04/2026</t>
        </is>
      </c>
      <c r="J8134" s="10" t="inlineStr">
        <is>
          <t>17/03/2026</t>
        </is>
      </c>
      <c r="K8134" s="10" t="inlineStr">
        <is>
          <t>N/A</t>
        </is>
      </c>
      <c r="L8134" s="10" t="inlineStr">
        <is>
          <t>Business Development, B2B, B2B Sales, B2B Commercial Business, Sales</t>
        </is>
      </c>
      <c r="M8134" s="10" t="inlineStr">
        <is>
          <t>Bonus, Healthcare Plan, Laptop</t>
        </is>
      </c>
      <c r="N8134" s="11">
        <f>HYPERLINK("https://www.vietnamworks.com/urgent-sales-executive-good-income-chuyen-vien-kinh-doanh--2019547-jv","Xem chi tiết")</f>
        <v/>
      </c>
      <c r="O8134" s="10" t="n"/>
    </row>
    <row r="8135">
      <c r="B8135" s="7" t="n">
        <v>8133</v>
      </c>
      <c r="C8135" t="inlineStr">
        <is>
          <t>Chuyên Viên Kỹ Thuật Dự Án</t>
        </is>
      </c>
      <c r="D8135" t="inlineStr">
        <is>
          <t>Công ty TNHH công nghiệp Vĩnh Tường miền bắc Việt Nam</t>
        </is>
      </c>
      <c r="E8135" t="inlineStr">
        <is>
          <t>Thương lượng</t>
        </is>
      </c>
      <c r="F8135" t="inlineStr">
        <is>
          <t>Hà Nội</t>
        </is>
      </c>
      <c r="G8135" t="inlineStr">
        <is>
          <t>Nhân viên</t>
        </is>
      </c>
      <c r="H8135" t="inlineStr">
        <is>
          <t>06/03/2026</t>
        </is>
      </c>
      <c r="I8135" t="inlineStr">
        <is>
          <t>05/04/2026</t>
        </is>
      </c>
      <c r="J8135" t="inlineStr">
        <is>
          <t>17/03/2026</t>
        </is>
      </c>
      <c r="K8135" t="inlineStr">
        <is>
          <t>N/A</t>
        </is>
      </c>
      <c r="L8135" t="inlineStr">
        <is>
          <t>Kỹ Thuật Giải Pháp, Kỹ Sư Xây Dựng, Vật liệu xây dựng, Kỹ Thuật Hiện Trường</t>
        </is>
      </c>
      <c r="M8135" t="inlineStr">
        <is>
          <t>Healthcare Plan, Training, Laptop</t>
        </is>
      </c>
      <c r="N8135" s="8">
        <f>HYPERLINK("https://www.vietnamworks.com/chuyen-vien-ky-thuat-du-an--2019544-jv","Xem chi tiết")</f>
        <v/>
      </c>
    </row>
    <row r="8136">
      <c r="B8136" s="9" t="n">
        <v>8134</v>
      </c>
      <c r="C8136" s="10" t="inlineStr">
        <is>
          <t>Chuyên Viên Content</t>
        </is>
      </c>
      <c r="D8136" s="10" t="inlineStr">
        <is>
          <t>CÔNG TY TNHH THỰC PHẨM KIM PHÚ</t>
        </is>
      </c>
      <c r="E8136" s="10" t="inlineStr">
        <is>
          <t>Thương lượng</t>
        </is>
      </c>
      <c r="F8136" s="10" t="inlineStr">
        <is>
          <t>Hà Nội</t>
        </is>
      </c>
      <c r="G8136" s="10" t="inlineStr">
        <is>
          <t>Nhân viên</t>
        </is>
      </c>
      <c r="H8136" s="10" t="inlineStr">
        <is>
          <t>06/03/2026</t>
        </is>
      </c>
      <c r="I8136" s="10" t="inlineStr">
        <is>
          <t>05/04/2026</t>
        </is>
      </c>
      <c r="J8136" s="10" t="inlineStr">
        <is>
          <t>17/03/2026</t>
        </is>
      </c>
      <c r="K8136" s="10" t="inlineStr">
        <is>
          <t>N/A</t>
        </is>
      </c>
      <c r="L8136" s="10" t="inlineStr">
        <is>
          <t>Content creation, Content Marketing, Quản Trị Rủi Ro, Sản Xuất Nội Dung, Social Media Content Production</t>
        </is>
      </c>
      <c r="M8136" s="10" t="inlineStr">
        <is>
          <t>Bonus, Healthcare Plan, Others</t>
        </is>
      </c>
      <c r="N8136" s="11">
        <f>HYPERLINK("https://www.vietnamworks.com/chuyen-vien-content-2019542-jv","Xem chi tiết")</f>
        <v/>
      </c>
      <c r="O8136" s="10" t="n"/>
    </row>
    <row r="8137">
      <c r="B8137" s="7" t="n">
        <v>8135</v>
      </c>
      <c r="C8137" t="inlineStr">
        <is>
          <t>[Tuyển Gấp] Trưởng Nhóm Livestream</t>
        </is>
      </c>
      <c r="D8137" t="inlineStr">
        <is>
          <t>CÔNG TY TNHH THỰC PHẨM KIM PHÚ</t>
        </is>
      </c>
      <c r="E8137" t="inlineStr">
        <is>
          <t>Thương lượng</t>
        </is>
      </c>
      <c r="F8137" t="inlineStr">
        <is>
          <t>Hà Nội</t>
        </is>
      </c>
      <c r="G8137" t="inlineStr">
        <is>
          <t>Nhân viên</t>
        </is>
      </c>
      <c r="H8137" t="inlineStr">
        <is>
          <t>06/03/2026</t>
        </is>
      </c>
      <c r="I8137" t="inlineStr">
        <is>
          <t>05/04/2026</t>
        </is>
      </c>
      <c r="J8137" t="inlineStr">
        <is>
          <t>17/03/2026</t>
        </is>
      </c>
      <c r="K8137" t="inlineStr">
        <is>
          <t>N/A</t>
        </is>
      </c>
      <c r="L8137" t="inlineStr">
        <is>
          <t>Kinh Doanh, Kỹ Năng Quản Lý, Livestream Trên Tiktok, Sử Dụng Nền Tảng Livestream, Kỹ Năng Chốt Đơn</t>
        </is>
      </c>
      <c r="M8137" t="inlineStr">
        <is>
          <t>Bonus, Healthcare Plan, Others</t>
        </is>
      </c>
      <c r="N8137" s="8">
        <f>HYPERLINK("https://www.vietnamworks.com/tuyen-gap-truong-nhom-livestream-2019531-jv","Xem chi tiết")</f>
        <v/>
      </c>
    </row>
    <row r="8138">
      <c r="B8138" s="9" t="n">
        <v>8136</v>
      </c>
      <c r="C8138" s="10" t="inlineStr">
        <is>
          <t>[Tuyển Gấp] Nhân Viên Quản Lý KOL &amp; Phát Triển Cộng Đồng</t>
        </is>
      </c>
      <c r="D8138" s="10" t="inlineStr">
        <is>
          <t>CÔNG TY TNHH THỰC PHẨM KIM PHÚ</t>
        </is>
      </c>
      <c r="E8138" s="10" t="inlineStr">
        <is>
          <t>12tr-16tr ₫/tháng</t>
        </is>
      </c>
      <c r="F8138" s="10" t="inlineStr">
        <is>
          <t>Hà Nội</t>
        </is>
      </c>
      <c r="G8138" s="10" t="inlineStr">
        <is>
          <t>Nhân viên</t>
        </is>
      </c>
      <c r="H8138" s="10" t="inlineStr">
        <is>
          <t>06/03/2026</t>
        </is>
      </c>
      <c r="I8138" s="10" t="inlineStr">
        <is>
          <t>05/04/2026</t>
        </is>
      </c>
      <c r="J8138" s="10" t="inlineStr">
        <is>
          <t>17/03/2026</t>
        </is>
      </c>
      <c r="K8138" s="10" t="inlineStr">
        <is>
          <t>N/A</t>
        </is>
      </c>
      <c r="L8138" s="10" t="inlineStr">
        <is>
          <t>KOL &amp; Affiliate Marketing, KOL Campaigns, Kol/Koc Experience, KOLs Coordination, Quản Lý KOLs</t>
        </is>
      </c>
      <c r="M8138" s="10" t="inlineStr">
        <is>
          <t>Healthcare Plan, Others</t>
        </is>
      </c>
      <c r="N8138" s="11">
        <f>HYPERLINK("https://www.vietnamworks.com/tuyen-gap-nhan-vien-quan-ly-kol-and-phat-trien-cong-djong-2019533-jv","Xem chi tiết")</f>
        <v/>
      </c>
      <c r="O8138" s="10" t="n"/>
    </row>
    <row r="8139">
      <c r="B8139" s="7" t="n">
        <v>8137</v>
      </c>
      <c r="C8139" t="inlineStr">
        <is>
          <t>Trưởng Phòng Quản Lý Dự Án - Có Thể Đi Làm Sau Tết</t>
        </is>
      </c>
      <c r="D8139" t="inlineStr">
        <is>
          <t>Vietnamworks' Client</t>
        </is>
      </c>
      <c r="E8139" t="inlineStr">
        <is>
          <t>Thương lượng</t>
        </is>
      </c>
      <c r="F8139" t="inlineStr">
        <is>
          <t>Hà Nội, Bắc Ninh, Bắc Giang</t>
        </is>
      </c>
      <c r="G8139" t="inlineStr">
        <is>
          <t>Trưởng phòng</t>
        </is>
      </c>
      <c r="H8139" t="inlineStr">
        <is>
          <t>06/03/2026</t>
        </is>
      </c>
      <c r="I8139" t="inlineStr">
        <is>
          <t>05/04/2026</t>
        </is>
      </c>
      <c r="J8139" t="inlineStr">
        <is>
          <t>17/03/2026</t>
        </is>
      </c>
      <c r="K8139" t="inlineStr">
        <is>
          <t>N/A</t>
        </is>
      </c>
      <c r="L8139" t="inlineStr">
        <is>
          <t>Project Management, Quality Control, Mechanical Engineering, Tiếng Nhật N2, TOEIC</t>
        </is>
      </c>
      <c r="M8139" t="inlineStr">
        <is>
          <t>Bonus, Healthcare Plan, Others</t>
        </is>
      </c>
      <c r="N8139" s="8">
        <f>HYPERLINK("https://www.vietnamworks.com/truong-phong-quan-ly-du-an-co-the-dji-lam-sau-tet-2019555-jv","Xem chi tiết")</f>
        <v/>
      </c>
    </row>
    <row r="8140">
      <c r="B8140" s="9" t="n">
        <v>8138</v>
      </c>
      <c r="C8140" s="10" t="inlineStr">
        <is>
          <t>Kỹ Sư Quy Trình Sản Xuất (PE Staff)- Tiếng Nhật N2 Up/tiếng Anh Thành thạo - Bắc Ninh</t>
        </is>
      </c>
      <c r="D8140" s="10" t="inlineStr">
        <is>
          <t>Sumitomo Electric Interconnect Products (Vietnam), Ltd. [Sepv]</t>
        </is>
      </c>
      <c r="E8140" s="10" t="inlineStr">
        <is>
          <t>Thương lượng</t>
        </is>
      </c>
      <c r="F8140" s="10" t="inlineStr">
        <is>
          <t>Bắc Ninh</t>
        </is>
      </c>
      <c r="G8140" s="10" t="inlineStr">
        <is>
          <t>Nhân viên</t>
        </is>
      </c>
      <c r="H8140" s="10" t="inlineStr">
        <is>
          <t>06/03/2026</t>
        </is>
      </c>
      <c r="I8140" s="10" t="inlineStr">
        <is>
          <t>05/04/2026</t>
        </is>
      </c>
      <c r="J8140" s="10" t="inlineStr">
        <is>
          <t>17/03/2026</t>
        </is>
      </c>
      <c r="K8140" s="10" t="inlineStr">
        <is>
          <t>N/A</t>
        </is>
      </c>
      <c r="L8140" s="10" t="inlineStr">
        <is>
          <t>PE, Phát Triển Sản Phẩm, SOP, PDCA, FMEA</t>
        </is>
      </c>
      <c r="M8140" s="10" t="inlineStr">
        <is>
          <t>Bonus, Healthcare Plan, Transportation</t>
        </is>
      </c>
      <c r="N8140" s="11">
        <f>HYPERLINK("https://www.vietnamworks.com/ky-su-quy-trinh-san-xuat-pe-staff-tieng-nhat-n2-up-tieng-anh-thanh-thao-bac-ninh--2019554-jv","Xem chi tiết")</f>
        <v/>
      </c>
      <c r="O8140" s="10" t="n"/>
    </row>
    <row r="8141">
      <c r="B8141" s="7" t="n">
        <v>8139</v>
      </c>
      <c r="C8141" t="inlineStr">
        <is>
          <t>Kỹ Sư Thiết Kế Điện</t>
        </is>
      </c>
      <c r="D8141" t="inlineStr">
        <is>
          <t>Công Ty Cổ Phần Tự Động Hóa AFM Việt Nam</t>
        </is>
      </c>
      <c r="E8141" t="inlineStr">
        <is>
          <t>15tr-30tr ₫/tháng</t>
        </is>
      </c>
      <c r="F8141" t="inlineStr">
        <is>
          <t>Hà Nội</t>
        </is>
      </c>
      <c r="G8141" t="inlineStr">
        <is>
          <t>Nhân viên</t>
        </is>
      </c>
      <c r="H8141" t="inlineStr">
        <is>
          <t>06/03/2026</t>
        </is>
      </c>
      <c r="I8141" t="inlineStr">
        <is>
          <t>05/04/2026</t>
        </is>
      </c>
      <c r="J8141" t="inlineStr">
        <is>
          <t>17/03/2026</t>
        </is>
      </c>
      <c r="K8141" t="inlineStr">
        <is>
          <t>N/A</t>
        </is>
      </c>
      <c r="L8141" t="inlineStr">
        <is>
          <t>Chế Tạo Máy, Cơ Điện Tử, Thiết Kế Công Nghiệp, Thiết Kế Điện, Tự Động Hóa</t>
        </is>
      </c>
      <c r="M8141" t="inlineStr">
        <is>
          <t>Bonus, Healthcare Plan, Others</t>
        </is>
      </c>
      <c r="N8141" s="8">
        <f>HYPERLINK("https://www.vietnamworks.com/ky-su-thiet-ke-djien-2019546-jv","Xem chi tiết")</f>
        <v/>
      </c>
    </row>
    <row r="8142">
      <c r="B8142" s="9" t="n">
        <v>8140</v>
      </c>
      <c r="C8142" s="10" t="inlineStr">
        <is>
          <t>Nhân Viên Thiết Kế CAD – Văn Phòng Công Ty 100% Vốn Nhật Tại Hà Nội</t>
        </is>
      </c>
      <c r="D8142" s="10" t="inlineStr">
        <is>
          <t>Công ty TNHH Shihen Việt Nam Chi nhánh Thiết kế - Hà Nội</t>
        </is>
      </c>
      <c r="E8142" s="10" t="inlineStr">
        <is>
          <t>Thương lượng</t>
        </is>
      </c>
      <c r="F8142" s="10" t="inlineStr">
        <is>
          <t>Hà Nội</t>
        </is>
      </c>
      <c r="G8142" s="10" t="inlineStr">
        <is>
          <t>Nhân viên</t>
        </is>
      </c>
      <c r="H8142" s="10" t="inlineStr">
        <is>
          <t>06/03/2026</t>
        </is>
      </c>
      <c r="I8142" s="10" t="inlineStr">
        <is>
          <t>05/04/2026</t>
        </is>
      </c>
      <c r="J8142" s="10" t="inlineStr">
        <is>
          <t>17/03/2026</t>
        </is>
      </c>
      <c r="K8142" s="10" t="inlineStr">
        <is>
          <t>N/A</t>
        </is>
      </c>
      <c r="L8142" s="10" t="inlineStr">
        <is>
          <t>Tiếng Nhật N3, Kỹ Thuật Cơ Khí, CAD Design, Kỹ Thuật Máy Biến Áp, Triển Khai Bản Vẽ Gia Công</t>
        </is>
      </c>
      <c r="M8142" s="10" t="inlineStr">
        <is>
          <t>Healthcare Plan, Training, Others</t>
        </is>
      </c>
      <c r="N8142" s="11">
        <f>HYPERLINK("https://www.vietnamworks.com/nhan-vien-thiet-ke-cad-van-phong-cong-ty-100-von-nhat-tai-ha-noi--2019563-jv","Xem chi tiết")</f>
        <v/>
      </c>
      <c r="O8142" s="10" t="n"/>
    </row>
    <row r="8143">
      <c r="B8143" s="7" t="n">
        <v>8141</v>
      </c>
      <c r="C8143" t="inlineStr">
        <is>
          <t>InsurTech Project Manager (Team Lead role)</t>
        </is>
      </c>
      <c r="D8143" t="inlineStr">
        <is>
          <t>Cathay Insurance (Vietnam) Co., Ltd</t>
        </is>
      </c>
      <c r="E8143" t="inlineStr">
        <is>
          <t>Thương lượng</t>
        </is>
      </c>
      <c r="F8143" t="inlineStr">
        <is>
          <t>Hồ Chí Minh</t>
        </is>
      </c>
      <c r="G8143" t="inlineStr">
        <is>
          <t>Nhân viên</t>
        </is>
      </c>
      <c r="H8143" t="inlineStr">
        <is>
          <t>06/03/2026</t>
        </is>
      </c>
      <c r="I8143" t="inlineStr">
        <is>
          <t>05/04/2026</t>
        </is>
      </c>
      <c r="J8143" t="inlineStr">
        <is>
          <t>17/03/2026</t>
        </is>
      </c>
      <c r="K8143" t="inlineStr">
        <is>
          <t>N/A</t>
        </is>
      </c>
      <c r="L8143" t="inlineStr">
        <is>
          <t>Agile Methodology, Digital Strategy, English Communication, Product Insurance, Project Management</t>
        </is>
      </c>
      <c r="M8143" t="inlineStr">
        <is>
          <t>Bonus</t>
        </is>
      </c>
      <c r="N8143" s="8">
        <f>HYPERLINK("https://www.vietnamworks.com/insurtech-project-manager-team-lead-role-2019551-jv","Xem chi tiết")</f>
        <v/>
      </c>
    </row>
    <row r="8144">
      <c r="B8144" s="9" t="n">
        <v>8142</v>
      </c>
      <c r="C8144" s="10" t="inlineStr">
        <is>
          <t>Trưởng Phòng Kinh Doanh</t>
        </is>
      </c>
      <c r="D8144" s="10" t="inlineStr">
        <is>
          <t>CÔNG TY TNHH THỰC PHẨM KIM PHÚ</t>
        </is>
      </c>
      <c r="E8144" s="10" t="inlineStr">
        <is>
          <t>20tr-30tr ₫/tháng</t>
        </is>
      </c>
      <c r="F8144" s="10" t="inlineStr">
        <is>
          <t>Hà Nội</t>
        </is>
      </c>
      <c r="G8144" s="10" t="inlineStr">
        <is>
          <t>Trưởng phòng</t>
        </is>
      </c>
      <c r="H8144" s="10" t="inlineStr">
        <is>
          <t>06/03/2026</t>
        </is>
      </c>
      <c r="I8144" s="10" t="inlineStr">
        <is>
          <t>05/04/2026</t>
        </is>
      </c>
      <c r="J8144" s="10" t="inlineStr">
        <is>
          <t>17/03/2026</t>
        </is>
      </c>
      <c r="K8144" s="10" t="inlineStr">
        <is>
          <t>N/A</t>
        </is>
      </c>
      <c r="L8144" s="10" t="inlineStr">
        <is>
          <t>Lập Kế Hoạch Kinh Doanh, Phân Tích Thị Trường, Quản Lý Doanh Thu, Quản Lý Nhân Sự Kinh Doanh, Quản Lý Vận Hành</t>
        </is>
      </c>
      <c r="M8144" s="10" t="inlineStr">
        <is>
          <t>Bonus, Healthcare Plan, Paid Leave, Training, Others</t>
        </is>
      </c>
      <c r="N8144" s="11">
        <f>HYPERLINK("https://www.vietnamworks.com/truong-phong-kinh-doanh-2019550-jv","Xem chi tiết")</f>
        <v/>
      </c>
      <c r="O8144" s="10" t="n"/>
    </row>
    <row r="8145">
      <c r="B8145" s="7" t="n">
        <v>8143</v>
      </c>
      <c r="C8145" t="inlineStr">
        <is>
          <t>Nhân Viên Bảo Dưỡng (ME Staff) - Không Yêu Cầu Ngoại Ngữ</t>
        </is>
      </c>
      <c r="D8145" t="inlineStr">
        <is>
          <t>Sumitomo Electric Interconnect Products (Vietnam), Ltd. [Sepv]</t>
        </is>
      </c>
      <c r="E8145" t="inlineStr">
        <is>
          <t>Thương lượng</t>
        </is>
      </c>
      <c r="F8145" t="inlineStr">
        <is>
          <t>Bắc Ninh</t>
        </is>
      </c>
      <c r="G8145" t="inlineStr">
        <is>
          <t>Nhân viên</t>
        </is>
      </c>
      <c r="H8145" t="inlineStr">
        <is>
          <t>06/03/2026</t>
        </is>
      </c>
      <c r="I8145" t="inlineStr">
        <is>
          <t>05/04/2026</t>
        </is>
      </c>
      <c r="J8145" t="inlineStr">
        <is>
          <t>17/03/2026</t>
        </is>
      </c>
      <c r="K8145" t="inlineStr">
        <is>
          <t>N/A</t>
        </is>
      </c>
      <c r="L8145" t="inlineStr">
        <is>
          <t>Sửa Chữa, Cơ Điện, Bảo Trì, Cơ Khí, Bảo Dưỡng</t>
        </is>
      </c>
      <c r="M8145" t="inlineStr">
        <is>
          <t>Bonus, Healthcare Plan, Transportation</t>
        </is>
      </c>
      <c r="N8145" s="8">
        <f>HYPERLINK("https://www.vietnamworks.com/nhan-vien-bao-duong-me-staff-khong-yeu-cau-ngoai-ngu--2019559-jv","Xem chi tiết")</f>
        <v/>
      </c>
    </row>
    <row r="8146">
      <c r="B8146" s="9" t="n">
        <v>8144</v>
      </c>
      <c r="C8146" s="10" t="inlineStr">
        <is>
          <t>Nhân Viên Kinh Doanh Phần Mềm (Tiếng Nhật N3+)</t>
        </is>
      </c>
      <c r="D8146" s="10" t="inlineStr">
        <is>
          <t>J&amp;V Solutions CO., Ltd</t>
        </is>
      </c>
      <c r="E8146" s="10" t="inlineStr">
        <is>
          <t>15tr-25tr ₫/tháng</t>
        </is>
      </c>
      <c r="F8146" s="10" t="inlineStr">
        <is>
          <t>Hồ Chí Minh</t>
        </is>
      </c>
      <c r="G8146" s="10" t="inlineStr">
        <is>
          <t>Nhân viên</t>
        </is>
      </c>
      <c r="H8146" s="10" t="inlineStr">
        <is>
          <t>06/03/2026</t>
        </is>
      </c>
      <c r="I8146" s="10" t="inlineStr">
        <is>
          <t>05/04/2026</t>
        </is>
      </c>
      <c r="J8146" s="10" t="inlineStr">
        <is>
          <t>17/03/2026</t>
        </is>
      </c>
      <c r="K8146" s="10" t="inlineStr">
        <is>
          <t>N/A</t>
        </is>
      </c>
      <c r="L8146" s="10" t="inlineStr">
        <is>
          <t>Tiếng Nhật N3, Sales B2B, Giao Tiếp, Đàm Phán, Tinh thần trách nhiệm</t>
        </is>
      </c>
      <c r="M8146" s="10" t="inlineStr">
        <is>
          <t>Bonus, Healthcare Plan, Training, Travel Opportunities, Team Activities</t>
        </is>
      </c>
      <c r="N8146" s="11">
        <f>HYPERLINK("https://www.vietnamworks.com/nhan-vien-kinh-doanh-phan-mem-tieng-nhat-n3-2019564-jv","Xem chi tiết")</f>
        <v/>
      </c>
      <c r="O8146" s="10" t="n"/>
    </row>
    <row r="8147">
      <c r="B8147" s="7" t="n">
        <v>8145</v>
      </c>
      <c r="C8147" t="inlineStr">
        <is>
          <t>Nhân Viên Chất Lượng (Phụ Trách QMS) - Có Thể Đi Làm Sau Tết</t>
        </is>
      </c>
      <c r="D8147" t="inlineStr">
        <is>
          <t>Sumitomo Electric Interconnect Products (Vietnam), Ltd. [Sepv]</t>
        </is>
      </c>
      <c r="E8147" t="inlineStr">
        <is>
          <t>Thương lượng</t>
        </is>
      </c>
      <c r="F8147" t="inlineStr">
        <is>
          <t>Bắc Ninh</t>
        </is>
      </c>
      <c r="G8147" t="inlineStr">
        <is>
          <t>Nhân viên</t>
        </is>
      </c>
      <c r="H8147" t="inlineStr">
        <is>
          <t>06/03/2026</t>
        </is>
      </c>
      <c r="I8147" t="inlineStr">
        <is>
          <t>05/04/2026</t>
        </is>
      </c>
      <c r="J8147" t="inlineStr">
        <is>
          <t>17/03/2026</t>
        </is>
      </c>
      <c r="K8147" t="inlineStr">
        <is>
          <t>N/A</t>
        </is>
      </c>
      <c r="L8147" t="inlineStr">
        <is>
          <t>ISO 9001, ISO 13485, Quality Management System, QMS, 5 Whys Analysis</t>
        </is>
      </c>
      <c r="M8147" t="inlineStr">
        <is>
          <t>Bonus, Healthcare Plan, Transportation</t>
        </is>
      </c>
      <c r="N8147" s="8">
        <f>HYPERLINK("https://www.vietnamworks.com/nhan-vien-chat-luong-phu-trach-qms-co-the-di-lam-sau-tet--2019557-jv","Xem chi tiết")</f>
        <v/>
      </c>
    </row>
    <row r="8148">
      <c r="B8148" s="9" t="n">
        <v>8146</v>
      </c>
      <c r="C8148" s="10" t="inlineStr">
        <is>
          <t>Junior Performance Marketing Specialist (Up-To $5,000)</t>
        </is>
      </c>
      <c r="D8148" s="10" t="inlineStr">
        <is>
          <t>Crossian Việt Nam</t>
        </is>
      </c>
      <c r="E8148" s="10" t="inlineStr">
        <is>
          <t>Tới $ 5,000 /tháng</t>
        </is>
      </c>
      <c r="F8148" s="10" t="inlineStr">
        <is>
          <t>Hà Nội, Hồ Chí Minh</t>
        </is>
      </c>
      <c r="G8148" s="10" t="inlineStr">
        <is>
          <t>Nhân viên</t>
        </is>
      </c>
      <c r="H8148" s="10" t="inlineStr">
        <is>
          <t>06/03/2026</t>
        </is>
      </c>
      <c r="I8148" s="10" t="inlineStr">
        <is>
          <t>05/04/2026</t>
        </is>
      </c>
      <c r="J8148" s="10" t="inlineStr">
        <is>
          <t>17/03/2026</t>
        </is>
      </c>
      <c r="K8148" s="10" t="inlineStr">
        <is>
          <t>N/A</t>
        </is>
      </c>
      <c r="L8148" s="10" t="inlineStr">
        <is>
          <t>Performance Marketing, Advertising Management, Campaign Marketing, Data Analysis, Marketing Strategy</t>
        </is>
      </c>
      <c r="M8148" s="10" t="inlineStr">
        <is>
          <t>Bonus, Healthcare Plan, Paid Leave, Training, Canteen, Others</t>
        </is>
      </c>
      <c r="N8148" s="11">
        <f>HYPERLINK("https://www.vietnamworks.com/junior-performance-marketing-specialist-up-to-dollar5000-2019562-jv","Xem chi tiết")</f>
        <v/>
      </c>
      <c r="O8148" s="10" t="n"/>
    </row>
    <row r="8149">
      <c r="B8149" s="7" t="n">
        <v>8147</v>
      </c>
      <c r="C8149" t="inlineStr">
        <is>
          <t>Nhân Viên Kinh Doanh/sales Executive Upto 30 Triệu (Hà Nội)</t>
        </is>
      </c>
      <c r="D8149" t="inlineStr">
        <is>
          <t>Vietnamworks' Client</t>
        </is>
      </c>
      <c r="E8149" t="inlineStr">
        <is>
          <t>8tr-10tr ₫/tháng</t>
        </is>
      </c>
      <c r="F8149" t="inlineStr">
        <is>
          <t>Hà Nội</t>
        </is>
      </c>
      <c r="G8149" t="inlineStr">
        <is>
          <t>Nhân viên</t>
        </is>
      </c>
      <c r="H8149" t="inlineStr">
        <is>
          <t>06/03/2026</t>
        </is>
      </c>
      <c r="I8149" t="inlineStr">
        <is>
          <t>05/04/2026</t>
        </is>
      </c>
      <c r="J8149" t="inlineStr">
        <is>
          <t>17/03/2026</t>
        </is>
      </c>
      <c r="K8149" t="inlineStr">
        <is>
          <t>N/A</t>
        </is>
      </c>
      <c r="L8149" t="inlineStr">
        <is>
          <t>Sales, Bán hàng, Kinh Doanh, Sales Development, Tư Vấn</t>
        </is>
      </c>
      <c r="M8149" t="inlineStr">
        <is>
          <t>Bonus, Healthcare Plan, Paid Leave, Training, Travel Opportunities, Team Activities, Others</t>
        </is>
      </c>
      <c r="N8149" s="8">
        <f>HYPERLINK("https://www.vietnamworks.com/nhan-vien-kinh-doanh-sales-executive-upto-30-trieu-ha-noi-2019561-jv","Xem chi tiết")</f>
        <v/>
      </c>
    </row>
    <row r="8150">
      <c r="B8150" s="9" t="n">
        <v>8148</v>
      </c>
      <c r="C8150" s="10" t="inlineStr">
        <is>
          <t>Nhân Viên Kinh Doanh</t>
        </is>
      </c>
      <c r="D8150" s="10" t="inlineStr">
        <is>
          <t>TAFUCO</t>
        </is>
      </c>
      <c r="E8150" s="10" t="inlineStr">
        <is>
          <t>Thương lượng</t>
        </is>
      </c>
      <c r="F8150" s="10" t="inlineStr">
        <is>
          <t>Hồ Chí Minh</t>
        </is>
      </c>
      <c r="G8150" s="10" t="inlineStr">
        <is>
          <t>Nhân viên</t>
        </is>
      </c>
      <c r="H8150" s="10" t="inlineStr">
        <is>
          <t>06/03/2026</t>
        </is>
      </c>
      <c r="I8150" s="10" t="inlineStr">
        <is>
          <t>05/04/2026</t>
        </is>
      </c>
      <c r="J8150" s="10" t="inlineStr">
        <is>
          <t>17/03/2026</t>
        </is>
      </c>
      <c r="K8150" s="10" t="inlineStr">
        <is>
          <t>N/A</t>
        </is>
      </c>
      <c r="L8150" s="10" t="inlineStr">
        <is>
          <t>Chăm Sóc Khách Hàng, Duy Trì Mối Quan Hệ, Quản Lý Tồn Kho, Tìm Kiếm Khách Hàng, Đàm Phán</t>
        </is>
      </c>
      <c r="M8150" s="10" t="inlineStr">
        <is>
          <t>Bonus, Healthcare Plan, Training, Others</t>
        </is>
      </c>
      <c r="N8150" s="11">
        <f>HYPERLINK("https://www.vietnamworks.com/nhan-vien-kinh-doanh-2019567-jv","Xem chi tiết")</f>
        <v/>
      </c>
      <c r="O8150" s="10" t="n"/>
    </row>
    <row r="8151">
      <c r="B8151" s="7" t="n">
        <v>8149</v>
      </c>
      <c r="C8151" t="inlineStr">
        <is>
          <t>NV Phát Triển Kinh Doanh (Business Development) thiết bị ngành F&amp;B</t>
        </is>
      </c>
      <c r="D8151" t="inlineStr">
        <is>
          <t>S4S Co., Ltd</t>
        </is>
      </c>
      <c r="E8151" t="inlineStr">
        <is>
          <t>15tr-25tr ₫/tháng</t>
        </is>
      </c>
      <c r="F8151" t="inlineStr">
        <is>
          <t>Hồ Chí Minh</t>
        </is>
      </c>
      <c r="G8151" t="inlineStr">
        <is>
          <t>Nhân viên</t>
        </is>
      </c>
      <c r="H8151" t="inlineStr">
        <is>
          <t>06/03/2026</t>
        </is>
      </c>
      <c r="I8151" t="inlineStr">
        <is>
          <t>05/04/2026</t>
        </is>
      </c>
      <c r="J8151" t="inlineStr">
        <is>
          <t>17/03/2026</t>
        </is>
      </c>
      <c r="K8151" t="inlineStr">
        <is>
          <t>N/A</t>
        </is>
      </c>
      <c r="L8151" t="inlineStr">
        <is>
          <t>Phát Triển Thị Trường, Food and Beverage, Duy Trì Mối Quan Hệ, Phân Tích Thị Trường, Đàm Phán</t>
        </is>
      </c>
      <c r="M8151" t="inlineStr">
        <is>
          <t>Bonus, Healthcare Plan, Paid Leave, Training, Laptop, Travel Opportunities, Team Activities, Others</t>
        </is>
      </c>
      <c r="N8151" s="8">
        <f>HYPERLINK("https://www.vietnamworks.com/nv-phat-trien-kinh-doanh-business-development-thiet-bi-nganh-fandb-2019565-jv","Xem chi tiết")</f>
        <v/>
      </c>
    </row>
    <row r="8152">
      <c r="B8152" s="9" t="n">
        <v>8150</v>
      </c>
      <c r="C8152" s="10" t="inlineStr">
        <is>
          <t>Nhân Viên Sale (Không Yêu Cầu Kinh Nghiệm)</t>
        </is>
      </c>
      <c r="D8152" s="10" t="inlineStr">
        <is>
          <t>CÔNG TY TNHH HOME 101</t>
        </is>
      </c>
      <c r="E8152" s="10" t="inlineStr">
        <is>
          <t>Thương lượng</t>
        </is>
      </c>
      <c r="F8152" s="10" t="inlineStr">
        <is>
          <t>Hồ Chí Minh</t>
        </is>
      </c>
      <c r="G8152" s="10" t="inlineStr">
        <is>
          <t>Mới Tốt Nghiệp</t>
        </is>
      </c>
      <c r="H8152" s="10" t="inlineStr">
        <is>
          <t>06/03/2026</t>
        </is>
      </c>
      <c r="I8152" s="10" t="inlineStr">
        <is>
          <t>05/04/2026</t>
        </is>
      </c>
      <c r="J8152" s="10" t="inlineStr">
        <is>
          <t>17/03/2026</t>
        </is>
      </c>
      <c r="K8152" s="10" t="inlineStr">
        <is>
          <t>N/A</t>
        </is>
      </c>
      <c r="L8152" s="10" t="inlineStr">
        <is>
          <t>Bán hàng, Kinh Doanh, Sales Development, Sales Management, Tư Vấn</t>
        </is>
      </c>
      <c r="M8152" s="10" t="inlineStr">
        <is>
          <t>Bonus, Healthcare Plan, Awards, Laptop, Mobile, Transportation</t>
        </is>
      </c>
      <c r="N8152" s="11">
        <f>HYPERLINK("https://www.vietnamworks.com/nhan-vien-sale-khong-yeu-cau-kinh-nghiem-2019574-jv","Xem chi tiết")</f>
        <v/>
      </c>
      <c r="O8152" s="10" t="n"/>
    </row>
    <row r="8153">
      <c r="B8153" s="7" t="n">
        <v>8151</v>
      </c>
      <c r="C8153" t="inlineStr">
        <is>
          <t>Nhân Viên RD Bao Bì</t>
        </is>
      </c>
      <c r="D8153" t="inlineStr">
        <is>
          <t>TAFUCO</t>
        </is>
      </c>
      <c r="E8153" t="inlineStr">
        <is>
          <t>Thương lượng</t>
        </is>
      </c>
      <c r="F8153" t="inlineStr">
        <is>
          <t>Bà Rịa - Vũng Tàu</t>
        </is>
      </c>
      <c r="G8153" t="inlineStr">
        <is>
          <t>Nhân viên</t>
        </is>
      </c>
      <c r="H8153" t="inlineStr">
        <is>
          <t>06/03/2026</t>
        </is>
      </c>
      <c r="I8153" t="inlineStr">
        <is>
          <t>05/04/2026</t>
        </is>
      </c>
      <c r="J8153" t="inlineStr">
        <is>
          <t>17/03/2026</t>
        </is>
      </c>
      <c r="K8153" t="inlineStr">
        <is>
          <t>N/A</t>
        </is>
      </c>
      <c r="L8153" t="inlineStr">
        <is>
          <t>Cải Tiến Sản Phẩm, Theo Dõi Tiến Độ, Kỹ Thuật Bao Bì, Thông Số Kỹ Thuật, R&amp;D</t>
        </is>
      </c>
      <c r="M8153" t="inlineStr">
        <is>
          <t>Healthcare Plan, Travel Opportunities, Others</t>
        </is>
      </c>
      <c r="N8153" s="8">
        <f>HYPERLINK("https://www.vietnamworks.com/nhan-vien-rd-bao-bi-2019583-jv","Xem chi tiết")</f>
        <v/>
      </c>
    </row>
    <row r="8154">
      <c r="B8154" s="9" t="n">
        <v>8152</v>
      </c>
      <c r="C8154" s="10" t="inlineStr">
        <is>
          <t>Key Account Manager MT</t>
        </is>
      </c>
      <c r="D8154" s="10" t="inlineStr">
        <is>
          <t>Công Ty TNHH Kimberly-Clark Việt Nam</t>
        </is>
      </c>
      <c r="E8154" s="10" t="inlineStr">
        <is>
          <t>Thương lượng</t>
        </is>
      </c>
      <c r="F8154" s="10" t="inlineStr">
        <is>
          <t>Hồ Chí Minh</t>
        </is>
      </c>
      <c r="G8154" s="10" t="inlineStr">
        <is>
          <t>Nhân viên</t>
        </is>
      </c>
      <c r="H8154" s="10" t="inlineStr">
        <is>
          <t>06/03/2026</t>
        </is>
      </c>
      <c r="I8154" s="10" t="inlineStr">
        <is>
          <t>05/04/2026</t>
        </is>
      </c>
      <c r="J8154" s="10" t="inlineStr">
        <is>
          <t>17/03/2026</t>
        </is>
      </c>
      <c r="K8154" s="10" t="inlineStr">
        <is>
          <t>N/A</t>
        </is>
      </c>
      <c r="L8154" s="10" t="inlineStr">
        <is>
          <t>FMCG, Key Account Management, Modern Trade, Trade Marketing</t>
        </is>
      </c>
      <c r="M8154" s="10" t="inlineStr">
        <is>
          <t>Bonus, Training, Transportation</t>
        </is>
      </c>
      <c r="N8154" s="11">
        <f>HYPERLINK("https://www.vietnamworks.com/key-account-manager-mt-2019579-jv","Xem chi tiết")</f>
        <v/>
      </c>
      <c r="O8154" s="10" t="n"/>
    </row>
    <row r="8155">
      <c r="B8155" s="7" t="n">
        <v>8153</v>
      </c>
      <c r="C8155" t="inlineStr">
        <is>
          <t>Junior Relationship Manager for Corporate Banking ( Japanese Language is Preferred) [ Temporary Staff with 1 Year contract]</t>
        </is>
      </c>
      <c r="D8155" t="inlineStr">
        <is>
          <t>Mufg Bank, Ltd., Ho Chi Minh City Branch</t>
        </is>
      </c>
      <c r="E8155" t="inlineStr">
        <is>
          <t>Thương lượng</t>
        </is>
      </c>
      <c r="F8155" t="inlineStr">
        <is>
          <t>Hồ Chí Minh</t>
        </is>
      </c>
      <c r="G8155" t="inlineStr">
        <is>
          <t>Nhân viên</t>
        </is>
      </c>
      <c r="H8155" t="inlineStr">
        <is>
          <t>06/03/2026</t>
        </is>
      </c>
      <c r="I8155" t="inlineStr">
        <is>
          <t>05/04/2026</t>
        </is>
      </c>
      <c r="J8155" t="inlineStr">
        <is>
          <t>17/03/2026</t>
        </is>
      </c>
      <c r="K8155" t="inlineStr">
        <is>
          <t>N/A</t>
        </is>
      </c>
      <c r="L8155" t="inlineStr">
        <is>
          <t>Sales, Japanese, Bank Operations, Relationship Management, Tiếng Nhật N2</t>
        </is>
      </c>
      <c r="M8155" t="inlineStr">
        <is>
          <t>Healthcare Plan, Paid Leave, Training</t>
        </is>
      </c>
      <c r="N8155" s="8">
        <f>HYPERLINK("https://www.vietnamworks.com/junior-relationship-manager-for-corporate-banking-japanese-language-is-preferred-temporary-staff-with-1-year-contract--2019568-jv","Xem chi tiết")</f>
        <v/>
      </c>
    </row>
    <row r="8156">
      <c r="B8156" s="9" t="n">
        <v>8154</v>
      </c>
      <c r="C8156" s="10" t="inlineStr">
        <is>
          <t>User Acquisition Lead (Google, Facebook, Ad Network) (Up-To $7,000)</t>
        </is>
      </c>
      <c r="D8156" s="10" t="inlineStr">
        <is>
          <t>Crossian Việt Nam</t>
        </is>
      </c>
      <c r="E8156" s="10" t="inlineStr">
        <is>
          <t>Tới $ 7,000 /tháng</t>
        </is>
      </c>
      <c r="F8156" s="10" t="inlineStr">
        <is>
          <t>Hà Nội, Hồ Chí Minh</t>
        </is>
      </c>
      <c r="G8156" s="10" t="inlineStr">
        <is>
          <t>Nhân viên</t>
        </is>
      </c>
      <c r="H8156" s="10" t="inlineStr">
        <is>
          <t>06/03/2026</t>
        </is>
      </c>
      <c r="I8156" s="10" t="inlineStr">
        <is>
          <t>05/04/2026</t>
        </is>
      </c>
      <c r="J8156" s="10" t="inlineStr">
        <is>
          <t>17/03/2026</t>
        </is>
      </c>
      <c r="K8156" s="10" t="inlineStr">
        <is>
          <t>N/A</t>
        </is>
      </c>
      <c r="L8156" s="10" t="inlineStr">
        <is>
          <t>Google Ads, Campaign Management, Digital Marketing, Data Analysis, Performance Marketing</t>
        </is>
      </c>
      <c r="M8156" s="10" t="inlineStr">
        <is>
          <t>Bonus, Training, Others</t>
        </is>
      </c>
      <c r="N8156" s="11">
        <f>HYPERLINK("https://www.vietnamworks.com/user-acquisition-lead-google-facebook-ad-network-up-to-7-000--2019569-jv","Xem chi tiết")</f>
        <v/>
      </c>
      <c r="O8156" s="10" t="n"/>
    </row>
    <row r="8157">
      <c r="B8157" s="7" t="n">
        <v>8155</v>
      </c>
      <c r="C8157" t="inlineStr">
        <is>
          <t>Y Tá (Tốt Nghiệp Cao Đẳng/đại Học)</t>
        </is>
      </c>
      <c r="D8157" t="inlineStr">
        <is>
          <t>Công Ty TNHH LG Display Việt Nam Hải Phòng</t>
        </is>
      </c>
      <c r="E8157" t="inlineStr">
        <is>
          <t>Thương lượng</t>
        </is>
      </c>
      <c r="F8157" t="inlineStr">
        <is>
          <t>Hải Phòng</t>
        </is>
      </c>
      <c r="G8157" t="inlineStr">
        <is>
          <t>Nhân viên</t>
        </is>
      </c>
      <c r="H8157" t="inlineStr">
        <is>
          <t>06/03/2026</t>
        </is>
      </c>
      <c r="I8157" t="inlineStr">
        <is>
          <t>05/04/2026</t>
        </is>
      </c>
      <c r="J8157" t="inlineStr">
        <is>
          <t>17/03/2026</t>
        </is>
      </c>
      <c r="K8157" t="inlineStr">
        <is>
          <t>N/A</t>
        </is>
      </c>
      <c r="L8157" t="inlineStr">
        <is>
          <t>Dược, Y Tế, điều dưỡng, Cấp Phát Thuốc, Tiếng Anh</t>
        </is>
      </c>
      <c r="M8157" t="inlineStr">
        <is>
          <t>Bonus, Transportation, Others</t>
        </is>
      </c>
      <c r="N8157" s="8">
        <f>HYPERLINK("https://www.vietnamworks.com/y-ta-tot-nghiep-cao-dang-dai-hoc-2019575-jv","Xem chi tiết")</f>
        <v/>
      </c>
    </row>
    <row r="8158">
      <c r="B8158" s="9" t="n">
        <v>8156</v>
      </c>
      <c r="C8158" s="10" t="inlineStr">
        <is>
          <t>Kế Toán Thanh Toán &amp; Giá Thành - làm việc tại Hiệp Phước</t>
        </is>
      </c>
      <c r="D8158" s="10" t="inlineStr">
        <is>
          <t>Fico Tay Ninh Cement Joint Stock Company (Fico-YTL)</t>
        </is>
      </c>
      <c r="E8158" s="10" t="inlineStr">
        <is>
          <t>Thương lượng</t>
        </is>
      </c>
      <c r="F8158" s="10" t="inlineStr">
        <is>
          <t>Hồ Chí Minh</t>
        </is>
      </c>
      <c r="G8158" s="10" t="inlineStr">
        <is>
          <t>Nhân viên</t>
        </is>
      </c>
      <c r="H8158" s="10" t="inlineStr">
        <is>
          <t>06/03/2026</t>
        </is>
      </c>
      <c r="I8158" s="10" t="inlineStr">
        <is>
          <t>05/04/2026</t>
        </is>
      </c>
      <c r="J8158" s="10" t="inlineStr">
        <is>
          <t>17/03/2026</t>
        </is>
      </c>
      <c r="K8158" s="10" t="inlineStr">
        <is>
          <t>N/A</t>
        </is>
      </c>
      <c r="L8158" s="10" t="inlineStr">
        <is>
          <t>Kế Toán, Kế Toán Giá Thành, Kế Toán Thanh Toán, Tính Giá Thành, Kinh Nghiệm Sap</t>
        </is>
      </c>
      <c r="M8158" s="10" t="inlineStr">
        <is>
          <t>Bonus, Healthcare Plan, Paid Leave, Training, Others</t>
        </is>
      </c>
      <c r="N8158" s="11">
        <f>HYPERLINK("https://www.vietnamworks.com/ke-toan-thanh-toan-and-gia-thanh-lam-viec-tai-hiep-phuoc-2019587-jv","Xem chi tiết")</f>
        <v/>
      </c>
      <c r="O8158" s="10" t="n"/>
    </row>
    <row r="8159">
      <c r="B8159" s="7" t="n">
        <v>8157</v>
      </c>
      <c r="C8159" t="inlineStr">
        <is>
          <t>Communications &amp; Marketing Specialist</t>
        </is>
      </c>
      <c r="D8159" t="inlineStr">
        <is>
          <t>Institut Européen De Cooperation Et De Développement</t>
        </is>
      </c>
      <c r="E8159" t="inlineStr">
        <is>
          <t>23tr-27tr ₫/tháng</t>
        </is>
      </c>
      <c r="F8159" t="inlineStr">
        <is>
          <t>Hồ Chí Minh</t>
        </is>
      </c>
      <c r="G8159" t="inlineStr">
        <is>
          <t>Nhân viên</t>
        </is>
      </c>
      <c r="H8159" t="inlineStr">
        <is>
          <t>06/03/2026</t>
        </is>
      </c>
      <c r="I8159" t="inlineStr">
        <is>
          <t>05/04/2026</t>
        </is>
      </c>
      <c r="J8159" t="inlineStr">
        <is>
          <t>17/03/2026</t>
        </is>
      </c>
      <c r="K8159" t="inlineStr">
        <is>
          <t>N/A</t>
        </is>
      </c>
      <c r="L8159" t="inlineStr">
        <is>
          <t>Content creation, Digital Communication</t>
        </is>
      </c>
      <c r="M8159" t="inlineStr">
        <is>
          <t>Bonus, Healthcare Plan, Paid Leave, Others</t>
        </is>
      </c>
      <c r="N8159" s="8">
        <f>HYPERLINK("https://www.vietnamworks.com/communications-and-marketing-specialist-2019573-jv","Xem chi tiết")</f>
        <v/>
      </c>
    </row>
    <row r="8160">
      <c r="B8160" s="9" t="n">
        <v>8158</v>
      </c>
      <c r="C8160" s="10" t="inlineStr">
        <is>
          <t>Trưởng Ca Sản Xuất</t>
        </is>
      </c>
      <c r="D8160" s="10" t="inlineStr">
        <is>
          <t>Arneplant Vietnam Company</t>
        </is>
      </c>
      <c r="E8160" s="10" t="inlineStr">
        <is>
          <t>Tới $ 1,000 /tháng</t>
        </is>
      </c>
      <c r="F8160" s="10" t="inlineStr">
        <is>
          <t>Hồ Chí Minh</t>
        </is>
      </c>
      <c r="G8160" s="10" t="inlineStr">
        <is>
          <t>Nhân viên</t>
        </is>
      </c>
      <c r="H8160" s="10" t="inlineStr">
        <is>
          <t>06/03/2026</t>
        </is>
      </c>
      <c r="I8160" s="10" t="inlineStr">
        <is>
          <t>05/04/2026</t>
        </is>
      </c>
      <c r="J8160" s="10" t="inlineStr">
        <is>
          <t>17/03/2026</t>
        </is>
      </c>
      <c r="K8160" s="10" t="inlineStr">
        <is>
          <t>N/A</t>
        </is>
      </c>
      <c r="L8160" s="10" t="inlineStr">
        <is>
          <t>Kỹ năng giao tiếp, Kỹ Năng Làm Việc- Quản Lý Nhóm, MS Office, Quản Lý Sản Xuất, Tiếng Anh</t>
        </is>
      </c>
      <c r="M8160" s="10" t="inlineStr">
        <is>
          <t>Bonus, Healthcare Plan, Paid Leave, Others</t>
        </is>
      </c>
      <c r="N8160" s="11">
        <f>HYPERLINK("https://www.vietnamworks.com/truong-ca-san-xuat-2019585-jv","Xem chi tiết")</f>
        <v/>
      </c>
      <c r="O8160" s="10" t="n"/>
    </row>
    <row r="8161">
      <c r="B8161" s="7" t="n">
        <v>8159</v>
      </c>
      <c r="C8161" t="inlineStr">
        <is>
          <t>PMO - Planning &amp; Business Development (Real Estate)</t>
        </is>
      </c>
      <c r="D8161" t="inlineStr">
        <is>
          <t>Công Ty Cổ Phần Tập Đoàn Masterise</t>
        </is>
      </c>
      <c r="E8161" t="inlineStr">
        <is>
          <t>Thương lượng</t>
        </is>
      </c>
      <c r="F8161" t="inlineStr">
        <is>
          <t>Hà Nội, Hồ Chí Minh</t>
        </is>
      </c>
      <c r="G8161" t="inlineStr">
        <is>
          <t>Nhân viên</t>
        </is>
      </c>
      <c r="H8161" t="inlineStr">
        <is>
          <t>06/03/2026</t>
        </is>
      </c>
      <c r="I8161" t="inlineStr">
        <is>
          <t>05/04/2026</t>
        </is>
      </c>
      <c r="J8161" t="inlineStr">
        <is>
          <t>17/03/2026</t>
        </is>
      </c>
      <c r="K8161" t="inlineStr">
        <is>
          <t>N/A</t>
        </is>
      </c>
      <c r="L8161" t="inlineStr">
        <is>
          <t>Project Planning, Business Development, Stakeholder Management, Analytical Skills, Coordinating</t>
        </is>
      </c>
      <c r="M8161" t="inlineStr">
        <is>
          <t>Bonus, Healthcare Plan, Laptop</t>
        </is>
      </c>
      <c r="N8161" s="8">
        <f>HYPERLINK("https://www.vietnamworks.com/pmo-planning-and-business-development-real-estate-2019577-jv","Xem chi tiết")</f>
        <v/>
      </c>
    </row>
    <row r="8162">
      <c r="B8162" s="9" t="n">
        <v>8160</v>
      </c>
      <c r="C8162" s="10" t="inlineStr">
        <is>
          <t>Giám Đốc Trung Tâm Kinh Doanh - (Gấp)</t>
        </is>
      </c>
      <c r="D8162" s="10" t="inlineStr">
        <is>
          <t>Tập đoàn Công nghệ G-Group</t>
        </is>
      </c>
      <c r="E8162" s="10" t="inlineStr">
        <is>
          <t>Thương lượng</t>
        </is>
      </c>
      <c r="F8162" s="10" t="inlineStr">
        <is>
          <t>Hà Nội</t>
        </is>
      </c>
      <c r="G8162" s="10" t="inlineStr">
        <is>
          <t>Giám Đốc và Cấp Cao Hơn</t>
        </is>
      </c>
      <c r="H8162" s="10" t="inlineStr">
        <is>
          <t>06/03/2026</t>
        </is>
      </c>
      <c r="I8162" s="10" t="inlineStr">
        <is>
          <t>05/04/2026</t>
        </is>
      </c>
      <c r="J8162" s="10" t="inlineStr">
        <is>
          <t>17/03/2026</t>
        </is>
      </c>
      <c r="K8162" s="10" t="inlineStr">
        <is>
          <t>N/A</t>
        </is>
      </c>
      <c r="L8162" s="10" t="inlineStr">
        <is>
          <t>Sales Management, Kinh Doanh, Quản Lý Kinh Doanh, Sales B2B, Giám đốc</t>
        </is>
      </c>
      <c r="M8162" s="10" t="inlineStr">
        <is>
          <t>Bonus, Healthcare Plan, Team Activities</t>
        </is>
      </c>
      <c r="N8162" s="11">
        <f>HYPERLINK("https://www.vietnamworks.com/giam-doc-trung-tam-kinh-doanh-gap--2019581-jv","Xem chi tiết")</f>
        <v/>
      </c>
      <c r="O8162" s="10" t="n"/>
    </row>
    <row r="8163">
      <c r="B8163" s="7" t="n">
        <v>8161</v>
      </c>
      <c r="C8163" t="inlineStr">
        <is>
          <t>Marketing Executive</t>
        </is>
      </c>
      <c r="D8163" t="inlineStr">
        <is>
          <t>DARA GROUP</t>
        </is>
      </c>
      <c r="E8163" t="inlineStr">
        <is>
          <t>10tr-12tr ₫/tháng</t>
        </is>
      </c>
      <c r="F8163" t="inlineStr">
        <is>
          <t>Hà Nội</t>
        </is>
      </c>
      <c r="G8163" t="inlineStr">
        <is>
          <t>Nhân viên</t>
        </is>
      </c>
      <c r="H8163" t="inlineStr">
        <is>
          <t>06/03/2026</t>
        </is>
      </c>
      <c r="I8163" t="inlineStr">
        <is>
          <t>05/04/2026</t>
        </is>
      </c>
      <c r="J8163" t="inlineStr">
        <is>
          <t>17/03/2026</t>
        </is>
      </c>
      <c r="K8163" t="inlineStr">
        <is>
          <t>N/A</t>
        </is>
      </c>
      <c r="L8163" t="inlineStr">
        <is>
          <t>Digital Marketing, E-commerce, Data Analysis, Social Media Management, Content Marketing</t>
        </is>
      </c>
      <c r="M8163" t="inlineStr">
        <is>
          <t>Bonus, Paid Leave, Training, Awards, Team Activities, Others</t>
        </is>
      </c>
      <c r="N8163" s="8">
        <f>HYPERLINK("https://www.vietnamworks.com/marketing-executive-2019588-jv","Xem chi tiết")</f>
        <v/>
      </c>
    </row>
    <row r="8164">
      <c r="B8164" s="9" t="n">
        <v>8162</v>
      </c>
      <c r="C8164" s="10" t="inlineStr">
        <is>
          <t>R&amp;D Senior Engineer</t>
        </is>
      </c>
      <c r="D8164" s="10" t="inlineStr">
        <is>
          <t>CÔNG TY TNHH NANOFILM TECHNOLOGIES VIỆT NAM</t>
        </is>
      </c>
      <c r="E8164" s="10" t="inlineStr">
        <is>
          <t>$$ 900-1,500 /tháng</t>
        </is>
      </c>
      <c r="F8164" s="10" t="inlineStr">
        <is>
          <t>Hà Nội, Hưng Yên, Hải Dương</t>
        </is>
      </c>
      <c r="G8164" s="10" t="inlineStr">
        <is>
          <t>Nhân viên</t>
        </is>
      </c>
      <c r="H8164" s="10" t="inlineStr">
        <is>
          <t>06/03/2026</t>
        </is>
      </c>
      <c r="I8164" s="10" t="inlineStr">
        <is>
          <t>05/04/2026</t>
        </is>
      </c>
      <c r="J8164" s="10" t="inlineStr">
        <is>
          <t>17/03/2026</t>
        </is>
      </c>
      <c r="K8164" s="10" t="inlineStr">
        <is>
          <t>N/A</t>
        </is>
      </c>
      <c r="L8164" s="10" t="inlineStr">
        <is>
          <t>Process Development, Quality System, Product Design, Interpersonal skills, R&amp;D</t>
        </is>
      </c>
      <c r="M8164" s="10" t="inlineStr">
        <is>
          <t>Bonus, Healthcare Plan, Travel Opportunities</t>
        </is>
      </c>
      <c r="N8164" s="11">
        <f>HYPERLINK("https://www.vietnamworks.com/randd-senior-engineer-2019576-jv","Xem chi tiết")</f>
        <v/>
      </c>
      <c r="O8164" s="10" t="n"/>
    </row>
    <row r="8165">
      <c r="B8165" s="7" t="n">
        <v>8163</v>
      </c>
      <c r="C8165" t="inlineStr">
        <is>
          <t>Trưởng Nhóm Tự Động Hóa (Thưởng Upto 3 Tháng Lương)</t>
        </is>
      </c>
      <c r="D8165" t="inlineStr">
        <is>
          <t>Công Ty TNHH Anthony Innovations Việt Nam</t>
        </is>
      </c>
      <c r="E8165" t="inlineStr">
        <is>
          <t>Thương lượng</t>
        </is>
      </c>
      <c r="F8165" t="inlineStr">
        <is>
          <t>Hưng Yên</t>
        </is>
      </c>
      <c r="G8165" t="inlineStr">
        <is>
          <t>Trưởng phòng</t>
        </is>
      </c>
      <c r="H8165" t="inlineStr">
        <is>
          <t>06/03/2026</t>
        </is>
      </c>
      <c r="I8165" t="inlineStr">
        <is>
          <t>05/04/2026</t>
        </is>
      </c>
      <c r="J8165" t="inlineStr">
        <is>
          <t>17/03/2026</t>
        </is>
      </c>
      <c r="K8165" t="inlineStr">
        <is>
          <t>N/A</t>
        </is>
      </c>
      <c r="L8165" t="inlineStr">
        <is>
          <t>Automation, Khí nén, Manufacturing</t>
        </is>
      </c>
      <c r="M8165" t="inlineStr">
        <is>
          <t>Bonus, Healthcare Plan, Paid Leave, Training, Team Activities</t>
        </is>
      </c>
      <c r="N8165" s="8">
        <f>HYPERLINK("https://www.vietnamworks.com/truong-nhom-tu-dong-hoa-thuong-upto-3-thang-luong-2019586-jv","Xem chi tiết")</f>
        <v/>
      </c>
    </row>
    <row r="8166">
      <c r="B8166" s="9" t="n">
        <v>8164</v>
      </c>
      <c r="C8166" s="10" t="inlineStr">
        <is>
          <t>Product Content Creator (Up-To $5,000) - SGN , HAN</t>
        </is>
      </c>
      <c r="D8166" s="10" t="inlineStr">
        <is>
          <t>Crossian Việt Nam</t>
        </is>
      </c>
      <c r="E8166" s="10" t="inlineStr">
        <is>
          <t>Tới $ 5,000 /tháng</t>
        </is>
      </c>
      <c r="F8166" s="10" t="inlineStr">
        <is>
          <t>Hà Nội, Hồ Chí Minh</t>
        </is>
      </c>
      <c r="G8166" s="10" t="inlineStr">
        <is>
          <t>Nhân viên</t>
        </is>
      </c>
      <c r="H8166" s="10" t="inlineStr">
        <is>
          <t>06/03/2026</t>
        </is>
      </c>
      <c r="I8166" s="10" t="inlineStr">
        <is>
          <t>05/04/2026</t>
        </is>
      </c>
      <c r="J8166" s="10" t="inlineStr">
        <is>
          <t>17/03/2026</t>
        </is>
      </c>
      <c r="K8166" s="10" t="inlineStr">
        <is>
          <t>N/A</t>
        </is>
      </c>
      <c r="L8166" s="10" t="inlineStr">
        <is>
          <t>Marketing, E-commerce, Copywriting, Content, Market Research</t>
        </is>
      </c>
      <c r="M8166" s="10" t="inlineStr">
        <is>
          <t>Bonus, Healthcare Plan</t>
        </is>
      </c>
      <c r="N8166" s="11">
        <f>HYPERLINK("https://www.vietnamworks.com/product-content-creator-up-to-5-000-sgn-han--2019566-jv","Xem chi tiết")</f>
        <v/>
      </c>
      <c r="O8166" s="10" t="n"/>
    </row>
    <row r="8167">
      <c r="B8167" s="7" t="n">
        <v>8165</v>
      </c>
      <c r="C8167" t="inlineStr">
        <is>
          <t>Gấp!!! Kỹ Sư Thiết Kế Cơ Điện (M&amp;E) - Thu Nhập Hấp Dẫn Lên Tới 30Tr</t>
        </is>
      </c>
      <c r="D8167" t="inlineStr">
        <is>
          <t>Es Architecture &amp; Construction</t>
        </is>
      </c>
      <c r="E8167" t="inlineStr">
        <is>
          <t>Tới 30tr ₫/tháng</t>
        </is>
      </c>
      <c r="F8167" t="inlineStr">
        <is>
          <t>Hà Nội</t>
        </is>
      </c>
      <c r="G8167" t="inlineStr">
        <is>
          <t>Nhân viên</t>
        </is>
      </c>
      <c r="H8167" t="inlineStr">
        <is>
          <t>06/03/2026</t>
        </is>
      </c>
      <c r="I8167" t="inlineStr">
        <is>
          <t>05/04/2026</t>
        </is>
      </c>
      <c r="J8167" t="inlineStr">
        <is>
          <t>17/03/2026</t>
        </is>
      </c>
      <c r="K8167" t="inlineStr">
        <is>
          <t>N/A</t>
        </is>
      </c>
      <c r="L8167" t="inlineStr">
        <is>
          <t>AutoCAD, Thiết Kế Cơ Điện, Triển Khai Bản Vẽ, MEP, Công Trình Dân Dụng</t>
        </is>
      </c>
      <c r="M8167" t="inlineStr">
        <is>
          <t>Bonus, Healthcare Plan, Team Activities</t>
        </is>
      </c>
      <c r="N8167" s="8">
        <f>HYPERLINK("https://www.vietnamworks.com/gap-ky-su-thiet-ke-co-dien-m-e-thu-nhap-hap-dan-len-toi-30tr--2019589-jv","Xem chi tiết")</f>
        <v/>
      </c>
    </row>
    <row r="8168">
      <c r="B8168" s="9" t="n">
        <v>8166</v>
      </c>
      <c r="C8168" s="10" t="inlineStr">
        <is>
          <t>Kế Toán Nội Bộ Upto 15 Triệu (Phỏng Vấn Đi Làm Luôn)</t>
        </is>
      </c>
      <c r="D8168" s="10" t="inlineStr">
        <is>
          <t>NINH BINH LEGEND HOTEL</t>
        </is>
      </c>
      <c r="E8168" s="10" t="inlineStr">
        <is>
          <t>10tr-15tr ₫/tháng</t>
        </is>
      </c>
      <c r="F8168" s="10" t="inlineStr">
        <is>
          <t>Ninh Bình</t>
        </is>
      </c>
      <c r="G8168" s="10" t="inlineStr">
        <is>
          <t>Nhân viên</t>
        </is>
      </c>
      <c r="H8168" s="10" t="inlineStr">
        <is>
          <t>06/03/2026</t>
        </is>
      </c>
      <c r="I8168" s="10" t="inlineStr">
        <is>
          <t>05/04/2026</t>
        </is>
      </c>
      <c r="J8168" s="10" t="inlineStr">
        <is>
          <t>17/03/2026</t>
        </is>
      </c>
      <c r="K8168" s="10" t="inlineStr">
        <is>
          <t>N/A</t>
        </is>
      </c>
      <c r="L8168" s="10" t="inlineStr">
        <is>
          <t>Quản Lý Công Nợ, Quản Lý Kho, Kiểm Tra Chứng Từ, Kế toán, Tài Chính</t>
        </is>
      </c>
      <c r="M8168" s="10" t="inlineStr">
        <is>
          <t>Healthcare Plan</t>
        </is>
      </c>
      <c r="N8168" s="11">
        <f>HYPERLINK("https://www.vietnamworks.com/ke-toan-noi-bo-upto-15-trieu-phong-van-dji-lam-luon-2019594-jv","Xem chi tiết")</f>
        <v/>
      </c>
      <c r="O8168" s="10" t="n"/>
    </row>
    <row r="8169">
      <c r="B8169" s="7" t="n">
        <v>8167</v>
      </c>
      <c r="C8169" t="inlineStr">
        <is>
          <t>Operations Manager (Trưởng Phòng Khai Thác)</t>
        </is>
      </c>
      <c r="D8169" t="inlineStr">
        <is>
          <t>CÔNG TY TNHH VẬN CHUYỂN “K” LINE (VIỆT NAM)</t>
        </is>
      </c>
      <c r="E8169" t="inlineStr">
        <is>
          <t>20tr-30tr ₫/tháng</t>
        </is>
      </c>
      <c r="F8169" t="inlineStr">
        <is>
          <t>Hải Phòng</t>
        </is>
      </c>
      <c r="G8169" t="inlineStr">
        <is>
          <t>Trưởng phòng</t>
        </is>
      </c>
      <c r="H8169" t="inlineStr">
        <is>
          <t>06/03/2026</t>
        </is>
      </c>
      <c r="I8169" t="inlineStr">
        <is>
          <t>05/04/2026</t>
        </is>
      </c>
      <c r="J8169" t="inlineStr">
        <is>
          <t>17/03/2026</t>
        </is>
      </c>
      <c r="K8169" t="inlineStr">
        <is>
          <t>N/A</t>
        </is>
      </c>
      <c r="L8169" t="inlineStr">
        <is>
          <t>Booking Management, Logistics Operation, Quản Trị Vận Hành, Thủ Tục Thông Quan, Điều Phối Vận Tải</t>
        </is>
      </c>
      <c r="M8169" t="inlineStr">
        <is>
          <t>Bonus, Healthcare Plan, Training, Team Activities</t>
        </is>
      </c>
      <c r="N8169" s="8">
        <f>HYPERLINK("https://www.vietnamworks.com/operations-manager-truong-phong-khai-thac-2019592-jv","Xem chi tiết")</f>
        <v/>
      </c>
    </row>
    <row r="8170">
      <c r="B8170" s="9" t="n">
        <v>8168</v>
      </c>
      <c r="C8170" s="10" t="inlineStr">
        <is>
          <t>Digital Marketing Manager (Up-To $10,000)</t>
        </is>
      </c>
      <c r="D8170" s="10" t="inlineStr">
        <is>
          <t>Crossian Việt Nam</t>
        </is>
      </c>
      <c r="E8170" s="10" t="inlineStr">
        <is>
          <t>Tới $ 10,000 /tháng</t>
        </is>
      </c>
      <c r="F8170" s="10" t="inlineStr">
        <is>
          <t>Hà Nội, Hồ Chí Minh</t>
        </is>
      </c>
      <c r="G8170" s="10" t="inlineStr">
        <is>
          <t>Trưởng phòng</t>
        </is>
      </c>
      <c r="H8170" s="10" t="inlineStr">
        <is>
          <t>06/03/2026</t>
        </is>
      </c>
      <c r="I8170" s="10" t="inlineStr">
        <is>
          <t>05/04/2026</t>
        </is>
      </c>
      <c r="J8170" s="10" t="inlineStr">
        <is>
          <t>17/03/2026</t>
        </is>
      </c>
      <c r="K8170" s="10" t="inlineStr">
        <is>
          <t>N/A</t>
        </is>
      </c>
      <c r="L8170" s="10" t="inlineStr">
        <is>
          <t>Digital Marketing Planning, Digital Marketing Performance, Campaign Marketing, Advertising Optimization, Meta Ads</t>
        </is>
      </c>
      <c r="M8170" s="10" t="inlineStr">
        <is>
          <t>Bonus, Healthcare Plan, Others</t>
        </is>
      </c>
      <c r="N8170" s="11">
        <f>HYPERLINK("https://www.vietnamworks.com/digital-marketing-manager-up-to-10-000--2019571-jv","Xem chi tiết")</f>
        <v/>
      </c>
      <c r="O8170" s="10" t="n"/>
    </row>
    <row r="8171">
      <c r="B8171" s="7" t="n">
        <v>8169</v>
      </c>
      <c r="C8171" t="inlineStr">
        <is>
          <t>[Hà Nội] Chuyên Viên Pháp Chế Dự Án (Tuyển Gấp Đi Làm Ngay) Lương 20- 30 Triệu/tháng</t>
        </is>
      </c>
      <c r="D8171" t="inlineStr">
        <is>
          <t>CÔNG TY CỔ PHẦN TÀ XÙA SKYLINE</t>
        </is>
      </c>
      <c r="E8171" t="inlineStr">
        <is>
          <t>20tr-30tr ₫/tháng</t>
        </is>
      </c>
      <c r="F8171" t="inlineStr">
        <is>
          <t>Hà Nội</t>
        </is>
      </c>
      <c r="G8171" t="inlineStr">
        <is>
          <t>Nhân viên</t>
        </is>
      </c>
      <c r="H8171" t="inlineStr">
        <is>
          <t>06/03/2026</t>
        </is>
      </c>
      <c r="I8171" t="inlineStr">
        <is>
          <t>05/04/2026</t>
        </is>
      </c>
      <c r="J8171" t="inlineStr">
        <is>
          <t>17/03/2026</t>
        </is>
      </c>
      <c r="K8171" t="inlineStr">
        <is>
          <t>N/A</t>
        </is>
      </c>
      <c r="L8171" t="inlineStr">
        <is>
          <t>Bất Động Sản, Giao Dịch Ngoại Tệ, Pháp Lý Bất Động Sản, Pháp Lý Dự Án</t>
        </is>
      </c>
      <c r="M8171" t="inlineStr">
        <is>
          <t>Bonus, Healthcare Plan, Team Activities, Others</t>
        </is>
      </c>
      <c r="N8171" s="8">
        <f>HYPERLINK("https://www.vietnamworks.com/ha-noi-chuyen-vien-phap-che-du-an-tuyen-gap-di-lam-ngay-luong-20-30-trieu-thang-2019595-jv","Xem chi tiết")</f>
        <v/>
      </c>
    </row>
    <row r="8172">
      <c r="B8172" s="9" t="n">
        <v>8170</v>
      </c>
      <c r="C8172" s="10" t="inlineStr">
        <is>
          <t>Chuyên Viên Tài Chính Đầu Tư</t>
        </is>
      </c>
      <c r="D8172" s="10" t="inlineStr">
        <is>
          <t>CÔNG TY CỔ PHẦN UNIK XANH</t>
        </is>
      </c>
      <c r="E8172" s="10" t="inlineStr">
        <is>
          <t>Thương lượng</t>
        </is>
      </c>
      <c r="F8172" s="10" t="inlineStr">
        <is>
          <t>Hà Nội</t>
        </is>
      </c>
      <c r="G8172" s="10" t="inlineStr">
        <is>
          <t>Nhân viên</t>
        </is>
      </c>
      <c r="H8172" s="10" t="inlineStr">
        <is>
          <t>06/03/2026</t>
        </is>
      </c>
      <c r="I8172" s="10" t="inlineStr">
        <is>
          <t>05/04/2026</t>
        </is>
      </c>
      <c r="J8172" s="10" t="inlineStr">
        <is>
          <t>17/03/2026</t>
        </is>
      </c>
      <c r="K8172" s="10" t="inlineStr">
        <is>
          <t>N/A</t>
        </is>
      </c>
      <c r="L8172" s="10" t="inlineStr">
        <is>
          <t>CFA, Ngân hàng, Phân Tích Tài Chính, Tài Chính, Đầu Tư</t>
        </is>
      </c>
      <c r="M8172" s="10" t="inlineStr">
        <is>
          <t>Bonus, Healthcare Plan, Training, Others</t>
        </is>
      </c>
      <c r="N8172" s="11">
        <f>HYPERLINK("https://www.vietnamworks.com/chuyen-vien-tai-chinh-djau-tu-2019596-jv","Xem chi tiết")</f>
        <v/>
      </c>
      <c r="O8172" s="10" t="n"/>
    </row>
    <row r="8173">
      <c r="B8173" s="7" t="n">
        <v>8171</v>
      </c>
      <c r="C8173" t="inlineStr">
        <is>
          <t>Nhân Viên Kinh Doanh Xuất Khẩu (Sales Export)</t>
        </is>
      </c>
      <c r="D8173" t="inlineStr">
        <is>
          <t>Công ty TNHH Wood Line</t>
        </is>
      </c>
      <c r="E8173" t="inlineStr">
        <is>
          <t>Tới 70tr ₫/tháng</t>
        </is>
      </c>
      <c r="F8173" t="inlineStr">
        <is>
          <t>Hà Nội</t>
        </is>
      </c>
      <c r="G8173" t="inlineStr">
        <is>
          <t>Nhân viên</t>
        </is>
      </c>
      <c r="H8173" t="inlineStr">
        <is>
          <t>06/03/2026</t>
        </is>
      </c>
      <c r="I8173" t="inlineStr">
        <is>
          <t>05/04/2026</t>
        </is>
      </c>
      <c r="J8173" t="inlineStr">
        <is>
          <t>17/03/2026</t>
        </is>
      </c>
      <c r="K8173" t="inlineStr">
        <is>
          <t>N/A</t>
        </is>
      </c>
      <c r="L8173" t="inlineStr">
        <is>
          <t>Kinh Doanh, Logistics, Sales, Tư Vấn Khách Hàng</t>
        </is>
      </c>
      <c r="M8173" t="inlineStr">
        <is>
          <t>Bonus, Healthcare Plan, Awards, Team Activities, Others</t>
        </is>
      </c>
      <c r="N8173" s="8">
        <f>HYPERLINK("https://www.vietnamworks.com/nhan-vien-kinh-doanh-xuat-khau-sales-export-2019599-jv","Xem chi tiết")</f>
        <v/>
      </c>
    </row>
    <row r="8174">
      <c r="B8174" s="9" t="n">
        <v>8172</v>
      </c>
      <c r="C8174" s="10" t="inlineStr">
        <is>
          <t>Customer Service &amp; Data Specialist</t>
        </is>
      </c>
      <c r="D8174" s="10" t="inlineStr">
        <is>
          <t>CÔNG TY TNHH HDS DỊCH VỤ VIỆT NAM</t>
        </is>
      </c>
      <c r="E8174" s="10" t="inlineStr">
        <is>
          <t>Thương lượng</t>
        </is>
      </c>
      <c r="F8174" s="10" t="inlineStr">
        <is>
          <t>Hồ Chí Minh</t>
        </is>
      </c>
      <c r="G8174" s="10" t="inlineStr">
        <is>
          <t>Nhân viên</t>
        </is>
      </c>
      <c r="H8174" s="10" t="inlineStr">
        <is>
          <t>06/03/2026</t>
        </is>
      </c>
      <c r="I8174" s="10" t="inlineStr">
        <is>
          <t>05/04/2026</t>
        </is>
      </c>
      <c r="J8174" s="10" t="inlineStr">
        <is>
          <t>17/03/2026</t>
        </is>
      </c>
      <c r="K8174" s="10" t="inlineStr">
        <is>
          <t>N/A</t>
        </is>
      </c>
      <c r="L8174" s="10" t="inlineStr">
        <is>
          <t>Customer Service, Data Management, Analytical Thinking, Logistics, English Communication</t>
        </is>
      </c>
      <c r="M8174" s="10" t="inlineStr">
        <is>
          <t>Bonus, Healthcare Plan, Paid Leave, Team Activities, Others</t>
        </is>
      </c>
      <c r="N8174" s="11">
        <f>HYPERLINK("https://www.vietnamworks.com/customer-service-and-data-specialist-2019598-jv","Xem chi tiết")</f>
        <v/>
      </c>
      <c r="O8174" s="10" t="n"/>
    </row>
    <row r="8175">
      <c r="B8175" s="7" t="n">
        <v>8173</v>
      </c>
      <c r="C8175" t="inlineStr">
        <is>
          <t>Kế Toán Tổng Hợp</t>
        </is>
      </c>
      <c r="D8175" t="inlineStr">
        <is>
          <t>Công Ty Cổ Phần Trang Thiết Bị Y Tế Cổng Vàng</t>
        </is>
      </c>
      <c r="E8175" t="inlineStr">
        <is>
          <t>Thương lượng</t>
        </is>
      </c>
      <c r="F8175" t="inlineStr">
        <is>
          <t>Hà Nội</t>
        </is>
      </c>
      <c r="G8175" t="inlineStr">
        <is>
          <t>Nhân viên</t>
        </is>
      </c>
      <c r="H8175" t="inlineStr">
        <is>
          <t>06/03/2026</t>
        </is>
      </c>
      <c r="I8175" t="inlineStr">
        <is>
          <t>05/04/2026</t>
        </is>
      </c>
      <c r="J8175" t="inlineStr">
        <is>
          <t>17/03/2026</t>
        </is>
      </c>
      <c r="K8175" t="inlineStr">
        <is>
          <t>N/A</t>
        </is>
      </c>
      <c r="L8175" t="inlineStr">
        <is>
          <t>Thanh Toán Quốc Tế, Tài Chính Kế Toán, Kế Toán Tổng Hợp, Kế Toán Thuế, Kế Toán Nội Bộ</t>
        </is>
      </c>
      <c r="M8175" t="inlineStr">
        <is>
          <t>Healthcare Plan, Paid Leave, Others</t>
        </is>
      </c>
      <c r="N8175" s="8">
        <f>HYPERLINK("https://www.vietnamworks.com/ke-toan-tong-hop--2019606-jv","Xem chi tiết")</f>
        <v/>
      </c>
    </row>
    <row r="8176">
      <c r="B8176" s="9" t="n">
        <v>8174</v>
      </c>
      <c r="C8176" s="10" t="inlineStr">
        <is>
          <t>[ Tuyển Gấp] Thủ Kho</t>
        </is>
      </c>
      <c r="D8176" s="10" t="inlineStr">
        <is>
          <t>Công Ty TNHH Facility Hà Nội</t>
        </is>
      </c>
      <c r="E8176" s="10" t="inlineStr">
        <is>
          <t>9tr-15tr ₫/tháng</t>
        </is>
      </c>
      <c r="F8176" s="10" t="inlineStr">
        <is>
          <t>Hưng Yên</t>
        </is>
      </c>
      <c r="G8176" s="10" t="inlineStr">
        <is>
          <t>Nhân viên</t>
        </is>
      </c>
      <c r="H8176" s="10" t="inlineStr">
        <is>
          <t>06/03/2026</t>
        </is>
      </c>
      <c r="I8176" s="10" t="inlineStr">
        <is>
          <t>05/04/2026</t>
        </is>
      </c>
      <c r="J8176" s="10" t="inlineStr">
        <is>
          <t>17/03/2026</t>
        </is>
      </c>
      <c r="K8176" s="10" t="inlineStr">
        <is>
          <t>N/A</t>
        </is>
      </c>
      <c r="L8176" s="10" t="inlineStr">
        <is>
          <t>Quản Lý Kho, Kế Toán, Thống Kê, Logistics, Có Óc Tổ Chức</t>
        </is>
      </c>
      <c r="M8176" s="10" t="inlineStr">
        <is>
          <t>Bonus, Healthcare Plan, Paid Leave, Team Activities, Canteen, Others</t>
        </is>
      </c>
      <c r="N8176" s="11">
        <f>HYPERLINK("https://www.vietnamworks.com/tuyen-gap-thu-kho--2019601-jv","Xem chi tiết")</f>
        <v/>
      </c>
      <c r="O8176" s="10" t="n"/>
    </row>
    <row r="8177">
      <c r="B8177" s="7" t="n">
        <v>8175</v>
      </c>
      <c r="C8177" t="inlineStr">
        <is>
          <t>Chuyên Viên Vận Hành Kênh Thương Mại Điện Tử - E-Commerce (Lương Upto 18Tr)</t>
        </is>
      </c>
      <c r="D8177" t="inlineStr">
        <is>
          <t>Công Ty TNHH Thương Mại Vạn An</t>
        </is>
      </c>
      <c r="E8177" t="inlineStr">
        <is>
          <t>Tới 18tr ₫/tháng</t>
        </is>
      </c>
      <c r="F8177" t="inlineStr">
        <is>
          <t>Hà Nội</t>
        </is>
      </c>
      <c r="G8177" t="inlineStr">
        <is>
          <t>Nhân viên</t>
        </is>
      </c>
      <c r="H8177" t="inlineStr">
        <is>
          <t>06/03/2026</t>
        </is>
      </c>
      <c r="I8177" t="inlineStr">
        <is>
          <t>05/04/2026</t>
        </is>
      </c>
      <c r="J8177" t="inlineStr">
        <is>
          <t>17/03/2026</t>
        </is>
      </c>
      <c r="K8177" t="inlineStr">
        <is>
          <t>N/A</t>
        </is>
      </c>
      <c r="L8177" t="inlineStr">
        <is>
          <t>Vận Hành Sàn TMĐT, Shopee Ads, Tiktok Shop, Kinh Doanh Online, Quản Lý Đội Nhóm</t>
        </is>
      </c>
      <c r="M8177" t="inlineStr">
        <is>
          <t>Bonus, Healthcare Plan, Others</t>
        </is>
      </c>
      <c r="N8177" s="8">
        <f>HYPERLINK("https://www.vietnamworks.com/chuyen-vien-van-hanh-kenh-thuong-mai-dien-tu-e-commerce-luong-upto-18tr-2019608-jv","Xem chi tiết")</f>
        <v/>
      </c>
    </row>
    <row r="8178">
      <c r="B8178" s="9" t="n">
        <v>8176</v>
      </c>
      <c r="C8178" s="10" t="inlineStr">
        <is>
          <t>Chuyên Viên Phụ Trách Nhà Thầu, Tổ Đội (Mảng M&amp;E) (Phỏng Vấn Đi Làm Luôn)</t>
        </is>
      </c>
      <c r="D8178" s="10" t="inlineStr">
        <is>
          <t>Công Ty CP Viễn Thông Đầu Tư Và Thương Mại Quốc Tế (Itecom JSC)</t>
        </is>
      </c>
      <c r="E8178" s="10" t="inlineStr">
        <is>
          <t>$$ 500-800 /tháng</t>
        </is>
      </c>
      <c r="F8178" s="10" t="inlineStr">
        <is>
          <t>Hà Nội</t>
        </is>
      </c>
      <c r="G8178" s="10" t="inlineStr">
        <is>
          <t>Nhân viên</t>
        </is>
      </c>
      <c r="H8178" s="10" t="inlineStr">
        <is>
          <t>06/03/2026</t>
        </is>
      </c>
      <c r="I8178" s="10" t="inlineStr">
        <is>
          <t>05/04/2026</t>
        </is>
      </c>
      <c r="J8178" s="10" t="inlineStr">
        <is>
          <t>17/03/2026</t>
        </is>
      </c>
      <c r="K8178" s="10" t="inlineStr">
        <is>
          <t>N/A</t>
        </is>
      </c>
      <c r="L8178" s="10" t="inlineStr">
        <is>
          <t>Kỹ năng đàm phán, Tìm Kiếm Nhà Thầu Thi Công, Lập Kế Hoạch, Kỹ Năng Xây Dựng Mối Quan Hệ, Chủ động</t>
        </is>
      </c>
      <c r="M8178" s="10" t="inlineStr">
        <is>
          <t>Bonus, Healthcare Plan, Others</t>
        </is>
      </c>
      <c r="N8178" s="11">
        <f>HYPERLINK("https://www.vietnamworks.com/chuyen-vien-phu-trach-nha-thau-to-doi-mang-m-e-phong-van-di-lam-luon--2019605-jv","Xem chi tiết")</f>
        <v/>
      </c>
      <c r="O8178" s="10" t="n"/>
    </row>
    <row r="8179">
      <c r="B8179" s="7" t="n">
        <v>8177</v>
      </c>
      <c r="C8179" t="inlineStr">
        <is>
          <t>Kỹ Sư Điện</t>
        </is>
      </c>
      <c r="D8179" t="inlineStr">
        <is>
          <t>CÔNG TY CỔ PHẦN HỆ THỐNG KỸ THUẬT NĂNG LƯỢNG</t>
        </is>
      </c>
      <c r="E8179" t="inlineStr">
        <is>
          <t>10tr-30tr ₫/tháng</t>
        </is>
      </c>
      <c r="F8179" t="inlineStr">
        <is>
          <t>Hà Nội</t>
        </is>
      </c>
      <c r="G8179" t="inlineStr">
        <is>
          <t>Nhân viên</t>
        </is>
      </c>
      <c r="H8179" t="inlineStr">
        <is>
          <t>06/03/2026</t>
        </is>
      </c>
      <c r="I8179" t="inlineStr">
        <is>
          <t>05/04/2026</t>
        </is>
      </c>
      <c r="J8179" t="inlineStr">
        <is>
          <t>17/03/2026</t>
        </is>
      </c>
      <c r="K8179" t="inlineStr">
        <is>
          <t>N/A</t>
        </is>
      </c>
      <c r="L8179" t="inlineStr">
        <is>
          <t>Hệ Thống Điện, Tự Động Hóa, SCADA, AutoCAD, Tiếng Anh</t>
        </is>
      </c>
      <c r="M8179" t="inlineStr">
        <is>
          <t>Bonus, Healthcare Plan, Training</t>
        </is>
      </c>
      <c r="N8179" s="8">
        <f>HYPERLINK("https://www.vietnamworks.com/ky-su-djien-2019609-jv","Xem chi tiết")</f>
        <v/>
      </c>
    </row>
    <row r="8180">
      <c r="B8180" s="9" t="n">
        <v>8178</v>
      </c>
      <c r="C8180" s="10" t="inlineStr">
        <is>
          <t>General Accountant</t>
        </is>
      </c>
      <c r="D8180" s="10" t="inlineStr">
        <is>
          <t>CÔNG TY TNHH INCORP VIỆT NAM</t>
        </is>
      </c>
      <c r="E8180" s="10" t="inlineStr">
        <is>
          <t>Thương lượng</t>
        </is>
      </c>
      <c r="F8180" s="10" t="inlineStr">
        <is>
          <t>Hồ Chí Minh</t>
        </is>
      </c>
      <c r="G8180" s="10" t="inlineStr">
        <is>
          <t>Nhân viên</t>
        </is>
      </c>
      <c r="H8180" s="10" t="inlineStr">
        <is>
          <t>06/03/2026</t>
        </is>
      </c>
      <c r="I8180" s="10" t="inlineStr">
        <is>
          <t>05/04/2026</t>
        </is>
      </c>
      <c r="J8180" s="10" t="inlineStr">
        <is>
          <t>17/03/2026</t>
        </is>
      </c>
      <c r="K8180" s="10" t="inlineStr">
        <is>
          <t>N/A</t>
        </is>
      </c>
      <c r="L8180" s="10" t="inlineStr">
        <is>
          <t>Bookkeeping, Financial Analysis, Misa software, Teamwork</t>
        </is>
      </c>
      <c r="M8180" s="10" t="inlineStr">
        <is>
          <t>Bonus, Healthcare Plan, Paid Leave, Others</t>
        </is>
      </c>
      <c r="N8180" s="11">
        <f>HYPERLINK("https://www.vietnamworks.com/general-accountant-2019612-jv","Xem chi tiết")</f>
        <v/>
      </c>
      <c r="O8180" s="10" t="n"/>
    </row>
    <row r="8181">
      <c r="B8181" s="7" t="n">
        <v>8179</v>
      </c>
      <c r="C8181" t="inlineStr">
        <is>
          <t>Senior Accountant (Inventory/costing)</t>
        </is>
      </c>
      <c r="D8181" t="inlineStr">
        <is>
          <t>Asphalt Distribution Company Limited (ADCo)</t>
        </is>
      </c>
      <c r="E8181" t="inlineStr">
        <is>
          <t>Thương lượng</t>
        </is>
      </c>
      <c r="F8181" t="inlineStr">
        <is>
          <t>Hà Nội</t>
        </is>
      </c>
      <c r="G8181" t="inlineStr">
        <is>
          <t>Nhân viên</t>
        </is>
      </c>
      <c r="H8181" t="inlineStr">
        <is>
          <t>06/03/2026</t>
        </is>
      </c>
      <c r="I8181" t="inlineStr">
        <is>
          <t>05/04/2026</t>
        </is>
      </c>
      <c r="J8181" t="inlineStr">
        <is>
          <t>17/03/2026</t>
        </is>
      </c>
      <c r="K8181" t="inlineStr">
        <is>
          <t>N/A</t>
        </is>
      </c>
      <c r="L8181" t="inlineStr">
        <is>
          <t>Costing Accounting, Inventory Accounting, General Accountant, General accounting /kế toán tổng hợp</t>
        </is>
      </c>
      <c r="M8181" t="inlineStr">
        <is>
          <t>Bonus, Healthcare Plan, Awards</t>
        </is>
      </c>
      <c r="N8181" s="8">
        <f>HYPERLINK("https://www.vietnamworks.com/senior-accountant-inventory-costing-2019613-jv","Xem chi tiết")</f>
        <v/>
      </c>
    </row>
    <row r="8182">
      <c r="B8182" s="9" t="n">
        <v>8180</v>
      </c>
      <c r="C8182" s="10" t="inlineStr">
        <is>
          <t>[ Urgent] Mechanical Design Engineer</t>
        </is>
      </c>
      <c r="D8182" s="10" t="inlineStr">
        <is>
          <t>Công Ty TNHH Facility Hà Nội</t>
        </is>
      </c>
      <c r="E8182" s="10" t="inlineStr">
        <is>
          <t>$$ 500-800 /tháng</t>
        </is>
      </c>
      <c r="F8182" s="10" t="inlineStr">
        <is>
          <t>Hưng Yên</t>
        </is>
      </c>
      <c r="G8182" s="10" t="inlineStr">
        <is>
          <t>Mới Tốt Nghiệp</t>
        </is>
      </c>
      <c r="H8182" s="10" t="inlineStr">
        <is>
          <t>06/03/2026</t>
        </is>
      </c>
      <c r="I8182" s="10" t="inlineStr">
        <is>
          <t>05/04/2026</t>
        </is>
      </c>
      <c r="J8182" s="10" t="inlineStr">
        <is>
          <t>17/03/2026</t>
        </is>
      </c>
      <c r="K8182" s="10" t="inlineStr">
        <is>
          <t>N/A</t>
        </is>
      </c>
      <c r="L8182" s="10" t="inlineStr">
        <is>
          <t>Mechanical Design, CAD Software, 3D Software Knowledge, AutoCAD 2D, Japanese Speaking</t>
        </is>
      </c>
      <c r="M8182" s="10" t="inlineStr">
        <is>
          <t>Bonus, Healthcare Plan, Paid Leave, Training</t>
        </is>
      </c>
      <c r="N8182" s="11">
        <f>HYPERLINK("https://www.vietnamworks.com/urgent-mechanical-design-engineer--2019604-jv","Xem chi tiết")</f>
        <v/>
      </c>
      <c r="O8182" s="10" t="n"/>
    </row>
    <row r="8183">
      <c r="B8183" s="7" t="n">
        <v>8181</v>
      </c>
      <c r="C8183" t="inlineStr">
        <is>
          <t>Chuyên Viên Kiểm Soát Tồn Kho</t>
        </is>
      </c>
      <c r="D8183" t="inlineStr">
        <is>
          <t>CÔNG TY CỔ PHẦN GỖ AN CƯỜNG</t>
        </is>
      </c>
      <c r="E8183" t="inlineStr">
        <is>
          <t>20tr-25tr ₫/tháng</t>
        </is>
      </c>
      <c r="F8183" t="inlineStr">
        <is>
          <t>Hồ Chí Minh</t>
        </is>
      </c>
      <c r="G8183" t="inlineStr">
        <is>
          <t>Nhân viên</t>
        </is>
      </c>
      <c r="H8183" t="inlineStr">
        <is>
          <t>06/03/2026</t>
        </is>
      </c>
      <c r="I8183" t="inlineStr">
        <is>
          <t>05/04/2026</t>
        </is>
      </c>
      <c r="J8183" t="inlineStr">
        <is>
          <t>17/03/2026</t>
        </is>
      </c>
      <c r="K8183" t="inlineStr">
        <is>
          <t>N/A</t>
        </is>
      </c>
      <c r="L8183" t="inlineStr">
        <is>
          <t>Inventory, Supply Chain, Logistics &amp; Warehouse, Warehouse Management, Quản Lý Kho</t>
        </is>
      </c>
      <c r="M8183" t="inlineStr">
        <is>
          <t>Bonus, Healthcare Plan, Paid Leave, Others</t>
        </is>
      </c>
      <c r="N8183" s="8">
        <f>HYPERLINK("https://www.vietnamworks.com/chuyen-vien-kiem-soat-ton-kho-2019597-jv","Xem chi tiết")</f>
        <v/>
      </c>
    </row>
    <row r="8184">
      <c r="B8184" s="9" t="n">
        <v>8182</v>
      </c>
      <c r="C8184" s="10" t="inlineStr">
        <is>
          <t>Chuyên Viên Tư Vấn Đầu Tư Khách Hàng</t>
        </is>
      </c>
      <c r="D8184" s="10" t="inlineStr">
        <is>
          <t>CÔNG TY CỔ PHẦN CHỨNG KHOÁN AGRIBANK-CHI NHÁNH MIỀN NAM</t>
        </is>
      </c>
      <c r="E8184" s="10" t="inlineStr">
        <is>
          <t>Thương lượng</t>
        </is>
      </c>
      <c r="F8184" s="10" t="inlineStr">
        <is>
          <t>Hồ Chí Minh</t>
        </is>
      </c>
      <c r="G8184" s="10" t="inlineStr">
        <is>
          <t>Nhân viên</t>
        </is>
      </c>
      <c r="H8184" s="10" t="inlineStr">
        <is>
          <t>06/03/2026</t>
        </is>
      </c>
      <c r="I8184" s="10" t="inlineStr">
        <is>
          <t>05/04/2026</t>
        </is>
      </c>
      <c r="J8184" s="10" t="inlineStr">
        <is>
          <t>17/03/2026</t>
        </is>
      </c>
      <c r="K8184" s="10" t="inlineStr">
        <is>
          <t>N/A</t>
        </is>
      </c>
      <c r="L8184" s="10" t="inlineStr">
        <is>
          <t>Tư Vấn Đầu Tư, Chứng Khoán, Tiếng Anh, Tìm Kiếm Khách Hàng, Tư Vấn Chứng Khoán</t>
        </is>
      </c>
      <c r="M8184" s="10" t="inlineStr">
        <is>
          <t>Bonus, Healthcare Plan, Training, Awards, Others</t>
        </is>
      </c>
      <c r="N8184" s="11">
        <f>HYPERLINK("https://www.vietnamworks.com/chuyen-vien-tu-van-djau-tu-khach-hang-2019615-jv","Xem chi tiết")</f>
        <v/>
      </c>
      <c r="O8184" s="10" t="n"/>
    </row>
    <row r="8185">
      <c r="B8185" s="7" t="n">
        <v>8183</v>
      </c>
      <c r="C8185" t="inlineStr">
        <is>
          <t>Affiliate Marketing Associate (Tiếng Trung Từ Hsk5)</t>
        </is>
      </c>
      <c r="D8185" t="inlineStr">
        <is>
          <t>CÔNG TY TNHH LEAFLINE VIETNAM</t>
        </is>
      </c>
      <c r="E8185" t="inlineStr">
        <is>
          <t>10tr-12tr ₫/tháng</t>
        </is>
      </c>
      <c r="F8185" t="inlineStr">
        <is>
          <t>Hồ Chí Minh</t>
        </is>
      </c>
      <c r="G8185" t="inlineStr">
        <is>
          <t>Nhân viên</t>
        </is>
      </c>
      <c r="H8185" t="inlineStr">
        <is>
          <t>06/03/2026</t>
        </is>
      </c>
      <c r="I8185" t="inlineStr">
        <is>
          <t>05/04/2026</t>
        </is>
      </c>
      <c r="J8185" t="inlineStr">
        <is>
          <t>17/03/2026</t>
        </is>
      </c>
      <c r="K8185" t="inlineStr">
        <is>
          <t>N/A</t>
        </is>
      </c>
      <c r="L8185" t="inlineStr">
        <is>
          <t>Chinese, Affiliate, KOLs/KOCs, Tiếp thị liên kết, Tiếp thị liên kết (Affiliate Marketing)</t>
        </is>
      </c>
      <c r="M8185" t="inlineStr">
        <is>
          <t>Bonus, Training, Library, Team Activities</t>
        </is>
      </c>
      <c r="N8185" s="8">
        <f>HYPERLINK("https://www.vietnamworks.com/affiliate-marketing-associate-tieng-trung-tu-hsk5-2019611-jv","Xem chi tiết")</f>
        <v/>
      </c>
    </row>
    <row r="8186">
      <c r="B8186" s="9" t="n">
        <v>8184</v>
      </c>
      <c r="C8186" s="10" t="inlineStr">
        <is>
          <t>[Nữ] Trưởng Phòng Pháp Chế - Ngành Mỹ Phẩm &amp; Bán Lẻ (Upto 35 Triệu)</t>
        </is>
      </c>
      <c r="D8186" s="10" t="inlineStr">
        <is>
          <t>Công Ty Cổ Phần Mỹ Phẩm Quốc Tế Thùy Dung</t>
        </is>
      </c>
      <c r="E8186" s="10" t="inlineStr">
        <is>
          <t>Tới 35tr ₫/tháng</t>
        </is>
      </c>
      <c r="F8186" s="10" t="inlineStr">
        <is>
          <t>Hà Nội</t>
        </is>
      </c>
      <c r="G8186" s="10" t="inlineStr">
        <is>
          <t>Trưởng phòng</t>
        </is>
      </c>
      <c r="H8186" s="10" t="inlineStr">
        <is>
          <t>06/03/2026</t>
        </is>
      </c>
      <c r="I8186" s="10" t="inlineStr">
        <is>
          <t>05/04/2026</t>
        </is>
      </c>
      <c r="J8186" s="10" t="inlineStr">
        <is>
          <t>17/03/2026</t>
        </is>
      </c>
      <c r="K8186" s="10" t="inlineStr">
        <is>
          <t>N/A</t>
        </is>
      </c>
      <c r="L8186" s="10" t="inlineStr">
        <is>
          <t>Import Licensing, Commercial Law</t>
        </is>
      </c>
      <c r="M8186" s="10" t="inlineStr">
        <is>
          <t>Bonus, Training, Team Activities</t>
        </is>
      </c>
      <c r="N8186" s="11">
        <f>HYPERLINK("https://www.vietnamworks.com/nu-truong-phong-phap-che-nganh-my-pham-ban-le-upto-35-trieu-2019614-jv","Xem chi tiết")</f>
        <v/>
      </c>
      <c r="O8186" s="10" t="n"/>
    </row>
    <row r="8187">
      <c r="B8187" s="7" t="n">
        <v>8185</v>
      </c>
      <c r="C8187" t="inlineStr">
        <is>
          <t>Career Service Officer</t>
        </is>
      </c>
      <c r="D8187" t="inlineStr">
        <is>
          <t>VGU - Vietnamese German University</t>
        </is>
      </c>
      <c r="E8187" t="inlineStr">
        <is>
          <t>$$ 750-1,000 /tháng</t>
        </is>
      </c>
      <c r="F8187" t="inlineStr">
        <is>
          <t>Bình Dương, Hồ Chí Minh</t>
        </is>
      </c>
      <c r="G8187" t="inlineStr">
        <is>
          <t>Nhân viên</t>
        </is>
      </c>
      <c r="H8187" t="inlineStr">
        <is>
          <t>06/03/2026</t>
        </is>
      </c>
      <c r="I8187" t="inlineStr">
        <is>
          <t>05/04/2026</t>
        </is>
      </c>
      <c r="J8187" t="inlineStr">
        <is>
          <t>17/03/2026</t>
        </is>
      </c>
      <c r="K8187" t="inlineStr">
        <is>
          <t>N/A</t>
        </is>
      </c>
      <c r="L8187" t="inlineStr">
        <is>
          <t>Education Support, Student Support</t>
        </is>
      </c>
      <c r="M8187" t="inlineStr">
        <is>
          <t>Bonus, Laptop, Transportation</t>
        </is>
      </c>
      <c r="N8187" s="8">
        <f>HYPERLINK("https://www.vietnamworks.com/career-service-officer--2019603-jv","Xem chi tiết")</f>
        <v/>
      </c>
    </row>
    <row r="8188">
      <c r="B8188" s="9" t="n">
        <v>8186</v>
      </c>
      <c r="C8188" s="10" t="inlineStr">
        <is>
          <t>Chuyên Gia Chính Sách Tín Dụng và Digital Risk (Phục Vụ Triển Khai Dự Án Clos)</t>
        </is>
      </c>
      <c r="D8188" s="10" t="inlineStr">
        <is>
          <t>Ngân Hàng TMCP Quốc Dân ( NCB )</t>
        </is>
      </c>
      <c r="E8188" s="10" t="inlineStr">
        <is>
          <t>Thương lượng</t>
        </is>
      </c>
      <c r="F8188" s="10" t="inlineStr">
        <is>
          <t>Hà Nội</t>
        </is>
      </c>
      <c r="G8188" s="10" t="inlineStr">
        <is>
          <t>Nhân viên</t>
        </is>
      </c>
      <c r="H8188" s="10" t="inlineStr">
        <is>
          <t>06/03/2026</t>
        </is>
      </c>
      <c r="I8188" s="10" t="inlineStr">
        <is>
          <t>05/04/2026</t>
        </is>
      </c>
      <c r="J8188" s="10" t="inlineStr">
        <is>
          <t>17/03/2026</t>
        </is>
      </c>
      <c r="K8188" s="10" t="inlineStr">
        <is>
          <t>N/A</t>
        </is>
      </c>
      <c r="L8188" s="10" t="inlineStr">
        <is>
          <t>Hệ Thống LOS, Core Banking, Tín Dụng Doanh Nghiệp, Trade Finance, Quản Lý Rủi Ro Tín Dụng</t>
        </is>
      </c>
      <c r="M8188" s="10" t="inlineStr">
        <is>
          <t>Bonus, Training, Awards</t>
        </is>
      </c>
      <c r="N8188" s="11">
        <f>HYPERLINK("https://www.vietnamworks.com/chuyen-gia-chinh-sach-tin-dung-va-digital-risk-phuc-vu-trien-khai-du-an-clos-2019620-jv","Xem chi tiết")</f>
        <v/>
      </c>
      <c r="O8188" s="10" t="n"/>
    </row>
    <row r="8189">
      <c r="B8189" s="7" t="n">
        <v>8187</v>
      </c>
      <c r="C8189" t="inlineStr">
        <is>
          <t>Kỹ Sư Kinh Tế Xây Dựng / QS Engineer / Cost Engineer (20Tr - 25Tr)</t>
        </is>
      </c>
      <c r="D8189" t="inlineStr">
        <is>
          <t>Công ty Cổ phần Thiết bị Mỹ Kim</t>
        </is>
      </c>
      <c r="E8189" t="inlineStr">
        <is>
          <t>20tr-25tr ₫/tháng</t>
        </is>
      </c>
      <c r="F8189" t="inlineStr">
        <is>
          <t>Hà Nội</t>
        </is>
      </c>
      <c r="G8189" t="inlineStr">
        <is>
          <t>Nhân viên</t>
        </is>
      </c>
      <c r="H8189" t="inlineStr">
        <is>
          <t>06/03/2026</t>
        </is>
      </c>
      <c r="I8189" t="inlineStr">
        <is>
          <t>05/04/2026</t>
        </is>
      </c>
      <c r="J8189" t="inlineStr">
        <is>
          <t>17/03/2026</t>
        </is>
      </c>
      <c r="K8189" t="inlineStr">
        <is>
          <t>N/A</t>
        </is>
      </c>
      <c r="L8189" t="inlineStr">
        <is>
          <t>Bóc Tách Khối Lượng, Thanh quyết toán công trình, Dự Toán Công Trình (dùng G8), Kiểm Soát Chi Phí, Hồ Sơ Dự Thầu</t>
        </is>
      </c>
      <c r="M8189" t="inlineStr">
        <is>
          <t>Bonus, Healthcare Plan, Team Activities</t>
        </is>
      </c>
      <c r="N8189" s="8">
        <f>HYPERLINK("https://www.vietnamworks.com/ky-su-kinh-te-xay-dung-qs-engineer-cost-engineer-20tr-25tr-2019619-jv","Xem chi tiết")</f>
        <v/>
      </c>
    </row>
    <row r="8190">
      <c r="B8190" s="9" t="n">
        <v>8188</v>
      </c>
      <c r="C8190" s="10" t="inlineStr">
        <is>
          <t>Chuyên Viên Chính/chuyên Viên Cấp Cao/chuyên Gia Chính Sách Tín Dụng và Digital Risk (Phục Vụ Triển Khai Dự Án RLOS) - Khối Quản Trị Rủi Ro</t>
        </is>
      </c>
      <c r="D8190" s="10" t="inlineStr">
        <is>
          <t>Ngân Hàng TMCP Quốc Dân ( NCB )</t>
        </is>
      </c>
      <c r="E8190" s="10" t="inlineStr">
        <is>
          <t>Thương lượng</t>
        </is>
      </c>
      <c r="F8190" s="10" t="inlineStr">
        <is>
          <t>Hà Nội</t>
        </is>
      </c>
      <c r="G8190" s="10" t="inlineStr">
        <is>
          <t>Nhân viên</t>
        </is>
      </c>
      <c r="H8190" s="10" t="inlineStr">
        <is>
          <t>06/03/2026</t>
        </is>
      </c>
      <c r="I8190" s="10" t="inlineStr">
        <is>
          <t>05/04/2026</t>
        </is>
      </c>
      <c r="J8190" s="10" t="inlineStr">
        <is>
          <t>17/03/2026</t>
        </is>
      </c>
      <c r="K8190" s="10" t="inlineStr">
        <is>
          <t>N/A</t>
        </is>
      </c>
      <c r="L8190" s="10" t="inlineStr">
        <is>
          <t>Credit Policy, Phân Tích Rủi Ro, Quản Trị Rủi Ro, Quản Lý Rủi Ro Tín Dụng, Tín Dụng Cá Nhân</t>
        </is>
      </c>
      <c r="M8190" s="10" t="inlineStr">
        <is>
          <t>Bonus, Training, Awards</t>
        </is>
      </c>
      <c r="N8190" s="11">
        <f>HYPERLINK("https://www.vietnamworks.com/chuyen-vien-chinh-chuyen-vien-cap-cao-chuyen-gia-chinh-sach-tin-dung-va-digital-risk-phuc-vu-trien-khai-du-an-rlos-khoi-quan-tri-rui-ro-2019621-jv","Xem chi tiết")</f>
        <v/>
      </c>
      <c r="O8190" s="10" t="n"/>
    </row>
    <row r="8191">
      <c r="B8191" s="7" t="n">
        <v>8189</v>
      </c>
      <c r="C8191" t="inlineStr">
        <is>
          <t>Marketing Executive (B2B – Growth &amp; Content) - HVAC &amp; Cấp Thoát Nước</t>
        </is>
      </c>
      <c r="D8191" t="inlineStr">
        <is>
          <t>Công Ty Cổ Phần Công Nghệ Combitek Việt Nam</t>
        </is>
      </c>
      <c r="E8191" t="inlineStr">
        <is>
          <t>Tới $ 800 /tháng</t>
        </is>
      </c>
      <c r="F8191" t="inlineStr">
        <is>
          <t>Hà Nội</t>
        </is>
      </c>
      <c r="G8191" t="inlineStr">
        <is>
          <t>Nhân viên</t>
        </is>
      </c>
      <c r="H8191" t="inlineStr">
        <is>
          <t>06/03/2026</t>
        </is>
      </c>
      <c r="I8191" t="inlineStr">
        <is>
          <t>05/04/2026</t>
        </is>
      </c>
      <c r="J8191" t="inlineStr">
        <is>
          <t>17/03/2026</t>
        </is>
      </c>
      <c r="K8191" t="inlineStr">
        <is>
          <t>N/A</t>
        </is>
      </c>
      <c r="L8191" t="inlineStr">
        <is>
          <t>Bán hàng, Bán Hàng Kỹ Thuật, Sales, Tìm Kiếm Khách Hàng, Tư Vấn Giải Pháp</t>
        </is>
      </c>
      <c r="M8191" t="inlineStr">
        <is>
          <t>Bonus, Healthcare Plan, Paid Leave, Training, Awards, Team Activities, Transportation, Others</t>
        </is>
      </c>
      <c r="N8191" s="8">
        <f>HYPERLINK("https://www.vietnamworks.com/marketing-executive-b2b-growth-and-content-hvac-and-cap-thoat-nuoc-2019617-jv","Xem chi tiết")</f>
        <v/>
      </c>
    </row>
    <row r="8192">
      <c r="B8192" s="9" t="n">
        <v>8190</v>
      </c>
      <c r="C8192" s="10" t="inlineStr">
        <is>
          <t>Senior Digital Marketing Leader (Upto 30 Milions + KPI)</t>
        </is>
      </c>
      <c r="D8192" s="10" t="inlineStr">
        <is>
          <t>Cty TNHH Hợp Tác Quốc Tế Và Đào Tạo Eduline</t>
        </is>
      </c>
      <c r="E8192" s="10" t="inlineStr">
        <is>
          <t>Tới 30tr ₫/tháng</t>
        </is>
      </c>
      <c r="F8192" s="10" t="inlineStr">
        <is>
          <t>Hồ Chí Minh, Hà Nội</t>
        </is>
      </c>
      <c r="G8192" s="10" t="inlineStr">
        <is>
          <t>Trưởng phòng</t>
        </is>
      </c>
      <c r="H8192" s="10" t="inlineStr">
        <is>
          <t>06/03/2026</t>
        </is>
      </c>
      <c r="I8192" s="10" t="inlineStr">
        <is>
          <t>05/04/2026</t>
        </is>
      </c>
      <c r="J8192" s="10" t="inlineStr">
        <is>
          <t>17/03/2026</t>
        </is>
      </c>
      <c r="K8192" s="10" t="inlineStr">
        <is>
          <t>N/A</t>
        </is>
      </c>
      <c r="L8192" s="10" t="inlineStr">
        <is>
          <t>Budget Control, Data Analytics, English, Google Analytics, Marketing Planning</t>
        </is>
      </c>
      <c r="M8192" s="10" t="inlineStr">
        <is>
          <t>Bonus, Training, Canteen, Others</t>
        </is>
      </c>
      <c r="N8192" s="11">
        <f>HYPERLINK("https://www.vietnamworks.com/senior-digital-marketing-leader-upto-30-milions-kpi-2019622-jv","Xem chi tiết")</f>
        <v/>
      </c>
      <c r="O8192" s="10" t="n"/>
    </row>
    <row r="8193">
      <c r="B8193" s="7" t="n">
        <v>8191</v>
      </c>
      <c r="C8193" t="inlineStr">
        <is>
          <t>Electrical &amp; Automation Technician</t>
        </is>
      </c>
      <c r="D8193" t="inlineStr">
        <is>
          <t>Nestlé Vietnam LTD.</t>
        </is>
      </c>
      <c r="E8193" t="inlineStr">
        <is>
          <t>Thương lượng</t>
        </is>
      </c>
      <c r="F8193" t="inlineStr">
        <is>
          <t>Đồng Nai</t>
        </is>
      </c>
      <c r="G8193" t="inlineStr">
        <is>
          <t>Nhân viên</t>
        </is>
      </c>
      <c r="H8193" t="inlineStr">
        <is>
          <t>06/03/2026</t>
        </is>
      </c>
      <c r="I8193" t="inlineStr">
        <is>
          <t>05/04/2026</t>
        </is>
      </c>
      <c r="J8193" t="inlineStr">
        <is>
          <t>17/03/2026</t>
        </is>
      </c>
      <c r="K8193" t="inlineStr">
        <is>
          <t>N/A</t>
        </is>
      </c>
      <c r="L8193" t="inlineStr">
        <is>
          <t>Calibration Management, Technical Documentation, Calibration, Compliance control, Troubleshooting</t>
        </is>
      </c>
      <c r="M8193" t="inlineStr">
        <is>
          <t>Bonus, Healthcare Plan, Transportation</t>
        </is>
      </c>
      <c r="N8193" s="8">
        <f>HYPERLINK("https://www.vietnamworks.com/electrical-automation-technician--2019631-jv","Xem chi tiết")</f>
        <v/>
      </c>
    </row>
    <row r="8194">
      <c r="B8194" s="9" t="n">
        <v>8192</v>
      </c>
      <c r="C8194" s="10" t="inlineStr">
        <is>
          <t>Chuyên Viên Kế Hoạch Quản Lý Chuỗi Cung Ứng (Plan Team)</t>
        </is>
      </c>
      <c r="D8194" s="10" t="inlineStr">
        <is>
          <t>Công ty TNHH CRESYN Hà Nội - Nhà máy Bắc Ninh</t>
        </is>
      </c>
      <c r="E8194" s="10" t="inlineStr">
        <is>
          <t>Thương lượng</t>
        </is>
      </c>
      <c r="F8194" s="10" t="inlineStr">
        <is>
          <t>Bắc Ninh</t>
        </is>
      </c>
      <c r="G8194" s="10" t="inlineStr">
        <is>
          <t>Nhân viên</t>
        </is>
      </c>
      <c r="H8194" s="10" t="inlineStr">
        <is>
          <t>06/03/2026</t>
        </is>
      </c>
      <c r="I8194" s="10" t="inlineStr">
        <is>
          <t>05/04/2026</t>
        </is>
      </c>
      <c r="J8194" s="10" t="inlineStr">
        <is>
          <t>17/03/2026</t>
        </is>
      </c>
      <c r="K8194" s="10" t="inlineStr">
        <is>
          <t>N/A</t>
        </is>
      </c>
      <c r="L8194" s="10" t="inlineStr">
        <is>
          <t>Thiết Kế Cơ Khí, Mechanical Engineering, Mechanical Design, AutoCAD, SolidWorks</t>
        </is>
      </c>
      <c r="M8194" s="10" t="inlineStr">
        <is>
          <t>Bonus, Healthcare Plan, Others</t>
        </is>
      </c>
      <c r="N8194" s="11">
        <f>HYPERLINK("https://www.vietnamworks.com/chuyen-vien-ke-hoach-quan-ly-chuoi-cung-ung-plan-team-2019639-jv","Xem chi tiết")</f>
        <v/>
      </c>
      <c r="O8194" s="10" t="n"/>
    </row>
    <row r="8195">
      <c r="B8195" s="7" t="n">
        <v>8193</v>
      </c>
      <c r="C8195" t="inlineStr">
        <is>
          <t>Content Marketing Executive</t>
        </is>
      </c>
      <c r="D8195" t="inlineStr">
        <is>
          <t>Rich Products Vietnam</t>
        </is>
      </c>
      <c r="E8195" t="inlineStr">
        <is>
          <t>Thương lượng</t>
        </is>
      </c>
      <c r="F8195" t="inlineStr">
        <is>
          <t>Hồ Chí Minh</t>
        </is>
      </c>
      <c r="G8195" t="inlineStr">
        <is>
          <t>Nhân viên</t>
        </is>
      </c>
      <c r="H8195" t="inlineStr">
        <is>
          <t>06/03/2026</t>
        </is>
      </c>
      <c r="I8195" t="inlineStr">
        <is>
          <t>05/04/2026</t>
        </is>
      </c>
      <c r="J8195" t="inlineStr">
        <is>
          <t>17/03/2026</t>
        </is>
      </c>
      <c r="K8195" t="inlineStr">
        <is>
          <t>N/A</t>
        </is>
      </c>
      <c r="L8195" t="inlineStr">
        <is>
          <t>Content Strategy, Creativity, Good written skill, Publishing Technology, SEO knowledge</t>
        </is>
      </c>
      <c r="M8195" t="inlineStr">
        <is>
          <t>Bonus, Laptop, Team Activities</t>
        </is>
      </c>
      <c r="N8195" s="8">
        <f>HYPERLINK("https://www.vietnamworks.com/content-marketing-executive-2019641-jv","Xem chi tiết")</f>
        <v/>
      </c>
    </row>
    <row r="8196">
      <c r="B8196" s="9" t="n">
        <v>8194</v>
      </c>
      <c r="C8196" s="10" t="inlineStr">
        <is>
          <t>03 Bác Sĩ Đông Y, 02 Bác Sĩ Đa Khoa (Không Giới Hạn Độ Tuổi)</t>
        </is>
      </c>
      <c r="D8196" s="10" t="inlineStr">
        <is>
          <t>Trường Quản trị và Kinh doanh, ĐHQGHN</t>
        </is>
      </c>
      <c r="E8196" s="10" t="inlineStr">
        <is>
          <t>20tr-25tr ₫/tháng</t>
        </is>
      </c>
      <c r="F8196" s="10" t="inlineStr">
        <is>
          <t>Hà Nội</t>
        </is>
      </c>
      <c r="G8196" s="10" t="inlineStr">
        <is>
          <t>Nhân viên</t>
        </is>
      </c>
      <c r="H8196" s="10" t="inlineStr">
        <is>
          <t>06/03/2026</t>
        </is>
      </c>
      <c r="I8196" s="10" t="inlineStr">
        <is>
          <t>05/04/2026</t>
        </is>
      </c>
      <c r="J8196" s="10" t="inlineStr">
        <is>
          <t>17/03/2026</t>
        </is>
      </c>
      <c r="K8196" s="10" t="inlineStr">
        <is>
          <t>N/A</t>
        </is>
      </c>
      <c r="L8196" s="10" t="inlineStr">
        <is>
          <t>Y Học Cổ Truyền, Bác Sĩ Đông Y, Y Tế Công Cộng, Bác Sĩ Đa Khoa, Giao Tiếp</t>
        </is>
      </c>
      <c r="M8196" s="10" t="inlineStr">
        <is>
          <t>Bonus, Paid Leave, Training, Others</t>
        </is>
      </c>
      <c r="N8196" s="11">
        <f>HYPERLINK("https://www.vietnamworks.com/03-bac-si-djong-y-02-bac-si-dja-khoa-khong-gioi-han-djo-tuoi-2019623-jv","Xem chi tiết")</f>
        <v/>
      </c>
      <c r="O8196" s="10" t="n"/>
    </row>
    <row r="8197">
      <c r="B8197" s="7" t="n">
        <v>8195</v>
      </c>
      <c r="C8197" t="inlineStr">
        <is>
          <t>Route to Market (Chuyên Viên Phát Triển Thị Trường) - Nha Trang Center</t>
        </is>
      </c>
      <c r="D8197" t="inlineStr">
        <is>
          <t>Orion Food Vina Co,. Ltd - Head Office</t>
        </is>
      </c>
      <c r="E8197" t="inlineStr">
        <is>
          <t>Thương lượng</t>
        </is>
      </c>
      <c r="F8197" t="inlineStr">
        <is>
          <t>Khánh Hòa</t>
        </is>
      </c>
      <c r="G8197" t="inlineStr">
        <is>
          <t>Nhân viên</t>
        </is>
      </c>
      <c r="H8197" t="inlineStr">
        <is>
          <t>06/03/2026</t>
        </is>
      </c>
      <c r="I8197" t="inlineStr">
        <is>
          <t>05/04/2026</t>
        </is>
      </c>
      <c r="J8197" t="inlineStr">
        <is>
          <t>17/03/2026</t>
        </is>
      </c>
      <c r="K8197" t="inlineStr">
        <is>
          <t>N/A</t>
        </is>
      </c>
      <c r="L8197" t="inlineStr">
        <is>
          <t>Route To Market, Sales Supervisor, Giám Sát Bán Hàng, Sales representative</t>
        </is>
      </c>
      <c r="M8197" t="inlineStr">
        <is>
          <t>Bonus, Healthcare Plan, Team Activities</t>
        </is>
      </c>
      <c r="N8197" s="8">
        <f>HYPERLINK("https://www.vietnamworks.com/route-to-market-chuyen-vien-phat-trien-thi-truong-nha-trang-center-2019629-jv","Xem chi tiết")</f>
        <v/>
      </c>
    </row>
    <row r="8198">
      <c r="B8198" s="9" t="n">
        <v>8196</v>
      </c>
      <c r="C8198" s="10" t="inlineStr">
        <is>
          <t>Kỹ Sư Dự Án Tự Động Hóa / Cơ Điện (Automation / M&amp;E) Lương 20 – 30 Triệu</t>
        </is>
      </c>
      <c r="D8198" s="10" t="inlineStr">
        <is>
          <t>Công ty Cổ phần Thiết bị Mỹ Kim</t>
        </is>
      </c>
      <c r="E8198" s="10" t="inlineStr">
        <is>
          <t>20tr-30tr ₫/tháng</t>
        </is>
      </c>
      <c r="F8198" s="10" t="inlineStr">
        <is>
          <t>Hà Nội</t>
        </is>
      </c>
      <c r="G8198" s="10" t="inlineStr">
        <is>
          <t>Nhân viên</t>
        </is>
      </c>
      <c r="H8198" s="10" t="inlineStr">
        <is>
          <t>06/03/2026</t>
        </is>
      </c>
      <c r="I8198" s="10" t="inlineStr">
        <is>
          <t>05/04/2026</t>
        </is>
      </c>
      <c r="J8198" s="10" t="inlineStr">
        <is>
          <t>17/03/2026</t>
        </is>
      </c>
      <c r="K8198" s="10" t="inlineStr">
        <is>
          <t>N/A</t>
        </is>
      </c>
      <c r="L8198" s="10" t="inlineStr">
        <is>
          <t>Điện, Cơ Điện, Điện + Điện tử, Tự Động Hóa, Cơ Khí Tự Động Hóa</t>
        </is>
      </c>
      <c r="M8198" s="10" t="inlineStr">
        <is>
          <t>Bonus, Healthcare Plan, Team Activities</t>
        </is>
      </c>
      <c r="N8198" s="11">
        <f>HYPERLINK("https://www.vietnamworks.com/ky-su-du-an-tu-dong-hoa-co-dien-automation-m-e-luong-20-30-trieu-2019625-jv","Xem chi tiết")</f>
        <v/>
      </c>
      <c r="O8198" s="10" t="n"/>
    </row>
    <row r="8199">
      <c r="B8199" s="7" t="n">
        <v>8197</v>
      </c>
      <c r="C8199" t="inlineStr">
        <is>
          <t>Nhân Viên Sourcing</t>
        </is>
      </c>
      <c r="D8199" t="inlineStr">
        <is>
          <t>VIFON</t>
        </is>
      </c>
      <c r="E8199" t="inlineStr">
        <is>
          <t>$$ 500-700 /tháng</t>
        </is>
      </c>
      <c r="F8199" t="inlineStr">
        <is>
          <t>Hồ Chí Minh</t>
        </is>
      </c>
      <c r="G8199" t="inlineStr">
        <is>
          <t>Nhân viên</t>
        </is>
      </c>
      <c r="H8199" t="inlineStr">
        <is>
          <t>06/03/2026</t>
        </is>
      </c>
      <c r="I8199" t="inlineStr">
        <is>
          <t>05/04/2026</t>
        </is>
      </c>
      <c r="J8199" t="inlineStr">
        <is>
          <t>17/03/2026</t>
        </is>
      </c>
      <c r="K8199" t="inlineStr">
        <is>
          <t>N/A</t>
        </is>
      </c>
      <c r="L8199" t="inlineStr">
        <is>
          <t>Xuất Nhập Khẩu, Thu Mua, Purchase Management, Procurement, Mua Hàng</t>
        </is>
      </c>
      <c r="M8199" t="inlineStr">
        <is>
          <t>Bonus, Healthcare Plan, Paid Leave</t>
        </is>
      </c>
      <c r="N8199" s="8">
        <f>HYPERLINK("https://www.vietnamworks.com/nhan-vien-sourcing--2019630-jv","Xem chi tiết")</f>
        <v/>
      </c>
    </row>
    <row r="8200">
      <c r="B8200" s="9" t="n">
        <v>8198</v>
      </c>
      <c r="C8200" s="10" t="inlineStr">
        <is>
          <t>Chuyên Viên Cấp Cao/chuyên Gia Kế Hoạch, Phòng Kế Hoạch và Phân Tích Tài Chính, Khối Quản Trị Tài Chính</t>
        </is>
      </c>
      <c r="D8200" s="10" t="inlineStr">
        <is>
          <t>Ngân Hàng TMCP Quốc Dân ( NCB )</t>
        </is>
      </c>
      <c r="E8200" s="10" t="inlineStr">
        <is>
          <t>Thương lượng</t>
        </is>
      </c>
      <c r="F8200" s="10" t="inlineStr">
        <is>
          <t>Hà Nội</t>
        </is>
      </c>
      <c r="G8200" s="10" t="inlineStr">
        <is>
          <t>Nhân viên</t>
        </is>
      </c>
      <c r="H8200" s="10" t="inlineStr">
        <is>
          <t>06/03/2026</t>
        </is>
      </c>
      <c r="I8200" s="10" t="inlineStr">
        <is>
          <t>05/04/2026</t>
        </is>
      </c>
      <c r="J8200" s="10" t="inlineStr">
        <is>
          <t>17/03/2026</t>
        </is>
      </c>
      <c r="K8200" s="10" t="inlineStr">
        <is>
          <t>N/A</t>
        </is>
      </c>
      <c r="L8200" s="10" t="inlineStr">
        <is>
          <t>Fp&amp;A, Budget Forecasting, Financial Modeling, Banking Finance, Data Analysis</t>
        </is>
      </c>
      <c r="M8200" s="10" t="inlineStr">
        <is>
          <t>Bonus, Training, Awards</t>
        </is>
      </c>
      <c r="N8200" s="11">
        <f>HYPERLINK("https://www.vietnamworks.com/chuyen-vien-cap-cao-chuyen-gia-ke-hoach-phong-ke-hoach-va-phan-tich-tai-chinh-khoi-quan-tri-tai-chinh-2019624-jv","Xem chi tiết")</f>
        <v/>
      </c>
      <c r="O8200" s="10" t="n"/>
    </row>
    <row r="8201">
      <c r="B8201" s="7" t="n">
        <v>8199</v>
      </c>
      <c r="C8201" t="inlineStr">
        <is>
          <t>Giảng Viên Cơ Hữu Chuyên Ngành Luật</t>
        </is>
      </c>
      <c r="D8201" t="inlineStr">
        <is>
          <t>Trường Quản trị và Kinh doanh, ĐHQGHN</t>
        </is>
      </c>
      <c r="E8201" t="inlineStr">
        <is>
          <t>30tr-45tr ₫/tháng</t>
        </is>
      </c>
      <c r="F8201" t="inlineStr">
        <is>
          <t>Hà Nội</t>
        </is>
      </c>
      <c r="G8201" t="inlineStr">
        <is>
          <t>Nhân viên</t>
        </is>
      </c>
      <c r="H8201" t="inlineStr">
        <is>
          <t>06/03/2026</t>
        </is>
      </c>
      <c r="I8201" t="inlineStr">
        <is>
          <t>05/04/2026</t>
        </is>
      </c>
      <c r="J8201" t="inlineStr">
        <is>
          <t>17/03/2026</t>
        </is>
      </c>
      <c r="K8201" t="inlineStr">
        <is>
          <t>N/A</t>
        </is>
      </c>
      <c r="L8201" t="inlineStr">
        <is>
          <t>Giảng Dạy Tiếng Anh, Nghiên Cứu Khoa Học, Giảng viên, Chuyên ngành luật, Giảng dạy luật</t>
        </is>
      </c>
      <c r="M8201" t="inlineStr">
        <is>
          <t>Bonus, Paid Leave, Training, Others</t>
        </is>
      </c>
      <c r="N8201" s="8">
        <f>HYPERLINK("https://www.vietnamworks.com/giang-vien-co-huu-chuyen-nganh-luat-2019640-jv","Xem chi tiết")</f>
        <v/>
      </c>
    </row>
    <row r="8202">
      <c r="B8202" s="9" t="n">
        <v>8200</v>
      </c>
      <c r="C8202" s="10" t="inlineStr">
        <is>
          <t>Giám Đốc Thiết Kế</t>
        </is>
      </c>
      <c r="D8202" s="10" t="inlineStr">
        <is>
          <t>Công Ty TNHH Tư Vấn Và Kinh Doanh Nhà Đạt Gia</t>
        </is>
      </c>
      <c r="E8202" s="10" t="inlineStr">
        <is>
          <t>Thương lượng</t>
        </is>
      </c>
      <c r="F8202" s="10" t="inlineStr">
        <is>
          <t>Hồ Chí Minh</t>
        </is>
      </c>
      <c r="G8202" s="10" t="inlineStr">
        <is>
          <t>Giám Đốc và Cấp Cao Hơn</t>
        </is>
      </c>
      <c r="H8202" s="10" t="inlineStr">
        <is>
          <t>06/03/2026</t>
        </is>
      </c>
      <c r="I8202" s="10" t="inlineStr">
        <is>
          <t>05/04/2026</t>
        </is>
      </c>
      <c r="J8202" s="10" t="inlineStr">
        <is>
          <t>17/03/2026</t>
        </is>
      </c>
      <c r="K8202" s="10" t="inlineStr">
        <is>
          <t>N/A</t>
        </is>
      </c>
      <c r="L8202" s="10" t="inlineStr">
        <is>
          <t>Thiết Kế Kiến Trúc, Quản Lý Dự Án, Phân Tích Chiến Lược, Kỹ năng phối hợp, Thuyết Phục</t>
        </is>
      </c>
      <c r="M8202" s="10" t="inlineStr">
        <is>
          <t>Bonus, Healthcare Plan, Team Activities, Others</t>
        </is>
      </c>
      <c r="N8202" s="11">
        <f>HYPERLINK("https://www.vietnamworks.com/giam-djoc-thiet-ke-2019627-jv","Xem chi tiết")</f>
        <v/>
      </c>
      <c r="O8202" s="10" t="n"/>
    </row>
    <row r="8203">
      <c r="B8203" s="7" t="n">
        <v>8201</v>
      </c>
      <c r="C8203" t="inlineStr">
        <is>
          <t>Underwriting Specialist (Personal Lines Insurance)</t>
        </is>
      </c>
      <c r="D8203" t="inlineStr">
        <is>
          <t>Cathay Insurance (Vietnam) Co., Ltd</t>
        </is>
      </c>
      <c r="E8203" t="inlineStr">
        <is>
          <t>Thương lượng</t>
        </is>
      </c>
      <c r="F8203" t="inlineStr">
        <is>
          <t>Hồ Chí Minh</t>
        </is>
      </c>
      <c r="G8203" t="inlineStr">
        <is>
          <t>Nhân viên</t>
        </is>
      </c>
      <c r="H8203" t="inlineStr">
        <is>
          <t>06/03/2026</t>
        </is>
      </c>
      <c r="I8203" t="inlineStr">
        <is>
          <t>05/04/2026</t>
        </is>
      </c>
      <c r="J8203" t="inlineStr">
        <is>
          <t>17/03/2026</t>
        </is>
      </c>
      <c r="K8203" t="inlineStr">
        <is>
          <t>N/A</t>
        </is>
      </c>
      <c r="L8203" t="inlineStr">
        <is>
          <t>Communication, Data Analysis, IT Optimization, Personal Insurance, Problem-solving</t>
        </is>
      </c>
      <c r="M8203" t="inlineStr">
        <is>
          <t>Bonus</t>
        </is>
      </c>
      <c r="N8203" s="8">
        <f>HYPERLINK("https://www.vietnamworks.com/underwriting-specialist-personal-lines-insurance-2019628-jv","Xem chi tiết")</f>
        <v/>
      </c>
    </row>
    <row r="8204">
      <c r="B8204" s="9" t="n">
        <v>8202</v>
      </c>
      <c r="C8204" s="10" t="inlineStr">
        <is>
          <t>Non-life Insurance Product Development Specialist (Insurtech)</t>
        </is>
      </c>
      <c r="D8204" s="10" t="inlineStr">
        <is>
          <t>Cathay Insurance (Vietnam) Co., Ltd</t>
        </is>
      </c>
      <c r="E8204" s="10" t="inlineStr">
        <is>
          <t>Thương lượng</t>
        </is>
      </c>
      <c r="F8204" s="10" t="inlineStr">
        <is>
          <t>Hồ Chí Minh</t>
        </is>
      </c>
      <c r="G8204" s="10" t="inlineStr">
        <is>
          <t>Nhân viên</t>
        </is>
      </c>
      <c r="H8204" s="10" t="inlineStr">
        <is>
          <t>06/03/2026</t>
        </is>
      </c>
      <c r="I8204" s="10" t="inlineStr">
        <is>
          <t>05/04/2026</t>
        </is>
      </c>
      <c r="J8204" s="10" t="inlineStr">
        <is>
          <t>17/03/2026</t>
        </is>
      </c>
      <c r="K8204" s="10" t="inlineStr">
        <is>
          <t>N/A</t>
        </is>
      </c>
      <c r="L8204" s="10" t="inlineStr">
        <is>
          <t>Analytical Skills, Digital Marketing Tools, Good English Skills, Policy Insurance, Product Insurance</t>
        </is>
      </c>
      <c r="M8204" s="10" t="inlineStr">
        <is>
          <t>Bonus</t>
        </is>
      </c>
      <c r="N8204" s="11">
        <f>HYPERLINK("https://www.vietnamworks.com/non-life-insurance-product-development-specialist-insurtech-2019637-jv","Xem chi tiết")</f>
        <v/>
      </c>
      <c r="O8204" s="10" t="n"/>
    </row>
    <row r="8205">
      <c r="B8205" s="7" t="n">
        <v>8203</v>
      </c>
      <c r="C8205" t="inlineStr">
        <is>
          <t>Trưởng Nhóm Giám Sát Xây Dựng</t>
        </is>
      </c>
      <c r="D8205" t="inlineStr">
        <is>
          <t>BIM Group Quảng Ninh</t>
        </is>
      </c>
      <c r="E8205" t="inlineStr">
        <is>
          <t>Thương lượng</t>
        </is>
      </c>
      <c r="F8205" t="inlineStr">
        <is>
          <t>Quảng Ninh</t>
        </is>
      </c>
      <c r="G8205" t="inlineStr">
        <is>
          <t>Nhân viên</t>
        </is>
      </c>
      <c r="H8205" t="inlineStr">
        <is>
          <t>06/03/2026</t>
        </is>
      </c>
      <c r="I8205" t="inlineStr">
        <is>
          <t>05/04/2026</t>
        </is>
      </c>
      <c r="J8205" t="inlineStr">
        <is>
          <t>17/03/2026</t>
        </is>
      </c>
      <c r="K8205" t="inlineStr">
        <is>
          <t>N/A</t>
        </is>
      </c>
      <c r="L8205" t="inlineStr">
        <is>
          <t>Giám Sát Thi Công, Kỹ Thuật Công Trình, Quản Lý, Tiếng Anh, Xây Dựng Dân Dụng</t>
        </is>
      </c>
      <c r="M8205" t="inlineStr">
        <is>
          <t>Others</t>
        </is>
      </c>
      <c r="N8205" s="8">
        <f>HYPERLINK("https://www.vietnamworks.com/truong-nhom-giam-sat-xay-dung-2019636-jv","Xem chi tiết")</f>
        <v/>
      </c>
    </row>
    <row r="8206">
      <c r="B8206" s="9" t="n">
        <v>8204</v>
      </c>
      <c r="C8206" s="10" t="inlineStr">
        <is>
          <t>Chuyên Viên Tài Chính Quản Trị - Khối Tài Chính</t>
        </is>
      </c>
      <c r="D8206" s="10" t="inlineStr">
        <is>
          <t>Ngân Hàng TMCP Việt Nam Thương Tín (Vietbank)</t>
        </is>
      </c>
      <c r="E8206" s="10" t="inlineStr">
        <is>
          <t>Thương lượng</t>
        </is>
      </c>
      <c r="F8206" s="10" t="inlineStr">
        <is>
          <t>Hồ Chí Minh</t>
        </is>
      </c>
      <c r="G8206" s="10" t="inlineStr">
        <is>
          <t>Nhân viên</t>
        </is>
      </c>
      <c r="H8206" s="10" t="inlineStr">
        <is>
          <t>06/03/2026</t>
        </is>
      </c>
      <c r="I8206" s="10" t="inlineStr">
        <is>
          <t>05/04/2026</t>
        </is>
      </c>
      <c r="J8206" s="10" t="inlineStr">
        <is>
          <t>17/03/2026</t>
        </is>
      </c>
      <c r="K8206" s="10" t="inlineStr">
        <is>
          <t>N/A</t>
        </is>
      </c>
      <c r="L8206" s="10" t="inlineStr">
        <is>
          <t>Ngân hàng, Kế Toán, Kinh Tế, Quản trị Kinh doanh</t>
        </is>
      </c>
      <c r="M8206" s="10" t="inlineStr">
        <is>
          <t>Bonus, Healthcare Plan, Training</t>
        </is>
      </c>
      <c r="N8206" s="11">
        <f>HYPERLINK("https://www.vietnamworks.com/chuyen-vien-tai-chinh-quan-tri-khoi-tai-chinh-2019638-jv","Xem chi tiết")</f>
        <v/>
      </c>
      <c r="O8206" s="10" t="n"/>
    </row>
    <row r="8207">
      <c r="B8207" s="7" t="n">
        <v>8205</v>
      </c>
      <c r="C8207" t="inlineStr">
        <is>
          <t>Kế Toán Tổng Hợp (Kinh Nghiệm 3-5 Năm)</t>
        </is>
      </c>
      <c r="D8207" t="inlineStr">
        <is>
          <t>CÔNG TY CỔ PHẦN MẠNG LƯỚI BÁN DẪN VIỆT NAM</t>
        </is>
      </c>
      <c r="E8207" t="inlineStr">
        <is>
          <t>12tr-18tr ₫/tháng</t>
        </is>
      </c>
      <c r="F8207" t="inlineStr">
        <is>
          <t>Hồ Chí Minh</t>
        </is>
      </c>
      <c r="G8207" t="inlineStr">
        <is>
          <t>Nhân viên</t>
        </is>
      </c>
      <c r="H8207" t="inlineStr">
        <is>
          <t>06/03/2026</t>
        </is>
      </c>
      <c r="I8207" t="inlineStr">
        <is>
          <t>05/04/2026</t>
        </is>
      </c>
      <c r="J8207" t="inlineStr">
        <is>
          <t>17/03/2026</t>
        </is>
      </c>
      <c r="K8207" t="inlineStr">
        <is>
          <t>N/A</t>
        </is>
      </c>
      <c r="L8207" t="inlineStr">
        <is>
          <t>Kế Toán, Tài Chính, Tiếng Anh, Phần Mềm Kế Toán, Thuế</t>
        </is>
      </c>
      <c r="M8207" t="inlineStr">
        <is>
          <t>Bonus, Healthcare Plan, Paid Leave, Training, Team Activities</t>
        </is>
      </c>
      <c r="N8207" s="8">
        <f>HYPERLINK("https://www.vietnamworks.com/ke-toan-tong-hop-kinh-nghiem-3-5-nam-2019633-jv","Xem chi tiết")</f>
        <v/>
      </c>
    </row>
    <row r="8208">
      <c r="B8208" s="9" t="n">
        <v>8206</v>
      </c>
      <c r="C8208" s="10" t="inlineStr">
        <is>
          <t>Assistant Product Manager</t>
        </is>
      </c>
      <c r="D8208" s="10" t="inlineStr">
        <is>
          <t>CUULONG MEKO TRADING AND SERVICE CO.,LTD</t>
        </is>
      </c>
      <c r="E8208" s="10" t="inlineStr">
        <is>
          <t>Thương lượng</t>
        </is>
      </c>
      <c r="F8208" s="10" t="inlineStr">
        <is>
          <t>Hồ Chí Minh</t>
        </is>
      </c>
      <c r="G8208" s="10" t="inlineStr">
        <is>
          <t>Nhân viên</t>
        </is>
      </c>
      <c r="H8208" s="10" t="inlineStr">
        <is>
          <t>06/03/2026</t>
        </is>
      </c>
      <c r="I8208" s="10" t="inlineStr">
        <is>
          <t>05/04/2026</t>
        </is>
      </c>
      <c r="J8208" s="10" t="inlineStr">
        <is>
          <t>17/03/2026</t>
        </is>
      </c>
      <c r="K8208" s="10" t="inlineStr">
        <is>
          <t>N/A</t>
        </is>
      </c>
      <c r="L8208" s="10" t="inlineStr">
        <is>
          <t>Product Management, Forecasting, Market Research, Trade Promotion, Category &amp; Pricing Management</t>
        </is>
      </c>
      <c r="M8208" s="10" t="inlineStr">
        <is>
          <t>Bonus, Awards, Team Activities</t>
        </is>
      </c>
      <c r="N8208" s="11">
        <f>HYPERLINK("https://www.vietnamworks.com/assistant-product-manager-2019650-jv","Xem chi tiết")</f>
        <v/>
      </c>
      <c r="O8208" s="10" t="n"/>
    </row>
    <row r="8209">
      <c r="B8209" s="7" t="n">
        <v>8207</v>
      </c>
      <c r="C8209" t="inlineStr">
        <is>
          <t>Accountant Haiphong (Freight Forwarding)</t>
        </is>
      </c>
      <c r="D8209" t="inlineStr">
        <is>
          <t>Ecu Worldwide Vietnam</t>
        </is>
      </c>
      <c r="E8209" t="inlineStr">
        <is>
          <t>Thương lượng</t>
        </is>
      </c>
      <c r="F8209" t="inlineStr">
        <is>
          <t>Hải Phòng</t>
        </is>
      </c>
      <c r="G8209" t="inlineStr">
        <is>
          <t>Nhân viên</t>
        </is>
      </c>
      <c r="H8209" t="inlineStr">
        <is>
          <t>06/03/2026</t>
        </is>
      </c>
      <c r="I8209" t="inlineStr">
        <is>
          <t>05/04/2026</t>
        </is>
      </c>
      <c r="J8209" t="inlineStr">
        <is>
          <t>17/03/2026</t>
        </is>
      </c>
      <c r="K8209" t="inlineStr">
        <is>
          <t>N/A</t>
        </is>
      </c>
      <c r="L8209" t="inlineStr">
        <is>
          <t>Kế Toán, Quản Lý Công Nợ, Tiếng Anh, Accounting, Accounting Payment</t>
        </is>
      </c>
      <c r="M8209" t="inlineStr">
        <is>
          <t>Bonus, Healthcare Plan, Training</t>
        </is>
      </c>
      <c r="N8209" s="8">
        <f>HYPERLINK("https://www.vietnamworks.com/accountant-haiphong-freight-forwarding-2019645-jv","Xem chi tiết")</f>
        <v/>
      </c>
    </row>
    <row r="8210">
      <c r="B8210" s="9" t="n">
        <v>8208</v>
      </c>
      <c r="C8210" s="10" t="inlineStr">
        <is>
          <t>Center Sales Manager</t>
        </is>
      </c>
      <c r="D8210" s="10" t="inlineStr">
        <is>
          <t>Trường Đào Tạo Thiết Kế Đồ Hoạ Ứng Dụng (dpiCENTER)</t>
        </is>
      </c>
      <c r="E8210" s="10" t="inlineStr">
        <is>
          <t>35tr-70tr ₫/tháng</t>
        </is>
      </c>
      <c r="F8210" s="10" t="inlineStr">
        <is>
          <t>Hồ Chí Minh</t>
        </is>
      </c>
      <c r="G8210" s="10" t="inlineStr">
        <is>
          <t>Trưởng phòng</t>
        </is>
      </c>
      <c r="H8210" s="10" t="inlineStr">
        <is>
          <t>06/03/2026</t>
        </is>
      </c>
      <c r="I8210" s="10" t="inlineStr">
        <is>
          <t>05/04/2026</t>
        </is>
      </c>
      <c r="J8210" s="10" t="inlineStr">
        <is>
          <t>17/03/2026</t>
        </is>
      </c>
      <c r="K8210" s="10" t="inlineStr">
        <is>
          <t>N/A</t>
        </is>
      </c>
      <c r="L8210" s="10" t="inlineStr">
        <is>
          <t>Quản Lý Đội Nhóm, Kỹ năng bán hàng, Sử dụng CRM, Tiếng Anh</t>
        </is>
      </c>
      <c r="M8210" s="10" t="inlineStr">
        <is>
          <t>Bonus, Healthcare Plan, Paid Leave, Training, Others</t>
        </is>
      </c>
      <c r="N8210" s="11">
        <f>HYPERLINK("https://www.vietnamworks.com/center-sales-manager-2019660-jv","Xem chi tiết")</f>
        <v/>
      </c>
      <c r="O8210" s="10" t="n"/>
    </row>
    <row r="8211">
      <c r="B8211" s="7" t="n">
        <v>8209</v>
      </c>
      <c r="C8211" t="inlineStr">
        <is>
          <t>Senior E-Commerce Executive</t>
        </is>
      </c>
      <c r="D8211" t="inlineStr">
        <is>
          <t>OUJI (VIETNAM) COMPANY LIMITED</t>
        </is>
      </c>
      <c r="E8211" t="inlineStr">
        <is>
          <t>18tr-25tr ₫/tháng</t>
        </is>
      </c>
      <c r="F8211" t="inlineStr">
        <is>
          <t>Hồ Chí Minh</t>
        </is>
      </c>
      <c r="G8211" t="inlineStr">
        <is>
          <t>Nhân viên</t>
        </is>
      </c>
      <c r="H8211" t="inlineStr">
        <is>
          <t>06/03/2026</t>
        </is>
      </c>
      <c r="I8211" t="inlineStr">
        <is>
          <t>05/04/2026</t>
        </is>
      </c>
      <c r="J8211" t="inlineStr">
        <is>
          <t>17/03/2026</t>
        </is>
      </c>
      <c r="K8211" t="inlineStr">
        <is>
          <t>N/A</t>
        </is>
      </c>
      <c r="L8211" t="inlineStr">
        <is>
          <t>Collaboration, Communication, Data Analytics, Digital Marketing Tools, Ecommerce Optimization</t>
        </is>
      </c>
      <c r="M8211" t="inlineStr">
        <is>
          <t>Bonus, Healthcare Plan, Paid Leave, Others</t>
        </is>
      </c>
      <c r="N8211" s="8">
        <f>HYPERLINK("https://www.vietnamworks.com/senior-e-commerce-executive-2019651-jv","Xem chi tiết")</f>
        <v/>
      </c>
    </row>
    <row r="8212">
      <c r="B8212" s="9" t="n">
        <v>8210</v>
      </c>
      <c r="C8212" s="10" t="inlineStr">
        <is>
          <t>[Hà Nội] Kiến Trúc Sư Dự Án (Tuyển Gấp Đi Làm Ngay) Lương 20- 40 Triệu/tháng</t>
        </is>
      </c>
      <c r="D8212" s="10" t="inlineStr">
        <is>
          <t>CÔNG TY CỔ PHẦN TÀ XÙA SKYLINE</t>
        </is>
      </c>
      <c r="E8212" s="10" t="inlineStr">
        <is>
          <t>20tr-40tr ₫/tháng</t>
        </is>
      </c>
      <c r="F8212" s="10" t="inlineStr">
        <is>
          <t>Hà Nội</t>
        </is>
      </c>
      <c r="G8212" s="10" t="inlineStr">
        <is>
          <t>Nhân viên</t>
        </is>
      </c>
      <c r="H8212" s="10" t="inlineStr">
        <is>
          <t>06/03/2026</t>
        </is>
      </c>
      <c r="I8212" s="10" t="inlineStr">
        <is>
          <t>05/04/2026</t>
        </is>
      </c>
      <c r="J8212" s="10" t="inlineStr">
        <is>
          <t>17/03/2026</t>
        </is>
      </c>
      <c r="K8212" s="10" t="inlineStr">
        <is>
          <t>N/A</t>
        </is>
      </c>
      <c r="L8212" s="10" t="inlineStr">
        <is>
          <t>AutoCAD, Sketchup, Photoshop, Lumion, Thiết Kế Dự Án</t>
        </is>
      </c>
      <c r="M8212" s="10" t="inlineStr">
        <is>
          <t>Bonus, Healthcare Plan, Team Activities, Others</t>
        </is>
      </c>
      <c r="N8212" s="11">
        <f>HYPERLINK("https://www.vietnamworks.com/ha-noi-kien-truc-su-du-an-tuyen-gap-di-lam-ngay-luong-20-40-trieu-thang-2019649-jv","Xem chi tiết")</f>
        <v/>
      </c>
      <c r="O8212" s="10" t="n"/>
    </row>
    <row r="8213">
      <c r="B8213" s="7" t="n">
        <v>8211</v>
      </c>
      <c r="C8213" t="inlineStr">
        <is>
          <t>Accounting Manager/ Chief of Accountant</t>
        </is>
      </c>
      <c r="D8213" t="inlineStr">
        <is>
          <t>Sunwah Việt Nam</t>
        </is>
      </c>
      <c r="E8213" t="inlineStr">
        <is>
          <t>Thương lượng</t>
        </is>
      </c>
      <c r="F8213" t="inlineStr">
        <is>
          <t>Hồ Chí Minh</t>
        </is>
      </c>
      <c r="G8213" t="inlineStr">
        <is>
          <t>Trưởng phòng</t>
        </is>
      </c>
      <c r="H8213" t="inlineStr">
        <is>
          <t>06/03/2026</t>
        </is>
      </c>
      <c r="I8213" t="inlineStr">
        <is>
          <t>05/04/2026</t>
        </is>
      </c>
      <c r="J8213" t="inlineStr">
        <is>
          <t>17/03/2026</t>
        </is>
      </c>
      <c r="K8213" t="inlineStr">
        <is>
          <t>N/A</t>
        </is>
      </c>
      <c r="L8213" t="inlineStr">
        <is>
          <t>Kế Toán Tổng Hợp, Kế Toán Thuế, Tài Chính, Kiểm Toán, Accounting</t>
        </is>
      </c>
      <c r="M8213" t="inlineStr">
        <is>
          <t>Healthcare Plan, Paid Leave</t>
        </is>
      </c>
      <c r="N8213" s="8">
        <f>HYPERLINK("https://www.vietnamworks.com/accounting-manager-chief-of-accountant-2019668-jv","Xem chi tiết")</f>
        <v/>
      </c>
    </row>
    <row r="8214">
      <c r="B8214" s="9" t="n">
        <v>8212</v>
      </c>
      <c r="C8214" s="10" t="inlineStr">
        <is>
          <t>Kỹ Sư Xây Dựng</t>
        </is>
      </c>
      <c r="D8214" s="10" t="inlineStr">
        <is>
          <t>Công Ty Cổ Phần Đầu Tư Và Kinh Doanh Nhà Khang Điền</t>
        </is>
      </c>
      <c r="E8214" s="10" t="inlineStr">
        <is>
          <t>Thương lượng</t>
        </is>
      </c>
      <c r="F8214" s="10" t="inlineStr">
        <is>
          <t>Hồ Chí Minh</t>
        </is>
      </c>
      <c r="G8214" s="10" t="inlineStr">
        <is>
          <t>Nhân viên</t>
        </is>
      </c>
      <c r="H8214" s="10" t="inlineStr">
        <is>
          <t>06/03/2026</t>
        </is>
      </c>
      <c r="I8214" s="10" t="inlineStr">
        <is>
          <t>05/04/2026</t>
        </is>
      </c>
      <c r="J8214" s="10" t="inlineStr">
        <is>
          <t>17/03/2026</t>
        </is>
      </c>
      <c r="K8214" s="10" t="inlineStr">
        <is>
          <t>N/A</t>
        </is>
      </c>
      <c r="L8214" s="10" t="inlineStr">
        <is>
          <t>Giám Sát Thi Công, Kinh Nghiệm Với Chủ Đầu Tư, Kỹ Sư Xây Dựng, Quản Lý Nhà Cao Tầng, Quản Lý Tiến Độ</t>
        </is>
      </c>
      <c r="M8214" s="10" t="inlineStr">
        <is>
          <t>Bonus</t>
        </is>
      </c>
      <c r="N8214" s="11">
        <f>HYPERLINK("https://www.vietnamworks.com/ky-su-xay-dung-2019648-jv","Xem chi tiết")</f>
        <v/>
      </c>
      <c r="O8214" s="10" t="n"/>
    </row>
    <row r="8215">
      <c r="B8215" s="7" t="n">
        <v>8213</v>
      </c>
      <c r="C8215" t="inlineStr">
        <is>
          <t>Head of Digital Growth &amp; E-Commerce (Trưởng Phòng Digital và Thương Mại Điện Tử)</t>
        </is>
      </c>
      <c r="D8215" t="inlineStr">
        <is>
          <t>CÔNG TY TNHH DAICHI VIỆT NAM</t>
        </is>
      </c>
      <c r="E8215" t="inlineStr">
        <is>
          <t>25tr-35tr ₫/tháng</t>
        </is>
      </c>
      <c r="F8215" t="inlineStr">
        <is>
          <t>Hồ Chí Minh</t>
        </is>
      </c>
      <c r="G8215" t="inlineStr">
        <is>
          <t>Trưởng phòng</t>
        </is>
      </c>
      <c r="H8215" t="inlineStr">
        <is>
          <t>06/03/2026</t>
        </is>
      </c>
      <c r="I8215" t="inlineStr">
        <is>
          <t>05/04/2026</t>
        </is>
      </c>
      <c r="J8215" t="inlineStr">
        <is>
          <t>17/03/2026</t>
        </is>
      </c>
      <c r="K8215" t="inlineStr">
        <is>
          <t>N/A</t>
        </is>
      </c>
      <c r="L8215" t="inlineStr">
        <is>
          <t>Kinh Doanh Dầu Nhớt, Content Creative, Thương mại điện tử &amp; Performance Marketing, Facebook ad, E-Commerce Marketing</t>
        </is>
      </c>
      <c r="M8215" t="inlineStr">
        <is>
          <t>Bonus, Healthcare Plan</t>
        </is>
      </c>
      <c r="N8215" s="8">
        <f>HYPERLINK("https://www.vietnamworks.com/head-of-digital-growth-and-e-commerce-truong-phong-digital-va-thuong-mai-djien-tu-2019647-jv","Xem chi tiết")</f>
        <v/>
      </c>
    </row>
    <row r="8216">
      <c r="B8216" s="9" t="n">
        <v>8214</v>
      </c>
      <c r="C8216" s="10" t="inlineStr">
        <is>
          <t>Manager, Digital Platform</t>
        </is>
      </c>
      <c r="D8216" s="10" t="inlineStr">
        <is>
          <t>British University Vietnam (Buv)</t>
        </is>
      </c>
      <c r="E8216" s="10" t="inlineStr">
        <is>
          <t>60tr-70tr ₫/tháng</t>
        </is>
      </c>
      <c r="F8216" s="10" t="inlineStr">
        <is>
          <t>Hưng Yên</t>
        </is>
      </c>
      <c r="G8216" s="10" t="inlineStr">
        <is>
          <t>Trưởng phòng</t>
        </is>
      </c>
      <c r="H8216" s="10" t="inlineStr">
        <is>
          <t>06/03/2026</t>
        </is>
      </c>
      <c r="I8216" s="10" t="inlineStr">
        <is>
          <t>05/04/2026</t>
        </is>
      </c>
      <c r="J8216" s="10" t="inlineStr">
        <is>
          <t>17/03/2026</t>
        </is>
      </c>
      <c r="K8216" s="10" t="inlineStr">
        <is>
          <t>N/A</t>
        </is>
      </c>
      <c r="L8216" s="10" t="inlineStr">
        <is>
          <t>Digital Analytics, Digital Marketing, Email Marketing, Seo/Sem Management, Team Management</t>
        </is>
      </c>
      <c r="M8216" s="10" t="inlineStr">
        <is>
          <t>Bonus, Healthcare Plan, Paid Leave, Awards, Team Activities, Transportation, Others</t>
        </is>
      </c>
      <c r="N8216" s="11">
        <f>HYPERLINK("https://www.vietnamworks.com/manager-digital-platform-2019673-jv","Xem chi tiết")</f>
        <v/>
      </c>
      <c r="O8216" s="10" t="n"/>
    </row>
    <row r="8217">
      <c r="B8217" s="7" t="n">
        <v>8215</v>
      </c>
      <c r="C8217" t="inlineStr">
        <is>
          <t>Technical Manager | Trưởng Phòng Kỹ Thuật (Phụ Tùng &amp; Dầu Nhớt Ô Tô/xe Máy)</t>
        </is>
      </c>
      <c r="D8217" t="inlineStr">
        <is>
          <t>CÔNG TY TNHH DAICHI VIỆT NAM</t>
        </is>
      </c>
      <c r="E8217" t="inlineStr">
        <is>
          <t>25tr-30tr ₫/tháng</t>
        </is>
      </c>
      <c r="F8217" t="inlineStr">
        <is>
          <t>Hưng Yên, Hà Nội</t>
        </is>
      </c>
      <c r="G8217" t="inlineStr">
        <is>
          <t>Trưởng phòng</t>
        </is>
      </c>
      <c r="H8217" t="inlineStr">
        <is>
          <t>06/03/2026</t>
        </is>
      </c>
      <c r="I8217" t="inlineStr">
        <is>
          <t>05/04/2026</t>
        </is>
      </c>
      <c r="J8217" t="inlineStr">
        <is>
          <t>17/03/2026</t>
        </is>
      </c>
      <c r="K8217" t="inlineStr">
        <is>
          <t>N/A</t>
        </is>
      </c>
      <c r="L8217" t="inlineStr">
        <is>
          <t>Quản Lý Kỹ Thuật, Giám Sát Vận Hành Máy Móc, Lubricants Knowledge, Spare Parts Coordination, Automotive</t>
        </is>
      </c>
      <c r="M8217" t="inlineStr">
        <is>
          <t>Healthcare Plan</t>
        </is>
      </c>
      <c r="N8217" s="8">
        <f>HYPERLINK("https://www.vietnamworks.com/technical-manager-or-truong-phong-ky-thuat-phu-tung-and-dau-nhot-o-toxe-may-2019646-jv","Xem chi tiết")</f>
        <v/>
      </c>
    </row>
    <row r="8218">
      <c r="B8218" s="9" t="n">
        <v>8216</v>
      </c>
      <c r="C8218" s="10" t="inlineStr">
        <is>
          <t>Chuyên Viên Cao Cấp Báo Cáo và Phân Tích - Trung Tâm Xử Lý Nợ NHBL Miền Bắc</t>
        </is>
      </c>
      <c r="D8218" s="10" t="inlineStr">
        <is>
          <t>Ngân Hàng TMCP Quốc Tế Việt Nam (VIB)</t>
        </is>
      </c>
      <c r="E8218" s="10" t="inlineStr">
        <is>
          <t>$$ 500-1,500 /tháng</t>
        </is>
      </c>
      <c r="F8218" s="10" t="inlineStr">
        <is>
          <t>Hà Nội</t>
        </is>
      </c>
      <c r="G8218" s="10" t="inlineStr">
        <is>
          <t>Nhân viên</t>
        </is>
      </c>
      <c r="H8218" s="10" t="inlineStr">
        <is>
          <t>06/03/2026</t>
        </is>
      </c>
      <c r="I8218" s="10" t="inlineStr">
        <is>
          <t>05/04/2026</t>
        </is>
      </c>
      <c r="J8218" s="10" t="inlineStr">
        <is>
          <t>17/03/2026</t>
        </is>
      </c>
      <c r="K8218" s="10" t="inlineStr">
        <is>
          <t>N/A</t>
        </is>
      </c>
      <c r="L8218" s="10" t="inlineStr">
        <is>
          <t>SQL, Reporting Skill, Báo Cáo, Phân Tích Số Liệu, Xử Lý Nợ</t>
        </is>
      </c>
      <c r="M8218" s="10" t="inlineStr">
        <is>
          <t>Bonus, Awards, Laptop</t>
        </is>
      </c>
      <c r="N8218" s="11">
        <f>HYPERLINK("https://www.vietnamworks.com/chuyen-vien-cao-cap-bao-cao-va-phan-tich-trung-tam-xu-ly-no-nhbl-mien-bac-2019663-jv","Xem chi tiết")</f>
        <v/>
      </c>
      <c r="O8218" s="10" t="n"/>
    </row>
    <row r="8219">
      <c r="B8219" s="7" t="n">
        <v>8217</v>
      </c>
      <c r="C8219" t="inlineStr">
        <is>
          <t>Nhân Viên Kinh Doanh</t>
        </is>
      </c>
      <c r="D8219" t="inlineStr">
        <is>
          <t>Công Ty CP Kinh Doanh Vật Tư Thiết Bị Giao Thông - Trameco</t>
        </is>
      </c>
      <c r="E8219" t="inlineStr">
        <is>
          <t>Thương lượng</t>
        </is>
      </c>
      <c r="F8219" t="inlineStr">
        <is>
          <t>Hà Nội</t>
        </is>
      </c>
      <c r="G8219" t="inlineStr">
        <is>
          <t>Nhân viên</t>
        </is>
      </c>
      <c r="H8219" t="inlineStr">
        <is>
          <t>06/03/2026</t>
        </is>
      </c>
      <c r="I8219" t="inlineStr">
        <is>
          <t>05/04/2026</t>
        </is>
      </c>
      <c r="J8219" t="inlineStr">
        <is>
          <t>17/03/2026</t>
        </is>
      </c>
      <c r="K8219" t="inlineStr">
        <is>
          <t>N/A</t>
        </is>
      </c>
      <c r="L8219" t="inlineStr">
        <is>
          <t>Kinh Doanh, Lập Quy Trình Thi Công, Phát Triển Dự Án, Thương Lượng Hợp Đồng, Vật liệu xây dựng</t>
        </is>
      </c>
      <c r="M8219" t="inlineStr">
        <is>
          <t>Bonus, Healthcare Plan, Travel Opportunities, Others</t>
        </is>
      </c>
      <c r="N8219" s="8">
        <f>HYPERLINK("https://www.vietnamworks.com/nhan-vien-kinh-doanh-2019664-jv","Xem chi tiết")</f>
        <v/>
      </c>
    </row>
    <row r="8220">
      <c r="B8220" s="9" t="n">
        <v>8218</v>
      </c>
      <c r="C8220" s="10" t="inlineStr">
        <is>
          <t>Chuyên Viên Nghiên Cứu (Thạc Sĩ Hoá Học/môi Trường)</t>
        </is>
      </c>
      <c r="D8220" s="10" t="inlineStr">
        <is>
          <t>Trường Quản trị và Kinh doanh, ĐHQGHN</t>
        </is>
      </c>
      <c r="E8220" s="10" t="inlineStr">
        <is>
          <t>15tr-25tr ₫/tháng</t>
        </is>
      </c>
      <c r="F8220" s="10" t="inlineStr">
        <is>
          <t>Hà Nội</t>
        </is>
      </c>
      <c r="G8220" s="10" t="inlineStr">
        <is>
          <t>Nhân viên</t>
        </is>
      </c>
      <c r="H8220" s="10" t="inlineStr">
        <is>
          <t>06/03/2026</t>
        </is>
      </c>
      <c r="I8220" s="10" t="inlineStr">
        <is>
          <t>05/04/2026</t>
        </is>
      </c>
      <c r="J8220" s="10" t="inlineStr">
        <is>
          <t>17/03/2026</t>
        </is>
      </c>
      <c r="K8220" s="10" t="inlineStr">
        <is>
          <t>N/A</t>
        </is>
      </c>
      <c r="L8220" s="10" t="inlineStr">
        <is>
          <t>Nghiên Cứu Khoa Học, Tiếng Anh, Sáng Tạo, Đam Mê Nghiên Cứu, Hóa học môi trường</t>
        </is>
      </c>
      <c r="M8220" s="10" t="inlineStr">
        <is>
          <t>Bonus, Paid Leave, Training, Awards</t>
        </is>
      </c>
      <c r="N8220" s="11">
        <f>HYPERLINK("https://www.vietnamworks.com/chuyen-vien-nghien-cuu-thac-si-hoa-hocmoi-truong-2019670-jv","Xem chi tiết")</f>
        <v/>
      </c>
      <c r="O8220" s="10" t="n"/>
    </row>
    <row r="8221">
      <c r="B8221" s="7" t="n">
        <v>8219</v>
      </c>
      <c r="C8221" t="inlineStr">
        <is>
          <t>Freight Forwarding/ Air &amp; Ocean Sales Executive</t>
        </is>
      </c>
      <c r="D8221" t="inlineStr">
        <is>
          <t>Chi Nhánh Công Ty TNHH U.s GROUP Consolidator INC Tại TP. HCM</t>
        </is>
      </c>
      <c r="E8221" t="inlineStr">
        <is>
          <t>$$ 500-1,500 /tháng</t>
        </is>
      </c>
      <c r="F8221" t="inlineStr">
        <is>
          <t>Hồ Chí Minh</t>
        </is>
      </c>
      <c r="G8221" t="inlineStr">
        <is>
          <t>Nhân viên</t>
        </is>
      </c>
      <c r="H8221" t="inlineStr">
        <is>
          <t>06/03/2026</t>
        </is>
      </c>
      <c r="I8221" t="inlineStr">
        <is>
          <t>05/04/2026</t>
        </is>
      </c>
      <c r="J8221" t="inlineStr">
        <is>
          <t>17/03/2026</t>
        </is>
      </c>
      <c r="K8221" t="inlineStr">
        <is>
          <t>N/A</t>
        </is>
      </c>
      <c r="L8221" t="inlineStr">
        <is>
          <t>3PL, Revenue Management, Sales Planning, Sales Reporting, Shipment Management</t>
        </is>
      </c>
      <c r="M8221" t="inlineStr">
        <is>
          <t>Bonus, Awards, Others</t>
        </is>
      </c>
      <c r="N8221" s="8">
        <f>HYPERLINK("https://www.vietnamworks.com/freight-forwarding-air-and-ocean-sales-executive-2019669-jv","Xem chi tiết")</f>
        <v/>
      </c>
    </row>
    <row r="8222">
      <c r="B8222" s="9" t="n">
        <v>8220</v>
      </c>
      <c r="C8222" s="10" t="inlineStr">
        <is>
          <t>Brand Marketing Manager</t>
        </is>
      </c>
      <c r="D8222" s="10" t="inlineStr">
        <is>
          <t>Công Ty Cổ Phần Hesman Việt Nam</t>
        </is>
      </c>
      <c r="E8222" s="10" t="inlineStr">
        <is>
          <t>$$ 1,500-2,000 /tháng</t>
        </is>
      </c>
      <c r="F8222" s="10" t="inlineStr">
        <is>
          <t>Hà Nội</t>
        </is>
      </c>
      <c r="G8222" s="10" t="inlineStr">
        <is>
          <t>Trưởng phòng</t>
        </is>
      </c>
      <c r="H8222" s="10" t="inlineStr">
        <is>
          <t>06/03/2026</t>
        </is>
      </c>
      <c r="I8222" s="10" t="inlineStr">
        <is>
          <t>05/04/2026</t>
        </is>
      </c>
      <c r="J8222" s="10" t="inlineStr">
        <is>
          <t>17/03/2026</t>
        </is>
      </c>
      <c r="K8222" s="10" t="inlineStr">
        <is>
          <t>N/A</t>
        </is>
      </c>
      <c r="L8222" s="10" t="inlineStr">
        <is>
          <t>Quản Lý Thương Hiệu, Lập Kế Hoạch Marketing, Branding, Brand Management</t>
        </is>
      </c>
      <c r="M8222" s="10" t="inlineStr">
        <is>
          <t>Bonus, Paid Leave, Travel Opportunities</t>
        </is>
      </c>
      <c r="N8222" s="11">
        <f>HYPERLINK("https://www.vietnamworks.com/brand-marketing-manager--2019666-jv","Xem chi tiết")</f>
        <v/>
      </c>
      <c r="O8222" s="10" t="n"/>
    </row>
    <row r="8223">
      <c r="B8223" s="7" t="n">
        <v>8221</v>
      </c>
      <c r="C8223" t="inlineStr">
        <is>
          <t>KỸ SƯ ĐIỆN (Electrical Engineer)</t>
        </is>
      </c>
      <c r="D8223" t="inlineStr">
        <is>
          <t>CÔNG TY CỔ PHẦN KỸ THUẬT NĂNG LƯỢNG TÂM THÀNH PHÁT</t>
        </is>
      </c>
      <c r="E8223" t="inlineStr">
        <is>
          <t>14tr-20tr ₫/tháng</t>
        </is>
      </c>
      <c r="F8223" t="inlineStr">
        <is>
          <t>Hồ Chí Minh</t>
        </is>
      </c>
      <c r="G8223" t="inlineStr">
        <is>
          <t>Nhân viên</t>
        </is>
      </c>
      <c r="H8223" t="inlineStr">
        <is>
          <t>06/03/2026</t>
        </is>
      </c>
      <c r="I8223" t="inlineStr">
        <is>
          <t>05/04/2026</t>
        </is>
      </c>
      <c r="J8223" t="inlineStr">
        <is>
          <t>17/03/2026</t>
        </is>
      </c>
      <c r="K8223" t="inlineStr">
        <is>
          <t>N/A</t>
        </is>
      </c>
      <c r="L8223" t="inlineStr">
        <is>
          <t>Hệ Thống Điện Công Nghiệp, Kĩ Thuật Điện, Thiết Kế Hệ Thống Cơ Điện, Điện 220Kv-500Kv, Điện Nặng</t>
        </is>
      </c>
      <c r="M8223" t="inlineStr">
        <is>
          <t>Bonus, Healthcare Plan, Training, Laptop, Others</t>
        </is>
      </c>
      <c r="N8223" s="8">
        <f>HYPERLINK("https://www.vietnamworks.com/ky-su-djien-electrical-engineer-2019654-jv","Xem chi tiết")</f>
        <v/>
      </c>
    </row>
    <row r="8224">
      <c r="B8224" s="9" t="n">
        <v>8222</v>
      </c>
      <c r="C8224" s="10" t="inlineStr">
        <is>
          <t>Giám Đốc Công Ty Tổng Thầu (Thuộc Chủ Đầu Tư)</t>
        </is>
      </c>
      <c r="D8224" s="10" t="inlineStr">
        <is>
          <t>Công Ty Cổ Phần Bất Động Sản Tập Đoàn Tân Á Đại Thành</t>
        </is>
      </c>
      <c r="E8224" s="10" t="inlineStr">
        <is>
          <t>Thương lượng</t>
        </is>
      </c>
      <c r="F8224" s="10" t="inlineStr">
        <is>
          <t>Kiên Giang, Hà Nội, Hồ Chí Minh</t>
        </is>
      </c>
      <c r="G8224" s="10" t="inlineStr">
        <is>
          <t>Giám Đốc và Cấp Cao Hơn</t>
        </is>
      </c>
      <c r="H8224" s="10" t="inlineStr">
        <is>
          <t>06/03/2026</t>
        </is>
      </c>
      <c r="I8224" s="10" t="inlineStr">
        <is>
          <t>05/04/2026</t>
        </is>
      </c>
      <c r="J8224" s="10" t="inlineStr">
        <is>
          <t>17/03/2026</t>
        </is>
      </c>
      <c r="K8224" s="10" t="inlineStr">
        <is>
          <t>N/A</t>
        </is>
      </c>
      <c r="L8224" s="10" t="inlineStr">
        <is>
          <t>Điều Hành Tổng Thầu, Quản lý tổng thầu, Điều Hành Nhà Thầu, Quản Lý Nhà Thầu Xây Dựng, Thi Công Xây Lắp</t>
        </is>
      </c>
      <c r="M8224" s="10" t="inlineStr">
        <is>
          <t>Bonus, Canteen, Vouchers</t>
        </is>
      </c>
      <c r="N8224" s="11">
        <f>HYPERLINK("https://www.vietnamworks.com/giam-doc-cong-ty-tong-thau-thuoc-chu-dau-tu-2019661-jv","Xem chi tiết")</f>
        <v/>
      </c>
      <c r="O8224" s="10" t="n"/>
    </row>
    <row r="8225">
      <c r="B8225" s="7" t="n">
        <v>8223</v>
      </c>
      <c r="C8225" t="inlineStr">
        <is>
          <t>Quản Lý Phát Triển Kinh Doanh (Tiếng Trung)/ Business Development Manager (Chinese)</t>
        </is>
      </c>
      <c r="D8225" t="inlineStr">
        <is>
          <t>Sunwah Việt Nam</t>
        </is>
      </c>
      <c r="E8225" t="inlineStr">
        <is>
          <t>Thương lượng</t>
        </is>
      </c>
      <c r="F8225" t="inlineStr">
        <is>
          <t>Hồ Chí Minh</t>
        </is>
      </c>
      <c r="G8225" t="inlineStr">
        <is>
          <t>Trưởng phòng</t>
        </is>
      </c>
      <c r="H8225" t="inlineStr">
        <is>
          <t>06/03/2026</t>
        </is>
      </c>
      <c r="I8225" t="inlineStr">
        <is>
          <t>05/04/2026</t>
        </is>
      </c>
      <c r="J8225" t="inlineStr">
        <is>
          <t>17/03/2026</t>
        </is>
      </c>
      <c r="K8225" t="inlineStr">
        <is>
          <t>N/A</t>
        </is>
      </c>
      <c r="L8225" t="inlineStr">
        <is>
          <t>Business Development Management, Chinese Language, Business Manager, Chinese &amp; Mandarin Speaking, Business &amp; Analytical Skills</t>
        </is>
      </c>
      <c r="M8225" t="inlineStr">
        <is>
          <t>Healthcare Plan, Paid Leave</t>
        </is>
      </c>
      <c r="N8225" s="8">
        <f>HYPERLINK("https://www.vietnamworks.com/quan-ly-phat-trien-kinh-doanh-tieng-trung-business-development-manager-chinese-2019667-jv","Xem chi tiết")</f>
        <v/>
      </c>
    </row>
    <row r="8226">
      <c r="B8226" s="9" t="n">
        <v>8224</v>
      </c>
      <c r="C8226" s="10" t="inlineStr">
        <is>
          <t>Trưởng Phòng Kinh Doanh (Thủy Sản Đông Lạnh) Thu Nhập 80 Đến 100 Triệu</t>
        </is>
      </c>
      <c r="D8226" s="10" t="inlineStr">
        <is>
          <t>Công ty cổ phần xây dựng thương mại và dịch vụ Vĩnh Thịnh</t>
        </is>
      </c>
      <c r="E8226" s="10" t="inlineStr">
        <is>
          <t>80tr-100tr ₫/tháng</t>
        </is>
      </c>
      <c r="F8226" s="10" t="inlineStr">
        <is>
          <t>Hà Nội</t>
        </is>
      </c>
      <c r="G8226" s="10" t="inlineStr">
        <is>
          <t>Trưởng phòng</t>
        </is>
      </c>
      <c r="H8226" s="10" t="inlineStr">
        <is>
          <t>06/03/2026</t>
        </is>
      </c>
      <c r="I8226" s="10" t="inlineStr">
        <is>
          <t>05/04/2026</t>
        </is>
      </c>
      <c r="J8226" s="10" t="inlineStr">
        <is>
          <t>17/03/2026</t>
        </is>
      </c>
      <c r="K8226" s="10" t="inlineStr">
        <is>
          <t>N/A</t>
        </is>
      </c>
      <c r="L8226" s="10" t="inlineStr">
        <is>
          <t>Kỹ Năng Quản Lý, Phát Triển Thị Trường, Lãnh Đạo, Phân Tích Chiến Lược, Kinh Doanh Thủy Sản</t>
        </is>
      </c>
      <c r="M8226" s="10" t="inlineStr">
        <is>
          <t>Bonus, Healthcare Plan, Others</t>
        </is>
      </c>
      <c r="N8226" s="11">
        <f>HYPERLINK("https://www.vietnamworks.com/truong-phong-kinh-doanh-thuy-san-djong-lanh-thu-nhap-80-djen-100-trieu-2019642-jv","Xem chi tiết")</f>
        <v/>
      </c>
      <c r="O8226" s="10" t="n"/>
    </row>
    <row r="8227">
      <c r="B8227" s="7" t="n">
        <v>8225</v>
      </c>
      <c r="C8227" t="inlineStr">
        <is>
          <t>Test Engineer (Upto Manager)</t>
        </is>
      </c>
      <c r="D8227" t="inlineStr">
        <is>
          <t>Amkor Technology Vietnam LLC.,</t>
        </is>
      </c>
      <c r="E8227" t="inlineStr">
        <is>
          <t>$$ 600-1,500 /tháng</t>
        </is>
      </c>
      <c r="F8227" t="inlineStr">
        <is>
          <t>Bắc Ninh</t>
        </is>
      </c>
      <c r="G8227" t="inlineStr">
        <is>
          <t>Nhân viên</t>
        </is>
      </c>
      <c r="H8227" t="inlineStr">
        <is>
          <t>06/03/2026</t>
        </is>
      </c>
      <c r="I8227" t="inlineStr">
        <is>
          <t>05/04/2026</t>
        </is>
      </c>
      <c r="J8227" t="inlineStr">
        <is>
          <t>17/03/2026</t>
        </is>
      </c>
      <c r="K8227" t="inlineStr">
        <is>
          <t>N/A</t>
        </is>
      </c>
      <c r="L8227" t="inlineStr">
        <is>
          <t>Test, Radio Frequency, Failure Analysis, Automation Testing, Aoi Programming</t>
        </is>
      </c>
      <c r="M8227" t="inlineStr">
        <is>
          <t>Bonus, Laptop, Transportation</t>
        </is>
      </c>
      <c r="N8227" s="8">
        <f>HYPERLINK("https://www.vietnamworks.com/test-engineer-upto-manager-2019672-jv","Xem chi tiết")</f>
        <v/>
      </c>
    </row>
    <row r="8228">
      <c r="B8228" s="9" t="n">
        <v>8226</v>
      </c>
      <c r="C8228" s="10" t="inlineStr">
        <is>
          <t>R&amp;D Engineer (Up to Manager)</t>
        </is>
      </c>
      <c r="D8228" s="10" t="inlineStr">
        <is>
          <t>Amkor Technology Vietnam LLC.,</t>
        </is>
      </c>
      <c r="E8228" s="10" t="inlineStr">
        <is>
          <t>$$ 500-2,000 /tháng</t>
        </is>
      </c>
      <c r="F8228" s="10" t="inlineStr">
        <is>
          <t>Bắc Ninh</t>
        </is>
      </c>
      <c r="G8228" s="10" t="inlineStr">
        <is>
          <t>Nhân viên</t>
        </is>
      </c>
      <c r="H8228" s="10" t="inlineStr">
        <is>
          <t>06/03/2026</t>
        </is>
      </c>
      <c r="I8228" s="10" t="inlineStr">
        <is>
          <t>05/04/2026</t>
        </is>
      </c>
      <c r="J8228" s="10" t="inlineStr">
        <is>
          <t>17/03/2026</t>
        </is>
      </c>
      <c r="K8228" s="10" t="inlineStr">
        <is>
          <t>N/A</t>
        </is>
      </c>
      <c r="L8228" s="10" t="inlineStr">
        <is>
          <t>R&amp;D, Semiconductor, Test, Packaging, Nghiên Cứu Phát Triển</t>
        </is>
      </c>
      <c r="M8228" s="10" t="inlineStr">
        <is>
          <t>Bonus, Training, Transportation</t>
        </is>
      </c>
      <c r="N8228" s="11">
        <f>HYPERLINK("https://www.vietnamworks.com/r-d-engineer-up-to-manager--2019677-jv","Xem chi tiết")</f>
        <v/>
      </c>
      <c r="O8228" s="10" t="n"/>
    </row>
    <row r="8229">
      <c r="B8229" s="7" t="n">
        <v>8227</v>
      </c>
      <c r="C8229" t="inlineStr">
        <is>
          <t>MEP Project Manager</t>
        </is>
      </c>
      <c r="D8229" t="inlineStr">
        <is>
          <t>Reecons Mechanical Electrical Engineering Corporation</t>
        </is>
      </c>
      <c r="E8229" t="inlineStr">
        <is>
          <t>$$ 1,000-1,500 /tháng</t>
        </is>
      </c>
      <c r="F8229" t="inlineStr">
        <is>
          <t>Hồ Chí Minh</t>
        </is>
      </c>
      <c r="G8229" t="inlineStr">
        <is>
          <t>Trưởng phòng</t>
        </is>
      </c>
      <c r="H8229" t="inlineStr">
        <is>
          <t>06/03/2026</t>
        </is>
      </c>
      <c r="I8229" t="inlineStr">
        <is>
          <t>05/04/2026</t>
        </is>
      </c>
      <c r="J8229" t="inlineStr">
        <is>
          <t>17/03/2026</t>
        </is>
      </c>
      <c r="K8229" t="inlineStr">
        <is>
          <t>N/A</t>
        </is>
      </c>
      <c r="L8229" t="inlineStr">
        <is>
          <t>Electrical Engineering, HVAC, HVAC System Design, Mechanical Engineering</t>
        </is>
      </c>
      <c r="M8229" t="inlineStr">
        <is>
          <t>Bonus, Training, Others</t>
        </is>
      </c>
      <c r="N8229" s="8">
        <f>HYPERLINK("https://www.vietnamworks.com/mep-project-manager-2019680-jv","Xem chi tiết")</f>
        <v/>
      </c>
    </row>
    <row r="8230">
      <c r="B8230" s="9" t="n">
        <v>8228</v>
      </c>
      <c r="C8230" s="10" t="inlineStr">
        <is>
          <t>Nhân Viên Kho (Ngành Dược Phẩm - Y Tế)</t>
        </is>
      </c>
      <c r="D8230" s="10" t="inlineStr">
        <is>
          <t>Công Ty Cổ Phần Dược Phẩm 3/2</t>
        </is>
      </c>
      <c r="E8230" s="10" t="inlineStr">
        <is>
          <t>$$ 300-450 /tháng</t>
        </is>
      </c>
      <c r="F8230" s="10" t="inlineStr">
        <is>
          <t>Hồ Chí Minh</t>
        </is>
      </c>
      <c r="G8230" s="10" t="inlineStr">
        <is>
          <t>Nhân viên</t>
        </is>
      </c>
      <c r="H8230" s="10" t="inlineStr">
        <is>
          <t>06/03/2026</t>
        </is>
      </c>
      <c r="I8230" s="10" t="inlineStr">
        <is>
          <t>05/04/2026</t>
        </is>
      </c>
      <c r="J8230" s="10" t="inlineStr">
        <is>
          <t>17/03/2026</t>
        </is>
      </c>
      <c r="K8230" s="10" t="inlineStr">
        <is>
          <t>N/A</t>
        </is>
      </c>
      <c r="L8230" s="10" t="inlineStr">
        <is>
          <t>Dược, Xuất Nhập Khẩu Hàng Hóa, Bảo Quản Kho Thuốc, Quản Lý Hàng Hoá, Báo Cáo Tồn Kho</t>
        </is>
      </c>
      <c r="M8230" s="10" t="inlineStr">
        <is>
          <t>Bonus, Paid Leave, Travel Opportunities</t>
        </is>
      </c>
      <c r="N8230" s="11">
        <f>HYPERLINK("https://www.vietnamworks.com/nhan-vien-kho-nganh-duoc-pham-y-te--2019679-jv","Xem chi tiết")</f>
        <v/>
      </c>
      <c r="O8230" s="10" t="n"/>
    </row>
    <row r="8231">
      <c r="B8231" s="7" t="n">
        <v>8229</v>
      </c>
      <c r="C8231" t="inlineStr">
        <is>
          <t>Nhân Viên Kinh Doanh Bản Quyền Phần Mềm - Lương Không Giới Hạn</t>
        </is>
      </c>
      <c r="D8231" t="inlineStr">
        <is>
          <t>PACISOFT VIET NAM CO., LTD</t>
        </is>
      </c>
      <c r="E8231" t="inlineStr">
        <is>
          <t>Thương lượng</t>
        </is>
      </c>
      <c r="F8231" t="inlineStr">
        <is>
          <t>Hà Nội, Hồ Chí Minh</t>
        </is>
      </c>
      <c r="G8231" t="inlineStr">
        <is>
          <t>Nhân viên</t>
        </is>
      </c>
      <c r="H8231" t="inlineStr">
        <is>
          <t>06/03/2026</t>
        </is>
      </c>
      <c r="I8231" t="inlineStr">
        <is>
          <t>05/04/2026</t>
        </is>
      </c>
      <c r="J8231" t="inlineStr">
        <is>
          <t>17/03/2026</t>
        </is>
      </c>
      <c r="K8231" t="inlineStr">
        <is>
          <t>N/A</t>
        </is>
      </c>
      <c r="L8231" t="inlineStr">
        <is>
          <t>Tư Vấn, Bán hàng, Kinh Doanh, Sales, phần mềm</t>
        </is>
      </c>
      <c r="M8231" t="inlineStr">
        <is>
          <t>Bonus, Healthcare Plan, Paid Leave, Training, Laptop, Team Activities, Transportation, Others</t>
        </is>
      </c>
      <c r="N8231" s="8">
        <f>HYPERLINK("https://www.vietnamworks.com/nhan-vien-kinh-doanh-ban-quyen-phan-mem-luong-khong-gioi-han-2019675-jv","Xem chi tiết")</f>
        <v/>
      </c>
    </row>
    <row r="8232">
      <c r="B8232" s="9" t="n">
        <v>8230</v>
      </c>
      <c r="C8232" s="10" t="inlineStr">
        <is>
          <t>Kế Toán Trưởng/ Chief Accountant</t>
        </is>
      </c>
      <c r="D8232" s="10" t="inlineStr">
        <is>
          <t>Công Ty TNHH Weddingbook Việt Nam</t>
        </is>
      </c>
      <c r="E8232" s="10" t="inlineStr">
        <is>
          <t>$$ 1,200-1,400 /tháng</t>
        </is>
      </c>
      <c r="F8232" s="10" t="inlineStr">
        <is>
          <t>Hồ Chí Minh</t>
        </is>
      </c>
      <c r="G8232" s="10" t="inlineStr">
        <is>
          <t>Trưởng phòng</t>
        </is>
      </c>
      <c r="H8232" s="10" t="inlineStr">
        <is>
          <t>06/03/2026</t>
        </is>
      </c>
      <c r="I8232" s="10" t="inlineStr">
        <is>
          <t>05/04/2026</t>
        </is>
      </c>
      <c r="J8232" s="10" t="inlineStr">
        <is>
          <t>17/03/2026</t>
        </is>
      </c>
      <c r="K8232" s="10" t="inlineStr">
        <is>
          <t>N/A</t>
        </is>
      </c>
      <c r="L8232" s="10" t="inlineStr">
        <is>
          <t>Kế Toán, Finance, Báo Cáo Tài Chính, Management Accounting, Nghiệp Vụ Kế Toán</t>
        </is>
      </c>
      <c r="M8232" s="10" t="inlineStr">
        <is>
          <t>Laptop, Canteen, Vouchers</t>
        </is>
      </c>
      <c r="N8232" s="11">
        <f>HYPERLINK("https://www.vietnamworks.com/ke-toan-truong-chief-accountant--2019684-jv","Xem chi tiết")</f>
        <v/>
      </c>
      <c r="O8232" s="10" t="n"/>
    </row>
    <row r="8233">
      <c r="B8233" s="7" t="n">
        <v>8231</v>
      </c>
      <c r="C8233" t="inlineStr">
        <is>
          <t>EPC Feed Project Manager</t>
        </is>
      </c>
      <c r="D8233" t="inlineStr">
        <is>
          <t>Reecons Mechanical Electrical Engineering Corporation</t>
        </is>
      </c>
      <c r="E8233" t="inlineStr">
        <is>
          <t>$$ 1,000-2,000 /tháng</t>
        </is>
      </c>
      <c r="F8233" t="inlineStr">
        <is>
          <t>Hồ Chí Minh</t>
        </is>
      </c>
      <c r="G8233" t="inlineStr">
        <is>
          <t>Trưởng phòng</t>
        </is>
      </c>
      <c r="H8233" t="inlineStr">
        <is>
          <t>06/03/2026</t>
        </is>
      </c>
      <c r="I8233" t="inlineStr">
        <is>
          <t>05/04/2026</t>
        </is>
      </c>
      <c r="J8233" t="inlineStr">
        <is>
          <t>17/03/2026</t>
        </is>
      </c>
      <c r="K8233" t="inlineStr">
        <is>
          <t>N/A</t>
        </is>
      </c>
      <c r="L8233" t="inlineStr">
        <is>
          <t>Cơ Điện, Kết cấu, Project Management, Quản Lý Dự Án</t>
        </is>
      </c>
      <c r="M8233" t="inlineStr">
        <is>
          <t>Bonus, Training, Others</t>
        </is>
      </c>
      <c r="N8233" s="8">
        <f>HYPERLINK("https://www.vietnamworks.com/epc-feed-project-manager-2019686-jv","Xem chi tiết")</f>
        <v/>
      </c>
    </row>
    <row r="8234">
      <c r="B8234" s="9" t="n">
        <v>8232</v>
      </c>
      <c r="C8234" s="10" t="inlineStr">
        <is>
          <t>Data Protection Officer (French Speaking) - Master Data Lifecycle Steward</t>
        </is>
      </c>
      <c r="D8234" s="10" t="inlineStr">
        <is>
          <t>Công Ty TNHH Socotec Việt Nam</t>
        </is>
      </c>
      <c r="E8234" s="10" t="inlineStr">
        <is>
          <t>25tr-40tr ₫/tháng</t>
        </is>
      </c>
      <c r="F8234" s="10" t="inlineStr">
        <is>
          <t>Hà Nội, Hồ Chí Minh</t>
        </is>
      </c>
      <c r="G8234" s="10" t="inlineStr">
        <is>
          <t>Nhân viên</t>
        </is>
      </c>
      <c r="H8234" s="10" t="inlineStr">
        <is>
          <t>06/03/2026</t>
        </is>
      </c>
      <c r="I8234" s="10" t="inlineStr">
        <is>
          <t>05/04/2026</t>
        </is>
      </c>
      <c r="J8234" s="10" t="inlineStr">
        <is>
          <t>17/03/2026</t>
        </is>
      </c>
      <c r="K8234" s="10" t="inlineStr">
        <is>
          <t>N/A</t>
        </is>
      </c>
      <c r="L8234" s="10" t="inlineStr">
        <is>
          <t>Data Management, Data protection regulations, Data Quality Assurance, Database Software, Interpersonal Skills</t>
        </is>
      </c>
      <c r="M8234" s="10" t="inlineStr">
        <is>
          <t>Bonus, Healthcare Plan, Paid Leave, Training, Team Activities, Others</t>
        </is>
      </c>
      <c r="N8234" s="11">
        <f>HYPERLINK("https://www.vietnamworks.com/data-protection-officer-french-speaking-master-data-lifecycle-steward-2019681-jv","Xem chi tiết")</f>
        <v/>
      </c>
      <c r="O8234" s="10" t="n"/>
    </row>
    <row r="8235">
      <c r="B8235" s="7" t="n">
        <v>8233</v>
      </c>
      <c r="C8235" t="inlineStr">
        <is>
          <t>Sales Executive – Logistics (Open for Freshers | 6–20 Million/month + Commission)</t>
        </is>
      </c>
      <c r="D8235" t="inlineStr">
        <is>
          <t>Cil Asia Vietnam Co., Ltd</t>
        </is>
      </c>
      <c r="E8235" t="inlineStr">
        <is>
          <t>10tr-20tr ₫/tháng</t>
        </is>
      </c>
      <c r="F8235" t="inlineStr">
        <is>
          <t>Hồ Chí Minh</t>
        </is>
      </c>
      <c r="G8235" t="inlineStr">
        <is>
          <t>Nhân viên</t>
        </is>
      </c>
      <c r="H8235" t="inlineStr">
        <is>
          <t>06/03/2026</t>
        </is>
      </c>
      <c r="I8235" t="inlineStr">
        <is>
          <t>05/04/2026</t>
        </is>
      </c>
      <c r="J8235" t="inlineStr">
        <is>
          <t>17/03/2026</t>
        </is>
      </c>
      <c r="K8235" t="inlineStr">
        <is>
          <t>N/A</t>
        </is>
      </c>
      <c r="L8235" t="inlineStr">
        <is>
          <t>Sales Management, Business Development, International Trade, Logistics Sales, Foreign Trade</t>
        </is>
      </c>
      <c r="M8235" t="inlineStr">
        <is>
          <t>Bonus, Healthcare Plan, Training</t>
        </is>
      </c>
      <c r="N8235" s="8">
        <f>HYPERLINK("https://www.vietnamworks.com/sales-executive-logistics-open-for-freshers-6-20-million-month-commission-2019687-jv","Xem chi tiết")</f>
        <v/>
      </c>
    </row>
    <row r="8236">
      <c r="B8236" s="9" t="n">
        <v>8234</v>
      </c>
      <c r="C8236" s="10" t="inlineStr">
        <is>
          <t>Kỹ Sư/ Chuyên Gia Kiến Trúc &amp; Kết Cấu EPC PM</t>
        </is>
      </c>
      <c r="D8236" s="10" t="inlineStr">
        <is>
          <t>Reecons Mechanical Electrical Engineering Corporation</t>
        </is>
      </c>
      <c r="E8236" s="10" t="inlineStr">
        <is>
          <t>$$ 1,500-2,000 /tháng</t>
        </is>
      </c>
      <c r="F8236" s="10" t="inlineStr">
        <is>
          <t>Hồ Chí Minh</t>
        </is>
      </c>
      <c r="G8236" s="10" t="inlineStr">
        <is>
          <t>Nhân viên</t>
        </is>
      </c>
      <c r="H8236" s="10" t="inlineStr">
        <is>
          <t>06/03/2026</t>
        </is>
      </c>
      <c r="I8236" s="10" t="inlineStr">
        <is>
          <t>05/04/2026</t>
        </is>
      </c>
      <c r="J8236" s="10" t="inlineStr">
        <is>
          <t>17/03/2026</t>
        </is>
      </c>
      <c r="K8236" s="10" t="inlineStr">
        <is>
          <t>N/A</t>
        </is>
      </c>
      <c r="L8236" s="10" t="inlineStr">
        <is>
          <t>BIM, Kiến Trúc Công Nghiệp, Quản Lý Dự Án, Thiết Kế Biện Pháp Thi Công, Thiết Kế Kết Cấu Thép</t>
        </is>
      </c>
      <c r="M8236" s="10" t="inlineStr">
        <is>
          <t>Bonus, Training, Others</t>
        </is>
      </c>
      <c r="N8236" s="11">
        <f>HYPERLINK("https://www.vietnamworks.com/ky-su-chuyen-gia-kien-truc-and-ket-cau-epc-pm-2019690-jv","Xem chi tiết")</f>
        <v/>
      </c>
      <c r="O8236" s="10" t="n"/>
    </row>
    <row r="8237">
      <c r="B8237" s="7" t="n">
        <v>8235</v>
      </c>
      <c r="C8237" t="inlineStr">
        <is>
          <t>[Tuyển Gấp] Kỹ Sư Kinh Tế Xây Dựng</t>
        </is>
      </c>
      <c r="D8237" t="inlineStr">
        <is>
          <t>Flamingo Holdings Group</t>
        </is>
      </c>
      <c r="E8237" t="inlineStr">
        <is>
          <t>Thương lượng</t>
        </is>
      </c>
      <c r="F8237" t="inlineStr">
        <is>
          <t>Hà Nội</t>
        </is>
      </c>
      <c r="G8237" t="inlineStr">
        <is>
          <t>Nhân viên</t>
        </is>
      </c>
      <c r="H8237" t="inlineStr">
        <is>
          <t>06/03/2026</t>
        </is>
      </c>
      <c r="I8237" t="inlineStr">
        <is>
          <t>05/04/2026</t>
        </is>
      </c>
      <c r="J8237" t="inlineStr">
        <is>
          <t>17/03/2026</t>
        </is>
      </c>
      <c r="K8237" t="inlineStr">
        <is>
          <t>N/A</t>
        </is>
      </c>
      <c r="L8237" t="inlineStr">
        <is>
          <t>Xây Dựng, Bóc Tách Khối Lượng, Dự Toán, MEP, Đấu Thầu</t>
        </is>
      </c>
      <c r="M8237" t="inlineStr">
        <is>
          <t>Bonus, Healthcare Plan, Training, Travel Opportunities, Canteen, Others</t>
        </is>
      </c>
      <c r="N8237" s="8">
        <f>HYPERLINK("https://www.vietnamworks.com/tuyen-gap-ky-su-kinh-te-xay-dung-2019699-jv","Xem chi tiết")</f>
        <v/>
      </c>
    </row>
    <row r="8238">
      <c r="B8238" s="9" t="n">
        <v>8236</v>
      </c>
      <c r="C8238" s="10" t="inlineStr">
        <is>
          <t>Senior Team Lead Payroll &amp; SHUI</t>
        </is>
      </c>
      <c r="D8238" s="10" t="inlineStr">
        <is>
          <t>Coherent Vietnam</t>
        </is>
      </c>
      <c r="E8238" s="10" t="inlineStr">
        <is>
          <t>$$ 1,750-2,250 /tháng</t>
        </is>
      </c>
      <c r="F8238" s="10" t="inlineStr">
        <is>
          <t>Đồng Nai</t>
        </is>
      </c>
      <c r="G8238" s="10" t="inlineStr">
        <is>
          <t>Trưởng phòng</t>
        </is>
      </c>
      <c r="H8238" s="10" t="inlineStr">
        <is>
          <t>06/03/2026</t>
        </is>
      </c>
      <c r="I8238" s="10" t="inlineStr">
        <is>
          <t>05/04/2026</t>
        </is>
      </c>
      <c r="J8238" s="10" t="inlineStr">
        <is>
          <t>17/03/2026</t>
        </is>
      </c>
      <c r="K8238" s="10" t="inlineStr">
        <is>
          <t>N/A</t>
        </is>
      </c>
      <c r="L8238" s="10" t="inlineStr">
        <is>
          <t>SHUI law, Pit Regulations, SAP GUI, Reporting Skill, English Communicate</t>
        </is>
      </c>
      <c r="M8238" s="10" t="inlineStr">
        <is>
          <t>Bonus, Healthcare Plan, Travel Opportunities</t>
        </is>
      </c>
      <c r="N8238" s="11">
        <f>HYPERLINK("https://www.vietnamworks.com/senior-team-lead-payroll-shui-2019695-jv","Xem chi tiết")</f>
        <v/>
      </c>
      <c r="O8238" s="10" t="n"/>
    </row>
    <row r="8239">
      <c r="B8239" s="7" t="n">
        <v>8237</v>
      </c>
      <c r="C8239" t="inlineStr">
        <is>
          <t>BIM Engineer</t>
        </is>
      </c>
      <c r="D8239" t="inlineStr">
        <is>
          <t>Công Ty TNHH Socotec Việt Nam</t>
        </is>
      </c>
      <c r="E8239" t="inlineStr">
        <is>
          <t>18tr-25tr ₫/tháng</t>
        </is>
      </c>
      <c r="F8239" t="inlineStr">
        <is>
          <t>Hà Nội, Hồ Chí Minh</t>
        </is>
      </c>
      <c r="G8239" t="inlineStr">
        <is>
          <t>Nhân viên</t>
        </is>
      </c>
      <c r="H8239" t="inlineStr">
        <is>
          <t>06/03/2026</t>
        </is>
      </c>
      <c r="I8239" t="inlineStr">
        <is>
          <t>05/04/2026</t>
        </is>
      </c>
      <c r="J8239" t="inlineStr">
        <is>
          <t>17/03/2026</t>
        </is>
      </c>
      <c r="K8239" t="inlineStr">
        <is>
          <t>N/A</t>
        </is>
      </c>
      <c r="L8239" t="inlineStr">
        <is>
          <t>BIM Application, Civil 3D, English Communication, Navisworks, Revit</t>
        </is>
      </c>
      <c r="M8239" t="inlineStr">
        <is>
          <t>Bonus, Healthcare Plan, Paid Leave, Training, Team Activities, Others</t>
        </is>
      </c>
      <c r="N8239" s="8">
        <f>HYPERLINK("https://www.vietnamworks.com/bim-engineer-2019692-jv","Xem chi tiết")</f>
        <v/>
      </c>
    </row>
    <row r="8240">
      <c r="B8240" s="9" t="n">
        <v>8238</v>
      </c>
      <c r="C8240" s="10" t="inlineStr">
        <is>
          <t>Chuyên Viên Hợp Đồng/contract Specialist</t>
        </is>
      </c>
      <c r="D8240" s="10" t="inlineStr">
        <is>
          <t>Công Ty CP Tập Đoàn Đầu Tư Việt Phương</t>
        </is>
      </c>
      <c r="E8240" s="10" t="inlineStr">
        <is>
          <t>Tới $ 900 /tháng</t>
        </is>
      </c>
      <c r="F8240" s="10" t="inlineStr">
        <is>
          <t>Hà Nội</t>
        </is>
      </c>
      <c r="G8240" s="10" t="inlineStr">
        <is>
          <t>Nhân viên</t>
        </is>
      </c>
      <c r="H8240" s="10" t="inlineStr">
        <is>
          <t>06/03/2026</t>
        </is>
      </c>
      <c r="I8240" s="10" t="inlineStr">
        <is>
          <t>05/04/2026</t>
        </is>
      </c>
      <c r="J8240" s="10" t="inlineStr">
        <is>
          <t>17/03/2026</t>
        </is>
      </c>
      <c r="K8240" s="10" t="inlineStr">
        <is>
          <t>N/A</t>
        </is>
      </c>
      <c r="L8240" s="10" t="inlineStr">
        <is>
          <t>Hợp đồng thương mại, Kiểm Tra Đánh Giá Hợp Đồng, Kinh Nghiệm Soạn Thảo Hợp Đồng, Quản lí Hợp đồng, Đàm Phán Hợp Đồng</t>
        </is>
      </c>
      <c r="M8240" s="10" t="inlineStr">
        <is>
          <t>Bonus, Healthcare Plan, Laptop</t>
        </is>
      </c>
      <c r="N8240" s="11">
        <f>HYPERLINK("https://www.vietnamworks.com/chuyen-vien-hop-dong-contract-specialist--2019700-jv","Xem chi tiết")</f>
        <v/>
      </c>
      <c r="O8240" s="10" t="n"/>
    </row>
    <row r="8241">
      <c r="B8241" s="7" t="n">
        <v>8239</v>
      </c>
      <c r="C8241" t="inlineStr">
        <is>
          <t>BIM Team Leader</t>
        </is>
      </c>
      <c r="D8241" t="inlineStr">
        <is>
          <t>Công Ty TNHH Socotec Việt Nam</t>
        </is>
      </c>
      <c r="E8241" t="inlineStr">
        <is>
          <t>20tr-25tr ₫/tháng</t>
        </is>
      </c>
      <c r="F8241" t="inlineStr">
        <is>
          <t>Hà Nội</t>
        </is>
      </c>
      <c r="G8241" t="inlineStr">
        <is>
          <t>Trưởng phòng</t>
        </is>
      </c>
      <c r="H8241" t="inlineStr">
        <is>
          <t>06/03/2026</t>
        </is>
      </c>
      <c r="I8241" t="inlineStr">
        <is>
          <t>05/04/2026</t>
        </is>
      </c>
      <c r="J8241" t="inlineStr">
        <is>
          <t>17/03/2026</t>
        </is>
      </c>
      <c r="K8241" t="inlineStr">
        <is>
          <t>N/A</t>
        </is>
      </c>
      <c r="L8241" t="inlineStr">
        <is>
          <t>BIM Application, Civil 3D, English Fluency, Navisworks, Revit</t>
        </is>
      </c>
      <c r="M8241" t="inlineStr">
        <is>
          <t>Bonus, Healthcare Plan, Paid Leave, Training, Team Activities, Others</t>
        </is>
      </c>
      <c r="N8241" s="8">
        <f>HYPERLINK("https://www.vietnamworks.com/bim-team-leader-2019691-jv","Xem chi tiết")</f>
        <v/>
      </c>
    </row>
    <row r="8242">
      <c r="B8242" s="9" t="n">
        <v>8240</v>
      </c>
      <c r="C8242" s="10" t="inlineStr">
        <is>
          <t xml:space="preserve">BIM MEP Leader </t>
        </is>
      </c>
      <c r="D8242" s="10" t="inlineStr">
        <is>
          <t>Công Ty TNHH Socotec Việt Nam</t>
        </is>
      </c>
      <c r="E8242" s="10" t="inlineStr">
        <is>
          <t>20tr-29tr ₫/tháng</t>
        </is>
      </c>
      <c r="F8242" s="10" t="inlineStr">
        <is>
          <t>Hà Nội</t>
        </is>
      </c>
      <c r="G8242" s="10" t="inlineStr">
        <is>
          <t>Nhân viên</t>
        </is>
      </c>
      <c r="H8242" s="10" t="inlineStr">
        <is>
          <t>06/03/2026</t>
        </is>
      </c>
      <c r="I8242" s="10" t="inlineStr">
        <is>
          <t>05/04/2026</t>
        </is>
      </c>
      <c r="J8242" s="10" t="inlineStr">
        <is>
          <t>17/03/2026</t>
        </is>
      </c>
      <c r="K8242" s="10" t="inlineStr">
        <is>
          <t>N/A</t>
        </is>
      </c>
      <c r="L8242" s="10" t="inlineStr">
        <is>
          <t>BIM Engineering, Communication Skills, MEP Construction, Problem-solving, Revit</t>
        </is>
      </c>
      <c r="M8242" s="10" t="inlineStr">
        <is>
          <t>Bonus, Healthcare Plan, Paid Leave, Training, Team Activities</t>
        </is>
      </c>
      <c r="N8242" s="11">
        <f>HYPERLINK("https://www.vietnamworks.com/bim-mep-leader-2019688-jv","Xem chi tiết")</f>
        <v/>
      </c>
      <c r="O8242" s="10" t="n"/>
    </row>
    <row r="8243">
      <c r="B8243" s="7" t="n">
        <v>8241</v>
      </c>
      <c r="C8243" t="inlineStr">
        <is>
          <t>Chuyên Viên Kinh Doanh Giải Pháp Công Nghệ</t>
        </is>
      </c>
      <c r="D8243" t="inlineStr">
        <is>
          <t>Công ty Cổ phần Thông minh MK</t>
        </is>
      </c>
      <c r="E8243" t="inlineStr">
        <is>
          <t>Thương lượng</t>
        </is>
      </c>
      <c r="F8243" t="inlineStr">
        <is>
          <t>Hồ Chí Minh</t>
        </is>
      </c>
      <c r="G8243" t="inlineStr">
        <is>
          <t>Nhân viên</t>
        </is>
      </c>
      <c r="H8243" t="inlineStr">
        <is>
          <t>06/03/2026</t>
        </is>
      </c>
      <c r="I8243" t="inlineStr">
        <is>
          <t>05/04/2026</t>
        </is>
      </c>
      <c r="J8243" t="inlineStr">
        <is>
          <t>17/03/2026</t>
        </is>
      </c>
      <c r="K8243" t="inlineStr">
        <is>
          <t>N/A</t>
        </is>
      </c>
      <c r="L8243" t="inlineStr">
        <is>
          <t>Giao Tiếp Tiếng Anh, Chăm Sóc Khách Hàng, Giải Pháp Công Nghệ, Giao Dịch, Phát Triển Kinh Doanh</t>
        </is>
      </c>
      <c r="M8243" t="inlineStr">
        <is>
          <t>Bonus, Healthcare Plan, Paid Leave, Training, Team Activities, Others</t>
        </is>
      </c>
      <c r="N8243" s="8">
        <f>HYPERLINK("https://www.vietnamworks.com/chuyen-vien-kinh-doanh-giai-phap-cong-nghe-2019701-jv","Xem chi tiết")</f>
        <v/>
      </c>
    </row>
    <row r="8244">
      <c r="B8244" s="9" t="n">
        <v>8242</v>
      </c>
      <c r="C8244" s="10" t="inlineStr">
        <is>
          <t>Chuyên Viên Quản Trị Thủ Tục Ngành BĐS (12-15 Triệu + %hoa Hồng)</t>
        </is>
      </c>
      <c r="D8244" s="10" t="inlineStr">
        <is>
          <t>Công Ty Cổ Phần Bất Động Sản BHS</t>
        </is>
      </c>
      <c r="E8244" s="10" t="inlineStr">
        <is>
          <t>12tr-15tr ₫/tháng</t>
        </is>
      </c>
      <c r="F8244" s="10" t="inlineStr">
        <is>
          <t>Hà Nội</t>
        </is>
      </c>
      <c r="G8244" s="10" t="inlineStr">
        <is>
          <t>Nhân viên</t>
        </is>
      </c>
      <c r="H8244" s="10" t="inlineStr">
        <is>
          <t>06/03/2026</t>
        </is>
      </c>
      <c r="I8244" s="10" t="inlineStr">
        <is>
          <t>05/04/2026</t>
        </is>
      </c>
      <c r="J8244" s="10" t="inlineStr">
        <is>
          <t>17/03/2026</t>
        </is>
      </c>
      <c r="K8244" s="10" t="inlineStr">
        <is>
          <t>N/A</t>
        </is>
      </c>
      <c r="L8244" s="10" t="inlineStr">
        <is>
          <t>Tin Học Văn Phòng, Quản Trị Công Việc, Soạn thảo công văn, Thị Trường Bất Động Sản, Thủ Tục Bất Động Sản</t>
        </is>
      </c>
      <c r="M8244" s="10" t="inlineStr">
        <is>
          <t>Bonus, Healthcare Plan, Paid Leave, Training, Travel Opportunities, Others</t>
        </is>
      </c>
      <c r="N8244" s="11">
        <f>HYPERLINK("https://www.vietnamworks.com/chuyen-vien-quan-tri-thu-tuc-nganh-bdjs-12-15-trieu-percenthoa-hong-2019711-jv","Xem chi tiết")</f>
        <v/>
      </c>
      <c r="O8244" s="10" t="n"/>
    </row>
    <row r="8245">
      <c r="B8245" s="7" t="n">
        <v>8243</v>
      </c>
      <c r="C8245" t="inlineStr">
        <is>
          <t>Kỹ Sư BIM</t>
        </is>
      </c>
      <c r="D8245" t="inlineStr">
        <is>
          <t>Công Ty Cổ Phần Kỹ Thuật Sigma</t>
        </is>
      </c>
      <c r="E8245" t="inlineStr">
        <is>
          <t>Thương lượng</t>
        </is>
      </c>
      <c r="F8245" t="inlineStr">
        <is>
          <t>Hà Nội, Lào Cai, Quảng Ninh</t>
        </is>
      </c>
      <c r="G8245" t="inlineStr">
        <is>
          <t>Nhân viên</t>
        </is>
      </c>
      <c r="H8245" t="inlineStr">
        <is>
          <t>06/03/2026</t>
        </is>
      </c>
      <c r="I8245" t="inlineStr">
        <is>
          <t>05/04/2026</t>
        </is>
      </c>
      <c r="J8245" t="inlineStr">
        <is>
          <t>17/03/2026</t>
        </is>
      </c>
      <c r="K8245" t="inlineStr">
        <is>
          <t>N/A</t>
        </is>
      </c>
      <c r="L8245" t="inlineStr">
        <is>
          <t>BIM, Auto CAD, Revit, Triển Khai Bản Vẽ, Cơ Điện</t>
        </is>
      </c>
      <c r="M8245" t="inlineStr">
        <is>
          <t>Bonus, Healthcare Plan, Others</t>
        </is>
      </c>
      <c r="N8245" s="8">
        <f>HYPERLINK("https://www.vietnamworks.com/ky-su-bim--2019705-jv","Xem chi tiết")</f>
        <v/>
      </c>
    </row>
    <row r="8246">
      <c r="B8246" s="9" t="n">
        <v>8244</v>
      </c>
      <c r="C8246" s="10" t="inlineStr">
        <is>
          <t>Kỹ Thuật Viên Bảo Trì Điện (Bộ Phận Thiết Bị)</t>
        </is>
      </c>
      <c r="D8246" s="10" t="inlineStr">
        <is>
          <t>Bridgestone Tire Manufacturing Vietnam LLC</t>
        </is>
      </c>
      <c r="E8246" s="10" t="inlineStr">
        <is>
          <t>Thương lượng</t>
        </is>
      </c>
      <c r="F8246" s="10" t="inlineStr">
        <is>
          <t>Hải Phòng</t>
        </is>
      </c>
      <c r="G8246" s="10" t="inlineStr">
        <is>
          <t>Mới Tốt Nghiệp</t>
        </is>
      </c>
      <c r="H8246" s="10" t="inlineStr">
        <is>
          <t>06/03/2026</t>
        </is>
      </c>
      <c r="I8246" s="10" t="inlineStr">
        <is>
          <t>05/04/2026</t>
        </is>
      </c>
      <c r="J8246" s="10" t="inlineStr">
        <is>
          <t>17/03/2026</t>
        </is>
      </c>
      <c r="K8246" s="10" t="inlineStr">
        <is>
          <t>N/A</t>
        </is>
      </c>
      <c r="L8246" s="10" t="inlineStr">
        <is>
          <t>Bảo Trì Điện, Điện Công Nghiệp, Điện Tự Động Hóa, Xử Lý Sự Cố, An Toàn Lao Động</t>
        </is>
      </c>
      <c r="M8246" s="10" t="inlineStr">
        <is>
          <t>Bonus, Healthcare Plan, Others</t>
        </is>
      </c>
      <c r="N8246" s="11">
        <f>HYPERLINK("https://www.vietnamworks.com/ky-thuat-vien-bao-tri-dien-bo-phan-thiet-bi--2019693-jv","Xem chi tiết")</f>
        <v/>
      </c>
      <c r="O8246" s="10" t="n"/>
    </row>
    <row r="8247">
      <c r="B8247" s="7" t="n">
        <v>8245</v>
      </c>
      <c r="C8247" t="inlineStr">
        <is>
          <t>Chuyên Viên Công Nghệ May</t>
        </is>
      </c>
      <c r="D8247" t="inlineStr">
        <is>
          <t>Công Ty TNHH YKK Việt Nam - Chi nhánh Hà Nam</t>
        </is>
      </c>
      <c r="E8247" t="inlineStr">
        <is>
          <t>Thương lượng</t>
        </is>
      </c>
      <c r="F8247" t="inlineStr">
        <is>
          <t>Ninh Bình</t>
        </is>
      </c>
      <c r="G8247" t="inlineStr">
        <is>
          <t>Nhân viên</t>
        </is>
      </c>
      <c r="H8247" t="inlineStr">
        <is>
          <t>06/03/2026</t>
        </is>
      </c>
      <c r="I8247" t="inlineStr">
        <is>
          <t>05/04/2026</t>
        </is>
      </c>
      <c r="J8247" t="inlineStr">
        <is>
          <t>17/03/2026</t>
        </is>
      </c>
      <c r="K8247" t="inlineStr">
        <is>
          <t>N/A</t>
        </is>
      </c>
      <c r="L8247" t="inlineStr">
        <is>
          <t>May Mặc, Sản Xuất Dệt May, Kỹ Thuật May Mặc, Kỹ Thuật, Dệt May</t>
        </is>
      </c>
      <c r="M8247" t="inlineStr">
        <is>
          <t>Bonus, Healthcare Plan, Others</t>
        </is>
      </c>
      <c r="N8247" s="8">
        <f>HYPERLINK("https://www.vietnamworks.com/chuyen-vien-cong-nghe-may--2019708-jv","Xem chi tiết")</f>
        <v/>
      </c>
    </row>
    <row r="8248">
      <c r="B8248" s="9" t="n">
        <v>8246</v>
      </c>
      <c r="C8248" s="10" t="inlineStr">
        <is>
          <t>Construction Material Testing Engineer</t>
        </is>
      </c>
      <c r="D8248" s="10" t="inlineStr">
        <is>
          <t>Công Ty TNHH Socotec Việt Nam</t>
        </is>
      </c>
      <c r="E8248" s="10" t="inlineStr">
        <is>
          <t>18tr-25tr ₫/tháng</t>
        </is>
      </c>
      <c r="F8248" s="10" t="inlineStr">
        <is>
          <t>Hà Nội, Hồ Chí Minh</t>
        </is>
      </c>
      <c r="G8248" s="10" t="inlineStr">
        <is>
          <t>Nhân viên</t>
        </is>
      </c>
      <c r="H8248" s="10" t="inlineStr">
        <is>
          <t>06/03/2026</t>
        </is>
      </c>
      <c r="I8248" s="10" t="inlineStr">
        <is>
          <t>05/04/2026</t>
        </is>
      </c>
      <c r="J8248" s="10" t="inlineStr">
        <is>
          <t>17/03/2026</t>
        </is>
      </c>
      <c r="K8248" s="10" t="inlineStr">
        <is>
          <t>N/A</t>
        </is>
      </c>
      <c r="L8248" s="10" t="inlineStr">
        <is>
          <t>Analytical Skills, ASTM, Civil Engineering, Geotechnical, Material Testing</t>
        </is>
      </c>
      <c r="M8248" s="10" t="inlineStr">
        <is>
          <t>Bonus, Healthcare Plan, Paid Leave, Training, Team Activities, Others</t>
        </is>
      </c>
      <c r="N8248" s="11">
        <f>HYPERLINK("https://www.vietnamworks.com/construction-material-testing-engineer-2019696-jv","Xem chi tiết")</f>
        <v/>
      </c>
      <c r="O8248" s="10" t="n"/>
    </row>
    <row r="8249">
      <c r="B8249" s="7" t="n">
        <v>8247</v>
      </c>
      <c r="C8249" t="inlineStr">
        <is>
          <t>Chuyên Viên Xuất Nhập Khẩu</t>
        </is>
      </c>
      <c r="D8249" t="inlineStr">
        <is>
          <t>Công Ty CP Tập Đoàn Đầu Tư Việt Phương</t>
        </is>
      </c>
      <c r="E8249" t="inlineStr">
        <is>
          <t>Tới $ 1,000 /tháng</t>
        </is>
      </c>
      <c r="F8249" t="inlineStr">
        <is>
          <t>Hà Nội</t>
        </is>
      </c>
      <c r="G8249" t="inlineStr">
        <is>
          <t>Nhân viên</t>
        </is>
      </c>
      <c r="H8249" t="inlineStr">
        <is>
          <t>06/03/2026</t>
        </is>
      </c>
      <c r="I8249" t="inlineStr">
        <is>
          <t>05/04/2026</t>
        </is>
      </c>
      <c r="J8249" t="inlineStr">
        <is>
          <t>17/03/2026</t>
        </is>
      </c>
      <c r="K8249" t="inlineStr">
        <is>
          <t>N/A</t>
        </is>
      </c>
      <c r="L8249" t="inlineStr">
        <is>
          <t>Xuất Nhập Khẩu, Tiếng Anh, Logistics, Import-Export, Chứng Từ Xuất Nhập Khẩu</t>
        </is>
      </c>
      <c r="M8249" t="inlineStr">
        <is>
          <t>Bonus, Healthcare Plan, Laptop</t>
        </is>
      </c>
      <c r="N8249" s="8">
        <f>HYPERLINK("https://www.vietnamworks.com/chuyen-vien-xuat-nhap-khau--2019709-jv","Xem chi tiết")</f>
        <v/>
      </c>
    </row>
    <row r="8250">
      <c r="B8250" s="9" t="n">
        <v>8248</v>
      </c>
      <c r="C8250" s="10" t="inlineStr">
        <is>
          <t>Trưởng Phòng Kinh Doanh Dự Án</t>
        </is>
      </c>
      <c r="D8250" s="10" t="inlineStr">
        <is>
          <t>Công Ty Cổ Phần Hesman Việt Nam</t>
        </is>
      </c>
      <c r="E8250" s="10" t="inlineStr">
        <is>
          <t>$$ 1,000-1,500 /tháng</t>
        </is>
      </c>
      <c r="F8250" s="10" t="inlineStr">
        <is>
          <t>Hà Nội</t>
        </is>
      </c>
      <c r="G8250" s="10" t="inlineStr">
        <is>
          <t>Trưởng phòng</t>
        </is>
      </c>
      <c r="H8250" s="10" t="inlineStr">
        <is>
          <t>06/03/2026</t>
        </is>
      </c>
      <c r="I8250" s="10" t="inlineStr">
        <is>
          <t>05/04/2026</t>
        </is>
      </c>
      <c r="J8250" s="10" t="inlineStr">
        <is>
          <t>17/03/2026</t>
        </is>
      </c>
      <c r="K8250" s="10" t="inlineStr">
        <is>
          <t>N/A</t>
        </is>
      </c>
      <c r="L8250" s="10" t="inlineStr">
        <is>
          <t>Kinh Doanh, Business Development, Bán Hàng Dự Án, B2B Sales, Bán Hàng</t>
        </is>
      </c>
      <c r="M8250" s="10" t="inlineStr">
        <is>
          <t>Bonus, Paid Leave, Travel Opportunities</t>
        </is>
      </c>
      <c r="N8250" s="11">
        <f>HYPERLINK("https://www.vietnamworks.com/truong-phong-kinh-doanh-du-an--2019703-jv","Xem chi tiết")</f>
        <v/>
      </c>
      <c r="O8250" s="10" t="n"/>
    </row>
    <row r="8251">
      <c r="B8251" s="7" t="n">
        <v>8249</v>
      </c>
      <c r="C8251" t="inlineStr">
        <is>
          <t>Nhân Viên Cải Tiến Sản Xuất (ERP)</t>
        </is>
      </c>
      <c r="D8251" t="inlineStr">
        <is>
          <t>Công Ty Cổ phẩn MASAN MEATLife</t>
        </is>
      </c>
      <c r="E8251" t="inlineStr">
        <is>
          <t>10tr-12tr ₫/tháng</t>
        </is>
      </c>
      <c r="F8251" t="inlineStr">
        <is>
          <t>Bình Dương</t>
        </is>
      </c>
      <c r="G8251" t="inlineStr">
        <is>
          <t>Nhân viên</t>
        </is>
      </c>
      <c r="H8251" t="inlineStr">
        <is>
          <t>06/03/2026</t>
        </is>
      </c>
      <c r="I8251" t="inlineStr">
        <is>
          <t>05/04/2026</t>
        </is>
      </c>
      <c r="J8251" t="inlineStr">
        <is>
          <t>17/03/2026</t>
        </is>
      </c>
      <c r="K8251" t="inlineStr">
        <is>
          <t>N/A</t>
        </is>
      </c>
      <c r="L8251" t="inlineStr">
        <is>
          <t>Kế Toán, Lập Trình ERP, Thống Kê Số Liệu, Trách Nhiệm, Đánh Máy Vi Tính</t>
        </is>
      </c>
      <c r="M8251" t="inlineStr">
        <is>
          <t>Bonus</t>
        </is>
      </c>
      <c r="N8251" s="8">
        <f>HYPERLINK("https://www.vietnamworks.com/nhan-vien-cai-tien-san-xuat-erp-2019707-jv","Xem chi tiết")</f>
        <v/>
      </c>
    </row>
    <row r="8252">
      <c r="B8252" s="9" t="n">
        <v>8250</v>
      </c>
      <c r="C8252" s="10" t="inlineStr">
        <is>
          <t>Bán Hàng Sản Phẩm Điện, Điện Tử</t>
        </is>
      </c>
      <c r="D8252" s="10" t="inlineStr">
        <is>
          <t>Công Ty TNHH Yamato Quốc Tế Việt Nam</t>
        </is>
      </c>
      <c r="E8252" s="10" t="inlineStr">
        <is>
          <t>Tới 17tr ₫/tháng</t>
        </is>
      </c>
      <c r="F8252" s="10" t="inlineStr">
        <is>
          <t>Hồ Chí Minh</t>
        </is>
      </c>
      <c r="G8252" s="10" t="inlineStr">
        <is>
          <t>Nhân viên</t>
        </is>
      </c>
      <c r="H8252" s="10" t="inlineStr">
        <is>
          <t>06/03/2026</t>
        </is>
      </c>
      <c r="I8252" s="10" t="inlineStr">
        <is>
          <t>05/04/2026</t>
        </is>
      </c>
      <c r="J8252" s="10" t="inlineStr">
        <is>
          <t>17/03/2026</t>
        </is>
      </c>
      <c r="K8252" s="10" t="inlineStr">
        <is>
          <t>N/A</t>
        </is>
      </c>
      <c r="L8252" s="10" t="inlineStr">
        <is>
          <t>Chăm Sóc Khách Hàng, Tìm Kiếm Khách Hàng, Tiếng Nhật, Bán hàng, Kinh Doanh</t>
        </is>
      </c>
      <c r="M8252" s="10" t="inlineStr">
        <is>
          <t>Bonus, Healthcare Plan, Paid Leave, Training, Travel Opportunities</t>
        </is>
      </c>
      <c r="N8252" s="11">
        <f>HYPERLINK("https://www.vietnamworks.com/ban-hang-san-pham-djien-djien-tu-2019706-jv","Xem chi tiết")</f>
        <v/>
      </c>
      <c r="O8252" s="10" t="n"/>
    </row>
    <row r="8253">
      <c r="B8253" s="7" t="n">
        <v>8251</v>
      </c>
      <c r="C8253" t="inlineStr">
        <is>
          <t>Trưởng Phòng Phát Triển Đối Tác Ngành BĐS (15-20 Triệu + %hoa Hồng)</t>
        </is>
      </c>
      <c r="D8253" t="inlineStr">
        <is>
          <t>Công Ty Cổ Phần Bất Động Sản BHS</t>
        </is>
      </c>
      <c r="E8253" t="inlineStr">
        <is>
          <t>15tr-20tr ₫/tháng</t>
        </is>
      </c>
      <c r="F8253" t="inlineStr">
        <is>
          <t>Hà Nội</t>
        </is>
      </c>
      <c r="G8253" t="inlineStr">
        <is>
          <t>Trưởng phòng</t>
        </is>
      </c>
      <c r="H8253" t="inlineStr">
        <is>
          <t>06/03/2026</t>
        </is>
      </c>
      <c r="I8253" t="inlineStr">
        <is>
          <t>05/04/2026</t>
        </is>
      </c>
      <c r="J8253" t="inlineStr">
        <is>
          <t>17/03/2026</t>
        </is>
      </c>
      <c r="K8253" t="inlineStr">
        <is>
          <t>N/A</t>
        </is>
      </c>
      <c r="L8253" t="inlineStr">
        <is>
          <t>Môi Giới Bất Động Sản, Phát Triển Đại Lý, Phát Triển Đối Tác, Thị Trường Bất Động Sản, Xử Lý Tình Huống</t>
        </is>
      </c>
      <c r="M8253" t="inlineStr">
        <is>
          <t>Bonus, Healthcare Plan, Paid Leave, Training, Awards, Travel Opportunities, Others</t>
        </is>
      </c>
      <c r="N8253" s="8">
        <f>HYPERLINK("https://www.vietnamworks.com/truong-phong-phat-trien-djoi-tac-nganh-bdjs-15-20-trieu-percenthoa-hong-2019712-jv","Xem chi tiết")</f>
        <v/>
      </c>
    </row>
    <row r="8254">
      <c r="B8254" s="9" t="n">
        <v>8252</v>
      </c>
      <c r="C8254" s="10" t="inlineStr">
        <is>
          <t>Kế Toán Trưởng Thu Nhập Lên Đến 2500$/ Tháng</t>
        </is>
      </c>
      <c r="D8254" s="10" t="inlineStr">
        <is>
          <t>Công Ty Cổ Phần Thương Mại Tư Vấn Và Xây Dựng Vĩnh Hưng</t>
        </is>
      </c>
      <c r="E8254" s="10" t="inlineStr">
        <is>
          <t>Thương lượng</t>
        </is>
      </c>
      <c r="F8254" s="10" t="inlineStr">
        <is>
          <t>Hà Nội</t>
        </is>
      </c>
      <c r="G8254" s="10" t="inlineStr">
        <is>
          <t>Trưởng phòng</t>
        </is>
      </c>
      <c r="H8254" s="10" t="inlineStr">
        <is>
          <t>06/03/2026</t>
        </is>
      </c>
      <c r="I8254" s="10" t="inlineStr">
        <is>
          <t>05/04/2026</t>
        </is>
      </c>
      <c r="J8254" s="10" t="inlineStr">
        <is>
          <t>17/03/2026</t>
        </is>
      </c>
      <c r="K8254" s="10" t="inlineStr">
        <is>
          <t>N/A</t>
        </is>
      </c>
      <c r="L8254" s="10" t="inlineStr">
        <is>
          <t>Tài Chính, Excel, Kế toán, Quản Lý Chi Phí, Thuế</t>
        </is>
      </c>
      <c r="M8254" s="10" t="inlineStr">
        <is>
          <t>Bonus, Healthcare Plan, Training, Team Activities, Others</t>
        </is>
      </c>
      <c r="N8254" s="11">
        <f>HYPERLINK("https://www.vietnamworks.com/ke-toan-truong-thu-nhap-len-djen-2500dollar-thang-2019710-jv","Xem chi tiết")</f>
        <v/>
      </c>
      <c r="O8254" s="10" t="n"/>
    </row>
    <row r="8255">
      <c r="B8255" s="7" t="n">
        <v>8253</v>
      </c>
      <c r="C8255" t="inlineStr">
        <is>
          <t>Recruitment Officer/ Nhân Viên Tuyển Dụng</t>
        </is>
      </c>
      <c r="D8255" t="inlineStr">
        <is>
          <t>CÔNG TY TNHH AMPHENOL TECHNOLOGY VIỆT NAM</t>
        </is>
      </c>
      <c r="E8255" t="inlineStr">
        <is>
          <t>Thương lượng</t>
        </is>
      </c>
      <c r="F8255" t="inlineStr">
        <is>
          <t>Long An</t>
        </is>
      </c>
      <c r="G8255" t="inlineStr">
        <is>
          <t>Nhân viên</t>
        </is>
      </c>
      <c r="H8255" t="inlineStr">
        <is>
          <t>06/03/2026</t>
        </is>
      </c>
      <c r="I8255" t="inlineStr">
        <is>
          <t>05/04/2026</t>
        </is>
      </c>
      <c r="J8255" t="inlineStr">
        <is>
          <t>17/03/2026</t>
        </is>
      </c>
      <c r="K8255" t="inlineStr">
        <is>
          <t>N/A</t>
        </is>
      </c>
      <c r="L8255" t="inlineStr">
        <is>
          <t>Communication Skills, Labor Law, Problem-solving, Recruitment Planning, Solution Oriented</t>
        </is>
      </c>
      <c r="M8255" t="inlineStr">
        <is>
          <t>Bonus, Healthcare Plan, Laptop, Transportation, Others</t>
        </is>
      </c>
      <c r="N8255" s="8">
        <f>HYPERLINK("https://www.vietnamworks.com/recruitment-officer-nhan-vien-tuyen-dung-2019704-jv","Xem chi tiết")</f>
        <v/>
      </c>
    </row>
    <row r="8256">
      <c r="B8256" s="9" t="n">
        <v>8254</v>
      </c>
      <c r="C8256" s="10" t="inlineStr">
        <is>
          <t>Accounting &amp; Finance Officer</t>
        </is>
      </c>
      <c r="D8256" s="10" t="inlineStr">
        <is>
          <t>ENP Vietnam International Company Limited</t>
        </is>
      </c>
      <c r="E8256" s="10" t="inlineStr">
        <is>
          <t>Thương lượng</t>
        </is>
      </c>
      <c r="F8256" s="10" t="inlineStr">
        <is>
          <t>Hồ Chí Minh</t>
        </is>
      </c>
      <c r="G8256" s="10" t="inlineStr">
        <is>
          <t>Nhân viên</t>
        </is>
      </c>
      <c r="H8256" s="10" t="inlineStr">
        <is>
          <t>06/03/2026</t>
        </is>
      </c>
      <c r="I8256" s="10" t="inlineStr">
        <is>
          <t>05/04/2026</t>
        </is>
      </c>
      <c r="J8256" s="10" t="inlineStr">
        <is>
          <t>17/03/2026</t>
        </is>
      </c>
      <c r="K8256" s="10" t="inlineStr">
        <is>
          <t>N/A</t>
        </is>
      </c>
      <c r="L8256" s="10" t="inlineStr">
        <is>
          <t>Finance Development, Accounting, Bookkeeping, Finance &amp; Accounting</t>
        </is>
      </c>
      <c r="M8256" s="10" t="inlineStr">
        <is>
          <t>Bonus, Training, Travel Opportunities</t>
        </is>
      </c>
      <c r="N8256" s="11">
        <f>HYPERLINK("https://www.vietnamworks.com/accounting-finance-officer--2019725-jv","Xem chi tiết")</f>
        <v/>
      </c>
      <c r="O8256" s="10" t="n"/>
    </row>
    <row r="8257">
      <c r="B8257" s="7" t="n">
        <v>8255</v>
      </c>
      <c r="C8257" t="inlineStr">
        <is>
          <t>Account Executive</t>
        </is>
      </c>
      <c r="D8257" t="inlineStr">
        <is>
          <t>La Vie Limited Liability Company</t>
        </is>
      </c>
      <c r="E8257" t="inlineStr">
        <is>
          <t>Thương lượng</t>
        </is>
      </c>
      <c r="F8257" t="inlineStr">
        <is>
          <t>Hồ Chí Minh</t>
        </is>
      </c>
      <c r="G8257" t="inlineStr">
        <is>
          <t>Nhân viên</t>
        </is>
      </c>
      <c r="H8257" t="inlineStr">
        <is>
          <t>06/03/2026</t>
        </is>
      </c>
      <c r="I8257" t="inlineStr">
        <is>
          <t>05/04/2026</t>
        </is>
      </c>
      <c r="J8257" t="inlineStr">
        <is>
          <t>17/03/2026</t>
        </is>
      </c>
      <c r="K8257" t="inlineStr">
        <is>
          <t>N/A</t>
        </is>
      </c>
      <c r="L8257" t="inlineStr">
        <is>
          <t>Key Account Management, B2B Sales, FMCG, Sales, Account</t>
        </is>
      </c>
      <c r="M8257" t="inlineStr">
        <is>
          <t>Bonus, Healthcare Plan, Training</t>
        </is>
      </c>
      <c r="N8257" s="8">
        <f>HYPERLINK("https://www.vietnamworks.com/account-executive--2019722-jv","Xem chi tiết")</f>
        <v/>
      </c>
    </row>
    <row r="8258">
      <c r="B8258" s="9" t="n">
        <v>8256</v>
      </c>
      <c r="C8258" s="10" t="inlineStr">
        <is>
          <t>[Gấp] Giám Đốc Dự Án Project Manager</t>
        </is>
      </c>
      <c r="D8258" s="10" t="inlineStr">
        <is>
          <t>Tập Đoàn FECON</t>
        </is>
      </c>
      <c r="E8258" s="10" t="inlineStr">
        <is>
          <t>$$ 1,800-2,200 /tháng</t>
        </is>
      </c>
      <c r="F8258" s="10" t="inlineStr">
        <is>
          <t>Hà Tĩnh, Hà Nội, Hồ Chí Minh</t>
        </is>
      </c>
      <c r="G8258" s="10" t="inlineStr">
        <is>
          <t>Giám Đốc và Cấp Cao Hơn</t>
        </is>
      </c>
      <c r="H8258" s="10" t="inlineStr">
        <is>
          <t>06/03/2026</t>
        </is>
      </c>
      <c r="I8258" s="10" t="inlineStr">
        <is>
          <t>05/04/2026</t>
        </is>
      </c>
      <c r="J8258" s="10" t="inlineStr">
        <is>
          <t>17/03/2026</t>
        </is>
      </c>
      <c r="K8258" s="10" t="inlineStr">
        <is>
          <t>N/A</t>
        </is>
      </c>
      <c r="L8258" s="10" t="inlineStr">
        <is>
          <t>Xây Dựng, Quản Lý Dự Án, Giám Sát Thi Công, Construction Management, Bản Vẽ Dự Án</t>
        </is>
      </c>
      <c r="M8258" s="10" t="inlineStr">
        <is>
          <t>Bonus, Healthcare Plan, Training</t>
        </is>
      </c>
      <c r="N8258" s="11">
        <f>HYPERLINK("https://www.vietnamworks.com/gap-giam-doc-du-an-project-manager-2019735-jv","Xem chi tiết")</f>
        <v/>
      </c>
      <c r="O8258" s="10" t="n"/>
    </row>
    <row r="8259">
      <c r="B8259" s="7" t="n">
        <v>8257</v>
      </c>
      <c r="C8259" t="inlineStr">
        <is>
          <t>Head Of Ecommerce</t>
        </is>
      </c>
      <c r="D8259" t="inlineStr">
        <is>
          <t>Công Ty Cổ Phần Bibomart TM</t>
        </is>
      </c>
      <c r="E8259" t="inlineStr">
        <is>
          <t>Từ $ 2,000 /tháng</t>
        </is>
      </c>
      <c r="F8259" t="inlineStr">
        <is>
          <t>Hà Nội</t>
        </is>
      </c>
      <c r="G8259" t="inlineStr">
        <is>
          <t>Trưởng phòng</t>
        </is>
      </c>
      <c r="H8259" t="inlineStr">
        <is>
          <t>06/03/2026</t>
        </is>
      </c>
      <c r="I8259" t="inlineStr">
        <is>
          <t>05/04/2026</t>
        </is>
      </c>
      <c r="J8259" t="inlineStr">
        <is>
          <t>17/03/2026</t>
        </is>
      </c>
      <c r="K8259" t="inlineStr">
        <is>
          <t>N/A</t>
        </is>
      </c>
      <c r="L8259" t="inlineStr">
        <is>
          <t>Data-driven mindset, Ecommerce Optimization, Leadership Management, Retail experience, Strategy Planning</t>
        </is>
      </c>
      <c r="M8259" t="inlineStr">
        <is>
          <t>Bonus, Healthcare Plan, Others</t>
        </is>
      </c>
      <c r="N8259" s="8">
        <f>HYPERLINK("https://www.vietnamworks.com/head-of-ecommerce-2019727-jv","Xem chi tiết")</f>
        <v/>
      </c>
    </row>
    <row r="8260">
      <c r="B8260" s="9" t="n">
        <v>8258</v>
      </c>
      <c r="C8260" s="10" t="inlineStr">
        <is>
          <t>B2B Sales Executive (Overseas Market)</t>
        </is>
      </c>
      <c r="D8260" s="10" t="inlineStr">
        <is>
          <t>CÔNG TY TNHH TRANSFORMER ROBOTICS PTE</t>
        </is>
      </c>
      <c r="E8260" s="10" t="inlineStr">
        <is>
          <t>Thương lượng</t>
        </is>
      </c>
      <c r="F8260" s="10" t="inlineStr">
        <is>
          <t>Hồ Chí Minh</t>
        </is>
      </c>
      <c r="G8260" s="10" t="inlineStr">
        <is>
          <t>Nhân viên</t>
        </is>
      </c>
      <c r="H8260" s="10" t="inlineStr">
        <is>
          <t>06/03/2026</t>
        </is>
      </c>
      <c r="I8260" s="10" t="inlineStr">
        <is>
          <t>05/04/2026</t>
        </is>
      </c>
      <c r="J8260" s="10" t="inlineStr">
        <is>
          <t>17/03/2026</t>
        </is>
      </c>
      <c r="K8260" s="10" t="inlineStr">
        <is>
          <t>N/A</t>
        </is>
      </c>
      <c r="L8260" s="10" t="inlineStr">
        <is>
          <t>Sales Solution, Business Resilience, Nhân viên kinh doanh, Import &amp; Export, Bán hàng &amp; Chăm sóc khách hàng</t>
        </is>
      </c>
      <c r="M8260" s="10" t="inlineStr">
        <is>
          <t>Bonus, Healthcare Plan, Others</t>
        </is>
      </c>
      <c r="N8260" s="11">
        <f>HYPERLINK("https://www.vietnamworks.com/b2b-sales-executive-overseas-market-2019713-jv","Xem chi tiết")</f>
        <v/>
      </c>
      <c r="O8260" s="10" t="n"/>
    </row>
    <row r="8261">
      <c r="B8261" s="7" t="n">
        <v>8259</v>
      </c>
      <c r="C8261" t="inlineStr">
        <is>
          <t>Quản Lý Kho</t>
        </is>
      </c>
      <c r="D8261" t="inlineStr">
        <is>
          <t>Công ty Cổ phần Thông minh MK</t>
        </is>
      </c>
      <c r="E8261" t="inlineStr">
        <is>
          <t>Thương lượng</t>
        </is>
      </c>
      <c r="F8261" t="inlineStr">
        <is>
          <t>Hà Nội</t>
        </is>
      </c>
      <c r="G8261" t="inlineStr">
        <is>
          <t>Trưởng phòng</t>
        </is>
      </c>
      <c r="H8261" t="inlineStr">
        <is>
          <t>06/03/2026</t>
        </is>
      </c>
      <c r="I8261" t="inlineStr">
        <is>
          <t>05/04/2026</t>
        </is>
      </c>
      <c r="J8261" t="inlineStr">
        <is>
          <t>17/03/2026</t>
        </is>
      </c>
      <c r="K8261" t="inlineStr">
        <is>
          <t>N/A</t>
        </is>
      </c>
      <c r="L8261" t="inlineStr">
        <is>
          <t>Quản Lý Nhân Sự, Kho Vận, Quản trị kho vận, Thống Kê Hàng Hóa, Điều Hành Kho Vận</t>
        </is>
      </c>
      <c r="M8261" t="inlineStr">
        <is>
          <t>Bonus, Healthcare Plan, Training</t>
        </is>
      </c>
      <c r="N8261" s="8">
        <f>HYPERLINK("https://www.vietnamworks.com/quan-ly-kho-2019732-jv","Xem chi tiết")</f>
        <v/>
      </c>
    </row>
    <row r="8262">
      <c r="B8262" s="9" t="n">
        <v>8260</v>
      </c>
      <c r="C8262" s="10" t="inlineStr">
        <is>
          <t>Revit Architects | Kiến Trúc Sư Revit</t>
        </is>
      </c>
      <c r="D8262" s="10" t="inlineStr">
        <is>
          <t>WA Projects Limited</t>
        </is>
      </c>
      <c r="E8262" s="10" t="inlineStr">
        <is>
          <t>Thương lượng</t>
        </is>
      </c>
      <c r="F8262" s="10" t="inlineStr">
        <is>
          <t>Hồ Chí Minh</t>
        </is>
      </c>
      <c r="G8262" s="10" t="inlineStr">
        <is>
          <t>Nhân viên</t>
        </is>
      </c>
      <c r="H8262" s="10" t="inlineStr">
        <is>
          <t>06/03/2026</t>
        </is>
      </c>
      <c r="I8262" s="10" t="inlineStr">
        <is>
          <t>05/04/2026</t>
        </is>
      </c>
      <c r="J8262" s="10" t="inlineStr">
        <is>
          <t>17/03/2026</t>
        </is>
      </c>
      <c r="K8262" s="10" t="inlineStr">
        <is>
          <t>N/A</t>
        </is>
      </c>
      <c r="L8262" s="10" t="inlineStr">
        <is>
          <t>AutoCAD, 3D Studio Max, Revit, Sketchup, ArchiCAD</t>
        </is>
      </c>
      <c r="M8262" s="10" t="inlineStr">
        <is>
          <t>Bonus, Paid Leave, Travel Opportunities</t>
        </is>
      </c>
      <c r="N8262" s="11">
        <f>HYPERLINK("https://www.vietnamworks.com/revit-architects-kien-truc-su-revit-4-1-2-1-1-1--2019715-jv","Xem chi tiết")</f>
        <v/>
      </c>
      <c r="O8262" s="10" t="n"/>
    </row>
    <row r="8263">
      <c r="B8263" s="7" t="n">
        <v>8261</v>
      </c>
      <c r="C8263" t="inlineStr">
        <is>
          <t>CV/CVC Chiến Lược Sản Phẩm Và Chính Sách Bán Hàng - Bất Động Sản</t>
        </is>
      </c>
      <c r="D8263" t="inlineStr">
        <is>
          <t>Công Ty Cổ Phần Tập Đoàn BRG</t>
        </is>
      </c>
      <c r="E8263" t="inlineStr">
        <is>
          <t>Thương lượng</t>
        </is>
      </c>
      <c r="F8263" t="inlineStr">
        <is>
          <t>Hà Nội</t>
        </is>
      </c>
      <c r="G8263" t="inlineStr">
        <is>
          <t>Nhân viên</t>
        </is>
      </c>
      <c r="H8263" t="inlineStr">
        <is>
          <t>06/03/2026</t>
        </is>
      </c>
      <c r="I8263" t="inlineStr">
        <is>
          <t>05/04/2026</t>
        </is>
      </c>
      <c r="J8263" t="inlineStr">
        <is>
          <t>17/03/2026</t>
        </is>
      </c>
      <c r="K8263" t="inlineStr">
        <is>
          <t>N/A</t>
        </is>
      </c>
      <c r="L8263" t="inlineStr">
        <is>
          <t>Kiến Thức Thị Trường Bất Động Sản, Phát Triển Bất Động Sản, Chiến Lược Sản Phẩm, Đề Xuất Chính Sách Bán Hàng, Phát Triển Sản Phẩm</t>
        </is>
      </c>
      <c r="M8263" t="inlineStr">
        <is>
          <t>Bonus, Healthcare Plan, Travel Opportunities</t>
        </is>
      </c>
      <c r="N8263" s="8">
        <f>HYPERLINK("https://www.vietnamworks.com/cv-cvc-chien-luoc-san-pham-va-chinh-sach-ban-hang-bat-dong-san-2019720-jv","Xem chi tiết")</f>
        <v/>
      </c>
    </row>
    <row r="8264">
      <c r="B8264" s="9" t="n">
        <v>8262</v>
      </c>
      <c r="C8264" s="10" t="inlineStr">
        <is>
          <t>Quản Lý Kho Phụ Tùng Ô Tô (Mức Lương Từ 15-20 Triệu)</t>
        </is>
      </c>
      <c r="D8264" s="10" t="inlineStr">
        <is>
          <t>CÔNG TY TNHH SINOTRUK INTERNATIONAL (VIỆT NAM)</t>
        </is>
      </c>
      <c r="E8264" s="10" t="inlineStr">
        <is>
          <t>15tr-20tr ₫/tháng</t>
        </is>
      </c>
      <c r="F8264" s="10" t="inlineStr">
        <is>
          <t>Bắc Giang</t>
        </is>
      </c>
      <c r="G8264" s="10" t="inlineStr">
        <is>
          <t>Nhân viên</t>
        </is>
      </c>
      <c r="H8264" s="10" t="inlineStr">
        <is>
          <t>06/03/2026</t>
        </is>
      </c>
      <c r="I8264" s="10" t="inlineStr">
        <is>
          <t>05/04/2026</t>
        </is>
      </c>
      <c r="J8264" s="10" t="inlineStr">
        <is>
          <t>17/03/2026</t>
        </is>
      </c>
      <c r="K8264" s="10" t="inlineStr">
        <is>
          <t>N/A</t>
        </is>
      </c>
      <c r="L8264" s="10" t="inlineStr">
        <is>
          <t>Quản Lý Kho, Warehouse Management, Tin Học Văn Phòng, Phụ Tùng Ô Tô</t>
        </is>
      </c>
      <c r="M8264" s="10" t="inlineStr">
        <is>
          <t>Bonus</t>
        </is>
      </c>
      <c r="N8264" s="11">
        <f>HYPERLINK("https://www.vietnamworks.com/quan-ly-kho-phu-tung-o-to-muc-luong-tu-15-20-trieu--2019717-jv","Xem chi tiết")</f>
        <v/>
      </c>
      <c r="O8264" s="10" t="n"/>
    </row>
    <row r="8265">
      <c r="B8265" s="7" t="n">
        <v>8263</v>
      </c>
      <c r="C8265" t="inlineStr">
        <is>
          <t>Experienced Revit Architects | Kiến Trúc Sư Revit</t>
        </is>
      </c>
      <c r="D8265" t="inlineStr">
        <is>
          <t>WA Projects Limited</t>
        </is>
      </c>
      <c r="E8265" t="inlineStr">
        <is>
          <t>Thương lượng</t>
        </is>
      </c>
      <c r="F8265" t="inlineStr">
        <is>
          <t>Hồ Chí Minh</t>
        </is>
      </c>
      <c r="G8265" t="inlineStr">
        <is>
          <t>Nhân viên</t>
        </is>
      </c>
      <c r="H8265" t="inlineStr">
        <is>
          <t>06/03/2026</t>
        </is>
      </c>
      <c r="I8265" t="inlineStr">
        <is>
          <t>05/04/2026</t>
        </is>
      </c>
      <c r="J8265" t="inlineStr">
        <is>
          <t>17/03/2026</t>
        </is>
      </c>
      <c r="K8265" t="inlineStr">
        <is>
          <t>N/A</t>
        </is>
      </c>
      <c r="L8265" t="inlineStr">
        <is>
          <t>AutoCAD, 3D Studio Max, Revit, Sketchup, Autodesk</t>
        </is>
      </c>
      <c r="M8265" t="inlineStr">
        <is>
          <t>Bonus, Paid Leave, Travel Opportunities</t>
        </is>
      </c>
      <c r="N8265" s="8">
        <f>HYPERLINK("https://www.vietnamworks.com/experienced-revit-architects-kien-truc-su-revit--2019716-jv","Xem chi tiết")</f>
        <v/>
      </c>
    </row>
    <row r="8266">
      <c r="B8266" s="9" t="n">
        <v>8264</v>
      </c>
      <c r="C8266" s="10" t="inlineStr">
        <is>
          <t>ISO Quality System Engineer</t>
        </is>
      </c>
      <c r="D8266" s="10" t="inlineStr">
        <is>
          <t>VDL ETG VIETNAM COMPANY LIMITED</t>
        </is>
      </c>
      <c r="E8266" s="10" t="inlineStr">
        <is>
          <t>Thương lượng</t>
        </is>
      </c>
      <c r="F8266" s="10" t="inlineStr">
        <is>
          <t>Quảng Ninh, Hải Phòng, Hải Dương</t>
        </is>
      </c>
      <c r="G8266" s="10" t="inlineStr">
        <is>
          <t>Nhân viên</t>
        </is>
      </c>
      <c r="H8266" s="10" t="inlineStr">
        <is>
          <t>06/03/2026</t>
        </is>
      </c>
      <c r="I8266" s="10" t="inlineStr">
        <is>
          <t>05/04/2026</t>
        </is>
      </c>
      <c r="J8266" s="10" t="inlineStr">
        <is>
          <t>17/03/2026</t>
        </is>
      </c>
      <c r="K8266" s="10" t="inlineStr">
        <is>
          <t>N/A</t>
        </is>
      </c>
      <c r="L8266" s="10" t="inlineStr">
        <is>
          <t>ISO 9001, Kiểm Soát Tài Liệu, QMS Compliance, Quality Assurance, Documentation</t>
        </is>
      </c>
      <c r="M8266" s="10" t="inlineStr">
        <is>
          <t>Bonus, Healthcare Plan, Paid Leave, Laptop, Transportation</t>
        </is>
      </c>
      <c r="N8266" s="11">
        <f>HYPERLINK("https://www.vietnamworks.com/iso-quality-system-engineer-2019718-jv","Xem chi tiết")</f>
        <v/>
      </c>
      <c r="O8266" s="10" t="n"/>
    </row>
    <row r="8267">
      <c r="B8267" s="7" t="n">
        <v>8265</v>
      </c>
      <c r="C8267" t="inlineStr">
        <is>
          <t>Sales Manager</t>
        </is>
      </c>
      <c r="D8267" t="inlineStr">
        <is>
          <t>CÔNG TY TNHH MEYER VIỆT NAM</t>
        </is>
      </c>
      <c r="E8267" t="inlineStr">
        <is>
          <t>Thương lượng</t>
        </is>
      </c>
      <c r="F8267" t="inlineStr">
        <is>
          <t>Hồ Chí Minh</t>
        </is>
      </c>
      <c r="G8267" t="inlineStr">
        <is>
          <t>Trưởng phòng</t>
        </is>
      </c>
      <c r="H8267" t="inlineStr">
        <is>
          <t>06/03/2026</t>
        </is>
      </c>
      <c r="I8267" t="inlineStr">
        <is>
          <t>05/04/2026</t>
        </is>
      </c>
      <c r="J8267" t="inlineStr">
        <is>
          <t>17/03/2026</t>
        </is>
      </c>
      <c r="K8267" t="inlineStr">
        <is>
          <t>N/A</t>
        </is>
      </c>
      <c r="L8267" t="inlineStr">
        <is>
          <t>Mechanical Products, Technical, Bán Hàng Kỹ Thuật, Sales Technical, Sales Techniques</t>
        </is>
      </c>
      <c r="M8267" t="inlineStr">
        <is>
          <t>Bonus, Healthcare Plan, Paid Leave, Transportation, Others</t>
        </is>
      </c>
      <c r="N8267" s="8">
        <f>HYPERLINK("https://www.vietnamworks.com/sales-manager-2019721-jv","Xem chi tiết")</f>
        <v/>
      </c>
    </row>
    <row r="8268">
      <c r="B8268" s="9" t="n">
        <v>8266</v>
      </c>
      <c r="C8268" s="10" t="inlineStr">
        <is>
          <t>Trưởng Phòng Quản Trị Rủi Ro</t>
        </is>
      </c>
      <c r="D8268" s="10" t="inlineStr">
        <is>
          <t>Công Ty Cổ Phần Chứng Khoán Quốc Gia</t>
        </is>
      </c>
      <c r="E8268" s="10" t="inlineStr">
        <is>
          <t>Thương lượng</t>
        </is>
      </c>
      <c r="F8268" s="10" t="inlineStr">
        <is>
          <t>Hà Nội</t>
        </is>
      </c>
      <c r="G8268" s="10" t="inlineStr">
        <is>
          <t>Trưởng phòng</t>
        </is>
      </c>
      <c r="H8268" s="10" t="inlineStr">
        <is>
          <t>06/03/2026</t>
        </is>
      </c>
      <c r="I8268" s="10" t="inlineStr">
        <is>
          <t>05/04/2026</t>
        </is>
      </c>
      <c r="J8268" s="10" t="inlineStr">
        <is>
          <t>17/03/2026</t>
        </is>
      </c>
      <c r="K8268" s="10" t="inlineStr">
        <is>
          <t>N/A</t>
        </is>
      </c>
      <c r="L8268" s="10" t="inlineStr">
        <is>
          <t>Risk Management, Quản Trị Rủi Ro, Quản Lý Rủi Ro, Kiểm Soát Nội Bộ, Chứng khoán</t>
        </is>
      </c>
      <c r="M8268" s="10" t="inlineStr">
        <is>
          <t>Bonus, Training, Team Activities</t>
        </is>
      </c>
      <c r="N8268" s="11">
        <f>HYPERLINK("https://www.vietnamworks.com/truong-phong-quan-tri-rui-ro--2019723-jv","Xem chi tiết")</f>
        <v/>
      </c>
      <c r="O8268" s="10" t="n"/>
    </row>
    <row r="8269">
      <c r="B8269" s="7" t="n">
        <v>8267</v>
      </c>
      <c r="C8269" t="inlineStr">
        <is>
          <t>Chuyên Viên Quản Lý Nhân Sự</t>
        </is>
      </c>
      <c r="D8269" t="inlineStr">
        <is>
          <t>CÔNG TY TNHH PROSPRING</t>
        </is>
      </c>
      <c r="E8269" t="inlineStr">
        <is>
          <t>$$ 500-1,500 /tháng</t>
        </is>
      </c>
      <c r="F8269" t="inlineStr">
        <is>
          <t>Hưng Yên</t>
        </is>
      </c>
      <c r="G8269" t="inlineStr">
        <is>
          <t>Nhân viên</t>
        </is>
      </c>
      <c r="H8269" t="inlineStr">
        <is>
          <t>06/03/2026</t>
        </is>
      </c>
      <c r="I8269" t="inlineStr">
        <is>
          <t>05/04/2026</t>
        </is>
      </c>
      <c r="J8269" t="inlineStr">
        <is>
          <t>17/03/2026</t>
        </is>
      </c>
      <c r="K8269" t="inlineStr">
        <is>
          <t>N/A</t>
        </is>
      </c>
      <c r="L8269" t="inlineStr">
        <is>
          <t>Recruit Activities, Nhân Sự, Quản Lý Nhân Sự, HR, HR Management</t>
        </is>
      </c>
      <c r="M8269" t="inlineStr">
        <is>
          <t>Bonus</t>
        </is>
      </c>
      <c r="N8269" s="8">
        <f>HYPERLINK("https://www.vietnamworks.com/chuyen-vien-quan-ly-nhan-su--2019733-jv","Xem chi tiết")</f>
        <v/>
      </c>
    </row>
    <row r="8270">
      <c r="B8270" s="9" t="n">
        <v>8268</v>
      </c>
      <c r="C8270" s="10" t="inlineStr">
        <is>
          <t>Quản Lý Khách Hàng Ưu Tiên</t>
        </is>
      </c>
      <c r="D8270" s="10" t="inlineStr">
        <is>
          <t>Đỗ Diệu Linh</t>
        </is>
      </c>
      <c r="E8270" s="10" t="inlineStr">
        <is>
          <t>20tr-40tr ₫/tháng</t>
        </is>
      </c>
      <c r="F8270" s="10" t="inlineStr">
        <is>
          <t>Hà Nội</t>
        </is>
      </c>
      <c r="G8270" s="10" t="inlineStr">
        <is>
          <t>Nhân viên</t>
        </is>
      </c>
      <c r="H8270" s="10" t="inlineStr">
        <is>
          <t>06/03/2026</t>
        </is>
      </c>
      <c r="I8270" s="10" t="inlineStr">
        <is>
          <t>05/04/2026</t>
        </is>
      </c>
      <c r="J8270" s="10" t="inlineStr">
        <is>
          <t>17/03/2026</t>
        </is>
      </c>
      <c r="K8270" s="10" t="inlineStr">
        <is>
          <t>N/A</t>
        </is>
      </c>
      <c r="L8270" s="10" t="inlineStr">
        <is>
          <t>Tư Vấn Tài Chính, Bán Hàng Cao Cấp, Giao Tiếp, Quản Lý Khách Hàng, Tài Chính Ngân Hàng</t>
        </is>
      </c>
      <c r="M8270" s="10" t="inlineStr">
        <is>
          <t>Others</t>
        </is>
      </c>
      <c r="N8270" s="11">
        <f>HYPERLINK("https://www.vietnamworks.com/quan-ly-khach-hang-uu-tien-2019714-jv","Xem chi tiết")</f>
        <v/>
      </c>
      <c r="O8270" s="10" t="n"/>
    </row>
    <row r="8271">
      <c r="B8271" s="7" t="n">
        <v>8269</v>
      </c>
      <c r="C8271" t="inlineStr">
        <is>
          <t>Phó Phòng Đầu Tư</t>
        </is>
      </c>
      <c r="D8271" t="inlineStr">
        <is>
          <t>Công Ty Cổ Phần Chứng Khoán Quốc Gia</t>
        </is>
      </c>
      <c r="E8271" t="inlineStr">
        <is>
          <t>Thương lượng</t>
        </is>
      </c>
      <c r="F8271" t="inlineStr">
        <is>
          <t>Hà Nội</t>
        </is>
      </c>
      <c r="G8271" t="inlineStr">
        <is>
          <t>Trưởng phòng</t>
        </is>
      </c>
      <c r="H8271" t="inlineStr">
        <is>
          <t>06/03/2026</t>
        </is>
      </c>
      <c r="I8271" t="inlineStr">
        <is>
          <t>05/04/2026</t>
        </is>
      </c>
      <c r="J8271" t="inlineStr">
        <is>
          <t>17/03/2026</t>
        </is>
      </c>
      <c r="K8271" t="inlineStr">
        <is>
          <t>N/A</t>
        </is>
      </c>
      <c r="L8271" t="inlineStr">
        <is>
          <t>Môi Giới Chứng Khoán, Chứng Khoán Đầu Tư, Đầu Tư Tài Chính, CFA, Phân Tích Tài Chính</t>
        </is>
      </c>
      <c r="M8271" t="inlineStr">
        <is>
          <t>Bonus, Training, Team Activities</t>
        </is>
      </c>
      <c r="N8271" s="8">
        <f>HYPERLINK("https://www.vietnamworks.com/pho-phong-dau-tu--2019728-jv","Xem chi tiết")</f>
        <v/>
      </c>
    </row>
    <row r="8272">
      <c r="B8272" s="9" t="n">
        <v>8270</v>
      </c>
      <c r="C8272" s="10" t="inlineStr">
        <is>
          <t>Nghiên Cứu Về Luật/ Chính Sách Hiện Hành Về Giảm Thiểu Chất Thải Nông Nghiệp Ở Đồng Bằng Sông Cửu Long</t>
        </is>
      </c>
      <c r="D8272" s="10" t="inlineStr">
        <is>
          <t>ActionAid Vietnam</t>
        </is>
      </c>
      <c r="E8272" s="10" t="inlineStr">
        <is>
          <t>Thương lượng</t>
        </is>
      </c>
      <c r="F8272" s="10" t="inlineStr">
        <is>
          <t>Cần Thơ</t>
        </is>
      </c>
      <c r="G8272" s="10" t="inlineStr">
        <is>
          <t>Nhân viên</t>
        </is>
      </c>
      <c r="H8272" s="10" t="inlineStr">
        <is>
          <t>06/03/2026</t>
        </is>
      </c>
      <c r="I8272" s="10" t="inlineStr">
        <is>
          <t>05/04/2026</t>
        </is>
      </c>
      <c r="J8272" s="10" t="inlineStr">
        <is>
          <t>17/03/2026</t>
        </is>
      </c>
      <c r="K8272" s="10" t="inlineStr">
        <is>
          <t>N/A</t>
        </is>
      </c>
      <c r="L8272" s="10" t="inlineStr">
        <is>
          <t>Xây Dựng Hệ Thống Đánh Giá, Social Science, Môi Trường, Lâm Nghiệp, Agroforestry Development</t>
        </is>
      </c>
      <c r="M8272" s="10" t="inlineStr">
        <is>
          <t>Others</t>
        </is>
      </c>
      <c r="N8272" s="11">
        <f>HYPERLINK("https://www.vietnamworks.com/nghien-cuu-ve-luat-chinh-sach-hien-hanh-ve-giam-thieu-chat-thai-nong-nghiep-o-dong-bang-song-cuu-long--2019724-jv","Xem chi tiết")</f>
        <v/>
      </c>
      <c r="O8272" s="10" t="n"/>
    </row>
    <row r="8273">
      <c r="B8273" s="7" t="n">
        <v>8271</v>
      </c>
      <c r="C8273" t="inlineStr">
        <is>
          <t>HRBP Associate Director</t>
        </is>
      </c>
      <c r="D8273" t="inlineStr">
        <is>
          <t>Masan Consumer Holdings</t>
        </is>
      </c>
      <c r="E8273" t="inlineStr">
        <is>
          <t>Thương lượng</t>
        </is>
      </c>
      <c r="F8273" t="inlineStr">
        <is>
          <t>Hồ Chí Minh</t>
        </is>
      </c>
      <c r="G8273" t="inlineStr">
        <is>
          <t>Giám Đốc và Cấp Cao Hơn</t>
        </is>
      </c>
      <c r="H8273" t="inlineStr">
        <is>
          <t>06/03/2026</t>
        </is>
      </c>
      <c r="I8273" t="inlineStr">
        <is>
          <t>05/04/2026</t>
        </is>
      </c>
      <c r="J8273" t="inlineStr">
        <is>
          <t>17/03/2026</t>
        </is>
      </c>
      <c r="K8273" t="inlineStr">
        <is>
          <t>N/A</t>
        </is>
      </c>
      <c r="L8273" t="inlineStr">
        <is>
          <t>HRBP, Director, Human Resources (HR)</t>
        </is>
      </c>
      <c r="M8273" t="inlineStr">
        <is>
          <t>Bonus, Laptop, Others</t>
        </is>
      </c>
      <c r="N8273" s="8">
        <f>HYPERLINK("https://www.vietnamworks.com/hrbp-associate-director-2019734-jv","Xem chi tiết")</f>
        <v/>
      </c>
    </row>
    <row r="8274">
      <c r="B8274" s="9" t="n">
        <v>8272</v>
      </c>
      <c r="C8274" s="10" t="inlineStr">
        <is>
          <t>Trưởng Nhóm Product Marketing ( Product Marketing Leader)</t>
        </is>
      </c>
      <c r="D8274" s="10" t="inlineStr">
        <is>
          <t>Tập Đoàn Karofi Holding</t>
        </is>
      </c>
      <c r="E8274" s="10" t="inlineStr">
        <is>
          <t>Thương lượng</t>
        </is>
      </c>
      <c r="F8274" s="10" t="inlineStr">
        <is>
          <t>Hà Nội</t>
        </is>
      </c>
      <c r="G8274" s="10" t="inlineStr">
        <is>
          <t>Trưởng phòng</t>
        </is>
      </c>
      <c r="H8274" s="10" t="inlineStr">
        <is>
          <t>06/03/2026</t>
        </is>
      </c>
      <c r="I8274" s="10" t="inlineStr">
        <is>
          <t>05/04/2026</t>
        </is>
      </c>
      <c r="J8274" s="10" t="inlineStr">
        <is>
          <t>17/03/2026</t>
        </is>
      </c>
      <c r="K8274" s="10" t="inlineStr">
        <is>
          <t>N/A</t>
        </is>
      </c>
      <c r="L8274" s="10" t="inlineStr">
        <is>
          <t>Product Marketing, Market Research, Team Management, Strategic Planning, Analytical Skills</t>
        </is>
      </c>
      <c r="M8274" s="10" t="inlineStr">
        <is>
          <t>Bonus, Healthcare Plan, Paid Leave, Training, Laptop, Travel Opportunities, Transportation, Others</t>
        </is>
      </c>
      <c r="N8274" s="11">
        <f>HYPERLINK("https://www.vietnamworks.com/truong-nhom-product-marketing-product-marketing-leader-2019730-jv","Xem chi tiết")</f>
        <v/>
      </c>
      <c r="O8274" s="10" t="n"/>
    </row>
    <row r="8275">
      <c r="B8275" s="7" t="n">
        <v>8273</v>
      </c>
      <c r="C8275" t="inlineStr">
        <is>
          <t>Quản Lý Kinh Doanh Kênh ETC - Lương Từ $1,100 Tới $1,900</t>
        </is>
      </c>
      <c r="D8275" t="inlineStr">
        <is>
          <t>Công Ty Cổ Phần Anvy</t>
        </is>
      </c>
      <c r="E8275" t="inlineStr">
        <is>
          <t>$$ 1,100-1,900 /tháng</t>
        </is>
      </c>
      <c r="F8275" t="inlineStr">
        <is>
          <t>Hà Nội, Tuyên Quang, Thái Nguyên</t>
        </is>
      </c>
      <c r="G8275" t="inlineStr">
        <is>
          <t>Trưởng phòng</t>
        </is>
      </c>
      <c r="H8275" t="inlineStr">
        <is>
          <t>06/03/2026</t>
        </is>
      </c>
      <c r="I8275" t="inlineStr">
        <is>
          <t>05/04/2026</t>
        </is>
      </c>
      <c r="J8275" t="inlineStr">
        <is>
          <t>17/03/2026</t>
        </is>
      </c>
      <c r="K8275" t="inlineStr">
        <is>
          <t>N/A</t>
        </is>
      </c>
      <c r="L8275" t="inlineStr">
        <is>
          <t>Quản Lý Vùng, ETC, Dược, Quản Lý Trình Dược Viên, Phân Tích Thị Trường</t>
        </is>
      </c>
      <c r="M8275" t="inlineStr">
        <is>
          <t>Bonus, Awards, Vouchers</t>
        </is>
      </c>
      <c r="N8275" s="8">
        <f>HYPERLINK("https://www.vietnamworks.com/quan-ly-kinh-doanh-kenh-etc-luong-tu-1-100-toi-1-900--2019737-jv","Xem chi tiết")</f>
        <v/>
      </c>
    </row>
    <row r="8276">
      <c r="B8276" s="9" t="n">
        <v>8274</v>
      </c>
      <c r="C8276" s="10" t="inlineStr">
        <is>
          <t>Hành Chính Nhân Sự</t>
        </is>
      </c>
      <c r="D8276" s="10" t="inlineStr">
        <is>
          <t>CÔNG TY TNHH FIX GROUP</t>
        </is>
      </c>
      <c r="E8276" s="10" t="inlineStr">
        <is>
          <t>Từ 8tr ₫/tháng</t>
        </is>
      </c>
      <c r="F8276" s="10" t="inlineStr">
        <is>
          <t>Hồ Chí Minh</t>
        </is>
      </c>
      <c r="G8276" s="10" t="inlineStr">
        <is>
          <t>Nhân viên</t>
        </is>
      </c>
      <c r="H8276" s="10" t="inlineStr">
        <is>
          <t>06/03/2026</t>
        </is>
      </c>
      <c r="I8276" s="10" t="inlineStr">
        <is>
          <t>05/04/2026</t>
        </is>
      </c>
      <c r="J8276" s="10" t="inlineStr">
        <is>
          <t>17/03/2026</t>
        </is>
      </c>
      <c r="K8276" s="10" t="inlineStr">
        <is>
          <t>N/A</t>
        </is>
      </c>
      <c r="L8276" s="10" t="inlineStr">
        <is>
          <t>Bảo Hiểm Xã Hội, Đào Tạo Nội Bộ, Truyền thông nội bộ &amp; Hỗ trợ sự kiện, Hợp Đồng Lao Động, Tuyển Dụng</t>
        </is>
      </c>
      <c r="M8276" s="10" t="inlineStr">
        <is>
          <t>Bonus, Healthcare Plan, Others</t>
        </is>
      </c>
      <c r="N8276" s="11">
        <f>HYPERLINK("https://www.vietnamworks.com/hanh-chinh-nhan-su--2019749-jv","Xem chi tiết")</f>
        <v/>
      </c>
      <c r="O8276" s="10" t="n"/>
    </row>
    <row r="8277">
      <c r="B8277" s="7" t="n">
        <v>8275</v>
      </c>
      <c r="C8277" t="inlineStr">
        <is>
          <t>QC Leader</t>
        </is>
      </c>
      <c r="D8277" t="inlineStr">
        <is>
          <t>Exo Luggage Works Co.,ltd</t>
        </is>
      </c>
      <c r="E8277" t="inlineStr">
        <is>
          <t>Thương lượng</t>
        </is>
      </c>
      <c r="F8277" t="inlineStr">
        <is>
          <t>Bình Dương, Hồ Chí Minh</t>
        </is>
      </c>
      <c r="G8277" t="inlineStr">
        <is>
          <t>Nhân viên</t>
        </is>
      </c>
      <c r="H8277" t="inlineStr">
        <is>
          <t>06/03/2026</t>
        </is>
      </c>
      <c r="I8277" t="inlineStr">
        <is>
          <t>05/04/2026</t>
        </is>
      </c>
      <c r="J8277" t="inlineStr">
        <is>
          <t>17/03/2026</t>
        </is>
      </c>
      <c r="K8277" t="inlineStr">
        <is>
          <t>N/A</t>
        </is>
      </c>
      <c r="L8277" t="inlineStr">
        <is>
          <t>Quality Control, Garment, QA QC, Garment Industry Experience, 5S Control</t>
        </is>
      </c>
      <c r="M8277" t="inlineStr">
        <is>
          <t>Bonus, Healthcare Plan, Training</t>
        </is>
      </c>
      <c r="N8277" s="8">
        <f>HYPERLINK("https://www.vietnamworks.com/qc-leader--2019747-jv","Xem chi tiết")</f>
        <v/>
      </c>
    </row>
    <row r="8278">
      <c r="B8278" s="9" t="n">
        <v>8276</v>
      </c>
      <c r="C8278" s="10" t="inlineStr">
        <is>
          <t>Nhân Viên Tư Vấn Du Học - Educational Counsellor</t>
        </is>
      </c>
      <c r="D8278" s="10" t="inlineStr">
        <is>
          <t>Capstone Vietnam</t>
        </is>
      </c>
      <c r="E8278" s="10" t="inlineStr">
        <is>
          <t>Thương lượng</t>
        </is>
      </c>
      <c r="F8278" s="10" t="inlineStr">
        <is>
          <t>Hà Nội, Hồ Chí Minh</t>
        </is>
      </c>
      <c r="G8278" s="10" t="inlineStr">
        <is>
          <t>Nhân viên</t>
        </is>
      </c>
      <c r="H8278" s="10" t="inlineStr">
        <is>
          <t>06/03/2026</t>
        </is>
      </c>
      <c r="I8278" s="10" t="inlineStr">
        <is>
          <t>05/04/2026</t>
        </is>
      </c>
      <c r="J8278" s="10" t="inlineStr">
        <is>
          <t>17/03/2026</t>
        </is>
      </c>
      <c r="K8278" s="10" t="inlineStr">
        <is>
          <t>N/A</t>
        </is>
      </c>
      <c r="L8278" s="10" t="inlineStr">
        <is>
          <t>Tư Vấn Du Học, Hỗ Trợ Tư Vấn Du Học, Educational Administration, Consulting, Tư Vấn</t>
        </is>
      </c>
      <c r="M8278" s="10" t="inlineStr">
        <is>
          <t>Bonus, Healthcare Plan, Training</t>
        </is>
      </c>
      <c r="N8278" s="11">
        <f>HYPERLINK("https://www.vietnamworks.com/nhan-vien-tu-van-du-hoc-educational-counsellor-1-1-1-1-1-2-1-1-1-1-1--2019739-jv","Xem chi tiết")</f>
        <v/>
      </c>
      <c r="O8278" s="10" t="n"/>
    </row>
    <row r="8279">
      <c r="B8279" s="7" t="n">
        <v>8277</v>
      </c>
      <c r="C8279" t="inlineStr">
        <is>
          <t>Kế Toán Trưởng</t>
        </is>
      </c>
      <c r="D8279" t="inlineStr">
        <is>
          <t>Japan Construction Management Corporation</t>
        </is>
      </c>
      <c r="E8279" t="inlineStr">
        <is>
          <t>Thương lượng</t>
        </is>
      </c>
      <c r="F8279" t="inlineStr">
        <is>
          <t>Hà Nội, Hưng Yên</t>
        </is>
      </c>
      <c r="G8279" t="inlineStr">
        <is>
          <t>Trưởng phòng</t>
        </is>
      </c>
      <c r="H8279" t="inlineStr">
        <is>
          <t>06/03/2026</t>
        </is>
      </c>
      <c r="I8279" t="inlineStr">
        <is>
          <t>05/04/2026</t>
        </is>
      </c>
      <c r="J8279" t="inlineStr">
        <is>
          <t>17/03/2026</t>
        </is>
      </c>
      <c r="K8279" t="inlineStr">
        <is>
          <t>N/A</t>
        </is>
      </c>
      <c r="L8279" t="inlineStr">
        <is>
          <t>Kế Toán Tổng Hợp, Phân Tích Tài Chính, Tiếng Anh, Kiểm Toán, Hệ Thống Thuế</t>
        </is>
      </c>
      <c r="M8279" t="inlineStr">
        <is>
          <t>Bonus, Healthcare Plan, Paid Leave</t>
        </is>
      </c>
      <c r="N8279" s="8">
        <f>HYPERLINK("https://www.vietnamworks.com/ke-toan-truong--2019742-jv","Xem chi tiết")</f>
        <v/>
      </c>
    </row>
    <row r="8280">
      <c r="B8280" s="9" t="n">
        <v>8278</v>
      </c>
      <c r="C8280" s="10" t="inlineStr">
        <is>
          <t>Planner</t>
        </is>
      </c>
      <c r="D8280" s="10" t="inlineStr">
        <is>
          <t>Jazwares LLC - The Representative Officce of Jaz Toys HK Limited In Hanoi City</t>
        </is>
      </c>
      <c r="E8280" s="10" t="inlineStr">
        <is>
          <t>Thương lượng</t>
        </is>
      </c>
      <c r="F8280" s="10" t="inlineStr">
        <is>
          <t>Hà Nội</t>
        </is>
      </c>
      <c r="G8280" s="10" t="inlineStr">
        <is>
          <t>Nhân viên</t>
        </is>
      </c>
      <c r="H8280" s="10" t="inlineStr">
        <is>
          <t>06/03/2026</t>
        </is>
      </c>
      <c r="I8280" s="10" t="inlineStr">
        <is>
          <t>05/04/2026</t>
        </is>
      </c>
      <c r="J8280" s="10" t="inlineStr">
        <is>
          <t>17/03/2026</t>
        </is>
      </c>
      <c r="K8280" s="10" t="inlineStr">
        <is>
          <t>N/A</t>
        </is>
      </c>
      <c r="L8280" s="10" t="inlineStr">
        <is>
          <t>Production Planning, Lập Kế Hoạch Sản Xuất, Kế Hoạch Sản Xuất, Quản Lý Sản Xuất, Tiếng Anh</t>
        </is>
      </c>
      <c r="M8280" s="10" t="inlineStr">
        <is>
          <t>Bonus, Healthcare Plan, Others</t>
        </is>
      </c>
      <c r="N8280" s="11">
        <f>HYPERLINK("https://www.vietnamworks.com/planner--2019755-jv","Xem chi tiết")</f>
        <v/>
      </c>
      <c r="O8280" s="10" t="n"/>
    </row>
    <row r="8281">
      <c r="B8281" s="7" t="n">
        <v>8279</v>
      </c>
      <c r="C8281" t="inlineStr">
        <is>
          <t>Digital Marketing Coordinator (Remote)</t>
        </is>
      </c>
      <c r="D8281" t="inlineStr">
        <is>
          <t>Bùi Immigration</t>
        </is>
      </c>
      <c r="E8281" t="inlineStr">
        <is>
          <t>10tr-20tr ₫/tháng</t>
        </is>
      </c>
      <c r="F8281" t="inlineStr">
        <is>
          <t>Khác, Hồ Chí Minh, Hà Nội</t>
        </is>
      </c>
      <c r="G8281" t="inlineStr">
        <is>
          <t>Nhân viên</t>
        </is>
      </c>
      <c r="H8281" t="inlineStr">
        <is>
          <t>06/03/2026</t>
        </is>
      </c>
      <c r="I8281" t="inlineStr">
        <is>
          <t>05/04/2026</t>
        </is>
      </c>
      <c r="J8281" t="inlineStr">
        <is>
          <t>17/03/2026</t>
        </is>
      </c>
      <c r="K8281" t="inlineStr">
        <is>
          <t>N/A</t>
        </is>
      </c>
      <c r="L8281" t="inlineStr">
        <is>
          <t>Communication, Content Creation, Customer Service, Digital Marketing, Social Media Management</t>
        </is>
      </c>
      <c r="M8281" t="inlineStr">
        <is>
          <t>Bonus, Healthcare Plan, Laptop</t>
        </is>
      </c>
      <c r="N8281" s="8">
        <f>HYPERLINK("https://www.vietnamworks.com/digital-marketing-coordinator-remote-2019741-jv","Xem chi tiết")</f>
        <v/>
      </c>
    </row>
    <row r="8282">
      <c r="B8282" s="9" t="n">
        <v>8280</v>
      </c>
      <c r="C8282" s="10" t="inlineStr">
        <is>
          <t>Kế Toán Tổng Hợp (Tuyển Gấp, Nữ)</t>
        </is>
      </c>
      <c r="D8282" s="10" t="inlineStr">
        <is>
          <t>Công Ty Cổ Phần Đầu Tư Bất Động Sản Phúc Thịnh</t>
        </is>
      </c>
      <c r="E8282" s="10" t="inlineStr">
        <is>
          <t>$$ 983-1,180 /tháng</t>
        </is>
      </c>
      <c r="F8282" s="10" t="inlineStr">
        <is>
          <t>Hồ Chí Minh</t>
        </is>
      </c>
      <c r="G8282" s="10" t="inlineStr">
        <is>
          <t>Trưởng phòng</t>
        </is>
      </c>
      <c r="H8282" s="10" t="inlineStr">
        <is>
          <t>06/03/2026</t>
        </is>
      </c>
      <c r="I8282" s="10" t="inlineStr">
        <is>
          <t>05/04/2026</t>
        </is>
      </c>
      <c r="J8282" s="10" t="inlineStr">
        <is>
          <t>17/03/2026</t>
        </is>
      </c>
      <c r="K8282" s="10" t="inlineStr">
        <is>
          <t>N/A</t>
        </is>
      </c>
      <c r="L8282" s="10" t="inlineStr">
        <is>
          <t>Báo Cáo Tài Chính, Kế Toán, Nghiệp Vụ Kế Toán, Chính Sách Thuế, Luật Kinh Doanh</t>
        </is>
      </c>
      <c r="M8282" s="10" t="inlineStr">
        <is>
          <t>Bonus, Healthcare Plan, Team Activities</t>
        </is>
      </c>
      <c r="N8282" s="11">
        <f>HYPERLINK("https://www.vietnamworks.com/ke-toan-tong-hop-tuyen-gap-nu-2019743-jv","Xem chi tiết")</f>
        <v/>
      </c>
      <c r="O8282" s="10" t="n"/>
    </row>
    <row r="8283">
      <c r="B8283" s="7" t="n">
        <v>8281</v>
      </c>
      <c r="C8283" t="inlineStr">
        <is>
          <t>Junior General Accountant (Exp 3-5 Years - Female Only)</t>
        </is>
      </c>
      <c r="D8283" t="inlineStr">
        <is>
          <t>Công Ty TNHH Seven Hills Trading</t>
        </is>
      </c>
      <c r="E8283" t="inlineStr">
        <is>
          <t>$$ 500-800 /tháng</t>
        </is>
      </c>
      <c r="F8283" t="inlineStr">
        <is>
          <t>Hồ Chí Minh</t>
        </is>
      </c>
      <c r="G8283" t="inlineStr">
        <is>
          <t>Nhân viên</t>
        </is>
      </c>
      <c r="H8283" t="inlineStr">
        <is>
          <t>06/03/2026</t>
        </is>
      </c>
      <c r="I8283" t="inlineStr">
        <is>
          <t>05/04/2026</t>
        </is>
      </c>
      <c r="J8283" t="inlineStr">
        <is>
          <t>17/03/2026</t>
        </is>
      </c>
      <c r="K8283" t="inlineStr">
        <is>
          <t>N/A</t>
        </is>
      </c>
      <c r="L8283" t="inlineStr">
        <is>
          <t>Accounting, Hạch Toán, Vietnam Tax Law</t>
        </is>
      </c>
      <c r="M8283" t="inlineStr">
        <is>
          <t>Others</t>
        </is>
      </c>
      <c r="N8283" s="8">
        <f>HYPERLINK("https://www.vietnamworks.com/junior-general-accountant-exp-3-5-years-female-only-2019760-jv","Xem chi tiết")</f>
        <v/>
      </c>
    </row>
    <row r="8284">
      <c r="B8284" s="9" t="n">
        <v>8282</v>
      </c>
      <c r="C8284" s="10" t="inlineStr">
        <is>
          <t>Kế Toán Tổng Hợp</t>
        </is>
      </c>
      <c r="D8284" s="10" t="inlineStr">
        <is>
          <t>CÔNG TY TNHH BƠM DOOCH VINA</t>
        </is>
      </c>
      <c r="E8284" s="10" t="inlineStr">
        <is>
          <t>Thương lượng</t>
        </is>
      </c>
      <c r="F8284" s="10" t="inlineStr">
        <is>
          <t>Hà Nội</t>
        </is>
      </c>
      <c r="G8284" s="10" t="inlineStr">
        <is>
          <t>Nhân viên</t>
        </is>
      </c>
      <c r="H8284" s="10" t="inlineStr">
        <is>
          <t>06/03/2026</t>
        </is>
      </c>
      <c r="I8284" s="10" t="inlineStr">
        <is>
          <t>05/04/2026</t>
        </is>
      </c>
      <c r="J8284" s="10" t="inlineStr">
        <is>
          <t>17/03/2026</t>
        </is>
      </c>
      <c r="K8284" s="10" t="inlineStr">
        <is>
          <t>N/A</t>
        </is>
      </c>
      <c r="L8284" s="10" t="inlineStr">
        <is>
          <t>Kế Toán, Phần mềm kế toán, Tài Chính, Báo Cáo Tài Chính, Theo Dõi Công Nợ</t>
        </is>
      </c>
      <c r="M8284" s="10" t="inlineStr">
        <is>
          <t>Bonus, Healthcare Plan, Training, Laptop, Travel Opportunities, Canteen, Others</t>
        </is>
      </c>
      <c r="N8284" s="11">
        <f>HYPERLINK("https://www.vietnamworks.com/ke-toan-tong-hop--2019752-jv","Xem chi tiết")</f>
        <v/>
      </c>
      <c r="O8284" s="10" t="n"/>
    </row>
    <row r="8285">
      <c r="B8285" s="7" t="n">
        <v>8283</v>
      </c>
      <c r="C8285" t="inlineStr">
        <is>
          <t>Senior Accountant Cum Admin</t>
        </is>
      </c>
      <c r="D8285" t="inlineStr">
        <is>
          <t>CÔNG TY TNHH SUN ENERGY VN2</t>
        </is>
      </c>
      <c r="E8285" t="inlineStr">
        <is>
          <t>Thương lượng</t>
        </is>
      </c>
      <c r="F8285" t="inlineStr">
        <is>
          <t>Hồ Chí Minh</t>
        </is>
      </c>
      <c r="G8285" t="inlineStr">
        <is>
          <t>Nhân viên</t>
        </is>
      </c>
      <c r="H8285" t="inlineStr">
        <is>
          <t>06/03/2026</t>
        </is>
      </c>
      <c r="I8285" t="inlineStr">
        <is>
          <t>05/04/2026</t>
        </is>
      </c>
      <c r="J8285" t="inlineStr">
        <is>
          <t>17/03/2026</t>
        </is>
      </c>
      <c r="K8285" t="inlineStr">
        <is>
          <t>N/A</t>
        </is>
      </c>
      <c r="L8285" t="inlineStr">
        <is>
          <t>Accounting, Finance, SAP, Tax Compliance, Communication</t>
        </is>
      </c>
      <c r="M8285" t="inlineStr">
        <is>
          <t>Bonus, Training, Team Activities</t>
        </is>
      </c>
      <c r="N8285" s="8">
        <f>HYPERLINK("https://www.vietnamworks.com/senior-accountant-cum-admin-2019756-jv","Xem chi tiết")</f>
        <v/>
      </c>
    </row>
    <row r="8286">
      <c r="B8286" s="9" t="n">
        <v>8284</v>
      </c>
      <c r="C8286" s="10" t="inlineStr">
        <is>
          <t>Nhân Viên Kinh Doanh – Sale Logistics</t>
        </is>
      </c>
      <c r="D8286" s="10" t="inlineStr">
        <is>
          <t>CÔNG TY TNHH BLS VINA</t>
        </is>
      </c>
      <c r="E8286" s="10" t="inlineStr">
        <is>
          <t>15tr-50tr ₫/tháng</t>
        </is>
      </c>
      <c r="F8286" s="10" t="inlineStr">
        <is>
          <t>Hồ Chí Minh</t>
        </is>
      </c>
      <c r="G8286" s="10" t="inlineStr">
        <is>
          <t>Nhân viên</t>
        </is>
      </c>
      <c r="H8286" s="10" t="inlineStr">
        <is>
          <t>06/03/2026</t>
        </is>
      </c>
      <c r="I8286" s="10" t="inlineStr">
        <is>
          <t>05/04/2026</t>
        </is>
      </c>
      <c r="J8286" s="10" t="inlineStr">
        <is>
          <t>17/03/2026</t>
        </is>
      </c>
      <c r="K8286" s="10" t="inlineStr">
        <is>
          <t>N/A</t>
        </is>
      </c>
      <c r="L8286" s="10" t="inlineStr">
        <is>
          <t>Freight Forwarder, Vận Tải Quốc Tế, Tư Vấn Giải Pháp, Kinh Doanh Logistics, Phát Triển Khách Hàng</t>
        </is>
      </c>
      <c r="M8286" s="10" t="inlineStr">
        <is>
          <t>Bonus, Healthcare Plan, Training, Others</t>
        </is>
      </c>
      <c r="N8286" s="11">
        <f>HYPERLINK("https://www.vietnamworks.com/nhan-vien-kinh-doanh-sale-logistics-2019753-jv","Xem chi tiết")</f>
        <v/>
      </c>
      <c r="O8286" s="10" t="n"/>
    </row>
    <row r="8287">
      <c r="B8287" s="7" t="n">
        <v>8285</v>
      </c>
      <c r="C8287" t="inlineStr">
        <is>
          <t>Project Manager</t>
        </is>
      </c>
      <c r="D8287" t="inlineStr">
        <is>
          <t>Công Ty CP Tập Đoàn Công Nghệ CMC</t>
        </is>
      </c>
      <c r="E8287" t="inlineStr">
        <is>
          <t>Thương lượng</t>
        </is>
      </c>
      <c r="F8287" t="inlineStr">
        <is>
          <t>Hà Nội</t>
        </is>
      </c>
      <c r="G8287" t="inlineStr">
        <is>
          <t>Trưởng phòng</t>
        </is>
      </c>
      <c r="H8287" t="inlineStr">
        <is>
          <t>06/03/2026</t>
        </is>
      </c>
      <c r="I8287" t="inlineStr">
        <is>
          <t>05/04/2026</t>
        </is>
      </c>
      <c r="J8287" t="inlineStr">
        <is>
          <t>17/03/2026</t>
        </is>
      </c>
      <c r="K8287" t="inlineStr">
        <is>
          <t>N/A</t>
        </is>
      </c>
      <c r="L8287" t="inlineStr">
        <is>
          <t>Quản Lý Dự Án, Project Management, IT Project Management</t>
        </is>
      </c>
      <c r="M8287" t="inlineStr">
        <is>
          <t>Bonus, Awards, Travel Opportunities</t>
        </is>
      </c>
      <c r="N8287" s="8">
        <f>HYPERLINK("https://www.vietnamworks.com/project-manager--2019757-jv","Xem chi tiết")</f>
        <v/>
      </c>
    </row>
    <row r="8288">
      <c r="B8288" s="9" t="n">
        <v>8286</v>
      </c>
      <c r="C8288" s="10" t="inlineStr">
        <is>
          <t>Kế Toán Tổng Hợp</t>
        </is>
      </c>
      <c r="D8288" s="10" t="inlineStr">
        <is>
          <t>Công Ty Cổ Phần Orotech</t>
        </is>
      </c>
      <c r="E8288" s="10" t="inlineStr">
        <is>
          <t>Thương lượng</t>
        </is>
      </c>
      <c r="F8288" s="10" t="inlineStr">
        <is>
          <t>Hồ Chí Minh</t>
        </is>
      </c>
      <c r="G8288" s="10" t="inlineStr">
        <is>
          <t>Nhân viên</t>
        </is>
      </c>
      <c r="H8288" s="10" t="inlineStr">
        <is>
          <t>06/03/2026</t>
        </is>
      </c>
      <c r="I8288" s="10" t="inlineStr">
        <is>
          <t>05/04/2026</t>
        </is>
      </c>
      <c r="J8288" s="10" t="inlineStr">
        <is>
          <t>17/03/2026</t>
        </is>
      </c>
      <c r="K8288" s="10" t="inlineStr">
        <is>
          <t>N/A</t>
        </is>
      </c>
      <c r="L8288" s="10" t="inlineStr">
        <is>
          <t>Kế Toán Thương Mại, Misa, Fast, Excel, Quản Lý Hàng Tồn Kho</t>
        </is>
      </c>
      <c r="M8288" s="10" t="inlineStr">
        <is>
          <t>Bonus, Healthcare Plan, Team Activities, Others</t>
        </is>
      </c>
      <c r="N8288" s="11">
        <f>HYPERLINK("https://www.vietnamworks.com/ke-toan-tong-hop-2019759-jv","Xem chi tiết")</f>
        <v/>
      </c>
      <c r="O8288" s="10" t="n"/>
    </row>
    <row r="8289">
      <c r="B8289" s="7" t="n">
        <v>8287</v>
      </c>
      <c r="C8289" t="inlineStr">
        <is>
          <t>Corporate Sales Executive/ Chuyên Viên Phát Triển Đối Tác (Thu Nhập: 25-40 Triệu) (Mảng Nha Khoa)</t>
        </is>
      </c>
      <c r="D8289" t="inlineStr">
        <is>
          <t>Parkway Dental</t>
        </is>
      </c>
      <c r="E8289" t="inlineStr">
        <is>
          <t>25tr-40tr ₫/tháng</t>
        </is>
      </c>
      <c r="F8289" t="inlineStr">
        <is>
          <t>Hồ Chí Minh, Hà Nội</t>
        </is>
      </c>
      <c r="G8289" t="inlineStr">
        <is>
          <t>Nhân viên</t>
        </is>
      </c>
      <c r="H8289" t="inlineStr">
        <is>
          <t>06/03/2026</t>
        </is>
      </c>
      <c r="I8289" t="inlineStr">
        <is>
          <t>05/04/2026</t>
        </is>
      </c>
      <c r="J8289" t="inlineStr">
        <is>
          <t>17/03/2026</t>
        </is>
      </c>
      <c r="K8289" t="inlineStr">
        <is>
          <t>N/A</t>
        </is>
      </c>
      <c r="L8289" t="inlineStr">
        <is>
          <t>Dịch Vụ Nha Khoa, Lĩnh Vực Y Tế, Sales B2B, Sales manager</t>
        </is>
      </c>
      <c r="M8289" t="inlineStr">
        <is>
          <t>Bonus, Healthcare Plan, Paid Leave, Training, Team Activities, Others</t>
        </is>
      </c>
      <c r="N8289" s="8">
        <f>HYPERLINK("https://www.vietnamworks.com/corporate-sales-executive-chuyen-vien-phat-trien-doi-tac-thu-nhap-25-40-trieu-mang-nha-khoa--2019744-jv","Xem chi tiết")</f>
        <v/>
      </c>
    </row>
    <row r="8290">
      <c r="B8290" s="9" t="n">
        <v>8288</v>
      </c>
      <c r="C8290" s="10" t="inlineStr">
        <is>
          <t>Factory/Senior Factory Coordinator</t>
        </is>
      </c>
      <c r="D8290" s="10" t="inlineStr">
        <is>
          <t>The Life and Building Safety (LABS) Initiative</t>
        </is>
      </c>
      <c r="E8290" s="10" t="inlineStr">
        <is>
          <t>Từ $ 1,000 /tháng</t>
        </is>
      </c>
      <c r="F8290" s="10" t="inlineStr">
        <is>
          <t>Đà Nẵng</t>
        </is>
      </c>
      <c r="G8290" s="10" t="inlineStr">
        <is>
          <t>Nhân viên</t>
        </is>
      </c>
      <c r="H8290" s="10" t="inlineStr">
        <is>
          <t>06/03/2026</t>
        </is>
      </c>
      <c r="I8290" s="10" t="inlineStr">
        <is>
          <t>05/04/2026</t>
        </is>
      </c>
      <c r="J8290" s="10" t="inlineStr">
        <is>
          <t>17/03/2026</t>
        </is>
      </c>
      <c r="K8290" s="10" t="inlineStr">
        <is>
          <t>N/A</t>
        </is>
      </c>
      <c r="L8290" s="10" t="inlineStr">
        <is>
          <t>Communication Skills, Engineering Background, Knowledge Of Building Codes, Machine Safety, Technical Drawing Reading</t>
        </is>
      </c>
      <c r="M8290" s="10" t="inlineStr">
        <is>
          <t>Bonus, Healthcare Plan, Paid Leave, Laptop</t>
        </is>
      </c>
      <c r="N8290" s="11">
        <f>HYPERLINK("https://www.vietnamworks.com/factorysenior-factory-coordinator-2019751-jv","Xem chi tiết")</f>
        <v/>
      </c>
      <c r="O8290" s="10" t="n"/>
    </row>
    <row r="8291">
      <c r="B8291" s="7" t="n">
        <v>8289</v>
      </c>
      <c r="C8291" t="inlineStr">
        <is>
          <t>Giám Đốc Vận Hành</t>
        </is>
      </c>
      <c r="D8291" t="inlineStr">
        <is>
          <t>CÔNG TY CỔ PHẦN TẬP ĐOÀN LONG PHƯƠNG</t>
        </is>
      </c>
      <c r="E8291" t="inlineStr">
        <is>
          <t>Thương lượng</t>
        </is>
      </c>
      <c r="F8291" t="inlineStr">
        <is>
          <t>Hà Nội, Bắc Ninh</t>
        </is>
      </c>
      <c r="G8291" t="inlineStr">
        <is>
          <t>Giám Đốc và Cấp Cao Hơn</t>
        </is>
      </c>
      <c r="H8291" t="inlineStr">
        <is>
          <t>06/03/2026</t>
        </is>
      </c>
      <c r="I8291" t="inlineStr">
        <is>
          <t>05/04/2026</t>
        </is>
      </c>
      <c r="J8291" t="inlineStr">
        <is>
          <t>17/03/2026</t>
        </is>
      </c>
      <c r="K8291" t="inlineStr">
        <is>
          <t>N/A</t>
        </is>
      </c>
      <c r="L8291" t="inlineStr">
        <is>
          <t>Cải Tiến Quy Trình Vận Hành, Triển khai, Vận Hành, Điều Hành, Điều hành &amp; Lãnh đạo</t>
        </is>
      </c>
      <c r="M8291" t="inlineStr">
        <is>
          <t>Healthcare Plan, Training, Transportation, Others</t>
        </is>
      </c>
      <c r="N8291" s="8">
        <f>HYPERLINK("https://www.vietnamworks.com/giam-djoc-van-hanh-2019746-jv","Xem chi tiết")</f>
        <v/>
      </c>
    </row>
    <row r="8292">
      <c r="B8292" s="9" t="n">
        <v>8290</v>
      </c>
      <c r="C8292" s="10" t="inlineStr">
        <is>
          <t>Commercial Development Assistant</t>
        </is>
      </c>
      <c r="D8292" s="10" t="inlineStr">
        <is>
          <t>La Vie Limited Liability Company</t>
        </is>
      </c>
      <c r="E8292" s="10" t="inlineStr">
        <is>
          <t>Thương lượng</t>
        </is>
      </c>
      <c r="F8292" s="10" t="inlineStr">
        <is>
          <t>Hồ Chí Minh</t>
        </is>
      </c>
      <c r="G8292" s="10" t="inlineStr">
        <is>
          <t>Nhân viên</t>
        </is>
      </c>
      <c r="H8292" s="10" t="inlineStr">
        <is>
          <t>06/03/2026</t>
        </is>
      </c>
      <c r="I8292" s="10" t="inlineStr">
        <is>
          <t>05/04/2026</t>
        </is>
      </c>
      <c r="J8292" s="10" t="inlineStr">
        <is>
          <t>17/03/2026</t>
        </is>
      </c>
      <c r="K8292" s="10" t="inlineStr">
        <is>
          <t>N/A</t>
        </is>
      </c>
      <c r="L8292" s="10" t="inlineStr">
        <is>
          <t>Channel Development, Sales, Sales Assistant, FMCG</t>
        </is>
      </c>
      <c r="M8292" s="10" t="inlineStr">
        <is>
          <t>Bonus, Healthcare Plan, Training</t>
        </is>
      </c>
      <c r="N8292" s="11">
        <f>HYPERLINK("https://www.vietnamworks.com/commercial-development-assistant-2019750-jv","Xem chi tiết")</f>
        <v/>
      </c>
      <c r="O8292" s="10" t="n"/>
    </row>
    <row r="8293">
      <c r="B8293" s="7" t="n">
        <v>8291</v>
      </c>
      <c r="C8293" t="inlineStr">
        <is>
          <t>Embedded Application Software Engineer (3-Months Contract)</t>
        </is>
      </c>
      <c r="D8293" t="inlineStr">
        <is>
          <t>Bosch Global Software Technologies Company Limited</t>
        </is>
      </c>
      <c r="E8293" t="inlineStr">
        <is>
          <t>Thương lượng</t>
        </is>
      </c>
      <c r="F8293" t="inlineStr">
        <is>
          <t>Hồ Chí Minh</t>
        </is>
      </c>
      <c r="G8293" t="inlineStr">
        <is>
          <t>Nhân viên</t>
        </is>
      </c>
      <c r="H8293" t="inlineStr">
        <is>
          <t>06/03/2026</t>
        </is>
      </c>
      <c r="I8293" t="inlineStr">
        <is>
          <t>05/04/2026</t>
        </is>
      </c>
      <c r="J8293" t="inlineStr">
        <is>
          <t>17/03/2026</t>
        </is>
      </c>
      <c r="K8293" t="inlineStr">
        <is>
          <t>N/A</t>
        </is>
      </c>
      <c r="L8293" t="inlineStr">
        <is>
          <t>Embedded, Embedded Programming C++, Automotive, Embedded C programming, Embedded Systems</t>
        </is>
      </c>
      <c r="M8293" t="inlineStr">
        <is>
          <t>Bonus, Healthcare Plan, Paid Leave</t>
        </is>
      </c>
      <c r="N8293" s="8">
        <f>HYPERLINK("https://www.vietnamworks.com/embedded-application-software-engineer-3-months-contract-2019740-jv","Xem chi tiết")</f>
        <v/>
      </c>
    </row>
    <row r="8294">
      <c r="B8294" s="9" t="n">
        <v>8292</v>
      </c>
      <c r="C8294" s="10" t="inlineStr">
        <is>
          <t>Trưởng Nhóm Phân Tích Kiểm Nghiệm – Trung Tâm R&amp;D / Team Leader of R&amp;D Analytical</t>
        </is>
      </c>
      <c r="D8294" s="10" t="inlineStr">
        <is>
          <t>Công Ty Cổ Phần Dược Danapha</t>
        </is>
      </c>
      <c r="E8294" s="10" t="inlineStr">
        <is>
          <t>$$ 1,000-1,200 /tháng</t>
        </is>
      </c>
      <c r="F8294" s="10" t="inlineStr">
        <is>
          <t>Đà Nẵng</t>
        </is>
      </c>
      <c r="G8294" s="10" t="inlineStr">
        <is>
          <t>Nhân viên</t>
        </is>
      </c>
      <c r="H8294" s="10" t="inlineStr">
        <is>
          <t>06/03/2026</t>
        </is>
      </c>
      <c r="I8294" s="10" t="inlineStr">
        <is>
          <t>05/04/2026</t>
        </is>
      </c>
      <c r="J8294" s="10" t="inlineStr">
        <is>
          <t>17/03/2026</t>
        </is>
      </c>
      <c r="K8294" s="10" t="inlineStr">
        <is>
          <t>N/A</t>
        </is>
      </c>
      <c r="L8294" s="10" t="inlineStr">
        <is>
          <t>Y Dược, Thí Nghiệm, R&amp;D Dược Phẩm, HPLC, Kiểm Nghiệm Dược</t>
        </is>
      </c>
      <c r="M8294" s="10" t="inlineStr">
        <is>
          <t>Bonus, Healthcare Plan, Paid Leave</t>
        </is>
      </c>
      <c r="N8294" s="11">
        <f>HYPERLINK("https://www.vietnamworks.com/truong-nhom-phan-tich-kiem-nghiem-trung-tam-r-d-team-leader-of-r-d-analytical--2019758-jv","Xem chi tiết")</f>
        <v/>
      </c>
      <c r="O8294" s="10" t="n"/>
    </row>
    <row r="8295">
      <c r="B8295" s="7" t="n">
        <v>8293</v>
      </c>
      <c r="C8295" t="inlineStr">
        <is>
          <t>Kế Toán Tổng Hợp</t>
        </is>
      </c>
      <c r="D8295" t="inlineStr">
        <is>
          <t>CÔNG TY CỔ PHẦN TẬP ĐOÀN LONG PHƯƠNG</t>
        </is>
      </c>
      <c r="E8295" t="inlineStr">
        <is>
          <t>Thương lượng</t>
        </is>
      </c>
      <c r="F8295" t="inlineStr">
        <is>
          <t>Hưng Yên, Bắc Giang, Bắc Ninh</t>
        </is>
      </c>
      <c r="G8295" t="inlineStr">
        <is>
          <t>Nhân viên</t>
        </is>
      </c>
      <c r="H8295" t="inlineStr">
        <is>
          <t>06/03/2026</t>
        </is>
      </c>
      <c r="I8295" t="inlineStr">
        <is>
          <t>05/04/2026</t>
        </is>
      </c>
      <c r="J8295" t="inlineStr">
        <is>
          <t>17/03/2026</t>
        </is>
      </c>
      <c r="K8295" t="inlineStr">
        <is>
          <t>N/A</t>
        </is>
      </c>
      <c r="L8295" t="inlineStr">
        <is>
          <t>Kế Toán Tổng Hợp, Kiểm Soát Chi Phí, Phân Tích Số Liệu, Quản Lý Tài Sản, Tài Chính Kế Toán</t>
        </is>
      </c>
      <c r="M8295" t="inlineStr">
        <is>
          <t>Healthcare Plan, Training, Transportation, Others</t>
        </is>
      </c>
      <c r="N8295" s="8">
        <f>HYPERLINK("https://www.vietnamworks.com/ke-toan-tong-hop-2019745-jv","Xem chi tiết")</f>
        <v/>
      </c>
    </row>
    <row r="8296">
      <c r="B8296" s="9" t="n">
        <v>8294</v>
      </c>
      <c r="C8296" s="10" t="inlineStr">
        <is>
          <t>Office Leasing Customer Service &amp; Operation Manager</t>
        </is>
      </c>
      <c r="D8296" s="10" t="inlineStr">
        <is>
          <t>Công Ty TNHH Lotte Property &amp; Development Việt Nam</t>
        </is>
      </c>
      <c r="E8296" s="10" t="inlineStr">
        <is>
          <t>Thương lượng</t>
        </is>
      </c>
      <c r="F8296" s="10" t="inlineStr">
        <is>
          <t>Hà Nội</t>
        </is>
      </c>
      <c r="G8296" s="10" t="inlineStr">
        <is>
          <t>Trưởng phòng</t>
        </is>
      </c>
      <c r="H8296" s="10" t="inlineStr">
        <is>
          <t>06/03/2026</t>
        </is>
      </c>
      <c r="I8296" s="10" t="inlineStr">
        <is>
          <t>05/04/2026</t>
        </is>
      </c>
      <c r="J8296" s="10" t="inlineStr">
        <is>
          <t>17/03/2026</t>
        </is>
      </c>
      <c r="K8296" s="10" t="inlineStr">
        <is>
          <t>N/A</t>
        </is>
      </c>
      <c r="L8296" s="10" t="inlineStr">
        <is>
          <t>operations, Customer Support, Bảo Trì, Quản Lý Vận Hành, Bảo Dưỡng</t>
        </is>
      </c>
      <c r="M8296" s="10" t="inlineStr">
        <is>
          <t>Bonus, Awards, Others</t>
        </is>
      </c>
      <c r="N8296" s="11">
        <f>HYPERLINK("https://www.vietnamworks.com/office-leasing-customer-service-operation-manager-2019765-jv","Xem chi tiết")</f>
        <v/>
      </c>
      <c r="O8296" s="10" t="n"/>
    </row>
    <row r="8297">
      <c r="B8297" s="7" t="n">
        <v>8295</v>
      </c>
      <c r="C8297" t="inlineStr">
        <is>
          <t>Nhân Viên Sản Xuất</t>
        </is>
      </c>
      <c r="D8297" t="inlineStr">
        <is>
          <t>Intel Products Vietnam</t>
        </is>
      </c>
      <c r="E8297" t="inlineStr">
        <is>
          <t>Thương lượng</t>
        </is>
      </c>
      <c r="F8297" t="inlineStr">
        <is>
          <t>Hồ Chí Minh</t>
        </is>
      </c>
      <c r="G8297" t="inlineStr">
        <is>
          <t>Nhân viên</t>
        </is>
      </c>
      <c r="H8297" t="inlineStr">
        <is>
          <t>06/03/2026</t>
        </is>
      </c>
      <c r="I8297" t="inlineStr">
        <is>
          <t>05/04/2026</t>
        </is>
      </c>
      <c r="J8297" t="inlineStr">
        <is>
          <t>17/03/2026</t>
        </is>
      </c>
      <c r="K8297" t="inlineStr">
        <is>
          <t>N/A</t>
        </is>
      </c>
      <c r="L8297" t="inlineStr">
        <is>
          <t>5S Practices, Self Discipline, Safety Awareness, Production Technician, Machine Operation</t>
        </is>
      </c>
      <c r="M8297" t="inlineStr">
        <is>
          <t>Bonus, Healthcare Plan, Training</t>
        </is>
      </c>
      <c r="N8297" s="8">
        <f>HYPERLINK("https://www.vietnamworks.com/nhan-vien-san-xuat--2019762-jv","Xem chi tiết")</f>
        <v/>
      </c>
    </row>
    <row r="8298">
      <c r="B8298" s="9" t="n">
        <v>8296</v>
      </c>
      <c r="C8298" s="10" t="inlineStr">
        <is>
          <t>Module Equipment Technician - Kỹ Thuật Viên Bảo Trì Sửa Chữa</t>
        </is>
      </c>
      <c r="D8298" s="10" t="inlineStr">
        <is>
          <t>Intel Products Vietnam</t>
        </is>
      </c>
      <c r="E8298" s="10" t="inlineStr">
        <is>
          <t>Thương lượng</t>
        </is>
      </c>
      <c r="F8298" s="10" t="inlineStr">
        <is>
          <t>Hồ Chí Minh</t>
        </is>
      </c>
      <c r="G8298" s="10" t="inlineStr">
        <is>
          <t>Nhân viên</t>
        </is>
      </c>
      <c r="H8298" s="10" t="inlineStr">
        <is>
          <t>06/03/2026</t>
        </is>
      </c>
      <c r="I8298" s="10" t="inlineStr">
        <is>
          <t>05/04/2026</t>
        </is>
      </c>
      <c r="J8298" s="10" t="inlineStr">
        <is>
          <t>17/03/2026</t>
        </is>
      </c>
      <c r="K8298" s="10" t="inlineStr">
        <is>
          <t>N/A</t>
        </is>
      </c>
      <c r="L8298" s="10" t="inlineStr">
        <is>
          <t>Tool Fixing, Equipment Maintenance, Troubleshooting Skills, Mechanical, Electronics</t>
        </is>
      </c>
      <c r="M8298" s="10" t="inlineStr">
        <is>
          <t>Bonus, Healthcare Plan, Training</t>
        </is>
      </c>
      <c r="N8298" s="11">
        <f>HYPERLINK("https://www.vietnamworks.com/module-equipment-technician-ky-thuat-vien-bao-tri-sua-chua--2019763-jv","Xem chi tiết")</f>
        <v/>
      </c>
      <c r="O8298" s="10" t="n"/>
    </row>
    <row r="8299">
      <c r="B8299" s="7" t="n">
        <v>8297</v>
      </c>
      <c r="C8299" t="inlineStr">
        <is>
          <t>Senior Sales Manager – Aquaculture &amp; Veterinary (South Vietnam / Mekong Delta)</t>
        </is>
      </c>
      <c r="D8299" t="inlineStr">
        <is>
          <t>Công Ty TNHH Seven Hills Trading</t>
        </is>
      </c>
      <c r="E8299" t="inlineStr">
        <is>
          <t>Thương lượng</t>
        </is>
      </c>
      <c r="F8299" t="inlineStr">
        <is>
          <t>Hồ Chí Minh</t>
        </is>
      </c>
      <c r="G8299" t="inlineStr">
        <is>
          <t>Trưởng phòng</t>
        </is>
      </c>
      <c r="H8299" t="inlineStr">
        <is>
          <t>06/03/2026</t>
        </is>
      </c>
      <c r="I8299" t="inlineStr">
        <is>
          <t>05/04/2026</t>
        </is>
      </c>
      <c r="J8299" t="inlineStr">
        <is>
          <t>17/03/2026</t>
        </is>
      </c>
      <c r="K8299" t="inlineStr">
        <is>
          <t>N/A</t>
        </is>
      </c>
      <c r="L8299" t="inlineStr">
        <is>
          <t>Account Management, Aquaculture Technology, Business Development, Product Marketing, Sales Strategy</t>
        </is>
      </c>
      <c r="M8299" t="inlineStr">
        <is>
          <t>Others</t>
        </is>
      </c>
      <c r="N8299" s="8">
        <f>HYPERLINK("https://www.vietnamworks.com/senior-sales-manager-aquaculture-and-veterinary-south-vietnam-mekong-delta-2019768-jv","Xem chi tiết")</f>
        <v/>
      </c>
    </row>
    <row r="8300">
      <c r="B8300" s="9" t="n">
        <v>8298</v>
      </c>
      <c r="C8300" s="10" t="inlineStr">
        <is>
          <t>QA Engineer (Kỹ Sư Chất Lượng, Tiếng Anh Thành Thạo )</t>
        </is>
      </c>
      <c r="D8300" s="10" t="inlineStr">
        <is>
          <t>Công Ty TNHH LG Innotek Việt Nam Hải Phòng</t>
        </is>
      </c>
      <c r="E8300" s="10" t="inlineStr">
        <is>
          <t>Thương lượng</t>
        </is>
      </c>
      <c r="F8300" s="10" t="inlineStr">
        <is>
          <t>Hải Phòng</t>
        </is>
      </c>
      <c r="G8300" s="10" t="inlineStr">
        <is>
          <t>Nhân viên</t>
        </is>
      </c>
      <c r="H8300" s="10" t="inlineStr">
        <is>
          <t>06/03/2026</t>
        </is>
      </c>
      <c r="I8300" s="10" t="inlineStr">
        <is>
          <t>05/04/2026</t>
        </is>
      </c>
      <c r="J8300" s="10" t="inlineStr">
        <is>
          <t>17/03/2026</t>
        </is>
      </c>
      <c r="K8300" s="10" t="inlineStr">
        <is>
          <t>N/A</t>
        </is>
      </c>
      <c r="L8300" s="10" t="inlineStr">
        <is>
          <t>Quality Assurance, Process Improvement, PQA, Quality Control, Đảm Bảo Chất Lượng</t>
        </is>
      </c>
      <c r="M8300" s="10" t="inlineStr">
        <is>
          <t>Bonus, Healthcare Plan, Paid Leave, Training, Laptop, Team Activities, Transportation, Canteen, Others</t>
        </is>
      </c>
      <c r="N8300" s="11">
        <f>HYPERLINK("https://www.vietnamworks.com/qa-engineer-ky-su-chat-luong-tieng-anh-thanh-thao-2019772-jv","Xem chi tiết")</f>
        <v/>
      </c>
      <c r="O8300" s="10" t="n"/>
    </row>
    <row r="8301">
      <c r="B8301" s="7" t="n">
        <v>8299</v>
      </c>
      <c r="C8301" t="inlineStr">
        <is>
          <t>Kế Toán Trưởng</t>
        </is>
      </c>
      <c r="D8301" t="inlineStr">
        <is>
          <t>Công Ty TNHH Phan Khang Home</t>
        </is>
      </c>
      <c r="E8301" t="inlineStr">
        <is>
          <t>Thương lượng</t>
        </is>
      </c>
      <c r="F8301" t="inlineStr">
        <is>
          <t>Hồ Chí Minh</t>
        </is>
      </c>
      <c r="G8301" t="inlineStr">
        <is>
          <t>Trưởng phòng</t>
        </is>
      </c>
      <c r="H8301" t="inlineStr">
        <is>
          <t>06/03/2026</t>
        </is>
      </c>
      <c r="I8301" t="inlineStr">
        <is>
          <t>05/04/2026</t>
        </is>
      </c>
      <c r="J8301" t="inlineStr">
        <is>
          <t>17/03/2026</t>
        </is>
      </c>
      <c r="K8301" t="inlineStr">
        <is>
          <t>N/A</t>
        </is>
      </c>
      <c r="L8301" t="inlineStr">
        <is>
          <t>Báo Cáo Tài Chính, Excel, Kế Toán, Misa, Quản Lý</t>
        </is>
      </c>
      <c r="M8301" t="inlineStr">
        <is>
          <t>Bonus, Healthcare Plan, Training, Laptop, Team Activities</t>
        </is>
      </c>
      <c r="N8301" s="8">
        <f>HYPERLINK("https://www.vietnamworks.com/ke-toan-truong-2019764-jv","Xem chi tiết")</f>
        <v/>
      </c>
    </row>
    <row r="8302">
      <c r="B8302" s="9" t="n">
        <v>8300</v>
      </c>
      <c r="C8302" s="10" t="inlineStr">
        <is>
          <t>Senior Sales Manager Nationwide (Vietnam) In Dermatology, Cosmetic, Healthcare Products, Food Supplements &amp; Nutrition</t>
        </is>
      </c>
      <c r="D8302" s="10" t="inlineStr">
        <is>
          <t>Công Ty TNHH Seven Hills Trading</t>
        </is>
      </c>
      <c r="E8302" s="10" t="inlineStr">
        <is>
          <t>Thương lượng</t>
        </is>
      </c>
      <c r="F8302" s="10" t="inlineStr">
        <is>
          <t>Hồ Chí Minh</t>
        </is>
      </c>
      <c r="G8302" s="10" t="inlineStr">
        <is>
          <t>Trưởng phòng</t>
        </is>
      </c>
      <c r="H8302" s="10" t="inlineStr">
        <is>
          <t>06/03/2026</t>
        </is>
      </c>
      <c r="I8302" s="10" t="inlineStr">
        <is>
          <t>05/04/2026</t>
        </is>
      </c>
      <c r="J8302" s="10" t="inlineStr">
        <is>
          <t>17/03/2026</t>
        </is>
      </c>
      <c r="K8302" s="10" t="inlineStr">
        <is>
          <t>N/A</t>
        </is>
      </c>
      <c r="L8302" s="10" t="inlineStr">
        <is>
          <t>Dermatology, Kế Hoạch Kinh Doanh, Kinh Doanh, Sales Planning, Sales Strategy</t>
        </is>
      </c>
      <c r="M8302" s="10" t="inlineStr">
        <is>
          <t>Others</t>
        </is>
      </c>
      <c r="N8302" s="11">
        <f>HYPERLINK("https://www.vietnamworks.com/senior-sales-manager-nationwide-vietnam-in-dermatology-cosmetic-healthcare-products-food-supplements-and-nutrition-2019781-jv","Xem chi tiết")</f>
        <v/>
      </c>
      <c r="O8302" s="10" t="n"/>
    </row>
    <row r="8303">
      <c r="B8303" s="7" t="n">
        <v>8301</v>
      </c>
      <c r="C8303" t="inlineStr">
        <is>
          <t>Domestic Green Coffee Trader (Marketer)</t>
        </is>
      </c>
      <c r="D8303" t="inlineStr">
        <is>
          <t>Louis Dreyfus Company (LDC) Vietnam</t>
        </is>
      </c>
      <c r="E8303" t="inlineStr">
        <is>
          <t>Thương lượng</t>
        </is>
      </c>
      <c r="F8303" t="inlineStr">
        <is>
          <t>Hồ Chí Minh</t>
        </is>
      </c>
      <c r="G8303" t="inlineStr">
        <is>
          <t>Nhân viên</t>
        </is>
      </c>
      <c r="H8303" t="inlineStr">
        <is>
          <t>06/03/2026</t>
        </is>
      </c>
      <c r="I8303" t="inlineStr">
        <is>
          <t>05/04/2026</t>
        </is>
      </c>
      <c r="J8303" t="inlineStr">
        <is>
          <t>17/03/2026</t>
        </is>
      </c>
      <c r="K8303" t="inlineStr">
        <is>
          <t>N/A</t>
        </is>
      </c>
      <c r="L8303" t="inlineStr">
        <is>
          <t>Agricultural Trade, Commodity Pricing, Trading Strategies, Trade Administration, Business Development</t>
        </is>
      </c>
      <c r="M8303" t="inlineStr">
        <is>
          <t>Bonus, Healthcare Plan, Training, Awards</t>
        </is>
      </c>
      <c r="N8303" s="8">
        <f>HYPERLINK("https://www.vietnamworks.com/domestic-green-coffee-trader-marketer-2019761-jv","Xem chi tiết")</f>
        <v/>
      </c>
    </row>
    <row r="8304">
      <c r="B8304" s="9" t="n">
        <v>8302</v>
      </c>
      <c r="C8304" s="10" t="inlineStr">
        <is>
          <t>Trưởng Phòng Kinh Doanh Thị Trường</t>
        </is>
      </c>
      <c r="D8304" s="10" t="inlineStr">
        <is>
          <t>CÔNG TY TNHH OUMAN STORAGE VIET NAM</t>
        </is>
      </c>
      <c r="E8304" s="10" t="inlineStr">
        <is>
          <t>Thương lượng</t>
        </is>
      </c>
      <c r="F8304" s="10" t="inlineStr">
        <is>
          <t>Bình Dương</t>
        </is>
      </c>
      <c r="G8304" s="10" t="inlineStr">
        <is>
          <t>Trưởng phòng</t>
        </is>
      </c>
      <c r="H8304" s="10" t="inlineStr">
        <is>
          <t>06/03/2026</t>
        </is>
      </c>
      <c r="I8304" s="10" t="inlineStr">
        <is>
          <t>05/04/2026</t>
        </is>
      </c>
      <c r="J8304" s="10" t="inlineStr">
        <is>
          <t>17/03/2026</t>
        </is>
      </c>
      <c r="K8304" s="10" t="inlineStr">
        <is>
          <t>N/A</t>
        </is>
      </c>
      <c r="L8304" s="10" t="inlineStr">
        <is>
          <t>Quản Lý Đội Nhóm, Kế Hoạch Kinh Doanh, B2B, Marketing, Phân Tích Thị Trường</t>
        </is>
      </c>
      <c r="M8304" s="10" t="inlineStr">
        <is>
          <t>Bonus, Healthcare Plan, Paid Leave, Others</t>
        </is>
      </c>
      <c r="N8304" s="11">
        <f>HYPERLINK("https://www.vietnamworks.com/truong-phong-kinh-doanh-thi-truong-2019783-jv","Xem chi tiết")</f>
        <v/>
      </c>
      <c r="O8304" s="10" t="n"/>
    </row>
    <row r="8305">
      <c r="B8305" s="7" t="n">
        <v>8303</v>
      </c>
      <c r="C8305" t="inlineStr">
        <is>
          <t>Nhân Viên Mua Hàng (Tiếng Anh) - Purchasing</t>
        </is>
      </c>
      <c r="D8305" t="inlineStr">
        <is>
          <t>CTY CP TMDV THÉP HÒA PHÁT LONG AN</t>
        </is>
      </c>
      <c r="E8305" t="inlineStr">
        <is>
          <t>Thương lượng</t>
        </is>
      </c>
      <c r="F8305" t="inlineStr">
        <is>
          <t>Hồ Chí Minh</t>
        </is>
      </c>
      <c r="G8305" t="inlineStr">
        <is>
          <t>Nhân viên</t>
        </is>
      </c>
      <c r="H8305" t="inlineStr">
        <is>
          <t>06/03/2026</t>
        </is>
      </c>
      <c r="I8305" t="inlineStr">
        <is>
          <t>05/04/2026</t>
        </is>
      </c>
      <c r="J8305" t="inlineStr">
        <is>
          <t>17/03/2026</t>
        </is>
      </c>
      <c r="K8305" t="inlineStr">
        <is>
          <t>N/A</t>
        </is>
      </c>
      <c r="L8305" t="inlineStr">
        <is>
          <t>Purchasing, Mua Hàng, Quy Trình Hải Quan, Thủ Tục XNK, Tiếng Anh</t>
        </is>
      </c>
      <c r="M8305" t="inlineStr">
        <is>
          <t>Bonus, Healthcare Plan, Paid Leave</t>
        </is>
      </c>
      <c r="N8305" s="8">
        <f>HYPERLINK("https://www.vietnamworks.com/nhan-vien-mua-hang-tieng-anh-purchasing-2019784-jv","Xem chi tiết")</f>
        <v/>
      </c>
    </row>
    <row r="8306">
      <c r="B8306" s="9" t="n">
        <v>8304</v>
      </c>
      <c r="C8306" s="10" t="inlineStr">
        <is>
          <t>Electrical Installation Designer</t>
        </is>
      </c>
      <c r="D8306" s="10" t="inlineStr">
        <is>
          <t>Danieli – Industrielle Beteiligung Co., Ltd</t>
        </is>
      </c>
      <c r="E8306" s="10" t="inlineStr">
        <is>
          <t>Thương lượng</t>
        </is>
      </c>
      <c r="F8306" s="10" t="inlineStr">
        <is>
          <t>Hồ Chí Minh</t>
        </is>
      </c>
      <c r="G8306" s="10" t="inlineStr">
        <is>
          <t>Nhân viên</t>
        </is>
      </c>
      <c r="H8306" s="10" t="inlineStr">
        <is>
          <t>06/03/2026</t>
        </is>
      </c>
      <c r="I8306" s="10" t="inlineStr">
        <is>
          <t>05/04/2026</t>
        </is>
      </c>
      <c r="J8306" s="10" t="inlineStr">
        <is>
          <t>17/03/2026</t>
        </is>
      </c>
      <c r="K8306" s="10" t="inlineStr">
        <is>
          <t>N/A</t>
        </is>
      </c>
      <c r="L8306" s="10" t="inlineStr">
        <is>
          <t>Electrical Design, Electrical Installation, Electrical Systems, Mechatronics Design, 2D CAD</t>
        </is>
      </c>
      <c r="M8306" s="10" t="inlineStr">
        <is>
          <t>Bonus, Healthcare Plan, Paid Leave, Training, Team Activities, Canteen, Others</t>
        </is>
      </c>
      <c r="N8306" s="11">
        <f>HYPERLINK("https://www.vietnamworks.com/electrical-installation-designer--2019766-jv","Xem chi tiết")</f>
        <v/>
      </c>
      <c r="O8306" s="10" t="n"/>
    </row>
    <row r="8307">
      <c r="B8307" s="7" t="n">
        <v>8305</v>
      </c>
      <c r="C8307" t="inlineStr">
        <is>
          <t>Internal Communication Coordinator &amp; Office Support</t>
        </is>
      </c>
      <c r="D8307" t="inlineStr">
        <is>
          <t>Công Ty TNHH LG Innotek Việt Nam Hải Phòng</t>
        </is>
      </c>
      <c r="E8307" t="inlineStr">
        <is>
          <t>Thương lượng</t>
        </is>
      </c>
      <c r="F8307" t="inlineStr">
        <is>
          <t>Hải Phòng</t>
        </is>
      </c>
      <c r="G8307" t="inlineStr">
        <is>
          <t>Nhân viên</t>
        </is>
      </c>
      <c r="H8307" t="inlineStr">
        <is>
          <t>06/03/2026</t>
        </is>
      </c>
      <c r="I8307" t="inlineStr">
        <is>
          <t>05/04/2026</t>
        </is>
      </c>
      <c r="J8307" t="inlineStr">
        <is>
          <t>17/03/2026</t>
        </is>
      </c>
      <c r="K8307" t="inlineStr">
        <is>
          <t>N/A</t>
        </is>
      </c>
      <c r="L8307" t="inlineStr">
        <is>
          <t>Internal Communications, Office Administration, Media Production, Quick Learning, Business Administration</t>
        </is>
      </c>
      <c r="M8307" t="inlineStr">
        <is>
          <t>Bonus, Transportation, Others</t>
        </is>
      </c>
      <c r="N8307" s="8">
        <f>HYPERLINK("https://www.vietnamworks.com/internal-communication-coordinator-and-office-support-2019776-jv","Xem chi tiết")</f>
        <v/>
      </c>
    </row>
    <row r="8308">
      <c r="B8308" s="9" t="n">
        <v>8306</v>
      </c>
      <c r="C8308" s="10" t="inlineStr">
        <is>
          <t>Senior Marketing Executive (Event Focus)</t>
        </is>
      </c>
      <c r="D8308" s="10" t="inlineStr">
        <is>
          <t>Sai Gon Nam Phu Real Estate Corporation</t>
        </is>
      </c>
      <c r="E8308" s="10" t="inlineStr">
        <is>
          <t>Thương lượng</t>
        </is>
      </c>
      <c r="F8308" s="10" t="inlineStr">
        <is>
          <t>Hồ Chí Minh</t>
        </is>
      </c>
      <c r="G8308" s="10" t="inlineStr">
        <is>
          <t>Nhân viên</t>
        </is>
      </c>
      <c r="H8308" s="10" t="inlineStr">
        <is>
          <t>06/03/2026</t>
        </is>
      </c>
      <c r="I8308" s="10" t="inlineStr">
        <is>
          <t>05/04/2026</t>
        </is>
      </c>
      <c r="J8308" s="10" t="inlineStr">
        <is>
          <t>17/03/2026</t>
        </is>
      </c>
      <c r="K8308" s="10" t="inlineStr">
        <is>
          <t>N/A</t>
        </is>
      </c>
      <c r="L8308" s="10" t="inlineStr">
        <is>
          <t>Event Management, Project Management, Task Coordination, Marketing Strategy, Communication</t>
        </is>
      </c>
      <c r="M8308" s="10" t="inlineStr">
        <is>
          <t>Bonus, Healthcare Plan, Travel Opportunities</t>
        </is>
      </c>
      <c r="N8308" s="11">
        <f>HYPERLINK("https://www.vietnamworks.com/senior-marketing-executive-event-focus-2019777-jv","Xem chi tiết")</f>
        <v/>
      </c>
      <c r="O8308" s="10" t="n"/>
    </row>
    <row r="8309">
      <c r="B8309" s="7" t="n">
        <v>8307</v>
      </c>
      <c r="C8309" t="inlineStr">
        <is>
          <t>Kỹ Sư Kết Cấu Hạ Tầng &amp; Cảnh Quan (Structural Engineer Infrastructure &amp; Landscape Projects)</t>
        </is>
      </c>
      <c r="D8309" t="inlineStr">
        <is>
          <t>Công Ty Cổ Phần West Green Design</t>
        </is>
      </c>
      <c r="E8309" t="inlineStr">
        <is>
          <t>$$ 500-1,000 /tháng</t>
        </is>
      </c>
      <c r="F8309" t="inlineStr">
        <is>
          <t>Hà Nội</t>
        </is>
      </c>
      <c r="G8309" t="inlineStr">
        <is>
          <t>Nhân viên</t>
        </is>
      </c>
      <c r="H8309" t="inlineStr">
        <is>
          <t>06/03/2026</t>
        </is>
      </c>
      <c r="I8309" t="inlineStr">
        <is>
          <t>05/04/2026</t>
        </is>
      </c>
      <c r="J8309" t="inlineStr">
        <is>
          <t>17/03/2026</t>
        </is>
      </c>
      <c r="K8309" t="inlineStr">
        <is>
          <t>N/A</t>
        </is>
      </c>
      <c r="L8309" t="inlineStr">
        <is>
          <t>Giám Sát Cảnh Quan, Kết cấu, Kiến Trúc Cảnh Quan, Quản Lý Dự Án Cảnh Quan</t>
        </is>
      </c>
      <c r="M8309" t="inlineStr">
        <is>
          <t>Bonus, Healthcare Plan, Paid Leave, Training, Others</t>
        </is>
      </c>
      <c r="N8309" s="8">
        <f>HYPERLINK("https://www.vietnamworks.com/ky-su-ket-cau-ha-tang-and-canh-quan-structural-engineer-infrastructure-and-landscape-projects-2019770-jv","Xem chi tiết")</f>
        <v/>
      </c>
    </row>
    <row r="8310">
      <c r="B8310" s="9" t="n">
        <v>8308</v>
      </c>
      <c r="C8310" s="10" t="inlineStr">
        <is>
          <t>Account Manager/ Điều Phối Dự Án (Promotion Campaign) (Hồ Chí Minh)</t>
        </is>
      </c>
      <c r="D8310" s="10" t="inlineStr">
        <is>
          <t>Công Ty Cổ Phần GAPIT</t>
        </is>
      </c>
      <c r="E8310" s="10" t="inlineStr">
        <is>
          <t>15tr-18tr ₫/tháng</t>
        </is>
      </c>
      <c r="F8310" s="10" t="inlineStr">
        <is>
          <t>Hồ Chí Minh</t>
        </is>
      </c>
      <c r="G8310" s="10" t="inlineStr">
        <is>
          <t>Nhân viên</t>
        </is>
      </c>
      <c r="H8310" s="10" t="inlineStr">
        <is>
          <t>06/03/2026</t>
        </is>
      </c>
      <c r="I8310" s="10" t="inlineStr">
        <is>
          <t>05/04/2026</t>
        </is>
      </c>
      <c r="J8310" s="10" t="inlineStr">
        <is>
          <t>17/03/2026</t>
        </is>
      </c>
      <c r="K8310" s="10" t="inlineStr">
        <is>
          <t>N/A</t>
        </is>
      </c>
      <c r="L8310" s="10" t="inlineStr">
        <is>
          <t>Campaign Planning, Customer Service, Quản Lý Nhà Cung Cấp, Tư Vấn Giải Pháp, End to End</t>
        </is>
      </c>
      <c r="M8310" s="10" t="inlineStr">
        <is>
          <t>Bonus, Healthcare Plan, Laptop</t>
        </is>
      </c>
      <c r="N8310" s="11">
        <f>HYPERLINK("https://www.vietnamworks.com/account-manager-dieu-phoi-du-an-promotion-campaign-ho-chi-minh-2019779-jv","Xem chi tiết")</f>
        <v/>
      </c>
      <c r="O8310" s="10" t="n"/>
    </row>
    <row r="8311">
      <c r="B8311" s="7" t="n">
        <v>8309</v>
      </c>
      <c r="C8311" t="inlineStr">
        <is>
          <t>Chief Accountant &amp; Administrative</t>
        </is>
      </c>
      <c r="D8311" t="inlineStr">
        <is>
          <t>CÔNG TY TNHH YBM VIỆT NAM</t>
        </is>
      </c>
      <c r="E8311" t="inlineStr">
        <is>
          <t>Thương lượng</t>
        </is>
      </c>
      <c r="F8311" t="inlineStr">
        <is>
          <t>Hà Nội</t>
        </is>
      </c>
      <c r="G8311" t="inlineStr">
        <is>
          <t>Trưởng phòng</t>
        </is>
      </c>
      <c r="H8311" t="inlineStr">
        <is>
          <t>06/03/2026</t>
        </is>
      </c>
      <c r="I8311" t="inlineStr">
        <is>
          <t>05/04/2026</t>
        </is>
      </c>
      <c r="J8311" t="inlineStr">
        <is>
          <t>17/03/2026</t>
        </is>
      </c>
      <c r="K8311" t="inlineStr">
        <is>
          <t>N/A</t>
        </is>
      </c>
      <c r="L8311" t="inlineStr">
        <is>
          <t>Kế Toán, Kiểm Toán, Tài Chính, Excel, Giao Tiếp Tiếng Anh</t>
        </is>
      </c>
      <c r="M8311" t="inlineStr">
        <is>
          <t>Bonus, Healthcare Plan, Training, Travel Opportunities</t>
        </is>
      </c>
      <c r="N8311" s="8">
        <f>HYPERLINK("https://www.vietnamworks.com/chief-accountant-andamp-administrative-2019778-jv","Xem chi tiết")</f>
        <v/>
      </c>
    </row>
    <row r="8312">
      <c r="B8312" s="9" t="n">
        <v>8310</v>
      </c>
      <c r="C8312" s="10" t="inlineStr">
        <is>
          <t>Nhân Viên Kinh Doanh Sales</t>
        </is>
      </c>
      <c r="D8312" s="10" t="inlineStr">
        <is>
          <t>Công Ty TNHH Phan Khang Home</t>
        </is>
      </c>
      <c r="E8312" s="10" t="inlineStr">
        <is>
          <t>Thương lượng</t>
        </is>
      </c>
      <c r="F8312" s="10" t="inlineStr">
        <is>
          <t>Hồ Chí Minh</t>
        </is>
      </c>
      <c r="G8312" s="10" t="inlineStr">
        <is>
          <t>Nhân viên</t>
        </is>
      </c>
      <c r="H8312" s="10" t="inlineStr">
        <is>
          <t>06/03/2026</t>
        </is>
      </c>
      <c r="I8312" s="10" t="inlineStr">
        <is>
          <t>05/04/2026</t>
        </is>
      </c>
      <c r="J8312" s="10" t="inlineStr">
        <is>
          <t>17/03/2026</t>
        </is>
      </c>
      <c r="K8312" s="10" t="inlineStr">
        <is>
          <t>N/A</t>
        </is>
      </c>
      <c r="L8312" s="10" t="inlineStr">
        <is>
          <t>Kinh Doanh, Phát Triển Khách Hàng, Tư Vấn Sản Phẩm, Giao Tiếp  Và Thuyết Phục, Xử Lý Tình Huống Linh Hoạt</t>
        </is>
      </c>
      <c r="M8312" s="10" t="inlineStr">
        <is>
          <t>Bonus, Healthcare Plan, Training, Laptop, Team Activities</t>
        </is>
      </c>
      <c r="N8312" s="11">
        <f>HYPERLINK("https://www.vietnamworks.com/nhan-vien-kinh-doanh-sales-2019769-jv","Xem chi tiết")</f>
        <v/>
      </c>
      <c r="O8312" s="10" t="n"/>
    </row>
    <row r="8313">
      <c r="B8313" s="7" t="n">
        <v>8311</v>
      </c>
      <c r="C8313" t="inlineStr">
        <is>
          <t>Chuyên Viên Kinh Tế Xây Dựng</t>
        </is>
      </c>
      <c r="D8313" t="inlineStr">
        <is>
          <t>CÔNG TY TNHH THIẾT BỊ CÔNG NGHIỆP TÂN VIỆT TIẾN</t>
        </is>
      </c>
      <c r="E8313" t="inlineStr">
        <is>
          <t>Thương lượng</t>
        </is>
      </c>
      <c r="F8313" t="inlineStr">
        <is>
          <t>Hà Nội</t>
        </is>
      </c>
      <c r="G8313" t="inlineStr">
        <is>
          <t>Nhân viên</t>
        </is>
      </c>
      <c r="H8313" t="inlineStr">
        <is>
          <t>06/03/2026</t>
        </is>
      </c>
      <c r="I8313" t="inlineStr">
        <is>
          <t>05/04/2026</t>
        </is>
      </c>
      <c r="J8313" t="inlineStr">
        <is>
          <t>17/03/2026</t>
        </is>
      </c>
      <c r="K8313" t="inlineStr">
        <is>
          <t>N/A</t>
        </is>
      </c>
      <c r="L8313" t="inlineStr">
        <is>
          <t>Kinh Tế Xây Dựng, Quản Lý Xây Dựng, Đấu Thầu, Dự Toán, Quản Lý Chi Phí</t>
        </is>
      </c>
      <c r="M8313" t="inlineStr">
        <is>
          <t>Bonus, Training, Team Activities</t>
        </is>
      </c>
      <c r="N8313" s="8">
        <f>HYPERLINK("https://www.vietnamworks.com/chuyen-vien-kinh-te-xay-dung-2019775-jv","Xem chi tiết")</f>
        <v/>
      </c>
    </row>
    <row r="8314">
      <c r="B8314" s="9" t="n">
        <v>8312</v>
      </c>
      <c r="C8314" s="10" t="inlineStr">
        <is>
          <t>Intern Electrical Installation Designer</t>
        </is>
      </c>
      <c r="D8314" s="10" t="inlineStr">
        <is>
          <t>Danieli – Industrielle Beteiligung Co., Ltd</t>
        </is>
      </c>
      <c r="E8314" s="10" t="inlineStr">
        <is>
          <t>Thương lượng</t>
        </is>
      </c>
      <c r="F8314" s="10" t="inlineStr">
        <is>
          <t>Hồ Chí Minh</t>
        </is>
      </c>
      <c r="G8314" s="10" t="inlineStr">
        <is>
          <t>Mới Tốt Nghiệp</t>
        </is>
      </c>
      <c r="H8314" s="10" t="inlineStr">
        <is>
          <t>06/03/2026</t>
        </is>
      </c>
      <c r="I8314" s="10" t="inlineStr">
        <is>
          <t>05/04/2026</t>
        </is>
      </c>
      <c r="J8314" s="10" t="inlineStr">
        <is>
          <t>17/03/2026</t>
        </is>
      </c>
      <c r="K8314" s="10" t="inlineStr">
        <is>
          <t>N/A</t>
        </is>
      </c>
      <c r="L8314" s="10" t="inlineStr">
        <is>
          <t>Electrical Design, 2D CAD, English, Technical Design, Electrical</t>
        </is>
      </c>
      <c r="M8314" s="10" t="inlineStr">
        <is>
          <t>Healthcare Plan, Transportation, Others</t>
        </is>
      </c>
      <c r="N8314" s="11">
        <f>HYPERLINK("https://www.vietnamworks.com/intern-electrical-installation-designer--2019767-jv","Xem chi tiết")</f>
        <v/>
      </c>
      <c r="O8314" s="10" t="n"/>
    </row>
    <row r="8315">
      <c r="B8315" s="7" t="n">
        <v>8313</v>
      </c>
      <c r="C8315" t="inlineStr">
        <is>
          <t>Nhân Viên Kinh Doanh/ Sales Thị Trường</t>
        </is>
      </c>
      <c r="D8315" t="inlineStr">
        <is>
          <t>CÔNG TY TNHH OUMAN STORAGE VIET NAM</t>
        </is>
      </c>
      <c r="E8315" t="inlineStr">
        <is>
          <t>Thương lượng</t>
        </is>
      </c>
      <c r="F8315" t="inlineStr">
        <is>
          <t>Bình Dương</t>
        </is>
      </c>
      <c r="G8315" t="inlineStr">
        <is>
          <t>Nhân viên</t>
        </is>
      </c>
      <c r="H8315" t="inlineStr">
        <is>
          <t>06/03/2026</t>
        </is>
      </c>
      <c r="I8315" t="inlineStr">
        <is>
          <t>05/04/2026</t>
        </is>
      </c>
      <c r="J8315" t="inlineStr">
        <is>
          <t>17/03/2026</t>
        </is>
      </c>
      <c r="K8315" t="inlineStr">
        <is>
          <t>N/A</t>
        </is>
      </c>
      <c r="L8315" t="inlineStr">
        <is>
          <t>B2B Marketing, Sales B2B, Kế Hoạch Kinh Doanh, Nghiên Cứu Thị Trường, Phát Triển Khách Hàng</t>
        </is>
      </c>
      <c r="M8315" t="inlineStr">
        <is>
          <t>Healthcare Plan, Paid Leave, Team Activities, Others</t>
        </is>
      </c>
      <c r="N8315" s="8">
        <f>HYPERLINK("https://www.vietnamworks.com/nhan-vien-kinh-doanh-sales-thi-truong-2019773-jv","Xem chi tiết")</f>
        <v/>
      </c>
    </row>
    <row r="8316">
      <c r="B8316" s="9" t="n">
        <v>8314</v>
      </c>
      <c r="C8316" s="10" t="inlineStr">
        <is>
          <t>Lead Mobile App Developer (React Native / Full Stack)</t>
        </is>
      </c>
      <c r="D8316" s="10" t="inlineStr">
        <is>
          <t>WOWSUITE SOFTWARE</t>
        </is>
      </c>
      <c r="E8316" s="10" t="inlineStr">
        <is>
          <t>Thương lượng</t>
        </is>
      </c>
      <c r="F8316" s="10" t="inlineStr">
        <is>
          <t>Hồ Chí Minh</t>
        </is>
      </c>
      <c r="G8316" s="10" t="inlineStr">
        <is>
          <t>Nhân viên</t>
        </is>
      </c>
      <c r="H8316" s="10" t="inlineStr">
        <is>
          <t>06/03/2026</t>
        </is>
      </c>
      <c r="I8316" s="10" t="inlineStr">
        <is>
          <t>05/04/2026</t>
        </is>
      </c>
      <c r="J8316" s="10" t="inlineStr">
        <is>
          <t>17/03/2026</t>
        </is>
      </c>
      <c r="K8316" s="10" t="inlineStr">
        <is>
          <t>N/A</t>
        </is>
      </c>
      <c r="L8316" s="10" t="inlineStr">
        <is>
          <t>React &amp; Next.js, FrontEnd, Back end, Fullstack .NET, Mobile App</t>
        </is>
      </c>
      <c r="M8316" s="10" t="inlineStr">
        <is>
          <t>Bonus, Healthcare Plan, Training, Travel Opportunities, Others</t>
        </is>
      </c>
      <c r="N8316" s="11">
        <f>HYPERLINK("https://www.vietnamworks.com/lead-mobile-app-developer-react-native-full-stack-2019782-jv","Xem chi tiết")</f>
        <v/>
      </c>
      <c r="O8316" s="10" t="n"/>
    </row>
    <row r="8317">
      <c r="B8317" s="7" t="n">
        <v>8315</v>
      </c>
      <c r="C8317" t="inlineStr">
        <is>
          <t>Nhân Viên Điều Vận - Làm Việc Tại Đà Nẵng</t>
        </is>
      </c>
      <c r="D8317" t="inlineStr">
        <is>
          <t>Công Ty Cổ Phần Sữa Việt Nam (Vinamilk)</t>
        </is>
      </c>
      <c r="E8317" t="inlineStr">
        <is>
          <t>Thương lượng</t>
        </is>
      </c>
      <c r="F8317" t="inlineStr">
        <is>
          <t>Đà Nẵng</t>
        </is>
      </c>
      <c r="G8317" t="inlineStr">
        <is>
          <t>Nhân viên</t>
        </is>
      </c>
      <c r="H8317" t="inlineStr">
        <is>
          <t>06/03/2026</t>
        </is>
      </c>
      <c r="I8317" t="inlineStr">
        <is>
          <t>05/04/2026</t>
        </is>
      </c>
      <c r="J8317" t="inlineStr">
        <is>
          <t>17/03/2026</t>
        </is>
      </c>
      <c r="K8317" t="inlineStr">
        <is>
          <t>N/A</t>
        </is>
      </c>
      <c r="L8317" t="inlineStr">
        <is>
          <t>Cung Ứng Điều Vận</t>
        </is>
      </c>
      <c r="M8317" t="inlineStr">
        <is>
          <t>Bonus, Healthcare Plan, Training</t>
        </is>
      </c>
      <c r="N8317" s="8">
        <f>HYPERLINK("https://www.vietnamworks.com/nhan-vien-dieu-van-lam-viec-tai-da-nang--2019780-jv","Xem chi tiết")</f>
        <v/>
      </c>
    </row>
    <row r="8318">
      <c r="B8318" s="9" t="n">
        <v>8316</v>
      </c>
      <c r="C8318" s="10" t="inlineStr">
        <is>
          <t>Sales Executive</t>
        </is>
      </c>
      <c r="D8318" s="10" t="inlineStr">
        <is>
          <t>GOLD MARINE AGENCY TRANSPORT</t>
        </is>
      </c>
      <c r="E8318" s="10" t="inlineStr">
        <is>
          <t>Thương lượng</t>
        </is>
      </c>
      <c r="F8318" s="10" t="inlineStr">
        <is>
          <t>Hồ Chí Minh, Hải Phòng, Hà Nội</t>
        </is>
      </c>
      <c r="G8318" s="10" t="inlineStr">
        <is>
          <t>Nhân viên</t>
        </is>
      </c>
      <c r="H8318" s="10" t="inlineStr">
        <is>
          <t>06/03/2026</t>
        </is>
      </c>
      <c r="I8318" s="10" t="inlineStr">
        <is>
          <t>05/04/2026</t>
        </is>
      </c>
      <c r="J8318" s="10" t="inlineStr">
        <is>
          <t>17/03/2026</t>
        </is>
      </c>
      <c r="K8318" s="10" t="inlineStr">
        <is>
          <t>N/A</t>
        </is>
      </c>
      <c r="L8318" s="10" t="inlineStr">
        <is>
          <t>Freight Forwarding, Customer Mindset, Business Development, International Trade, Relationship Management</t>
        </is>
      </c>
      <c r="M8318" s="10" t="inlineStr">
        <is>
          <t>Bonus, Healthcare Plan, Paid Leave, Mobile, Travel Opportunities, Others</t>
        </is>
      </c>
      <c r="N8318" s="11">
        <f>HYPERLINK("https://www.vietnamworks.com/sales-executive-2019788-jv","Xem chi tiết")</f>
        <v/>
      </c>
      <c r="O8318" s="10" t="n"/>
    </row>
    <row r="8319">
      <c r="B8319" s="7" t="n">
        <v>8317</v>
      </c>
      <c r="C8319" t="inlineStr">
        <is>
          <t>HRBP Manager (Retail Fashion)</t>
        </is>
      </c>
      <c r="D8319" t="inlineStr">
        <is>
          <t>Ginkgo T-shirts</t>
        </is>
      </c>
      <c r="E8319" t="inlineStr">
        <is>
          <t>Tới 80tr ₫/tháng</t>
        </is>
      </c>
      <c r="F8319" t="inlineStr">
        <is>
          <t>Hồ Chí Minh</t>
        </is>
      </c>
      <c r="G8319" t="inlineStr">
        <is>
          <t>Trưởng phòng</t>
        </is>
      </c>
      <c r="H8319" t="inlineStr">
        <is>
          <t>06/03/2026</t>
        </is>
      </c>
      <c r="I8319" t="inlineStr">
        <is>
          <t>05/04/2026</t>
        </is>
      </c>
      <c r="J8319" t="inlineStr">
        <is>
          <t>17/03/2026</t>
        </is>
      </c>
      <c r="K8319" t="inlineStr">
        <is>
          <t>N/A</t>
        </is>
      </c>
      <c r="L8319" t="inlineStr">
        <is>
          <t>HR Business Partner, Talent Acquisition, Performance Management, Employee Relation, Human Resources</t>
        </is>
      </c>
      <c r="M8319" t="inlineStr">
        <is>
          <t>Bonus, Healthcare Plan, Others</t>
        </is>
      </c>
      <c r="N8319" s="8">
        <f>HYPERLINK("https://www.vietnamworks.com/hrbp-manager-retail-fashion-2019785-jv","Xem chi tiết")</f>
        <v/>
      </c>
    </row>
    <row r="8320">
      <c r="B8320" s="9" t="n">
        <v>8318</v>
      </c>
      <c r="C8320" s="10" t="inlineStr">
        <is>
          <t>Nhân Viên QC (Sofas &amp; Chairs)</t>
        </is>
      </c>
      <c r="D8320" s="10" t="inlineStr">
        <is>
          <t>VĂN PHÒNG ĐẠI DIỆN CK IMPORTS, INC. TẠI THÀNH PHỐ HỒ CHÍ MINH</t>
        </is>
      </c>
      <c r="E8320" s="10" t="inlineStr">
        <is>
          <t>13tr-18tr ₫/tháng</t>
        </is>
      </c>
      <c r="F8320" s="10" t="inlineStr">
        <is>
          <t>Bình Phước, Bình Dương</t>
        </is>
      </c>
      <c r="G8320" s="10" t="inlineStr">
        <is>
          <t>Nhân viên</t>
        </is>
      </c>
      <c r="H8320" s="10" t="inlineStr">
        <is>
          <t>06/03/2026</t>
        </is>
      </c>
      <c r="I8320" s="10" t="inlineStr">
        <is>
          <t>05/04/2026</t>
        </is>
      </c>
      <c r="J8320" s="10" t="inlineStr">
        <is>
          <t>17/03/2026</t>
        </is>
      </c>
      <c r="K8320" s="10" t="inlineStr">
        <is>
          <t>N/A</t>
        </is>
      </c>
      <c r="L8320" s="10" t="inlineStr">
        <is>
          <t>Nội Thất, QC, Kiểm Soát Chất Lượng, Sofa Production, Kiểm Tra Chất Lượng</t>
        </is>
      </c>
      <c r="M8320" s="10" t="inlineStr">
        <is>
          <t>Bonus, Healthcare Plan, Training</t>
        </is>
      </c>
      <c r="N8320" s="11">
        <f>HYPERLINK("https://www.vietnamworks.com/nhan-vien-qc-sofas-and-chairs-2019789-jv","Xem chi tiết")</f>
        <v/>
      </c>
      <c r="O8320" s="10" t="n"/>
    </row>
    <row r="8321">
      <c r="B8321" s="7" t="n">
        <v>8319</v>
      </c>
      <c r="C8321" t="inlineStr">
        <is>
          <t>Kỹ Sư Dự Toán</t>
        </is>
      </c>
      <c r="D8321" t="inlineStr">
        <is>
          <t>JC VIETNAM JOINT STOCK COMPANY (JC)</t>
        </is>
      </c>
      <c r="E8321" t="inlineStr">
        <is>
          <t>$$ 500-700 /tháng</t>
        </is>
      </c>
      <c r="F8321" t="inlineStr">
        <is>
          <t>Hà Nội</t>
        </is>
      </c>
      <c r="G8321" t="inlineStr">
        <is>
          <t>Nhân viên</t>
        </is>
      </c>
      <c r="H8321" t="inlineStr">
        <is>
          <t>06/03/2026</t>
        </is>
      </c>
      <c r="I8321" t="inlineStr">
        <is>
          <t>05/04/2026</t>
        </is>
      </c>
      <c r="J8321" t="inlineStr">
        <is>
          <t>17/03/2026</t>
        </is>
      </c>
      <c r="K8321" t="inlineStr">
        <is>
          <t>N/A</t>
        </is>
      </c>
      <c r="L8321" t="inlineStr">
        <is>
          <t>Dự Toán, Bóc Tách Khối Lượng, AutoCAD, Kiến Trúc</t>
        </is>
      </c>
      <c r="M8321" t="inlineStr">
        <is>
          <t>Bonus, Healthcare Plan, Paid Leave</t>
        </is>
      </c>
      <c r="N8321" s="8">
        <f>HYPERLINK("https://www.vietnamworks.com/ky-su-du-toan--2019787-jv","Xem chi tiết")</f>
        <v/>
      </c>
    </row>
    <row r="8322">
      <c r="B8322" s="9" t="n">
        <v>8320</v>
      </c>
      <c r="C8322" s="10" t="inlineStr">
        <is>
          <t>Nhân Viên Quản Lý Chất Lượng - QA/QC - Thu Nhập Upto 1000$/tháng</t>
        </is>
      </c>
      <c r="D8322" s="10" t="inlineStr">
        <is>
          <t>CÔNG TY TNHH TEXON SEMICONDUCTOR TECHNOLOGIES</t>
        </is>
      </c>
      <c r="E8322" s="10" t="inlineStr">
        <is>
          <t>$$ 500-1,000 /tháng</t>
        </is>
      </c>
      <c r="F8322" s="10" t="inlineStr">
        <is>
          <t>Bắc Ninh, Hà Nội</t>
        </is>
      </c>
      <c r="G8322" s="10" t="inlineStr">
        <is>
          <t>Nhân viên</t>
        </is>
      </c>
      <c r="H8322" s="10" t="inlineStr">
        <is>
          <t>06/03/2026</t>
        </is>
      </c>
      <c r="I8322" s="10" t="inlineStr">
        <is>
          <t>05/04/2026</t>
        </is>
      </c>
      <c r="J8322" s="10" t="inlineStr">
        <is>
          <t>17/03/2026</t>
        </is>
      </c>
      <c r="K8322" s="10" t="inlineStr">
        <is>
          <t>N/A</t>
        </is>
      </c>
      <c r="L8322" s="10" t="inlineStr">
        <is>
          <t>QA, QC, Kiểm Soát Chất Lượng, Cơ Khí, Đọc Bản Vẽ Cơ Khí</t>
        </is>
      </c>
      <c r="M8322" s="10" t="inlineStr">
        <is>
          <t>Travel Opportunities, Transportation, Vouchers</t>
        </is>
      </c>
      <c r="N8322" s="11">
        <f>HYPERLINK("https://www.vietnamworks.com/nhan-vien-quan-ly-chat-luong-qa-qc-thu-nhap-upto-1000-thang--2019793-jv","Xem chi tiết")</f>
        <v/>
      </c>
      <c r="O8322" s="10" t="n"/>
    </row>
    <row r="8323">
      <c r="B8323" s="7" t="n">
        <v>8321</v>
      </c>
      <c r="C8323" t="inlineStr">
        <is>
          <t>Operations Manager - Quản Lý Vận Hành</t>
        </is>
      </c>
      <c r="D8323" t="inlineStr">
        <is>
          <t>Công ty TNHH Énôra Diamond</t>
        </is>
      </c>
      <c r="E8323" t="inlineStr">
        <is>
          <t>15tr-20tr ₫/tháng</t>
        </is>
      </c>
      <c r="F8323" t="inlineStr">
        <is>
          <t>Hà Nội</t>
        </is>
      </c>
      <c r="G8323" t="inlineStr">
        <is>
          <t>Trưởng phòng</t>
        </is>
      </c>
      <c r="H8323" t="inlineStr">
        <is>
          <t>06/03/2026</t>
        </is>
      </c>
      <c r="I8323" t="inlineStr">
        <is>
          <t>05/04/2026</t>
        </is>
      </c>
      <c r="J8323" t="inlineStr">
        <is>
          <t>17/03/2026</t>
        </is>
      </c>
      <c r="K8323" t="inlineStr">
        <is>
          <t>N/A</t>
        </is>
      </c>
      <c r="L8323" t="inlineStr">
        <is>
          <t>Quản Lý Vận Hành, Xử Lý Sự Cố, Điều Phối Nhân Sự, Giao Tiếp, Operation Management</t>
        </is>
      </c>
      <c r="M8323" t="inlineStr">
        <is>
          <t>Bonus, Healthcare Plan, Paid Leave, Canteen, Others</t>
        </is>
      </c>
      <c r="N8323" s="8">
        <f>HYPERLINK("https://www.vietnamworks.com/operations-manager-quan-ly-van-hanh-2019791-jv","Xem chi tiết")</f>
        <v/>
      </c>
    </row>
    <row r="8324">
      <c r="B8324" s="9" t="n">
        <v>8322</v>
      </c>
      <c r="C8324" s="10" t="inlineStr">
        <is>
          <t>Nhân Viên Chứng Từ Xuất Nhập Khẩu</t>
        </is>
      </c>
      <c r="D8324" s="10" t="inlineStr">
        <is>
          <t>Công Ty TNHH MTL Việt Nam</t>
        </is>
      </c>
      <c r="E8324" s="10" t="inlineStr">
        <is>
          <t>Tới 15tr ₫/tháng</t>
        </is>
      </c>
      <c r="F8324" s="10" t="inlineStr">
        <is>
          <t>Hà Nội</t>
        </is>
      </c>
      <c r="G8324" s="10" t="inlineStr">
        <is>
          <t>Nhân viên</t>
        </is>
      </c>
      <c r="H8324" s="10" t="inlineStr">
        <is>
          <t>06/03/2026</t>
        </is>
      </c>
      <c r="I8324" s="10" t="inlineStr">
        <is>
          <t>05/04/2026</t>
        </is>
      </c>
      <c r="J8324" s="10" t="inlineStr">
        <is>
          <t>17/03/2026</t>
        </is>
      </c>
      <c r="K8324" s="10" t="inlineStr">
        <is>
          <t>N/A</t>
        </is>
      </c>
      <c r="L8324" s="10" t="inlineStr">
        <is>
          <t>Xử Lý Chứng Từ, Logistics, Kiến Thức Về Inconterm, Vận Tải, Chứng Từ Xuất Nhập Khẩu</t>
        </is>
      </c>
      <c r="M8324" s="10" t="inlineStr">
        <is>
          <t>Bonus, Healthcare Plan, Paid Leave, Training, Others</t>
        </is>
      </c>
      <c r="N8324" s="11">
        <f>HYPERLINK("https://www.vietnamworks.com/nhan-vien-chung-tu-xuat-nhap-khau-2019800-jv","Xem chi tiết")</f>
        <v/>
      </c>
      <c r="O8324" s="10" t="n"/>
    </row>
    <row r="8325">
      <c r="B8325" s="7" t="n">
        <v>8323</v>
      </c>
      <c r="C8325" t="inlineStr">
        <is>
          <t>Nhân Viên Quản Lý Kho/ Đi Làm Sau Tết</t>
        </is>
      </c>
      <c r="D8325" t="inlineStr">
        <is>
          <t>Công Ty TNHH Arion Electric Việt Nam</t>
        </is>
      </c>
      <c r="E8325" t="inlineStr">
        <is>
          <t>Thương lượng</t>
        </is>
      </c>
      <c r="F8325" t="inlineStr">
        <is>
          <t>Hải Dương</t>
        </is>
      </c>
      <c r="G8325" t="inlineStr">
        <is>
          <t>Nhân viên</t>
        </is>
      </c>
      <c r="H8325" t="inlineStr">
        <is>
          <t>06/03/2026</t>
        </is>
      </c>
      <c r="I8325" t="inlineStr">
        <is>
          <t>05/04/2026</t>
        </is>
      </c>
      <c r="J8325" t="inlineStr">
        <is>
          <t>17/03/2026</t>
        </is>
      </c>
      <c r="K8325" t="inlineStr">
        <is>
          <t>N/A</t>
        </is>
      </c>
      <c r="L8325" t="inlineStr">
        <is>
          <t>Quản Lý Kho, Quản Lý Công Nhân, ERP, Kiểm kê nguyên liệu, SAP</t>
        </is>
      </c>
      <c r="M8325" t="inlineStr">
        <is>
          <t>Bonus, Healthcare Plan, Canteen</t>
        </is>
      </c>
      <c r="N8325" s="8">
        <f>HYPERLINK("https://www.vietnamworks.com/nhan-vien-quan-ly-kho-dji-lam-sau-tet-2019786-jv","Xem chi tiết")</f>
        <v/>
      </c>
    </row>
    <row r="8326">
      <c r="B8326" s="9" t="n">
        <v>8324</v>
      </c>
      <c r="C8326" s="10" t="inlineStr">
        <is>
          <t>Senior Purchasing Officer (F&amp;B/Restaurant/Nightlife)</t>
        </is>
      </c>
      <c r="D8326" s="10" t="inlineStr">
        <is>
          <t>Công ty Quản Lý Tập Đoàn HYLO</t>
        </is>
      </c>
      <c r="E8326" s="10" t="inlineStr">
        <is>
          <t>20tr-30tr ₫/tháng</t>
        </is>
      </c>
      <c r="F8326" s="10" t="inlineStr">
        <is>
          <t>Hồ Chí Minh</t>
        </is>
      </c>
      <c r="G8326" s="10" t="inlineStr">
        <is>
          <t>Nhân viên</t>
        </is>
      </c>
      <c r="H8326" s="10" t="inlineStr">
        <is>
          <t>06/03/2026</t>
        </is>
      </c>
      <c r="I8326" s="10" t="inlineStr">
        <is>
          <t>05/04/2026</t>
        </is>
      </c>
      <c r="J8326" s="10" t="inlineStr">
        <is>
          <t>17/03/2026</t>
        </is>
      </c>
      <c r="K8326" s="10" t="inlineStr">
        <is>
          <t>N/A</t>
        </is>
      </c>
      <c r="L8326" s="10" t="inlineStr">
        <is>
          <t>Cost Analysis, MS Office, Negotiation Skills, Problem-solving, Supplier Management</t>
        </is>
      </c>
      <c r="M8326" s="10" t="inlineStr">
        <is>
          <t>Paid Leave, Transportation, Others</t>
        </is>
      </c>
      <c r="N8326" s="11">
        <f>HYPERLINK("https://www.vietnamworks.com/senior-purchasing-officer-fandbrestaurantnightlife-2019806-jv","Xem chi tiết")</f>
        <v/>
      </c>
      <c r="O8326" s="10" t="n"/>
    </row>
    <row r="8327">
      <c r="B8327" s="7" t="n">
        <v>8325</v>
      </c>
      <c r="C8327" t="inlineStr">
        <is>
          <t>Giám Đốc Mua Hàng</t>
        </is>
      </c>
      <c r="D8327" t="inlineStr">
        <is>
          <t>Trần Hồng Quân Holdings</t>
        </is>
      </c>
      <c r="E8327" t="inlineStr">
        <is>
          <t>Thương lượng</t>
        </is>
      </c>
      <c r="F8327" t="inlineStr">
        <is>
          <t>Hà Nội</t>
        </is>
      </c>
      <c r="G8327" t="inlineStr">
        <is>
          <t>Giám Đốc và Cấp Cao Hơn</t>
        </is>
      </c>
      <c r="H8327" t="inlineStr">
        <is>
          <t>06/03/2026</t>
        </is>
      </c>
      <c r="I8327" t="inlineStr">
        <is>
          <t>05/04/2026</t>
        </is>
      </c>
      <c r="J8327" t="inlineStr">
        <is>
          <t>17/03/2026</t>
        </is>
      </c>
      <c r="K8327" t="inlineStr">
        <is>
          <t>N/A</t>
        </is>
      </c>
      <c r="L8327" t="inlineStr">
        <is>
          <t>Giao Tiếp Tiếng Anh, Quản Lý Nhà Cung Cấp, Quản Trị Rủi Ro, Tối Ưu Hóa Lợi Nhuận, Điều Phối Vận Tải</t>
        </is>
      </c>
      <c r="M8327" t="inlineStr">
        <is>
          <t>Bonus, Healthcare Plan, Paid Leave, Laptop, Team Activities, Canteen, Others</t>
        </is>
      </c>
      <c r="N8327" s="8">
        <f>HYPERLINK("https://www.vietnamworks.com/giam-djoc-mua-hang-2019802-jv","Xem chi tiết")</f>
        <v/>
      </c>
    </row>
    <row r="8328">
      <c r="B8328" s="9" t="n">
        <v>8326</v>
      </c>
      <c r="C8328" s="10" t="inlineStr">
        <is>
          <t>Giám Đốc Ban Quản Lý Khu Công Nghiệp Đồng Văn III Hà Nam</t>
        </is>
      </c>
      <c r="D8328" s="10" t="inlineStr">
        <is>
          <t>Công Ty Cổ Phần Quản Lý Bất Động Sản Quốc Tế</t>
        </is>
      </c>
      <c r="E8328" s="10" t="inlineStr">
        <is>
          <t>30tr-40tr ₫/tháng</t>
        </is>
      </c>
      <c r="F8328" s="10" t="inlineStr">
        <is>
          <t>Ninh Bình</t>
        </is>
      </c>
      <c r="G8328" s="10" t="inlineStr">
        <is>
          <t>Giám Đốc và Cấp Cao Hơn</t>
        </is>
      </c>
      <c r="H8328" s="10" t="inlineStr">
        <is>
          <t>06/03/2026</t>
        </is>
      </c>
      <c r="I8328" s="10" t="inlineStr">
        <is>
          <t>05/04/2026</t>
        </is>
      </c>
      <c r="J8328" s="10" t="inlineStr">
        <is>
          <t>17/03/2026</t>
        </is>
      </c>
      <c r="K8328" s="10" t="inlineStr">
        <is>
          <t>N/A</t>
        </is>
      </c>
      <c r="L8328" s="10" t="inlineStr">
        <is>
          <t>Kỹ Thuật, Quản Lý Công Nghiệp, Operation Planning, Quản Lý Vận Hành, Quản Lý Kinh Doanh</t>
        </is>
      </c>
      <c r="M8328" s="10" t="inlineStr">
        <is>
          <t>Bonus, Healthcare Plan, Travel Opportunities</t>
        </is>
      </c>
      <c r="N8328" s="11">
        <f>HYPERLINK("https://www.vietnamworks.com/giam-doc-ban-quan-ly-khu-cong-nghiep-dong-van-iii-ha-nam-2019811-jv","Xem chi tiết")</f>
        <v/>
      </c>
      <c r="O8328" s="10" t="n"/>
    </row>
    <row r="8329">
      <c r="B8329" s="7" t="n">
        <v>8327</v>
      </c>
      <c r="C8329" t="inlineStr">
        <is>
          <t>Nhân Viên Thủ Tục Hải Quan, Giao Nhận</t>
        </is>
      </c>
      <c r="D8329" t="inlineStr">
        <is>
          <t>Công Ty TNHH Công Nghệ Thông Minh Icomteck</t>
        </is>
      </c>
      <c r="E8329" t="inlineStr">
        <is>
          <t>Thương lượng</t>
        </is>
      </c>
      <c r="F8329" t="inlineStr">
        <is>
          <t>Hà Nội</t>
        </is>
      </c>
      <c r="G8329" t="inlineStr">
        <is>
          <t>Nhân viên</t>
        </is>
      </c>
      <c r="H8329" t="inlineStr">
        <is>
          <t>06/03/2026</t>
        </is>
      </c>
      <c r="I8329" t="inlineStr">
        <is>
          <t>05/04/2026</t>
        </is>
      </c>
      <c r="J8329" t="inlineStr">
        <is>
          <t>17/03/2026</t>
        </is>
      </c>
      <c r="K8329" t="inlineStr">
        <is>
          <t>N/A</t>
        </is>
      </c>
      <c r="L8329" t="inlineStr">
        <is>
          <t>Chứng Từ Hàng Hóa, Thủ Tục Hải Quan, Thông Quan Lô Hàng, HS Code Checking, Vận Chuyển Quốc Tế</t>
        </is>
      </c>
      <c r="M8329" t="inlineStr">
        <is>
          <t>Bonus, Healthcare Plan, Others</t>
        </is>
      </c>
      <c r="N8329" s="8">
        <f>HYPERLINK("https://www.vietnamworks.com/nhan-vien-thu-tuc-hai-quan-giao-nhan--2019803-jv","Xem chi tiết")</f>
        <v/>
      </c>
    </row>
    <row r="8330">
      <c r="B8330" s="9" t="n">
        <v>8328</v>
      </c>
      <c r="C8330" s="10" t="inlineStr">
        <is>
          <t>Production Supervisor (Có Xe Đưa Đón Ở TP.HCM)</t>
        </is>
      </c>
      <c r="D8330" s="10" t="inlineStr">
        <is>
          <t>CÔNG TY TNHH AMPHENOL TECHNOLOGY VIỆT NAM</t>
        </is>
      </c>
      <c r="E8330" s="10" t="inlineStr">
        <is>
          <t>Thương lượng</t>
        </is>
      </c>
      <c r="F8330" s="10" t="inlineStr">
        <is>
          <t>Long An</t>
        </is>
      </c>
      <c r="G8330" s="10" t="inlineStr">
        <is>
          <t>Nhân viên</t>
        </is>
      </c>
      <c r="H8330" s="10" t="inlineStr">
        <is>
          <t>06/03/2026</t>
        </is>
      </c>
      <c r="I8330" s="10" t="inlineStr">
        <is>
          <t>05/04/2026</t>
        </is>
      </c>
      <c r="J8330" s="10" t="inlineStr">
        <is>
          <t>17/03/2026</t>
        </is>
      </c>
      <c r="K8330" s="10" t="inlineStr">
        <is>
          <t>N/A</t>
        </is>
      </c>
      <c r="L8330" s="10" t="inlineStr">
        <is>
          <t>Microsoft Office, Problem Solving, Production Planning, Task Coordination, Chinese Communication</t>
        </is>
      </c>
      <c r="M8330" s="10" t="inlineStr">
        <is>
          <t>Bonus, Laptop, Transportation, Others</t>
        </is>
      </c>
      <c r="N8330" s="11">
        <f>HYPERLINK("https://www.vietnamworks.com/production-supervisor-co-xe-djua-djon-o-tp-hcm-2019808-jv","Xem chi tiết")</f>
        <v/>
      </c>
      <c r="O8330" s="10" t="n"/>
    </row>
    <row r="8331">
      <c r="B8331" s="7" t="n">
        <v>8329</v>
      </c>
      <c r="C8331" t="inlineStr">
        <is>
          <t>General Accountant (Real Estate Developer Experience Required)</t>
        </is>
      </c>
      <c r="D8331" t="inlineStr">
        <is>
          <t>CÔNG TY TNHH PIERREVAL VIỆT NAM</t>
        </is>
      </c>
      <c r="E8331" t="inlineStr">
        <is>
          <t>Thương lượng</t>
        </is>
      </c>
      <c r="F8331" t="inlineStr">
        <is>
          <t>Hồ Chí Minh</t>
        </is>
      </c>
      <c r="G8331" t="inlineStr">
        <is>
          <t>Nhân viên</t>
        </is>
      </c>
      <c r="H8331" t="inlineStr">
        <is>
          <t>06/03/2026</t>
        </is>
      </c>
      <c r="I8331" t="inlineStr">
        <is>
          <t>05/04/2026</t>
        </is>
      </c>
      <c r="J8331" t="inlineStr">
        <is>
          <t>17/03/2026</t>
        </is>
      </c>
      <c r="K8331" t="inlineStr">
        <is>
          <t>N/A</t>
        </is>
      </c>
      <c r="L8331" t="inlineStr">
        <is>
          <t>Accounting Software, Financial Reporting, Tax Compliance, Cost Control, Analytical Skills</t>
        </is>
      </c>
      <c r="M8331" t="inlineStr">
        <is>
          <t>Bonus, Healthcare Plan, Paid Leave, Team Activities, Others</t>
        </is>
      </c>
      <c r="N8331" s="8">
        <f>HYPERLINK("https://www.vietnamworks.com/general-accountant-real-estate-developer-experience-required-2019801-jv","Xem chi tiết")</f>
        <v/>
      </c>
    </row>
    <row r="8332">
      <c r="B8332" s="9" t="n">
        <v>8330</v>
      </c>
      <c r="C8332" s="10" t="inlineStr">
        <is>
          <t>General Accountant Supervisor</t>
        </is>
      </c>
      <c r="D8332" s="10" t="inlineStr">
        <is>
          <t>MiTek Việt Nam</t>
        </is>
      </c>
      <c r="E8332" s="10" t="inlineStr">
        <is>
          <t>Thương lượng</t>
        </is>
      </c>
      <c r="F8332" s="10" t="inlineStr">
        <is>
          <t>Hồ Chí Minh</t>
        </is>
      </c>
      <c r="G8332" s="10" t="inlineStr">
        <is>
          <t>Nhân viên</t>
        </is>
      </c>
      <c r="H8332" s="10" t="inlineStr">
        <is>
          <t>06/03/2026</t>
        </is>
      </c>
      <c r="I8332" s="10" t="inlineStr">
        <is>
          <t>05/04/2026</t>
        </is>
      </c>
      <c r="J8332" s="10" t="inlineStr">
        <is>
          <t>17/03/2026</t>
        </is>
      </c>
      <c r="K8332" s="10" t="inlineStr">
        <is>
          <t>N/A</t>
        </is>
      </c>
      <c r="L8332" s="10" t="inlineStr">
        <is>
          <t>Accounting Transactions, Financial Reporting, General Accountant, SAP ERP, Tax Compliance</t>
        </is>
      </c>
      <c r="M8332" s="10" t="inlineStr">
        <is>
          <t>Bonus, Healthcare Plan, Paid Leave, Training, Team Activities, Others</t>
        </is>
      </c>
      <c r="N8332" s="11">
        <f>HYPERLINK("https://www.vietnamworks.com/general-accountant-supervisor-2019809-jv","Xem chi tiết")</f>
        <v/>
      </c>
      <c r="O8332" s="10" t="n"/>
    </row>
    <row r="8333">
      <c r="B8333" s="7" t="n">
        <v>8331</v>
      </c>
      <c r="C8333" t="inlineStr">
        <is>
          <t>Mechanical Engineer (Accept Fresher)</t>
        </is>
      </c>
      <c r="D8333" t="inlineStr">
        <is>
          <t>CÔNG TY TNHH TEXON SEMICONDUCTOR TECHNOLOGIES</t>
        </is>
      </c>
      <c r="E8333" t="inlineStr">
        <is>
          <t>$$ 500-900 /tháng</t>
        </is>
      </c>
      <c r="F8333" t="inlineStr">
        <is>
          <t>Bắc Ninh, Hà Nội</t>
        </is>
      </c>
      <c r="G8333" t="inlineStr">
        <is>
          <t>Nhân viên</t>
        </is>
      </c>
      <c r="H8333" t="inlineStr">
        <is>
          <t>06/03/2026</t>
        </is>
      </c>
      <c r="I8333" t="inlineStr">
        <is>
          <t>05/04/2026</t>
        </is>
      </c>
      <c r="J8333" t="inlineStr">
        <is>
          <t>17/03/2026</t>
        </is>
      </c>
      <c r="K8333" t="inlineStr">
        <is>
          <t>N/A</t>
        </is>
      </c>
      <c r="L8333" t="inlineStr">
        <is>
          <t>AutoCAD, Mechanical Engineering, Sheet Metal Technology, SOP Development, ECN Management</t>
        </is>
      </c>
      <c r="M8333" t="inlineStr">
        <is>
          <t>Travel Opportunities, Transportation, Vouchers</t>
        </is>
      </c>
      <c r="N8333" s="8">
        <f>HYPERLINK("https://www.vietnamworks.com/mechanical-engineer-accept-fresher--2019792-jv","Xem chi tiết")</f>
        <v/>
      </c>
    </row>
    <row r="8334">
      <c r="B8334" s="9" t="n">
        <v>8332</v>
      </c>
      <c r="C8334" s="10" t="inlineStr">
        <is>
          <t>Kỹ Sư Thiết Kế Cơ Khí (Mechanical Design Engineer)</t>
        </is>
      </c>
      <c r="D8334" s="10" t="inlineStr">
        <is>
          <t>PVN Tech</t>
        </is>
      </c>
      <c r="E8334" s="10" t="inlineStr">
        <is>
          <t>Thương lượng</t>
        </is>
      </c>
      <c r="F8334" s="10" t="inlineStr">
        <is>
          <t>Bắc Ninh</t>
        </is>
      </c>
      <c r="G8334" s="10" t="inlineStr">
        <is>
          <t>Mới Tốt Nghiệp</t>
        </is>
      </c>
      <c r="H8334" s="10" t="inlineStr">
        <is>
          <t>06/03/2026</t>
        </is>
      </c>
      <c r="I8334" s="10" t="inlineStr">
        <is>
          <t>05/04/2026</t>
        </is>
      </c>
      <c r="J8334" s="10" t="inlineStr">
        <is>
          <t>17/03/2026</t>
        </is>
      </c>
      <c r="K8334" s="10" t="inlineStr">
        <is>
          <t>N/A</t>
        </is>
      </c>
      <c r="L8334" s="10" t="inlineStr">
        <is>
          <t>SolidWorks, AutoCAD, Cơ Khí, Cơ Điện Tử, Thiết Kế Concept</t>
        </is>
      </c>
      <c r="M8334" s="10" t="inlineStr">
        <is>
          <t>Bonus, Healthcare Plan, Training, Others</t>
        </is>
      </c>
      <c r="N8334" s="11">
        <f>HYPERLINK("https://www.vietnamworks.com/ky-su-thiet-ke-co-khi-mechanical-design-engineer-2019804-jv","Xem chi tiết")</f>
        <v/>
      </c>
      <c r="O8334" s="10" t="n"/>
    </row>
    <row r="8335">
      <c r="B8335" s="7" t="n">
        <v>8333</v>
      </c>
      <c r="C8335" t="inlineStr">
        <is>
          <t>Trợ Lý Phó Giám Đốc (Phát Triển Kinh Doanh &amp; Vận Hành)</t>
        </is>
      </c>
      <c r="D8335" t="inlineStr">
        <is>
          <t>Công ty TNHH Énôra Diamond</t>
        </is>
      </c>
      <c r="E8335" t="inlineStr">
        <is>
          <t>15tr-25tr ₫/tháng</t>
        </is>
      </c>
      <c r="F8335" t="inlineStr">
        <is>
          <t>Hà Nội</t>
        </is>
      </c>
      <c r="G8335" t="inlineStr">
        <is>
          <t>Nhân viên</t>
        </is>
      </c>
      <c r="H8335" t="inlineStr">
        <is>
          <t>06/03/2026</t>
        </is>
      </c>
      <c r="I8335" t="inlineStr">
        <is>
          <t>05/04/2026</t>
        </is>
      </c>
      <c r="J8335" t="inlineStr">
        <is>
          <t>17/03/2026</t>
        </is>
      </c>
      <c r="K8335" t="inlineStr">
        <is>
          <t>N/A</t>
        </is>
      </c>
      <c r="L8335" t="inlineStr">
        <is>
          <t>Business Operation Analysis, Operation, Project Coordination, Sales Operation, Systemic Thinking</t>
        </is>
      </c>
      <c r="M8335" t="inlineStr">
        <is>
          <t>Bonus, Healthcare Plan, Paid Leave, Canteen</t>
        </is>
      </c>
      <c r="N8335" s="8">
        <f>HYPERLINK("https://www.vietnamworks.com/tro-ly-pho-giam-djoc-phat-trien-kinh-doanh-and-van-hanh-2019795-jv","Xem chi tiết")</f>
        <v/>
      </c>
    </row>
    <row r="8336">
      <c r="B8336" s="9" t="n">
        <v>8334</v>
      </c>
      <c r="C8336" s="10" t="inlineStr">
        <is>
          <t>Nhân Viên Kế Hoạch Sản Xuất/ Đi Làm Sau Tết</t>
        </is>
      </c>
      <c r="D8336" s="10" t="inlineStr">
        <is>
          <t>Công Ty TNHH Arion Electric Việt Nam</t>
        </is>
      </c>
      <c r="E8336" s="10" t="inlineStr">
        <is>
          <t>Thương lượng</t>
        </is>
      </c>
      <c r="F8336" s="10" t="inlineStr">
        <is>
          <t>Hải Dương</t>
        </is>
      </c>
      <c r="G8336" s="10" t="inlineStr">
        <is>
          <t>Nhân viên</t>
        </is>
      </c>
      <c r="H8336" s="10" t="inlineStr">
        <is>
          <t>06/03/2026</t>
        </is>
      </c>
      <c r="I8336" s="10" t="inlineStr">
        <is>
          <t>05/04/2026</t>
        </is>
      </c>
      <c r="J8336" s="10" t="inlineStr">
        <is>
          <t>17/03/2026</t>
        </is>
      </c>
      <c r="K8336" s="10" t="inlineStr">
        <is>
          <t>N/A</t>
        </is>
      </c>
      <c r="L8336" s="10" t="inlineStr">
        <is>
          <t>Quản Lý Sản Xuất, SAP, Tiếng Trung, Tiếng Anh, Kế Hoạch Sản Xuất</t>
        </is>
      </c>
      <c r="M8336" s="10" t="inlineStr">
        <is>
          <t>Bonus, Healthcare Plan, Canteen</t>
        </is>
      </c>
      <c r="N8336" s="11">
        <f>HYPERLINK("https://www.vietnamworks.com/nhan-vien-ke-hoach-san-xuat-dji-lam-sau-tet-2019812-jv","Xem chi tiết")</f>
        <v/>
      </c>
      <c r="O8336" s="10" t="n"/>
    </row>
    <row r="8337">
      <c r="B8337" s="7" t="n">
        <v>8335</v>
      </c>
      <c r="C8337" t="inlineStr">
        <is>
          <t>Senior Investment Manager - Residential Property</t>
        </is>
      </c>
      <c r="D8337" t="inlineStr">
        <is>
          <t>CÔNG TY TNHH PIERREVAL VIỆT NAM</t>
        </is>
      </c>
      <c r="E8337" t="inlineStr">
        <is>
          <t>Thương lượng</t>
        </is>
      </c>
      <c r="F8337" t="inlineStr">
        <is>
          <t>Hồ Chí Minh</t>
        </is>
      </c>
      <c r="G8337" t="inlineStr">
        <is>
          <t>Trưởng phòng</t>
        </is>
      </c>
      <c r="H8337" t="inlineStr">
        <is>
          <t>06/03/2026</t>
        </is>
      </c>
      <c r="I8337" t="inlineStr">
        <is>
          <t>05/04/2026</t>
        </is>
      </c>
      <c r="J8337" t="inlineStr">
        <is>
          <t>17/03/2026</t>
        </is>
      </c>
      <c r="K8337" t="inlineStr">
        <is>
          <t>N/A</t>
        </is>
      </c>
      <c r="L8337" t="inlineStr">
        <is>
          <t>Investment Analysis, Real Estate, Leadership Skills, Financial Literacy, Teamwork</t>
        </is>
      </c>
      <c r="M8337" t="inlineStr">
        <is>
          <t>Bonus, Healthcare Plan, Paid Leave, Team Activities</t>
        </is>
      </c>
      <c r="N8337" s="8">
        <f>HYPERLINK("https://www.vietnamworks.com/senior-investment-manager-residential-property-2019794-jv","Xem chi tiết")</f>
        <v/>
      </c>
    </row>
    <row r="8338">
      <c r="B8338" s="9" t="n">
        <v>8336</v>
      </c>
      <c r="C8338" s="10" t="inlineStr">
        <is>
          <t>Kỹ Sư Lập Trình PLC (PLC Automation Engineer)</t>
        </is>
      </c>
      <c r="D8338" s="10" t="inlineStr">
        <is>
          <t>PVN Tech</t>
        </is>
      </c>
      <c r="E8338" s="10" t="inlineStr">
        <is>
          <t>Thương lượng</t>
        </is>
      </c>
      <c r="F8338" s="10" t="inlineStr">
        <is>
          <t>Bắc Ninh</t>
        </is>
      </c>
      <c r="G8338" s="10" t="inlineStr">
        <is>
          <t>Nhân viên</t>
        </is>
      </c>
      <c r="H8338" s="10" t="inlineStr">
        <is>
          <t>06/03/2026</t>
        </is>
      </c>
      <c r="I8338" s="10" t="inlineStr">
        <is>
          <t>05/04/2026</t>
        </is>
      </c>
      <c r="J8338" s="10" t="inlineStr">
        <is>
          <t>17/03/2026</t>
        </is>
      </c>
      <c r="K8338" s="10" t="inlineStr">
        <is>
          <t>N/A</t>
        </is>
      </c>
      <c r="L8338" s="10" t="inlineStr">
        <is>
          <t>Lập Trình PLC, Thiết Kế Hệ Thống Điện, Hệ Thống Điện Điều Khiển, Đọc Hiểu Bản Vẽ Kỹ Thuật, Lập Trình</t>
        </is>
      </c>
      <c r="M8338" s="10" t="inlineStr">
        <is>
          <t>Bonus, Healthcare Plan, Training, Others</t>
        </is>
      </c>
      <c r="N8338" s="11">
        <f>HYPERLINK("https://www.vietnamworks.com/ky-su-lap-trinh-plc-plc-automation-engineer-2019807-jv","Xem chi tiết")</f>
        <v/>
      </c>
      <c r="O8338" s="10" t="n"/>
    </row>
    <row r="8339">
      <c r="B8339" s="7" t="n">
        <v>8337</v>
      </c>
      <c r="C8339" t="inlineStr">
        <is>
          <t>Chuyên Viên Tư Vấn Du Học (Recruitment Counselor)</t>
        </is>
      </c>
      <c r="D8339" t="inlineStr">
        <is>
          <t>CÔNG TY CỔ PHẦN TƯ VẤN GIÁO DỤC VÀ ĐÀO TẠO S.E.T</t>
        </is>
      </c>
      <c r="E8339" t="inlineStr">
        <is>
          <t>Thương lượng</t>
        </is>
      </c>
      <c r="F8339" t="inlineStr">
        <is>
          <t>Hồ Chí Minh</t>
        </is>
      </c>
      <c r="G8339" t="inlineStr">
        <is>
          <t>Nhân viên</t>
        </is>
      </c>
      <c r="H8339" t="inlineStr">
        <is>
          <t>06/03/2026</t>
        </is>
      </c>
      <c r="I8339" t="inlineStr">
        <is>
          <t>05/04/2026</t>
        </is>
      </c>
      <c r="J8339" t="inlineStr">
        <is>
          <t>17/03/2026</t>
        </is>
      </c>
      <c r="K8339" t="inlineStr">
        <is>
          <t>N/A</t>
        </is>
      </c>
      <c r="L8339" t="inlineStr">
        <is>
          <t>Tư Vấn Du Học, Tư Vấn, Du học Mỹ, Úc, Canada, Hồ Sơ Du Học, Tư Vấn Giáo Dục</t>
        </is>
      </c>
      <c r="M8339" t="inlineStr">
        <is>
          <t>Bonus, Training, Others</t>
        </is>
      </c>
      <c r="N8339" s="8">
        <f>HYPERLINK("https://www.vietnamworks.com/chuyen-vien-tu-van-du-hoc-recruitment-counselor-2019814-jv","Xem chi tiết")</f>
        <v/>
      </c>
    </row>
    <row r="8340">
      <c r="B8340" s="9" t="n">
        <v>8338</v>
      </c>
      <c r="C8340" s="10" t="inlineStr">
        <is>
          <t>Trưởng Phòng Kế Hoạch Tổng Hợp Kiêm Thư Ký Chủ Tịch HĐQT</t>
        </is>
      </c>
      <c r="D8340" s="10" t="inlineStr">
        <is>
          <t>CÔNG TY CỔ PHẦN FRECO VIỆT NAM</t>
        </is>
      </c>
      <c r="E8340" s="10" t="inlineStr">
        <is>
          <t>18tr-22tr ₫/tháng</t>
        </is>
      </c>
      <c r="F8340" s="10" t="inlineStr">
        <is>
          <t>Hà Nội</t>
        </is>
      </c>
      <c r="G8340" s="10" t="inlineStr">
        <is>
          <t>Trưởng phòng</t>
        </is>
      </c>
      <c r="H8340" s="10" t="inlineStr">
        <is>
          <t>06/03/2026</t>
        </is>
      </c>
      <c r="I8340" s="10" t="inlineStr">
        <is>
          <t>05/04/2026</t>
        </is>
      </c>
      <c r="J8340" s="10" t="inlineStr">
        <is>
          <t>17/03/2026</t>
        </is>
      </c>
      <c r="K8340" s="10" t="inlineStr">
        <is>
          <t>N/A</t>
        </is>
      </c>
      <c r="L8340" s="10" t="inlineStr">
        <is>
          <t>Kế Hoạch Dự Án, Phân tích dữ liệu, Báo Cáo Tổng Hợp, Tiếng Anh, Quản Lý Hồ Sơ</t>
        </is>
      </c>
      <c r="M8340" s="10" t="inlineStr">
        <is>
          <t>Bonus, Paid Leave, Awards, Others</t>
        </is>
      </c>
      <c r="N8340" s="11">
        <f>HYPERLINK("https://www.vietnamworks.com/truong-phong-ke-hoach-tong-hop-kiem-thu-ky-chu-tich-hdjqt-2019813-jv","Xem chi tiết")</f>
        <v/>
      </c>
      <c r="O8340" s="10" t="n"/>
    </row>
    <row r="8341">
      <c r="B8341" s="7" t="n">
        <v>8339</v>
      </c>
      <c r="C8341" t="inlineStr">
        <is>
          <t>Trưởng Nhóm Tuyển Dụng &amp; Đào Tạo/ Đi Làm Sau Tết</t>
        </is>
      </c>
      <c r="D8341" t="inlineStr">
        <is>
          <t>Công Ty TNHH Arion Electric Việt Nam</t>
        </is>
      </c>
      <c r="E8341" t="inlineStr">
        <is>
          <t>Thương lượng</t>
        </is>
      </c>
      <c r="F8341" t="inlineStr">
        <is>
          <t>Hải Dương</t>
        </is>
      </c>
      <c r="G8341" t="inlineStr">
        <is>
          <t>Trưởng phòng</t>
        </is>
      </c>
      <c r="H8341" t="inlineStr">
        <is>
          <t>06/03/2026</t>
        </is>
      </c>
      <c r="I8341" t="inlineStr">
        <is>
          <t>05/04/2026</t>
        </is>
      </c>
      <c r="J8341" t="inlineStr">
        <is>
          <t>17/03/2026</t>
        </is>
      </c>
      <c r="K8341" t="inlineStr">
        <is>
          <t>N/A</t>
        </is>
      </c>
      <c r="L8341" t="inlineStr">
        <is>
          <t>Tuyển Dụng, Đào Tạo, Quản Lý Phát Triển Nhân Sự, Đánh Giá Nhân Sự, HR Management</t>
        </is>
      </c>
      <c r="M8341" t="inlineStr">
        <is>
          <t>Bonus, Healthcare Plan, Canteen, Others</t>
        </is>
      </c>
      <c r="N8341" s="8">
        <f>HYPERLINK("https://www.vietnamworks.com/truong-nhom-tuyen-dung-and-djao-tao-dji-lam-sau-tet-2019820-jv","Xem chi tiết")</f>
        <v/>
      </c>
    </row>
    <row r="8342">
      <c r="B8342" s="9" t="n">
        <v>8340</v>
      </c>
      <c r="C8342" s="10" t="inlineStr">
        <is>
          <t>Trung Cấp Hoá (Nghiệp Vụ Cao Su)</t>
        </is>
      </c>
      <c r="D8342" s="10" t="inlineStr">
        <is>
          <t>CÔNG TY CỔ PHẦN VIỆT SING</t>
        </is>
      </c>
      <c r="E8342" s="10" t="inlineStr">
        <is>
          <t>Thương lượng</t>
        </is>
      </c>
      <c r="F8342" s="10" t="inlineStr">
        <is>
          <t>Bình Phước</t>
        </is>
      </c>
      <c r="G8342" s="10" t="inlineStr">
        <is>
          <t>Mới Tốt Nghiệp</t>
        </is>
      </c>
      <c r="H8342" s="10" t="inlineStr">
        <is>
          <t>06/03/2026</t>
        </is>
      </c>
      <c r="I8342" s="10" t="inlineStr">
        <is>
          <t>05/04/2026</t>
        </is>
      </c>
      <c r="J8342" s="10" t="inlineStr">
        <is>
          <t>17/03/2026</t>
        </is>
      </c>
      <c r="K8342" s="10" t="inlineStr">
        <is>
          <t>N/A</t>
        </is>
      </c>
      <c r="L8342" s="10" t="inlineStr">
        <is>
          <t>Kiểm Tra Chất Lượng, Phân Tích Mẫu, Phân Tích Số Liệu, Quản Lý Chất Lượng, Quản Lý Sử Dụng Hóa Chất</t>
        </is>
      </c>
      <c r="M8342" s="10" t="inlineStr">
        <is>
          <t>Bonus, Healthcare Plan, Others</t>
        </is>
      </c>
      <c r="N8342" s="11">
        <f>HYPERLINK("https://www.vietnamworks.com/trung-cap-hoa-nghiep-vu-cao-su-2019824-jv","Xem chi tiết")</f>
        <v/>
      </c>
      <c r="O8342" s="10" t="n"/>
    </row>
    <row r="8343">
      <c r="B8343" s="7" t="n">
        <v>8341</v>
      </c>
      <c r="C8343" t="inlineStr">
        <is>
          <t>Digital Marketing Officer</t>
        </is>
      </c>
      <c r="D8343" t="inlineStr">
        <is>
          <t>Aardwolf Industries LLC</t>
        </is>
      </c>
      <c r="E8343" t="inlineStr">
        <is>
          <t>Thương lượng</t>
        </is>
      </c>
      <c r="F8343" t="inlineStr">
        <is>
          <t>Bình Dương</t>
        </is>
      </c>
      <c r="G8343" t="inlineStr">
        <is>
          <t>Mới Tốt Nghiệp</t>
        </is>
      </c>
      <c r="H8343" t="inlineStr">
        <is>
          <t>06/03/2026</t>
        </is>
      </c>
      <c r="I8343" t="inlineStr">
        <is>
          <t>05/04/2026</t>
        </is>
      </c>
      <c r="J8343" t="inlineStr">
        <is>
          <t>17/03/2026</t>
        </is>
      </c>
      <c r="K8343" t="inlineStr">
        <is>
          <t>N/A</t>
        </is>
      </c>
      <c r="L8343" t="inlineStr">
        <is>
          <t>Digital Marketing, Content Marketing, Digital Marketing Campaigns</t>
        </is>
      </c>
      <c r="M8343" t="inlineStr">
        <is>
          <t>Bonus, Healthcare Plan, Others</t>
        </is>
      </c>
      <c r="N8343" s="8">
        <f>HYPERLINK("https://www.vietnamworks.com/digital-marketing-officer-2019818-jv","Xem chi tiết")</f>
        <v/>
      </c>
    </row>
    <row r="8344">
      <c r="B8344" s="9" t="n">
        <v>8342</v>
      </c>
      <c r="C8344" s="10" t="inlineStr">
        <is>
          <t>Lab/Testing Engineer - Kỹ Sư Phòng Thí Nghiệm</t>
        </is>
      </c>
      <c r="D8344" s="10" t="inlineStr">
        <is>
          <t>CÔNG TY TNHH AMPHENOL TECHNOLOGY VIỆT NAM</t>
        </is>
      </c>
      <c r="E8344" s="10" t="inlineStr">
        <is>
          <t>Thương lượng</t>
        </is>
      </c>
      <c r="F8344" s="10" t="inlineStr">
        <is>
          <t>Quốc tế</t>
        </is>
      </c>
      <c r="G8344" s="10" t="inlineStr">
        <is>
          <t>Nhân viên</t>
        </is>
      </c>
      <c r="H8344" s="10" t="inlineStr">
        <is>
          <t>06/03/2026</t>
        </is>
      </c>
      <c r="I8344" s="10" t="inlineStr">
        <is>
          <t>05/04/2026</t>
        </is>
      </c>
      <c r="J8344" s="10" t="inlineStr">
        <is>
          <t>17/03/2026</t>
        </is>
      </c>
      <c r="K8344" s="10" t="inlineStr">
        <is>
          <t>N/A</t>
        </is>
      </c>
      <c r="L8344" s="10" t="inlineStr">
        <is>
          <t>Engineering tools knowledge, Internal Lab Testing, Signal Integrity, Test Reports, Testing Processes</t>
        </is>
      </c>
      <c r="M8344" s="10" t="inlineStr">
        <is>
          <t>Bonus, Healthcare Plan, Laptop, Mobile, Travel Opportunities, Transportation</t>
        </is>
      </c>
      <c r="N8344" s="11">
        <f>HYPERLINK("https://www.vietnamworks.com/labtesting-engineer-ky-su-phong-thi-nghiem-2019816-jv","Xem chi tiết")</f>
        <v/>
      </c>
      <c r="O8344" s="10" t="n"/>
    </row>
    <row r="8345">
      <c r="B8345" s="7" t="n">
        <v>8343</v>
      </c>
      <c r="C8345" t="inlineStr">
        <is>
          <t>Admin Kiêm Nhân Sự Tổng Hợp</t>
        </is>
      </c>
      <c r="D8345" t="inlineStr">
        <is>
          <t>CHI NHÁNH CÔNG TY TNHH VIỆT NAM KANDENKO TẠI THÀNH PHỐ HỒ CHÍ MINH  Read more: https://masocongty.vn/company/1262701/chi-nhanh-cong-ty-tnhh-viet-nam-kandenko-tai-thanh-pho-ho-chi-minh.html#ixzz7OueBAE6E</t>
        </is>
      </c>
      <c r="E8345" t="inlineStr">
        <is>
          <t>Thương lượng</t>
        </is>
      </c>
      <c r="F8345" t="inlineStr">
        <is>
          <t>Hồ Chí Minh</t>
        </is>
      </c>
      <c r="G8345" t="inlineStr">
        <is>
          <t>Mới Tốt Nghiệp</t>
        </is>
      </c>
      <c r="H8345" t="inlineStr">
        <is>
          <t>06/03/2026</t>
        </is>
      </c>
      <c r="I8345" t="inlineStr">
        <is>
          <t>05/04/2026</t>
        </is>
      </c>
      <c r="J8345" t="inlineStr">
        <is>
          <t>17/03/2026</t>
        </is>
      </c>
      <c r="K8345" t="inlineStr">
        <is>
          <t>N/A</t>
        </is>
      </c>
      <c r="L8345" t="inlineStr">
        <is>
          <t>Quản Lý Hồ Sơ, Soạn Thảo Văn Bản, Chấm Công, Tính Lương, Điều Phối Lịch Họp</t>
        </is>
      </c>
      <c r="M8345" t="inlineStr">
        <is>
          <t>Bonus, Healthcare Plan, Paid Leave, Laptop, Travel Opportunities, Others</t>
        </is>
      </c>
      <c r="N8345" s="8">
        <f>HYPERLINK("https://www.vietnamworks.com/admin-kiem-nhan-su-tong-hop-2019823-jv","Xem chi tiết")</f>
        <v/>
      </c>
    </row>
    <row r="8346">
      <c r="B8346" s="9" t="n">
        <v>8344</v>
      </c>
      <c r="C8346" s="10" t="inlineStr">
        <is>
          <t>Giám Đốc Nhà Máy</t>
        </is>
      </c>
      <c r="D8346" s="10" t="inlineStr">
        <is>
          <t>CÔNG TY CỔ PHẦN VIỆT SING</t>
        </is>
      </c>
      <c r="E8346" s="10" t="inlineStr">
        <is>
          <t>Thương lượng</t>
        </is>
      </c>
      <c r="F8346" s="10" t="inlineStr">
        <is>
          <t>Bình Phước</t>
        </is>
      </c>
      <c r="G8346" s="10" t="inlineStr">
        <is>
          <t>Giám Đốc và Cấp Cao Hơn</t>
        </is>
      </c>
      <c r="H8346" s="10" t="inlineStr">
        <is>
          <t>06/03/2026</t>
        </is>
      </c>
      <c r="I8346" s="10" t="inlineStr">
        <is>
          <t>05/04/2026</t>
        </is>
      </c>
      <c r="J8346" s="10" t="inlineStr">
        <is>
          <t>17/03/2026</t>
        </is>
      </c>
      <c r="K8346" s="10" t="inlineStr">
        <is>
          <t>N/A</t>
        </is>
      </c>
      <c r="L8346" s="10" t="inlineStr">
        <is>
          <t>Quản Lý Lao Động, Quản Lý Nguyên Liệu, Quản Lý Điều Hành, Theo Dõi Sản Xuất, Xây Dựng Kế Hoạch</t>
        </is>
      </c>
      <c r="M8346" s="10" t="inlineStr">
        <is>
          <t>Laptop, Others</t>
        </is>
      </c>
      <c r="N8346" s="11">
        <f>HYPERLINK("https://www.vietnamworks.com/giam-djoc-nha-may-2019815-jv","Xem chi tiết")</f>
        <v/>
      </c>
      <c r="O8346" s="10" t="n"/>
    </row>
    <row r="8347">
      <c r="B8347" s="7" t="n">
        <v>8345</v>
      </c>
      <c r="C8347" t="inlineStr">
        <is>
          <t>Digital Marketing Manager – Global Football Platform</t>
        </is>
      </c>
      <c r="D8347" t="inlineStr">
        <is>
          <t>HONGKONG XINXIN AI TECHNOLOGY  LTD</t>
        </is>
      </c>
      <c r="E8347" t="inlineStr">
        <is>
          <t>30tr-45tr ₫/tháng</t>
        </is>
      </c>
      <c r="F8347" t="inlineStr">
        <is>
          <t>Hà Nội</t>
        </is>
      </c>
      <c r="G8347" t="inlineStr">
        <is>
          <t>Trưởng phòng</t>
        </is>
      </c>
      <c r="H8347" t="inlineStr">
        <is>
          <t>06/03/2026</t>
        </is>
      </c>
      <c r="I8347" t="inlineStr">
        <is>
          <t>05/04/2026</t>
        </is>
      </c>
      <c r="J8347" t="inlineStr">
        <is>
          <t>17/03/2026</t>
        </is>
      </c>
      <c r="K8347" t="inlineStr">
        <is>
          <t>N/A</t>
        </is>
      </c>
      <c r="L8347" t="inlineStr">
        <is>
          <t>Relationship Building, MS Office, Market Intelligent, Budget Management, Campaign Management</t>
        </is>
      </c>
      <c r="M8347" t="inlineStr">
        <is>
          <t>Paid Leave, Team Activities, Others</t>
        </is>
      </c>
      <c r="N8347" s="8">
        <f>HYPERLINK("https://www.vietnamworks.com/digital-marketing-manager-global-football-platform-2019821-jv","Xem chi tiết")</f>
        <v/>
      </c>
    </row>
    <row r="8348">
      <c r="B8348" s="9" t="n">
        <v>8346</v>
      </c>
      <c r="C8348" s="10" t="inlineStr">
        <is>
          <t>Product Manager (Mobile App) – Global Football Platform</t>
        </is>
      </c>
      <c r="D8348" s="10" t="inlineStr">
        <is>
          <t>HONGKONG XINXIN AI TECHNOLOGY  LTD</t>
        </is>
      </c>
      <c r="E8348" s="10" t="inlineStr">
        <is>
          <t>1,000-2,500 ₫/tháng</t>
        </is>
      </c>
      <c r="F8348" s="10" t="inlineStr">
        <is>
          <t>Hà Nội</t>
        </is>
      </c>
      <c r="G8348" s="10" t="inlineStr">
        <is>
          <t>Trưởng phòng</t>
        </is>
      </c>
      <c r="H8348" s="10" t="inlineStr">
        <is>
          <t>06/03/2026</t>
        </is>
      </c>
      <c r="I8348" s="10" t="inlineStr">
        <is>
          <t>05/04/2026</t>
        </is>
      </c>
      <c r="J8348" s="10" t="inlineStr">
        <is>
          <t>17/03/2026</t>
        </is>
      </c>
      <c r="K8348" s="10" t="inlineStr">
        <is>
          <t>N/A</t>
        </is>
      </c>
      <c r="L8348" s="10" t="inlineStr">
        <is>
          <t>Product Management, Product Testing, Jira, English, Data Analytics</t>
        </is>
      </c>
      <c r="M8348" s="10" t="inlineStr">
        <is>
          <t>Paid Leave, Team Activities, Others</t>
        </is>
      </c>
      <c r="N8348" s="11">
        <f>HYPERLINK("https://www.vietnamworks.com/product-manager-mobile-app-global-football-platform-2019822-jv","Xem chi tiết")</f>
        <v/>
      </c>
      <c r="O8348" s="10" t="n"/>
    </row>
    <row r="8349">
      <c r="B8349" s="7" t="n">
        <v>8347</v>
      </c>
      <c r="C8349" t="inlineStr">
        <is>
          <t>Kế Toán Tổng Hợp (Kế Toán Cho Hộ Kinh Doanh)</t>
        </is>
      </c>
      <c r="D8349" t="inlineStr">
        <is>
          <t>Công Ty TNHH Thời Trang-Mỹ Phẩm Vĩnh Thịnh</t>
        </is>
      </c>
      <c r="E8349" t="inlineStr">
        <is>
          <t>12tr-14tr ₫/tháng</t>
        </is>
      </c>
      <c r="F8349" t="inlineStr">
        <is>
          <t>Hà Nội</t>
        </is>
      </c>
      <c r="G8349" t="inlineStr">
        <is>
          <t>Nhân viên</t>
        </is>
      </c>
      <c r="H8349" t="inlineStr">
        <is>
          <t>06/03/2026</t>
        </is>
      </c>
      <c r="I8349" t="inlineStr">
        <is>
          <t>05/04/2026</t>
        </is>
      </c>
      <c r="J8349" t="inlineStr">
        <is>
          <t>17/03/2026</t>
        </is>
      </c>
      <c r="K8349" t="inlineStr">
        <is>
          <t>N/A</t>
        </is>
      </c>
      <c r="L8349" t="inlineStr">
        <is>
          <t>Kế Toán Tổng Hợp, Kế toán, Kiểm Soát Công Nợ, Phần Mềm Kế Toán, Tài Chính</t>
        </is>
      </c>
      <c r="M8349" t="inlineStr">
        <is>
          <t>Bonus, Laptop, Travel Opportunities, Canteen</t>
        </is>
      </c>
      <c r="N8349" s="8">
        <f>HYPERLINK("https://www.vietnamworks.com/ke-toan-tong-hop-ke-toan-cho-ho-kinh-doanh-2019825-jv","Xem chi tiết")</f>
        <v/>
      </c>
    </row>
    <row r="8350">
      <c r="B8350" s="9" t="n">
        <v>8348</v>
      </c>
      <c r="C8350" s="10" t="inlineStr">
        <is>
          <t>Mechanical Engineer (Chi Nhánh Đà Nẵng)</t>
        </is>
      </c>
      <c r="D8350" s="10" t="inlineStr">
        <is>
          <t>Công Ty TNHH Goshu Kohsan (Việt Nam)</t>
        </is>
      </c>
      <c r="E8350" s="10" t="inlineStr">
        <is>
          <t>15tr-17tr ₫/tháng</t>
        </is>
      </c>
      <c r="F8350" s="10" t="inlineStr">
        <is>
          <t>Đà Nẵng</t>
        </is>
      </c>
      <c r="G8350" s="10" t="inlineStr">
        <is>
          <t>Trưởng phòng</t>
        </is>
      </c>
      <c r="H8350" s="10" t="inlineStr">
        <is>
          <t>06/03/2026</t>
        </is>
      </c>
      <c r="I8350" s="10" t="inlineStr">
        <is>
          <t>05/04/2026</t>
        </is>
      </c>
      <c r="J8350" s="10" t="inlineStr">
        <is>
          <t>17/03/2026</t>
        </is>
      </c>
      <c r="K8350" s="10" t="inlineStr">
        <is>
          <t>N/A</t>
        </is>
      </c>
      <c r="L8350" s="10" t="inlineStr">
        <is>
          <t>Project Management, Mechanical Engineering, Construction Engineering, Quality Control, English Reading</t>
        </is>
      </c>
      <c r="M8350" s="10" t="inlineStr">
        <is>
          <t>Bonus, Healthcare Plan, Paid Leave, Awards</t>
        </is>
      </c>
      <c r="N8350" s="11">
        <f>HYPERLINK("https://www.vietnamworks.com/mechanical-engineer-chi-nhanh-da-nang--2019827-jv","Xem chi tiết")</f>
        <v/>
      </c>
      <c r="O8350" s="10" t="n"/>
    </row>
    <row r="8351">
      <c r="B8351" s="7" t="n">
        <v>8349</v>
      </c>
      <c r="C8351" t="inlineStr">
        <is>
          <t>Phó Phòng Quản Lý Đại Lý</t>
        </is>
      </c>
      <c r="D8351" t="inlineStr">
        <is>
          <t>Công Ty Cổ Phần Tập Đoàn BRG</t>
        </is>
      </c>
      <c r="E8351" t="inlineStr">
        <is>
          <t>Thương lượng</t>
        </is>
      </c>
      <c r="F8351" t="inlineStr">
        <is>
          <t>Hồ Chí Minh, Hà Nội</t>
        </is>
      </c>
      <c r="G8351" t="inlineStr">
        <is>
          <t>Trưởng phòng</t>
        </is>
      </c>
      <c r="H8351" t="inlineStr">
        <is>
          <t>06/03/2026</t>
        </is>
      </c>
      <c r="I8351" t="inlineStr">
        <is>
          <t>05/04/2026</t>
        </is>
      </c>
      <c r="J8351" t="inlineStr">
        <is>
          <t>17/03/2026</t>
        </is>
      </c>
      <c r="K8351" t="inlineStr">
        <is>
          <t>N/A</t>
        </is>
      </c>
      <c r="L8351" t="inlineStr">
        <is>
          <t>Quản Lý Bán Hàng, Kinh Doanh Bất Động Sản, Bất Động Sản, Quản Lý Đại Lý, Bán Hàng Bất Động Sản</t>
        </is>
      </c>
      <c r="M8351" t="inlineStr">
        <is>
          <t>Bonus, Healthcare Plan, Travel Opportunities</t>
        </is>
      </c>
      <c r="N8351" s="8">
        <f>HYPERLINK("https://www.vietnamworks.com/pho-phong-quan-ly-dai-ly-2019830-jv","Xem chi tiết")</f>
        <v/>
      </c>
    </row>
    <row r="8352">
      <c r="B8352" s="9" t="n">
        <v>8350</v>
      </c>
      <c r="C8352" s="10" t="inlineStr">
        <is>
          <t>Senior Workforce Planning Analyst</t>
        </is>
      </c>
      <c r="D8352" s="10" t="inlineStr">
        <is>
          <t>Esoft Vietnam</t>
        </is>
      </c>
      <c r="E8352" s="10" t="inlineStr">
        <is>
          <t>Thương lượng</t>
        </is>
      </c>
      <c r="F8352" s="10" t="inlineStr">
        <is>
          <t>Hà Nội</t>
        </is>
      </c>
      <c r="G8352" s="10" t="inlineStr">
        <is>
          <t>Nhân viên</t>
        </is>
      </c>
      <c r="H8352" s="10" t="inlineStr">
        <is>
          <t>06/03/2026</t>
        </is>
      </c>
      <c r="I8352" s="10" t="inlineStr">
        <is>
          <t>05/04/2026</t>
        </is>
      </c>
      <c r="J8352" s="10" t="inlineStr">
        <is>
          <t>17/03/2026</t>
        </is>
      </c>
      <c r="K8352" s="10" t="inlineStr">
        <is>
          <t>N/A</t>
        </is>
      </c>
      <c r="L8352" s="10" t="inlineStr">
        <is>
          <t>Data Analytics, Workforce Planning, Financial Modeling, Analytical Skills</t>
        </is>
      </c>
      <c r="M8352" s="10" t="inlineStr">
        <is>
          <t>Bonus, Healthcare Plan, Paid Leave</t>
        </is>
      </c>
      <c r="N8352" s="11">
        <f>HYPERLINK("https://www.vietnamworks.com/senior-workforce-planning-analyst-2019829-jv","Xem chi tiết")</f>
        <v/>
      </c>
      <c r="O8352" s="10" t="n"/>
    </row>
    <row r="8353">
      <c r="B8353" s="7" t="n">
        <v>8351</v>
      </c>
      <c r="C8353" t="inlineStr">
        <is>
          <t>Marketing Executive Recruitment Content Marketing Focused</t>
        </is>
      </c>
      <c r="D8353" t="inlineStr">
        <is>
          <t>Công Ty Cổ Phần Tư Vấn AIMS Việt Nam</t>
        </is>
      </c>
      <c r="E8353" t="inlineStr">
        <is>
          <t>Thương lượng</t>
        </is>
      </c>
      <c r="F8353" t="inlineStr">
        <is>
          <t>Hồ Chí Minh</t>
        </is>
      </c>
      <c r="G8353" t="inlineStr">
        <is>
          <t>Nhân viên</t>
        </is>
      </c>
      <c r="H8353" t="inlineStr">
        <is>
          <t>06/03/2026</t>
        </is>
      </c>
      <c r="I8353" t="inlineStr">
        <is>
          <t>05/04/2026</t>
        </is>
      </c>
      <c r="J8353" t="inlineStr">
        <is>
          <t>17/03/2026</t>
        </is>
      </c>
      <c r="K8353" t="inlineStr">
        <is>
          <t>N/A</t>
        </is>
      </c>
      <c r="L8353" t="inlineStr">
        <is>
          <t>Content Marketing, Content Writing, English, Event Support</t>
        </is>
      </c>
      <c r="M8353" t="inlineStr">
        <is>
          <t>Bonus, Healthcare Plan, Others</t>
        </is>
      </c>
      <c r="N8353" s="8">
        <f>HYPERLINK("https://www.vietnamworks.com/marketing-executive-recruitment-content-marketing-focused-2019826-jv","Xem chi tiết")</f>
        <v/>
      </c>
    </row>
    <row r="8354">
      <c r="B8354" s="9" t="n">
        <v>8352</v>
      </c>
      <c r="C8354" s="10" t="inlineStr">
        <is>
          <t>Quản Lý Dự Án Cơ Điện (M&amp;E Project Manager)</t>
        </is>
      </c>
      <c r="D8354" s="10" t="inlineStr">
        <is>
          <t>Công ty TNHH Kỹ thuật Trường Lộc</t>
        </is>
      </c>
      <c r="E8354" s="10" t="inlineStr">
        <is>
          <t>20tr-35tr ₫/tháng</t>
        </is>
      </c>
      <c r="F8354" s="10" t="inlineStr">
        <is>
          <t>Hà Nội</t>
        </is>
      </c>
      <c r="G8354" s="10" t="inlineStr">
        <is>
          <t>Nhân viên</t>
        </is>
      </c>
      <c r="H8354" s="10" t="inlineStr">
        <is>
          <t>06/03/2026</t>
        </is>
      </c>
      <c r="I8354" s="10" t="inlineStr">
        <is>
          <t>05/04/2026</t>
        </is>
      </c>
      <c r="J8354" s="10" t="inlineStr">
        <is>
          <t>17/03/2026</t>
        </is>
      </c>
      <c r="K8354" s="10" t="inlineStr">
        <is>
          <t>N/A</t>
        </is>
      </c>
      <c r="L8354" s="10" t="inlineStr">
        <is>
          <t>Quản Lý Dự Án, Quản Lý Thi Công M&amp;E, Kiểm Soát Tiến Độ Thi Công, Cơ Điện, HVAC</t>
        </is>
      </c>
      <c r="M8354" s="10" t="inlineStr">
        <is>
          <t>Bonus, Healthcare Plan, Training, Others</t>
        </is>
      </c>
      <c r="N8354" s="11">
        <f>HYPERLINK("https://www.vietnamworks.com/quan-ly-du-an-co-djien-mande-project-manager-2019835-jv","Xem chi tiết")</f>
        <v/>
      </c>
      <c r="O8354" s="10" t="n"/>
    </row>
    <row r="8355">
      <c r="B8355" s="7" t="n">
        <v>8353</v>
      </c>
      <c r="C8355" t="inlineStr">
        <is>
          <t>Kỹ Sư Cơ Điện (M&amp;E Site Engineer)</t>
        </is>
      </c>
      <c r="D8355" t="inlineStr">
        <is>
          <t>Công ty TNHH Kỹ thuật Trường Lộc</t>
        </is>
      </c>
      <c r="E8355" t="inlineStr">
        <is>
          <t>12tr-20tr ₫/tháng</t>
        </is>
      </c>
      <c r="F8355" t="inlineStr">
        <is>
          <t>Hà Nội</t>
        </is>
      </c>
      <c r="G8355" t="inlineStr">
        <is>
          <t>Nhân viên</t>
        </is>
      </c>
      <c r="H8355" t="inlineStr">
        <is>
          <t>06/03/2026</t>
        </is>
      </c>
      <c r="I8355" t="inlineStr">
        <is>
          <t>05/04/2026</t>
        </is>
      </c>
      <c r="J8355" t="inlineStr">
        <is>
          <t>17/03/2026</t>
        </is>
      </c>
      <c r="K8355" t="inlineStr">
        <is>
          <t>N/A</t>
        </is>
      </c>
      <c r="L8355" t="inlineStr">
        <is>
          <t>AutoCAD, Revit, M&amp;E Design, Project Management, Cơ Điện</t>
        </is>
      </c>
      <c r="M8355" t="inlineStr">
        <is>
          <t>Bonus, Healthcare Plan, Training, Others</t>
        </is>
      </c>
      <c r="N8355" s="8">
        <f>HYPERLINK("https://www.vietnamworks.com/ky-su-co-djien-mande-site-engineer-2019831-jv","Xem chi tiết")</f>
        <v/>
      </c>
    </row>
    <row r="8356">
      <c r="B8356" s="9" t="n">
        <v>8354</v>
      </c>
      <c r="C8356" s="10" t="inlineStr">
        <is>
          <t>Nhân Viên Kinh Doanh Logistics/ Sale Logistics (Upto 30 Triệu/tháng)</t>
        </is>
      </c>
      <c r="D8356" s="10" t="inlineStr">
        <is>
          <t>Air SEA Transport Com.,ltd</t>
        </is>
      </c>
      <c r="E8356" s="10" t="inlineStr">
        <is>
          <t>8tr-30tr ₫/tháng</t>
        </is>
      </c>
      <c r="F8356" s="10" t="inlineStr">
        <is>
          <t>Hải Phòng, Bắc Giang, Thái Bình</t>
        </is>
      </c>
      <c r="G8356" s="10" t="inlineStr">
        <is>
          <t>Nhân viên</t>
        </is>
      </c>
      <c r="H8356" s="10" t="inlineStr">
        <is>
          <t>06/03/2026</t>
        </is>
      </c>
      <c r="I8356" s="10" t="inlineStr">
        <is>
          <t>05/04/2026</t>
        </is>
      </c>
      <c r="J8356" s="10" t="inlineStr">
        <is>
          <t>17/03/2026</t>
        </is>
      </c>
      <c r="K8356" s="10" t="inlineStr">
        <is>
          <t>N/A</t>
        </is>
      </c>
      <c r="L8356" s="10" t="inlineStr">
        <is>
          <t>Điều Phối Hàng Hoá, Tìm Kiếm Khách Hàng, Tư Vấn, Báo Giá Hợp Đồng, Logistics Sales</t>
        </is>
      </c>
      <c r="M8356" s="10" t="inlineStr">
        <is>
          <t>Bonus, Healthcare Plan, Canteen</t>
        </is>
      </c>
      <c r="N8356" s="11">
        <f>HYPERLINK("https://www.vietnamworks.com/nhan-vien-kinh-doanh-logistics-sale-logistics-upto-30-trieu-thang-2019836-jv","Xem chi tiết")</f>
        <v/>
      </c>
      <c r="O8356" s="10" t="n"/>
    </row>
    <row r="8357">
      <c r="B8357" s="7" t="n">
        <v>8355</v>
      </c>
      <c r="C8357" t="inlineStr">
        <is>
          <t>Nhân Viên Kinh Doanh - Sales Logistics Khu Vực Hà Nội, Hồ Chí Minh</t>
        </is>
      </c>
      <c r="D8357" t="inlineStr">
        <is>
          <t>WYD Group Vietnam</t>
        </is>
      </c>
      <c r="E8357" t="inlineStr">
        <is>
          <t>Thương lượng</t>
        </is>
      </c>
      <c r="F8357" t="inlineStr">
        <is>
          <t>Hồ Chí Minh, Hà Nội</t>
        </is>
      </c>
      <c r="G8357" t="inlineStr">
        <is>
          <t>Nhân viên</t>
        </is>
      </c>
      <c r="H8357" t="inlineStr">
        <is>
          <t>06/03/2026</t>
        </is>
      </c>
      <c r="I8357" t="inlineStr">
        <is>
          <t>05/04/2026</t>
        </is>
      </c>
      <c r="J8357" t="inlineStr">
        <is>
          <t>17/03/2026</t>
        </is>
      </c>
      <c r="K8357" t="inlineStr">
        <is>
          <t>N/A</t>
        </is>
      </c>
      <c r="L8357" t="inlineStr">
        <is>
          <t>Tìm Kiếm Khách Hàng, Business Development, Phát Triển Khách Hàng, Tư Vấn Dịch Vụ, Nghiên Cứu Thị Trường</t>
        </is>
      </c>
      <c r="M8357" t="inlineStr">
        <is>
          <t>Bonus, Travel Opportunities, Others</t>
        </is>
      </c>
      <c r="N8357" s="8">
        <f>HYPERLINK("https://www.vietnamworks.com/nhan-vien-kinh-doanh-sales-logistics-khu-vuc-ha-noi-ho-chi-minh--2019839-jv","Xem chi tiết")</f>
        <v/>
      </c>
    </row>
    <row r="8358">
      <c r="B8358" s="9" t="n">
        <v>8356</v>
      </c>
      <c r="C8358" s="10" t="inlineStr">
        <is>
          <t>Kế Toán Tổng Hợp</t>
        </is>
      </c>
      <c r="D8358" s="10" t="inlineStr">
        <is>
          <t>CÔNG TY CỔ PHẦN VIỆT SING</t>
        </is>
      </c>
      <c r="E8358" s="10" t="inlineStr">
        <is>
          <t>Thương lượng</t>
        </is>
      </c>
      <c r="F8358" s="10" t="inlineStr">
        <is>
          <t>Hồ Chí Minh, Bình Phước</t>
        </is>
      </c>
      <c r="G8358" s="10" t="inlineStr">
        <is>
          <t>Nhân viên</t>
        </is>
      </c>
      <c r="H8358" s="10" t="inlineStr">
        <is>
          <t>06/03/2026</t>
        </is>
      </c>
      <c r="I8358" s="10" t="inlineStr">
        <is>
          <t>05/04/2026</t>
        </is>
      </c>
      <c r="J8358" s="10" t="inlineStr">
        <is>
          <t>17/03/2026</t>
        </is>
      </c>
      <c r="K8358" s="10" t="inlineStr">
        <is>
          <t>N/A</t>
        </is>
      </c>
      <c r="L8358" s="10" t="inlineStr">
        <is>
          <t>Báo Cáo Tài Chính, Hạch Toán, Kế Toán Doanh Nghiệp, Theo Dõi Công Nợ, Theo Dõi Tồn Kho</t>
        </is>
      </c>
      <c r="M8358" s="10" t="inlineStr">
        <is>
          <t>Bonus, Healthcare Plan, Travel Opportunities</t>
        </is>
      </c>
      <c r="N8358" s="11">
        <f>HYPERLINK("https://www.vietnamworks.com/ke-toan-tong-hop-2019833-jv","Xem chi tiết")</f>
        <v/>
      </c>
      <c r="O8358" s="10" t="n"/>
    </row>
    <row r="8359">
      <c r="B8359" s="7" t="n">
        <v>8357</v>
      </c>
      <c r="C8359" t="inlineStr">
        <is>
          <t>Consumer Market Insights - Deputy Manager</t>
        </is>
      </c>
      <c r="D8359" t="inlineStr">
        <is>
          <t>Công Ty TNHH Aeon Việt Nam</t>
        </is>
      </c>
      <c r="E8359" t="inlineStr">
        <is>
          <t>Thương lượng</t>
        </is>
      </c>
      <c r="F8359" t="inlineStr">
        <is>
          <t>Hồ Chí Minh</t>
        </is>
      </c>
      <c r="G8359" t="inlineStr">
        <is>
          <t>Trưởng phòng</t>
        </is>
      </c>
      <c r="H8359" t="inlineStr">
        <is>
          <t>06/03/2026</t>
        </is>
      </c>
      <c r="I8359" t="inlineStr">
        <is>
          <t>05/04/2026</t>
        </is>
      </c>
      <c r="J8359" t="inlineStr">
        <is>
          <t>17/03/2026</t>
        </is>
      </c>
      <c r="K8359" t="inlineStr">
        <is>
          <t>N/A</t>
        </is>
      </c>
      <c r="L8359" t="inlineStr">
        <is>
          <t>Market Research, Consumer Insight, Product Development, Strategy Planning, Merchant Development</t>
        </is>
      </c>
      <c r="M8359" t="inlineStr">
        <is>
          <t>Bonus, Healthcare Plan, Training</t>
        </is>
      </c>
      <c r="N8359" s="8">
        <f>HYPERLINK("https://www.vietnamworks.com/consumer-market-insights-deputy-manager-2019840-jv","Xem chi tiết")</f>
        <v/>
      </c>
    </row>
    <row r="8360">
      <c r="B8360" s="9" t="n">
        <v>8358</v>
      </c>
      <c r="C8360" s="10" t="inlineStr">
        <is>
          <t>Chứng Từ Xuất Nhập Khẩu</t>
        </is>
      </c>
      <c r="D8360" s="10" t="inlineStr">
        <is>
          <t>CÔNG TY CỔ PHẦN VIỆT SING</t>
        </is>
      </c>
      <c r="E8360" s="10" t="inlineStr">
        <is>
          <t>Thương lượng</t>
        </is>
      </c>
      <c r="F8360" s="10" t="inlineStr">
        <is>
          <t>Hồ Chí Minh</t>
        </is>
      </c>
      <c r="G8360" s="10" t="inlineStr">
        <is>
          <t>Nhân viên</t>
        </is>
      </c>
      <c r="H8360" s="10" t="inlineStr">
        <is>
          <t>06/03/2026</t>
        </is>
      </c>
      <c r="I8360" s="10" t="inlineStr">
        <is>
          <t>05/04/2026</t>
        </is>
      </c>
      <c r="J8360" s="10" t="inlineStr">
        <is>
          <t>17/03/2026</t>
        </is>
      </c>
      <c r="K8360" s="10" t="inlineStr">
        <is>
          <t>N/A</t>
        </is>
      </c>
      <c r="L8360" s="10" t="inlineStr">
        <is>
          <t>Chứng Từ Xuất Nhập Khẩu, Kinh Doanh Quốc Tế, Ngoại Thương, Theo Dõi Lịch Tàu, Tiếng Anh</t>
        </is>
      </c>
      <c r="M8360" s="10" t="inlineStr">
        <is>
          <t>Bonus, Travel Opportunities, Others</t>
        </is>
      </c>
      <c r="N8360" s="11">
        <f>HYPERLINK("https://www.vietnamworks.com/chung-tu-xuat-nhap-khau-2019842-jv","Xem chi tiết")</f>
        <v/>
      </c>
      <c r="O8360" s="10" t="n"/>
    </row>
    <row r="8361">
      <c r="B8361" s="7" t="n">
        <v>8359</v>
      </c>
      <c r="C8361" t="inlineStr">
        <is>
          <t>Kinh Doanh Xuất Nhập Khẩu</t>
        </is>
      </c>
      <c r="D8361" t="inlineStr">
        <is>
          <t>CÔNG TY CỔ PHẦN VIỆT SING</t>
        </is>
      </c>
      <c r="E8361" t="inlineStr">
        <is>
          <t>Thương lượng</t>
        </is>
      </c>
      <c r="F8361" t="inlineStr">
        <is>
          <t>Bình Phước</t>
        </is>
      </c>
      <c r="G8361" t="inlineStr">
        <is>
          <t>Nhân viên</t>
        </is>
      </c>
      <c r="H8361" t="inlineStr">
        <is>
          <t>06/03/2026</t>
        </is>
      </c>
      <c r="I8361" t="inlineStr">
        <is>
          <t>05/04/2026</t>
        </is>
      </c>
      <c r="J8361" t="inlineStr">
        <is>
          <t>17/03/2026</t>
        </is>
      </c>
      <c r="K8361" t="inlineStr">
        <is>
          <t>N/A</t>
        </is>
      </c>
      <c r="L8361" t="inlineStr">
        <is>
          <t>Tiếng Anh, Tiếng Trung, Báo Giá, Kinh Doanh Quốc Tế, Tìm Kiếm Khách Hàng</t>
        </is>
      </c>
      <c r="M8361" t="inlineStr">
        <is>
          <t>Bonus, Travel Opportunities, Others</t>
        </is>
      </c>
      <c r="N8361" s="8">
        <f>HYPERLINK("https://www.vietnamworks.com/kinh-doanh-xuat-nhap-khau-2019848-jv","Xem chi tiết")</f>
        <v/>
      </c>
    </row>
    <row r="8362">
      <c r="B8362" s="9" t="n">
        <v>8360</v>
      </c>
      <c r="C8362" s="10" t="inlineStr">
        <is>
          <t>Chief CRM &amp; Customer Service</t>
        </is>
      </c>
      <c r="D8362" s="10" t="inlineStr">
        <is>
          <t>International Business Center Company Limited</t>
        </is>
      </c>
      <c r="E8362" s="10" t="inlineStr">
        <is>
          <t>Thương lượng</t>
        </is>
      </c>
      <c r="F8362" s="10" t="inlineStr">
        <is>
          <t>Hồ Chí Minh</t>
        </is>
      </c>
      <c r="G8362" s="10" t="inlineStr">
        <is>
          <t>Nhân viên</t>
        </is>
      </c>
      <c r="H8362" s="10" t="inlineStr">
        <is>
          <t>06/03/2026</t>
        </is>
      </c>
      <c r="I8362" s="10" t="inlineStr">
        <is>
          <t>05/04/2026</t>
        </is>
      </c>
      <c r="J8362" s="10" t="inlineStr">
        <is>
          <t>17/03/2026</t>
        </is>
      </c>
      <c r="K8362" s="10" t="inlineStr">
        <is>
          <t>N/A</t>
        </is>
      </c>
      <c r="L8362" s="10" t="inlineStr">
        <is>
          <t>CRM Program Management, Customer Service, Business Development, Network, Customer Service Management</t>
        </is>
      </c>
      <c r="M8362" s="10" t="inlineStr">
        <is>
          <t>Bonus, Healthcare Plan, Awards, Others</t>
        </is>
      </c>
      <c r="N8362" s="11">
        <f>HYPERLINK("https://www.vietnamworks.com/chief-crm-and-customer-service-2019837-jv","Xem chi tiết")</f>
        <v/>
      </c>
      <c r="O8362" s="10" t="n"/>
    </row>
    <row r="8363">
      <c r="B8363" s="7" t="n">
        <v>8361</v>
      </c>
      <c r="C8363" t="inlineStr">
        <is>
          <t>Senior Associate - Cyber Security Consultant (GRC &amp; Pentest)</t>
        </is>
      </c>
      <c r="D8363" t="inlineStr">
        <is>
          <t>PwC (Vietnam) Ltd.</t>
        </is>
      </c>
      <c r="E8363" t="inlineStr">
        <is>
          <t>Thương lượng</t>
        </is>
      </c>
      <c r="F8363" t="inlineStr">
        <is>
          <t>Hồ Chí Minh</t>
        </is>
      </c>
      <c r="G8363" t="inlineStr">
        <is>
          <t>Nhân viên</t>
        </is>
      </c>
      <c r="H8363" t="inlineStr">
        <is>
          <t>06/03/2026</t>
        </is>
      </c>
      <c r="I8363" t="inlineStr">
        <is>
          <t>05/04/2026</t>
        </is>
      </c>
      <c r="J8363" t="inlineStr">
        <is>
          <t>17/03/2026</t>
        </is>
      </c>
      <c r="K8363" t="inlineStr">
        <is>
          <t>N/A</t>
        </is>
      </c>
      <c r="L8363" t="inlineStr">
        <is>
          <t>Cyber Security, Cybersecurity, GRC, IT Security GRC, Pentesting Tools</t>
        </is>
      </c>
      <c r="M8363" t="inlineStr">
        <is>
          <t>Bonus, Training, Laptop</t>
        </is>
      </c>
      <c r="N8363" s="8">
        <f>HYPERLINK("https://www.vietnamworks.com/senior-associate-cyber-security-consultant-grc-pentest--2019841-jv","Xem chi tiết")</f>
        <v/>
      </c>
    </row>
    <row r="8364">
      <c r="B8364" s="9" t="n">
        <v>8362</v>
      </c>
      <c r="C8364" s="10" t="inlineStr">
        <is>
          <t>Sales Engineer – Electric Motors (Singapore Company)</t>
        </is>
      </c>
      <c r="D8364" s="10" t="inlineStr">
        <is>
          <t>CÔNG TY TNHH ĐỘNG CƠ VÀ MÁY MÓC ELEKTRIM (VIỆT NAM)</t>
        </is>
      </c>
      <c r="E8364" s="10" t="inlineStr">
        <is>
          <t>15tr-25tr ₫/tháng</t>
        </is>
      </c>
      <c r="F8364" s="10" t="inlineStr">
        <is>
          <t>Hà Nội</t>
        </is>
      </c>
      <c r="G8364" s="10" t="inlineStr">
        <is>
          <t>Nhân viên</t>
        </is>
      </c>
      <c r="H8364" s="10" t="inlineStr">
        <is>
          <t>06/03/2026</t>
        </is>
      </c>
      <c r="I8364" s="10" t="inlineStr">
        <is>
          <t>05/04/2026</t>
        </is>
      </c>
      <c r="J8364" s="10" t="inlineStr">
        <is>
          <t>17/03/2026</t>
        </is>
      </c>
      <c r="K8364" s="10" t="inlineStr">
        <is>
          <t>N/A</t>
        </is>
      </c>
      <c r="L8364" s="10" t="inlineStr">
        <is>
          <t>Electrical Motors, Tìm Kiếm Khách Hàng, Sales Engineering, Customer Development, Sales Channel Development</t>
        </is>
      </c>
      <c r="M8364" s="10" t="inlineStr">
        <is>
          <t>Bonus, Healthcare Plan, Paid Leave, Travel Opportunities, Transportation</t>
        </is>
      </c>
      <c r="N8364" s="11">
        <f>HYPERLINK("https://www.vietnamworks.com/sales-engineer-electric-motors-singapore-company-2019852-jv","Xem chi tiết")</f>
        <v/>
      </c>
      <c r="O8364" s="10" t="n"/>
    </row>
    <row r="8365">
      <c r="B8365" s="7" t="n">
        <v>8363</v>
      </c>
      <c r="C8365" t="inlineStr">
        <is>
          <t>Kỹ Sư BIM Cơ Điện/ Bim-Mep Modeler-Coordinator</t>
        </is>
      </c>
      <c r="D8365" t="inlineStr">
        <is>
          <t>Công Ty TNHH Shimizu Việt Nam</t>
        </is>
      </c>
      <c r="E8365" t="inlineStr">
        <is>
          <t>Thương lượng</t>
        </is>
      </c>
      <c r="F8365" t="inlineStr">
        <is>
          <t>Hà Nội, Hồ Chí Minh</t>
        </is>
      </c>
      <c r="G8365" t="inlineStr">
        <is>
          <t>Nhân viên</t>
        </is>
      </c>
      <c r="H8365" t="inlineStr">
        <is>
          <t>06/03/2026</t>
        </is>
      </c>
      <c r="I8365" t="inlineStr">
        <is>
          <t>05/04/2026</t>
        </is>
      </c>
      <c r="J8365" t="inlineStr">
        <is>
          <t>17/03/2026</t>
        </is>
      </c>
      <c r="K8365" t="inlineStr">
        <is>
          <t>N/A</t>
        </is>
      </c>
      <c r="L8365" t="inlineStr">
        <is>
          <t>MEP Modeling, MEP Systems Coordination, Mep Projects</t>
        </is>
      </c>
      <c r="M8365" t="inlineStr">
        <is>
          <t>Bonus, Healthcare Plan, Training</t>
        </is>
      </c>
      <c r="N8365" s="8">
        <f>HYPERLINK("https://www.vietnamworks.com/ky-su-bim-co-dien-bim-mep-modeler-coordinator-2019851-jv","Xem chi tiết")</f>
        <v/>
      </c>
    </row>
    <row r="8366">
      <c r="B8366" s="9" t="n">
        <v>8364</v>
      </c>
      <c r="C8366" s="10" t="inlineStr">
        <is>
          <t>Kế Toán Tổng Hợp - Lương Upto 18 Triệu</t>
        </is>
      </c>
      <c r="D8366" s="10" t="inlineStr">
        <is>
          <t>CÔNG TY CỔ PHẦN AGRIBIOTECH</t>
        </is>
      </c>
      <c r="E8366" s="10" t="inlineStr">
        <is>
          <t>11tr-18tr ₫/tháng</t>
        </is>
      </c>
      <c r="F8366" s="10" t="inlineStr">
        <is>
          <t>Hà Nội</t>
        </is>
      </c>
      <c r="G8366" s="10" t="inlineStr">
        <is>
          <t>Nhân viên</t>
        </is>
      </c>
      <c r="H8366" s="10" t="inlineStr">
        <is>
          <t>06/03/2026</t>
        </is>
      </c>
      <c r="I8366" s="10" t="inlineStr">
        <is>
          <t>05/04/2026</t>
        </is>
      </c>
      <c r="J8366" s="10" t="inlineStr">
        <is>
          <t>17/03/2026</t>
        </is>
      </c>
      <c r="K8366" s="10" t="inlineStr">
        <is>
          <t>N/A</t>
        </is>
      </c>
      <c r="L8366" s="10" t="inlineStr">
        <is>
          <t>General Accounting, General Accounting Principals, Kế Toán, Phần mềm kế toán, Soạn Báo Cáo</t>
        </is>
      </c>
      <c r="M8366" s="10" t="inlineStr">
        <is>
          <t>Bonus, Healthcare Plan, Travel Opportunities, Others</t>
        </is>
      </c>
      <c r="N8366" s="11">
        <f>HYPERLINK("https://www.vietnamworks.com/ke-toan-tong-hop-luong-upto-18-trieu--2019856-jv","Xem chi tiết")</f>
        <v/>
      </c>
      <c r="O8366" s="10" t="n"/>
    </row>
    <row r="8367">
      <c r="B8367" s="7" t="n">
        <v>8365</v>
      </c>
      <c r="C8367" t="inlineStr">
        <is>
          <t>Assistant Project Management/ Sales Admin Staff</t>
        </is>
      </c>
      <c r="D8367" t="inlineStr">
        <is>
          <t>Công Ty TNHH Laservall VIỆT NAM</t>
        </is>
      </c>
      <c r="E8367" t="inlineStr">
        <is>
          <t>Thương lượng</t>
        </is>
      </c>
      <c r="F8367" t="inlineStr">
        <is>
          <t>Hà Nội</t>
        </is>
      </c>
      <c r="G8367" t="inlineStr">
        <is>
          <t>Mới Tốt Nghiệp</t>
        </is>
      </c>
      <c r="H8367" t="inlineStr">
        <is>
          <t>06/03/2026</t>
        </is>
      </c>
      <c r="I8367" t="inlineStr">
        <is>
          <t>05/04/2026</t>
        </is>
      </c>
      <c r="J8367" t="inlineStr">
        <is>
          <t>17/03/2026</t>
        </is>
      </c>
      <c r="K8367" t="inlineStr">
        <is>
          <t>N/A</t>
        </is>
      </c>
      <c r="L8367" t="inlineStr">
        <is>
          <t>Sales Management, Customer Support, Project Coordination, Translation, Communication Skills</t>
        </is>
      </c>
      <c r="M8367" t="inlineStr">
        <is>
          <t>Others</t>
        </is>
      </c>
      <c r="N8367" s="8">
        <f>HYPERLINK("https://www.vietnamworks.com/assistant-project-management-sales-admin-staff-2019853-jv","Xem chi tiết")</f>
        <v/>
      </c>
    </row>
    <row r="8368">
      <c r="B8368" s="9" t="n">
        <v>8366</v>
      </c>
      <c r="C8368" s="10" t="inlineStr">
        <is>
          <t>Sale Admin Kỹ Thuật (Thiết Bị Y Tế)</t>
        </is>
      </c>
      <c r="D8368" s="10" t="inlineStr">
        <is>
          <t>Công Ty TNHH Thiết Bị Y Tế Thái Sơn( Thaisonmed)</t>
        </is>
      </c>
      <c r="E8368" s="10" t="inlineStr">
        <is>
          <t>$$ 400-800 /tháng</t>
        </is>
      </c>
      <c r="F8368" s="10" t="inlineStr">
        <is>
          <t>Hà Nội, Hồ Chí Minh</t>
        </is>
      </c>
      <c r="G8368" s="10" t="inlineStr">
        <is>
          <t>Nhân viên</t>
        </is>
      </c>
      <c r="H8368" s="10" t="inlineStr">
        <is>
          <t>06/03/2026</t>
        </is>
      </c>
      <c r="I8368" s="10" t="inlineStr">
        <is>
          <t>05/04/2026</t>
        </is>
      </c>
      <c r="J8368" s="10" t="inlineStr">
        <is>
          <t>17/03/2026</t>
        </is>
      </c>
      <c r="K8368" s="10" t="inlineStr">
        <is>
          <t>N/A</t>
        </is>
      </c>
      <c r="L8368" s="10" t="inlineStr">
        <is>
          <t>Sales Admin, Thu Hồi Công Nợ, Phân Tích Số Liệu, Tiếng Anh, Thiết Bị Y Tế</t>
        </is>
      </c>
      <c r="M8368" s="10" t="inlineStr">
        <is>
          <t>Bonus, Healthcare Plan, Travel Opportunities, Others</t>
        </is>
      </c>
      <c r="N8368" s="11">
        <f>HYPERLINK("https://www.vietnamworks.com/sale-admin-ky-thuat-thiet-bi-y-te-2019854-jv","Xem chi tiết")</f>
        <v/>
      </c>
      <c r="O8368" s="10" t="n"/>
    </row>
    <row r="8369">
      <c r="B8369" s="7" t="n">
        <v>8367</v>
      </c>
      <c r="C8369" t="inlineStr">
        <is>
          <t>Kỹ sư IT</t>
        </is>
      </c>
      <c r="D8369" t="inlineStr">
        <is>
          <t>CÔNG TY CỔ PHẦN VIỆT SING</t>
        </is>
      </c>
      <c r="E8369" t="inlineStr">
        <is>
          <t>Thương lượng</t>
        </is>
      </c>
      <c r="F8369" t="inlineStr">
        <is>
          <t>Bình Phước</t>
        </is>
      </c>
      <c r="G8369" t="inlineStr">
        <is>
          <t>Mới Tốt Nghiệp</t>
        </is>
      </c>
      <c r="H8369" t="inlineStr">
        <is>
          <t>06/03/2026</t>
        </is>
      </c>
      <c r="I8369" t="inlineStr">
        <is>
          <t>05/04/2026</t>
        </is>
      </c>
      <c r="J8369" t="inlineStr">
        <is>
          <t>17/03/2026</t>
        </is>
      </c>
      <c r="K8369" t="inlineStr">
        <is>
          <t>N/A</t>
        </is>
      </c>
      <c r="L8369" t="inlineStr">
        <is>
          <t>Backend, Front End, Odoo ERP, PostgreSQL, Python</t>
        </is>
      </c>
      <c r="M8369" t="inlineStr">
        <is>
          <t>Bonus, Healthcare Plan</t>
        </is>
      </c>
      <c r="N8369" s="8">
        <f>HYPERLINK("https://www.vietnamworks.com/ky-su-it-2019857-jv","Xem chi tiết")</f>
        <v/>
      </c>
    </row>
    <row r="8370">
      <c r="B8370" s="9" t="n">
        <v>8368</v>
      </c>
      <c r="C8370" s="10" t="inlineStr">
        <is>
          <t>Lái Xe Giao Hàng - Lương Upto 13 Triệu</t>
        </is>
      </c>
      <c r="D8370" s="10" t="inlineStr">
        <is>
          <t>CÔNG TY CỔ PHẦN AGRIBIOTECH</t>
        </is>
      </c>
      <c r="E8370" s="10" t="inlineStr">
        <is>
          <t>9tr-13tr ₫/tháng</t>
        </is>
      </c>
      <c r="F8370" s="10" t="inlineStr">
        <is>
          <t>Hà Nội</t>
        </is>
      </c>
      <c r="G8370" s="10" t="inlineStr">
        <is>
          <t>Mới Tốt Nghiệp</t>
        </is>
      </c>
      <c r="H8370" s="10" t="inlineStr">
        <is>
          <t>06/03/2026</t>
        </is>
      </c>
      <c r="I8370" s="10" t="inlineStr">
        <is>
          <t>05/04/2026</t>
        </is>
      </c>
      <c r="J8370" s="10" t="inlineStr">
        <is>
          <t>17/03/2026</t>
        </is>
      </c>
      <c r="K8370" s="10" t="inlineStr">
        <is>
          <t>N/A</t>
        </is>
      </c>
      <c r="L8370" s="10" t="inlineStr">
        <is>
          <t>Lái Xe, Lái xe (B2), B2</t>
        </is>
      </c>
      <c r="M8370" s="10" t="inlineStr">
        <is>
          <t>Bonus, Healthcare Plan, Travel Opportunities, Others</t>
        </is>
      </c>
      <c r="N8370" s="11">
        <f>HYPERLINK("https://www.vietnamworks.com/lai-xe-giao-hang-luong-upto-13-trieu-2019850-jv","Xem chi tiết")</f>
        <v/>
      </c>
      <c r="O8370" s="10" t="n"/>
    </row>
    <row r="8371">
      <c r="B8371" s="7" t="n">
        <v>8369</v>
      </c>
      <c r="C8371" t="inlineStr">
        <is>
          <t>Nhân Viên Kinh Doanh Dịch Vụ Viễn Thông</t>
        </is>
      </c>
      <c r="D8371" t="inlineStr">
        <is>
          <t>CÔNG TY TNHH LEWU TECH</t>
        </is>
      </c>
      <c r="E8371" t="inlineStr">
        <is>
          <t>$$ 12tr-18tr /tháng</t>
        </is>
      </c>
      <c r="F8371" t="inlineStr">
        <is>
          <t>Hồ Chí Minh</t>
        </is>
      </c>
      <c r="G8371" t="inlineStr">
        <is>
          <t>Nhân viên</t>
        </is>
      </c>
      <c r="H8371" t="inlineStr">
        <is>
          <t>06/03/2026</t>
        </is>
      </c>
      <c r="I8371" t="inlineStr">
        <is>
          <t>05/04/2026</t>
        </is>
      </c>
      <c r="J8371" t="inlineStr">
        <is>
          <t>17/03/2026</t>
        </is>
      </c>
      <c r="K8371" t="inlineStr">
        <is>
          <t>N/A</t>
        </is>
      </c>
      <c r="L8371" t="inlineStr">
        <is>
          <t>Cloud, Tìm Kiếm Khách Hàng, Xây Dựng Chiến Lược, Viễn Thông, Công Nghệ Thông Tin</t>
        </is>
      </c>
      <c r="M8371" t="inlineStr">
        <is>
          <t>Bonus, Healthcare Plan, Paid Leave, Travel Opportunities, Team Activities, Others</t>
        </is>
      </c>
      <c r="N8371" s="8">
        <f>HYPERLINK("https://www.vietnamworks.com/nhan-vien-kinh-doanh-dich-vu-vien-thong-2019858-jv","Xem chi tiết")</f>
        <v/>
      </c>
    </row>
    <row r="8372">
      <c r="B8372" s="9" t="n">
        <v>8370</v>
      </c>
      <c r="C8372" s="10" t="inlineStr">
        <is>
          <t>Trưởng Nhóm Kế Toán Thuế (Tax Accounting Team Leader)</t>
        </is>
      </c>
      <c r="D8372" s="10" t="inlineStr">
        <is>
          <t>AA Corporation</t>
        </is>
      </c>
      <c r="E8372" s="10" t="inlineStr">
        <is>
          <t>Thương lượng</t>
        </is>
      </c>
      <c r="F8372" s="10" t="inlineStr">
        <is>
          <t>Hồ Chí Minh</t>
        </is>
      </c>
      <c r="G8372" s="10" t="inlineStr">
        <is>
          <t>Trưởng phòng</t>
        </is>
      </c>
      <c r="H8372" s="10" t="inlineStr">
        <is>
          <t>06/03/2026</t>
        </is>
      </c>
      <c r="I8372" s="10" t="inlineStr">
        <is>
          <t>05/04/2026</t>
        </is>
      </c>
      <c r="J8372" s="10" t="inlineStr">
        <is>
          <t>17/03/2026</t>
        </is>
      </c>
      <c r="K8372" s="10" t="inlineStr">
        <is>
          <t>N/A</t>
        </is>
      </c>
      <c r="L8372" s="10" t="inlineStr">
        <is>
          <t>Kế Toán Thuế, Kiểm Soát Rủi Ro, Luật Quản Lý Thuế, Phân Tích Dữ Liệu, Quản Lý Nhóm</t>
        </is>
      </c>
      <c r="M8372" s="10" t="inlineStr">
        <is>
          <t>Healthcare Plan, Training</t>
        </is>
      </c>
      <c r="N8372" s="11">
        <f>HYPERLINK("https://www.vietnamworks.com/truong-nhom-ke-toan-thue-tax-accounting-team-leader-2019861-jv","Xem chi tiết")</f>
        <v/>
      </c>
      <c r="O8372" s="10" t="n"/>
    </row>
    <row r="8373">
      <c r="B8373" s="7" t="n">
        <v>8371</v>
      </c>
      <c r="C8373" t="inlineStr">
        <is>
          <t>Senior Electrical Engineer</t>
        </is>
      </c>
      <c r="D8373" t="inlineStr">
        <is>
          <t>Công Ty TNHH Therm- X System Việt Nam Technology</t>
        </is>
      </c>
      <c r="E8373" t="inlineStr">
        <is>
          <t>Thương lượng</t>
        </is>
      </c>
      <c r="F8373" t="inlineStr">
        <is>
          <t>Bình Dương, Hồ Chí Minh</t>
        </is>
      </c>
      <c r="G8373" t="inlineStr">
        <is>
          <t>Nhân viên</t>
        </is>
      </c>
      <c r="H8373" t="inlineStr">
        <is>
          <t>06/03/2026</t>
        </is>
      </c>
      <c r="I8373" t="inlineStr">
        <is>
          <t>05/04/2026</t>
        </is>
      </c>
      <c r="J8373" t="inlineStr">
        <is>
          <t>17/03/2026</t>
        </is>
      </c>
      <c r="K8373" t="inlineStr">
        <is>
          <t>N/A</t>
        </is>
      </c>
      <c r="L8373" t="inlineStr">
        <is>
          <t>PLCs, Electrical Engineering, 3D Design, Electrical Estimating, Mass Production</t>
        </is>
      </c>
      <c r="M8373" t="inlineStr">
        <is>
          <t>Bonus, Healthcare Plan, Paid Leave</t>
        </is>
      </c>
      <c r="N8373" s="8">
        <f>HYPERLINK("https://www.vietnamworks.com/senior-electrical-engineer--2019849-jv","Xem chi tiết")</f>
        <v/>
      </c>
    </row>
    <row r="8374">
      <c r="B8374" s="9" t="n">
        <v>8372</v>
      </c>
      <c r="C8374" s="10" t="inlineStr">
        <is>
          <t>[Hot] Nhân Viên Lắp Ráp Máy Tự Động (Làm Việc Tại Bắc Ninh, Có Xe Đưa Đón)</t>
        </is>
      </c>
      <c r="D8374" s="10" t="inlineStr">
        <is>
          <t>Công Ty TNHH Cova TEC Việt Nam</t>
        </is>
      </c>
      <c r="E8374" s="10" t="inlineStr">
        <is>
          <t>Thương lượng</t>
        </is>
      </c>
      <c r="F8374" s="10" t="inlineStr">
        <is>
          <t>Bắc Ninh, Hà Nội, Bắc Giang</t>
        </is>
      </c>
      <c r="G8374" s="10" t="inlineStr">
        <is>
          <t>Mới Tốt Nghiệp</t>
        </is>
      </c>
      <c r="H8374" s="10" t="inlineStr">
        <is>
          <t>06/03/2026</t>
        </is>
      </c>
      <c r="I8374" s="10" t="inlineStr">
        <is>
          <t>05/04/2026</t>
        </is>
      </c>
      <c r="J8374" s="10" t="inlineStr">
        <is>
          <t>17/03/2026</t>
        </is>
      </c>
      <c r="K8374" s="10" t="inlineStr">
        <is>
          <t>N/A</t>
        </is>
      </c>
      <c r="L8374" s="10" t="inlineStr">
        <is>
          <t>Hệ Thống Máy Nén, Kĩ Thuật Tự Động Hóa, Làm Dự Án, Lắp Ráp Máy, Tốt Nghiệp Đại Học</t>
        </is>
      </c>
      <c r="M8374" s="10" t="inlineStr">
        <is>
          <t>Healthcare Plan, Paid Leave, Others</t>
        </is>
      </c>
      <c r="N8374" s="11">
        <f>HYPERLINK("https://www.vietnamworks.com/hot-nhan-vien-lap-rap-may-tu-djong-lam-viec-tai-bac-ninh-co-xe-djua-djon-2019845-jv","Xem chi tiết")</f>
        <v/>
      </c>
      <c r="O8374" s="10" t="n"/>
    </row>
    <row r="8375">
      <c r="B8375" s="7" t="n">
        <v>8373</v>
      </c>
      <c r="C8375" t="inlineStr">
        <is>
          <t>Nhân Viên Đứng Máy - Lập Trình Phay CNC (Thu Nhập và Đãi Ngộ Hấp Dẫn)</t>
        </is>
      </c>
      <c r="D8375" t="inlineStr">
        <is>
          <t>Công Ty TNHH Cova TEC Việt Nam</t>
        </is>
      </c>
      <c r="E8375" t="inlineStr">
        <is>
          <t>Thương lượng</t>
        </is>
      </c>
      <c r="F8375" t="inlineStr">
        <is>
          <t>Bắc Ninh</t>
        </is>
      </c>
      <c r="G8375" t="inlineStr">
        <is>
          <t>Mới Tốt Nghiệp</t>
        </is>
      </c>
      <c r="H8375" t="inlineStr">
        <is>
          <t>06/03/2026</t>
        </is>
      </c>
      <c r="I8375" t="inlineStr">
        <is>
          <t>05/04/2026</t>
        </is>
      </c>
      <c r="J8375" t="inlineStr">
        <is>
          <t>17/03/2026</t>
        </is>
      </c>
      <c r="K8375" t="inlineStr">
        <is>
          <t>N/A</t>
        </is>
      </c>
      <c r="L8375" t="inlineStr">
        <is>
          <t>Bảo Trì Máy, Chịu Trách Nhiệm, Gia Công Chính Xác, Thiết Kế CNC, Vận Hành Máy CNC</t>
        </is>
      </c>
      <c r="M8375" t="inlineStr">
        <is>
          <t>Healthcare Plan, Paid Leave, Others</t>
        </is>
      </c>
      <c r="N8375" s="8">
        <f>HYPERLINK("https://www.vietnamworks.com/nhan-vien-djung-may-lap-trinh-phay-cnc-thu-nhap-va-djai-ngo-hap-dan-2019843-jv","Xem chi tiết")</f>
        <v/>
      </c>
    </row>
    <row r="8376">
      <c r="B8376" s="9" t="n">
        <v>8374</v>
      </c>
      <c r="C8376" s="10" t="inlineStr">
        <is>
          <t>Giám Đốc Chi Nhánh HCM (Dược Hapharco)</t>
        </is>
      </c>
      <c r="D8376" s="10" t="inlineStr">
        <is>
          <t>Công Ty Cổ Phần Tập Đoàn BRG</t>
        </is>
      </c>
      <c r="E8376" s="10" t="inlineStr">
        <is>
          <t>Thương lượng</t>
        </is>
      </c>
      <c r="F8376" s="10" t="inlineStr">
        <is>
          <t>Hồ Chí Minh</t>
        </is>
      </c>
      <c r="G8376" s="10" t="inlineStr">
        <is>
          <t>Trưởng phòng</t>
        </is>
      </c>
      <c r="H8376" s="10" t="inlineStr">
        <is>
          <t>06/03/2026</t>
        </is>
      </c>
      <c r="I8376" s="10" t="inlineStr">
        <is>
          <t>05/04/2026</t>
        </is>
      </c>
      <c r="J8376" s="10" t="inlineStr">
        <is>
          <t>17/03/2026</t>
        </is>
      </c>
      <c r="K8376" s="10" t="inlineStr">
        <is>
          <t>N/A</t>
        </is>
      </c>
      <c r="L8376" s="10" t="inlineStr">
        <is>
          <t>Phân Phối Dược Phẩm, Quản Lý Điều Hành, Logictics</t>
        </is>
      </c>
      <c r="M8376" s="10" t="inlineStr">
        <is>
          <t>Bonus, Healthcare Plan, Travel Opportunities</t>
        </is>
      </c>
      <c r="N8376" s="11">
        <f>HYPERLINK("https://www.vietnamworks.com/giam-doc-chi-nhanh-hcm-duoc-hapharco-2019867-jv","Xem chi tiết")</f>
        <v/>
      </c>
      <c r="O8376" s="10" t="n"/>
    </row>
    <row r="8377">
      <c r="B8377" s="7" t="n">
        <v>8375</v>
      </c>
      <c r="C8377" t="inlineStr">
        <is>
          <t>Trưởng Phòng Marketing</t>
        </is>
      </c>
      <c r="D8377" t="inlineStr">
        <is>
          <t>Công Ty Cổ Phần Cơm Niêu Thiên Lý</t>
        </is>
      </c>
      <c r="E8377" t="inlineStr">
        <is>
          <t>50tr-60tr ₫/tháng</t>
        </is>
      </c>
      <c r="F8377" t="inlineStr">
        <is>
          <t>Hồ Chí Minh</t>
        </is>
      </c>
      <c r="G8377" t="inlineStr">
        <is>
          <t>Trưởng phòng</t>
        </is>
      </c>
      <c r="H8377" t="inlineStr">
        <is>
          <t>06/03/2026</t>
        </is>
      </c>
      <c r="I8377" t="inlineStr">
        <is>
          <t>05/04/2026</t>
        </is>
      </c>
      <c r="J8377" t="inlineStr">
        <is>
          <t>17/03/2026</t>
        </is>
      </c>
      <c r="K8377" t="inlineStr">
        <is>
          <t>N/A</t>
        </is>
      </c>
      <c r="L8377" t="inlineStr">
        <is>
          <t>Phân Tích Thị Trường, Quản Lý Thương Hiệu, Quản Trị Đội Ngũ, Tư Duy, Tư Vấn Chiến Lược Marketing</t>
        </is>
      </c>
      <c r="M8377" t="inlineStr">
        <is>
          <t>Bonus, Healthcare Plan, Training, Travel Opportunities, Others</t>
        </is>
      </c>
      <c r="N8377" s="8">
        <f>HYPERLINK("https://www.vietnamworks.com/truong-phong-marketing-2019847-jv","Xem chi tiết")</f>
        <v/>
      </c>
    </row>
    <row r="8378">
      <c r="B8378" s="9" t="n">
        <v>8376</v>
      </c>
      <c r="C8378" s="10" t="inlineStr">
        <is>
          <t>Senior Vendor Management Specialist</t>
        </is>
      </c>
      <c r="D8378" s="10" t="inlineStr">
        <is>
          <t>Esoft Vietnam</t>
        </is>
      </c>
      <c r="E8378" s="10" t="inlineStr">
        <is>
          <t>Thương lượng</t>
        </is>
      </c>
      <c r="F8378" s="10" t="inlineStr">
        <is>
          <t>Hà Nội</t>
        </is>
      </c>
      <c r="G8378" s="10" t="inlineStr">
        <is>
          <t>Nhân viên</t>
        </is>
      </c>
      <c r="H8378" s="10" t="inlineStr">
        <is>
          <t>06/03/2026</t>
        </is>
      </c>
      <c r="I8378" s="10" t="inlineStr">
        <is>
          <t>05/04/2026</t>
        </is>
      </c>
      <c r="J8378" s="10" t="inlineStr">
        <is>
          <t>17/03/2026</t>
        </is>
      </c>
      <c r="K8378" s="10" t="inlineStr">
        <is>
          <t>N/A</t>
        </is>
      </c>
      <c r="L8378" s="10" t="inlineStr">
        <is>
          <t>Workforce Management, Outsourcing Management, Communication Skills, Human resource, Operations Processes</t>
        </is>
      </c>
      <c r="M8378" s="10" t="inlineStr">
        <is>
          <t>Bonus, Healthcare Plan, Paid Leave</t>
        </is>
      </c>
      <c r="N8378" s="11">
        <f>HYPERLINK("https://www.vietnamworks.com/senior-vendor-management-specialist-2019844-jv","Xem chi tiết")</f>
        <v/>
      </c>
      <c r="O8378" s="10" t="n"/>
    </row>
    <row r="8379">
      <c r="B8379" s="7" t="n">
        <v>8377</v>
      </c>
      <c r="C8379" t="inlineStr">
        <is>
          <t>Lập Trình Viên</t>
        </is>
      </c>
      <c r="D8379" t="inlineStr">
        <is>
          <t>Công Ty Cổ Phần Tin Học Viễn Thông Petrolimex (PIACOM)</t>
        </is>
      </c>
      <c r="E8379" t="inlineStr">
        <is>
          <t>Thương lượng</t>
        </is>
      </c>
      <c r="F8379" t="inlineStr">
        <is>
          <t>Hà Nội</t>
        </is>
      </c>
      <c r="G8379" t="inlineStr">
        <is>
          <t>Nhân viên</t>
        </is>
      </c>
      <c r="H8379" t="inlineStr">
        <is>
          <t>06/03/2026</t>
        </is>
      </c>
      <c r="I8379" t="inlineStr">
        <is>
          <t>05/04/2026</t>
        </is>
      </c>
      <c r="J8379" t="inlineStr">
        <is>
          <t>17/03/2026</t>
        </is>
      </c>
      <c r="K8379" t="inlineStr">
        <is>
          <t>N/A</t>
        </is>
      </c>
      <c r="L8379" t="inlineStr">
        <is>
          <t>Java, API, JavaScript, Back end, C#</t>
        </is>
      </c>
      <c r="M8379" t="inlineStr">
        <is>
          <t>Paid Leave, Others</t>
        </is>
      </c>
      <c r="N8379" s="8">
        <f>HYPERLINK("https://www.vietnamworks.com/lap-trinh-vien--2019866-jv","Xem chi tiết")</f>
        <v/>
      </c>
    </row>
    <row r="8380">
      <c r="B8380" s="9" t="n">
        <v>8378</v>
      </c>
      <c r="C8380" s="10" t="inlineStr">
        <is>
          <t>Kế Toán Bán Hàng - Lương Upto 14 Triệu</t>
        </is>
      </c>
      <c r="D8380" s="10" t="inlineStr">
        <is>
          <t>CÔNG TY CỔ PHẦN AGRIBIOTECH</t>
        </is>
      </c>
      <c r="E8380" s="10" t="inlineStr">
        <is>
          <t>8tr-14tr ₫/tháng</t>
        </is>
      </c>
      <c r="F8380" s="10" t="inlineStr">
        <is>
          <t>Hà Nội</t>
        </is>
      </c>
      <c r="G8380" s="10" t="inlineStr">
        <is>
          <t>Nhân viên</t>
        </is>
      </c>
      <c r="H8380" s="10" t="inlineStr">
        <is>
          <t>06/03/2026</t>
        </is>
      </c>
      <c r="I8380" s="10" t="inlineStr">
        <is>
          <t>05/04/2026</t>
        </is>
      </c>
      <c r="J8380" s="10" t="inlineStr">
        <is>
          <t>17/03/2026</t>
        </is>
      </c>
      <c r="K8380" s="10" t="inlineStr">
        <is>
          <t>N/A</t>
        </is>
      </c>
      <c r="L8380" s="10" t="inlineStr">
        <is>
          <t>Account Payable, Accounts Payable, Control Payable, Payable Accounting</t>
        </is>
      </c>
      <c r="M8380" s="10" t="inlineStr">
        <is>
          <t>Bonus, Healthcare Plan, Travel Opportunities, Others</t>
        </is>
      </c>
      <c r="N8380" s="11">
        <f>HYPERLINK("https://www.vietnamworks.com/ke-toan-ban-hang-luong-upto-14-trieu-2019862-jv","Xem chi tiết")</f>
        <v/>
      </c>
      <c r="O8380" s="10" t="n"/>
    </row>
    <row r="8381">
      <c r="B8381" s="7" t="n">
        <v>8379</v>
      </c>
      <c r="C8381" t="inlineStr">
        <is>
          <t>GA &amp; Admin Executive</t>
        </is>
      </c>
      <c r="D8381" t="inlineStr">
        <is>
          <t>MIZUNO APAC (VIETNAM) COMPANY LIMITED</t>
        </is>
      </c>
      <c r="E8381" t="inlineStr">
        <is>
          <t>Thương lượng</t>
        </is>
      </c>
      <c r="F8381" t="inlineStr">
        <is>
          <t>Hồ Chí Minh</t>
        </is>
      </c>
      <c r="G8381" t="inlineStr">
        <is>
          <t>Nhân viên</t>
        </is>
      </c>
      <c r="H8381" t="inlineStr">
        <is>
          <t>06/03/2026</t>
        </is>
      </c>
      <c r="I8381" t="inlineStr">
        <is>
          <t>05/04/2026</t>
        </is>
      </c>
      <c r="J8381" t="inlineStr">
        <is>
          <t>17/03/2026</t>
        </is>
      </c>
      <c r="K8381" t="inlineStr">
        <is>
          <t>N/A</t>
        </is>
      </c>
      <c r="L8381" t="inlineStr">
        <is>
          <t>Admin, Business Administration, General Affair, Human Resources, Office Administration</t>
        </is>
      </c>
      <c r="M8381" t="inlineStr">
        <is>
          <t>Bonus</t>
        </is>
      </c>
      <c r="N8381" s="8">
        <f>HYPERLINK("https://www.vietnamworks.com/ga-and-admin-executive-2019863-jv","Xem chi tiết")</f>
        <v/>
      </c>
    </row>
    <row r="8382">
      <c r="B8382" s="9" t="n">
        <v>8380</v>
      </c>
      <c r="C8382" s="10" t="inlineStr">
        <is>
          <t>Business Development Assistant / Associate (B2B/high-End B2C)</t>
        </is>
      </c>
      <c r="D8382" s="10" t="inlineStr">
        <is>
          <t>Gema Architecture &amp; Interior Design</t>
        </is>
      </c>
      <c r="E8382" s="10" t="inlineStr">
        <is>
          <t>Thương lượng</t>
        </is>
      </c>
      <c r="F8382" s="10" t="inlineStr">
        <is>
          <t>Hồ Chí Minh</t>
        </is>
      </c>
      <c r="G8382" s="10" t="inlineStr">
        <is>
          <t>Trưởng phòng</t>
        </is>
      </c>
      <c r="H8382" s="10" t="inlineStr">
        <is>
          <t>06/03/2026</t>
        </is>
      </c>
      <c r="I8382" s="10" t="inlineStr">
        <is>
          <t>05/04/2026</t>
        </is>
      </c>
      <c r="J8382" s="10" t="inlineStr">
        <is>
          <t>17/03/2026</t>
        </is>
      </c>
      <c r="K8382" s="10" t="inlineStr">
        <is>
          <t>N/A</t>
        </is>
      </c>
      <c r="L8382" s="10" t="inlineStr">
        <is>
          <t>Relationship Building, Critical Thinking, Data Management, English, Market Research</t>
        </is>
      </c>
      <c r="M8382" s="10" t="inlineStr">
        <is>
          <t>Bonus, Training, Awards</t>
        </is>
      </c>
      <c r="N8382" s="11">
        <f>HYPERLINK("https://www.vietnamworks.com/business-development-assistant-associate-b2b-high-end-b2c-2019864-jv","Xem chi tiết")</f>
        <v/>
      </c>
      <c r="O8382" s="10" t="n"/>
    </row>
    <row r="8383">
      <c r="B8383" s="7" t="n">
        <v>8381</v>
      </c>
      <c r="C8383" t="inlineStr">
        <is>
          <t>Kỹ Sư Giải Pháp Lập Trình</t>
        </is>
      </c>
      <c r="D8383" t="inlineStr">
        <is>
          <t>Công Ty Cổ Phần Tin Học Viễn Thông Petrolimex (PIACOM)</t>
        </is>
      </c>
      <c r="E8383" t="inlineStr">
        <is>
          <t>Thương lượng</t>
        </is>
      </c>
      <c r="F8383" t="inlineStr">
        <is>
          <t>Hà Nội</t>
        </is>
      </c>
      <c r="G8383" t="inlineStr">
        <is>
          <t>Nhân viên</t>
        </is>
      </c>
      <c r="H8383" t="inlineStr">
        <is>
          <t>06/03/2026</t>
        </is>
      </c>
      <c r="I8383" t="inlineStr">
        <is>
          <t>05/04/2026</t>
        </is>
      </c>
      <c r="J8383" t="inlineStr">
        <is>
          <t>17/03/2026</t>
        </is>
      </c>
      <c r="K8383" t="inlineStr">
        <is>
          <t>N/A</t>
        </is>
      </c>
      <c r="L8383" t="inlineStr">
        <is>
          <t>RESTful API, .Net, Backend, Python, Database</t>
        </is>
      </c>
      <c r="M8383" t="inlineStr">
        <is>
          <t>Paid Leave, Others</t>
        </is>
      </c>
      <c r="N8383" s="8">
        <f>HYPERLINK("https://www.vietnamworks.com/ky-su-giai-phap-lap-trinh-2019869-jv","Xem chi tiết")</f>
        <v/>
      </c>
    </row>
    <row r="8384">
      <c r="B8384" s="9" t="n">
        <v>8382</v>
      </c>
      <c r="C8384" s="10" t="inlineStr">
        <is>
          <t>Ceramics Production Manager - Mekong Delta</t>
        </is>
      </c>
      <c r="D8384" s="10" t="inlineStr">
        <is>
          <t>Michael Page Vietnam</t>
        </is>
      </c>
      <c r="E8384" s="10" t="inlineStr">
        <is>
          <t>$$ 2,000-3,000 /tháng</t>
        </is>
      </c>
      <c r="F8384" s="10" t="inlineStr">
        <is>
          <t>Hồ Chí Minh</t>
        </is>
      </c>
      <c r="G8384" s="10" t="inlineStr">
        <is>
          <t>Nhân viên</t>
        </is>
      </c>
      <c r="H8384" s="10" t="inlineStr">
        <is>
          <t>06/03/2026</t>
        </is>
      </c>
      <c r="I8384" s="10" t="inlineStr">
        <is>
          <t>05/04/2026</t>
        </is>
      </c>
      <c r="J8384" s="10" t="inlineStr">
        <is>
          <t>17/03/2026</t>
        </is>
      </c>
      <c r="K8384" s="10" t="inlineStr">
        <is>
          <t>N/A</t>
        </is>
      </c>
      <c r="L8384" s="10" t="inlineStr">
        <is>
          <t>Production, Ceramic Sales, Silicate Engineering, Manufacturing, Chemical</t>
        </is>
      </c>
      <c r="M8384" s="10" t="inlineStr">
        <is>
          <t>Bonus, Healthcare Plan, Others</t>
        </is>
      </c>
      <c r="N8384" s="11">
        <f>HYPERLINK("https://www.vietnamworks.com/ceramics-production-manager-mekong-delta-2019874-jv","Xem chi tiết")</f>
        <v/>
      </c>
      <c r="O8384" s="10" t="n"/>
    </row>
    <row r="8385">
      <c r="B8385" s="7" t="n">
        <v>8383</v>
      </c>
      <c r="C8385" t="inlineStr">
        <is>
          <t>C&amp;B Assistant (Fresher)</t>
        </is>
      </c>
      <c r="D8385" t="inlineStr">
        <is>
          <t>KPMG Việt Nam</t>
        </is>
      </c>
      <c r="E8385" t="inlineStr">
        <is>
          <t>Thương lượng</t>
        </is>
      </c>
      <c r="F8385" t="inlineStr">
        <is>
          <t>Hà Nội</t>
        </is>
      </c>
      <c r="G8385" t="inlineStr">
        <is>
          <t>Mới Tốt Nghiệp</t>
        </is>
      </c>
      <c r="H8385" t="inlineStr">
        <is>
          <t>06/03/2026</t>
        </is>
      </c>
      <c r="I8385" t="inlineStr">
        <is>
          <t>05/04/2026</t>
        </is>
      </c>
      <c r="J8385" t="inlineStr">
        <is>
          <t>17/03/2026</t>
        </is>
      </c>
      <c r="K8385" t="inlineStr">
        <is>
          <t>N/A</t>
        </is>
      </c>
      <c r="L8385" t="inlineStr">
        <is>
          <t>Economics, English Language Proficiency, Human Resources, Interpersonal Skills, Vietnamese fluency</t>
        </is>
      </c>
      <c r="M8385" t="inlineStr">
        <is>
          <t>Bonus, Healthcare Plan, Paid Leave</t>
        </is>
      </c>
      <c r="N8385" s="8">
        <f>HYPERLINK("https://www.vietnamworks.com/candb-assistant-fresher-2019872-jv","Xem chi tiết")</f>
        <v/>
      </c>
    </row>
    <row r="8386">
      <c r="B8386" s="9" t="n">
        <v>8384</v>
      </c>
      <c r="C8386" s="10" t="inlineStr">
        <is>
          <t>Sales Tour Inbound (Tiếng Anh / Tây Ban Nha / Ý / Bồ Đào Nha) – Thu Nhập Upto 30Tr</t>
        </is>
      </c>
      <c r="D8386" s="10" t="inlineStr">
        <is>
          <t>Công Ty TNHH Du Lịch Uy Tín Việt – Viet Prestige Travel Company Limited</t>
        </is>
      </c>
      <c r="E8386" s="10" t="inlineStr">
        <is>
          <t>15tr-30tr ₫/tháng</t>
        </is>
      </c>
      <c r="F8386" s="10" t="inlineStr">
        <is>
          <t>Hà Nội</t>
        </is>
      </c>
      <c r="G8386" s="10" t="inlineStr">
        <is>
          <t>Nhân viên</t>
        </is>
      </c>
      <c r="H8386" s="10" t="inlineStr">
        <is>
          <t>06/03/2026</t>
        </is>
      </c>
      <c r="I8386" s="10" t="inlineStr">
        <is>
          <t>05/04/2026</t>
        </is>
      </c>
      <c r="J8386" s="10" t="inlineStr">
        <is>
          <t>17/03/2026</t>
        </is>
      </c>
      <c r="K8386" s="10" t="inlineStr">
        <is>
          <t>N/A</t>
        </is>
      </c>
      <c r="L8386" s="10" t="inlineStr">
        <is>
          <t>Inbound Sales, Customer Service, Tour Program, Du Lịch Lữ Hành, Tour Planning</t>
        </is>
      </c>
      <c r="M8386" s="10" t="inlineStr">
        <is>
          <t>Bonus, Healthcare Plan, Training, Others</t>
        </is>
      </c>
      <c r="N8386" s="11">
        <f>HYPERLINK("https://www.vietnamworks.com/sales-tour-inbound-tieng-anh-tay-ban-nha-y-bo-djao-nha-thu-nhap-upto-30tr-2019880-jv","Xem chi tiết")</f>
        <v/>
      </c>
      <c r="O8386" s="10" t="n"/>
    </row>
    <row r="8387">
      <c r="B8387" s="7" t="n">
        <v>8385</v>
      </c>
      <c r="C8387" t="inlineStr">
        <is>
          <t>Nhân Viên Kinh Doanh Kỹ Thuật (Lương Cứng Upto 20 Triệu + % Hoa Hồng Cao)</t>
        </is>
      </c>
      <c r="D8387" t="inlineStr">
        <is>
          <t>Công Ty TNHH Công Nghệ Thông Minh Icomteck</t>
        </is>
      </c>
      <c r="E8387" t="inlineStr">
        <is>
          <t>Thương lượng</t>
        </is>
      </c>
      <c r="F8387" t="inlineStr">
        <is>
          <t>Hà Nội</t>
        </is>
      </c>
      <c r="G8387" t="inlineStr">
        <is>
          <t>Nhân viên</t>
        </is>
      </c>
      <c r="H8387" t="inlineStr">
        <is>
          <t>06/03/2026</t>
        </is>
      </c>
      <c r="I8387" t="inlineStr">
        <is>
          <t>05/04/2026</t>
        </is>
      </c>
      <c r="J8387" t="inlineStr">
        <is>
          <t>17/03/2026</t>
        </is>
      </c>
      <c r="K8387" t="inlineStr">
        <is>
          <t>N/A</t>
        </is>
      </c>
      <c r="L8387" t="inlineStr">
        <is>
          <t>Bán Hàng Kỹ Thuật, Tư Vấn Sản Phẩm, Bán Hàng, sales engineer, Presales Technical</t>
        </is>
      </c>
      <c r="M8387" t="inlineStr">
        <is>
          <t>Bonus, Healthcare Plan, Others</t>
        </is>
      </c>
      <c r="N8387" s="8">
        <f>HYPERLINK("https://www.vietnamworks.com/nhan-vien-kinh-doanh-ky-thuat-luong-cung-upto-20-trieu-hoa-hong-cao-2019873-jv","Xem chi tiết")</f>
        <v/>
      </c>
    </row>
    <row r="8388">
      <c r="B8388" s="9" t="n">
        <v>8386</v>
      </c>
      <c r="C8388" s="10" t="inlineStr">
        <is>
          <t>Senior Project Development Specialist</t>
        </is>
      </c>
      <c r="D8388" s="10" t="inlineStr">
        <is>
          <t>Elite Fitness</t>
        </is>
      </c>
      <c r="E8388" s="10" t="inlineStr">
        <is>
          <t>Thương lượng</t>
        </is>
      </c>
      <c r="F8388" s="10" t="inlineStr">
        <is>
          <t>Hà Nội</t>
        </is>
      </c>
      <c r="G8388" s="10" t="inlineStr">
        <is>
          <t>Nhân viên</t>
        </is>
      </c>
      <c r="H8388" s="10" t="inlineStr">
        <is>
          <t>06/03/2026</t>
        </is>
      </c>
      <c r="I8388" s="10" t="inlineStr">
        <is>
          <t>05/04/2026</t>
        </is>
      </c>
      <c r="J8388" s="10" t="inlineStr">
        <is>
          <t>17/03/2026</t>
        </is>
      </c>
      <c r="K8388" s="10" t="inlineStr">
        <is>
          <t>N/A</t>
        </is>
      </c>
      <c r="L8388" s="10" t="inlineStr">
        <is>
          <t>Market Research, Contract Negotiation, Project Management, Financial Analysis, Negotiation Skills</t>
        </is>
      </c>
      <c r="M8388" s="10" t="inlineStr">
        <is>
          <t>Bonus, Healthcare Plan, Paid Leave</t>
        </is>
      </c>
      <c r="N8388" s="11">
        <f>HYPERLINK("https://www.vietnamworks.com/senior-project-development-specialist-2019875-jv","Xem chi tiết")</f>
        <v/>
      </c>
      <c r="O8388" s="10" t="n"/>
    </row>
    <row r="8389">
      <c r="B8389" s="7" t="n">
        <v>8387</v>
      </c>
      <c r="C8389" t="inlineStr">
        <is>
          <t>Pattern Maker Position</t>
        </is>
      </c>
      <c r="D8389" t="inlineStr">
        <is>
          <t>French People Vietnam</t>
        </is>
      </c>
      <c r="E8389" t="inlineStr">
        <is>
          <t>Thương lượng</t>
        </is>
      </c>
      <c r="F8389" t="inlineStr">
        <is>
          <t>Hồ Chí Minh</t>
        </is>
      </c>
      <c r="G8389" t="inlineStr">
        <is>
          <t>Nhân viên</t>
        </is>
      </c>
      <c r="H8389" t="inlineStr">
        <is>
          <t>06/03/2026</t>
        </is>
      </c>
      <c r="I8389" t="inlineStr">
        <is>
          <t>05/04/2026</t>
        </is>
      </c>
      <c r="J8389" t="inlineStr">
        <is>
          <t>17/03/2026</t>
        </is>
      </c>
      <c r="K8389" t="inlineStr">
        <is>
          <t>N/A</t>
        </is>
      </c>
      <c r="L8389" t="inlineStr">
        <is>
          <t>Pattern Making, Pattern Grading, Garment Construction, Garment Sewing, Industrial Engineering</t>
        </is>
      </c>
      <c r="M8389" t="inlineStr">
        <is>
          <t>Bonus, Healthcare Plan, Travel Opportunities</t>
        </is>
      </c>
      <c r="N8389" s="8">
        <f>HYPERLINK("https://www.vietnamworks.com/pattern-maker-position-2019870-jv","Xem chi tiết")</f>
        <v/>
      </c>
    </row>
    <row r="8390">
      <c r="B8390" s="9" t="n">
        <v>8388</v>
      </c>
      <c r="C8390" s="10" t="inlineStr">
        <is>
          <t>Quản Đốc Phân Xưởng</t>
        </is>
      </c>
      <c r="D8390" s="10" t="inlineStr">
        <is>
          <t>Công ty TNHH Keo Vữa Sông Hồng</t>
        </is>
      </c>
      <c r="E8390" s="10" t="inlineStr">
        <is>
          <t>Thương lượng</t>
        </is>
      </c>
      <c r="F8390" s="10" t="inlineStr">
        <is>
          <t>Hưng Yên, Hà Nội</t>
        </is>
      </c>
      <c r="G8390" s="10" t="inlineStr">
        <is>
          <t>Trưởng phòng</t>
        </is>
      </c>
      <c r="H8390" s="10" t="inlineStr">
        <is>
          <t>06/03/2026</t>
        </is>
      </c>
      <c r="I8390" s="10" t="inlineStr">
        <is>
          <t>05/04/2026</t>
        </is>
      </c>
      <c r="J8390" s="10" t="inlineStr">
        <is>
          <t>17/03/2026</t>
        </is>
      </c>
      <c r="K8390" s="10" t="inlineStr">
        <is>
          <t>N/A</t>
        </is>
      </c>
      <c r="L8390" s="10" t="inlineStr">
        <is>
          <t>Giám Sát Vận Hành, Lãnh Đạo, Lập Kế Hoạch Sản Xuất, Production Management, Quản Lý Sản Xuất</t>
        </is>
      </c>
      <c r="M8390" s="10" t="inlineStr">
        <is>
          <t>Bonus, Healthcare Plan, Paid Leave, Training, Others</t>
        </is>
      </c>
      <c r="N8390" s="11">
        <f>HYPERLINK("https://www.vietnamworks.com/quan-djoc-phan-xuong-2019877-jv","Xem chi tiết")</f>
        <v/>
      </c>
      <c r="O8390" s="10" t="n"/>
    </row>
    <row r="8391">
      <c r="B8391" s="7" t="n">
        <v>8389</v>
      </c>
      <c r="C8391" t="inlineStr">
        <is>
          <t>Giám Đốc Phòng Quản Lý Thiết Kế</t>
        </is>
      </c>
      <c r="D8391" t="inlineStr">
        <is>
          <t>Novaland</t>
        </is>
      </c>
      <c r="E8391" t="inlineStr">
        <is>
          <t>Thương lượng</t>
        </is>
      </c>
      <c r="F8391" t="inlineStr">
        <is>
          <t>Hồ Chí Minh</t>
        </is>
      </c>
      <c r="G8391" t="inlineStr">
        <is>
          <t>Giám Đốc và Cấp Cao Hơn</t>
        </is>
      </c>
      <c r="H8391" t="inlineStr">
        <is>
          <t>06/03/2026</t>
        </is>
      </c>
      <c r="I8391" t="inlineStr">
        <is>
          <t>05/04/2026</t>
        </is>
      </c>
      <c r="J8391" t="inlineStr">
        <is>
          <t>17/03/2026</t>
        </is>
      </c>
      <c r="K8391" t="inlineStr">
        <is>
          <t>N/A</t>
        </is>
      </c>
      <c r="L8391" t="inlineStr">
        <is>
          <t>Hospitality, Hospital Management, Thiết Kế Xây Dựng, Quy Hoạch Đô Thị</t>
        </is>
      </c>
      <c r="M8391" t="inlineStr">
        <is>
          <t>Bonus, Healthcare Plan, Awards</t>
        </is>
      </c>
      <c r="N8391" s="8">
        <f>HYPERLINK("https://www.vietnamworks.com/giam-doc-phong-quan-ly-thiet-ke--2019882-jv","Xem chi tiết")</f>
        <v/>
      </c>
    </row>
    <row r="8392">
      <c r="B8392" s="9" t="n">
        <v>8390</v>
      </c>
      <c r="C8392" s="10" t="inlineStr">
        <is>
          <t>Kỹ Sư Thiết Bị Y Tế</t>
        </is>
      </c>
      <c r="D8392" s="10" t="inlineStr">
        <is>
          <t>Công Ty TNHH Thiết Bị Y Tế Thái Sơn( Thaisonmed)</t>
        </is>
      </c>
      <c r="E8392" s="10" t="inlineStr">
        <is>
          <t>Thương lượng</t>
        </is>
      </c>
      <c r="F8392" s="10" t="inlineStr">
        <is>
          <t>Hà Nội, Hồ Chí Minh</t>
        </is>
      </c>
      <c r="G8392" s="10" t="inlineStr">
        <is>
          <t>Nhân viên</t>
        </is>
      </c>
      <c r="H8392" s="10" t="inlineStr">
        <is>
          <t>06/03/2026</t>
        </is>
      </c>
      <c r="I8392" s="10" t="inlineStr">
        <is>
          <t>05/04/2026</t>
        </is>
      </c>
      <c r="J8392" s="10" t="inlineStr">
        <is>
          <t>17/03/2026</t>
        </is>
      </c>
      <c r="K8392" s="10" t="inlineStr">
        <is>
          <t>N/A</t>
        </is>
      </c>
      <c r="L8392" s="10" t="inlineStr">
        <is>
          <t>Kỹ Thuật Điện, Kỹ Thuật Điện Tử, Thiết Bị Y Tế, Điện Tử Y Sinh, Sửa Chữa Thiết Bị</t>
        </is>
      </c>
      <c r="M8392" s="10" t="inlineStr">
        <is>
          <t>Bonus, Healthcare Plan, Paid Leave, Training, Travel Opportunities, Others</t>
        </is>
      </c>
      <c r="N8392" s="11">
        <f>HYPERLINK("https://www.vietnamworks.com/ky-su-thiet-bi-y-te-2019871-jv","Xem chi tiết")</f>
        <v/>
      </c>
      <c r="O8392" s="10" t="n"/>
    </row>
    <row r="8393">
      <c r="B8393" s="7" t="n">
        <v>8391</v>
      </c>
      <c r="C8393" t="inlineStr">
        <is>
          <t>Trưởng Phòng Tài Chính – Kế Toán</t>
        </is>
      </c>
      <c r="D8393" t="inlineStr">
        <is>
          <t>Công Ty TNHH MTV Cảng Tổng Hợp Quốc Tế Nghi Sơn</t>
        </is>
      </c>
      <c r="E8393" t="inlineStr">
        <is>
          <t>Thương lượng</t>
        </is>
      </c>
      <c r="F8393" t="inlineStr">
        <is>
          <t>Thanh Hóa</t>
        </is>
      </c>
      <c r="G8393" t="inlineStr">
        <is>
          <t>Trưởng phòng</t>
        </is>
      </c>
      <c r="H8393" t="inlineStr">
        <is>
          <t>06/03/2026</t>
        </is>
      </c>
      <c r="I8393" t="inlineStr">
        <is>
          <t>05/04/2026</t>
        </is>
      </c>
      <c r="J8393" t="inlineStr">
        <is>
          <t>17/03/2026</t>
        </is>
      </c>
      <c r="K8393" t="inlineStr">
        <is>
          <t>N/A</t>
        </is>
      </c>
      <c r="L8393" t="inlineStr">
        <is>
          <t>Tài Chính Kế Toán, Tài Chính, Kiểm Toán, Kế Toán Tổng Hợp, Kế Toán</t>
        </is>
      </c>
      <c r="M8393" t="inlineStr">
        <is>
          <t>Healthcare Plan, Team Activities, Others</t>
        </is>
      </c>
      <c r="N8393" s="8">
        <f>HYPERLINK("https://www.vietnamworks.com/truong-phong-tai-chinh-ke-toan--2019876-jv","Xem chi tiết")</f>
        <v/>
      </c>
    </row>
    <row r="8394">
      <c r="B8394" s="9" t="n">
        <v>8392</v>
      </c>
      <c r="C8394" s="10" t="inlineStr">
        <is>
          <t>Nhân Viên Marketing</t>
        </is>
      </c>
      <c r="D8394" s="10" t="inlineStr">
        <is>
          <t>Công ty TNHH Keo Vữa Sông Hồng</t>
        </is>
      </c>
      <c r="E8394" s="10" t="inlineStr">
        <is>
          <t>Thương lượng</t>
        </is>
      </c>
      <c r="F8394" s="10" t="inlineStr">
        <is>
          <t>Hưng Yên, Hà Nội</t>
        </is>
      </c>
      <c r="G8394" s="10" t="inlineStr">
        <is>
          <t>Mới Tốt Nghiệp</t>
        </is>
      </c>
      <c r="H8394" s="10" t="inlineStr">
        <is>
          <t>06/03/2026</t>
        </is>
      </c>
      <c r="I8394" s="10" t="inlineStr">
        <is>
          <t>05/04/2026</t>
        </is>
      </c>
      <c r="J8394" s="10" t="inlineStr">
        <is>
          <t>17/03/2026</t>
        </is>
      </c>
      <c r="K8394" s="10" t="inlineStr">
        <is>
          <t>N/A</t>
        </is>
      </c>
      <c r="L8394" s="10" t="inlineStr">
        <is>
          <t>Advertising Tools, Facebook, Zalo, Facebook Ads, Marketing</t>
        </is>
      </c>
      <c r="M8394" s="10" t="inlineStr">
        <is>
          <t>Bonus, Healthcare Plan, Paid Leave, Training</t>
        </is>
      </c>
      <c r="N8394" s="11">
        <f>HYPERLINK("https://www.vietnamworks.com/nhan-vien-marketing-2019893-jv","Xem chi tiết")</f>
        <v/>
      </c>
      <c r="O8394" s="10" t="n"/>
    </row>
    <row r="8395">
      <c r="B8395" s="7" t="n">
        <v>8393</v>
      </c>
      <c r="C8395" t="inlineStr">
        <is>
          <t>Giám Đốc Phát Triển Bền Vững (E&amp;S)</t>
        </is>
      </c>
      <c r="D8395" t="inlineStr">
        <is>
          <t>Ngân hàng TMCP Đông Nam Á (SeABank)</t>
        </is>
      </c>
      <c r="E8395" t="inlineStr">
        <is>
          <t>Thương lượng</t>
        </is>
      </c>
      <c r="F8395" t="inlineStr">
        <is>
          <t>Hà Nội</t>
        </is>
      </c>
      <c r="G8395" t="inlineStr">
        <is>
          <t>Giám Đốc và Cấp Cao Hơn</t>
        </is>
      </c>
      <c r="H8395" t="inlineStr">
        <is>
          <t>06/03/2026</t>
        </is>
      </c>
      <c r="I8395" t="inlineStr">
        <is>
          <t>05/04/2026</t>
        </is>
      </c>
      <c r="J8395" t="inlineStr">
        <is>
          <t>17/03/2026</t>
        </is>
      </c>
      <c r="K8395" t="inlineStr">
        <is>
          <t>N/A</t>
        </is>
      </c>
      <c r="L8395" t="inlineStr">
        <is>
          <t>Kỹ năng giao tiếp, Mô Phỏng Phân Tích, Phát Triển Ý Tưởng, Quản Lý Rủi Ro, Cam Kết</t>
        </is>
      </c>
      <c r="M8395" t="inlineStr">
        <is>
          <t>Bonus</t>
        </is>
      </c>
      <c r="N8395" s="8">
        <f>HYPERLINK("https://www.vietnamworks.com/giam-djoc-phat-trien-ben-vung-eands-2019891-jv","Xem chi tiết")</f>
        <v/>
      </c>
    </row>
    <row r="8396">
      <c r="B8396" s="9" t="n">
        <v>8394</v>
      </c>
      <c r="C8396" s="10" t="inlineStr">
        <is>
          <t>Trợ Lý Giám Đốc Phụ Trách Quản Lý Vận Hành (Có Kinh Nghiệm Trưởng Phòng Quản Lý Vận Hành)</t>
        </is>
      </c>
      <c r="D8396" s="10" t="inlineStr">
        <is>
          <t>Công Ty TNHH Quản Lý Và Dịch Vụ Tài Sản Thành Công</t>
        </is>
      </c>
      <c r="E8396" s="10" t="inlineStr">
        <is>
          <t>Thương lượng</t>
        </is>
      </c>
      <c r="F8396" s="10" t="inlineStr">
        <is>
          <t>Hà Nội</t>
        </is>
      </c>
      <c r="G8396" s="10" t="inlineStr">
        <is>
          <t>Nhân viên</t>
        </is>
      </c>
      <c r="H8396" s="10" t="inlineStr">
        <is>
          <t>06/03/2026</t>
        </is>
      </c>
      <c r="I8396" s="10" t="inlineStr">
        <is>
          <t>05/04/2026</t>
        </is>
      </c>
      <c r="J8396" s="10" t="inlineStr">
        <is>
          <t>17/03/2026</t>
        </is>
      </c>
      <c r="K8396" s="10" t="inlineStr">
        <is>
          <t>N/A</t>
        </is>
      </c>
      <c r="L8396" s="10" t="inlineStr">
        <is>
          <t>Quản Lý Vận Hành, Am Hiểu Pháp Luật, Quản Lý Vận Hành Tòa Nhà, Quản Trị Đội Ngũ, Tin Học Văn Phòng</t>
        </is>
      </c>
      <c r="M8396" s="10" t="inlineStr">
        <is>
          <t>Bonus, Healthcare Plan, Paid Leave, Training, Team Activities, Others</t>
        </is>
      </c>
      <c r="N8396" s="11">
        <f>HYPERLINK("https://www.vietnamworks.com/tro-ly-giam-djoc-phu-trach-quan-ly-van-hanh-co-kinh-nghiem-truong-phong-quan-ly-van-hanh-2019886-jv","Xem chi tiết")</f>
        <v/>
      </c>
      <c r="O8396" s="10" t="n"/>
    </row>
    <row r="8397">
      <c r="B8397" s="7" t="n">
        <v>8395</v>
      </c>
      <c r="C8397" t="inlineStr">
        <is>
          <t>Chuyên Viên Cao Cấp Đầu Tư</t>
        </is>
      </c>
      <c r="D8397" t="inlineStr">
        <is>
          <t>Novaland</t>
        </is>
      </c>
      <c r="E8397" t="inlineStr">
        <is>
          <t>$$ 1,800-2,000 /tháng</t>
        </is>
      </c>
      <c r="F8397" t="inlineStr">
        <is>
          <t>Hồ Chí Minh</t>
        </is>
      </c>
      <c r="G8397" t="inlineStr">
        <is>
          <t>Nhân viên</t>
        </is>
      </c>
      <c r="H8397" t="inlineStr">
        <is>
          <t>06/03/2026</t>
        </is>
      </c>
      <c r="I8397" t="inlineStr">
        <is>
          <t>05/04/2026</t>
        </is>
      </c>
      <c r="J8397" t="inlineStr">
        <is>
          <t>17/03/2026</t>
        </is>
      </c>
      <c r="K8397" t="inlineStr">
        <is>
          <t>N/A</t>
        </is>
      </c>
      <c r="L8397" t="inlineStr">
        <is>
          <t>Kinh Nghiệm Bất Động Sản, Phân Tích Tài Chính, Quản Lý Dự Án, Đàm Phán, Đầu Tư</t>
        </is>
      </c>
      <c r="M8397" t="inlineStr">
        <is>
          <t>Bonus, Healthcare Plan, Awards</t>
        </is>
      </c>
      <c r="N8397" s="8">
        <f>HYPERLINK("https://www.vietnamworks.com/chuyen-vien-cao-cap-djau-tu-2019887-jv","Xem chi tiết")</f>
        <v/>
      </c>
    </row>
    <row r="8398">
      <c r="B8398" s="9" t="n">
        <v>8396</v>
      </c>
      <c r="C8398" s="10" t="inlineStr">
        <is>
          <t>Kế Toán Doanh Thu</t>
        </is>
      </c>
      <c r="D8398" s="10" t="inlineStr">
        <is>
          <t>Công Ty Cổ Phần Tập Đoàn Sunshine</t>
        </is>
      </c>
      <c r="E8398" s="10" t="inlineStr">
        <is>
          <t>$$ 600-1,000 /tháng</t>
        </is>
      </c>
      <c r="F8398" s="10" t="inlineStr">
        <is>
          <t>Hà Nội</t>
        </is>
      </c>
      <c r="G8398" s="10" t="inlineStr">
        <is>
          <t>Nhân viên</t>
        </is>
      </c>
      <c r="H8398" s="10" t="inlineStr">
        <is>
          <t>06/03/2026</t>
        </is>
      </c>
      <c r="I8398" s="10" t="inlineStr">
        <is>
          <t>05/04/2026</t>
        </is>
      </c>
      <c r="J8398" s="10" t="inlineStr">
        <is>
          <t>17/03/2026</t>
        </is>
      </c>
      <c r="K8398" s="10" t="inlineStr">
        <is>
          <t>N/A</t>
        </is>
      </c>
      <c r="L8398" s="10" t="inlineStr">
        <is>
          <t>Chứng Từ Bán Hàng, Hạch Toán, Tài Chính Kế Toán, Theo Dõi Công Nợ, Thuế</t>
        </is>
      </c>
      <c r="M8398" s="10" t="inlineStr">
        <is>
          <t>Bonus, Healthcare Plan, Others</t>
        </is>
      </c>
      <c r="N8398" s="11">
        <f>HYPERLINK("https://www.vietnamworks.com/ke-toan-doanh-thu-2019894-jv","Xem chi tiết")</f>
        <v/>
      </c>
      <c r="O8398" s="10" t="n"/>
    </row>
    <row r="8399">
      <c r="B8399" s="7" t="n">
        <v>8397</v>
      </c>
      <c r="C8399" t="inlineStr">
        <is>
          <t>Affiliate KOL/ KOC Booking Specialist</t>
        </is>
      </c>
      <c r="D8399" t="inlineStr">
        <is>
          <t>TORRAS VIETNAM</t>
        </is>
      </c>
      <c r="E8399" t="inlineStr">
        <is>
          <t>12tr-15tr ₫/tháng</t>
        </is>
      </c>
      <c r="F8399" t="inlineStr">
        <is>
          <t>Hồ Chí Minh</t>
        </is>
      </c>
      <c r="G8399" t="inlineStr">
        <is>
          <t>Nhân viên</t>
        </is>
      </c>
      <c r="H8399" t="inlineStr">
        <is>
          <t>06/03/2026</t>
        </is>
      </c>
      <c r="I8399" t="inlineStr">
        <is>
          <t>05/04/2026</t>
        </is>
      </c>
      <c r="J8399" t="inlineStr">
        <is>
          <t>17/03/2026</t>
        </is>
      </c>
      <c r="K8399" t="inlineStr">
        <is>
          <t>N/A</t>
        </is>
      </c>
      <c r="L8399" t="inlineStr">
        <is>
          <t>Analytical Thinking, Chinese proficiency, Communication Skills, Kol/Koc Booking, Negotiation Skills</t>
        </is>
      </c>
      <c r="M8399" t="inlineStr">
        <is>
          <t>Paid Leave, Team Activities, Others</t>
        </is>
      </c>
      <c r="N8399" s="8">
        <f>HYPERLINK("https://www.vietnamworks.com/affiliate-kol-koc-booking-specialist-2019897-jv","Xem chi tiết")</f>
        <v/>
      </c>
    </row>
    <row r="8400">
      <c r="B8400" s="9" t="n">
        <v>8398</v>
      </c>
      <c r="C8400" s="10" t="inlineStr">
        <is>
          <t>Quản Lý Kinh Doanh Khu Vực</t>
        </is>
      </c>
      <c r="D8400" s="10" t="inlineStr">
        <is>
          <t>VMED Group</t>
        </is>
      </c>
      <c r="E8400" s="10" t="inlineStr">
        <is>
          <t>Thương lượng</t>
        </is>
      </c>
      <c r="F8400" s="10" t="inlineStr">
        <is>
          <t>Hồ Chí Minh</t>
        </is>
      </c>
      <c r="G8400" s="10" t="inlineStr">
        <is>
          <t>Trưởng phòng</t>
        </is>
      </c>
      <c r="H8400" s="10" t="inlineStr">
        <is>
          <t>06/03/2026</t>
        </is>
      </c>
      <c r="I8400" s="10" t="inlineStr">
        <is>
          <t>05/04/2026</t>
        </is>
      </c>
      <c r="J8400" s="10" t="inlineStr">
        <is>
          <t>17/03/2026</t>
        </is>
      </c>
      <c r="K8400" s="10" t="inlineStr">
        <is>
          <t>N/A</t>
        </is>
      </c>
      <c r="L8400" s="10" t="inlineStr">
        <is>
          <t>Quản Lý Kinh Doanh, Thiết Bị Y Tế, Quản Lý Đội Ngũ, Kinh Doanh</t>
        </is>
      </c>
      <c r="M8400" s="10" t="inlineStr">
        <is>
          <t>Bonus, Healthcare Plan, Paid Leave</t>
        </is>
      </c>
      <c r="N8400" s="11">
        <f>HYPERLINK("https://www.vietnamworks.com/quan-ly-kinh-doanh-khu-vuc--2019896-jv","Xem chi tiết")</f>
        <v/>
      </c>
      <c r="O8400" s="10" t="n"/>
    </row>
    <row r="8401">
      <c r="B8401" s="7" t="n">
        <v>8399</v>
      </c>
      <c r="C8401" t="inlineStr">
        <is>
          <t>Affiliate KOL/ KOC Booking Leader</t>
        </is>
      </c>
      <c r="D8401" t="inlineStr">
        <is>
          <t>TORRAS VIETNAM</t>
        </is>
      </c>
      <c r="E8401" t="inlineStr">
        <is>
          <t>20tr-40tr ₫/tháng</t>
        </is>
      </c>
      <c r="F8401" t="inlineStr">
        <is>
          <t>Hồ Chí Minh</t>
        </is>
      </c>
      <c r="G8401" t="inlineStr">
        <is>
          <t>Nhân viên</t>
        </is>
      </c>
      <c r="H8401" t="inlineStr">
        <is>
          <t>06/03/2026</t>
        </is>
      </c>
      <c r="I8401" t="inlineStr">
        <is>
          <t>05/04/2026</t>
        </is>
      </c>
      <c r="J8401" t="inlineStr">
        <is>
          <t>17/03/2026</t>
        </is>
      </c>
      <c r="K8401" t="inlineStr">
        <is>
          <t>N/A</t>
        </is>
      </c>
      <c r="L8401" t="inlineStr">
        <is>
          <t>Analytical Thinking, Chinese proficiency, Communication Skills, Kol/Koc Booking, Negotiation Skills</t>
        </is>
      </c>
      <c r="M8401" t="inlineStr">
        <is>
          <t>Paid Leave, Team Activities, Others</t>
        </is>
      </c>
      <c r="N8401" s="8">
        <f>HYPERLINK("https://www.vietnamworks.com/affiliate-kol-koc-booking-leader-2019900-jv","Xem chi tiết")</f>
        <v/>
      </c>
    </row>
    <row r="8402">
      <c r="B8402" s="9" t="n">
        <v>8400</v>
      </c>
      <c r="C8402" s="10" t="inlineStr">
        <is>
          <t>Chuyên Viên Kinh Doanh B2B</t>
        </is>
      </c>
      <c r="D8402" s="10" t="inlineStr">
        <is>
          <t>Công Ty Cổ Phần Cơm Niêu Thiên Lý</t>
        </is>
      </c>
      <c r="E8402" s="10" t="inlineStr">
        <is>
          <t>$$ 500-1,000 /tháng</t>
        </is>
      </c>
      <c r="F8402" s="10" t="inlineStr">
        <is>
          <t>Hồ Chí Minh</t>
        </is>
      </c>
      <c r="G8402" s="10" t="inlineStr">
        <is>
          <t>Nhân viên</t>
        </is>
      </c>
      <c r="H8402" s="10" t="inlineStr">
        <is>
          <t>06/03/2026</t>
        </is>
      </c>
      <c r="I8402" s="10" t="inlineStr">
        <is>
          <t>05/04/2026</t>
        </is>
      </c>
      <c r="J8402" s="10" t="inlineStr">
        <is>
          <t>17/03/2026</t>
        </is>
      </c>
      <c r="K8402" s="10" t="inlineStr">
        <is>
          <t>N/A</t>
        </is>
      </c>
      <c r="L8402" s="10" t="inlineStr">
        <is>
          <t>Tìm Kiếm Khách Hàng, Business Development, Kinh Doanh, B2B Sales, Bán Hàng</t>
        </is>
      </c>
      <c r="M8402" s="10" t="inlineStr">
        <is>
          <t>Bonus, Healthcare Plan, Travel Opportunities</t>
        </is>
      </c>
      <c r="N8402" s="11">
        <f>HYPERLINK("https://www.vietnamworks.com/chuyen-vien-kinh-doanh-b2b--2019883-jv","Xem chi tiết")</f>
        <v/>
      </c>
      <c r="O8402" s="10" t="n"/>
    </row>
    <row r="8403">
      <c r="B8403" s="7" t="n">
        <v>8401</v>
      </c>
      <c r="C8403" t="inlineStr">
        <is>
          <t>Nhân Viên Kỹ Thuật Bảo Trì</t>
        </is>
      </c>
      <c r="D8403" t="inlineStr">
        <is>
          <t>Công ty TNHH Keo Vữa Sông Hồng</t>
        </is>
      </c>
      <c r="E8403" t="inlineStr">
        <is>
          <t>Thương lượng</t>
        </is>
      </c>
      <c r="F8403" t="inlineStr">
        <is>
          <t>Hưng Yên, Hà Nội</t>
        </is>
      </c>
      <c r="G8403" t="inlineStr">
        <is>
          <t>Nhân viên</t>
        </is>
      </c>
      <c r="H8403" t="inlineStr">
        <is>
          <t>06/03/2026</t>
        </is>
      </c>
      <c r="I8403" t="inlineStr">
        <is>
          <t>05/04/2026</t>
        </is>
      </c>
      <c r="J8403" t="inlineStr">
        <is>
          <t>17/03/2026</t>
        </is>
      </c>
      <c r="K8403" t="inlineStr">
        <is>
          <t>N/A</t>
        </is>
      </c>
      <c r="L8403" t="inlineStr">
        <is>
          <t>Bảo Trì Máy, Cơ Khí, Lắp Đặt Thiết Bị, Xử Lý Sự Cố, Điện Tử</t>
        </is>
      </c>
      <c r="M8403" t="inlineStr">
        <is>
          <t>Bonus, Healthcare Plan, Paid Leave, Training, Others</t>
        </is>
      </c>
      <c r="N8403" s="8">
        <f>HYPERLINK("https://www.vietnamworks.com/nhan-vien-ky-thuat-bao-tri-2019884-jv","Xem chi tiết")</f>
        <v/>
      </c>
    </row>
    <row r="8404">
      <c r="B8404" s="9" t="n">
        <v>8402</v>
      </c>
      <c r="C8404" s="10" t="inlineStr">
        <is>
          <t>Chỉ Huy Trưởng Công Trường MEP (Nhà Cao Tầng)</t>
        </is>
      </c>
      <c r="D8404" s="10" t="inlineStr">
        <is>
          <t>CÔNG TY CỔ PHẦN FRECO VIỆT NAM</t>
        </is>
      </c>
      <c r="E8404" s="10" t="inlineStr">
        <is>
          <t>25tr-35tr ₫/tháng</t>
        </is>
      </c>
      <c r="F8404" s="10" t="inlineStr">
        <is>
          <t>Đà Nẵng</t>
        </is>
      </c>
      <c r="G8404" s="10" t="inlineStr">
        <is>
          <t>Trưởng phòng</t>
        </is>
      </c>
      <c r="H8404" s="10" t="inlineStr">
        <is>
          <t>06/03/2026</t>
        </is>
      </c>
      <c r="I8404" s="10" t="inlineStr">
        <is>
          <t>05/04/2026</t>
        </is>
      </c>
      <c r="J8404" s="10" t="inlineStr">
        <is>
          <t>17/03/2026</t>
        </is>
      </c>
      <c r="K8404" s="10" t="inlineStr">
        <is>
          <t>N/A</t>
        </is>
      </c>
      <c r="L8404" s="10" t="inlineStr">
        <is>
          <t>MEP, Thi Công, Giám Sát Thi Công, MEP Engineering, Quản Lý Thi Công</t>
        </is>
      </c>
      <c r="M8404" s="10" t="inlineStr">
        <is>
          <t>Bonus, Paid Leave, Awards</t>
        </is>
      </c>
      <c r="N8404" s="11">
        <f>HYPERLINK("https://www.vietnamworks.com/chi-huy-truong-cong-truong-mep-nha-cao-tang--2019888-jv","Xem chi tiết")</f>
        <v/>
      </c>
      <c r="O8404" s="10" t="n"/>
    </row>
    <row r="8405">
      <c r="B8405" s="7" t="n">
        <v>8403</v>
      </c>
      <c r="C8405" t="inlineStr">
        <is>
          <t>Trưởng Nhóm Cho Thuê</t>
        </is>
      </c>
      <c r="D8405" t="inlineStr">
        <is>
          <t>Công Ty Cổ Phần Tập Đoàn BRG</t>
        </is>
      </c>
      <c r="E8405" t="inlineStr">
        <is>
          <t>Thương lượng</t>
        </is>
      </c>
      <c r="F8405" t="inlineStr">
        <is>
          <t>Hà Nội</t>
        </is>
      </c>
      <c r="G8405" t="inlineStr">
        <is>
          <t>Trưởng phòng</t>
        </is>
      </c>
      <c r="H8405" t="inlineStr">
        <is>
          <t>06/03/2026</t>
        </is>
      </c>
      <c r="I8405" t="inlineStr">
        <is>
          <t>05/04/2026</t>
        </is>
      </c>
      <c r="J8405" t="inlineStr">
        <is>
          <t>17/03/2026</t>
        </is>
      </c>
      <c r="K8405" t="inlineStr">
        <is>
          <t>N/A</t>
        </is>
      </c>
      <c r="L8405" t="inlineStr">
        <is>
          <t>Quản Lý Cho Thuê, Commercial Leasing, Cho Thuê Văn Phòng, Bất Động Sản, Leasing</t>
        </is>
      </c>
      <c r="M8405" t="inlineStr">
        <is>
          <t>Bonus, Healthcare Plan, Travel Opportunities</t>
        </is>
      </c>
      <c r="N8405" s="8">
        <f>HYPERLINK("https://www.vietnamworks.com/truong-nhom-cho-thue--2019885-jv","Xem chi tiết")</f>
        <v/>
      </c>
    </row>
    <row r="8406">
      <c r="B8406" s="9" t="n">
        <v>8404</v>
      </c>
      <c r="C8406" s="10" t="inlineStr">
        <is>
          <t>AI Data Analytics</t>
        </is>
      </c>
      <c r="D8406" s="10" t="inlineStr">
        <is>
          <t>Amkor Technology Vietnam LLC.,</t>
        </is>
      </c>
      <c r="E8406" s="10" t="inlineStr">
        <is>
          <t>Thương lượng</t>
        </is>
      </c>
      <c r="F8406" s="10" t="inlineStr">
        <is>
          <t>Bắc Ninh</t>
        </is>
      </c>
      <c r="G8406" s="10" t="inlineStr">
        <is>
          <t>Nhân viên</t>
        </is>
      </c>
      <c r="H8406" s="10" t="inlineStr">
        <is>
          <t>06/03/2026</t>
        </is>
      </c>
      <c r="I8406" s="10" t="inlineStr">
        <is>
          <t>05/04/2026</t>
        </is>
      </c>
      <c r="J8406" s="10" t="inlineStr">
        <is>
          <t>17/03/2026</t>
        </is>
      </c>
      <c r="K8406" s="10" t="inlineStr">
        <is>
          <t>N/A</t>
        </is>
      </c>
      <c r="L8406" s="10" t="inlineStr">
        <is>
          <t>AI, Data Modeling, JSP, Power BI, RPA</t>
        </is>
      </c>
      <c r="M8406" s="10" t="inlineStr">
        <is>
          <t>Bonus, Training, Team Activities, Transportation, Canteen</t>
        </is>
      </c>
      <c r="N8406" s="11">
        <f>HYPERLINK("https://www.vietnamworks.com/ai-data-analytics-2019903-jv","Xem chi tiết")</f>
        <v/>
      </c>
      <c r="O8406" s="10" t="n"/>
    </row>
    <row r="8407">
      <c r="B8407" s="7" t="n">
        <v>8405</v>
      </c>
      <c r="C8407" t="inlineStr">
        <is>
          <t>Vận Hành Sàn Shopee (Shopee 运营专员)</t>
        </is>
      </c>
      <c r="D8407" t="inlineStr">
        <is>
          <t>TORRAS VIETNAM</t>
        </is>
      </c>
      <c r="E8407" t="inlineStr">
        <is>
          <t>12tr-15tr ₫/tháng</t>
        </is>
      </c>
      <c r="F8407" t="inlineStr">
        <is>
          <t>Hồ Chí Minh</t>
        </is>
      </c>
      <c r="G8407" t="inlineStr">
        <is>
          <t>Nhân viên</t>
        </is>
      </c>
      <c r="H8407" t="inlineStr">
        <is>
          <t>06/03/2026</t>
        </is>
      </c>
      <c r="I8407" t="inlineStr">
        <is>
          <t>05/04/2026</t>
        </is>
      </c>
      <c r="J8407" t="inlineStr">
        <is>
          <t>17/03/2026</t>
        </is>
      </c>
      <c r="K8407" t="inlineStr">
        <is>
          <t>N/A</t>
        </is>
      </c>
      <c r="L8407" t="inlineStr">
        <is>
          <t>Analytical Thinking, Chinese proficiency, Communication Skills, Negotiation Skills, Ecommerce</t>
        </is>
      </c>
      <c r="M8407" t="inlineStr">
        <is>
          <t>Paid Leave, Team Activities, Others</t>
        </is>
      </c>
      <c r="N8407" s="8">
        <f>HYPERLINK("https://www.vietnamworks.com/van-hanh-san-shopee-shopee-2019902-jv","Xem chi tiết")</f>
        <v/>
      </c>
    </row>
    <row r="8408">
      <c r="B8408" s="9" t="n">
        <v>8406</v>
      </c>
      <c r="C8408" s="10" t="inlineStr">
        <is>
          <t>Trưởng Phòng Chăm Sóc Khách Thuê</t>
        </is>
      </c>
      <c r="D8408" s="10" t="inlineStr">
        <is>
          <t>Tập Đoàn Vingroup - Công Ty Cổ phần Vincom Retail</t>
        </is>
      </c>
      <c r="E8408" s="10" t="inlineStr">
        <is>
          <t>$$ 1,500-2,000 /tháng</t>
        </is>
      </c>
      <c r="F8408" s="10" t="inlineStr">
        <is>
          <t>Hà Nội, Hồ Chí Minh</t>
        </is>
      </c>
      <c r="G8408" s="10" t="inlineStr">
        <is>
          <t>Trưởng phòng</t>
        </is>
      </c>
      <c r="H8408" s="10" t="inlineStr">
        <is>
          <t>06/03/2026</t>
        </is>
      </c>
      <c r="I8408" s="10" t="inlineStr">
        <is>
          <t>05/04/2026</t>
        </is>
      </c>
      <c r="J8408" s="10" t="inlineStr">
        <is>
          <t>17/03/2026</t>
        </is>
      </c>
      <c r="K8408" s="10" t="inlineStr">
        <is>
          <t>N/A</t>
        </is>
      </c>
      <c r="L8408" s="10" t="inlineStr">
        <is>
          <t>Customer Service, Communication, Business Development, Dịch Vụ Khách Hàng, Quản Lý Vận Hành</t>
        </is>
      </c>
      <c r="M8408" s="10" t="inlineStr">
        <is>
          <t>Bonus, Canteen, Others</t>
        </is>
      </c>
      <c r="N8408" s="11">
        <f>HYPERLINK("https://www.vietnamworks.com/truong-phong-cham-soc-khach-thue-2019904-jv","Xem chi tiết")</f>
        <v/>
      </c>
      <c r="O8408" s="10" t="n"/>
    </row>
    <row r="8409">
      <c r="B8409" s="7" t="n">
        <v>8407</v>
      </c>
      <c r="C8409" t="inlineStr">
        <is>
          <t>Senior Office Administrator</t>
        </is>
      </c>
      <c r="D8409" t="inlineStr">
        <is>
          <t>Avison Young Vietnam</t>
        </is>
      </c>
      <c r="E8409" t="inlineStr">
        <is>
          <t>12tr-15tr ₫/tháng</t>
        </is>
      </c>
      <c r="F8409" t="inlineStr">
        <is>
          <t>Hồ Chí Minh</t>
        </is>
      </c>
      <c r="G8409" t="inlineStr">
        <is>
          <t>Nhân viên</t>
        </is>
      </c>
      <c r="H8409" t="inlineStr">
        <is>
          <t>06/03/2026</t>
        </is>
      </c>
      <c r="I8409" t="inlineStr">
        <is>
          <t>05/04/2026</t>
        </is>
      </c>
      <c r="J8409" t="inlineStr">
        <is>
          <t>17/03/2026</t>
        </is>
      </c>
      <c r="K8409" t="inlineStr">
        <is>
          <t>N/A</t>
        </is>
      </c>
      <c r="L8409" t="inlineStr">
        <is>
          <t>Communication Skills, MS Office, Office Administration, Organizational skills, Problem-solving</t>
        </is>
      </c>
      <c r="M8409" t="inlineStr">
        <is>
          <t>Healthcare Plan, Paid Leave, Laptop</t>
        </is>
      </c>
      <c r="N8409" s="8">
        <f>HYPERLINK("https://www.vietnamworks.com/senior-office-administrator-2019911-jv","Xem chi tiết")</f>
        <v/>
      </c>
    </row>
    <row r="8410">
      <c r="B8410" s="9" t="n">
        <v>8408</v>
      </c>
      <c r="C8410" s="10" t="inlineStr">
        <is>
          <t>Trưởng Nhóm Hợp Đồng</t>
        </is>
      </c>
      <c r="D8410" s="10" t="inlineStr">
        <is>
          <t>Công Ty Cổ Phần Tập Đoàn Sunshine</t>
        </is>
      </c>
      <c r="E8410" s="10" t="inlineStr">
        <is>
          <t>Thương lượng</t>
        </is>
      </c>
      <c r="F8410" s="10" t="inlineStr">
        <is>
          <t>Hà Nội</t>
        </is>
      </c>
      <c r="G8410" s="10" t="inlineStr">
        <is>
          <t>Trưởng phòng</t>
        </is>
      </c>
      <c r="H8410" s="10" t="inlineStr">
        <is>
          <t>06/03/2026</t>
        </is>
      </c>
      <c r="I8410" s="10" t="inlineStr">
        <is>
          <t>05/04/2026</t>
        </is>
      </c>
      <c r="J8410" s="10" t="inlineStr">
        <is>
          <t>17/03/2026</t>
        </is>
      </c>
      <c r="K8410" s="10" t="inlineStr">
        <is>
          <t>N/A</t>
        </is>
      </c>
      <c r="L8410" s="10" t="inlineStr">
        <is>
          <t>Bidding &amp; Contract Management, Contract Management, Kinh Tế Xây Dựng, Luật Xây Dựng, Quản Lý Dự Án</t>
        </is>
      </c>
      <c r="M8410" s="10" t="inlineStr">
        <is>
          <t>Bonus, Healthcare Plan, Others</t>
        </is>
      </c>
      <c r="N8410" s="11">
        <f>HYPERLINK("https://www.vietnamworks.com/truong-nhom-hop-djong-2019905-jv","Xem chi tiết")</f>
        <v/>
      </c>
      <c r="O8410" s="10" t="n"/>
    </row>
    <row r="8411">
      <c r="B8411" s="7" t="n">
        <v>8409</v>
      </c>
      <c r="C8411" t="inlineStr">
        <is>
          <t>Social Media Leader</t>
        </is>
      </c>
      <c r="D8411" t="inlineStr">
        <is>
          <t>TORRAS VIETNAM</t>
        </is>
      </c>
      <c r="E8411" t="inlineStr">
        <is>
          <t>20tr-30tr ₫/tháng</t>
        </is>
      </c>
      <c r="F8411" t="inlineStr">
        <is>
          <t>Hồ Chí Minh</t>
        </is>
      </c>
      <c r="G8411" t="inlineStr">
        <is>
          <t>Nhân viên</t>
        </is>
      </c>
      <c r="H8411" t="inlineStr">
        <is>
          <t>06/03/2026</t>
        </is>
      </c>
      <c r="I8411" t="inlineStr">
        <is>
          <t>05/04/2026</t>
        </is>
      </c>
      <c r="J8411" t="inlineStr">
        <is>
          <t>17/03/2026</t>
        </is>
      </c>
      <c r="K8411" t="inlineStr">
        <is>
          <t>N/A</t>
        </is>
      </c>
      <c r="L8411" t="inlineStr">
        <is>
          <t>Chinese, Digital Marketing, Media Campaign, SEO Google, Social Media</t>
        </is>
      </c>
      <c r="M8411" t="inlineStr">
        <is>
          <t>Paid Leave, Team Activities, Others</t>
        </is>
      </c>
      <c r="N8411" s="8">
        <f>HYPERLINK("https://www.vietnamworks.com/social-media-leader-2019906-jv","Xem chi tiết")</f>
        <v/>
      </c>
    </row>
    <row r="8412">
      <c r="B8412" s="9" t="n">
        <v>8410</v>
      </c>
      <c r="C8412" s="10" t="inlineStr">
        <is>
          <t>Marketing Communication Specialist (Event &amp; Partnership)</t>
        </is>
      </c>
      <c r="D8412" s="10" t="inlineStr">
        <is>
          <t>Navigos Group</t>
        </is>
      </c>
      <c r="E8412" s="10" t="inlineStr">
        <is>
          <t>18tr-20tr ₫/tháng</t>
        </is>
      </c>
      <c r="F8412" s="10" t="inlineStr">
        <is>
          <t>Hồ Chí Minh</t>
        </is>
      </c>
      <c r="G8412" s="10" t="inlineStr">
        <is>
          <t>Nhân viên</t>
        </is>
      </c>
      <c r="H8412" s="10" t="inlineStr">
        <is>
          <t>06/03/2026</t>
        </is>
      </c>
      <c r="I8412" s="10" t="inlineStr">
        <is>
          <t>05/04/2026</t>
        </is>
      </c>
      <c r="J8412" s="10" t="inlineStr">
        <is>
          <t>17/03/2026</t>
        </is>
      </c>
      <c r="K8412" s="10" t="inlineStr">
        <is>
          <t>N/A</t>
        </is>
      </c>
      <c r="L8412" s="10" t="inlineStr">
        <is>
          <t>Communication Skills, Event Management, Partnership Development, Project Management, Writing Skills</t>
        </is>
      </c>
      <c r="M8412" s="10" t="inlineStr">
        <is>
          <t>Healthcare Plan, Paid Leave</t>
        </is>
      </c>
      <c r="N8412" s="11">
        <f>HYPERLINK("https://www.vietnamworks.com/marketing-communication-specialist-event-and-partnership-2019910-jv","Xem chi tiết")</f>
        <v/>
      </c>
      <c r="O8412" s="10" t="n"/>
    </row>
    <row r="8413">
      <c r="B8413" s="7" t="n">
        <v>8411</v>
      </c>
      <c r="C8413" t="inlineStr">
        <is>
          <t>Chuyên Viên Đào Tạo</t>
        </is>
      </c>
      <c r="D8413" t="inlineStr">
        <is>
          <t>Công Ty TNHH Palm Forest Việt Nam</t>
        </is>
      </c>
      <c r="E8413" t="inlineStr">
        <is>
          <t>18tr-23tr ₫/tháng</t>
        </is>
      </c>
      <c r="F8413" t="inlineStr">
        <is>
          <t>Hà Nội</t>
        </is>
      </c>
      <c r="G8413" t="inlineStr">
        <is>
          <t>Nhân viên</t>
        </is>
      </c>
      <c r="H8413" t="inlineStr">
        <is>
          <t>06/03/2026</t>
        </is>
      </c>
      <c r="I8413" t="inlineStr">
        <is>
          <t>05/04/2026</t>
        </is>
      </c>
      <c r="J8413" t="inlineStr">
        <is>
          <t>17/03/2026</t>
        </is>
      </c>
      <c r="K8413" t="inlineStr">
        <is>
          <t>N/A</t>
        </is>
      </c>
      <c r="L8413" t="inlineStr">
        <is>
          <t>Đào Tạo Bán Hàng, ADDIE, Huấn Luyện, Phân tích, Tư Vấn</t>
        </is>
      </c>
      <c r="M8413" t="inlineStr">
        <is>
          <t>Bonus, Healthcare Plan, Training, Team Activities, Vouchers, Others</t>
        </is>
      </c>
      <c r="N8413" s="8">
        <f>HYPERLINK("https://www.vietnamworks.com/chuyen-vien-djao-tao-2019895-jv","Xem chi tiết")</f>
        <v/>
      </c>
    </row>
    <row r="8414">
      <c r="B8414" s="9" t="n">
        <v>8412</v>
      </c>
      <c r="C8414" s="10" t="inlineStr">
        <is>
          <t>Business Analyst</t>
        </is>
      </c>
      <c r="D8414" s="10" t="inlineStr">
        <is>
          <t>Công Ty Cổ Phần Bảo Hiểm Opes</t>
        </is>
      </c>
      <c r="E8414" s="10" t="inlineStr">
        <is>
          <t>$$ 800-1,200 /tháng</t>
        </is>
      </c>
      <c r="F8414" s="10" t="inlineStr">
        <is>
          <t>Hà Nội</t>
        </is>
      </c>
      <c r="G8414" s="10" t="inlineStr">
        <is>
          <t>Nhân viên</t>
        </is>
      </c>
      <c r="H8414" s="10" t="inlineStr">
        <is>
          <t>06/03/2026</t>
        </is>
      </c>
      <c r="I8414" s="10" t="inlineStr">
        <is>
          <t>05/04/2026</t>
        </is>
      </c>
      <c r="J8414" s="10" t="inlineStr">
        <is>
          <t>17/03/2026</t>
        </is>
      </c>
      <c r="K8414" s="10" t="inlineStr">
        <is>
          <t>N/A</t>
        </is>
      </c>
      <c r="L8414" s="10" t="inlineStr">
        <is>
          <t>Business Analysis, Data Analysis, Testing, IT Business Analyst, Project Management</t>
        </is>
      </c>
      <c r="M8414" s="10" t="inlineStr">
        <is>
          <t>Bonus, Training, Team Activities</t>
        </is>
      </c>
      <c r="N8414" s="11">
        <f>HYPERLINK("https://www.vietnamworks.com/business-analyst--2019917-jv","Xem chi tiết")</f>
        <v/>
      </c>
      <c r="O8414" s="10" t="n"/>
    </row>
    <row r="8415">
      <c r="B8415" s="7" t="n">
        <v>8413</v>
      </c>
      <c r="C8415" t="inlineStr">
        <is>
          <t>Senior Sales IT</t>
        </is>
      </c>
      <c r="D8415" t="inlineStr">
        <is>
          <t>CRM Test</t>
        </is>
      </c>
      <c r="E8415" t="inlineStr">
        <is>
          <t>Thương lượng</t>
        </is>
      </c>
      <c r="F8415" t="inlineStr">
        <is>
          <t>Hà Nội</t>
        </is>
      </c>
      <c r="G8415" t="inlineStr">
        <is>
          <t>Nhân viên</t>
        </is>
      </c>
      <c r="H8415" t="inlineStr">
        <is>
          <t>06/03/2026</t>
        </is>
      </c>
      <c r="I8415" t="inlineStr">
        <is>
          <t>05/04/2026</t>
        </is>
      </c>
      <c r="J8415" t="inlineStr">
        <is>
          <t>17/03/2026</t>
        </is>
      </c>
      <c r="K8415" t="inlineStr">
        <is>
          <t>N/A</t>
        </is>
      </c>
      <c r="L8415" t="inlineStr">
        <is>
          <t>Sales Management, Customer Experience Management, Market Analysis, Negotiation Skills, Business English</t>
        </is>
      </c>
      <c r="M8415" t="inlineStr">
        <is>
          <t>Bonus, Paid Leave, Training, Others</t>
        </is>
      </c>
      <c r="N8415" s="8">
        <f>HYPERLINK("https://www.vietnamworks.com/senior-sales-it-2019907-jv","Xem chi tiết")</f>
        <v/>
      </c>
    </row>
    <row r="8416">
      <c r="B8416" s="9" t="n">
        <v>8414</v>
      </c>
      <c r="C8416" s="10" t="inlineStr">
        <is>
          <t>Chuyên Viên An Ninh Thông Tin</t>
        </is>
      </c>
      <c r="D8416" s="10" t="inlineStr">
        <is>
          <t>Công Ty Cổ Phần Bảo Hiểm Opes</t>
        </is>
      </c>
      <c r="E8416" s="10" t="inlineStr">
        <is>
          <t>$$ 800-1,200 /tháng</t>
        </is>
      </c>
      <c r="F8416" s="10" t="inlineStr">
        <is>
          <t>Hà Nội</t>
        </is>
      </c>
      <c r="G8416" s="10" t="inlineStr">
        <is>
          <t>Nhân viên</t>
        </is>
      </c>
      <c r="H8416" s="10" t="inlineStr">
        <is>
          <t>06/03/2026</t>
        </is>
      </c>
      <c r="I8416" s="10" t="inlineStr">
        <is>
          <t>05/04/2026</t>
        </is>
      </c>
      <c r="J8416" s="10" t="inlineStr">
        <is>
          <t>17/03/2026</t>
        </is>
      </c>
      <c r="K8416" s="10" t="inlineStr">
        <is>
          <t>N/A</t>
        </is>
      </c>
      <c r="L8416" s="10" t="inlineStr">
        <is>
          <t>IT Security, An Toàn Thông Tin Mạng, An Ninh Thông Tin, An Ninh Mạng, Cyber Security</t>
        </is>
      </c>
      <c r="M8416" s="10" t="inlineStr">
        <is>
          <t>Bonus, Training, Team Activities</t>
        </is>
      </c>
      <c r="N8416" s="11">
        <f>HYPERLINK("https://www.vietnamworks.com/chuyen-vien-an-ninh-thong-tin--2019913-jv","Xem chi tiết")</f>
        <v/>
      </c>
      <c r="O8416" s="10" t="n"/>
    </row>
    <row r="8417">
      <c r="B8417" s="7" t="n">
        <v>8415</v>
      </c>
      <c r="C8417" t="inlineStr">
        <is>
          <t>Talent Acquisition Manager</t>
        </is>
      </c>
      <c r="D8417" t="inlineStr">
        <is>
          <t>Novaland</t>
        </is>
      </c>
      <c r="E8417" t="inlineStr">
        <is>
          <t>Thương lượng</t>
        </is>
      </c>
      <c r="F8417" t="inlineStr">
        <is>
          <t>Hồ Chí Minh</t>
        </is>
      </c>
      <c r="G8417" t="inlineStr">
        <is>
          <t>Trưởng phòng</t>
        </is>
      </c>
      <c r="H8417" t="inlineStr">
        <is>
          <t>06/03/2026</t>
        </is>
      </c>
      <c r="I8417" t="inlineStr">
        <is>
          <t>05/04/2026</t>
        </is>
      </c>
      <c r="J8417" t="inlineStr">
        <is>
          <t>17/03/2026</t>
        </is>
      </c>
      <c r="K8417" t="inlineStr">
        <is>
          <t>N/A</t>
        </is>
      </c>
      <c r="L8417" t="inlineStr">
        <is>
          <t>Phát Triển Nhân Tài, Quản Trị Nhân Lực, Tuyển Dụng, Đàm Phán</t>
        </is>
      </c>
      <c r="M8417" t="inlineStr">
        <is>
          <t>Healthcare Plan, Laptop, Vouchers, Others</t>
        </is>
      </c>
      <c r="N8417" s="8">
        <f>HYPERLINK("https://www.vietnamworks.com/talent-acquisition-manager-2019912-jv","Xem chi tiết")</f>
        <v/>
      </c>
    </row>
    <row r="8418">
      <c r="B8418" s="9" t="n">
        <v>8416</v>
      </c>
      <c r="C8418" s="10" t="inlineStr">
        <is>
          <t>Giám Đốc Phòng Cung Ứng</t>
        </is>
      </c>
      <c r="D8418" s="10" t="inlineStr">
        <is>
          <t>Novaland</t>
        </is>
      </c>
      <c r="E8418" s="10" t="inlineStr">
        <is>
          <t>Thương lượng</t>
        </is>
      </c>
      <c r="F8418" s="10" t="inlineStr">
        <is>
          <t>Hồ Chí Minh</t>
        </is>
      </c>
      <c r="G8418" s="10" t="inlineStr">
        <is>
          <t>Trưởng phòng</t>
        </is>
      </c>
      <c r="H8418" s="10" t="inlineStr">
        <is>
          <t>06/03/2026</t>
        </is>
      </c>
      <c r="I8418" s="10" t="inlineStr">
        <is>
          <t>05/04/2026</t>
        </is>
      </c>
      <c r="J8418" s="10" t="inlineStr">
        <is>
          <t>17/03/2026</t>
        </is>
      </c>
      <c r="K8418" s="10" t="inlineStr">
        <is>
          <t>N/A</t>
        </is>
      </c>
      <c r="L8418" s="10" t="inlineStr">
        <is>
          <t>Làm việc độc lập, Quản Lý Nhà Cung Cấp, Quản Trị Con Người, Đàm Phán, Procurement</t>
        </is>
      </c>
      <c r="M8418" s="10" t="inlineStr">
        <is>
          <t>Bonus, Healthcare Plan, Paid Leave, Laptop</t>
        </is>
      </c>
      <c r="N8418" s="11">
        <f>HYPERLINK("https://www.vietnamworks.com/giam-djoc-phong-cung-ung-2019916-jv","Xem chi tiết")</f>
        <v/>
      </c>
      <c r="O8418" s="10" t="n"/>
    </row>
    <row r="8419">
      <c r="B8419" s="7" t="n">
        <v>8417</v>
      </c>
      <c r="C8419" t="inlineStr">
        <is>
          <t>Senior Associate - Cyber Security (SOC)</t>
        </is>
      </c>
      <c r="D8419" t="inlineStr">
        <is>
          <t>PwC (Vietnam) Ltd.</t>
        </is>
      </c>
      <c r="E8419" t="inlineStr">
        <is>
          <t>Thương lượng</t>
        </is>
      </c>
      <c r="F8419" t="inlineStr">
        <is>
          <t>Hồ Chí Minh</t>
        </is>
      </c>
      <c r="G8419" t="inlineStr">
        <is>
          <t>Nhân viên</t>
        </is>
      </c>
      <c r="H8419" t="inlineStr">
        <is>
          <t>06/03/2026</t>
        </is>
      </c>
      <c r="I8419" t="inlineStr">
        <is>
          <t>05/04/2026</t>
        </is>
      </c>
      <c r="J8419" t="inlineStr">
        <is>
          <t>17/03/2026</t>
        </is>
      </c>
      <c r="K8419" t="inlineStr">
        <is>
          <t>N/A</t>
        </is>
      </c>
      <c r="L8419" t="inlineStr">
        <is>
          <t>Cyber Security, SOC, Security Operations, Incident Response, Cybersecurity</t>
        </is>
      </c>
      <c r="M8419" t="inlineStr">
        <is>
          <t>Bonus, Training, Laptop</t>
        </is>
      </c>
      <c r="N8419" s="8">
        <f>HYPERLINK("https://www.vietnamworks.com/senior-associate-cyber-security-soc-2019928-jv","Xem chi tiết")</f>
        <v/>
      </c>
    </row>
    <row r="8420">
      <c r="B8420" s="9" t="n">
        <v>8418</v>
      </c>
      <c r="C8420" s="10" t="inlineStr">
        <is>
          <t>Kế Toán Tổng Hợp (General Accountant)</t>
        </is>
      </c>
      <c r="D8420" s="10" t="inlineStr">
        <is>
          <t>Công ty TNHH sản xuất, thương mại và dịch vụ Thiên Phụng</t>
        </is>
      </c>
      <c r="E8420" s="10" t="inlineStr">
        <is>
          <t>Thương lượng</t>
        </is>
      </c>
      <c r="F8420" s="10" t="inlineStr">
        <is>
          <t>Hồ Chí Minh</t>
        </is>
      </c>
      <c r="G8420" s="10" t="inlineStr">
        <is>
          <t>Nhân viên</t>
        </is>
      </c>
      <c r="H8420" s="10" t="inlineStr">
        <is>
          <t>06/03/2026</t>
        </is>
      </c>
      <c r="I8420" s="10" t="inlineStr">
        <is>
          <t>05/04/2026</t>
        </is>
      </c>
      <c r="J8420" s="10" t="inlineStr">
        <is>
          <t>17/03/2026</t>
        </is>
      </c>
      <c r="K8420" s="10" t="inlineStr">
        <is>
          <t>N/A</t>
        </is>
      </c>
      <c r="L8420" s="10" t="inlineStr">
        <is>
          <t>Giao Tiếp, Thẩm Định Vấn Đề, Tin Học Văn Phòng, Kế Toán Thuế, Kế Toán Tổng Hợp</t>
        </is>
      </c>
      <c r="M8420" s="10" t="inlineStr">
        <is>
          <t>Training, Team Activities, Others</t>
        </is>
      </c>
      <c r="N8420" s="11">
        <f>HYPERLINK("https://www.vietnamworks.com/ke-toan-tong-hop-general-accountant-2019923-jv","Xem chi tiết")</f>
        <v/>
      </c>
      <c r="O8420" s="10" t="n"/>
    </row>
    <row r="8421">
      <c r="B8421" s="7" t="n">
        <v>8419</v>
      </c>
      <c r="C8421" t="inlineStr">
        <is>
          <t>Nhân Viên Quản Lý Sàn Thương Mại Điện Tử (E-commerce Platform Manager)</t>
        </is>
      </c>
      <c r="D8421" t="inlineStr">
        <is>
          <t>Công ty TNHH sản xuất, thương mại và dịch vụ Thiên Phụng</t>
        </is>
      </c>
      <c r="E8421" t="inlineStr">
        <is>
          <t>$$ 500-1,000 /tháng</t>
        </is>
      </c>
      <c r="F8421" t="inlineStr">
        <is>
          <t>Hồ Chí Minh</t>
        </is>
      </c>
      <c r="G8421" t="inlineStr">
        <is>
          <t>Nhân viên</t>
        </is>
      </c>
      <c r="H8421" t="inlineStr">
        <is>
          <t>06/03/2026</t>
        </is>
      </c>
      <c r="I8421" t="inlineStr">
        <is>
          <t>05/04/2026</t>
        </is>
      </c>
      <c r="J8421" t="inlineStr">
        <is>
          <t>17/03/2026</t>
        </is>
      </c>
      <c r="K8421" t="inlineStr">
        <is>
          <t>N/A</t>
        </is>
      </c>
      <c r="L8421" t="inlineStr">
        <is>
          <t>Livestream, Quản Lý Web, Quản Trị Thương Mại, Vi tính văn phòng, Xử Lý Tình Huống</t>
        </is>
      </c>
      <c r="M8421" t="inlineStr">
        <is>
          <t>Bonus, Paid Leave, Training, Others</t>
        </is>
      </c>
      <c r="N8421" s="8">
        <f>HYPERLINK("https://www.vietnamworks.com/nhan-vien-quan-ly-san-thuong-mai-djien-tu-e-commerce-platform-manager-2019924-jv","Xem chi tiết")</f>
        <v/>
      </c>
    </row>
    <row r="8422">
      <c r="B8422" s="9" t="n">
        <v>8420</v>
      </c>
      <c r="C8422" s="10" t="inlineStr">
        <is>
          <t>Branding &amp; Graphic Designer</t>
        </is>
      </c>
      <c r="D8422" s="10" t="inlineStr">
        <is>
          <t>Shuttlerock Vietnam</t>
        </is>
      </c>
      <c r="E8422" s="10" t="inlineStr">
        <is>
          <t>Thương lượng</t>
        </is>
      </c>
      <c r="F8422" s="10" t="inlineStr">
        <is>
          <t>Hồ Chí Minh</t>
        </is>
      </c>
      <c r="G8422" s="10" t="inlineStr">
        <is>
          <t>Nhân viên</t>
        </is>
      </c>
      <c r="H8422" s="10" t="inlineStr">
        <is>
          <t>06/03/2026</t>
        </is>
      </c>
      <c r="I8422" s="10" t="inlineStr">
        <is>
          <t>05/04/2026</t>
        </is>
      </c>
      <c r="J8422" s="10" t="inlineStr">
        <is>
          <t>17/03/2026</t>
        </is>
      </c>
      <c r="K8422" s="10" t="inlineStr">
        <is>
          <t>N/A</t>
        </is>
      </c>
      <c r="L8422" s="10" t="inlineStr">
        <is>
          <t>Adobe Creative Suite, Branding, Graphic Design, Layout Design, Collaboration</t>
        </is>
      </c>
      <c r="M8422" s="10" t="inlineStr">
        <is>
          <t>Training, Team Activities, Others</t>
        </is>
      </c>
      <c r="N8422" s="11">
        <f>HYPERLINK("https://www.vietnamworks.com/branding-and-graphic-designer-2019926-jv","Xem chi tiết")</f>
        <v/>
      </c>
      <c r="O8422" s="10" t="n"/>
    </row>
    <row r="8423">
      <c r="B8423" s="7" t="n">
        <v>8421</v>
      </c>
      <c r="C8423" t="inlineStr">
        <is>
          <t>[HCM] Logistics Sales Team Leader/ Supervisor (USA &amp; Canada Routes)</t>
        </is>
      </c>
      <c r="D8423" t="inlineStr">
        <is>
          <t>Công Ty TNHH Ezocean Logistics Vietnam</t>
        </is>
      </c>
      <c r="E8423" t="inlineStr">
        <is>
          <t>Thương lượng</t>
        </is>
      </c>
      <c r="F8423" t="inlineStr">
        <is>
          <t>Hồ Chí Minh</t>
        </is>
      </c>
      <c r="G8423" t="inlineStr">
        <is>
          <t>Nhân viên</t>
        </is>
      </c>
      <c r="H8423" t="inlineStr">
        <is>
          <t>06/03/2026</t>
        </is>
      </c>
      <c r="I8423" t="inlineStr">
        <is>
          <t>05/04/2026</t>
        </is>
      </c>
      <c r="J8423" t="inlineStr">
        <is>
          <t>17/03/2026</t>
        </is>
      </c>
      <c r="K8423" t="inlineStr">
        <is>
          <t>N/A</t>
        </is>
      </c>
      <c r="L8423" t="inlineStr">
        <is>
          <t>Customer Service Skill, Leadership, Sales Logistics</t>
        </is>
      </c>
      <c r="M8423" t="inlineStr">
        <is>
          <t>Bonus, Healthcare Plan, Others</t>
        </is>
      </c>
      <c r="N8423" s="8">
        <f>HYPERLINK("https://www.vietnamworks.com/hcm-logistics-sales-team-leader-supervisor-usa-and-canada-routes-2019920-jv","Xem chi tiết")</f>
        <v/>
      </c>
    </row>
    <row r="8424">
      <c r="B8424" s="9" t="n">
        <v>8422</v>
      </c>
      <c r="C8424" s="10" t="inlineStr">
        <is>
          <t>Giám Sát QA/QC</t>
        </is>
      </c>
      <c r="D8424" s="10" t="inlineStr">
        <is>
          <t>CÔNG TY TNHH GOOD FOOD GOOD MOOD</t>
        </is>
      </c>
      <c r="E8424" s="10" t="inlineStr">
        <is>
          <t>$$ 600-800 /tháng</t>
        </is>
      </c>
      <c r="F8424" s="10" t="inlineStr">
        <is>
          <t>Hồ Chí Minh</t>
        </is>
      </c>
      <c r="G8424" s="10" t="inlineStr">
        <is>
          <t>Nhân viên</t>
        </is>
      </c>
      <c r="H8424" s="10" t="inlineStr">
        <is>
          <t>06/03/2026</t>
        </is>
      </c>
      <c r="I8424" s="10" t="inlineStr">
        <is>
          <t>05/04/2026</t>
        </is>
      </c>
      <c r="J8424" s="10" t="inlineStr">
        <is>
          <t>17/03/2026</t>
        </is>
      </c>
      <c r="K8424" s="10" t="inlineStr">
        <is>
          <t>N/A</t>
        </is>
      </c>
      <c r="L8424" s="10" t="inlineStr">
        <is>
          <t>HACCP, QA/ QC, Công Nghệ Thực Phẩm, Sản xuất thực phẩm, Quản Lý An Toàn Vệ Sinh Thực Phẩm</t>
        </is>
      </c>
      <c r="M8424" s="10" t="inlineStr">
        <is>
          <t>Bonus, Healthcare Plan</t>
        </is>
      </c>
      <c r="N8424" s="11">
        <f>HYPERLINK("https://www.vietnamworks.com/giam-sat-qa-qc--2019933-jv","Xem chi tiết")</f>
        <v/>
      </c>
      <c r="O8424" s="10" t="n"/>
    </row>
    <row r="8425">
      <c r="B8425" s="7" t="n">
        <v>8423</v>
      </c>
      <c r="C8425" t="inlineStr">
        <is>
          <t>In-house Group General Counsel</t>
        </is>
      </c>
      <c r="D8425" t="inlineStr">
        <is>
          <t>Fitness &amp; Lifestyle GROUP (Flg) Vietnam</t>
        </is>
      </c>
      <c r="E8425" t="inlineStr">
        <is>
          <t>Thương lượng</t>
        </is>
      </c>
      <c r="F8425" t="inlineStr">
        <is>
          <t>Hồ Chí Minh</t>
        </is>
      </c>
      <c r="G8425" t="inlineStr">
        <is>
          <t>Giám Đốc và Cấp Cao Hơn</t>
        </is>
      </c>
      <c r="H8425" t="inlineStr">
        <is>
          <t>06/03/2026</t>
        </is>
      </c>
      <c r="I8425" t="inlineStr">
        <is>
          <t>05/04/2026</t>
        </is>
      </c>
      <c r="J8425" t="inlineStr">
        <is>
          <t>17/03/2026</t>
        </is>
      </c>
      <c r="K8425" t="inlineStr">
        <is>
          <t>N/A</t>
        </is>
      </c>
      <c r="L8425" t="inlineStr">
        <is>
          <t>Contract Law, Corporate Law, Health Care Regulation, Negotiation Skills, Regulatory Affairs</t>
        </is>
      </c>
      <c r="M8425" t="inlineStr">
        <is>
          <t>Bonus, Healthcare Plan, Training</t>
        </is>
      </c>
      <c r="N8425" s="8">
        <f>HYPERLINK("https://www.vietnamworks.com/in-house-group-general-counsel-2019934-jv","Xem chi tiết")</f>
        <v/>
      </c>
    </row>
    <row r="8426">
      <c r="B8426" s="9" t="n">
        <v>8424</v>
      </c>
      <c r="C8426" s="10" t="inlineStr">
        <is>
          <t>CHUYÊN VIÊN QS (Quantity Surveyor)</t>
        </is>
      </c>
      <c r="D8426" s="10" t="inlineStr">
        <is>
          <t>Công ty cổ phần nội thất S.A.P</t>
        </is>
      </c>
      <c r="E8426" s="10" t="inlineStr">
        <is>
          <t>20tr-30tr ₫/tháng</t>
        </is>
      </c>
      <c r="F8426" s="10" t="inlineStr">
        <is>
          <t>Kiên Giang</t>
        </is>
      </c>
      <c r="G8426" s="10" t="inlineStr">
        <is>
          <t>Nhân viên</t>
        </is>
      </c>
      <c r="H8426" s="10" t="inlineStr">
        <is>
          <t>05/03/2026</t>
        </is>
      </c>
      <c r="I8426" s="10" t="inlineStr">
        <is>
          <t>06/04/2026</t>
        </is>
      </c>
      <c r="J8426" s="10" t="inlineStr">
        <is>
          <t>17/03/2026</t>
        </is>
      </c>
      <c r="K8426" s="10" t="inlineStr">
        <is>
          <t>N/A</t>
        </is>
      </c>
      <c r="L8426" s="10" t="inlineStr">
        <is>
          <t>Bóc Tách Khối Lượng, Excel, Kinh Tế Xây Dựng, Làm Hồ Sơ Thanh Quyết Toán, Làm Việc Nhóm</t>
        </is>
      </c>
      <c r="M8426" s="10" t="inlineStr">
        <is>
          <t>Bonus, Healthcare Plan, Paid Leave, Travel Opportunities, Others</t>
        </is>
      </c>
      <c r="N8426" s="11">
        <f>HYPERLINK("https://www.vietnamworks.com/chuyen-vien-qs-quantity-surveyor-2019016-jv","Xem chi tiết")</f>
        <v/>
      </c>
      <c r="O8426" s="10" t="n"/>
    </row>
    <row r="8427">
      <c r="B8427" s="7" t="n">
        <v>8425</v>
      </c>
      <c r="C8427" t="inlineStr">
        <is>
          <t>Assistant Sales Manager (MT Channel - Offline)</t>
        </is>
      </c>
      <c r="D8427" t="inlineStr">
        <is>
          <t>OUJI (VIETNAM) COMPANY LIMITED</t>
        </is>
      </c>
      <c r="E8427" t="inlineStr">
        <is>
          <t>22tr-35tr ₫/tháng</t>
        </is>
      </c>
      <c r="F8427" t="inlineStr">
        <is>
          <t>Hồ Chí Minh</t>
        </is>
      </c>
      <c r="G8427" t="inlineStr">
        <is>
          <t>Trưởng phòng</t>
        </is>
      </c>
      <c r="H8427" t="inlineStr">
        <is>
          <t>20/02/2026</t>
        </is>
      </c>
      <c r="I8427" t="inlineStr">
        <is>
          <t>06/04/2026</t>
        </is>
      </c>
      <c r="J8427" t="inlineStr">
        <is>
          <t>17/03/2026</t>
        </is>
      </c>
      <c r="K8427" t="inlineStr">
        <is>
          <t>N/A</t>
        </is>
      </c>
      <c r="L8427" t="inlineStr">
        <is>
          <t>Data Analysis, English Fluency, Leadership, Market Analysis, Sales Management</t>
        </is>
      </c>
      <c r="M8427" t="inlineStr">
        <is>
          <t>Bonus, Healthcare Plan, Paid Leave, Others</t>
        </is>
      </c>
      <c r="N8427" s="8">
        <f>HYPERLINK("https://www.vietnamworks.com/assistant-sales-manager-mt-channel-offline-2012198-jv","Xem chi tiết")</f>
        <v/>
      </c>
    </row>
    <row r="8428">
      <c r="B8428" s="9" t="n">
        <v>8426</v>
      </c>
      <c r="C8428" s="10" t="inlineStr">
        <is>
          <t>Finance Manager Finance &amp; Accounting Department</t>
        </is>
      </c>
      <c r="D8428" s="10" t="inlineStr">
        <is>
          <t>Vietnamworks' Client</t>
        </is>
      </c>
      <c r="E8428" s="10" t="inlineStr">
        <is>
          <t>Thương lượng</t>
        </is>
      </c>
      <c r="F8428" s="10" t="inlineStr">
        <is>
          <t>Hồ Chí Minh</t>
        </is>
      </c>
      <c r="G8428" s="10" t="inlineStr">
        <is>
          <t>Trưởng phòng</t>
        </is>
      </c>
      <c r="H8428" s="10" t="inlineStr">
        <is>
          <t>20/02/2026</t>
        </is>
      </c>
      <c r="I8428" s="10" t="inlineStr">
        <is>
          <t>06/04/2026</t>
        </is>
      </c>
      <c r="J8428" s="10" t="inlineStr">
        <is>
          <t>17/03/2026</t>
        </is>
      </c>
      <c r="K8428" s="10" t="inlineStr">
        <is>
          <t>N/A</t>
        </is>
      </c>
      <c r="L8428" s="10" t="inlineStr">
        <is>
          <t>Tài Chính Kế Toán, Báo Cáo Tài Chính, English, SAP, Kế Toán Trưởng</t>
        </is>
      </c>
      <c r="M8428" s="10" t="inlineStr">
        <is>
          <t>Bonus, Healthcare Plan, Training</t>
        </is>
      </c>
      <c r="N8428" s="11">
        <f>HYPERLINK("https://www.vietnamworks.com/finance-manager-finance-accounting-department--2012200-jv","Xem chi tiết")</f>
        <v/>
      </c>
      <c r="O8428" s="10" t="n"/>
    </row>
    <row r="8429">
      <c r="B8429" s="7" t="n">
        <v>8427</v>
      </c>
      <c r="C8429" t="inlineStr">
        <is>
          <t>Kỹ Sư Xây Dựng (Construction Engineer)</t>
        </is>
      </c>
      <c r="D8429" t="inlineStr">
        <is>
          <t>Công ty cổ phần nội thất S.A.P</t>
        </is>
      </c>
      <c r="E8429" t="inlineStr">
        <is>
          <t>25tr-35tr ₫/tháng</t>
        </is>
      </c>
      <c r="F8429" t="inlineStr">
        <is>
          <t>Kiên Giang</t>
        </is>
      </c>
      <c r="G8429" t="inlineStr">
        <is>
          <t>Nhân viên</t>
        </is>
      </c>
      <c r="H8429" t="inlineStr">
        <is>
          <t>05/03/2026</t>
        </is>
      </c>
      <c r="I8429" t="inlineStr">
        <is>
          <t>06/04/2026</t>
        </is>
      </c>
      <c r="J8429" t="inlineStr">
        <is>
          <t>17/03/2026</t>
        </is>
      </c>
      <c r="K8429" t="inlineStr">
        <is>
          <t>N/A</t>
        </is>
      </c>
      <c r="L8429" t="inlineStr">
        <is>
          <t>Autocad, Kỹ Năng Làm Việc- Quản Lý Nhóm, MS Project, Quản Trị Tiến Độ, Xây Dựng Dân Dụng</t>
        </is>
      </c>
      <c r="M8429" t="inlineStr">
        <is>
          <t>Bonus, Healthcare Plan, Paid Leave, Others</t>
        </is>
      </c>
      <c r="N8429" s="8">
        <f>HYPERLINK("https://www.vietnamworks.com/ky-su-xay-dung-construction-engineer-2019031-jv","Xem chi tiết")</f>
        <v/>
      </c>
    </row>
    <row r="8430">
      <c r="B8430" s="9" t="n">
        <v>8428</v>
      </c>
      <c r="C8430" s="10" t="inlineStr">
        <is>
          <t>QC Engineer- Kỹ Sư Quản Lý Chất Lượng (Team Expansion/mở Rộng Team)</t>
        </is>
      </c>
      <c r="D8430" s="10" t="inlineStr">
        <is>
          <t>Hoya Glass Disk Vietnam</t>
        </is>
      </c>
      <c r="E8430" s="10" t="inlineStr">
        <is>
          <t>Thương lượng</t>
        </is>
      </c>
      <c r="F8430" s="10" t="inlineStr">
        <is>
          <t>Hưng Yên</t>
        </is>
      </c>
      <c r="G8430" s="10" t="inlineStr">
        <is>
          <t>Nhân viên</t>
        </is>
      </c>
      <c r="H8430" s="10" t="inlineStr">
        <is>
          <t>20/02/2026</t>
        </is>
      </c>
      <c r="I8430" s="10" t="inlineStr">
        <is>
          <t>06/04/2026</t>
        </is>
      </c>
      <c r="J8430" s="10" t="inlineStr">
        <is>
          <t>17/03/2026</t>
        </is>
      </c>
      <c r="K8430" s="10" t="inlineStr">
        <is>
          <t>N/A</t>
        </is>
      </c>
      <c r="L8430" s="10" t="inlineStr">
        <is>
          <t>Chemical, Physical Chemistry, Electronic, Automation, Mechatronic</t>
        </is>
      </c>
      <c r="M8430" s="10" t="inlineStr">
        <is>
          <t>Bonus, Healthcare Plan, Paid Leave</t>
        </is>
      </c>
      <c r="N8430" s="11">
        <f>HYPERLINK("https://www.vietnamworks.com/qc-engineer-ky-su-quan-ly-chat-luong-team-expansion-mo-rong-team--2012194-jv","Xem chi tiết")</f>
        <v/>
      </c>
      <c r="O8430" s="10" t="n"/>
    </row>
    <row r="8431">
      <c r="B8431" s="7" t="n">
        <v>8429</v>
      </c>
      <c r="C8431" t="inlineStr">
        <is>
          <t>Management Accounting Specialist - Commercial</t>
        </is>
      </c>
      <c r="D8431" t="inlineStr">
        <is>
          <t>Công Ty Cổ Phần Sữa Quốc Tế LOF</t>
        </is>
      </c>
      <c r="E8431" t="inlineStr">
        <is>
          <t>$$ 800-1,000 /tháng</t>
        </is>
      </c>
      <c r="F8431" t="inlineStr">
        <is>
          <t>Hồ Chí Minh</t>
        </is>
      </c>
      <c r="G8431" t="inlineStr">
        <is>
          <t>Nhân viên</t>
        </is>
      </c>
      <c r="H8431" t="inlineStr">
        <is>
          <t>06/03/2026</t>
        </is>
      </c>
      <c r="I8431" t="inlineStr">
        <is>
          <t>05/04/2026</t>
        </is>
      </c>
      <c r="J8431" t="inlineStr">
        <is>
          <t>17/03/2026</t>
        </is>
      </c>
      <c r="K8431" t="inlineStr">
        <is>
          <t>N/A</t>
        </is>
      </c>
      <c r="L8431" t="inlineStr">
        <is>
          <t>Analytical Skills, Budgeting, Financial Analysis, Variance Analysis</t>
        </is>
      </c>
      <c r="M8431" t="inlineStr">
        <is>
          <t>Bonus, Training, Laptop, Others</t>
        </is>
      </c>
      <c r="N8431" s="8">
        <f>HYPERLINK("https://www.vietnamworks.com/management-accounting-specialist-commercial-2019932-jv","Xem chi tiết")</f>
        <v/>
      </c>
    </row>
    <row r="8432">
      <c r="B8432" s="9" t="n">
        <v>8430</v>
      </c>
      <c r="C8432" s="10" t="inlineStr">
        <is>
          <t>Assistant Manager, Finance</t>
        </is>
      </c>
      <c r="D8432" s="10" t="inlineStr">
        <is>
          <t>CapitaLand Development (Vietnam)</t>
        </is>
      </c>
      <c r="E8432" s="10" t="inlineStr">
        <is>
          <t>Thương lượng</t>
        </is>
      </c>
      <c r="F8432" s="10" t="inlineStr">
        <is>
          <t>Hồ Chí Minh</t>
        </is>
      </c>
      <c r="G8432" s="10" t="inlineStr">
        <is>
          <t>Nhân viên</t>
        </is>
      </c>
      <c r="H8432" s="10" t="inlineStr">
        <is>
          <t>06/03/2026</t>
        </is>
      </c>
      <c r="I8432" s="10" t="inlineStr">
        <is>
          <t>05/04/2026</t>
        </is>
      </c>
      <c r="J8432" s="10" t="inlineStr">
        <is>
          <t>17/03/2026</t>
        </is>
      </c>
      <c r="K8432" s="10" t="inlineStr">
        <is>
          <t>N/A</t>
        </is>
      </c>
      <c r="L8432" s="10" t="inlineStr">
        <is>
          <t>Accountancy, Corporate Consolidation, Group Consolidation, MS Excel, Vietnam Reporting Standards</t>
        </is>
      </c>
      <c r="M8432" s="10" t="inlineStr">
        <is>
          <t>Bonus, Healthcare Plan, Training, Laptop</t>
        </is>
      </c>
      <c r="N8432" s="11">
        <f>HYPERLINK("https://www.vietnamworks.com/assistant-manager-finance-2019940-jv","Xem chi tiết")</f>
        <v/>
      </c>
      <c r="O8432" s="10" t="n"/>
    </row>
    <row r="8433">
      <c r="B8433" s="7" t="n">
        <v>8431</v>
      </c>
      <c r="C8433" t="inlineStr">
        <is>
          <t>Senior Key Account Manager (1.800$ - 3000$)</t>
        </is>
      </c>
      <c r="D8433" t="inlineStr">
        <is>
          <t>Green Field Group</t>
        </is>
      </c>
      <c r="E8433" t="inlineStr">
        <is>
          <t>$$ 1,800-3,000 /tháng</t>
        </is>
      </c>
      <c r="F8433" t="inlineStr">
        <is>
          <t>Hồ Chí Minh</t>
        </is>
      </c>
      <c r="G8433" t="inlineStr">
        <is>
          <t>Trưởng phòng</t>
        </is>
      </c>
      <c r="H8433" t="inlineStr">
        <is>
          <t>20/02/2026</t>
        </is>
      </c>
      <c r="I8433" t="inlineStr">
        <is>
          <t>06/04/2026</t>
        </is>
      </c>
      <c r="J8433" t="inlineStr">
        <is>
          <t>17/03/2026</t>
        </is>
      </c>
      <c r="K8433" t="inlineStr">
        <is>
          <t>N/A</t>
        </is>
      </c>
      <c r="L8433" t="inlineStr">
        <is>
          <t>Key Account Management, FMCG sales, Key Account &amp; Channel Development, Modern Trade Channel, Trade Marketing Manager</t>
        </is>
      </c>
      <c r="M8433" t="inlineStr">
        <is>
          <t>Bonus, Healthcare Plan, Training, Laptop, Travel Opportunities, Others</t>
        </is>
      </c>
      <c r="N8433" s="8">
        <f>HYPERLINK("https://www.vietnamworks.com/senior-key-account-manager-1-800-3000-2012191-jv","Xem chi tiết")</f>
        <v/>
      </c>
    </row>
    <row r="8434">
      <c r="B8434" s="9" t="n">
        <v>8432</v>
      </c>
      <c r="C8434" s="10" t="inlineStr">
        <is>
          <t>Relocation Executive</t>
        </is>
      </c>
      <c r="D8434" s="10" t="inlineStr">
        <is>
          <t>AGS Global Solutions</t>
        </is>
      </c>
      <c r="E8434" s="10" t="inlineStr">
        <is>
          <t>$$ 900-1,200 /tháng</t>
        </is>
      </c>
      <c r="F8434" s="10" t="inlineStr">
        <is>
          <t>Hồ Chí Minh</t>
        </is>
      </c>
      <c r="G8434" s="10" t="inlineStr">
        <is>
          <t>Nhân viên</t>
        </is>
      </c>
      <c r="H8434" s="10" t="inlineStr">
        <is>
          <t>20/02/2026</t>
        </is>
      </c>
      <c r="I8434" s="10" t="inlineStr">
        <is>
          <t>06/04/2026</t>
        </is>
      </c>
      <c r="J8434" s="10" t="inlineStr">
        <is>
          <t>17/03/2026</t>
        </is>
      </c>
      <c r="K8434" s="10" t="inlineStr">
        <is>
          <t>N/A</t>
        </is>
      </c>
      <c r="L8434" s="10" t="inlineStr">
        <is>
          <t>Global Expat Management, executive assistant, Customer Account Management, Customer Services, Relocation Support</t>
        </is>
      </c>
      <c r="M8434" s="10" t="inlineStr">
        <is>
          <t>Bonus, Training, Laptop</t>
        </is>
      </c>
      <c r="N8434" s="11">
        <f>HYPERLINK("https://www.vietnamworks.com/relocation-executive-2012197-jv","Xem chi tiết")</f>
        <v/>
      </c>
      <c r="O8434" s="10" t="n"/>
    </row>
    <row r="8435">
      <c r="B8435" s="7" t="n">
        <v>8433</v>
      </c>
      <c r="C8435" t="inlineStr">
        <is>
          <t>General Accountant | Trưởng Phòng Kế Toán Miền Nam</t>
        </is>
      </c>
      <c r="D8435" t="inlineStr">
        <is>
          <t>Công ty TNHH Aden Services (Việt Nam)</t>
        </is>
      </c>
      <c r="E8435" t="inlineStr">
        <is>
          <t>Thương lượng</t>
        </is>
      </c>
      <c r="F8435" t="inlineStr">
        <is>
          <t>Hồ Chí Minh</t>
        </is>
      </c>
      <c r="G8435" t="inlineStr">
        <is>
          <t>Trưởng phòng</t>
        </is>
      </c>
      <c r="H8435" t="inlineStr">
        <is>
          <t>06/03/2026</t>
        </is>
      </c>
      <c r="I8435" t="inlineStr">
        <is>
          <t>05/04/2026</t>
        </is>
      </c>
      <c r="J8435" t="inlineStr">
        <is>
          <t>17/03/2026</t>
        </is>
      </c>
      <c r="K8435" t="inlineStr">
        <is>
          <t>N/A</t>
        </is>
      </c>
      <c r="L8435" t="inlineStr">
        <is>
          <t>Financial Law, General Accountant, Leadership Skills, Team Management, Vietnam Tax Law</t>
        </is>
      </c>
      <c r="M8435" t="inlineStr">
        <is>
          <t>Training, Team Activities, Others</t>
        </is>
      </c>
      <c r="N8435" s="8">
        <f>HYPERLINK("https://www.vietnamworks.com/general-accountant-truong-phong-ke-toan-mien-nam-2019939-jv","Xem chi tiết")</f>
        <v/>
      </c>
    </row>
    <row r="8436">
      <c r="B8436" s="9" t="n">
        <v>8434</v>
      </c>
      <c r="C8436" s="10" t="inlineStr">
        <is>
          <t>Marketing Executive &amp; Relationship Manager</t>
        </is>
      </c>
      <c r="D8436" s="10" t="inlineStr">
        <is>
          <t>O M L LTD.</t>
        </is>
      </c>
      <c r="E8436" s="10" t="inlineStr">
        <is>
          <t>$$ 500-1,000 /tháng</t>
        </is>
      </c>
      <c r="F8436" s="10" t="inlineStr">
        <is>
          <t>Hồ Chí Minh</t>
        </is>
      </c>
      <c r="G8436" s="10" t="inlineStr">
        <is>
          <t>Nhân viên</t>
        </is>
      </c>
      <c r="H8436" s="10" t="inlineStr">
        <is>
          <t>20/02/2026</t>
        </is>
      </c>
      <c r="I8436" s="10" t="inlineStr">
        <is>
          <t>06/04/2026</t>
        </is>
      </c>
      <c r="J8436" s="10" t="inlineStr">
        <is>
          <t>17/03/2026</t>
        </is>
      </c>
      <c r="K8436" s="10" t="inlineStr">
        <is>
          <t>N/A</t>
        </is>
      </c>
      <c r="L8436" s="10" t="inlineStr">
        <is>
          <t>Marketing, Sales &amp; Business Development, Digital Content Creation, Digital Marketing, Korean Language</t>
        </is>
      </c>
      <c r="M8436" s="10" t="inlineStr">
        <is>
          <t>Paid Leave</t>
        </is>
      </c>
      <c r="N8436" s="11">
        <f>HYPERLINK("https://www.vietnamworks.com/marketing-executive-relationship-manager--2012201-jv","Xem chi tiết")</f>
        <v/>
      </c>
      <c r="O8436" s="10" t="n"/>
    </row>
    <row r="8437">
      <c r="B8437" s="7" t="n">
        <v>8435</v>
      </c>
      <c r="C8437" t="inlineStr">
        <is>
          <t>Kỹ Sư Kinh Tế Xây Dựng</t>
        </is>
      </c>
      <c r="D8437" t="inlineStr">
        <is>
          <t>Công Ty Cổ Phần Inno</t>
        </is>
      </c>
      <c r="E8437" t="inlineStr">
        <is>
          <t>15tr-30tr ₫/tháng</t>
        </is>
      </c>
      <c r="F8437" t="inlineStr">
        <is>
          <t>Hà Nội</t>
        </is>
      </c>
      <c r="G8437" t="inlineStr">
        <is>
          <t>Nhân viên</t>
        </is>
      </c>
      <c r="H8437" t="inlineStr">
        <is>
          <t>06/03/2026</t>
        </is>
      </c>
      <c r="I8437" t="inlineStr">
        <is>
          <t>05/04/2026</t>
        </is>
      </c>
      <c r="J8437" t="inlineStr">
        <is>
          <t>17/03/2026</t>
        </is>
      </c>
      <c r="K8437" t="inlineStr">
        <is>
          <t>N/A</t>
        </is>
      </c>
      <c r="L8437" t="inlineStr">
        <is>
          <t>Dự Toán, Kỹ sư, Excel, AutoCAD, Phân Tích Chi Phí</t>
        </is>
      </c>
      <c r="M8437" t="inlineStr">
        <is>
          <t>Bonus, Healthcare Plan, Paid Leave, Training, Laptop, Team Activities, Others</t>
        </is>
      </c>
      <c r="N8437" s="8">
        <f>HYPERLINK("https://www.vietnamworks.com/ky-su-kinh-te-xay-dung-2019931-jv","Xem chi tiết")</f>
        <v/>
      </c>
    </row>
    <row r="8438">
      <c r="B8438" s="9" t="n">
        <v>8436</v>
      </c>
      <c r="C8438" s="10" t="inlineStr">
        <is>
          <t>Tuyển Điều Dưỡng Cấp Cứu</t>
        </is>
      </c>
      <c r="D8438" s="10" t="inlineStr">
        <is>
          <t>Công ty Cổ phần Đầu tư và Quản lý sức khỏe Trái Tim Vàng</t>
        </is>
      </c>
      <c r="E8438" s="10" t="inlineStr">
        <is>
          <t>20tr-40tr ₫/tháng</t>
        </is>
      </c>
      <c r="F8438" s="10" t="inlineStr">
        <is>
          <t>Hà Nội</t>
        </is>
      </c>
      <c r="G8438" s="10" t="inlineStr">
        <is>
          <t>Nhân viên</t>
        </is>
      </c>
      <c r="H8438" s="10" t="inlineStr">
        <is>
          <t>06/03/2026</t>
        </is>
      </c>
      <c r="I8438" s="10" t="inlineStr">
        <is>
          <t>05/04/2026</t>
        </is>
      </c>
      <c r="J8438" s="10" t="inlineStr">
        <is>
          <t>17/03/2026</t>
        </is>
      </c>
      <c r="K8438" s="10" t="inlineStr">
        <is>
          <t>N/A</t>
        </is>
      </c>
      <c r="L8438" s="10" t="inlineStr">
        <is>
          <t>Chăm Sóc Bệnh Nhân, Giao Tiếp, Hỗ Trợ Tư Vấn, Kỹ Thuật Bảo Dưỡng, Quản Lý Khám Chữa Bệnh</t>
        </is>
      </c>
      <c r="M8438" s="10" t="inlineStr">
        <is>
          <t>Bonus, Training, Library</t>
        </is>
      </c>
      <c r="N8438" s="11">
        <f>HYPERLINK("https://www.vietnamworks.com/tuyen-djieu-duong-cap-cuu-2019942-jv","Xem chi tiết")</f>
        <v/>
      </c>
      <c r="O8438" s="10" t="n"/>
    </row>
    <row r="8439">
      <c r="B8439" s="7" t="n">
        <v>8437</v>
      </c>
      <c r="C8439" t="inlineStr">
        <is>
          <t>Engineer of R&amp;D/ Kỹ Sư Nghiên Cứu Phát Triển (Team Expansion/mở Rộng Team)</t>
        </is>
      </c>
      <c r="D8439" t="inlineStr">
        <is>
          <t>Hoya Glass Disk Vietnam</t>
        </is>
      </c>
      <c r="E8439" t="inlineStr">
        <is>
          <t>Thương lượng</t>
        </is>
      </c>
      <c r="F8439" t="inlineStr">
        <is>
          <t>Hưng Yên</t>
        </is>
      </c>
      <c r="G8439" t="inlineStr">
        <is>
          <t>Nhân viên</t>
        </is>
      </c>
      <c r="H8439" t="inlineStr">
        <is>
          <t>20/02/2026</t>
        </is>
      </c>
      <c r="I8439" t="inlineStr">
        <is>
          <t>06/04/2026</t>
        </is>
      </c>
      <c r="J8439" t="inlineStr">
        <is>
          <t>17/03/2026</t>
        </is>
      </c>
      <c r="K8439" t="inlineStr">
        <is>
          <t>N/A</t>
        </is>
      </c>
      <c r="L8439" t="inlineStr">
        <is>
          <t>Mechatronic, Chemistry, Material Research, Analytical Chemistry</t>
        </is>
      </c>
      <c r="M8439" t="inlineStr">
        <is>
          <t>Bonus, Healthcare Plan, Paid Leave</t>
        </is>
      </c>
      <c r="N8439" s="8">
        <f>HYPERLINK("https://www.vietnamworks.com/engineer-of-r-d-ky-su-nghien-cuu-phat-trien-team-expansion-mo-rong-team--2012195-jv","Xem chi tiết")</f>
        <v/>
      </c>
    </row>
    <row r="8440">
      <c r="B8440" s="9" t="n">
        <v>8438</v>
      </c>
      <c r="C8440" s="10" t="inlineStr">
        <is>
          <t>Senior Marketing &amp; Business Development Manager</t>
        </is>
      </c>
      <c r="D8440" s="10" t="inlineStr">
        <is>
          <t>Rabbit Care Co., Ltd.</t>
        </is>
      </c>
      <c r="E8440" s="10" t="inlineStr">
        <is>
          <t>60tr-80tr ₫/tháng</t>
        </is>
      </c>
      <c r="F8440" s="10" t="inlineStr">
        <is>
          <t>Hồ Chí Minh</t>
        </is>
      </c>
      <c r="G8440" s="10" t="inlineStr">
        <is>
          <t>Trưởng phòng</t>
        </is>
      </c>
      <c r="H8440" s="10" t="inlineStr">
        <is>
          <t>20/02/2026</t>
        </is>
      </c>
      <c r="I8440" s="10" t="inlineStr">
        <is>
          <t>06/04/2026</t>
        </is>
      </c>
      <c r="J8440" s="10" t="inlineStr">
        <is>
          <t>17/03/2026</t>
        </is>
      </c>
      <c r="K8440" s="10" t="inlineStr">
        <is>
          <t>N/A</t>
        </is>
      </c>
      <c r="L8440" s="10" t="inlineStr">
        <is>
          <t>Business Development, Data Integration, Digital Marketing, English Fluency, Marketing Tools</t>
        </is>
      </c>
      <c r="M8440" s="10" t="inlineStr">
        <is>
          <t>Others</t>
        </is>
      </c>
      <c r="N8440" s="11">
        <f>HYPERLINK("https://www.vietnamworks.com/senior-marketing-and-business-development-manager-2012196-jv","Xem chi tiết")</f>
        <v/>
      </c>
      <c r="O8440" s="10" t="n"/>
    </row>
    <row r="8441">
      <c r="B8441" s="7" t="n">
        <v>8439</v>
      </c>
      <c r="C8441" t="inlineStr">
        <is>
          <t>Trưởng Phòng Quản Lý và Cải Tiến Quy Trình - Trung Tâm Vận Hành Tối Ưu - Khối Vận Hành</t>
        </is>
      </c>
      <c r="D8441" t="inlineStr">
        <is>
          <t>Ngân Hàng TMCP Đại Chúng Việt Nam</t>
        </is>
      </c>
      <c r="E8441" t="inlineStr">
        <is>
          <t>$$ 2,000-3,000 /tháng</t>
        </is>
      </c>
      <c r="F8441" t="inlineStr">
        <is>
          <t>Hà Nội</t>
        </is>
      </c>
      <c r="G8441" t="inlineStr">
        <is>
          <t>Trưởng phòng</t>
        </is>
      </c>
      <c r="H8441" t="inlineStr">
        <is>
          <t>06/03/2026</t>
        </is>
      </c>
      <c r="I8441" t="inlineStr">
        <is>
          <t>05/04/2026</t>
        </is>
      </c>
      <c r="J8441" t="inlineStr">
        <is>
          <t>17/03/2026</t>
        </is>
      </c>
      <c r="K8441" t="inlineStr">
        <is>
          <t>N/A</t>
        </is>
      </c>
      <c r="L8441" t="inlineStr">
        <is>
          <t>Ngân hàng, Quản Lý Quy Trình, Tài Chính, Cải Tiến Quy Trình Vận Hành</t>
        </is>
      </c>
      <c r="M8441" t="inlineStr">
        <is>
          <t>Bonus, Healthcare Plan, Canteen</t>
        </is>
      </c>
      <c r="N8441" s="8">
        <f>HYPERLINK("https://www.vietnamworks.com/truong-phong-quan-ly-va-cai-tien-quy-trinh-trung-tam-van-hanh-toi-uu-khoi-van-hanh--2019922-jv","Xem chi tiết")</f>
        <v/>
      </c>
    </row>
    <row r="8442">
      <c r="B8442" s="9" t="n">
        <v>8440</v>
      </c>
      <c r="C8442" s="10" t="inlineStr">
        <is>
          <t>Kế Toán Thanh Toán Công Nợ</t>
        </is>
      </c>
      <c r="D8442" s="10" t="inlineStr">
        <is>
          <t>CÔNG TY TNHH GOLDEN HEALTH USA</t>
        </is>
      </c>
      <c r="E8442" s="10" t="inlineStr">
        <is>
          <t>12tr-14tr ₫/tháng</t>
        </is>
      </c>
      <c r="F8442" s="10" t="inlineStr">
        <is>
          <t>Hồ Chí Minh</t>
        </is>
      </c>
      <c r="G8442" s="10" t="inlineStr">
        <is>
          <t>Nhân viên</t>
        </is>
      </c>
      <c r="H8442" s="10" t="inlineStr">
        <is>
          <t>06/03/2026</t>
        </is>
      </c>
      <c r="I8442" s="10" t="inlineStr">
        <is>
          <t>06/04/2026</t>
        </is>
      </c>
      <c r="J8442" s="10" t="inlineStr">
        <is>
          <t>17/03/2026</t>
        </is>
      </c>
      <c r="K8442" s="10" t="inlineStr">
        <is>
          <t>N/A</t>
        </is>
      </c>
      <c r="L8442" s="10" t="inlineStr">
        <is>
          <t>Kế Toán, Làm Hóa Đơn, Phần mềm kế toán, Giao Tiếp, Trách nhiệm</t>
        </is>
      </c>
      <c r="M8442" s="10" t="inlineStr">
        <is>
          <t>Paid Leave, Travel Opportunities, Others</t>
        </is>
      </c>
      <c r="N8442" s="11">
        <f>HYPERLINK("https://www.vietnamworks.com/ke-toan-thanh-toan-cong-no-2019541-jv","Xem chi tiết")</f>
        <v/>
      </c>
      <c r="O8442" s="10" t="n"/>
    </row>
    <row r="8443">
      <c r="B8443" s="7" t="n">
        <v>8441</v>
      </c>
      <c r="C8443" t="inlineStr">
        <is>
          <t>Senior AI Architect - Building Vietnam Legal AI Platform</t>
        </is>
      </c>
      <c r="D8443" t="inlineStr">
        <is>
          <t>Công ty TNHH THƯ VIỆN PHÁP LUẬT</t>
        </is>
      </c>
      <c r="E8443" t="inlineStr">
        <is>
          <t>60tr-160tr ₫/tháng</t>
        </is>
      </c>
      <c r="F8443" t="inlineStr">
        <is>
          <t>Hồ Chí Minh</t>
        </is>
      </c>
      <c r="G8443" t="inlineStr">
        <is>
          <t>Trưởng phòng</t>
        </is>
      </c>
      <c r="H8443" t="inlineStr">
        <is>
          <t>07/03/2026</t>
        </is>
      </c>
      <c r="I8443" t="inlineStr">
        <is>
          <t>06/04/2026</t>
        </is>
      </c>
      <c r="J8443" t="inlineStr">
        <is>
          <t>17/03/2026</t>
        </is>
      </c>
      <c r="K8443" t="inlineStr">
        <is>
          <t>N/A</t>
        </is>
      </c>
      <c r="L8443" t="inlineStr">
        <is>
          <t>AX System, Distributed Systems, Machine Learning, NLP, Product Development</t>
        </is>
      </c>
      <c r="M8443" t="inlineStr">
        <is>
          <t>Bonus, Others</t>
        </is>
      </c>
      <c r="N8443" s="8">
        <f>HYPERLINK("https://www.vietnamworks.com/senior-ai-architect-building-vietnam-legal-ai-platform-2019951-jv","Xem chi tiết")</f>
        <v/>
      </c>
    </row>
    <row r="8444">
      <c r="B8444" s="9" t="n">
        <v>8442</v>
      </c>
      <c r="C8444" s="10" t="inlineStr">
        <is>
          <t>AI Engineer (RAG / LLM) - Building Vietnam Legal AI Platform</t>
        </is>
      </c>
      <c r="D8444" s="10" t="inlineStr">
        <is>
          <t>Công ty TNHH THƯ VIỆN PHÁP LUẬT</t>
        </is>
      </c>
      <c r="E8444" s="10" t="inlineStr">
        <is>
          <t>26tr-40tr ₫/tháng</t>
        </is>
      </c>
      <c r="F8444" s="10" t="inlineStr">
        <is>
          <t>Hồ Chí Minh</t>
        </is>
      </c>
      <c r="G8444" s="10" t="inlineStr">
        <is>
          <t>Nhân viên</t>
        </is>
      </c>
      <c r="H8444" s="10" t="inlineStr">
        <is>
          <t>07/03/2026</t>
        </is>
      </c>
      <c r="I8444" s="10" t="inlineStr">
        <is>
          <t>06/04/2026</t>
        </is>
      </c>
      <c r="J8444" s="10" t="inlineStr">
        <is>
          <t>17/03/2026</t>
        </is>
      </c>
      <c r="K8444" s="10" t="inlineStr">
        <is>
          <t>N/A</t>
        </is>
      </c>
      <c r="L8444" s="10" t="inlineStr">
        <is>
          <t>Ai, Distributed Systems, Machine Learning, NLP, Python</t>
        </is>
      </c>
      <c r="M8444" s="10" t="inlineStr">
        <is>
          <t>Bonus, Others</t>
        </is>
      </c>
      <c r="N8444" s="11">
        <f>HYPERLINK("https://www.vietnamworks.com/ai-engineer-rag-llm-building-vietnam-legal-ai-platform-2019954-jv","Xem chi tiết")</f>
        <v/>
      </c>
      <c r="O8444" s="10" t="n"/>
    </row>
    <row r="8445">
      <c r="B8445" s="7" t="n">
        <v>8443</v>
      </c>
      <c r="C8445" t="inlineStr">
        <is>
          <t>Nhân Viên Hành Chính Tổng Hợp</t>
        </is>
      </c>
      <c r="D8445" t="inlineStr">
        <is>
          <t>CÔNG TY CỔ PHẦN CẢNG CONTAINER QUỐC TẾ HATECO HẢI PHÒNG</t>
        </is>
      </c>
      <c r="E8445" t="inlineStr">
        <is>
          <t>Thương lượng</t>
        </is>
      </c>
      <c r="F8445" t="inlineStr">
        <is>
          <t>Hải Phòng</t>
        </is>
      </c>
      <c r="G8445" t="inlineStr">
        <is>
          <t>Nhân viên</t>
        </is>
      </c>
      <c r="H8445" t="inlineStr">
        <is>
          <t>07/03/2026</t>
        </is>
      </c>
      <c r="I8445" t="inlineStr">
        <is>
          <t>06/04/2026</t>
        </is>
      </c>
      <c r="J8445" t="inlineStr">
        <is>
          <t>17/03/2026</t>
        </is>
      </c>
      <c r="K8445" t="inlineStr">
        <is>
          <t>N/A</t>
        </is>
      </c>
      <c r="L8445" t="inlineStr">
        <is>
          <t>Giao Tiếp, Hành Chính, Kinh Tế, Luật, Quản Trị</t>
        </is>
      </c>
      <c r="M8445" t="inlineStr">
        <is>
          <t>Bonus, Healthcare Plan, Training, Transportation, Others</t>
        </is>
      </c>
      <c r="N8445" s="8">
        <f>HYPERLINK("https://www.vietnamworks.com/nhan-vien-hanh-chinh-tong-hop-2019965-jv","Xem chi tiết")</f>
        <v/>
      </c>
    </row>
    <row r="8446">
      <c r="B8446" s="9" t="n">
        <v>8444</v>
      </c>
      <c r="C8446" s="10" t="inlineStr">
        <is>
          <t>Kỹ Sư Điện Tự Động</t>
        </is>
      </c>
      <c r="D8446" s="10" t="inlineStr">
        <is>
          <t>CÔNG TY CỔ PHẦN CẢNG CONTAINER QUỐC TẾ HATECO HẢI PHÒNG</t>
        </is>
      </c>
      <c r="E8446" s="10" t="inlineStr">
        <is>
          <t>Thương lượng</t>
        </is>
      </c>
      <c r="F8446" s="10" t="inlineStr">
        <is>
          <t>Hải Phòng</t>
        </is>
      </c>
      <c r="G8446" s="10" t="inlineStr">
        <is>
          <t>Nhân viên</t>
        </is>
      </c>
      <c r="H8446" s="10" t="inlineStr">
        <is>
          <t>07/03/2026</t>
        </is>
      </c>
      <c r="I8446" s="10" t="inlineStr">
        <is>
          <t>06/04/2026</t>
        </is>
      </c>
      <c r="J8446" s="10" t="inlineStr">
        <is>
          <t>17/03/2026</t>
        </is>
      </c>
      <c r="K8446" s="10" t="inlineStr">
        <is>
          <t>N/A</t>
        </is>
      </c>
      <c r="L8446" s="10" t="inlineStr">
        <is>
          <t>Bảo Trì Điện, Cơ Điện Tự Động, Làm Việc Nhóm, Tự Động Hóa, PLC</t>
        </is>
      </c>
      <c r="M8446" s="10" t="inlineStr">
        <is>
          <t>Bonus, Healthcare Plan, Training, Transportation, Others</t>
        </is>
      </c>
      <c r="N8446" s="11">
        <f>HYPERLINK("https://www.vietnamworks.com/ky-su-djien-tu-djong-2019958-jv","Xem chi tiết")</f>
        <v/>
      </c>
      <c r="O8446" s="10" t="n"/>
    </row>
    <row r="8447">
      <c r="B8447" s="7" t="n">
        <v>8445</v>
      </c>
      <c r="C8447" t="inlineStr">
        <is>
          <t>Kỹ Sư Phần Mềm Tự Động Hóa</t>
        </is>
      </c>
      <c r="D8447" t="inlineStr">
        <is>
          <t>Fushan Technology Vietnam</t>
        </is>
      </c>
      <c r="E8447" t="inlineStr">
        <is>
          <t>$$ 500-1,500 /tháng</t>
        </is>
      </c>
      <c r="F8447" t="inlineStr">
        <is>
          <t>Bắc Ninh, Bắc Giang, Hà Nội</t>
        </is>
      </c>
      <c r="G8447" t="inlineStr">
        <is>
          <t>Nhân viên</t>
        </is>
      </c>
      <c r="H8447" t="inlineStr">
        <is>
          <t>07/03/2026</t>
        </is>
      </c>
      <c r="I8447" t="inlineStr">
        <is>
          <t>06/04/2026</t>
        </is>
      </c>
      <c r="J8447" t="inlineStr">
        <is>
          <t>17/03/2026</t>
        </is>
      </c>
      <c r="K8447" t="inlineStr">
        <is>
          <t>N/A</t>
        </is>
      </c>
      <c r="L8447" t="inlineStr">
        <is>
          <t>Embedded, C++, C#, Automotive, Automation Testing</t>
        </is>
      </c>
      <c r="M8447" t="inlineStr">
        <is>
          <t>Bonus, Healthcare Plan, Paid Leave</t>
        </is>
      </c>
      <c r="N8447" s="8">
        <f>HYPERLINK("https://www.vietnamworks.com/ky-su-phan-mem-tu-dong-hoa-2019994-jv","Xem chi tiết")</f>
        <v/>
      </c>
    </row>
    <row r="8448">
      <c r="B8448" s="9" t="n">
        <v>8446</v>
      </c>
      <c r="C8448" s="10" t="inlineStr">
        <is>
          <t>Finance Manager</t>
        </is>
      </c>
      <c r="D8448" s="10" t="inlineStr">
        <is>
          <t>Công Ty TNHH WGR Industries</t>
        </is>
      </c>
      <c r="E8448" s="10" t="inlineStr">
        <is>
          <t>60tr-80tr ₫/tháng</t>
        </is>
      </c>
      <c r="F8448" s="10" t="inlineStr">
        <is>
          <t>Bình Định</t>
        </is>
      </c>
      <c r="G8448" s="10" t="inlineStr">
        <is>
          <t>Giám Đốc và Cấp Cao Hơn</t>
        </is>
      </c>
      <c r="H8448" s="10" t="inlineStr">
        <is>
          <t>07/03/2026</t>
        </is>
      </c>
      <c r="I8448" s="10" t="inlineStr">
        <is>
          <t>06/04/2026</t>
        </is>
      </c>
      <c r="J8448" s="10" t="inlineStr">
        <is>
          <t>17/03/2026</t>
        </is>
      </c>
      <c r="K8448" s="10" t="inlineStr">
        <is>
          <t>N/A</t>
        </is>
      </c>
      <c r="L8448" s="10" t="inlineStr">
        <is>
          <t>Analytical Skills, Costing Analysis, ERP Systems, Financial Management, Ifrs Knowledge</t>
        </is>
      </c>
      <c r="M8448" s="10" t="inlineStr">
        <is>
          <t>Bonus, Healthcare Plan, Training, Mobile, Team Activities, Others</t>
        </is>
      </c>
      <c r="N8448" s="11">
        <f>HYPERLINK("https://www.vietnamworks.com/finance-manager-2019971-jv","Xem chi tiết")</f>
        <v/>
      </c>
      <c r="O8448" s="10" t="n"/>
    </row>
    <row r="8449">
      <c r="B8449" s="7" t="n">
        <v>8447</v>
      </c>
      <c r="C8449" t="inlineStr">
        <is>
          <t>Excutive, IT Helpdesk</t>
        </is>
      </c>
      <c r="D8449" t="inlineStr">
        <is>
          <t>Trường Quốc Tế Nam Mỹ</t>
        </is>
      </c>
      <c r="E8449" t="inlineStr">
        <is>
          <t>Thương lượng</t>
        </is>
      </c>
      <c r="F8449" t="inlineStr">
        <is>
          <t>Hồ Chí Minh</t>
        </is>
      </c>
      <c r="G8449" t="inlineStr">
        <is>
          <t>Nhân viên</t>
        </is>
      </c>
      <c r="H8449" t="inlineStr">
        <is>
          <t>07/03/2026</t>
        </is>
      </c>
      <c r="I8449" t="inlineStr">
        <is>
          <t>06/04/2026</t>
        </is>
      </c>
      <c r="J8449" t="inlineStr">
        <is>
          <t>17/03/2026</t>
        </is>
      </c>
      <c r="K8449" t="inlineStr">
        <is>
          <t>N/A</t>
        </is>
      </c>
      <c r="L8449" t="inlineStr">
        <is>
          <t>Communication Skills, Customer Service, IT Helpdesk, Problem-solving, Technical Support</t>
        </is>
      </c>
      <c r="M8449" t="inlineStr">
        <is>
          <t>Healthcare Plan, Paid Leave, Training, Team Activities, Transportation, Others</t>
        </is>
      </c>
      <c r="N8449" s="8">
        <f>HYPERLINK("https://www.vietnamworks.com/excutive-it-helpdesk-2019974-jv","Xem chi tiết")</f>
        <v/>
      </c>
    </row>
    <row r="8450">
      <c r="B8450" s="9" t="n">
        <v>8448</v>
      </c>
      <c r="C8450" s="10" t="inlineStr">
        <is>
          <t>Chuyên Viên Quản Lý Dữ Liệu (Master Data Management)</t>
        </is>
      </c>
      <c r="D8450" s="10" t="inlineStr">
        <is>
          <t>Công Ty Cổ Phần Quốc Tế Sơn Hà</t>
        </is>
      </c>
      <c r="E8450" s="10" t="inlineStr">
        <is>
          <t>$$ 800-1,000 /tháng</t>
        </is>
      </c>
      <c r="F8450" s="10" t="inlineStr">
        <is>
          <t>Hà Nội</t>
        </is>
      </c>
      <c r="G8450" s="10" t="inlineStr">
        <is>
          <t>Nhân viên</t>
        </is>
      </c>
      <c r="H8450" s="10" t="inlineStr">
        <is>
          <t>07/03/2026</t>
        </is>
      </c>
      <c r="I8450" s="10" t="inlineStr">
        <is>
          <t>06/04/2026</t>
        </is>
      </c>
      <c r="J8450" s="10" t="inlineStr">
        <is>
          <t>17/03/2026</t>
        </is>
      </c>
      <c r="K8450" s="10" t="inlineStr">
        <is>
          <t>N/A</t>
        </is>
      </c>
      <c r="L8450" s="10" t="inlineStr">
        <is>
          <t>Data Engineer, Master Data Management, ERP Management, SAP Master Data, Data Analysis</t>
        </is>
      </c>
      <c r="M8450" s="10" t="inlineStr">
        <is>
          <t>Bonus, Healthcare Plan, Laptop</t>
        </is>
      </c>
      <c r="N8450" s="11">
        <f>HYPERLINK("https://www.vietnamworks.com/chuyen-vien-quan-ly-du-lieu-master-data-management-2019995-jv","Xem chi tiết")</f>
        <v/>
      </c>
      <c r="O8450" s="10" t="n"/>
    </row>
    <row r="8451">
      <c r="B8451" s="7" t="n">
        <v>8449</v>
      </c>
      <c r="C8451" t="inlineStr">
        <is>
          <t>Kỹ Sư Máy</t>
        </is>
      </c>
      <c r="D8451" t="inlineStr">
        <is>
          <t>CÔNG TY CỔ PHẦN CẢNG CONTAINER QUỐC TẾ HATECO HẢI PHÒNG</t>
        </is>
      </c>
      <c r="E8451" t="inlineStr">
        <is>
          <t>Thương lượng</t>
        </is>
      </c>
      <c r="F8451" t="inlineStr">
        <is>
          <t>Hải Phòng</t>
        </is>
      </c>
      <c r="G8451" t="inlineStr">
        <is>
          <t>Nhân viên</t>
        </is>
      </c>
      <c r="H8451" t="inlineStr">
        <is>
          <t>07/03/2026</t>
        </is>
      </c>
      <c r="I8451" t="inlineStr">
        <is>
          <t>06/04/2026</t>
        </is>
      </c>
      <c r="J8451" t="inlineStr">
        <is>
          <t>17/03/2026</t>
        </is>
      </c>
      <c r="K8451" t="inlineStr">
        <is>
          <t>N/A</t>
        </is>
      </c>
      <c r="L8451" t="inlineStr">
        <is>
          <t>Kỹ Thuật Cơ Khí, Máy Xếp Dỡ, Máy Động Lực, Kỹ Sư Máy, Sửa Chữa Thiết Bị</t>
        </is>
      </c>
      <c r="M8451" t="inlineStr">
        <is>
          <t>Bonus, Healthcare Plan, Training, Transportation, Others</t>
        </is>
      </c>
      <c r="N8451" s="8">
        <f>HYPERLINK("https://www.vietnamworks.com/ky-su-may-2019961-jv","Xem chi tiết")</f>
        <v/>
      </c>
    </row>
    <row r="8452">
      <c r="B8452" s="9" t="n">
        <v>8450</v>
      </c>
      <c r="C8452" s="10" t="inlineStr">
        <is>
          <t>Warehouse Supervisor</t>
        </is>
      </c>
      <c r="D8452" s="10" t="inlineStr">
        <is>
          <t>Molex Vietnam Co., Ltd.</t>
        </is>
      </c>
      <c r="E8452" s="10" t="inlineStr">
        <is>
          <t>Thương lượng</t>
        </is>
      </c>
      <c r="F8452" s="10" t="inlineStr">
        <is>
          <t>Hưng Yên</t>
        </is>
      </c>
      <c r="G8452" s="10" t="inlineStr">
        <is>
          <t>Trưởng phòng</t>
        </is>
      </c>
      <c r="H8452" s="10" t="inlineStr">
        <is>
          <t>07/03/2026</t>
        </is>
      </c>
      <c r="I8452" s="10" t="inlineStr">
        <is>
          <t>06/04/2026</t>
        </is>
      </c>
      <c r="J8452" s="10" t="inlineStr">
        <is>
          <t>17/03/2026</t>
        </is>
      </c>
      <c r="K8452" s="10" t="inlineStr">
        <is>
          <t>N/A</t>
        </is>
      </c>
      <c r="L8452" s="10" t="inlineStr">
        <is>
          <t>English, Inventory Optimization, Inventory Control, Warehouse Operation, ISO Standard</t>
        </is>
      </c>
      <c r="M8452" s="10" t="inlineStr">
        <is>
          <t>Bonus, Healthcare Plan, Others</t>
        </is>
      </c>
      <c r="N8452" s="11">
        <f>HYPERLINK("https://www.vietnamworks.com/warehouse-supervisor--2020023-jv","Xem chi tiết")</f>
        <v/>
      </c>
      <c r="O8452" s="10" t="n"/>
    </row>
    <row r="8453">
      <c r="B8453" s="7" t="n">
        <v>8451</v>
      </c>
      <c r="C8453" t="inlineStr">
        <is>
          <t>Senior AI Engineer (RAG / LLM) – Building Vietnam Legal AI Platform</t>
        </is>
      </c>
      <c r="D8453" t="inlineStr">
        <is>
          <t>Công ty TNHH THƯ VIỆN PHÁP LUẬT</t>
        </is>
      </c>
      <c r="E8453" t="inlineStr">
        <is>
          <t>36tr-72tr ₫/tháng</t>
        </is>
      </c>
      <c r="F8453" t="inlineStr">
        <is>
          <t>Hồ Chí Minh</t>
        </is>
      </c>
      <c r="G8453" t="inlineStr">
        <is>
          <t>Nhân viên</t>
        </is>
      </c>
      <c r="H8453" t="inlineStr">
        <is>
          <t>07/03/2026</t>
        </is>
      </c>
      <c r="I8453" t="inlineStr">
        <is>
          <t>06/04/2026</t>
        </is>
      </c>
      <c r="J8453" t="inlineStr">
        <is>
          <t>17/03/2026</t>
        </is>
      </c>
      <c r="K8453" t="inlineStr">
        <is>
          <t>N/A</t>
        </is>
      </c>
      <c r="L8453" t="inlineStr">
        <is>
          <t>Audio Visual Production, Distributed Systems, Machine Learning, NLP, Python</t>
        </is>
      </c>
      <c r="M8453" t="inlineStr">
        <is>
          <t>Bonus, Others</t>
        </is>
      </c>
      <c r="N8453" s="8">
        <f>HYPERLINK("https://www.vietnamworks.com/senior-ai-engineer-rag-llm-building-vietnam-legal-ai-platform-2019955-jv","Xem chi tiết")</f>
        <v/>
      </c>
    </row>
    <row r="8454">
      <c r="B8454" s="9" t="n">
        <v>8452</v>
      </c>
      <c r="C8454" s="10" t="inlineStr">
        <is>
          <t>Warehouse Supervisor</t>
        </is>
      </c>
      <c r="D8454" s="10" t="inlineStr">
        <is>
          <t>Saitex International Dong Nai (VN)</t>
        </is>
      </c>
      <c r="E8454" s="10" t="inlineStr">
        <is>
          <t>Thương lượng</t>
        </is>
      </c>
      <c r="F8454" s="10" t="inlineStr">
        <is>
          <t>Đồng Nai</t>
        </is>
      </c>
      <c r="G8454" s="10" t="inlineStr">
        <is>
          <t>Trưởng phòng</t>
        </is>
      </c>
      <c r="H8454" s="10" t="inlineStr">
        <is>
          <t>07/03/2026</t>
        </is>
      </c>
      <c r="I8454" s="10" t="inlineStr">
        <is>
          <t>06/04/2026</t>
        </is>
      </c>
      <c r="J8454" s="10" t="inlineStr">
        <is>
          <t>17/03/2026</t>
        </is>
      </c>
      <c r="K8454" s="10" t="inlineStr">
        <is>
          <t>N/A</t>
        </is>
      </c>
      <c r="L8454" s="10" t="inlineStr">
        <is>
          <t>Warehouse Management, Giám Sát Kho, Logicstic, SAP, Warehouse Operation</t>
        </is>
      </c>
      <c r="M8454" s="10" t="inlineStr">
        <is>
          <t>Bonus, Healthcare Plan, Transportation</t>
        </is>
      </c>
      <c r="N8454" s="11">
        <f>HYPERLINK("https://www.vietnamworks.com/warehouse-supervisor--2020000-jv","Xem chi tiết")</f>
        <v/>
      </c>
      <c r="O8454" s="10" t="n"/>
    </row>
    <row r="8455">
      <c r="B8455" s="7" t="n">
        <v>8453</v>
      </c>
      <c r="C8455" t="inlineStr">
        <is>
          <t>Nhân Viên Tiền Lương Và Phúc Lợi</t>
        </is>
      </c>
      <c r="D8455" t="inlineStr">
        <is>
          <t>Công Ty Cổ Phần Tập Đoàn Sunshine</t>
        </is>
      </c>
      <c r="E8455" t="inlineStr">
        <is>
          <t>Thương lượng</t>
        </is>
      </c>
      <c r="F8455" t="inlineStr">
        <is>
          <t>Hà Nội</t>
        </is>
      </c>
      <c r="G8455" t="inlineStr">
        <is>
          <t>Nhân viên</t>
        </is>
      </c>
      <c r="H8455" t="inlineStr">
        <is>
          <t>07/03/2026</t>
        </is>
      </c>
      <c r="I8455" t="inlineStr">
        <is>
          <t>06/04/2026</t>
        </is>
      </c>
      <c r="J8455" t="inlineStr">
        <is>
          <t>17/03/2026</t>
        </is>
      </c>
      <c r="K8455" t="inlineStr">
        <is>
          <t>N/A</t>
        </is>
      </c>
      <c r="L8455" t="inlineStr">
        <is>
          <t>Giao Tiếp, Kỹ Năng Excel, Kỹ năng phối hợp, Quản Trị Nhân Lực, Tư Vấn</t>
        </is>
      </c>
      <c r="M8455" t="inlineStr">
        <is>
          <t>Training, Others</t>
        </is>
      </c>
      <c r="N8455" s="8">
        <f>HYPERLINK("https://www.vietnamworks.com/nhan-vien-tien-luong-va-phuc-loi-2019967-jv","Xem chi tiết")</f>
        <v/>
      </c>
    </row>
    <row r="8456">
      <c r="B8456" s="9" t="n">
        <v>8454</v>
      </c>
      <c r="C8456" s="10" t="inlineStr">
        <is>
          <t>Trưởng Nhóm Hành Chính</t>
        </is>
      </c>
      <c r="D8456" s="10" t="inlineStr">
        <is>
          <t>CÔNG TY CỔ PHẦN CẢNG CONTAINER QUỐC TẾ HATECO HẢI PHÒNG</t>
        </is>
      </c>
      <c r="E8456" s="10" t="inlineStr">
        <is>
          <t>Thương lượng</t>
        </is>
      </c>
      <c r="F8456" s="10" t="inlineStr">
        <is>
          <t>Hải Phòng</t>
        </is>
      </c>
      <c r="G8456" s="10" t="inlineStr">
        <is>
          <t>Nhân viên</t>
        </is>
      </c>
      <c r="H8456" s="10" t="inlineStr">
        <is>
          <t>07/03/2026</t>
        </is>
      </c>
      <c r="I8456" s="10" t="inlineStr">
        <is>
          <t>06/04/2026</t>
        </is>
      </c>
      <c r="J8456" s="10" t="inlineStr">
        <is>
          <t>17/03/2026</t>
        </is>
      </c>
      <c r="K8456" s="10" t="inlineStr">
        <is>
          <t>N/A</t>
        </is>
      </c>
      <c r="L8456" s="10" t="inlineStr">
        <is>
          <t>Hành Chính, Hành chính văn phòng, Quản Trị, Theo Dõi Nhân Lực</t>
        </is>
      </c>
      <c r="M8456" s="10" t="inlineStr">
        <is>
          <t>Bonus, Training, Transportation, Others</t>
        </is>
      </c>
      <c r="N8456" s="11">
        <f>HYPERLINK("https://www.vietnamworks.com/truong-nhom-hanh-chinh-2019957-jv","Xem chi tiết")</f>
        <v/>
      </c>
      <c r="O8456" s="10" t="n"/>
    </row>
    <row r="8457">
      <c r="B8457" s="7" t="n">
        <v>8455</v>
      </c>
      <c r="C8457" t="inlineStr">
        <is>
          <t>ME TPM (Mechanical Engineer Technical Project Management)</t>
        </is>
      </c>
      <c r="D8457" t="inlineStr">
        <is>
          <t>Fushan Technology Vietnam</t>
        </is>
      </c>
      <c r="E8457" t="inlineStr">
        <is>
          <t>$$ 500-1,000 /tháng</t>
        </is>
      </c>
      <c r="F8457" t="inlineStr">
        <is>
          <t>Bắc Ninh, Hà Nội, Bắc Giang</t>
        </is>
      </c>
      <c r="G8457" t="inlineStr">
        <is>
          <t>Nhân viên</t>
        </is>
      </c>
      <c r="H8457" t="inlineStr">
        <is>
          <t>07/03/2026</t>
        </is>
      </c>
      <c r="I8457" t="inlineStr">
        <is>
          <t>06/04/2026</t>
        </is>
      </c>
      <c r="J8457" t="inlineStr">
        <is>
          <t>17/03/2026</t>
        </is>
      </c>
      <c r="K8457" t="inlineStr">
        <is>
          <t>N/A</t>
        </is>
      </c>
      <c r="L8457" t="inlineStr">
        <is>
          <t>Tpm</t>
        </is>
      </c>
      <c r="M8457" t="inlineStr">
        <is>
          <t>Bonus, Healthcare Plan, Paid Leave</t>
        </is>
      </c>
      <c r="N8457" s="8">
        <f>HYPERLINK("https://www.vietnamworks.com/me-tpm-mechanical-engineer-technical-project-management-2019997-jv","Xem chi tiết")</f>
        <v/>
      </c>
    </row>
    <row r="8458">
      <c r="B8458" s="9" t="n">
        <v>8456</v>
      </c>
      <c r="C8458" s="10" t="inlineStr">
        <is>
          <t>Recruitment Specialist</t>
        </is>
      </c>
      <c r="D8458" s="10" t="inlineStr">
        <is>
          <t>Vesta Lifestyle &amp; Gifts</t>
        </is>
      </c>
      <c r="E8458" s="10" t="inlineStr">
        <is>
          <t>12tr-17tr ₫/tháng</t>
        </is>
      </c>
      <c r="F8458" s="10" t="inlineStr">
        <is>
          <t>Hồ Chí Minh</t>
        </is>
      </c>
      <c r="G8458" s="10" t="inlineStr">
        <is>
          <t>Nhân viên</t>
        </is>
      </c>
      <c r="H8458" s="10" t="inlineStr">
        <is>
          <t>07/03/2026</t>
        </is>
      </c>
      <c r="I8458" s="10" t="inlineStr">
        <is>
          <t>06/04/2026</t>
        </is>
      </c>
      <c r="J8458" s="10" t="inlineStr">
        <is>
          <t>17/03/2026</t>
        </is>
      </c>
      <c r="K8458" s="10" t="inlineStr">
        <is>
          <t>N/A</t>
        </is>
      </c>
      <c r="L8458" s="10" t="inlineStr">
        <is>
          <t>Interview Screening, Mass Recruitment, Systemic Thinking, Talent Selection, Hr Orientation</t>
        </is>
      </c>
      <c r="M8458" s="10" t="inlineStr">
        <is>
          <t>Bonus, Healthcare Plan, Paid Leave, Others</t>
        </is>
      </c>
      <c r="N8458" s="11">
        <f>HYPERLINK("https://www.vietnamworks.com/recruitment-specialist-2020005-jv","Xem chi tiết")</f>
        <v/>
      </c>
      <c r="O8458" s="10" t="n"/>
    </row>
    <row r="8459">
      <c r="B8459" s="7" t="n">
        <v>8457</v>
      </c>
      <c r="C8459" t="inlineStr">
        <is>
          <t>Kỹ Sư Phần Mềm (Software Engineering) - Làm Việc Tại Bắc Ninh</t>
        </is>
      </c>
      <c r="D8459" t="inlineStr">
        <is>
          <t>Công ty TNHH CRESYN Hà Nội - Nhà máy Bắc Ninh</t>
        </is>
      </c>
      <c r="E8459" t="inlineStr">
        <is>
          <t>Thương lượng</t>
        </is>
      </c>
      <c r="F8459" t="inlineStr">
        <is>
          <t>Bắc Ninh</t>
        </is>
      </c>
      <c r="G8459" t="inlineStr">
        <is>
          <t>Nhân viên</t>
        </is>
      </c>
      <c r="H8459" t="inlineStr">
        <is>
          <t>07/03/2026</t>
        </is>
      </c>
      <c r="I8459" t="inlineStr">
        <is>
          <t>06/04/2026</t>
        </is>
      </c>
      <c r="J8459" t="inlineStr">
        <is>
          <t>17/03/2026</t>
        </is>
      </c>
      <c r="K8459" t="inlineStr">
        <is>
          <t>N/A</t>
        </is>
      </c>
      <c r="L8459" t="inlineStr">
        <is>
          <t>C++, C#, Java, .NET, Lập Trình</t>
        </is>
      </c>
      <c r="M8459" t="inlineStr">
        <is>
          <t>Bonus, Healthcare Plan, Others</t>
        </is>
      </c>
      <c r="N8459" s="8">
        <f>HYPERLINK("https://www.vietnamworks.com/ky-su-phan-mem-software-engineering-lam-viec-tai-bac-ninh-2020008-jv","Xem chi tiết")</f>
        <v/>
      </c>
    </row>
    <row r="8460">
      <c r="B8460" s="9" t="n">
        <v>8458</v>
      </c>
      <c r="C8460" s="10" t="inlineStr">
        <is>
          <t>Cán Bộ Kỹ Thuật Xây Dựng Dân Dụng, Kỹ Thuật Điện Nước, QA_QC (Đi làm ngay,Thời gian làm việc 3 tháng)</t>
        </is>
      </c>
      <c r="D8460" s="10" t="inlineStr">
        <is>
          <t>Công ty TNHH Tincons</t>
        </is>
      </c>
      <c r="E8460" s="10" t="inlineStr">
        <is>
          <t>18tr-25tr ₫/tháng</t>
        </is>
      </c>
      <c r="F8460" s="10" t="inlineStr">
        <is>
          <t>Đồng Nai, Hồ Chí Minh</t>
        </is>
      </c>
      <c r="G8460" s="10" t="inlineStr">
        <is>
          <t>Nhân viên</t>
        </is>
      </c>
      <c r="H8460" s="10" t="inlineStr">
        <is>
          <t>07/03/2026</t>
        </is>
      </c>
      <c r="I8460" s="10" t="inlineStr">
        <is>
          <t>06/04/2026</t>
        </is>
      </c>
      <c r="J8460" s="10" t="inlineStr">
        <is>
          <t>17/03/2026</t>
        </is>
      </c>
      <c r="K8460" s="10" t="inlineStr">
        <is>
          <t>N/A</t>
        </is>
      </c>
      <c r="L8460" s="10" t="inlineStr">
        <is>
          <t>Giám Sát Thi Công, Giao Tiếp, Kỹ Thuật Điện, Quản Lý Dự Án, Xây Dựng</t>
        </is>
      </c>
      <c r="M8460" s="10" t="inlineStr">
        <is>
          <t>Bonus</t>
        </is>
      </c>
      <c r="N8460" s="11">
        <f>HYPERLINK("https://www.vietnamworks.com/can-bo-ky-thuat-xay-dung-dan-dung-ky-thuat-djien-nuoc-qa_qc-dji-lam-ngaythoi-gian-lam-viec-3-thang-2020025-jv","Xem chi tiết")</f>
        <v/>
      </c>
      <c r="O8460" s="10" t="n"/>
    </row>
    <row r="8461">
      <c r="B8461" s="7" t="n">
        <v>8459</v>
      </c>
      <c r="C8461" t="inlineStr">
        <is>
          <t>Cyber Security Engineer</t>
        </is>
      </c>
      <c r="D8461" t="inlineStr">
        <is>
          <t>HONEYWELL (VIETNAM) COMPANY LIMITED</t>
        </is>
      </c>
      <c r="E8461" t="inlineStr">
        <is>
          <t>$$ 1,500-2,000 /tháng</t>
        </is>
      </c>
      <c r="F8461" t="inlineStr">
        <is>
          <t>Hà Nội</t>
        </is>
      </c>
      <c r="G8461" t="inlineStr">
        <is>
          <t>Nhân viên</t>
        </is>
      </c>
      <c r="H8461" t="inlineStr">
        <is>
          <t>07/03/2026</t>
        </is>
      </c>
      <c r="I8461" t="inlineStr">
        <is>
          <t>06/04/2026</t>
        </is>
      </c>
      <c r="J8461" t="inlineStr">
        <is>
          <t>17/03/2026</t>
        </is>
      </c>
      <c r="K8461" t="inlineStr">
        <is>
          <t>N/A</t>
        </is>
      </c>
      <c r="L8461" t="inlineStr">
        <is>
          <t>CCNA Security, CCNP Security, Cybersecurity, Firewall, Network</t>
        </is>
      </c>
      <c r="M8461" t="inlineStr">
        <is>
          <t>Bonus</t>
        </is>
      </c>
      <c r="N8461" s="8">
        <f>HYPERLINK("https://www.vietnamworks.com/cyber-security-engineer-2020014-jv","Xem chi tiết")</f>
        <v/>
      </c>
    </row>
    <row r="8462">
      <c r="B8462" s="9" t="n">
        <v>8460</v>
      </c>
      <c r="C8462" s="10" t="inlineStr">
        <is>
          <t>Analyst - SCM/Cán bộ Phân tích - Quản lý chuỗi cung ứng</t>
        </is>
      </c>
      <c r="D8462" s="10" t="inlineStr">
        <is>
          <t>Masan High-Tech Materials</t>
        </is>
      </c>
      <c r="E8462" s="10" t="inlineStr">
        <is>
          <t>$$ 700-1,000 /tháng</t>
        </is>
      </c>
      <c r="F8462" s="10" t="inlineStr">
        <is>
          <t>Hà Nội</t>
        </is>
      </c>
      <c r="G8462" s="10" t="inlineStr">
        <is>
          <t>Nhân viên</t>
        </is>
      </c>
      <c r="H8462" s="10" t="inlineStr">
        <is>
          <t>07/03/2026</t>
        </is>
      </c>
      <c r="I8462" s="10" t="inlineStr">
        <is>
          <t>06/04/2026</t>
        </is>
      </c>
      <c r="J8462" s="10" t="inlineStr">
        <is>
          <t>17/03/2026</t>
        </is>
      </c>
      <c r="K8462" s="10" t="inlineStr">
        <is>
          <t>N/A</t>
        </is>
      </c>
      <c r="L8462" s="10" t="inlineStr">
        <is>
          <t>Financial Analysis, Microsoft Office, Modeling, SAP, Supply Chain Management</t>
        </is>
      </c>
      <c r="M8462" s="10" t="inlineStr">
        <is>
          <t>Bonus, Healthcare Plan, Paid Leave, Training, Laptop</t>
        </is>
      </c>
      <c r="N8462" s="11">
        <f>HYPERLINK("https://www.vietnamworks.com/analyst-scmcan-bo-phan-tich-quan-ly-chuoi-cung-ung-2019977-jv","Xem chi tiết")</f>
        <v/>
      </c>
      <c r="O8462" s="10" t="n"/>
    </row>
    <row r="8463">
      <c r="B8463" s="7" t="n">
        <v>8461</v>
      </c>
      <c r="C8463" t="inlineStr">
        <is>
          <t>Head Of Fashion Design​</t>
        </is>
      </c>
      <c r="D8463" t="inlineStr">
        <is>
          <t>CÔNG TY TNHH FASTECH ASIA</t>
        </is>
      </c>
      <c r="E8463" t="inlineStr">
        <is>
          <t>50tr-70tr ₫/tháng</t>
        </is>
      </c>
      <c r="F8463" t="inlineStr">
        <is>
          <t>Hồ Chí Minh</t>
        </is>
      </c>
      <c r="G8463" t="inlineStr">
        <is>
          <t>Trưởng phòng</t>
        </is>
      </c>
      <c r="H8463" t="inlineStr">
        <is>
          <t>07/03/2026</t>
        </is>
      </c>
      <c r="I8463" t="inlineStr">
        <is>
          <t>06/04/2026</t>
        </is>
      </c>
      <c r="J8463" t="inlineStr">
        <is>
          <t>17/03/2026</t>
        </is>
      </c>
      <c r="K8463" t="inlineStr">
        <is>
          <t>N/A</t>
        </is>
      </c>
      <c r="L8463" t="inlineStr">
        <is>
          <t>3D Design, Adobe Creative Suite, Fashion Design, Garment Construction, Leadership</t>
        </is>
      </c>
      <c r="M8463" t="inlineStr">
        <is>
          <t>Bonus, Healthcare Plan, Training, Team Activities, Others</t>
        </is>
      </c>
      <c r="N8463" s="8">
        <f>HYPERLINK("https://www.vietnamworks.com/head-of-fashion-design-2019972-jv","Xem chi tiết")</f>
        <v/>
      </c>
    </row>
    <row r="8464">
      <c r="B8464" s="9" t="n">
        <v>8462</v>
      </c>
      <c r="C8464" s="10" t="inlineStr">
        <is>
          <t>Chuyên Viên Nhân Sự</t>
        </is>
      </c>
      <c r="D8464" s="10" t="inlineStr">
        <is>
          <t>Công Ty Cổ Phần Seadent</t>
        </is>
      </c>
      <c r="E8464" s="10" t="inlineStr">
        <is>
          <t>17tr-20tr ₫/tháng</t>
        </is>
      </c>
      <c r="F8464" s="10" t="inlineStr">
        <is>
          <t>Hồ Chí Minh</t>
        </is>
      </c>
      <c r="G8464" s="10" t="inlineStr">
        <is>
          <t>Nhân viên</t>
        </is>
      </c>
      <c r="H8464" s="10" t="inlineStr">
        <is>
          <t>07/03/2026</t>
        </is>
      </c>
      <c r="I8464" s="10" t="inlineStr">
        <is>
          <t>06/04/2026</t>
        </is>
      </c>
      <c r="J8464" s="10" t="inlineStr">
        <is>
          <t>17/03/2026</t>
        </is>
      </c>
      <c r="K8464" s="10" t="inlineStr">
        <is>
          <t>N/A</t>
        </is>
      </c>
      <c r="L8464" s="10" t="inlineStr">
        <is>
          <t>Customer Experience Management, Employer Branding, Recruitment, ATS Recruitment System</t>
        </is>
      </c>
      <c r="M8464" s="10" t="inlineStr">
        <is>
          <t>Healthcare Plan, Training, Others</t>
        </is>
      </c>
      <c r="N8464" s="11">
        <f>HYPERLINK("https://www.vietnamworks.com/chuyen-vien-nhan-su-2019983-jv","Xem chi tiết")</f>
        <v/>
      </c>
      <c r="O8464" s="10" t="n"/>
    </row>
    <row r="8465">
      <c r="B8465" s="7" t="n">
        <v>8463</v>
      </c>
      <c r="C8465" t="inlineStr">
        <is>
          <t>Digital Marketing Executive</t>
        </is>
      </c>
      <c r="D8465" t="inlineStr">
        <is>
          <t>Uhomes.com Việt Nam</t>
        </is>
      </c>
      <c r="E8465" t="inlineStr">
        <is>
          <t>500-600 ₫/tháng</t>
        </is>
      </c>
      <c r="F8465" t="inlineStr">
        <is>
          <t>Hà Nội</t>
        </is>
      </c>
      <c r="G8465" t="inlineStr">
        <is>
          <t>Nhân viên</t>
        </is>
      </c>
      <c r="H8465" t="inlineStr">
        <is>
          <t>21/02/2026</t>
        </is>
      </c>
      <c r="I8465" t="inlineStr">
        <is>
          <t>07/04/2026</t>
        </is>
      </c>
      <c r="J8465" t="inlineStr">
        <is>
          <t>17/03/2026</t>
        </is>
      </c>
      <c r="K8465" t="inlineStr">
        <is>
          <t>N/A</t>
        </is>
      </c>
      <c r="L8465" t="inlineStr">
        <is>
          <t>Social Media Management, Brand &amp; Community Engagement, Digital Marketing, Market Analysis, Marketing Campaign Management</t>
        </is>
      </c>
      <c r="M8465" t="inlineStr">
        <is>
          <t>Bonus, Team Activities, Others</t>
        </is>
      </c>
      <c r="N8465" s="8">
        <f>HYPERLINK("https://www.vietnamworks.com/digital-marketing-executive--2012208-jv","Xem chi tiết")</f>
        <v/>
      </c>
    </row>
    <row r="8466">
      <c r="B8466" s="9" t="n">
        <v>8464</v>
      </c>
      <c r="C8466" s="10" t="inlineStr">
        <is>
          <t>Sales Strategy Specialist - GT Channel</t>
        </is>
      </c>
      <c r="D8466" s="10" t="inlineStr">
        <is>
          <t>Công ty TNHH CJ Foods Việt Nam/ CJ Foods Vietnam Company Limited</t>
        </is>
      </c>
      <c r="E8466" s="10" t="inlineStr">
        <is>
          <t>Thương lượng</t>
        </is>
      </c>
      <c r="F8466" s="10" t="inlineStr">
        <is>
          <t>Hồ Chí Minh</t>
        </is>
      </c>
      <c r="G8466" s="10" t="inlineStr">
        <is>
          <t>Nhân viên</t>
        </is>
      </c>
      <c r="H8466" s="10" t="inlineStr">
        <is>
          <t>07/03/2026</t>
        </is>
      </c>
      <c r="I8466" s="10" t="inlineStr">
        <is>
          <t>06/04/2026</t>
        </is>
      </c>
      <c r="J8466" s="10" t="inlineStr">
        <is>
          <t>17/03/2026</t>
        </is>
      </c>
      <c r="K8466" s="10" t="inlineStr">
        <is>
          <t>N/A</t>
        </is>
      </c>
      <c r="L8466" s="10" t="inlineStr">
        <is>
          <t>Trade Marketing, Sales Planning, Commercial Planning, FMCG, GT Channel</t>
        </is>
      </c>
      <c r="M8466" s="10" t="inlineStr">
        <is>
          <t>Paid Leave, Laptop, Others</t>
        </is>
      </c>
      <c r="N8466" s="11">
        <f>HYPERLINK("https://www.vietnamworks.com/sales-strategy-specialist-gt-channel--2020028-jv","Xem chi tiết")</f>
        <v/>
      </c>
      <c r="O8466" s="10" t="n"/>
    </row>
    <row r="8467">
      <c r="B8467" s="7" t="n">
        <v>8465</v>
      </c>
      <c r="C8467" t="inlineStr">
        <is>
          <t>Thư ký phòng quản lý sản xuất</t>
        </is>
      </c>
      <c r="D8467" t="inlineStr">
        <is>
          <t>ALUKO Group</t>
        </is>
      </c>
      <c r="E8467" t="inlineStr">
        <is>
          <t>Thương lượng</t>
        </is>
      </c>
      <c r="F8467" t="inlineStr">
        <is>
          <t>Hưng Yên</t>
        </is>
      </c>
      <c r="G8467" t="inlineStr">
        <is>
          <t>Nhân viên</t>
        </is>
      </c>
      <c r="H8467" t="inlineStr">
        <is>
          <t>21/02/2026</t>
        </is>
      </c>
      <c r="I8467" t="inlineStr">
        <is>
          <t>07/04/2026</t>
        </is>
      </c>
      <c r="J8467" t="inlineStr">
        <is>
          <t>17/03/2026</t>
        </is>
      </c>
      <c r="K8467" t="inlineStr">
        <is>
          <t>N/A</t>
        </is>
      </c>
      <c r="L8467" t="inlineStr">
        <is>
          <t>Excel, Làm Việc Nhóm, Nhập Liệu, Quản Lý Sản Xuất, Thống Kê Số Liệu</t>
        </is>
      </c>
      <c r="M8467" t="inlineStr">
        <is>
          <t>Bonus, Healthcare Plan, Others</t>
        </is>
      </c>
      <c r="N8467" s="8">
        <f>HYPERLINK("https://www.vietnamworks.com/thu-ky-phong-quan-ly-san-xuat-2012211-jv","Xem chi tiết")</f>
        <v/>
      </c>
    </row>
    <row r="8468">
      <c r="B8468" s="9" t="n">
        <v>8466</v>
      </c>
      <c r="C8468" s="10" t="inlineStr">
        <is>
          <t>Partnership Specialist</t>
        </is>
      </c>
      <c r="D8468" s="10" t="inlineStr">
        <is>
          <t>Uhomes.com Việt Nam</t>
        </is>
      </c>
      <c r="E8468" s="10" t="inlineStr">
        <is>
          <t>$$ 500-700 /tháng</t>
        </is>
      </c>
      <c r="F8468" s="10" t="inlineStr">
        <is>
          <t>Hà Nội</t>
        </is>
      </c>
      <c r="G8468" s="10" t="inlineStr">
        <is>
          <t>Nhân viên</t>
        </is>
      </c>
      <c r="H8468" s="10" t="inlineStr">
        <is>
          <t>21/02/2026</t>
        </is>
      </c>
      <c r="I8468" s="10" t="inlineStr">
        <is>
          <t>07/04/2026</t>
        </is>
      </c>
      <c r="J8468" s="10" t="inlineStr">
        <is>
          <t>17/03/2026</t>
        </is>
      </c>
      <c r="K8468" s="10" t="inlineStr">
        <is>
          <t>N/A</t>
        </is>
      </c>
      <c r="L8468" s="10" t="inlineStr">
        <is>
          <t>Phát Triển Thị Trường, Partnership Development</t>
        </is>
      </c>
      <c r="M8468" s="10" t="inlineStr">
        <is>
          <t>Bonus, Team Activities, Others</t>
        </is>
      </c>
      <c r="N8468" s="11">
        <f>HYPERLINK("https://www.vietnamworks.com/partnership-specialist--2012209-jv","Xem chi tiết")</f>
        <v/>
      </c>
      <c r="O8468" s="10" t="n"/>
    </row>
    <row r="8469">
      <c r="B8469" s="7" t="n">
        <v>8467</v>
      </c>
      <c r="C8469" t="inlineStr">
        <is>
          <t>Senior Marketing Manager (Execution-Oriented)</t>
        </is>
      </c>
      <c r="D8469" t="inlineStr">
        <is>
          <t>Trusting Social</t>
        </is>
      </c>
      <c r="E8469" t="inlineStr">
        <is>
          <t>Thương lượng</t>
        </is>
      </c>
      <c r="F8469" t="inlineStr">
        <is>
          <t>Hồ Chí Minh</t>
        </is>
      </c>
      <c r="G8469" t="inlineStr">
        <is>
          <t>Trưởng phòng</t>
        </is>
      </c>
      <c r="H8469" t="inlineStr">
        <is>
          <t>21/02/2026</t>
        </is>
      </c>
      <c r="I8469" t="inlineStr">
        <is>
          <t>07/04/2026</t>
        </is>
      </c>
      <c r="J8469" t="inlineStr">
        <is>
          <t>17/03/2026</t>
        </is>
      </c>
      <c r="K8469" t="inlineStr">
        <is>
          <t>N/A</t>
        </is>
      </c>
      <c r="L8469" t="inlineStr">
        <is>
          <t>B2B Marketing, Content Production, Decision Making, Event Marketing, Lead Generation</t>
        </is>
      </c>
      <c r="M8469" t="inlineStr">
        <is>
          <t>Bonus, Healthcare Plan, Paid Leave, Team Activities, Canteen, Others</t>
        </is>
      </c>
      <c r="N8469" s="8">
        <f>HYPERLINK("https://www.vietnamworks.com/senior-marketing-manager-execution-oriented-2012213-jv","Xem chi tiết")</f>
        <v/>
      </c>
    </row>
    <row r="8470">
      <c r="B8470" s="9" t="n">
        <v>8468</v>
      </c>
      <c r="C8470" s="10" t="inlineStr">
        <is>
          <t>Product Owner - EVO</t>
        </is>
      </c>
      <c r="D8470" s="10" t="inlineStr">
        <is>
          <t>Trusting Social</t>
        </is>
      </c>
      <c r="E8470" s="10" t="inlineStr">
        <is>
          <t>Thương lượng</t>
        </is>
      </c>
      <c r="F8470" s="10" t="inlineStr">
        <is>
          <t>Hồ Chí Minh</t>
        </is>
      </c>
      <c r="G8470" s="10" t="inlineStr">
        <is>
          <t>Nhân viên</t>
        </is>
      </c>
      <c r="H8470" s="10" t="inlineStr">
        <is>
          <t>21/02/2026</t>
        </is>
      </c>
      <c r="I8470" s="10" t="inlineStr">
        <is>
          <t>07/04/2026</t>
        </is>
      </c>
      <c r="J8470" s="10" t="inlineStr">
        <is>
          <t>17/03/2026</t>
        </is>
      </c>
      <c r="K8470" s="10" t="inlineStr">
        <is>
          <t>N/A</t>
        </is>
      </c>
      <c r="L8470" s="10" t="inlineStr">
        <is>
          <t>Agile Methodologies, Communication Skills, Data Analysis, Product Owner Experience, Project Management</t>
        </is>
      </c>
      <c r="M8470" s="10" t="inlineStr">
        <is>
          <t>Bonus, Healthcare Plan, Paid Leave, Team Activities, Canteen, Others</t>
        </is>
      </c>
      <c r="N8470" s="11">
        <f>HYPERLINK("https://www.vietnamworks.com/product-owner-evo-2012214-jv","Xem chi tiết")</f>
        <v/>
      </c>
      <c r="O8470" s="10" t="n"/>
    </row>
    <row r="8471">
      <c r="B8471" s="7" t="n">
        <v>8469</v>
      </c>
      <c r="C8471" t="inlineStr">
        <is>
          <t>Senior Data Analyst</t>
        </is>
      </c>
      <c r="D8471" t="inlineStr">
        <is>
          <t>Trusting Social</t>
        </is>
      </c>
      <c r="E8471" t="inlineStr">
        <is>
          <t>Thương lượng</t>
        </is>
      </c>
      <c r="F8471" t="inlineStr">
        <is>
          <t>Hồ Chí Minh</t>
        </is>
      </c>
      <c r="G8471" t="inlineStr">
        <is>
          <t>Nhân viên</t>
        </is>
      </c>
      <c r="H8471" t="inlineStr">
        <is>
          <t>21/02/2026</t>
        </is>
      </c>
      <c r="I8471" t="inlineStr">
        <is>
          <t>07/04/2026</t>
        </is>
      </c>
      <c r="J8471" t="inlineStr">
        <is>
          <t>17/03/2026</t>
        </is>
      </c>
      <c r="K8471" t="inlineStr">
        <is>
          <t>N/A</t>
        </is>
      </c>
      <c r="L8471" t="inlineStr">
        <is>
          <t>Critical Thinking, Data Analysis, Market Research, Python, SQL</t>
        </is>
      </c>
      <c r="M8471" t="inlineStr">
        <is>
          <t>Bonus, Healthcare Plan, Paid Leave, Team Activities, Transportation, Canteen, Others</t>
        </is>
      </c>
      <c r="N8471" s="8">
        <f>HYPERLINK("https://www.vietnamworks.com/senior-data-analyst-2012216-jv","Xem chi tiết")</f>
        <v/>
      </c>
    </row>
    <row r="8472">
      <c r="B8472" s="9" t="n">
        <v>8470</v>
      </c>
      <c r="C8472" s="10" t="inlineStr">
        <is>
          <t>Graphic Designer</t>
        </is>
      </c>
      <c r="D8472" s="10" t="inlineStr">
        <is>
          <t>Tech Fusion Ventures</t>
        </is>
      </c>
      <c r="E8472" s="10" t="inlineStr">
        <is>
          <t>$$ 400-900 /tháng</t>
        </is>
      </c>
      <c r="F8472" s="10" t="inlineStr">
        <is>
          <t>Quốc tế</t>
        </is>
      </c>
      <c r="G8472" s="10" t="inlineStr">
        <is>
          <t>Nhân viên</t>
        </is>
      </c>
      <c r="H8472" s="10" t="inlineStr">
        <is>
          <t>07/03/2026</t>
        </is>
      </c>
      <c r="I8472" s="10" t="inlineStr">
        <is>
          <t>07/04/2026</t>
        </is>
      </c>
      <c r="J8472" s="10" t="inlineStr">
        <is>
          <t>17/03/2026</t>
        </is>
      </c>
      <c r="K8472" s="10" t="inlineStr">
        <is>
          <t>N/A</t>
        </is>
      </c>
      <c r="L8472" s="10" t="inlineStr">
        <is>
          <t>Design, Adobe Photoshop, Adobe Illustrator, Graphic Design, Figma Design</t>
        </is>
      </c>
      <c r="M8472" s="10" t="inlineStr">
        <is>
          <t>Paid Leave</t>
        </is>
      </c>
      <c r="N8472" s="11">
        <f>HYPERLINK("https://www.vietnamworks.com/graphic-designer--2019953-jv","Xem chi tiết")</f>
        <v/>
      </c>
      <c r="O8472" s="10" t="n"/>
    </row>
    <row r="8473">
      <c r="B8473" s="7" t="n">
        <v>8471</v>
      </c>
      <c r="C8473" t="inlineStr">
        <is>
          <t>Thủ kho Thành phẩm (Làm việc tại Châu Thành - Bến Tre)</t>
        </is>
      </c>
      <c r="D8473" t="inlineStr">
        <is>
          <t>Asia Chemical Corporation</t>
        </is>
      </c>
      <c r="E8473" t="inlineStr">
        <is>
          <t>Thương lượng</t>
        </is>
      </c>
      <c r="F8473" t="inlineStr">
        <is>
          <t>Bến Tre</t>
        </is>
      </c>
      <c r="G8473" t="inlineStr">
        <is>
          <t>Nhân viên</t>
        </is>
      </c>
      <c r="H8473" t="inlineStr">
        <is>
          <t>21/02/2026</t>
        </is>
      </c>
      <c r="I8473" t="inlineStr">
        <is>
          <t>07/04/2026</t>
        </is>
      </c>
      <c r="J8473" t="inlineStr">
        <is>
          <t>17/03/2026</t>
        </is>
      </c>
      <c r="K8473" t="inlineStr">
        <is>
          <t>N/A</t>
        </is>
      </c>
      <c r="L8473" t="inlineStr">
        <is>
          <t>Báo Cáo Thi Công, Giao Tiếp, Kiểm Tra Quỹ Tồn, Quản Lý Kho, Xếp Dỡ Hàng Hóa</t>
        </is>
      </c>
      <c r="M8473" t="inlineStr">
        <is>
          <t>Bonus</t>
        </is>
      </c>
      <c r="N8473" s="8">
        <f>HYPERLINK("https://www.vietnamworks.com/thu-kho-thanh-pham-lam-viec-tai-chau-thanh-ben-tre-2012218-jv","Xem chi tiết")</f>
        <v/>
      </c>
    </row>
    <row r="8474">
      <c r="B8474" s="9" t="n">
        <v>8472</v>
      </c>
      <c r="C8474" s="10" t="inlineStr">
        <is>
          <t>Marketing Specialist - APAC (1-Year Contractor)</t>
        </is>
      </c>
      <c r="D8474" s="10" t="inlineStr">
        <is>
          <t>Archer Daniels Midland (ADM)</t>
        </is>
      </c>
      <c r="E8474" s="10" t="inlineStr">
        <is>
          <t>Thương lượng</t>
        </is>
      </c>
      <c r="F8474" s="10" t="inlineStr">
        <is>
          <t>Hồ Chí Minh</t>
        </is>
      </c>
      <c r="G8474" s="10" t="inlineStr">
        <is>
          <t>Nhân viên</t>
        </is>
      </c>
      <c r="H8474" s="10" t="inlineStr">
        <is>
          <t>08/03/2026</t>
        </is>
      </c>
      <c r="I8474" s="10" t="inlineStr">
        <is>
          <t>07/04/2026</t>
        </is>
      </c>
      <c r="J8474" s="10" t="inlineStr">
        <is>
          <t>17/03/2026</t>
        </is>
      </c>
      <c r="K8474" s="10" t="inlineStr">
        <is>
          <t>N/A</t>
        </is>
      </c>
      <c r="L8474" s="10" t="inlineStr">
        <is>
          <t>Social Media Knowledge, Marketing Campaign Management, Digital Communication, Market Research, Project Management</t>
        </is>
      </c>
      <c r="M8474" s="10" t="inlineStr">
        <is>
          <t>Healthcare Plan</t>
        </is>
      </c>
      <c r="N8474" s="11">
        <f>HYPERLINK("https://www.vietnamworks.com/marketing-specialist-apac-1-year-contractor--2020044-jv","Xem chi tiết")</f>
        <v/>
      </c>
      <c r="O8474" s="10" t="n"/>
    </row>
    <row r="8475">
      <c r="B8475" s="7" t="n">
        <v>8473</v>
      </c>
      <c r="C8475" t="inlineStr">
        <is>
          <t>[Hai Phong] Assistant Manager, Project Marketing</t>
        </is>
      </c>
      <c r="D8475" t="inlineStr">
        <is>
          <t>CapitaLand Development (Vietnam)</t>
        </is>
      </c>
      <c r="E8475" t="inlineStr">
        <is>
          <t>Thương lượng</t>
        </is>
      </c>
      <c r="F8475" t="inlineStr">
        <is>
          <t>Hải Phòng</t>
        </is>
      </c>
      <c r="G8475" t="inlineStr">
        <is>
          <t>Nhân viên</t>
        </is>
      </c>
      <c r="H8475" t="inlineStr">
        <is>
          <t>08/03/2026</t>
        </is>
      </c>
      <c r="I8475" t="inlineStr">
        <is>
          <t>07/04/2026</t>
        </is>
      </c>
      <c r="J8475" t="inlineStr">
        <is>
          <t>17/03/2026</t>
        </is>
      </c>
      <c r="K8475" t="inlineStr">
        <is>
          <t>N/A</t>
        </is>
      </c>
      <c r="L8475" t="inlineStr">
        <is>
          <t>Creative Marketing, Communication, Marketing, Event Organizing</t>
        </is>
      </c>
      <c r="M8475" t="inlineStr">
        <is>
          <t>Bonus, Healthcare Plan, Training</t>
        </is>
      </c>
      <c r="N8475" s="8">
        <f>HYPERLINK("https://www.vietnamworks.com/hai-phong-assistant-manager-project-marketing-2020041-jv","Xem chi tiết")</f>
        <v/>
      </c>
    </row>
    <row r="8476">
      <c r="B8476" s="9" t="n">
        <v>8474</v>
      </c>
      <c r="C8476" s="10" t="inlineStr">
        <is>
          <t>Global Reporting Analyst</t>
        </is>
      </c>
      <c r="D8476" s="10" t="inlineStr">
        <is>
          <t>SPS Vietnam Company Ltd.</t>
        </is>
      </c>
      <c r="E8476" s="10" t="inlineStr">
        <is>
          <t>Thương lượng</t>
        </is>
      </c>
      <c r="F8476" s="10" t="inlineStr">
        <is>
          <t>Hồ Chí Minh</t>
        </is>
      </c>
      <c r="G8476" s="10" t="inlineStr">
        <is>
          <t>Nhân viên</t>
        </is>
      </c>
      <c r="H8476" s="10" t="inlineStr">
        <is>
          <t>08/03/2026</t>
        </is>
      </c>
      <c r="I8476" s="10" t="inlineStr">
        <is>
          <t>07/04/2026</t>
        </is>
      </c>
      <c r="J8476" s="10" t="inlineStr">
        <is>
          <t>17/03/2026</t>
        </is>
      </c>
      <c r="K8476" s="10" t="inlineStr">
        <is>
          <t>N/A</t>
        </is>
      </c>
      <c r="L8476" s="10" t="inlineStr">
        <is>
          <t>Power BI, Database, Data Analysis, Business Intelligence, Data Science</t>
        </is>
      </c>
      <c r="M8476" s="10" t="inlineStr">
        <is>
          <t>Bonus, Healthcare Plan, Team Activities</t>
        </is>
      </c>
      <c r="N8476" s="11">
        <f>HYPERLINK("https://www.vietnamworks.com/global-reporting-analyst--2020053-jv","Xem chi tiết")</f>
        <v/>
      </c>
      <c r="O8476" s="10" t="n"/>
    </row>
    <row r="8477">
      <c r="B8477" s="7" t="n">
        <v>8475</v>
      </c>
      <c r="C8477" t="inlineStr">
        <is>
          <t>Marketing Coordinator - VN (1-Year Contractor)</t>
        </is>
      </c>
      <c r="D8477" t="inlineStr">
        <is>
          <t>Archer Daniels Midland (ADM)</t>
        </is>
      </c>
      <c r="E8477" t="inlineStr">
        <is>
          <t>Thương lượng</t>
        </is>
      </c>
      <c r="F8477" t="inlineStr">
        <is>
          <t>Hồ Chí Minh, Bình Dương</t>
        </is>
      </c>
      <c r="G8477" t="inlineStr">
        <is>
          <t>Nhân viên</t>
        </is>
      </c>
      <c r="H8477" t="inlineStr">
        <is>
          <t>08/03/2026</t>
        </is>
      </c>
      <c r="I8477" t="inlineStr">
        <is>
          <t>07/04/2026</t>
        </is>
      </c>
      <c r="J8477" t="inlineStr">
        <is>
          <t>17/03/2026</t>
        </is>
      </c>
      <c r="K8477" t="inlineStr">
        <is>
          <t>N/A</t>
        </is>
      </c>
      <c r="L8477" t="inlineStr">
        <is>
          <t>Marketing Support, Marketing Processes, Marketing Event Planning, Sales Support, Admin Support</t>
        </is>
      </c>
      <c r="M8477" t="inlineStr">
        <is>
          <t>Healthcare Plan</t>
        </is>
      </c>
      <c r="N8477" s="8">
        <f>HYPERLINK("https://www.vietnamworks.com/marketing-coordinator-vn-1-year-contractor--2020045-jv","Xem chi tiết")</f>
        <v/>
      </c>
    </row>
    <row r="8478">
      <c r="B8478" s="9" t="n">
        <v>8476</v>
      </c>
      <c r="C8478" s="10" t="inlineStr">
        <is>
          <t>Chuyên Viên Cao Cấp Kỹ Thuật Dự Án (Keo &amp; Chống Thấm)</t>
        </is>
      </c>
      <c r="D8478" s="10" t="inlineStr">
        <is>
          <t>Công ty TNHH công nghiệp Vĩnh Tường miền bắc Việt Nam</t>
        </is>
      </c>
      <c r="E8478" s="10" t="inlineStr">
        <is>
          <t>Thương lượng</t>
        </is>
      </c>
      <c r="F8478" s="10" t="inlineStr">
        <is>
          <t>Hà Nội</t>
        </is>
      </c>
      <c r="G8478" s="10" t="inlineStr">
        <is>
          <t>Nhân viên</t>
        </is>
      </c>
      <c r="H8478" s="10" t="inlineStr">
        <is>
          <t>08/03/2026</t>
        </is>
      </c>
      <c r="I8478" s="10" t="inlineStr">
        <is>
          <t>07/04/2026</t>
        </is>
      </c>
      <c r="J8478" s="10" t="inlineStr">
        <is>
          <t>17/03/2026</t>
        </is>
      </c>
      <c r="K8478" s="10" t="inlineStr">
        <is>
          <t>N/A</t>
        </is>
      </c>
      <c r="L8478" s="10" t="inlineStr">
        <is>
          <t>Construction Knowledge, Construction Material, Project execution, Technical Knowledge Of Waterproofing</t>
        </is>
      </c>
      <c r="M8478" s="10" t="inlineStr">
        <is>
          <t>Healthcare Plan, Training, Laptop</t>
        </is>
      </c>
      <c r="N8478" s="11">
        <f>HYPERLINK("https://www.vietnamworks.com/chuyen-vien-cao-cap-ky-thuat-du-an-keo-chong-tham-2020046-jv","Xem chi tiết")</f>
        <v/>
      </c>
      <c r="O8478" s="10" t="n"/>
    </row>
    <row r="8479">
      <c r="B8479" s="7" t="n">
        <v>8477</v>
      </c>
      <c r="C8479" t="inlineStr">
        <is>
          <t>Cán Bộ Đầu Tư Dự Án Xây Dựng</t>
        </is>
      </c>
      <c r="D8479" t="inlineStr">
        <is>
          <t>Tổ Chức Giáo Dục FPT</t>
        </is>
      </c>
      <c r="E8479" t="inlineStr">
        <is>
          <t>Thương lượng</t>
        </is>
      </c>
      <c r="F8479" t="inlineStr">
        <is>
          <t>Hà Nội</t>
        </is>
      </c>
      <c r="G8479" t="inlineStr">
        <is>
          <t>Nhân viên</t>
        </is>
      </c>
      <c r="H8479" t="inlineStr">
        <is>
          <t>06/03/2026</t>
        </is>
      </c>
      <c r="I8479" t="inlineStr">
        <is>
          <t>07/04/2026</t>
        </is>
      </c>
      <c r="J8479" t="inlineStr">
        <is>
          <t>17/03/2026</t>
        </is>
      </c>
      <c r="K8479" t="inlineStr">
        <is>
          <t>N/A</t>
        </is>
      </c>
      <c r="L8479" t="inlineStr">
        <is>
          <t>Kỹ năng giao tiếp, Làm Việc Nhóm, Luật Đầu Tư, Phân Tích Dự Án</t>
        </is>
      </c>
      <c r="M8479" t="inlineStr">
        <is>
          <t>Healthcare Plan, Others</t>
        </is>
      </c>
      <c r="N8479" s="8">
        <f>HYPERLINK("https://www.vietnamworks.com/can-bo-djau-tu-du-an-xay-dung-2019901-jv","Xem chi tiết")</f>
        <v/>
      </c>
    </row>
    <row r="8480">
      <c r="B8480" s="9" t="n">
        <v>8478</v>
      </c>
      <c r="C8480" s="10" t="inlineStr">
        <is>
          <t>Senior Medical Representative ETC - Ngành Hàng Dược Phẩm - Huế</t>
        </is>
      </c>
      <c r="D8480" s="10" t="inlineStr">
        <is>
          <t>Abbott</t>
        </is>
      </c>
      <c r="E8480" s="10" t="inlineStr">
        <is>
          <t>Thương lượng</t>
        </is>
      </c>
      <c r="F8480" s="10" t="inlineStr">
        <is>
          <t>Thừa Thiên Huế</t>
        </is>
      </c>
      <c r="G8480" s="10" t="inlineStr">
        <is>
          <t>Nhân viên</t>
        </is>
      </c>
      <c r="H8480" s="10" t="inlineStr">
        <is>
          <t>08/03/2026</t>
        </is>
      </c>
      <c r="I8480" s="10" t="inlineStr">
        <is>
          <t>07/04/2026</t>
        </is>
      </c>
      <c r="J8480" s="10" t="inlineStr">
        <is>
          <t>17/03/2026</t>
        </is>
      </c>
      <c r="K8480" s="10" t="inlineStr">
        <is>
          <t>N/A</t>
        </is>
      </c>
      <c r="L8480" s="10" t="inlineStr">
        <is>
          <t>Pharmaceutical Sales, Hospital Channel, Trình dược viên ETC, Dược Phẩm, Bán Hàng Kênh Bệnh Viện</t>
        </is>
      </c>
      <c r="M8480" s="10" t="inlineStr">
        <is>
          <t>Bonus, Healthcare Plan, Training</t>
        </is>
      </c>
      <c r="N8480" s="11">
        <f>HYPERLINK("https://www.vietnamworks.com/senior-medical-representative-etc-nganh-hang-duoc-pham-hue--2020071-jv","Xem chi tiết")</f>
        <v/>
      </c>
      <c r="O8480" s="10" t="n"/>
    </row>
    <row r="8481">
      <c r="B8481" s="7" t="n">
        <v>8479</v>
      </c>
      <c r="C8481" t="inlineStr">
        <is>
          <t>Chuyên Viên Tư Vấn - Bán Hàng Cao Cấp (English Speaking)</t>
        </is>
      </c>
      <c r="D8481" t="inlineStr">
        <is>
          <t>Mangii Co, Ltd.</t>
        </is>
      </c>
      <c r="E8481" t="inlineStr">
        <is>
          <t>$$ 350-600 /tháng</t>
        </is>
      </c>
      <c r="F8481" t="inlineStr">
        <is>
          <t>Hồ Chí Minh</t>
        </is>
      </c>
      <c r="G8481" t="inlineStr">
        <is>
          <t>Mới Tốt Nghiệp</t>
        </is>
      </c>
      <c r="H8481" t="inlineStr">
        <is>
          <t>21/02/2026</t>
        </is>
      </c>
      <c r="I8481" t="inlineStr">
        <is>
          <t>07/04/2026</t>
        </is>
      </c>
      <c r="J8481" t="inlineStr">
        <is>
          <t>17/03/2026</t>
        </is>
      </c>
      <c r="K8481" t="inlineStr">
        <is>
          <t>N/A</t>
        </is>
      </c>
      <c r="L8481" t="inlineStr">
        <is>
          <t>Bán Hàng, Kinh Doanh, Tiếng Anh</t>
        </is>
      </c>
      <c r="M8481" t="inlineStr">
        <is>
          <t>Bonus, Paid Leave, Travel Opportunities</t>
        </is>
      </c>
      <c r="N8481" s="8">
        <f>HYPERLINK("https://www.vietnamworks.com/chuyen-vien-tu-van-ban-hang-cao-cap-english-speaking-2012217-jv","Xem chi tiết")</f>
        <v/>
      </c>
    </row>
    <row r="8482">
      <c r="B8482" s="9" t="n">
        <v>8480</v>
      </c>
      <c r="C8482" s="10" t="inlineStr">
        <is>
          <t>Senior Executive, Project Marketing</t>
        </is>
      </c>
      <c r="D8482" s="10" t="inlineStr">
        <is>
          <t>CapitaLand Development (Vietnam)</t>
        </is>
      </c>
      <c r="E8482" s="10" t="inlineStr">
        <is>
          <t>Thương lượng</t>
        </is>
      </c>
      <c r="F8482" s="10" t="inlineStr">
        <is>
          <t>Hà Nội</t>
        </is>
      </c>
      <c r="G8482" s="10" t="inlineStr">
        <is>
          <t>Nhân viên</t>
        </is>
      </c>
      <c r="H8482" s="10" t="inlineStr">
        <is>
          <t>08/03/2026</t>
        </is>
      </c>
      <c r="I8482" s="10" t="inlineStr">
        <is>
          <t>07/04/2026</t>
        </is>
      </c>
      <c r="J8482" s="10" t="inlineStr">
        <is>
          <t>17/03/2026</t>
        </is>
      </c>
      <c r="K8482" s="10" t="inlineStr">
        <is>
          <t>N/A</t>
        </is>
      </c>
      <c r="L8482" s="10" t="inlineStr">
        <is>
          <t>Creative Marketing, Communication, Marketing, Event Organizing</t>
        </is>
      </c>
      <c r="M8482" s="10" t="inlineStr">
        <is>
          <t>Bonus, Healthcare Plan, Training</t>
        </is>
      </c>
      <c r="N8482" s="11">
        <f>HYPERLINK("https://www.vietnamworks.com/senior-executive-project-marketing--2020040-jv","Xem chi tiết")</f>
        <v/>
      </c>
      <c r="O8482" s="10" t="n"/>
    </row>
    <row r="8483">
      <c r="B8483" s="7" t="n">
        <v>8481</v>
      </c>
      <c r="C8483" t="inlineStr">
        <is>
          <t>Site Architect (Kiến Trúc Sư Hiện Trường)</t>
        </is>
      </c>
      <c r="D8483" t="inlineStr">
        <is>
          <t>CapitaLand Development (Vietnam)</t>
        </is>
      </c>
      <c r="E8483" t="inlineStr">
        <is>
          <t>Thương lượng</t>
        </is>
      </c>
      <c r="F8483" t="inlineStr">
        <is>
          <t>Hưng Yên</t>
        </is>
      </c>
      <c r="G8483" t="inlineStr">
        <is>
          <t>Nhân viên</t>
        </is>
      </c>
      <c r="H8483" t="inlineStr">
        <is>
          <t>08/03/2026</t>
        </is>
      </c>
      <c r="I8483" t="inlineStr">
        <is>
          <t>07/04/2026</t>
        </is>
      </c>
      <c r="J8483" t="inlineStr">
        <is>
          <t>17/03/2026</t>
        </is>
      </c>
      <c r="K8483" t="inlineStr">
        <is>
          <t>N/A</t>
        </is>
      </c>
      <c r="L8483" t="inlineStr">
        <is>
          <t>Engineering Drawings, Structural Engineering, Landscape Architecture, Architect, Design Control</t>
        </is>
      </c>
      <c r="M8483" t="inlineStr">
        <is>
          <t>Bonus, Healthcare Plan, Paid Leave</t>
        </is>
      </c>
      <c r="N8483" s="8">
        <f>HYPERLINK("https://www.vietnamworks.com/site-architect-kien-truc-su-hien-truong--2020050-jv","Xem chi tiết")</f>
        <v/>
      </c>
    </row>
    <row r="8484">
      <c r="B8484" s="9" t="n">
        <v>8482</v>
      </c>
      <c r="C8484" s="10" t="inlineStr">
        <is>
          <t>Senior Risk Product Analyst – Digital Identity/eKYC/Payment Authentication</t>
        </is>
      </c>
      <c r="D8484" s="10" t="inlineStr">
        <is>
          <t>Trusting Social</t>
        </is>
      </c>
      <c r="E8484" s="10" t="inlineStr">
        <is>
          <t>Thương lượng</t>
        </is>
      </c>
      <c r="F8484" s="10" t="inlineStr">
        <is>
          <t>Hồ Chí Minh</t>
        </is>
      </c>
      <c r="G8484" s="10" t="inlineStr">
        <is>
          <t>Nhân viên</t>
        </is>
      </c>
      <c r="H8484" s="10" t="inlineStr">
        <is>
          <t>21/02/2026</t>
        </is>
      </c>
      <c r="I8484" s="10" t="inlineStr">
        <is>
          <t>07/04/2026</t>
        </is>
      </c>
      <c r="J8484" s="10" t="inlineStr">
        <is>
          <t>17/03/2026</t>
        </is>
      </c>
      <c r="K8484" s="10" t="inlineStr">
        <is>
          <t>N/A</t>
        </is>
      </c>
      <c r="L8484" s="10" t="inlineStr">
        <is>
          <t>Communication, Data Analysis, Fraud Analysis, Operational Risks Management, Stakeholder Management</t>
        </is>
      </c>
      <c r="M8484" s="10" t="inlineStr">
        <is>
          <t>Bonus, Healthcare Plan, Paid Leave, Team Activities, Transportation, Canteen, Others</t>
        </is>
      </c>
      <c r="N8484" s="11">
        <f>HYPERLINK("https://www.vietnamworks.com/senior-risk-product-analyst-digital-identityekycpayment-authentication-2012212-jv","Xem chi tiết")</f>
        <v/>
      </c>
      <c r="O8484" s="10" t="n"/>
    </row>
    <row r="8485">
      <c r="B8485" s="7" t="n">
        <v>8483</v>
      </c>
      <c r="C8485" t="inlineStr">
        <is>
          <t>Trade Operations Officer</t>
        </is>
      </c>
      <c r="D8485" t="inlineStr">
        <is>
          <t>Sumitomo Mitsui Banking Corporation (SMBC)</t>
        </is>
      </c>
      <c r="E8485" t="inlineStr">
        <is>
          <t>Thương lượng</t>
        </is>
      </c>
      <c r="F8485" t="inlineStr">
        <is>
          <t>Hà Nội</t>
        </is>
      </c>
      <c r="G8485" t="inlineStr">
        <is>
          <t>Nhân viên</t>
        </is>
      </c>
      <c r="H8485" t="inlineStr">
        <is>
          <t>12/01/2026</t>
        </is>
      </c>
      <c r="I8485" t="inlineStr">
        <is>
          <t>08/04/2026</t>
        </is>
      </c>
      <c r="J8485" t="inlineStr">
        <is>
          <t>17/03/2026</t>
        </is>
      </c>
      <c r="K8485" t="inlineStr">
        <is>
          <t>N/A</t>
        </is>
      </c>
      <c r="L8485" t="inlineStr">
        <is>
          <t>AML, Banking Operations, Economics, English, Trade Finance</t>
        </is>
      </c>
      <c r="M8485" t="inlineStr">
        <is>
          <t>Team Activities, Others</t>
        </is>
      </c>
      <c r="N8485" s="8">
        <f>HYPERLINK("https://www.vietnamworks.com/trade-operations-officer-2001338-jv","Xem chi tiết")</f>
        <v/>
      </c>
    </row>
    <row r="8486">
      <c r="B8486" s="9" t="n">
        <v>8484</v>
      </c>
      <c r="C8486" s="10" t="inlineStr">
        <is>
          <t>Sales Executive</t>
        </is>
      </c>
      <c r="D8486" s="10" t="inlineStr">
        <is>
          <t>OOCL Logistics (Vietnam)</t>
        </is>
      </c>
      <c r="E8486" s="10" t="inlineStr">
        <is>
          <t>Thương lượng</t>
        </is>
      </c>
      <c r="F8486" s="10" t="inlineStr">
        <is>
          <t>Hồ Chí Minh, Hải Phòng, Hà Nội</t>
        </is>
      </c>
      <c r="G8486" s="10" t="inlineStr">
        <is>
          <t>Nhân viên</t>
        </is>
      </c>
      <c r="H8486" s="10" t="inlineStr">
        <is>
          <t>12/01/2026</t>
        </is>
      </c>
      <c r="I8486" s="10" t="inlineStr">
        <is>
          <t>08/04/2026</t>
        </is>
      </c>
      <c r="J8486" s="10" t="inlineStr">
        <is>
          <t>17/03/2026</t>
        </is>
      </c>
      <c r="K8486" s="10" t="inlineStr">
        <is>
          <t>N/A</t>
        </is>
      </c>
      <c r="L8486" s="10" t="inlineStr">
        <is>
          <t>Logistics, Sales Experience, Sales &amp; Business Development, Sales logistics, Shipping Lines</t>
        </is>
      </c>
      <c r="M8486" s="10" t="inlineStr">
        <is>
          <t>Bonus, Healthcare Plan, Team Activities</t>
        </is>
      </c>
      <c r="N8486" s="11">
        <f>HYPERLINK("https://www.vietnamworks.com/sales-executive-2001780-jv","Xem chi tiết")</f>
        <v/>
      </c>
      <c r="O8486" s="10" t="n"/>
    </row>
    <row r="8487">
      <c r="B8487" s="7" t="n">
        <v>8485</v>
      </c>
      <c r="C8487" t="inlineStr">
        <is>
          <t>Multimedia Specialist</t>
        </is>
      </c>
      <c r="D8487" t="inlineStr">
        <is>
          <t>Công Ty TNHH Uniktech</t>
        </is>
      </c>
      <c r="E8487" t="inlineStr">
        <is>
          <t>Thương lượng</t>
        </is>
      </c>
      <c r="F8487" t="inlineStr">
        <is>
          <t>Hồ Chí Minh</t>
        </is>
      </c>
      <c r="G8487" t="inlineStr">
        <is>
          <t>Nhân viên</t>
        </is>
      </c>
      <c r="H8487" t="inlineStr">
        <is>
          <t>08/03/2026</t>
        </is>
      </c>
      <c r="I8487" t="inlineStr">
        <is>
          <t>07/04/2026</t>
        </is>
      </c>
      <c r="J8487" t="inlineStr">
        <is>
          <t>17/03/2026</t>
        </is>
      </c>
      <c r="K8487" t="inlineStr">
        <is>
          <t>N/A</t>
        </is>
      </c>
      <c r="L8487" t="inlineStr">
        <is>
          <t>Làm việc nhóm</t>
        </is>
      </c>
      <c r="M8487" t="inlineStr">
        <is>
          <t>Bonus, Healthcare Plan, Others</t>
        </is>
      </c>
      <c r="N8487" s="8">
        <f>HYPERLINK("https://www.vietnamworks.com/multimedia-specialist--2020072-jv","Xem chi tiết")</f>
        <v/>
      </c>
    </row>
    <row r="8488">
      <c r="B8488" s="9" t="n">
        <v>8486</v>
      </c>
      <c r="C8488" s="10" t="inlineStr">
        <is>
          <t>Kế Toán</t>
        </is>
      </c>
      <c r="D8488" s="10" t="inlineStr">
        <is>
          <t>CÔNG TY TRÁCH NHIỆM HỮU HẠN ĐỒ GIA DỤNG NGỌC SINH (VN)</t>
        </is>
      </c>
      <c r="E8488" s="10" t="inlineStr">
        <is>
          <t>Thương lượng</t>
        </is>
      </c>
      <c r="F8488" s="10" t="inlineStr">
        <is>
          <t>Đồng Nai</t>
        </is>
      </c>
      <c r="G8488" s="10" t="inlineStr">
        <is>
          <t>Nhân viên</t>
        </is>
      </c>
      <c r="H8488" s="10" t="inlineStr">
        <is>
          <t>10/10/2025</t>
        </is>
      </c>
      <c r="I8488" s="10" t="inlineStr">
        <is>
          <t>08/04/2026</t>
        </is>
      </c>
      <c r="J8488" s="10" t="inlineStr">
        <is>
          <t>17/03/2026</t>
        </is>
      </c>
      <c r="K8488" s="10" t="inlineStr">
        <is>
          <t>N/A</t>
        </is>
      </c>
      <c r="L8488" s="10" t="inlineStr">
        <is>
          <t>Bookkeeping, Odoo ERP, Cash Flow, Invoice Management, English</t>
        </is>
      </c>
      <c r="M8488" s="10" t="inlineStr">
        <is>
          <t>Healthcare Plan</t>
        </is>
      </c>
      <c r="N8488" s="11">
        <f>HYPERLINK("https://www.vietnamworks.com/ke-toan--1968473-jv","Xem chi tiết")</f>
        <v/>
      </c>
      <c r="O8488" s="10" t="n"/>
    </row>
    <row r="8489">
      <c r="B8489" s="7" t="n">
        <v>8487</v>
      </c>
      <c r="C8489" t="inlineStr">
        <is>
          <t>Giám Đốc Khối Kinh Doanh</t>
        </is>
      </c>
      <c r="D8489" t="inlineStr">
        <is>
          <t>Công ty CP Tiếp vận Hòa Phát</t>
        </is>
      </c>
      <c r="E8489" t="inlineStr">
        <is>
          <t>40tr-70tr ₫/tháng</t>
        </is>
      </c>
      <c r="F8489" t="inlineStr">
        <is>
          <t>Hà Nội</t>
        </is>
      </c>
      <c r="G8489" t="inlineStr">
        <is>
          <t>Giám Đốc và Cấp Cao Hơn</t>
        </is>
      </c>
      <c r="H8489" t="inlineStr">
        <is>
          <t>31/05/2025</t>
        </is>
      </c>
      <c r="I8489" t="inlineStr">
        <is>
          <t>08/04/2026</t>
        </is>
      </c>
      <c r="J8489" t="inlineStr">
        <is>
          <t>17/03/2026</t>
        </is>
      </c>
      <c r="K8489" t="inlineStr">
        <is>
          <t>N/A</t>
        </is>
      </c>
      <c r="L8489" t="inlineStr">
        <is>
          <t>Giải Quyết Vấn Đề, Giao Tiếp, Lãnh Đạo, Quản Lý Vận Hành, Thương Mại Quốc Tế</t>
        </is>
      </c>
      <c r="M8489" t="inlineStr">
        <is>
          <t>Bonus, Healthcare Plan, Paid Leave, Training, Team Activities, Others</t>
        </is>
      </c>
      <c r="N8489" s="8">
        <f>HYPERLINK("https://www.vietnamworks.com/giam-djoc-khoi-kinh-doanh-1916237-jv","Xem chi tiết")</f>
        <v/>
      </c>
    </row>
    <row r="8490">
      <c r="B8490" s="9" t="n">
        <v>8488</v>
      </c>
      <c r="C8490" s="10" t="inlineStr">
        <is>
          <t>Chuyên Viên Báo Giá (Ngành Nội Thất) - Costing Staff (Furniture)</t>
        </is>
      </c>
      <c r="D8490" s="10" t="inlineStr">
        <is>
          <t>Meubles Demeyere Vietnam Company LTD.</t>
        </is>
      </c>
      <c r="E8490" s="10" t="inlineStr">
        <is>
          <t>Thương lượng</t>
        </is>
      </c>
      <c r="F8490" s="10" t="inlineStr">
        <is>
          <t>Đồng Nai</t>
        </is>
      </c>
      <c r="G8490" s="10" t="inlineStr">
        <is>
          <t>Nhân viên</t>
        </is>
      </c>
      <c r="H8490" s="10" t="inlineStr">
        <is>
          <t>12/01/2026</t>
        </is>
      </c>
      <c r="I8490" s="10" t="inlineStr">
        <is>
          <t>08/04/2026</t>
        </is>
      </c>
      <c r="J8490" s="10" t="inlineStr">
        <is>
          <t>17/03/2026</t>
        </is>
      </c>
      <c r="K8490" s="10" t="inlineStr">
        <is>
          <t>N/A</t>
        </is>
      </c>
      <c r="L8490" s="10" t="inlineStr">
        <is>
          <t>Nội Thất, Phát Triển Sản Phẩm, Định Giá Sản Phẩm, Tính Giá Thành, communication</t>
        </is>
      </c>
      <c r="M8490" s="10" t="inlineStr">
        <is>
          <t>Bonus, Paid Leave, Travel Opportunities</t>
        </is>
      </c>
      <c r="N8490" s="11">
        <f>HYPERLINK("https://www.vietnamworks.com/chuyen-vien-bao-gia-nganh-noi-that-costing-staff-furniture-2001715-jv","Xem chi tiết")</f>
        <v/>
      </c>
      <c r="O8490" s="10" t="n"/>
    </row>
    <row r="8491">
      <c r="B8491" s="7" t="n">
        <v>8489</v>
      </c>
      <c r="C8491" t="inlineStr">
        <is>
          <t>Marketing Lead and Graphic Design</t>
        </is>
      </c>
      <c r="D8491" t="inlineStr">
        <is>
          <t>Công Ty TNHH NexGenus</t>
        </is>
      </c>
      <c r="E8491" t="inlineStr">
        <is>
          <t>Thương lượng</t>
        </is>
      </c>
      <c r="F8491" t="inlineStr">
        <is>
          <t>Hồ Chí Minh</t>
        </is>
      </c>
      <c r="G8491" t="inlineStr">
        <is>
          <t>Nhân viên</t>
        </is>
      </c>
      <c r="H8491" t="inlineStr">
        <is>
          <t>14/01/2026</t>
        </is>
      </c>
      <c r="I8491" t="inlineStr">
        <is>
          <t>08/04/2026</t>
        </is>
      </c>
      <c r="J8491" t="inlineStr">
        <is>
          <t>17/03/2026</t>
        </is>
      </c>
      <c r="K8491" t="inlineStr">
        <is>
          <t>N/A</t>
        </is>
      </c>
      <c r="L8491" t="inlineStr">
        <is>
          <t>Communication, Digital Marketing, Graphic Design, Social Media Marketing, Website Management</t>
        </is>
      </c>
      <c r="M8491" t="inlineStr">
        <is>
          <t>Bonus, Healthcare Plan, Paid Leave, Training, Travel Opportunities, Team Activities, Others</t>
        </is>
      </c>
      <c r="N8491" s="8">
        <f>HYPERLINK("https://www.vietnamworks.com/marketing-lead-and-graphic-design-2002724-jv","Xem chi tiết")</f>
        <v/>
      </c>
    </row>
    <row r="8492">
      <c r="B8492" s="9" t="n">
        <v>8490</v>
      </c>
      <c r="C8492" s="10" t="inlineStr">
        <is>
          <t>Tiệm Bánh Eric Kayser - Giám Sát Nhà Hàng</t>
        </is>
      </c>
      <c r="D8492" s="10" t="inlineStr">
        <is>
          <t>CÔNG TY TNHH TẬP ĐOÀN SUN WORLD</t>
        </is>
      </c>
      <c r="E8492" s="10" t="inlineStr">
        <is>
          <t>Thương lượng</t>
        </is>
      </c>
      <c r="F8492" s="10" t="inlineStr">
        <is>
          <t>An Giang</t>
        </is>
      </c>
      <c r="G8492" s="10" t="inlineStr">
        <is>
          <t>Trưởng phòng</t>
        </is>
      </c>
      <c r="H8492" s="10" t="inlineStr">
        <is>
          <t>16/01/2026</t>
        </is>
      </c>
      <c r="I8492" s="10" t="inlineStr">
        <is>
          <t>08/04/2026</t>
        </is>
      </c>
      <c r="J8492" s="10" t="inlineStr">
        <is>
          <t>17/03/2026</t>
        </is>
      </c>
      <c r="K8492" s="10" t="inlineStr">
        <is>
          <t>N/A</t>
        </is>
      </c>
      <c r="L8492" s="10" t="inlineStr">
        <is>
          <t>Quản Lý Trực Ca, Giao Tiếp, Xử Lý Tình Huống, Am hiểu ngành F&amp;B, Quản Lý Nhân Viên</t>
        </is>
      </c>
      <c r="M8492" s="10" t="inlineStr">
        <is>
          <t>Bonus, Healthcare Plan, Training, Travel Opportunities, Others</t>
        </is>
      </c>
      <c r="N8492" s="11">
        <f>HYPERLINK("https://www.vietnamworks.com/tiem-banh-eric-kayser-giam-sat-nha-hang-2003347-jv","Xem chi tiết")</f>
        <v/>
      </c>
      <c r="O8492" s="10" t="n"/>
    </row>
    <row r="8493">
      <c r="B8493" s="7" t="n">
        <v>8491</v>
      </c>
      <c r="C8493" t="inlineStr">
        <is>
          <t>Accounting Support</t>
        </is>
      </c>
      <c r="D8493" t="inlineStr">
        <is>
          <t>VĂN PHÒNG ĐẠI DIỆN NORDIC TRAVEL ASSOCIATES APS TẠI VIỆT NAM</t>
        </is>
      </c>
      <c r="E8493" t="inlineStr">
        <is>
          <t>$$ 400-500 /tháng</t>
        </is>
      </c>
      <c r="F8493" t="inlineStr">
        <is>
          <t>Hồ Chí Minh</t>
        </is>
      </c>
      <c r="G8493" t="inlineStr">
        <is>
          <t>Nhân viên</t>
        </is>
      </c>
      <c r="H8493" t="inlineStr">
        <is>
          <t>14/01/2026</t>
        </is>
      </c>
      <c r="I8493" t="inlineStr">
        <is>
          <t>08/04/2026</t>
        </is>
      </c>
      <c r="J8493" t="inlineStr">
        <is>
          <t>17/03/2026</t>
        </is>
      </c>
      <c r="K8493" t="inlineStr">
        <is>
          <t>N/A</t>
        </is>
      </c>
      <c r="L8493" t="inlineStr">
        <is>
          <t>Financial Accounting, Accounting Standards, Administrative Support, Internal Accounting</t>
        </is>
      </c>
      <c r="M8493" t="inlineStr">
        <is>
          <t>Bonus, Healthcare Plan, Paid Leave, Training, Team Activities, Others</t>
        </is>
      </c>
      <c r="N8493" s="8">
        <f>HYPERLINK("https://www.vietnamworks.com/accounting-support-2002735-jv","Xem chi tiết")</f>
        <v/>
      </c>
    </row>
    <row r="8494">
      <c r="B8494" s="9" t="n">
        <v>8492</v>
      </c>
      <c r="C8494" s="10" t="inlineStr">
        <is>
          <t>Senior Partnership Executive (Agent Channel)</t>
        </is>
      </c>
      <c r="D8494" s="10" t="inlineStr">
        <is>
          <t>British University Vietnam (Buv)</t>
        </is>
      </c>
      <c r="E8494" s="10" t="inlineStr">
        <is>
          <t>Từ $ 900 /tháng</t>
        </is>
      </c>
      <c r="F8494" s="10" t="inlineStr">
        <is>
          <t>Hà Nội</t>
        </is>
      </c>
      <c r="G8494" s="10" t="inlineStr">
        <is>
          <t>Nhân viên</t>
        </is>
      </c>
      <c r="H8494" s="10" t="inlineStr">
        <is>
          <t>16/01/2026</t>
        </is>
      </c>
      <c r="I8494" s="10" t="inlineStr">
        <is>
          <t>08/04/2026</t>
        </is>
      </c>
      <c r="J8494" s="10" t="inlineStr">
        <is>
          <t>17/03/2026</t>
        </is>
      </c>
      <c r="K8494" s="10" t="inlineStr">
        <is>
          <t>N/A</t>
        </is>
      </c>
      <c r="L8494" s="10" t="inlineStr">
        <is>
          <t>Education Management, Effective Communication, Network, Partnership Development, Student Recruiting</t>
        </is>
      </c>
      <c r="M8494" s="10" t="inlineStr">
        <is>
          <t>Bonus, Healthcare Plan, Paid Leave, Awards, Team Activities, Transportation, Others</t>
        </is>
      </c>
      <c r="N8494" s="11">
        <f>HYPERLINK("https://www.vietnamworks.com/senior-partnership-executive-agent-channel-2003222-jv","Xem chi tiết")</f>
        <v/>
      </c>
      <c r="O8494" s="10" t="n"/>
    </row>
    <row r="8495">
      <c r="B8495" s="7" t="n">
        <v>8493</v>
      </c>
      <c r="C8495" t="inlineStr">
        <is>
          <t>Sales Logistics (Tốt Tiếng Anh Giao Tiếp)</t>
        </is>
      </c>
      <c r="D8495" t="inlineStr">
        <is>
          <t>CÔNG TY TNHH PREMIERE LOGISTICS VIỆT NAM</t>
        </is>
      </c>
      <c r="E8495" t="inlineStr">
        <is>
          <t>Thương lượng</t>
        </is>
      </c>
      <c r="F8495" t="inlineStr">
        <is>
          <t>Hồ Chí Minh</t>
        </is>
      </c>
      <c r="G8495" t="inlineStr">
        <is>
          <t>Mới Tốt Nghiệp</t>
        </is>
      </c>
      <c r="H8495" t="inlineStr">
        <is>
          <t>13/01/2026</t>
        </is>
      </c>
      <c r="I8495" t="inlineStr">
        <is>
          <t>08/04/2026</t>
        </is>
      </c>
      <c r="J8495" t="inlineStr">
        <is>
          <t>17/03/2026</t>
        </is>
      </c>
      <c r="K8495" t="inlineStr">
        <is>
          <t>N/A</t>
        </is>
      </c>
      <c r="L8495" t="inlineStr">
        <is>
          <t>Sales Training, Client Consulting, Logistics, Phát Triển Khách Hàng, Thiết Lập Báo Giá</t>
        </is>
      </c>
      <c r="M8495" t="inlineStr">
        <is>
          <t>Bonus, Healthcare Plan, Training, Others</t>
        </is>
      </c>
      <c r="N8495" s="8">
        <f>HYPERLINK("https://www.vietnamworks.com/sales-logistics-tot-tieng-anh-giao-tiep-2002262-jv","Xem chi tiết")</f>
        <v/>
      </c>
    </row>
    <row r="8496">
      <c r="B8496" s="9" t="n">
        <v>8494</v>
      </c>
      <c r="C8496" s="10" t="inlineStr">
        <is>
          <t>Accountant cum HR Admin / Nhân Viên Kế Toán Kiêm HCNS (Làm Việc Tại Long An, Có Xe Đưa Rước Từ TP. HCM)</t>
        </is>
      </c>
      <c r="D8496" s="10" t="inlineStr">
        <is>
          <t>CÔNG TY TNHH 3T - TECHNOLOGIES VIỆT NAM</t>
        </is>
      </c>
      <c r="E8496" s="10" t="inlineStr">
        <is>
          <t>18tr-23tr ₫/tháng</t>
        </is>
      </c>
      <c r="F8496" s="10" t="inlineStr">
        <is>
          <t>Tây Ninh, Long An</t>
        </is>
      </c>
      <c r="G8496" s="10" t="inlineStr">
        <is>
          <t>Nhân viên</t>
        </is>
      </c>
      <c r="H8496" s="10" t="inlineStr">
        <is>
          <t>16/01/2026</t>
        </is>
      </c>
      <c r="I8496" s="10" t="inlineStr">
        <is>
          <t>08/04/2026</t>
        </is>
      </c>
      <c r="J8496" s="10" t="inlineStr">
        <is>
          <t>17/03/2026</t>
        </is>
      </c>
      <c r="K8496" s="10" t="inlineStr">
        <is>
          <t>N/A</t>
        </is>
      </c>
      <c r="L8496" s="10" t="inlineStr">
        <is>
          <t>Accountant - HR Officer, Accounting &amp; Administration, General Accountant, Kế Toán Tổng Hợp, Kế toán kiêm hành chính nhân sự</t>
        </is>
      </c>
      <c r="M8496" s="10" t="inlineStr">
        <is>
          <t>Bonus, Awards, Transportation, Others</t>
        </is>
      </c>
      <c r="N8496" s="11">
        <f>HYPERLINK("https://www.vietnamworks.com/accountant-cum-hr-admin-nhan-vien-ke-toan-kiem-hcns-lam-viec-tai-long-an-co-xe-dua-ruoc-tu-tp-hcm-2003275-jv","Xem chi tiết")</f>
        <v/>
      </c>
      <c r="O8496" s="10" t="n"/>
    </row>
    <row r="8497">
      <c r="B8497" s="7" t="n">
        <v>8495</v>
      </c>
      <c r="C8497" t="inlineStr">
        <is>
          <t>Trưởng Phòng Thương Mại Điện Tử</t>
        </is>
      </c>
      <c r="D8497" t="inlineStr">
        <is>
          <t>CÔNG TY CP TẬP ĐOÀN NTT VIỆT NAM</t>
        </is>
      </c>
      <c r="E8497" t="inlineStr">
        <is>
          <t>20tr-50tr ₫/tháng</t>
        </is>
      </c>
      <c r="F8497" t="inlineStr">
        <is>
          <t>Hà Nội</t>
        </is>
      </c>
      <c r="G8497" t="inlineStr">
        <is>
          <t>Trưởng phòng</t>
        </is>
      </c>
      <c r="H8497" t="inlineStr">
        <is>
          <t>13/01/2026</t>
        </is>
      </c>
      <c r="I8497" t="inlineStr">
        <is>
          <t>08/04/2026</t>
        </is>
      </c>
      <c r="J8497" t="inlineStr">
        <is>
          <t>17/03/2026</t>
        </is>
      </c>
      <c r="K8497" t="inlineStr">
        <is>
          <t>N/A</t>
        </is>
      </c>
      <c r="L8497" t="inlineStr">
        <is>
          <t>Phân Tích Thị Trường, Xây Dựng Kế Hoạch, Marketing Online, Thương Mại Điện Tử, Pricing Strategy</t>
        </is>
      </c>
      <c r="M8497" t="inlineStr">
        <is>
          <t>Healthcare Plan, Paid Leave, Team Activities, Others</t>
        </is>
      </c>
      <c r="N8497" s="8">
        <f>HYPERLINK("https://www.vietnamworks.com/truong-phong-thuong-mai-dien-tu--2002139-jv","Xem chi tiết")</f>
        <v/>
      </c>
    </row>
    <row r="8498">
      <c r="B8498" s="9" t="n">
        <v>8496</v>
      </c>
      <c r="C8498" s="10" t="inlineStr">
        <is>
          <t>Quality Assurance Inspector</t>
        </is>
      </c>
      <c r="D8498" s="10" t="inlineStr">
        <is>
          <t>VĂN PHÒNG ĐẠI DIỆN FURNITURE DESIGNS BY ASPEN (MAURITIUS) LIMITED TẠI TP HỒ CHÍ MINH</t>
        </is>
      </c>
      <c r="E8498" s="10" t="inlineStr">
        <is>
          <t>Thương lượng</t>
        </is>
      </c>
      <c r="F8498" s="10" t="inlineStr">
        <is>
          <t>Bình Dương</t>
        </is>
      </c>
      <c r="G8498" s="10" t="inlineStr">
        <is>
          <t>Nhân viên</t>
        </is>
      </c>
      <c r="H8498" s="10" t="inlineStr">
        <is>
          <t>12/01/2026</t>
        </is>
      </c>
      <c r="I8498" s="10" t="inlineStr">
        <is>
          <t>08/04/2026</t>
        </is>
      </c>
      <c r="J8498" s="10" t="inlineStr">
        <is>
          <t>17/03/2026</t>
        </is>
      </c>
      <c r="K8498" s="10" t="inlineStr">
        <is>
          <t>N/A</t>
        </is>
      </c>
      <c r="L8498" s="10" t="inlineStr">
        <is>
          <t>Color Management, Furniture, Product Quality, Quality Improvement Tools, Quality Inspection</t>
        </is>
      </c>
      <c r="M8498" s="10" t="inlineStr">
        <is>
          <t>Healthcare Plan</t>
        </is>
      </c>
      <c r="N8498" s="11">
        <f>HYPERLINK("https://www.vietnamworks.com/quality-assurance-inspector-2001382-jv","Xem chi tiết")</f>
        <v/>
      </c>
      <c r="O8498" s="10" t="n"/>
    </row>
    <row r="8499">
      <c r="B8499" s="7" t="n">
        <v>8497</v>
      </c>
      <c r="C8499" t="inlineStr">
        <is>
          <t>Outbound Tour Operator</t>
        </is>
      </c>
      <c r="D8499" t="inlineStr">
        <is>
          <t>VĂN PHÒNG ĐẠI DIỆN NORDIC TRAVEL ASSOCIATES APS TẠI VIỆT NAM</t>
        </is>
      </c>
      <c r="E8499" t="inlineStr">
        <is>
          <t>$$ 400-500 /tháng</t>
        </is>
      </c>
      <c r="F8499" t="inlineStr">
        <is>
          <t>Hồ Chí Minh</t>
        </is>
      </c>
      <c r="G8499" t="inlineStr">
        <is>
          <t>Nhân viên</t>
        </is>
      </c>
      <c r="H8499" t="inlineStr">
        <is>
          <t>14/01/2026</t>
        </is>
      </c>
      <c r="I8499" t="inlineStr">
        <is>
          <t>08/04/2026</t>
        </is>
      </c>
      <c r="J8499" t="inlineStr">
        <is>
          <t>17/03/2026</t>
        </is>
      </c>
      <c r="K8499" t="inlineStr">
        <is>
          <t>N/A</t>
        </is>
      </c>
      <c r="L8499" t="inlineStr">
        <is>
          <t>Outbound Tour, Outbound Travel, Tour Planning, Tourism Management, Travel Booking</t>
        </is>
      </c>
      <c r="M8499" t="inlineStr">
        <is>
          <t>Bonus, Healthcare Plan, Paid Leave, Training, Team Activities, Others</t>
        </is>
      </c>
      <c r="N8499" s="8">
        <f>HYPERLINK("https://www.vietnamworks.com/outbound-tour-operator-2002734-jv","Xem chi tiết")</f>
        <v/>
      </c>
    </row>
    <row r="8500">
      <c r="B8500" s="9" t="n">
        <v>8498</v>
      </c>
      <c r="C8500" s="10" t="inlineStr">
        <is>
          <t>Sales Representative</t>
        </is>
      </c>
      <c r="D8500" s="10" t="inlineStr">
        <is>
          <t>Matson Navigation Inc.</t>
        </is>
      </c>
      <c r="E8500" s="10" t="inlineStr">
        <is>
          <t>$$ 1,000-1,500 /tháng</t>
        </is>
      </c>
      <c r="F8500" s="10" t="inlineStr">
        <is>
          <t>Hồ Chí Minh</t>
        </is>
      </c>
      <c r="G8500" s="10" t="inlineStr">
        <is>
          <t>Nhân viên</t>
        </is>
      </c>
      <c r="H8500" s="10" t="inlineStr">
        <is>
          <t>14/01/2026</t>
        </is>
      </c>
      <c r="I8500" s="10" t="inlineStr">
        <is>
          <t>08/04/2026</t>
        </is>
      </c>
      <c r="J8500" s="10" t="inlineStr">
        <is>
          <t>17/03/2026</t>
        </is>
      </c>
      <c r="K8500" s="10" t="inlineStr">
        <is>
          <t>N/A</t>
        </is>
      </c>
      <c r="L8500" s="10" t="inlineStr">
        <is>
          <t>Fluent In English/German, Container Shipping, Supply Chain Logistics</t>
        </is>
      </c>
      <c r="M8500" s="10" t="inlineStr">
        <is>
          <t>Bonus, Healthcare Plan, Paid Leave</t>
        </is>
      </c>
      <c r="N8500" s="11">
        <f>HYPERLINK("https://www.vietnamworks.com/sales-representative--2002501-jv","Xem chi tiết")</f>
        <v/>
      </c>
      <c r="O8500" s="10" t="n"/>
    </row>
    <row r="8501">
      <c r="B8501" s="7" t="n">
        <v>8499</v>
      </c>
      <c r="C8501" t="inlineStr">
        <is>
          <t>Kế Toán Tổng Hợp</t>
        </is>
      </c>
      <c r="D8501" t="inlineStr">
        <is>
          <t>Stavian Group</t>
        </is>
      </c>
      <c r="E8501" t="inlineStr">
        <is>
          <t>Tới $ 1,000 /tháng</t>
        </is>
      </c>
      <c r="F8501" t="inlineStr">
        <is>
          <t>Hà Nội</t>
        </is>
      </c>
      <c r="G8501" t="inlineStr">
        <is>
          <t>Nhân viên</t>
        </is>
      </c>
      <c r="H8501" t="inlineStr">
        <is>
          <t>15/01/2026</t>
        </is>
      </c>
      <c r="I8501" t="inlineStr">
        <is>
          <t>08/04/2026</t>
        </is>
      </c>
      <c r="J8501" t="inlineStr">
        <is>
          <t>17/03/2026</t>
        </is>
      </c>
      <c r="K8501" t="inlineStr">
        <is>
          <t>N/A</t>
        </is>
      </c>
      <c r="L8501" t="inlineStr">
        <is>
          <t>Kế Toán Tổng Hợp, Kế Toán, Thuế, Báo Cáo Tài Chính, Kiểm toán</t>
        </is>
      </c>
      <c r="M8501" t="inlineStr">
        <is>
          <t>Bonus, Healthcare Plan, Travel Opportunities</t>
        </is>
      </c>
      <c r="N8501" s="8">
        <f>HYPERLINK("https://www.vietnamworks.com/ke-toan-tong-hop--2002916-jv","Xem chi tiết")</f>
        <v/>
      </c>
    </row>
    <row r="8502">
      <c r="B8502" s="9" t="n">
        <v>8500</v>
      </c>
      <c r="C8502" s="10" t="inlineStr">
        <is>
          <t>Business Development Manager</t>
        </is>
      </c>
      <c r="D8502" s="10" t="inlineStr">
        <is>
          <t>UrBox (Công ty Cổ phần Tiếp thị số Tô Quà)</t>
        </is>
      </c>
      <c r="E8502" s="10" t="inlineStr">
        <is>
          <t>Thương lượng</t>
        </is>
      </c>
      <c r="F8502" s="10" t="inlineStr">
        <is>
          <t>Hà Nội</t>
        </is>
      </c>
      <c r="G8502" s="10" t="inlineStr">
        <is>
          <t>Trưởng phòng</t>
        </is>
      </c>
      <c r="H8502" s="10" t="inlineStr">
        <is>
          <t>14/11/2025</t>
        </is>
      </c>
      <c r="I8502" s="10" t="inlineStr">
        <is>
          <t>08/04/2026</t>
        </is>
      </c>
      <c r="J8502" s="10" t="inlineStr">
        <is>
          <t>17/03/2026</t>
        </is>
      </c>
      <c r="K8502" s="10" t="inlineStr">
        <is>
          <t>N/A</t>
        </is>
      </c>
      <c r="L8502" s="10" t="inlineStr">
        <is>
          <t>B2B, Bán hàng, Business Development, Kế Hoạch Kinh Doanh, Sales</t>
        </is>
      </c>
      <c r="M8502" s="10" t="inlineStr">
        <is>
          <t>Bonus, Healthcare Plan, Paid Leave, Training, Awards, Team Activities, Vouchers</t>
        </is>
      </c>
      <c r="N8502" s="11">
        <f>HYPERLINK("https://www.vietnamworks.com/business-development-manager-1981990-jv","Xem chi tiết")</f>
        <v/>
      </c>
      <c r="O8502" s="10" t="n"/>
    </row>
    <row r="8503">
      <c r="B8503" s="7" t="n">
        <v>8501</v>
      </c>
      <c r="C8503" t="inlineStr">
        <is>
          <t>Trưởng Ban Pháp Chế Dự Án Và Quản Trị Doanh Nghiệp</t>
        </is>
      </c>
      <c r="D8503" t="inlineStr">
        <is>
          <t>Công Ty Cổ Phần Hàng Hải Vsico</t>
        </is>
      </c>
      <c r="E8503" t="inlineStr">
        <is>
          <t>Thương lượng</t>
        </is>
      </c>
      <c r="F8503" t="inlineStr">
        <is>
          <t>Hà Nội</t>
        </is>
      </c>
      <c r="G8503" t="inlineStr">
        <is>
          <t>Trưởng phòng</t>
        </is>
      </c>
      <c r="H8503" t="inlineStr">
        <is>
          <t>15/01/2026</t>
        </is>
      </c>
      <c r="I8503" t="inlineStr">
        <is>
          <t>08/04/2026</t>
        </is>
      </c>
      <c r="J8503" t="inlineStr">
        <is>
          <t>17/03/2026</t>
        </is>
      </c>
      <c r="K8503" t="inlineStr">
        <is>
          <t>N/A</t>
        </is>
      </c>
      <c r="L8503" t="inlineStr">
        <is>
          <t>Kiểm Soát Tuân Thủ, Luật Đầu Tư, Pháp Chế, Pháp Lý Dự Án, Quản Trị Doanh Nghiệp</t>
        </is>
      </c>
      <c r="M8503" t="inlineStr">
        <is>
          <t>Bonus, Healthcare Plan, Training, Canteen</t>
        </is>
      </c>
      <c r="N8503" s="8">
        <f>HYPERLINK("https://www.vietnamworks.com/truong-ban-phap-che-du-an-va-quan-tri-doanh-nghiep-2003175-jv","Xem chi tiết")</f>
        <v/>
      </c>
    </row>
    <row r="8504">
      <c r="B8504" s="9" t="n">
        <v>8502</v>
      </c>
      <c r="C8504" s="10" t="inlineStr">
        <is>
          <t>Phó Phòng Kinh Doanh B2B (Export &amp; Domestic)</t>
        </is>
      </c>
      <c r="D8504" s="10" t="inlineStr">
        <is>
          <t>Công Ty Cổ Phần Everpia</t>
        </is>
      </c>
      <c r="E8504" s="10" t="inlineStr">
        <is>
          <t>Thương lượng</t>
        </is>
      </c>
      <c r="F8504" s="10" t="inlineStr">
        <is>
          <t>Hưng Yên, Hà Nội, Đà Nẵng</t>
        </is>
      </c>
      <c r="G8504" s="10" t="inlineStr">
        <is>
          <t>Trưởng phòng</t>
        </is>
      </c>
      <c r="H8504" s="10" t="inlineStr">
        <is>
          <t>12/01/2026</t>
        </is>
      </c>
      <c r="I8504" s="10" t="inlineStr">
        <is>
          <t>08/04/2026</t>
        </is>
      </c>
      <c r="J8504" s="10" t="inlineStr">
        <is>
          <t>17/03/2026</t>
        </is>
      </c>
      <c r="K8504" s="10" t="inlineStr">
        <is>
          <t>N/A</t>
        </is>
      </c>
      <c r="L8504" s="10" t="inlineStr">
        <is>
          <t>B2B Sales, Kế Hoạch Kinh Doanh, Phát Triển Khách Hàng, Tìm Kiếm Khách Hàng, Đàm Phán Hợp Đồng</t>
        </is>
      </c>
      <c r="M8504" s="10" t="inlineStr">
        <is>
          <t>Bonus, Healthcare Plan, Others</t>
        </is>
      </c>
      <c r="N8504" s="11">
        <f>HYPERLINK("https://www.vietnamworks.com/pho-phong-kinh-doanh-b2b-export-and-domestic-2001826-jv","Xem chi tiết")</f>
        <v/>
      </c>
      <c r="O8504" s="10" t="n"/>
    </row>
    <row r="8505">
      <c r="B8505" s="7" t="n">
        <v>8503</v>
      </c>
      <c r="C8505" t="inlineStr">
        <is>
          <t>Giám Đốc Dự Án Nông Lâm Nghiệp</t>
        </is>
      </c>
      <c r="D8505" t="inlineStr">
        <is>
          <t>CÔNG TY CỔ PHẦN TẬP ĐOÀN ĐẦU TƯ HOÀNG GIA VIỆT NAM</t>
        </is>
      </c>
      <c r="E8505" t="inlineStr">
        <is>
          <t>Thương lượng</t>
        </is>
      </c>
      <c r="F8505" t="inlineStr">
        <is>
          <t>Long An</t>
        </is>
      </c>
      <c r="G8505" t="inlineStr">
        <is>
          <t>Giám Đốc và Cấp Cao Hơn</t>
        </is>
      </c>
      <c r="H8505" t="inlineStr">
        <is>
          <t>17/11/2025</t>
        </is>
      </c>
      <c r="I8505" t="inlineStr">
        <is>
          <t>08/04/2026</t>
        </is>
      </c>
      <c r="J8505" t="inlineStr">
        <is>
          <t>17/03/2026</t>
        </is>
      </c>
      <c r="K8505" t="inlineStr">
        <is>
          <t>N/A</t>
        </is>
      </c>
      <c r="L8505" t="inlineStr">
        <is>
          <t>Lâm Nghiệp, Nông nghiệp</t>
        </is>
      </c>
      <c r="M8505" t="inlineStr">
        <is>
          <t>Bonus, Healthcare Plan, Training, Travel Opportunities, Canteen</t>
        </is>
      </c>
      <c r="N8505" s="8">
        <f>HYPERLINK("https://www.vietnamworks.com/giam-djoc-du-an-nong-lam-nghiep-1982491-jv","Xem chi tiết")</f>
        <v/>
      </c>
    </row>
    <row r="8506">
      <c r="B8506" s="9" t="n">
        <v>8504</v>
      </c>
      <c r="C8506" s="10" t="inlineStr">
        <is>
          <t>Maintenance Manager - Factory | Quản Lý Bảo Trì - Nhà Máy</t>
        </is>
      </c>
      <c r="D8506" s="10" t="inlineStr">
        <is>
          <t>Công ty TNHH Aden Services (Việt Nam)</t>
        </is>
      </c>
      <c r="E8506" s="10" t="inlineStr">
        <is>
          <t>Thương lượng</t>
        </is>
      </c>
      <c r="F8506" s="10" t="inlineStr">
        <is>
          <t>Bình Dương</t>
        </is>
      </c>
      <c r="G8506" s="10" t="inlineStr">
        <is>
          <t>Trưởng phòng</t>
        </is>
      </c>
      <c r="H8506" s="10" t="inlineStr">
        <is>
          <t>16/01/2026</t>
        </is>
      </c>
      <c r="I8506" s="10" t="inlineStr">
        <is>
          <t>08/04/2026</t>
        </is>
      </c>
      <c r="J8506" s="10" t="inlineStr">
        <is>
          <t>17/03/2026</t>
        </is>
      </c>
      <c r="K8506" s="10" t="inlineStr">
        <is>
          <t>N/A</t>
        </is>
      </c>
      <c r="L8506" s="10" t="inlineStr">
        <is>
          <t>Electrical Engineering, Leadership, Mechanical Engineering, MS Office, Problem-solving</t>
        </is>
      </c>
      <c r="M8506" s="10" t="inlineStr">
        <is>
          <t>Bonus, Training, Others</t>
        </is>
      </c>
      <c r="N8506" s="11">
        <f>HYPERLINK("https://www.vietnamworks.com/maintenance-manager-factory-or-quan-ly-bao-tri-nha-may-2003394-jv","Xem chi tiết")</f>
        <v/>
      </c>
      <c r="O8506" s="10" t="n"/>
    </row>
    <row r="8507">
      <c r="B8507" s="7" t="n">
        <v>8505</v>
      </c>
      <c r="C8507" t="inlineStr">
        <is>
          <t>Math - Physics Teacher (International Program)</t>
        </is>
      </c>
      <c r="D8507" t="inlineStr">
        <is>
          <t>CÔNG TY TRÁCH NHIỆM HỮU HẠN GIÁO DỤC TUTORINGSPACE</t>
        </is>
      </c>
      <c r="E8507" t="inlineStr">
        <is>
          <t>10tr-25tr ₫/tháng</t>
        </is>
      </c>
      <c r="F8507" t="inlineStr">
        <is>
          <t>Hồ Chí Minh</t>
        </is>
      </c>
      <c r="G8507" t="inlineStr">
        <is>
          <t>Mới Tốt Nghiệp</t>
        </is>
      </c>
      <c r="H8507" t="inlineStr">
        <is>
          <t>16/01/2026</t>
        </is>
      </c>
      <c r="I8507" t="inlineStr">
        <is>
          <t>08/04/2026</t>
        </is>
      </c>
      <c r="J8507" t="inlineStr">
        <is>
          <t>17/03/2026</t>
        </is>
      </c>
      <c r="K8507" t="inlineStr">
        <is>
          <t>N/A</t>
        </is>
      </c>
      <c r="L8507" t="inlineStr">
        <is>
          <t>Classroom Management, Lesson Planning, Presentation Skills, Student Engagement, Teaching Mathematics</t>
        </is>
      </c>
      <c r="M8507" t="inlineStr">
        <is>
          <t>Healthcare Plan, Paid Leave, Training, Travel Opportunities</t>
        </is>
      </c>
      <c r="N8507" s="8">
        <f>HYPERLINK("https://www.vietnamworks.com/math-physics-teacher-international-program-2003477-jv","Xem chi tiết")</f>
        <v/>
      </c>
    </row>
    <row r="8508">
      <c r="B8508" s="9" t="n">
        <v>8506</v>
      </c>
      <c r="C8508" s="10" t="inlineStr">
        <is>
          <t>Hot - Tuyển Dụng Kỹ Sư Cơ Điện</t>
        </is>
      </c>
      <c r="D8508" s="10" t="inlineStr">
        <is>
          <t>Công Ty TNHH Thiết Bị Công Nghiệp Ichi Việt Nam</t>
        </is>
      </c>
      <c r="E8508" s="10" t="inlineStr">
        <is>
          <t>Từ 20tr ₫/tháng</t>
        </is>
      </c>
      <c r="F8508" s="10" t="inlineStr">
        <is>
          <t>Hà Nội</t>
        </is>
      </c>
      <c r="G8508" s="10" t="inlineStr">
        <is>
          <t>Nhân viên</t>
        </is>
      </c>
      <c r="H8508" s="10" t="inlineStr">
        <is>
          <t>16/01/2026</t>
        </is>
      </c>
      <c r="I8508" s="10" t="inlineStr">
        <is>
          <t>08/04/2026</t>
        </is>
      </c>
      <c r="J8508" s="10" t="inlineStr">
        <is>
          <t>17/03/2026</t>
        </is>
      </c>
      <c r="K8508" s="10" t="inlineStr">
        <is>
          <t>N/A</t>
        </is>
      </c>
      <c r="L8508" s="10" t="inlineStr">
        <is>
          <t>Sửa Chữa Máy Lạnh, Kỹ năng giao tiêp, Sử dụng vi tính Văn Phòng, Nhân Viên Kỹ Thuật, Kỹ Sư Cơ Điện</t>
        </is>
      </c>
      <c r="M8508" s="10" t="inlineStr">
        <is>
          <t>Bonus, Healthcare Plan, Paid Leave, Team Activities, Others</t>
        </is>
      </c>
      <c r="N8508" s="11">
        <f>HYPERLINK("https://www.vietnamworks.com/hot-tuyen-dung-ky-su-co-dien-2003610-jv","Xem chi tiết")</f>
        <v/>
      </c>
      <c r="O8508" s="10" t="n"/>
    </row>
    <row r="8509">
      <c r="B8509" s="7" t="n">
        <v>8507</v>
      </c>
      <c r="C8509" t="inlineStr">
        <is>
          <t>[Hot] Tuyển Dụng Nhân Viên Kinh Doanh</t>
        </is>
      </c>
      <c r="D8509" t="inlineStr">
        <is>
          <t>Công Ty TNHH Thiết Bị Công Nghiệp Ichi Việt Nam</t>
        </is>
      </c>
      <c r="E8509" t="inlineStr">
        <is>
          <t>10tr-25tr ₫/tháng</t>
        </is>
      </c>
      <c r="F8509" t="inlineStr">
        <is>
          <t>Hà Nội</t>
        </is>
      </c>
      <c r="G8509" t="inlineStr">
        <is>
          <t>Nhân viên</t>
        </is>
      </c>
      <c r="H8509" t="inlineStr">
        <is>
          <t>16/01/2026</t>
        </is>
      </c>
      <c r="I8509" t="inlineStr">
        <is>
          <t>08/04/2026</t>
        </is>
      </c>
      <c r="J8509" t="inlineStr">
        <is>
          <t>17/03/2026</t>
        </is>
      </c>
      <c r="K8509" t="inlineStr">
        <is>
          <t>N/A</t>
        </is>
      </c>
      <c r="L8509" t="inlineStr">
        <is>
          <t>Kinh Doanh Thiết Bị Y Tế, Tư Vấn Kỹ Thuật, Phân Tích Thị Trường, Kinh Doanh, Nhân viên kinh doanh</t>
        </is>
      </c>
      <c r="M8509" t="inlineStr">
        <is>
          <t>Bonus, Healthcare Plan, Paid Leave, Travel Opportunities, Team Activities, Others</t>
        </is>
      </c>
      <c r="N8509" s="8">
        <f>HYPERLINK("https://www.vietnamworks.com/hot-tuyen-dung-nhan-vien-kinh-doanh-2003609-jv","Xem chi tiết")</f>
        <v/>
      </c>
    </row>
    <row r="8510">
      <c r="B8510" s="9" t="n">
        <v>8508</v>
      </c>
      <c r="C8510" s="10" t="inlineStr">
        <is>
          <t>General Procurement Staff (Marketing &amp; Service Products) - Nhân Viên Mua Hàng (Sản Phẩm Marketing &amp; Dịch Vụ)</t>
        </is>
      </c>
      <c r="D8510" s="10" t="inlineStr">
        <is>
          <t>LG Electronics Vietnam Hai Phong - Sales &amp; Marketing Company</t>
        </is>
      </c>
      <c r="E8510" s="10" t="inlineStr">
        <is>
          <t>Thương lượng</t>
        </is>
      </c>
      <c r="F8510" s="10" t="inlineStr">
        <is>
          <t>Hà Nội</t>
        </is>
      </c>
      <c r="G8510" s="10" t="inlineStr">
        <is>
          <t>Nhân viên</t>
        </is>
      </c>
      <c r="H8510" s="10" t="inlineStr">
        <is>
          <t>16/01/2026</t>
        </is>
      </c>
      <c r="I8510" s="10" t="inlineStr">
        <is>
          <t>08/04/2026</t>
        </is>
      </c>
      <c r="J8510" s="10" t="inlineStr">
        <is>
          <t>17/03/2026</t>
        </is>
      </c>
      <c r="K8510" s="10" t="inlineStr">
        <is>
          <t>N/A</t>
        </is>
      </c>
      <c r="L8510" s="10" t="inlineStr">
        <is>
          <t>Procurement Outsourcing, Marketing Purchase, Mua Hàng, Procurement</t>
        </is>
      </c>
      <c r="M8510" s="10" t="inlineStr">
        <is>
          <t>Bonus, Paid Leave, Canteen</t>
        </is>
      </c>
      <c r="N8510" s="11">
        <f>HYPERLINK("https://www.vietnamworks.com/general-procurement-staff-marketing-service-products-nhan-vien-mua-hang-san-pham-marketing-dich-vu--2003615-jv","Xem chi tiết")</f>
        <v/>
      </c>
      <c r="O8510" s="10" t="n"/>
    </row>
    <row r="8511">
      <c r="B8511" s="7" t="n">
        <v>8509</v>
      </c>
      <c r="C8511" t="inlineStr">
        <is>
          <t>Sun Bavaria Gastropub - Giám Sát Nhà Hàng</t>
        </is>
      </c>
      <c r="D8511" t="inlineStr">
        <is>
          <t>CÔNG TY TNHH TẬP ĐOÀN SUN WORLD</t>
        </is>
      </c>
      <c r="E8511" t="inlineStr">
        <is>
          <t>Thương lượng</t>
        </is>
      </c>
      <c r="F8511" t="inlineStr">
        <is>
          <t>An Giang</t>
        </is>
      </c>
      <c r="G8511" t="inlineStr">
        <is>
          <t>Nhân viên</t>
        </is>
      </c>
      <c r="H8511" t="inlineStr">
        <is>
          <t>16/01/2026</t>
        </is>
      </c>
      <c r="I8511" t="inlineStr">
        <is>
          <t>08/04/2026</t>
        </is>
      </c>
      <c r="J8511" t="inlineStr">
        <is>
          <t>17/03/2026</t>
        </is>
      </c>
      <c r="K8511" t="inlineStr">
        <is>
          <t>N/A</t>
        </is>
      </c>
      <c r="L8511" t="inlineStr">
        <is>
          <t>Quản Lý Nhà Hàng, Kinh Doanh, Kiểm Soát Tài Chính, Đào Tạo Nhân Sự, Giao Tiếp Tiếng Anh</t>
        </is>
      </c>
      <c r="M8511" t="inlineStr">
        <is>
          <t>Bonus, Healthcare Plan, Training, Travel Opportunities, Others</t>
        </is>
      </c>
      <c r="N8511" s="8">
        <f>HYPERLINK("https://www.vietnamworks.com/sun-bavaria-gastropub-giam-sat-nha-hang-2003348-jv","Xem chi tiết")</f>
        <v/>
      </c>
    </row>
    <row r="8512">
      <c r="B8512" s="9" t="n">
        <v>8510</v>
      </c>
      <c r="C8512" s="10" t="inlineStr">
        <is>
          <t>Branch Manager - Quản Lý Chi Nhánh</t>
        </is>
      </c>
      <c r="D8512" s="10" t="inlineStr">
        <is>
          <t>Công Ty TNHH Con Đường Giáo Dục (EduPath)</t>
        </is>
      </c>
      <c r="E8512" s="10" t="inlineStr">
        <is>
          <t>Thương lượng</t>
        </is>
      </c>
      <c r="F8512" s="10" t="inlineStr">
        <is>
          <t>Hồ Chí Minh, Hà Nội</t>
        </is>
      </c>
      <c r="G8512" s="10" t="inlineStr">
        <is>
          <t>Trưởng phòng</t>
        </is>
      </c>
      <c r="H8512" s="10" t="inlineStr">
        <is>
          <t>16/01/2026</t>
        </is>
      </c>
      <c r="I8512" s="10" t="inlineStr">
        <is>
          <t>08/04/2026</t>
        </is>
      </c>
      <c r="J8512" s="10" t="inlineStr">
        <is>
          <t>17/03/2026</t>
        </is>
      </c>
      <c r="K8512" s="10" t="inlineStr">
        <is>
          <t>N/A</t>
        </is>
      </c>
      <c r="L8512" s="10" t="inlineStr">
        <is>
          <t>Quản Lý Kinh Doanh, Tư Vấn Du Học, Tư Vấn Định Cư, Định Cư Di Trú, Giao Tiếp</t>
        </is>
      </c>
      <c r="M8512" s="10" t="inlineStr">
        <is>
          <t>Bonus, Healthcare Plan, Laptop</t>
        </is>
      </c>
      <c r="N8512" s="11">
        <f>HYPERLINK("https://www.vietnamworks.com/branch-manager-quan-ly-chi-nhanh--2003493-jv","Xem chi tiết")</f>
        <v/>
      </c>
      <c r="O8512" s="10" t="n"/>
    </row>
    <row r="8513">
      <c r="B8513" s="7" t="n">
        <v>8511</v>
      </c>
      <c r="C8513" t="inlineStr">
        <is>
          <t>HSSE Site Supervisor</t>
        </is>
      </c>
      <c r="D8513" t="inlineStr">
        <is>
          <t>Maersk Vietnam Ltd.</t>
        </is>
      </c>
      <c r="E8513" t="inlineStr">
        <is>
          <t>Thương lượng</t>
        </is>
      </c>
      <c r="F8513" t="inlineStr">
        <is>
          <t>Bình Dương</t>
        </is>
      </c>
      <c r="G8513" t="inlineStr">
        <is>
          <t>Nhân viên</t>
        </is>
      </c>
      <c r="H8513" t="inlineStr">
        <is>
          <t>16/01/2026</t>
        </is>
      </c>
      <c r="I8513" t="inlineStr">
        <is>
          <t>08/04/2026</t>
        </is>
      </c>
      <c r="J8513" t="inlineStr">
        <is>
          <t>17/03/2026</t>
        </is>
      </c>
      <c r="K8513" t="inlineStr">
        <is>
          <t>N/A</t>
        </is>
      </c>
      <c r="L8513" t="inlineStr">
        <is>
          <t>HSSE, Hsse Management, Nebosh International Safety Certificate, Audit C-Tpat, IOSH</t>
        </is>
      </c>
      <c r="M8513" t="inlineStr">
        <is>
          <t>Bonus, Healthcare Plan, Training</t>
        </is>
      </c>
      <c r="N8513" s="8">
        <f>HYPERLINK("https://www.vietnamworks.com/hsse-site-supervisor--2003618-jv","Xem chi tiết")</f>
        <v/>
      </c>
    </row>
    <row r="8514">
      <c r="B8514" s="9" t="n">
        <v>8512</v>
      </c>
      <c r="C8514" s="10" t="inlineStr">
        <is>
          <t>(Senior) Product Design Engineer</t>
        </is>
      </c>
      <c r="D8514" s="10" t="inlineStr">
        <is>
          <t>Sharkninja Vietnam</t>
        </is>
      </c>
      <c r="E8514" s="10" t="inlineStr">
        <is>
          <t>Thương lượng</t>
        </is>
      </c>
      <c r="F8514" s="10" t="inlineStr">
        <is>
          <t>Hồ Chí Minh</t>
        </is>
      </c>
      <c r="G8514" s="10" t="inlineStr">
        <is>
          <t>Nhân viên</t>
        </is>
      </c>
      <c r="H8514" s="10" t="inlineStr">
        <is>
          <t>19/01/2026</t>
        </is>
      </c>
      <c r="I8514" s="10" t="inlineStr">
        <is>
          <t>08/04/2026</t>
        </is>
      </c>
      <c r="J8514" s="10" t="inlineStr">
        <is>
          <t>17/03/2026</t>
        </is>
      </c>
      <c r="K8514" s="10" t="inlineStr">
        <is>
          <t>N/A</t>
        </is>
      </c>
      <c r="L8514" s="10" t="inlineStr">
        <is>
          <t>3D CAD, Effective Teamwork, English Communication, Machine Design, Product Development</t>
        </is>
      </c>
      <c r="M8514" s="10" t="inlineStr">
        <is>
          <t>Bonus, Healthcare Plan, Training</t>
        </is>
      </c>
      <c r="N8514" s="11">
        <f>HYPERLINK("https://www.vietnamworks.com/-senior-product-design-engineer-2004184-jv","Xem chi tiết")</f>
        <v/>
      </c>
      <c r="O8514" s="10" t="n"/>
    </row>
    <row r="8515">
      <c r="B8515" s="7" t="n">
        <v>8513</v>
      </c>
      <c r="C8515" t="inlineStr">
        <is>
          <t>Business Development Manager (Forex/Tài chính)</t>
        </is>
      </c>
      <c r="D8515" t="inlineStr">
        <is>
          <t>WeTrade Global</t>
        </is>
      </c>
      <c r="E8515" t="inlineStr">
        <is>
          <t>$$ 1,000-2,000 /tháng</t>
        </is>
      </c>
      <c r="F8515" t="inlineStr">
        <is>
          <t>Hồ Chí Minh</t>
        </is>
      </c>
      <c r="G8515" t="inlineStr">
        <is>
          <t>Trưởng phòng</t>
        </is>
      </c>
      <c r="H8515" t="inlineStr">
        <is>
          <t>20/01/2026</t>
        </is>
      </c>
      <c r="I8515" t="inlineStr">
        <is>
          <t>08/04/2026</t>
        </is>
      </c>
      <c r="J8515" t="inlineStr">
        <is>
          <t>17/03/2026</t>
        </is>
      </c>
      <c r="K8515" t="inlineStr">
        <is>
          <t>N/A</t>
        </is>
      </c>
      <c r="L8515" t="inlineStr">
        <is>
          <t>Business Development, Forex, Phát Triển Thị Trường, Quản Lý Kinh Doanh, Sales Strategy</t>
        </is>
      </c>
      <c r="M8515" t="inlineStr">
        <is>
          <t>Bonus, Training, Others</t>
        </is>
      </c>
      <c r="N8515" s="8">
        <f>HYPERLINK("https://www.vietnamworks.com/business-development-manager-forextai-chinh-2004254-jv","Xem chi tiết")</f>
        <v/>
      </c>
    </row>
    <row r="8516">
      <c r="B8516" s="9" t="n">
        <v>8514</v>
      </c>
      <c r="C8516" s="10" t="inlineStr">
        <is>
          <t>Chuyên Viên Vận Hành Sản Phẩm Ngân Hàng Số</t>
        </is>
      </c>
      <c r="D8516" s="10" t="inlineStr">
        <is>
          <t>Ngân Hàng TNHH MTV Woori Việt Nam</t>
        </is>
      </c>
      <c r="E8516" s="10" t="inlineStr">
        <is>
          <t>15tr-25tr ₫/tháng</t>
        </is>
      </c>
      <c r="F8516" s="10" t="inlineStr">
        <is>
          <t>Hà Nội</t>
        </is>
      </c>
      <c r="G8516" s="10" t="inlineStr">
        <is>
          <t>Nhân viên</t>
        </is>
      </c>
      <c r="H8516" s="10" t="inlineStr">
        <is>
          <t>19/01/2026</t>
        </is>
      </c>
      <c r="I8516" s="10" t="inlineStr">
        <is>
          <t>08/04/2026</t>
        </is>
      </c>
      <c r="J8516" s="10" t="inlineStr">
        <is>
          <t>17/03/2026</t>
        </is>
      </c>
      <c r="K8516" s="10" t="inlineStr">
        <is>
          <t>N/A</t>
        </is>
      </c>
      <c r="L8516" s="10" t="inlineStr">
        <is>
          <t>Ngân hàng, Ngân Hàng Số, Kỹ năng văn phòng, Tiếng Anh, Tiếng Hàn</t>
        </is>
      </c>
      <c r="M8516" s="10" t="inlineStr">
        <is>
          <t>Bonus, Paid Leave, Training, Travel Opportunities, Others</t>
        </is>
      </c>
      <c r="N8516" s="11">
        <f>HYPERLINK("https://www.vietnamworks.com/chuyen-vien-van-hanh-san-pham-ngan-hang-so-2003978-jv","Xem chi tiết")</f>
        <v/>
      </c>
      <c r="O8516" s="10" t="n"/>
    </row>
    <row r="8517">
      <c r="B8517" s="7" t="n">
        <v>8515</v>
      </c>
      <c r="C8517" t="inlineStr">
        <is>
          <t>Phó Giám Đốc (VEX Hải Phòng)</t>
        </is>
      </c>
      <c r="D8517" t="inlineStr">
        <is>
          <t>Công Ty Cổ Phần Hàng Hải Vsico</t>
        </is>
      </c>
      <c r="E8517" t="inlineStr">
        <is>
          <t>25tr-27tr ₫/tháng</t>
        </is>
      </c>
      <c r="F8517" t="inlineStr">
        <is>
          <t>Hải Phòng</t>
        </is>
      </c>
      <c r="G8517" t="inlineStr">
        <is>
          <t>Giám Đốc và Cấp Cao Hơn</t>
        </is>
      </c>
      <c r="H8517" t="inlineStr">
        <is>
          <t>19/01/2026</t>
        </is>
      </c>
      <c r="I8517" t="inlineStr">
        <is>
          <t>08/04/2026</t>
        </is>
      </c>
      <c r="J8517" t="inlineStr">
        <is>
          <t>17/03/2026</t>
        </is>
      </c>
      <c r="K8517" t="inlineStr">
        <is>
          <t>N/A</t>
        </is>
      </c>
      <c r="L8517" t="inlineStr">
        <is>
          <t>B2B Sales, Nghiên Cứu Thị Trường, Phát Triển Khách Hàng, Phát Triển Kinh Doanh, Tư Vấn Giải Pháp</t>
        </is>
      </c>
      <c r="M8517" t="inlineStr">
        <is>
          <t>Bonus, Healthcare Plan, Travel Opportunities, Others</t>
        </is>
      </c>
      <c r="N8517" s="8">
        <f>HYPERLINK("https://www.vietnamworks.com/pho-giam-doc-vex-hai-phong-2003744-jv","Xem chi tiết")</f>
        <v/>
      </c>
    </row>
    <row r="8518">
      <c r="B8518" s="9" t="n">
        <v>8516</v>
      </c>
      <c r="C8518" s="10" t="inlineStr">
        <is>
          <t>Nhân Viên Kế Toán</t>
        </is>
      </c>
      <c r="D8518" s="10" t="inlineStr">
        <is>
          <t>Công Ty TNHH Rhythm Precision Việt Nam</t>
        </is>
      </c>
      <c r="E8518" s="10" t="inlineStr">
        <is>
          <t>12tr-14tr ₫/tháng</t>
        </is>
      </c>
      <c r="F8518" s="10" t="inlineStr">
        <is>
          <t>Hà Nội</t>
        </is>
      </c>
      <c r="G8518" s="10" t="inlineStr">
        <is>
          <t>Nhân viên</t>
        </is>
      </c>
      <c r="H8518" s="10" t="inlineStr">
        <is>
          <t>19/01/2026</t>
        </is>
      </c>
      <c r="I8518" s="10" t="inlineStr">
        <is>
          <t>08/04/2026</t>
        </is>
      </c>
      <c r="J8518" s="10" t="inlineStr">
        <is>
          <t>17/03/2026</t>
        </is>
      </c>
      <c r="K8518" s="10" t="inlineStr">
        <is>
          <t>N/A</t>
        </is>
      </c>
      <c r="L8518" s="10" t="inlineStr">
        <is>
          <t>Kế Toán, Kế Toán Hàng Tồn Kho, Phần mềm kế toán, Tài Chính Kế Toán, Theo Dõi Công Nợ</t>
        </is>
      </c>
      <c r="M8518" s="10" t="inlineStr">
        <is>
          <t>Bonus, Healthcare Plan, Paid Leave, Transportation, Others</t>
        </is>
      </c>
      <c r="N8518" s="11">
        <f>HYPERLINK("https://www.vietnamworks.com/nhan-vien-ke-toan--2004145-jv","Xem chi tiết")</f>
        <v/>
      </c>
      <c r="O8518" s="10" t="n"/>
    </row>
    <row r="8519">
      <c r="B8519" s="7" t="n">
        <v>8517</v>
      </c>
      <c r="C8519" t="inlineStr">
        <is>
          <t>Trợ Lý Hiệu Trưởng</t>
        </is>
      </c>
      <c r="D8519" t="inlineStr">
        <is>
          <t>Hệ thống Giáo Dục Edufit</t>
        </is>
      </c>
      <c r="E8519" t="inlineStr">
        <is>
          <t>$$ 650-750 /tháng</t>
        </is>
      </c>
      <c r="F8519" t="inlineStr">
        <is>
          <t>Hà Nội</t>
        </is>
      </c>
      <c r="G8519" t="inlineStr">
        <is>
          <t>Nhân viên</t>
        </is>
      </c>
      <c r="H8519" t="inlineStr">
        <is>
          <t>19/01/2026</t>
        </is>
      </c>
      <c r="I8519" t="inlineStr">
        <is>
          <t>08/04/2026</t>
        </is>
      </c>
      <c r="J8519" t="inlineStr">
        <is>
          <t>17/03/2026</t>
        </is>
      </c>
      <c r="K8519" t="inlineStr">
        <is>
          <t>N/A</t>
        </is>
      </c>
      <c r="L8519" t="inlineStr">
        <is>
          <t>Giáo Dục Đào Tạo, Giáo Dục</t>
        </is>
      </c>
      <c r="M8519" t="inlineStr">
        <is>
          <t>Bonus, Paid Leave, Kindergarten</t>
        </is>
      </c>
      <c r="N8519" s="8">
        <f>HYPERLINK("https://www.vietnamworks.com/tro-ly-hieu-truong--2004056-jv","Xem chi tiết")</f>
        <v/>
      </c>
    </row>
    <row r="8520">
      <c r="B8520" s="9" t="n">
        <v>8518</v>
      </c>
      <c r="C8520" s="10" t="inlineStr">
        <is>
          <t>HSSE Manager</t>
        </is>
      </c>
      <c r="D8520" s="10" t="inlineStr">
        <is>
          <t>Maersk Vietnam Ltd.</t>
        </is>
      </c>
      <c r="E8520" s="10" t="inlineStr">
        <is>
          <t>Thương lượng</t>
        </is>
      </c>
      <c r="F8520" s="10" t="inlineStr">
        <is>
          <t>Bình Dương</t>
        </is>
      </c>
      <c r="G8520" s="10" t="inlineStr">
        <is>
          <t>Trưởng phòng</t>
        </is>
      </c>
      <c r="H8520" s="10" t="inlineStr">
        <is>
          <t>16/01/2026</t>
        </is>
      </c>
      <c r="I8520" s="10" t="inlineStr">
        <is>
          <t>08/04/2026</t>
        </is>
      </c>
      <c r="J8520" s="10" t="inlineStr">
        <is>
          <t>17/03/2026</t>
        </is>
      </c>
      <c r="K8520" s="10" t="inlineStr">
        <is>
          <t>N/A</t>
        </is>
      </c>
      <c r="L8520" s="10" t="inlineStr">
        <is>
          <t>HSSE, Hsse Management, Nebosh International Safety Certificate, Audit C-Tpat, IOSH</t>
        </is>
      </c>
      <c r="M8520" s="10" t="inlineStr">
        <is>
          <t>Bonus, Healthcare Plan, Training</t>
        </is>
      </c>
      <c r="N8520" s="11">
        <f>HYPERLINK("https://www.vietnamworks.com/hsse-manager--2003617-jv","Xem chi tiết")</f>
        <v/>
      </c>
      <c r="O8520" s="10" t="n"/>
    </row>
    <row r="8521">
      <c r="B8521" s="7" t="n">
        <v>8519</v>
      </c>
      <c r="C8521" t="inlineStr">
        <is>
          <t>Trưởng Phòng Pháp Chế</t>
        </is>
      </c>
      <c r="D8521" t="inlineStr">
        <is>
          <t>Công Ty Cổ Phần Dược Liệu Việt Nam</t>
        </is>
      </c>
      <c r="E8521" t="inlineStr">
        <is>
          <t>$$ 700-1,200 /tháng</t>
        </is>
      </c>
      <c r="F8521" t="inlineStr">
        <is>
          <t>Hà Nội</t>
        </is>
      </c>
      <c r="G8521" t="inlineStr">
        <is>
          <t>Trưởng phòng</t>
        </is>
      </c>
      <c r="H8521" t="inlineStr">
        <is>
          <t>19/01/2026</t>
        </is>
      </c>
      <c r="I8521" t="inlineStr">
        <is>
          <t>08/04/2026</t>
        </is>
      </c>
      <c r="J8521" t="inlineStr">
        <is>
          <t>17/03/2026</t>
        </is>
      </c>
      <c r="K8521" t="inlineStr">
        <is>
          <t>N/A</t>
        </is>
      </c>
      <c r="L8521" t="inlineStr">
        <is>
          <t>Pháp Chế Doanh Nghiệp, Pháp Chế, Luật Doanh Nghiệp, Kiểm Soát Tuân Thủ, Tham Mưu Đề Xuất</t>
        </is>
      </c>
      <c r="M8521" t="inlineStr">
        <is>
          <t>Bonus, Healthcare Plan, Training</t>
        </is>
      </c>
      <c r="N8521" s="8">
        <f>HYPERLINK("https://www.vietnamworks.com/truong-phong-phap-che--2004042-jv","Xem chi tiết")</f>
        <v/>
      </c>
    </row>
    <row r="8522">
      <c r="B8522" s="9" t="n">
        <v>8520</v>
      </c>
      <c r="C8522" s="10" t="inlineStr">
        <is>
          <t>Risk Management Team Leader</t>
        </is>
      </c>
      <c r="D8522" s="10" t="inlineStr">
        <is>
          <t>Ngân Hàng TNHH MTV Woori Việt Nam</t>
        </is>
      </c>
      <c r="E8522" s="10" t="inlineStr">
        <is>
          <t>Thương lượng</t>
        </is>
      </c>
      <c r="F8522" s="10" t="inlineStr">
        <is>
          <t>Hà Nội</t>
        </is>
      </c>
      <c r="G8522" s="10" t="inlineStr">
        <is>
          <t>Nhân viên</t>
        </is>
      </c>
      <c r="H8522" s="10" t="inlineStr">
        <is>
          <t>20/01/2026</t>
        </is>
      </c>
      <c r="I8522" s="10" t="inlineStr">
        <is>
          <t>08/04/2026</t>
        </is>
      </c>
      <c r="J8522" s="10" t="inlineStr">
        <is>
          <t>17/03/2026</t>
        </is>
      </c>
      <c r="K8522" s="10" t="inlineStr">
        <is>
          <t>N/A</t>
        </is>
      </c>
      <c r="L8522" s="10" t="inlineStr">
        <is>
          <t>Basel II, Quản Lý Rủi Ro, Tài Chính Ngân Hàng, Tiếng Anh</t>
        </is>
      </c>
      <c r="M8522" s="10" t="inlineStr">
        <is>
          <t>Healthcare Plan, Paid Leave, Training, Team Activities, Others</t>
        </is>
      </c>
      <c r="N8522" s="11">
        <f>HYPERLINK("https://www.vietnamworks.com/risk-management-team-leader-2004244-jv","Xem chi tiết")</f>
        <v/>
      </c>
      <c r="O8522" s="10" t="n"/>
    </row>
    <row r="8523">
      <c r="B8523" s="7" t="n">
        <v>8521</v>
      </c>
      <c r="C8523" t="inlineStr">
        <is>
          <t>Giám Đốc Điều Hành Chuỗi Nhà Hàng (Ngành F&amp;B)</t>
        </is>
      </c>
      <c r="D8523" t="inlineStr">
        <is>
          <t>Công Ty Cổ Phần Lavigate</t>
        </is>
      </c>
      <c r="E8523" t="inlineStr">
        <is>
          <t>30tr-50tr ₫/tháng</t>
        </is>
      </c>
      <c r="F8523" t="inlineStr">
        <is>
          <t>Hà Nội</t>
        </is>
      </c>
      <c r="G8523" t="inlineStr">
        <is>
          <t>Giám Đốc và Cấp Cao Hơn</t>
        </is>
      </c>
      <c r="H8523" t="inlineStr">
        <is>
          <t>19/01/2026</t>
        </is>
      </c>
      <c r="I8523" t="inlineStr">
        <is>
          <t>08/04/2026</t>
        </is>
      </c>
      <c r="J8523" t="inlineStr">
        <is>
          <t>17/03/2026</t>
        </is>
      </c>
      <c r="K8523" t="inlineStr">
        <is>
          <t>N/A</t>
        </is>
      </c>
      <c r="L8523" t="inlineStr">
        <is>
          <t>Quản Lý Vận Hành, Chiến Lược Kinh Doanh, Bán Lẻ, Kiểm Soát Doanh Thu, Quản Lý Chuỗi Nhà Hàng</t>
        </is>
      </c>
      <c r="M8523" t="inlineStr">
        <is>
          <t>Bonus, Healthcare Plan, Team Activities, Others</t>
        </is>
      </c>
      <c r="N8523" s="8">
        <f>HYPERLINK("https://www.vietnamworks.com/giam-djoc-djieu-hanh-chuoi-nha-hang-nganh-fandb-2003702-jv","Xem chi tiết")</f>
        <v/>
      </c>
    </row>
    <row r="8524">
      <c r="B8524" s="9" t="n">
        <v>8522</v>
      </c>
      <c r="C8524" s="10" t="inlineStr">
        <is>
          <t>Business Excellence Analyst (Contract 12 Months)</t>
        </is>
      </c>
      <c r="D8524" s="10" t="inlineStr">
        <is>
          <t>Servier (Vietnam) Pharmaceutical Company</t>
        </is>
      </c>
      <c r="E8524" s="10" t="inlineStr">
        <is>
          <t>Thương lượng</t>
        </is>
      </c>
      <c r="F8524" s="10" t="inlineStr">
        <is>
          <t>Hồ Chí Minh</t>
        </is>
      </c>
      <c r="G8524" s="10" t="inlineStr">
        <is>
          <t>Nhân viên</t>
        </is>
      </c>
      <c r="H8524" s="10" t="inlineStr">
        <is>
          <t>19/01/2026</t>
        </is>
      </c>
      <c r="I8524" s="10" t="inlineStr">
        <is>
          <t>08/04/2026</t>
        </is>
      </c>
      <c r="J8524" s="10" t="inlineStr">
        <is>
          <t>17/03/2026</t>
        </is>
      </c>
      <c r="K8524" s="10" t="inlineStr">
        <is>
          <t>N/A</t>
        </is>
      </c>
      <c r="L8524" s="10" t="inlineStr">
        <is>
          <t>Business Analysis, Business Intelligence, Salesforce, Field Force Management, Data Analysis</t>
        </is>
      </c>
      <c r="M8524" s="10" t="inlineStr">
        <is>
          <t>Bonus, Healthcare Plan, Team Activities</t>
        </is>
      </c>
      <c r="N8524" s="11">
        <f>HYPERLINK("https://www.vietnamworks.com/business-excellence-analyst-contract-12-months-2004031-jv","Xem chi tiết")</f>
        <v/>
      </c>
      <c r="O8524" s="10" t="n"/>
    </row>
    <row r="8525">
      <c r="B8525" s="7" t="n">
        <v>8523</v>
      </c>
      <c r="C8525" t="inlineStr">
        <is>
          <t>Kỹ Sư Kinh Tế Xây Dựng (Lương Up to 2000 USD)</t>
        </is>
      </c>
      <c r="D8525" t="inlineStr">
        <is>
          <t>Công Ty CP OSI HOLDINGS</t>
        </is>
      </c>
      <c r="E8525" t="inlineStr">
        <is>
          <t>$$ 1,000-2,000 /tháng</t>
        </is>
      </c>
      <c r="F8525" t="inlineStr">
        <is>
          <t>Hà Nội</t>
        </is>
      </c>
      <c r="G8525" t="inlineStr">
        <is>
          <t>Nhân viên</t>
        </is>
      </c>
      <c r="H8525" t="inlineStr">
        <is>
          <t>20/01/2026</t>
        </is>
      </c>
      <c r="I8525" t="inlineStr">
        <is>
          <t>08/04/2026</t>
        </is>
      </c>
      <c r="J8525" t="inlineStr">
        <is>
          <t>17/03/2026</t>
        </is>
      </c>
      <c r="K8525" t="inlineStr">
        <is>
          <t>N/A</t>
        </is>
      </c>
      <c r="L8525" t="inlineStr">
        <is>
          <t>Kinh Tế Xây Dựng, Quản Lý Chi Phí, Quản lý dự toán, Quản Lý Khối Lượng, Quản Lý Đấu Thầu</t>
        </is>
      </c>
      <c r="M8525" t="inlineStr">
        <is>
          <t>Healthcare Plan, Awards, Canteen</t>
        </is>
      </c>
      <c r="N8525" s="8">
        <f>HYPERLINK("https://www.vietnamworks.com/ky-su-kinh-te-xay-dung-luong-up-to-2000-usd--2004247-jv","Xem chi tiết")</f>
        <v/>
      </c>
    </row>
    <row r="8526">
      <c r="B8526" s="9" t="n">
        <v>8524</v>
      </c>
      <c r="C8526" s="10" t="inlineStr">
        <is>
          <t>Nhân Viên Lập Trình PLC</t>
        </is>
      </c>
      <c r="D8526" s="10" t="inlineStr">
        <is>
          <t>Công ty TNHH Youngjin Hi-tech Vina</t>
        </is>
      </c>
      <c r="E8526" s="10" t="inlineStr">
        <is>
          <t>Thương lượng</t>
        </is>
      </c>
      <c r="F8526" s="10" t="inlineStr">
        <is>
          <t>Bắc Ninh, Hà Nội, Bắc Giang</t>
        </is>
      </c>
      <c r="G8526" s="10" t="inlineStr">
        <is>
          <t>Nhân viên</t>
        </is>
      </c>
      <c r="H8526" s="10" t="inlineStr">
        <is>
          <t>20/01/2026</t>
        </is>
      </c>
      <c r="I8526" s="10" t="inlineStr">
        <is>
          <t>08/04/2026</t>
        </is>
      </c>
      <c r="J8526" s="10" t="inlineStr">
        <is>
          <t>17/03/2026</t>
        </is>
      </c>
      <c r="K8526" s="10" t="inlineStr">
        <is>
          <t>N/A</t>
        </is>
      </c>
      <c r="L8526" s="10" t="inlineStr">
        <is>
          <t>Automation System Design, C#, C/C++ Programming, PLC, Tự Động Hóa</t>
        </is>
      </c>
      <c r="M8526" s="10" t="inlineStr">
        <is>
          <t>Bonus, Healthcare Plan, Paid Leave, Training, Others</t>
        </is>
      </c>
      <c r="N8526" s="11">
        <f>HYPERLINK("https://www.vietnamworks.com/nhan-vien-lap-trinh-plc-2004305-jv","Xem chi tiết")</f>
        <v/>
      </c>
      <c r="O8526" s="10" t="n"/>
    </row>
    <row r="8527">
      <c r="B8527" s="7" t="n">
        <v>8525</v>
      </c>
      <c r="C8527" t="inlineStr">
        <is>
          <t>Product Developer (Furniture)</t>
        </is>
      </c>
      <c r="D8527" t="inlineStr">
        <is>
          <t>CÔNG TY CỔ PHẦN THƯƠNG MẠI TOÀN CẦU ĐỒ GỖ</t>
        </is>
      </c>
      <c r="E8527" t="inlineStr">
        <is>
          <t>Thương lượng</t>
        </is>
      </c>
      <c r="F8527" t="inlineStr">
        <is>
          <t>Bình Dương</t>
        </is>
      </c>
      <c r="G8527" t="inlineStr">
        <is>
          <t>Nhân viên</t>
        </is>
      </c>
      <c r="H8527" t="inlineStr">
        <is>
          <t>20/01/2026</t>
        </is>
      </c>
      <c r="I8527" t="inlineStr">
        <is>
          <t>08/04/2026</t>
        </is>
      </c>
      <c r="J8527" t="inlineStr">
        <is>
          <t>17/03/2026</t>
        </is>
      </c>
      <c r="K8527" t="inlineStr">
        <is>
          <t>N/A</t>
        </is>
      </c>
      <c r="L8527" t="inlineStr">
        <is>
          <t>Product Development, Project Management, Material Sourcing, Export, Interior Design</t>
        </is>
      </c>
      <c r="M8527" t="inlineStr">
        <is>
          <t>Healthcare Plan, Paid Leave, Travel Opportunities</t>
        </is>
      </c>
      <c r="N8527" s="8">
        <f>HYPERLINK("https://www.vietnamworks.com/product-developer-furniture-2004293-jv","Xem chi tiết")</f>
        <v/>
      </c>
    </row>
    <row r="8528">
      <c r="B8528" s="9" t="n">
        <v>8526</v>
      </c>
      <c r="C8528" s="10" t="inlineStr">
        <is>
          <t>Sales Expert - Consumer Electronics Product (Air Conditioner &amp; Air Purifier)</t>
        </is>
      </c>
      <c r="D8528" s="10" t="inlineStr">
        <is>
          <t>LG Electronics Vietnam Hai Phong - Sales &amp; Marketing Company</t>
        </is>
      </c>
      <c r="E8528" s="10" t="inlineStr">
        <is>
          <t>Thương lượng</t>
        </is>
      </c>
      <c r="F8528" s="10" t="inlineStr">
        <is>
          <t>Hà Nội, Hồ Chí Minh</t>
        </is>
      </c>
      <c r="G8528" s="10" t="inlineStr">
        <is>
          <t>Nhân viên</t>
        </is>
      </c>
      <c r="H8528" s="10" t="inlineStr">
        <is>
          <t>20/01/2026</t>
        </is>
      </c>
      <c r="I8528" s="10" t="inlineStr">
        <is>
          <t>08/04/2026</t>
        </is>
      </c>
      <c r="J8528" s="10" t="inlineStr">
        <is>
          <t>17/03/2026</t>
        </is>
      </c>
      <c r="K8528" s="10" t="inlineStr">
        <is>
          <t>N/A</t>
        </is>
      </c>
      <c r="L8528" s="10" t="inlineStr">
        <is>
          <t>Sales, Điều Hòa Không Khí, Key Account Management, Phát Triển Kinh Doanh Bán Lẻ</t>
        </is>
      </c>
      <c r="M8528" s="10" t="inlineStr">
        <is>
          <t>Bonus, Paid Leave, Canteen</t>
        </is>
      </c>
      <c r="N8528" s="11">
        <f>HYPERLINK("https://www.vietnamworks.com/sales-expert-consumer-electronics-product-air-conditioner-air-purifier--2004415-jv","Xem chi tiết")</f>
        <v/>
      </c>
      <c r="O8528" s="10" t="n"/>
    </row>
    <row r="8529">
      <c r="B8529" s="7" t="n">
        <v>8527</v>
      </c>
      <c r="C8529" t="inlineStr">
        <is>
          <t>SCM Supervisor</t>
        </is>
      </c>
      <c r="D8529" t="inlineStr">
        <is>
          <t>Công Ty TNHH sản xuất HARTING Việt Nam</t>
        </is>
      </c>
      <c r="E8529" t="inlineStr">
        <is>
          <t>Thương lượng</t>
        </is>
      </c>
      <c r="F8529" t="inlineStr">
        <is>
          <t>Hải Phòng, Hải Dương, Hưng Yên</t>
        </is>
      </c>
      <c r="G8529" t="inlineStr">
        <is>
          <t>Nhân viên</t>
        </is>
      </c>
      <c r="H8529" t="inlineStr">
        <is>
          <t>20/01/2026</t>
        </is>
      </c>
      <c r="I8529" t="inlineStr">
        <is>
          <t>08/04/2026</t>
        </is>
      </c>
      <c r="J8529" t="inlineStr">
        <is>
          <t>17/03/2026</t>
        </is>
      </c>
      <c r="K8529" t="inlineStr">
        <is>
          <t>N/A</t>
        </is>
      </c>
      <c r="L8529" t="inlineStr">
        <is>
          <t>ERP System, International Trade, Logistics, Logistics Planning</t>
        </is>
      </c>
      <c r="M8529" t="inlineStr">
        <is>
          <t>Bonus, Healthcare Plan, Training, Transportation, Others</t>
        </is>
      </c>
      <c r="N8529" s="8">
        <f>HYPERLINK("https://www.vietnamworks.com/scm-supervisor--2004268-jv","Xem chi tiết")</f>
        <v/>
      </c>
    </row>
    <row r="8530">
      <c r="B8530" s="9" t="n">
        <v>8528</v>
      </c>
      <c r="C8530" s="10" t="inlineStr">
        <is>
          <t>Kế Toán Viên</t>
        </is>
      </c>
      <c r="D8530" s="10" t="inlineStr">
        <is>
          <t>Công Ty TNHH Đầu Tư Và Phát Triển Công Nghệ Việt Nam</t>
        </is>
      </c>
      <c r="E8530" s="10" t="inlineStr">
        <is>
          <t>9tr-12tr ₫/tháng</t>
        </is>
      </c>
      <c r="F8530" s="10" t="inlineStr">
        <is>
          <t>Hà Nội</t>
        </is>
      </c>
      <c r="G8530" s="10" t="inlineStr">
        <is>
          <t>Nhân viên</t>
        </is>
      </c>
      <c r="H8530" s="10" t="inlineStr">
        <is>
          <t>20/01/2026</t>
        </is>
      </c>
      <c r="I8530" s="10" t="inlineStr">
        <is>
          <t>08/04/2026</t>
        </is>
      </c>
      <c r="J8530" s="10" t="inlineStr">
        <is>
          <t>17/03/2026</t>
        </is>
      </c>
      <c r="K8530" s="10" t="inlineStr">
        <is>
          <t>N/A</t>
        </is>
      </c>
      <c r="L8530" s="10" t="inlineStr">
        <is>
          <t>Báo Cáo Thuế, Hạch Toán, Kiểm Kê Tài Sản, Lập Phiếu Thu Chi, Lưu Trữ Chứng Từ</t>
        </is>
      </c>
      <c r="M8530" s="10" t="inlineStr">
        <is>
          <t>Bonus, Healthcare Plan, Paid Leave, Others</t>
        </is>
      </c>
      <c r="N8530" s="11">
        <f>HYPERLINK("https://www.vietnamworks.com/ke-toan-vien-2004401-jv","Xem chi tiết")</f>
        <v/>
      </c>
      <c r="O8530" s="10" t="n"/>
    </row>
    <row r="8531">
      <c r="B8531" s="7" t="n">
        <v>8529</v>
      </c>
      <c r="C8531" t="inlineStr">
        <is>
          <t>Nhân Viên Tuyển Dụng</t>
        </is>
      </c>
      <c r="D8531" t="inlineStr">
        <is>
          <t>Wistron Neweb CORPORATION (WNC)</t>
        </is>
      </c>
      <c r="E8531" t="inlineStr">
        <is>
          <t>Thương lượng</t>
        </is>
      </c>
      <c r="F8531" t="inlineStr">
        <is>
          <t>Hà Nam</t>
        </is>
      </c>
      <c r="G8531" t="inlineStr">
        <is>
          <t>Nhân viên</t>
        </is>
      </c>
      <c r="H8531" t="inlineStr">
        <is>
          <t>20/01/2026</t>
        </is>
      </c>
      <c r="I8531" t="inlineStr">
        <is>
          <t>08/04/2026</t>
        </is>
      </c>
      <c r="J8531" t="inlineStr">
        <is>
          <t>17/03/2026</t>
        </is>
      </c>
      <c r="K8531" t="inlineStr">
        <is>
          <t>N/A</t>
        </is>
      </c>
      <c r="L8531" t="inlineStr">
        <is>
          <t>Tiếng Trung, Tiếng Anh, Talent Acquisition, Phỏng Vấn, Tuyển Dụng</t>
        </is>
      </c>
      <c r="M8531" t="inlineStr">
        <is>
          <t>Bonus, Healthcare Plan, Training</t>
        </is>
      </c>
      <c r="N8531" s="8">
        <f>HYPERLINK("https://www.vietnamworks.com/nhan-vien-tuyen-dung--2004486-jv","Xem chi tiết")</f>
        <v/>
      </c>
    </row>
    <row r="8532">
      <c r="B8532" s="9" t="n">
        <v>8530</v>
      </c>
      <c r="C8532" s="10" t="inlineStr">
        <is>
          <t>Nhân Viên Nhân Sự</t>
        </is>
      </c>
      <c r="D8532" s="10" t="inlineStr">
        <is>
          <t>Công Ty TNHH Đầu Tư Và Phát Triển Công Nghệ Việt Nam</t>
        </is>
      </c>
      <c r="E8532" s="10" t="inlineStr">
        <is>
          <t>13tr-15tr ₫/tháng</t>
        </is>
      </c>
      <c r="F8532" s="10" t="inlineStr">
        <is>
          <t>Hà Nội</t>
        </is>
      </c>
      <c r="G8532" s="10" t="inlineStr">
        <is>
          <t>Nhân viên</t>
        </is>
      </c>
      <c r="H8532" s="10" t="inlineStr">
        <is>
          <t>20/01/2026</t>
        </is>
      </c>
      <c r="I8532" s="10" t="inlineStr">
        <is>
          <t>08/04/2026</t>
        </is>
      </c>
      <c r="J8532" s="10" t="inlineStr">
        <is>
          <t>17/03/2026</t>
        </is>
      </c>
      <c r="K8532" s="10" t="inlineStr">
        <is>
          <t>N/A</t>
        </is>
      </c>
      <c r="L8532" s="10" t="inlineStr">
        <is>
          <t>Nhân Sự, Hành chính - Nhân sự, Nhân sự - HR, Quản Trị Nhân Sự, Tuyển Dụng</t>
        </is>
      </c>
      <c r="M8532" s="10" t="inlineStr">
        <is>
          <t>Bonus, Healthcare Plan, Training, Awards, Others</t>
        </is>
      </c>
      <c r="N8532" s="11">
        <f>HYPERLINK("https://www.vietnamworks.com/nhan-vien-nhan-su-2004385-jv","Xem chi tiết")</f>
        <v/>
      </c>
      <c r="O8532" s="10" t="n"/>
    </row>
    <row r="8533">
      <c r="B8533" s="7" t="n">
        <v>8531</v>
      </c>
      <c r="C8533" t="inlineStr">
        <is>
          <t>Chuyên Viên Phụ Trách Sản Phẩm( Thiết Bị Y Tế) - Upto $1300</t>
        </is>
      </c>
      <c r="D8533" t="inlineStr">
        <is>
          <t>TNT Medical - Trust Matters</t>
        </is>
      </c>
      <c r="E8533" t="inlineStr">
        <is>
          <t>$$ 700-1,300 /tháng</t>
        </is>
      </c>
      <c r="F8533" t="inlineStr">
        <is>
          <t>Hà Nội</t>
        </is>
      </c>
      <c r="G8533" t="inlineStr">
        <is>
          <t>Nhân viên</t>
        </is>
      </c>
      <c r="H8533" t="inlineStr">
        <is>
          <t>20/01/2026</t>
        </is>
      </c>
      <c r="I8533" t="inlineStr">
        <is>
          <t>08/04/2026</t>
        </is>
      </c>
      <c r="J8533" t="inlineStr">
        <is>
          <t>17/03/2026</t>
        </is>
      </c>
      <c r="K8533" t="inlineStr">
        <is>
          <t>N/A</t>
        </is>
      </c>
      <c r="L8533" t="inlineStr">
        <is>
          <t>Điện Tử Y Sinh, Y Học Hạt Nhân, Nghiên Cứu Sản Phẩm, Chẩn Đoán Hình Ảnh, Thiết Bị Y Tế</t>
        </is>
      </c>
      <c r="M8533" t="inlineStr">
        <is>
          <t>Healthcare Plan, Paid Leave, Team Activities</t>
        </is>
      </c>
      <c r="N8533" s="8">
        <f>HYPERLINK("https://www.vietnamworks.com/chuyen-vien-phu-trach-san-pham-thiet-bi-y-te-upto-1300-2004423-jv","Xem chi tiết")</f>
        <v/>
      </c>
    </row>
    <row r="8534">
      <c r="B8534" s="9" t="n">
        <v>8532</v>
      </c>
      <c r="C8534" s="10" t="inlineStr">
        <is>
          <t>Chuyên Viên Tuyển Dụng</t>
        </is>
      </c>
      <c r="D8534" s="10" t="inlineStr">
        <is>
          <t>TẬP ĐOÀN KDI HOLDINGS</t>
        </is>
      </c>
      <c r="E8534" s="10" t="inlineStr">
        <is>
          <t>$$ 500-800 /tháng</t>
        </is>
      </c>
      <c r="F8534" s="10" t="inlineStr">
        <is>
          <t>Hà Nội</t>
        </is>
      </c>
      <c r="G8534" s="10" t="inlineStr">
        <is>
          <t>Nhân viên</t>
        </is>
      </c>
      <c r="H8534" s="10" t="inlineStr">
        <is>
          <t>20/01/2026</t>
        </is>
      </c>
      <c r="I8534" s="10" t="inlineStr">
        <is>
          <t>08/04/2026</t>
        </is>
      </c>
      <c r="J8534" s="10" t="inlineStr">
        <is>
          <t>17/03/2026</t>
        </is>
      </c>
      <c r="K8534" s="10" t="inlineStr">
        <is>
          <t>N/A</t>
        </is>
      </c>
      <c r="L8534" s="10" t="inlineStr">
        <is>
          <t>Kỹ Năng Quản Lý Cảm Xúc, Kỹ Năng Xây Dựng Mối Quan Hệ, Kỹ năng đàm phán</t>
        </is>
      </c>
      <c r="M8534" s="10" t="inlineStr">
        <is>
          <t>Bonus, Healthcare Plan, Paid Leave, Laptop, Travel Opportunities</t>
        </is>
      </c>
      <c r="N8534" s="11">
        <f>HYPERLINK("https://www.vietnamworks.com/chuyen-vien-tuyen-dung-2004557-jv","Xem chi tiết")</f>
        <v/>
      </c>
      <c r="O8534" s="10" t="n"/>
    </row>
    <row r="8535">
      <c r="B8535" s="7" t="n">
        <v>8533</v>
      </c>
      <c r="C8535" t="inlineStr">
        <is>
          <t>Nhân Viên Lập Trình PC</t>
        </is>
      </c>
      <c r="D8535" t="inlineStr">
        <is>
          <t>Công ty TNHH Youngjin Hi-tech Vina</t>
        </is>
      </c>
      <c r="E8535" t="inlineStr">
        <is>
          <t>Thương lượng</t>
        </is>
      </c>
      <c r="F8535" t="inlineStr">
        <is>
          <t>Bắc Ninh, Bắc Giang, Hà Nội</t>
        </is>
      </c>
      <c r="G8535" t="inlineStr">
        <is>
          <t>Nhân viên</t>
        </is>
      </c>
      <c r="H8535" t="inlineStr">
        <is>
          <t>20/01/2026</t>
        </is>
      </c>
      <c r="I8535" t="inlineStr">
        <is>
          <t>08/04/2026</t>
        </is>
      </c>
      <c r="J8535" t="inlineStr">
        <is>
          <t>17/03/2026</t>
        </is>
      </c>
      <c r="K8535" t="inlineStr">
        <is>
          <t>N/A</t>
        </is>
      </c>
      <c r="L8535" t="inlineStr">
        <is>
          <t>C#, Tự Động Hóa, C/C++, Micom, Điện tử</t>
        </is>
      </c>
      <c r="M8535" t="inlineStr">
        <is>
          <t>Bonus, Healthcare Plan, Paid Leave, Training, Others</t>
        </is>
      </c>
      <c r="N8535" s="8">
        <f>HYPERLINK("https://www.vietnamworks.com/nhan-vien-lap-trinh-pc-2004308-jv","Xem chi tiết")</f>
        <v/>
      </c>
    </row>
    <row r="8536">
      <c r="B8536" s="9" t="n">
        <v>8534</v>
      </c>
      <c r="C8536" s="10" t="inlineStr">
        <is>
          <t>Sales Engineer (SE) for Commercial Laundry</t>
        </is>
      </c>
      <c r="D8536" s="10" t="inlineStr">
        <is>
          <t>LG Electronics Vietnam Hai Phong - Sales &amp; Marketing Company</t>
        </is>
      </c>
      <c r="E8536" s="10" t="inlineStr">
        <is>
          <t>Thương lượng</t>
        </is>
      </c>
      <c r="F8536" s="10" t="inlineStr">
        <is>
          <t>Hà Nội</t>
        </is>
      </c>
      <c r="G8536" s="10" t="inlineStr">
        <is>
          <t>Nhân viên</t>
        </is>
      </c>
      <c r="H8536" s="10" t="inlineStr">
        <is>
          <t>20/01/2026</t>
        </is>
      </c>
      <c r="I8536" s="10" t="inlineStr">
        <is>
          <t>08/04/2026</t>
        </is>
      </c>
      <c r="J8536" s="10" t="inlineStr">
        <is>
          <t>17/03/2026</t>
        </is>
      </c>
      <c r="K8536" s="10" t="inlineStr">
        <is>
          <t>N/A</t>
        </is>
      </c>
      <c r="L8536" s="10" t="inlineStr">
        <is>
          <t>Project Sales, Sales, Electrical Engineering, Laundry Operation, Mechanical Engineering</t>
        </is>
      </c>
      <c r="M8536" s="10" t="inlineStr">
        <is>
          <t>Bonus, Healthcare Plan, Paid Leave, Canteen</t>
        </is>
      </c>
      <c r="N8536" s="11">
        <f>HYPERLINK("https://www.vietnamworks.com/sales-engineer-se-for-commercial-laundry-2004439-jv","Xem chi tiết")</f>
        <v/>
      </c>
      <c r="O8536" s="10" t="n"/>
    </row>
    <row r="8537">
      <c r="B8537" s="7" t="n">
        <v>8535</v>
      </c>
      <c r="C8537" t="inlineStr">
        <is>
          <t>製造專案管理 (Quản Lý Dự Án Sản Xuất) - Biết Tiếng Trung và Tiếng Anh</t>
        </is>
      </c>
      <c r="D8537" t="inlineStr">
        <is>
          <t>PEGATRON VIETNAM</t>
        </is>
      </c>
      <c r="E8537" t="inlineStr">
        <is>
          <t>Thương lượng</t>
        </is>
      </c>
      <c r="F8537" t="inlineStr">
        <is>
          <t>Hải Phòng</t>
        </is>
      </c>
      <c r="G8537" t="inlineStr">
        <is>
          <t>Nhân viên</t>
        </is>
      </c>
      <c r="H8537" t="inlineStr">
        <is>
          <t>20/01/2026</t>
        </is>
      </c>
      <c r="I8537" t="inlineStr">
        <is>
          <t>08/04/2026</t>
        </is>
      </c>
      <c r="J8537" t="inlineStr">
        <is>
          <t>17/03/2026</t>
        </is>
      </c>
      <c r="K8537" t="inlineStr">
        <is>
          <t>N/A</t>
        </is>
      </c>
      <c r="L8537" t="inlineStr">
        <is>
          <t>Điện Tử, Kế Hoạch Sản Xuất, NPI, NPI Processing, Production Planning</t>
        </is>
      </c>
      <c r="M8537" t="inlineStr">
        <is>
          <t>Laptop, Transportation, Canteen</t>
        </is>
      </c>
      <c r="N8537" s="8">
        <f>HYPERLINK("https://www.vietnamworks.com/lue-shen-fa-lia-quan-ly-du-an-san-xuat-biet-tieng-trung-va-tieng-anh-2004580-jv","Xem chi tiết")</f>
        <v/>
      </c>
    </row>
    <row r="8538">
      <c r="B8538" s="9" t="n">
        <v>8536</v>
      </c>
      <c r="C8538" s="10" t="inlineStr">
        <is>
          <t>Nhân Viên Sales Marketing (Lĩnh Vực Shipping)</t>
        </is>
      </c>
      <c r="D8538" s="10" t="inlineStr">
        <is>
          <t>Công Ty Cổ Phần Hàng Hải Vsico</t>
        </is>
      </c>
      <c r="E8538" s="10" t="inlineStr">
        <is>
          <t>15tr-18tr ₫/tháng</t>
        </is>
      </c>
      <c r="F8538" s="10" t="inlineStr">
        <is>
          <t>Hồ Chí Minh</t>
        </is>
      </c>
      <c r="G8538" s="10" t="inlineStr">
        <is>
          <t>Nhân viên</t>
        </is>
      </c>
      <c r="H8538" s="10" t="inlineStr">
        <is>
          <t>20/01/2026</t>
        </is>
      </c>
      <c r="I8538" s="10" t="inlineStr">
        <is>
          <t>08/04/2026</t>
        </is>
      </c>
      <c r="J8538" s="10" t="inlineStr">
        <is>
          <t>17/03/2026</t>
        </is>
      </c>
      <c r="K8538" s="10" t="inlineStr">
        <is>
          <t>N/A</t>
        </is>
      </c>
      <c r="L8538" s="10" t="inlineStr">
        <is>
          <t>Logistics Sales, Marketing Development, Customer Service, Negotiation Skills, Communication</t>
        </is>
      </c>
      <c r="M8538" s="10" t="inlineStr">
        <is>
          <t>Bonus, Healthcare Plan, Training, Travel Opportunities, Team Activities, Canteen, Others</t>
        </is>
      </c>
      <c r="N8538" s="11">
        <f>HYPERLINK("https://www.vietnamworks.com/nhan-vien-sales-marketing-linh-vuc-shipping-2004280-jv","Xem chi tiết")</f>
        <v/>
      </c>
      <c r="O8538" s="10" t="n"/>
    </row>
    <row r="8539">
      <c r="B8539" s="7" t="n">
        <v>8537</v>
      </c>
      <c r="C8539" t="inlineStr">
        <is>
          <t>Kế Toán Trưởng (Lĩnh Vực Logistics/ ICD/ Vận Tải, Kho)</t>
        </is>
      </c>
      <c r="D8539" t="inlineStr">
        <is>
          <t>Công Ty Cổ Phần Hàng Hải Vsico</t>
        </is>
      </c>
      <c r="E8539" t="inlineStr">
        <is>
          <t>22tr-26tr ₫/tháng</t>
        </is>
      </c>
      <c r="F8539" t="inlineStr">
        <is>
          <t>Hà Nội</t>
        </is>
      </c>
      <c r="G8539" t="inlineStr">
        <is>
          <t>Nhân viên</t>
        </is>
      </c>
      <c r="H8539" t="inlineStr">
        <is>
          <t>20/01/2026</t>
        </is>
      </c>
      <c r="I8539" t="inlineStr">
        <is>
          <t>08/04/2026</t>
        </is>
      </c>
      <c r="J8539" t="inlineStr">
        <is>
          <t>17/03/2026</t>
        </is>
      </c>
      <c r="K8539" t="inlineStr">
        <is>
          <t>N/A</t>
        </is>
      </c>
      <c r="L8539" t="inlineStr">
        <is>
          <t>Quản Lý Dòng Tiền, Kiểm Soát Giá Thành, Quản Lý Ngân Sách, Quản Trị Kế Toán, Thuế</t>
        </is>
      </c>
      <c r="M8539" t="inlineStr">
        <is>
          <t>Bonus, Healthcare Plan, Training, Team Activities, Canteen, Others</t>
        </is>
      </c>
      <c r="N8539" s="8">
        <f>HYPERLINK("https://www.vietnamworks.com/ke-toan-truong-linh-vuc-logistics-icd-van-tai-kho-2004343-jv","Xem chi tiết")</f>
        <v/>
      </c>
    </row>
    <row r="8540">
      <c r="B8540" s="9" t="n">
        <v>8538</v>
      </c>
      <c r="C8540" s="10" t="inlineStr">
        <is>
          <t>Fa失效分析工程师 Kỹ Sư Phân Tích Thất Bại FA</t>
        </is>
      </c>
      <c r="D8540" s="10" t="inlineStr">
        <is>
          <t>PEGATRON VIETNAM</t>
        </is>
      </c>
      <c r="E8540" s="10" t="inlineStr">
        <is>
          <t>Thương lượng</t>
        </is>
      </c>
      <c r="F8540" s="10" t="inlineStr">
        <is>
          <t>Hải Phòng</t>
        </is>
      </c>
      <c r="G8540" s="10" t="inlineStr">
        <is>
          <t>Nhân viên</t>
        </is>
      </c>
      <c r="H8540" s="10" t="inlineStr">
        <is>
          <t>20/01/2026</t>
        </is>
      </c>
      <c r="I8540" s="10" t="inlineStr">
        <is>
          <t>08/04/2026</t>
        </is>
      </c>
      <c r="J8540" s="10" t="inlineStr">
        <is>
          <t>17/03/2026</t>
        </is>
      </c>
      <c r="K8540" s="10" t="inlineStr">
        <is>
          <t>N/A</t>
        </is>
      </c>
      <c r="L8540" s="10" t="inlineStr">
        <is>
          <t>Cơ Điện Tử, Dây Chuyền Sản Xuất, Failure Analysis, Physical Failure Analysis, Tiếng Trung</t>
        </is>
      </c>
      <c r="M8540" s="10" t="inlineStr">
        <is>
          <t>Laptop, Transportation, Canteen</t>
        </is>
      </c>
      <c r="N8540" s="11">
        <f>HYPERLINK("https://www.vietnamworks.com/fa-ky-su-phan-tich-that-bai-fa-2004572-jv","Xem chi tiết")</f>
        <v/>
      </c>
      <c r="O8540" s="10" t="n"/>
    </row>
    <row r="8541">
      <c r="B8541" s="7" t="n">
        <v>8539</v>
      </c>
      <c r="C8541" t="inlineStr">
        <is>
          <t>Chuyên viên Quản lý hệ thống An Toàn - Sức khỏe - Môi trường - Chất lượng</t>
        </is>
      </c>
      <c r="D8541" t="inlineStr">
        <is>
          <t>Asia Chemical Corporation</t>
        </is>
      </c>
      <c r="E8541" t="inlineStr">
        <is>
          <t>Thương lượng</t>
        </is>
      </c>
      <c r="F8541" t="inlineStr">
        <is>
          <t>Hồ Chí Minh</t>
        </is>
      </c>
      <c r="G8541" t="inlineStr">
        <is>
          <t>Nhân viên</t>
        </is>
      </c>
      <c r="H8541" t="inlineStr">
        <is>
          <t>20/01/2026</t>
        </is>
      </c>
      <c r="I8541" t="inlineStr">
        <is>
          <t>08/04/2026</t>
        </is>
      </c>
      <c r="J8541" t="inlineStr">
        <is>
          <t>17/03/2026</t>
        </is>
      </c>
      <c r="K8541" t="inlineStr">
        <is>
          <t>N/A</t>
        </is>
      </c>
      <c r="L8541" t="inlineStr">
        <is>
          <t>BRC Standards, FSSC2200, ISO Practices, ISO Quality Management, Microsoft Office proficiency</t>
        </is>
      </c>
      <c r="M8541" t="inlineStr">
        <is>
          <t>Bonus, Healthcare Plan, Training, Laptop, Mobile, Travel Opportunities</t>
        </is>
      </c>
      <c r="N8541" s="8">
        <f>HYPERLINK("https://www.vietnamworks.com/chuyen-vien-quan-ly-he-thong-an-toan-suc-khoe-moi-truong-chat-luong-2004597-jv","Xem chi tiết")</f>
        <v/>
      </c>
    </row>
    <row r="8542">
      <c r="B8542" s="9" t="n">
        <v>8540</v>
      </c>
      <c r="C8542" s="10" t="inlineStr">
        <is>
          <t>Interior Construction Supervisor</t>
        </is>
      </c>
      <c r="D8542" s="10" t="inlineStr">
        <is>
          <t>Frontier Consulting Vietnam Co., Ltd. - 有限会社フロンティアコンサルティング　ベトナム</t>
        </is>
      </c>
      <c r="E8542" s="10" t="inlineStr">
        <is>
          <t>15tr-22tr ₫/tháng</t>
        </is>
      </c>
      <c r="F8542" s="10" t="inlineStr">
        <is>
          <t>Hà Nội, Hồ Chí Minh</t>
        </is>
      </c>
      <c r="G8542" s="10" t="inlineStr">
        <is>
          <t>Nhân viên</t>
        </is>
      </c>
      <c r="H8542" s="10" t="inlineStr">
        <is>
          <t>20/01/2026</t>
        </is>
      </c>
      <c r="I8542" s="10" t="inlineStr">
        <is>
          <t>08/04/2026</t>
        </is>
      </c>
      <c r="J8542" s="10" t="inlineStr">
        <is>
          <t>17/03/2026</t>
        </is>
      </c>
      <c r="K8542" s="10" t="inlineStr">
        <is>
          <t>N/A</t>
        </is>
      </c>
      <c r="L8542" s="10" t="inlineStr">
        <is>
          <t>AutoCAD, English, Interior, Interior Design, Planning</t>
        </is>
      </c>
      <c r="M8542" s="10" t="inlineStr">
        <is>
          <t>Bonus, Healthcare Plan, Training, Laptop, Travel Opportunities, Others</t>
        </is>
      </c>
      <c r="N8542" s="11">
        <f>HYPERLINK("https://www.vietnamworks.com/interior-construction-supervisor-2004607-jv","Xem chi tiết")</f>
        <v/>
      </c>
      <c r="O8542" s="10" t="n"/>
    </row>
    <row r="8543">
      <c r="B8543" s="7" t="n">
        <v>8541</v>
      </c>
      <c r="C8543" t="inlineStr">
        <is>
          <t>Data Analyst - Credit Card &amp; Personal Loan</t>
        </is>
      </c>
      <c r="D8543" t="inlineStr">
        <is>
          <t>Trusting Social</t>
        </is>
      </c>
      <c r="E8543" t="inlineStr">
        <is>
          <t>Thương lượng</t>
        </is>
      </c>
      <c r="F8543" t="inlineStr">
        <is>
          <t>Hồ Chí Minh</t>
        </is>
      </c>
      <c r="G8543" t="inlineStr">
        <is>
          <t>Nhân viên</t>
        </is>
      </c>
      <c r="H8543" t="inlineStr">
        <is>
          <t>20/01/2026</t>
        </is>
      </c>
      <c r="I8543" t="inlineStr">
        <is>
          <t>08/04/2026</t>
        </is>
      </c>
      <c r="J8543" t="inlineStr">
        <is>
          <t>17/03/2026</t>
        </is>
      </c>
      <c r="K8543" t="inlineStr">
        <is>
          <t>N/A</t>
        </is>
      </c>
      <c r="L8543" t="inlineStr">
        <is>
          <t>Bussiness Analyst, Credit Card, Loan Portfolio Analysis, Analytics Tool</t>
        </is>
      </c>
      <c r="M8543" t="inlineStr">
        <is>
          <t>Healthcare Plan, Canteen, Others</t>
        </is>
      </c>
      <c r="N8543" s="8">
        <f>HYPERLINK("https://www.vietnamworks.com/data-analyst-credit-card-personal-loan-2004490-jv","Xem chi tiết")</f>
        <v/>
      </c>
    </row>
    <row r="8544">
      <c r="B8544" s="9" t="n">
        <v>8542</v>
      </c>
      <c r="C8544" s="10" t="inlineStr">
        <is>
          <t>Nhân Viên Kế Toán (Thu Nhập 9-12 Triệu)</t>
        </is>
      </c>
      <c r="D8544" s="10" t="inlineStr">
        <is>
          <t>Công ty TNHH TFV Industries</t>
        </is>
      </c>
      <c r="E8544" s="10" t="inlineStr">
        <is>
          <t>Thương lượng</t>
        </is>
      </c>
      <c r="F8544" s="10" t="inlineStr">
        <is>
          <t>Hà Nội</t>
        </is>
      </c>
      <c r="G8544" s="10" t="inlineStr">
        <is>
          <t>Nhân viên</t>
        </is>
      </c>
      <c r="H8544" s="10" t="inlineStr">
        <is>
          <t>20/01/2026</t>
        </is>
      </c>
      <c r="I8544" s="10" t="inlineStr">
        <is>
          <t>08/04/2026</t>
        </is>
      </c>
      <c r="J8544" s="10" t="inlineStr">
        <is>
          <t>17/03/2026</t>
        </is>
      </c>
      <c r="K8544" s="10" t="inlineStr">
        <is>
          <t>N/A</t>
        </is>
      </c>
      <c r="L8544" s="10" t="inlineStr">
        <is>
          <t>Kế Toán Tổng Hợp, Báo Cáo Tài Chính, Dữ liệu &amp; Phân tích, Kế toán &amp; Tài chính</t>
        </is>
      </c>
      <c r="M8544" s="10" t="inlineStr">
        <is>
          <t>Bonus, Training, Awards, Team Activities, Canteen, Others</t>
        </is>
      </c>
      <c r="N8544" s="11">
        <f>HYPERLINK("https://www.vietnamworks.com/nhan-vien-ke-toan-thu-nhap-9-12-trieu-2004556-jv","Xem chi tiết")</f>
        <v/>
      </c>
      <c r="O8544" s="10" t="n"/>
    </row>
    <row r="8545">
      <c r="B8545" s="7" t="n">
        <v>8543</v>
      </c>
      <c r="C8545" t="inlineStr">
        <is>
          <t>Purchasing Staff</t>
        </is>
      </c>
      <c r="D8545" t="inlineStr">
        <is>
          <t>Frontier Consulting Vietnam Co., Ltd. - 有限会社フロンティアコンサルティング　ベトナム</t>
        </is>
      </c>
      <c r="E8545" t="inlineStr">
        <is>
          <t>12tr-17tr ₫/tháng</t>
        </is>
      </c>
      <c r="F8545" t="inlineStr">
        <is>
          <t>Hồ Chí Minh</t>
        </is>
      </c>
      <c r="G8545" t="inlineStr">
        <is>
          <t>Nhân viên</t>
        </is>
      </c>
      <c r="H8545" t="inlineStr">
        <is>
          <t>20/01/2026</t>
        </is>
      </c>
      <c r="I8545" t="inlineStr">
        <is>
          <t>08/04/2026</t>
        </is>
      </c>
      <c r="J8545" t="inlineStr">
        <is>
          <t>17/03/2026</t>
        </is>
      </c>
      <c r="K8545" t="inlineStr">
        <is>
          <t>N/A</t>
        </is>
      </c>
      <c r="L8545" t="inlineStr">
        <is>
          <t>Custom Declaration, Purchasing, Vật liệu xây dựng, Xây Dựng, Mua Hàng</t>
        </is>
      </c>
      <c r="M8545" t="inlineStr">
        <is>
          <t>Bonus, Healthcare Plan, Paid Leave, Travel Opportunities, Transportation, Canteen</t>
        </is>
      </c>
      <c r="N8545" s="8">
        <f>HYPERLINK("https://www.vietnamworks.com/purchasing-staff-2004605-jv","Xem chi tiết")</f>
        <v/>
      </c>
    </row>
    <row r="8546">
      <c r="B8546" s="9" t="n">
        <v>8544</v>
      </c>
      <c r="C8546" s="10" t="inlineStr">
        <is>
          <t>Structural Design Engineer for Steel Buildings</t>
        </is>
      </c>
      <c r="D8546" s="10" t="inlineStr">
        <is>
          <t>Walker Design Solutions Co., Ltd.</t>
        </is>
      </c>
      <c r="E8546" s="10" t="inlineStr">
        <is>
          <t>$$ 500-1,000 /tháng</t>
        </is>
      </c>
      <c r="F8546" s="10" t="inlineStr">
        <is>
          <t>Hồ Chí Minh</t>
        </is>
      </c>
      <c r="G8546" s="10" t="inlineStr">
        <is>
          <t>Nhân viên</t>
        </is>
      </c>
      <c r="H8546" s="10" t="inlineStr">
        <is>
          <t>21/01/2026</t>
        </is>
      </c>
      <c r="I8546" s="10" t="inlineStr">
        <is>
          <t>08/04/2026</t>
        </is>
      </c>
      <c r="J8546" s="10" t="inlineStr">
        <is>
          <t>17/03/2026</t>
        </is>
      </c>
      <c r="K8546" s="10" t="inlineStr">
        <is>
          <t>N/A</t>
        </is>
      </c>
      <c r="L8546" s="10" t="inlineStr">
        <is>
          <t>Structural Design</t>
        </is>
      </c>
      <c r="M8546" s="10" t="inlineStr">
        <is>
          <t>Bonus, Paid Leave, Canteen</t>
        </is>
      </c>
      <c r="N8546" s="11">
        <f>HYPERLINK("https://www.vietnamworks.com/structural-design-engineer-for-steel-buildings-1-1-2-1-1-1-1--2004750-jv","Xem chi tiết")</f>
        <v/>
      </c>
      <c r="O8546" s="10" t="n"/>
    </row>
    <row r="8547">
      <c r="B8547" s="7" t="n">
        <v>8545</v>
      </c>
      <c r="C8547" t="inlineStr">
        <is>
          <t>Nhân Viên EHS</t>
        </is>
      </c>
      <c r="D8547" t="inlineStr">
        <is>
          <t>Terumo Vietnam Co., Ltd</t>
        </is>
      </c>
      <c r="E8547" t="inlineStr">
        <is>
          <t>Thương lượng</t>
        </is>
      </c>
      <c r="F8547" t="inlineStr">
        <is>
          <t>Hà Nội</t>
        </is>
      </c>
      <c r="G8547" t="inlineStr">
        <is>
          <t>Nhân viên</t>
        </is>
      </c>
      <c r="H8547" t="inlineStr">
        <is>
          <t>21/01/2026</t>
        </is>
      </c>
      <c r="I8547" t="inlineStr">
        <is>
          <t>08/04/2026</t>
        </is>
      </c>
      <c r="J8547" t="inlineStr">
        <is>
          <t>17/03/2026</t>
        </is>
      </c>
      <c r="K8547" t="inlineStr">
        <is>
          <t>N/A</t>
        </is>
      </c>
      <c r="L8547" t="inlineStr">
        <is>
          <t>An Toàn Lao Động, EHS, ISO 45001, ISO 14001, Safety Patrol</t>
        </is>
      </c>
      <c r="M8547" t="inlineStr">
        <is>
          <t>Bonus, Healthcare Plan, Transportation</t>
        </is>
      </c>
      <c r="N8547" s="8">
        <f>HYPERLINK("https://www.vietnamworks.com/nhan-vien-ehs--2004740-jv","Xem chi tiết")</f>
        <v/>
      </c>
    </row>
    <row r="8548">
      <c r="B8548" s="9" t="n">
        <v>8546</v>
      </c>
      <c r="C8548" s="10" t="inlineStr">
        <is>
          <t>HR Operation Supervisor (Tiếng Trung; Upto 45M)</t>
        </is>
      </c>
      <c r="D8548" s="10" t="inlineStr">
        <is>
          <t>CÔNG TY TNHH THƯƠNG MẠI ĐIỆN TỬ GOBUY VIỆT NAM</t>
        </is>
      </c>
      <c r="E8548" s="10" t="inlineStr">
        <is>
          <t>Tới 45tr ₫/tháng</t>
        </is>
      </c>
      <c r="F8548" s="10" t="inlineStr">
        <is>
          <t>Hồ Chí Minh</t>
        </is>
      </c>
      <c r="G8548" s="10" t="inlineStr">
        <is>
          <t>Trưởng phòng</t>
        </is>
      </c>
      <c r="H8548" s="10" t="inlineStr">
        <is>
          <t>21/01/2026</t>
        </is>
      </c>
      <c r="I8548" s="10" t="inlineStr">
        <is>
          <t>08/04/2026</t>
        </is>
      </c>
      <c r="J8548" s="10" t="inlineStr">
        <is>
          <t>17/03/2026</t>
        </is>
      </c>
      <c r="K8548" s="10" t="inlineStr">
        <is>
          <t>N/A</t>
        </is>
      </c>
      <c r="L8548" s="10" t="inlineStr">
        <is>
          <t>Communication, Employee Relation, HR Compliance, HR Operation, Performance Management</t>
        </is>
      </c>
      <c r="M8548" s="10" t="inlineStr">
        <is>
          <t>Bonus, Healthcare Plan, Paid Leave, Laptop, Team Activities, Others</t>
        </is>
      </c>
      <c r="N8548" s="11">
        <f>HYPERLINK("https://www.vietnamworks.com/hr-operation-supervisor-tieng-trung-upto-45m-2004853-jv","Xem chi tiết")</f>
        <v/>
      </c>
      <c r="O8548" s="10" t="n"/>
    </row>
    <row r="8549">
      <c r="B8549" s="7" t="n">
        <v>8547</v>
      </c>
      <c r="C8549" t="inlineStr">
        <is>
          <t>{Urgent} Key Account Executive (Sales) - MT Channel ( Bhx, Win+ ,...)</t>
        </is>
      </c>
      <c r="D8549" t="inlineStr">
        <is>
          <t>Công ty TNHH Fujiya Việt Nam</t>
        </is>
      </c>
      <c r="E8549" t="inlineStr">
        <is>
          <t>$$ 1,100-1,300 /tháng</t>
        </is>
      </c>
      <c r="F8549" t="inlineStr">
        <is>
          <t>Hồ Chí Minh</t>
        </is>
      </c>
      <c r="G8549" t="inlineStr">
        <is>
          <t>Nhân viên</t>
        </is>
      </c>
      <c r="H8549" t="inlineStr">
        <is>
          <t>21/01/2026</t>
        </is>
      </c>
      <c r="I8549" t="inlineStr">
        <is>
          <t>08/04/2026</t>
        </is>
      </c>
      <c r="J8549" t="inlineStr">
        <is>
          <t>17/03/2026</t>
        </is>
      </c>
      <c r="K8549" t="inlineStr">
        <is>
          <t>N/A</t>
        </is>
      </c>
      <c r="L8549" t="inlineStr">
        <is>
          <t>Key Account Management, FMCG, Negotiation &amp; Influencing, Forecasting, Modern Trade Planning</t>
        </is>
      </c>
      <c r="M8549" t="inlineStr">
        <is>
          <t>Bonus, Healthcare Plan, Paid Leave</t>
        </is>
      </c>
      <c r="N8549" s="8">
        <f>HYPERLINK("https://www.vietnamworks.com/urgent-key-account-executive-sales-mt-channel-bhx-win-2004716-jv","Xem chi tiết")</f>
        <v/>
      </c>
    </row>
    <row r="8550">
      <c r="B8550" s="9" t="n">
        <v>8548</v>
      </c>
      <c r="C8550" s="10" t="inlineStr">
        <is>
          <t>Quality Leader Softline, Garment, Gear &amp; Label Packaging</t>
        </is>
      </c>
      <c r="D8550" s="10" t="inlineStr">
        <is>
          <t>Vietnamworks' Client</t>
        </is>
      </c>
      <c r="E8550" s="10" t="inlineStr">
        <is>
          <t>$$ 1,200-2,000 /tháng</t>
        </is>
      </c>
      <c r="F8550" s="10" t="inlineStr">
        <is>
          <t>Hồ Chí Minh</t>
        </is>
      </c>
      <c r="G8550" s="10" t="inlineStr">
        <is>
          <t>Nhân viên</t>
        </is>
      </c>
      <c r="H8550" s="10" t="inlineStr">
        <is>
          <t>21/01/2026</t>
        </is>
      </c>
      <c r="I8550" s="10" t="inlineStr">
        <is>
          <t>08/04/2026</t>
        </is>
      </c>
      <c r="J8550" s="10" t="inlineStr">
        <is>
          <t>17/03/2026</t>
        </is>
      </c>
      <c r="K8550" s="10" t="inlineStr">
        <is>
          <t>N/A</t>
        </is>
      </c>
      <c r="L8550" s="10" t="inlineStr">
        <is>
          <t>Quality System, Quality Control Principles, QA, Garment</t>
        </is>
      </c>
      <c r="M8550" s="10" t="inlineStr">
        <is>
          <t>Bonus</t>
        </is>
      </c>
      <c r="N8550" s="11">
        <f>HYPERLINK("https://www.vietnamworks.com/quality-leader-softline-garment-gear-label-packaging-2004727-jv","Xem chi tiết")</f>
        <v/>
      </c>
      <c r="O8550" s="10" t="n"/>
    </row>
    <row r="8551">
      <c r="B8551" s="7" t="n">
        <v>8549</v>
      </c>
      <c r="C8551" t="inlineStr">
        <is>
          <t>Senior Accountant</t>
        </is>
      </c>
      <c r="D8551" t="inlineStr">
        <is>
          <t>Công Ty TNHH NexGenus</t>
        </is>
      </c>
      <c r="E8551" t="inlineStr">
        <is>
          <t>Thương lượng</t>
        </is>
      </c>
      <c r="F8551" t="inlineStr">
        <is>
          <t>Đà Nẵng</t>
        </is>
      </c>
      <c r="G8551" t="inlineStr">
        <is>
          <t>Nhân viên</t>
        </is>
      </c>
      <c r="H8551" t="inlineStr">
        <is>
          <t>21/01/2026</t>
        </is>
      </c>
      <c r="I8551" t="inlineStr">
        <is>
          <t>08/04/2026</t>
        </is>
      </c>
      <c r="J8551" t="inlineStr">
        <is>
          <t>17/03/2026</t>
        </is>
      </c>
      <c r="K8551" t="inlineStr">
        <is>
          <t>N/A</t>
        </is>
      </c>
      <c r="L8551" t="inlineStr">
        <is>
          <t>Accounting knowledge, Communication Skills, CPA Certificate, Financial Reporting, Project Accounting</t>
        </is>
      </c>
      <c r="M8551" t="inlineStr">
        <is>
          <t>Bonus, Healthcare Plan, Paid Leave, Training, Laptop, Travel Opportunities, Team Activities, Others</t>
        </is>
      </c>
      <c r="N8551" s="8">
        <f>HYPERLINK("https://www.vietnamworks.com/senior-accountant-2004935-jv","Xem chi tiết")</f>
        <v/>
      </c>
    </row>
    <row r="8552">
      <c r="B8552" s="9" t="n">
        <v>8550</v>
      </c>
      <c r="C8552" s="10" t="inlineStr">
        <is>
          <t>Chuyên Viên Thẩm Định - [BAC A BANK - Chi Nhánh Yên Bái/ Ninh Bình/ Hải Phòng]</t>
        </is>
      </c>
      <c r="D8552" s="10" t="inlineStr">
        <is>
          <t>Bắc Á Bank - Https://tuyendung.baca-Bank.vn/</t>
        </is>
      </c>
      <c r="E8552" s="10" t="inlineStr">
        <is>
          <t>Thương lượng</t>
        </is>
      </c>
      <c r="F8552" s="10" t="inlineStr">
        <is>
          <t>Hải Phòng, Ninh Bình, Yên Bái</t>
        </is>
      </c>
      <c r="G8552" s="10" t="inlineStr">
        <is>
          <t>Mới Tốt Nghiệp</t>
        </is>
      </c>
      <c r="H8552" s="10" t="inlineStr">
        <is>
          <t>21/01/2026</t>
        </is>
      </c>
      <c r="I8552" s="10" t="inlineStr">
        <is>
          <t>08/04/2026</t>
        </is>
      </c>
      <c r="J8552" s="10" t="inlineStr">
        <is>
          <t>17/03/2026</t>
        </is>
      </c>
      <c r="K8552" s="10" t="inlineStr">
        <is>
          <t>N/A</t>
        </is>
      </c>
      <c r="L8552" s="10" t="inlineStr">
        <is>
          <t>Tài Chính Ngân Hàng, Quan Hệ Khách Hàng, Tái Thẩm Định, Thẩm Định</t>
        </is>
      </c>
      <c r="M8552" s="10" t="inlineStr">
        <is>
          <t>Bonus, Healthcare Plan, Others</t>
        </is>
      </c>
      <c r="N8552" s="11">
        <f>HYPERLINK("https://www.vietnamworks.com/chuyen-vien-tham-djinh-bac-a-bank-chi-nhanh-yen-bai-ninh-binh-hai-phong-2004771-jv","Xem chi tiết")</f>
        <v/>
      </c>
      <c r="O8552" s="10" t="n"/>
    </row>
    <row r="8553">
      <c r="B8553" s="7" t="n">
        <v>8551</v>
      </c>
      <c r="C8553" t="inlineStr">
        <is>
          <t>Chuyên Viên Điều Khối Chính Sách Khai Thác Tàu</t>
        </is>
      </c>
      <c r="D8553" t="inlineStr">
        <is>
          <t>Công Ty Cổ Phần Hàng Hải Vsico</t>
        </is>
      </c>
      <c r="E8553" t="inlineStr">
        <is>
          <t>Thương lượng</t>
        </is>
      </c>
      <c r="F8553" t="inlineStr">
        <is>
          <t>Hà Nội</t>
        </is>
      </c>
      <c r="G8553" t="inlineStr">
        <is>
          <t>Trưởng phòng</t>
        </is>
      </c>
      <c r="H8553" t="inlineStr">
        <is>
          <t>21/01/2026</t>
        </is>
      </c>
      <c r="I8553" t="inlineStr">
        <is>
          <t>08/04/2026</t>
        </is>
      </c>
      <c r="J8553" t="inlineStr">
        <is>
          <t>17/03/2026</t>
        </is>
      </c>
      <c r="K8553" t="inlineStr">
        <is>
          <t>N/A</t>
        </is>
      </c>
      <c r="L8553" t="inlineStr">
        <is>
          <t>Khai Thác Tàu, Lập Kế Hoạch, Logistics, Vận Tải Biển, Xuất nhập khẩu</t>
        </is>
      </c>
      <c r="M8553" t="inlineStr">
        <is>
          <t>Bonus, Healthcare Plan, Training, Canteen</t>
        </is>
      </c>
      <c r="N8553" s="8">
        <f>HYPERLINK("https://www.vietnamworks.com/chuyen-vien-djieu-khoi-chinh-sach-khai-thac-tau-2004719-jv","Xem chi tiết")</f>
        <v/>
      </c>
    </row>
    <row r="8554">
      <c r="B8554" s="9" t="n">
        <v>8552</v>
      </c>
      <c r="C8554" s="10" t="inlineStr">
        <is>
          <t>Trưởng Phòng Khối Môi Giới Chứng Khoán (HN &amp; HCMC)</t>
        </is>
      </c>
      <c r="D8554" s="10" t="inlineStr">
        <is>
          <t>Công Ty Cổ Phần Chứng Khoán Guotai Junan (Việt Nam)</t>
        </is>
      </c>
      <c r="E8554" s="10" t="inlineStr">
        <is>
          <t>Thương lượng</t>
        </is>
      </c>
      <c r="F8554" s="10" t="inlineStr">
        <is>
          <t>Hà Nội, Hồ Chí Minh</t>
        </is>
      </c>
      <c r="G8554" s="10" t="inlineStr">
        <is>
          <t>Trưởng phòng</t>
        </is>
      </c>
      <c r="H8554" s="10" t="inlineStr">
        <is>
          <t>21/01/2026</t>
        </is>
      </c>
      <c r="I8554" s="10" t="inlineStr">
        <is>
          <t>08/04/2026</t>
        </is>
      </c>
      <c r="J8554" s="10" t="inlineStr">
        <is>
          <t>17/03/2026</t>
        </is>
      </c>
      <c r="K8554" s="10" t="inlineStr">
        <is>
          <t>N/A</t>
        </is>
      </c>
      <c r="L8554" s="10" t="inlineStr">
        <is>
          <t>Tín Dụng Chứng Khoán, Báo Cáo Tài Chính, Tư Vấn Khách Hàng, Môi Giới Chứng Khoán, Tư Vấn Đầu Tư</t>
        </is>
      </c>
      <c r="M8554" s="10" t="inlineStr">
        <is>
          <t>Bonus, Awards, Team Activities</t>
        </is>
      </c>
      <c r="N8554" s="11">
        <f>HYPERLINK("https://www.vietnamworks.com/truong-phong-khoi-moi-gioi-chung-khoan-hn-and-hcmc-2004959-jv","Xem chi tiết")</f>
        <v/>
      </c>
      <c r="O8554" s="10" t="n"/>
    </row>
    <row r="8555">
      <c r="B8555" s="7" t="n">
        <v>8553</v>
      </c>
      <c r="C8555" t="inlineStr">
        <is>
          <t>Transportation Analyst</t>
        </is>
      </c>
      <c r="D8555" t="inlineStr">
        <is>
          <t>LVHA Manufacturing Company Limited</t>
        </is>
      </c>
      <c r="E8555" t="inlineStr">
        <is>
          <t>Thương lượng</t>
        </is>
      </c>
      <c r="F8555" t="inlineStr">
        <is>
          <t>Đồng Nai</t>
        </is>
      </c>
      <c r="G8555" t="inlineStr">
        <is>
          <t>Nhân viên</t>
        </is>
      </c>
      <c r="H8555" t="inlineStr">
        <is>
          <t>20/01/2026</t>
        </is>
      </c>
      <c r="I8555" t="inlineStr">
        <is>
          <t>08/04/2026</t>
        </is>
      </c>
      <c r="J8555" t="inlineStr">
        <is>
          <t>17/03/2026</t>
        </is>
      </c>
      <c r="K8555" t="inlineStr">
        <is>
          <t>N/A</t>
        </is>
      </c>
      <c r="L8555" t="inlineStr">
        <is>
          <t>Customs, Import/export experience, SAP-ERP, Incoterms, Transportation</t>
        </is>
      </c>
      <c r="M8555" t="inlineStr">
        <is>
          <t>Bonus, Healthcare Plan, Laptop</t>
        </is>
      </c>
      <c r="N8555" s="8">
        <f>HYPERLINK("https://www.vietnamworks.com/transportation-analyst--2004616-jv","Xem chi tiết")</f>
        <v/>
      </c>
    </row>
    <row r="8556">
      <c r="B8556" s="9" t="n">
        <v>8554</v>
      </c>
      <c r="C8556" s="10" t="inlineStr">
        <is>
          <t>Environmental Staff - Industrial Hygiene | Nhân Viên Môi Trường</t>
        </is>
      </c>
      <c r="D8556" s="10" t="inlineStr">
        <is>
          <t>Công ty TNHH Aden Services (Việt Nam)</t>
        </is>
      </c>
      <c r="E8556" s="10" t="inlineStr">
        <is>
          <t>Thương lượng</t>
        </is>
      </c>
      <c r="F8556" s="10" t="inlineStr">
        <is>
          <t>Bình Dương, Đồng Nai, Hồ Chí Minh</t>
        </is>
      </c>
      <c r="G8556" s="10" t="inlineStr">
        <is>
          <t>Nhân viên</t>
        </is>
      </c>
      <c r="H8556" s="10" t="inlineStr">
        <is>
          <t>21/01/2026</t>
        </is>
      </c>
      <c r="I8556" s="10" t="inlineStr">
        <is>
          <t>08/04/2026</t>
        </is>
      </c>
      <c r="J8556" s="10" t="inlineStr">
        <is>
          <t>17/03/2026</t>
        </is>
      </c>
      <c r="K8556" s="10" t="inlineStr">
        <is>
          <t>N/A</t>
        </is>
      </c>
      <c r="L8556" s="10" t="inlineStr">
        <is>
          <t>Attention To Detail, Environmental Technology, Industrial Hygiene, Regulatory Compliance, Waste Management</t>
        </is>
      </c>
      <c r="M8556" s="10" t="inlineStr">
        <is>
          <t>Others</t>
        </is>
      </c>
      <c r="N8556" s="11">
        <f>HYPERLINK("https://www.vietnamworks.com/environmental-staff-industrial-hygiene-or-nhan-vien-moi-truong-2004982-jv","Xem chi tiết")</f>
        <v/>
      </c>
      <c r="O8556" s="10" t="n"/>
    </row>
    <row r="8557">
      <c r="B8557" s="7" t="n">
        <v>8555</v>
      </c>
      <c r="C8557" t="inlineStr">
        <is>
          <t>International Sales Representative - Furniture (Ho Chi Minh &amp; Binh Duong)</t>
        </is>
      </c>
      <c r="D8557" t="inlineStr">
        <is>
          <t>Greenmore Vietnam Co., Ltd</t>
        </is>
      </c>
      <c r="E8557" t="inlineStr">
        <is>
          <t>$$ 1,000-1,500 /tháng</t>
        </is>
      </c>
      <c r="F8557" t="inlineStr">
        <is>
          <t>Bình Dương, Hồ Chí Minh</t>
        </is>
      </c>
      <c r="G8557" t="inlineStr">
        <is>
          <t>Nhân viên</t>
        </is>
      </c>
      <c r="H8557" t="inlineStr">
        <is>
          <t>21/01/2026</t>
        </is>
      </c>
      <c r="I8557" t="inlineStr">
        <is>
          <t>08/04/2026</t>
        </is>
      </c>
      <c r="J8557" t="inlineStr">
        <is>
          <t>17/03/2026</t>
        </is>
      </c>
      <c r="K8557" t="inlineStr">
        <is>
          <t>N/A</t>
        </is>
      </c>
      <c r="L8557" t="inlineStr">
        <is>
          <t>B2B Sale, Market Research, Kinh Doanh, Negotiation, Sales</t>
        </is>
      </c>
      <c r="M8557" t="inlineStr">
        <is>
          <t>Bonus, Paid Leave, Others</t>
        </is>
      </c>
      <c r="N8557" s="8">
        <f>HYPERLINK("https://www.vietnamworks.com/international-sales-representative-furniture-ho-chi-minh-binh-duong--2004979-jv","Xem chi tiết")</f>
        <v/>
      </c>
    </row>
    <row r="8558">
      <c r="B8558" s="9" t="n">
        <v>8556</v>
      </c>
      <c r="C8558" s="10" t="inlineStr">
        <is>
          <t>[Hanoi] Marketing Executive</t>
        </is>
      </c>
      <c r="D8558" s="10" t="inlineStr">
        <is>
          <t>Gamuda Land Vietnam LLC</t>
        </is>
      </c>
      <c r="E8558" s="10" t="inlineStr">
        <is>
          <t>Thương lượng</t>
        </is>
      </c>
      <c r="F8558" s="10" t="inlineStr">
        <is>
          <t>Hà Nội</t>
        </is>
      </c>
      <c r="G8558" s="10" t="inlineStr">
        <is>
          <t>Nhân viên</t>
        </is>
      </c>
      <c r="H8558" s="10" t="inlineStr">
        <is>
          <t>21/01/2026</t>
        </is>
      </c>
      <c r="I8558" s="10" t="inlineStr">
        <is>
          <t>08/04/2026</t>
        </is>
      </c>
      <c r="J8558" s="10" t="inlineStr">
        <is>
          <t>17/03/2026</t>
        </is>
      </c>
      <c r="K8558" s="10" t="inlineStr">
        <is>
          <t>N/A</t>
        </is>
      </c>
      <c r="L8558" s="10" t="inlineStr">
        <is>
          <t>Merchandising, Marketing strategies, Marketing Budgeting, Marketing Event, Marketing Plan</t>
        </is>
      </c>
      <c r="M8558" s="10" t="inlineStr">
        <is>
          <t>Bonus</t>
        </is>
      </c>
      <c r="N8558" s="11">
        <f>HYPERLINK("https://www.vietnamworks.com/hanoi-marketing-executive-2004891-jv","Xem chi tiết")</f>
        <v/>
      </c>
      <c r="O8558" s="10" t="n"/>
    </row>
    <row r="8559">
      <c r="B8559" s="7" t="n">
        <v>8557</v>
      </c>
      <c r="C8559" t="inlineStr">
        <is>
          <t>Product Marketing Specialist - SDA</t>
        </is>
      </c>
      <c r="D8559" t="inlineStr">
        <is>
          <t>Công Ty TNHH Cuckoovina</t>
        </is>
      </c>
      <c r="E8559" t="inlineStr">
        <is>
          <t>Thương lượng</t>
        </is>
      </c>
      <c r="F8559" t="inlineStr">
        <is>
          <t>Hồ Chí Minh, Hà Nội</t>
        </is>
      </c>
      <c r="G8559" t="inlineStr">
        <is>
          <t>Nhân viên</t>
        </is>
      </c>
      <c r="H8559" t="inlineStr">
        <is>
          <t>21/01/2026</t>
        </is>
      </c>
      <c r="I8559" t="inlineStr">
        <is>
          <t>08/04/2026</t>
        </is>
      </c>
      <c r="J8559" t="inlineStr">
        <is>
          <t>17/03/2026</t>
        </is>
      </c>
      <c r="K8559" t="inlineStr">
        <is>
          <t>N/A</t>
        </is>
      </c>
      <c r="L8559" t="inlineStr">
        <is>
          <t>Product Management, Market Analysis, Pricing Strategy, Forecasting, Product Marketing</t>
        </is>
      </c>
      <c r="M8559" t="inlineStr">
        <is>
          <t>Bonus, Healthcare Plan, Others</t>
        </is>
      </c>
      <c r="N8559" s="8">
        <f>HYPERLINK("https://www.vietnamworks.com/product-marketing-specialist-sda-2004900-jv","Xem chi tiết")</f>
        <v/>
      </c>
    </row>
    <row r="8560">
      <c r="B8560" s="9" t="n">
        <v>8558</v>
      </c>
      <c r="C8560" s="10" t="inlineStr">
        <is>
          <t>Kiến Trúc Sư Concept</t>
        </is>
      </c>
      <c r="D8560" s="10" t="inlineStr">
        <is>
          <t>JC VIETNAM JOINT STOCK COMPANY (JC)</t>
        </is>
      </c>
      <c r="E8560" s="10" t="inlineStr">
        <is>
          <t>$$ 600-1,000 /tháng</t>
        </is>
      </c>
      <c r="F8560" s="10" t="inlineStr">
        <is>
          <t>Hà Nội</t>
        </is>
      </c>
      <c r="G8560" s="10" t="inlineStr">
        <is>
          <t>Nhân viên</t>
        </is>
      </c>
      <c r="H8560" s="10" t="inlineStr">
        <is>
          <t>21/01/2026</t>
        </is>
      </c>
      <c r="I8560" s="10" t="inlineStr">
        <is>
          <t>08/04/2026</t>
        </is>
      </c>
      <c r="J8560" s="10" t="inlineStr">
        <is>
          <t>17/03/2026</t>
        </is>
      </c>
      <c r="K8560" s="10" t="inlineStr">
        <is>
          <t>N/A</t>
        </is>
      </c>
      <c r="L8560" s="10" t="inlineStr">
        <is>
          <t>Kiến Trúc Cảnh Quan, Kiến Trúc, Quy hoạch, Thiết Kế Cảnh Quan, Thiết Kế Kiến Trúc Nội Thất</t>
        </is>
      </c>
      <c r="M8560" s="10" t="inlineStr">
        <is>
          <t>Bonus, Healthcare Plan, Paid Leave</t>
        </is>
      </c>
      <c r="N8560" s="11">
        <f>HYPERLINK("https://www.vietnamworks.com/kien-truc-su-concept--2004791-jv","Xem chi tiết")</f>
        <v/>
      </c>
      <c r="O8560" s="10" t="n"/>
    </row>
    <row r="8561">
      <c r="B8561" s="7" t="n">
        <v>8559</v>
      </c>
      <c r="C8561" t="inlineStr">
        <is>
          <t>Chuyên Viên Tập Sự Xuất Nhập Khẩu</t>
        </is>
      </c>
      <c r="D8561" t="inlineStr">
        <is>
          <t>Công Ty TNHH TM Trung Minh Thành</t>
        </is>
      </c>
      <c r="E8561" t="inlineStr">
        <is>
          <t>Thương lượng</t>
        </is>
      </c>
      <c r="F8561" t="inlineStr">
        <is>
          <t>Hồ Chí Minh</t>
        </is>
      </c>
      <c r="G8561" t="inlineStr">
        <is>
          <t>Thực tập sinh/Sinh viên</t>
        </is>
      </c>
      <c r="H8561" t="inlineStr">
        <is>
          <t>21/01/2026</t>
        </is>
      </c>
      <c r="I8561" t="inlineStr">
        <is>
          <t>08/04/2026</t>
        </is>
      </c>
      <c r="J8561" t="inlineStr">
        <is>
          <t>17/03/2026</t>
        </is>
      </c>
      <c r="K8561" t="inlineStr">
        <is>
          <t>N/A</t>
        </is>
      </c>
      <c r="L8561" t="inlineStr">
        <is>
          <t>Xuất Nhập Khẩu, Logistics, Kinh Doanh, MS Office, Tiếng Anh</t>
        </is>
      </c>
      <c r="M8561" t="inlineStr">
        <is>
          <t>Bonus, Healthcare Plan, Paid Leave, Training, Team Activities, Others</t>
        </is>
      </c>
      <c r="N8561" s="8">
        <f>HYPERLINK("https://www.vietnamworks.com/chuyen-vien-tap-su-xuat-nhap-khau-2004911-jv","Xem chi tiết")</f>
        <v/>
      </c>
    </row>
    <row r="8562">
      <c r="B8562" s="9" t="n">
        <v>8560</v>
      </c>
      <c r="C8562" s="10" t="inlineStr">
        <is>
          <t>Technology Assistant</t>
        </is>
      </c>
      <c r="D8562" s="10" t="inlineStr">
        <is>
          <t>CMPartners</t>
        </is>
      </c>
      <c r="E8562" s="10" t="inlineStr">
        <is>
          <t>Thương lượng</t>
        </is>
      </c>
      <c r="F8562" s="10" t="inlineStr">
        <is>
          <t>Hồ Chí Minh</t>
        </is>
      </c>
      <c r="G8562" s="10" t="inlineStr">
        <is>
          <t>Nhân viên</t>
        </is>
      </c>
      <c r="H8562" s="10" t="inlineStr">
        <is>
          <t>21/01/2026</t>
        </is>
      </c>
      <c r="I8562" s="10" t="inlineStr">
        <is>
          <t>08/04/2026</t>
        </is>
      </c>
      <c r="J8562" s="10" t="inlineStr">
        <is>
          <t>17/03/2026</t>
        </is>
      </c>
      <c r="K8562" s="10" t="inlineStr">
        <is>
          <t>N/A</t>
        </is>
      </c>
      <c r="L8562" s="10" t="inlineStr">
        <is>
          <t>Zoho System, Analytical Skills, Data Management, MS Excel, Xplan</t>
        </is>
      </c>
      <c r="M8562" s="10" t="inlineStr">
        <is>
          <t>Bonus, Healthcare Plan, Paid Leave, Training, Travel Opportunities, Team Activities, Others</t>
        </is>
      </c>
      <c r="N8562" s="11">
        <f>HYPERLINK("https://www.vietnamworks.com/technology-assistant-2004996-jv","Xem chi tiết")</f>
        <v/>
      </c>
      <c r="O8562" s="10" t="n"/>
    </row>
    <row r="8563">
      <c r="B8563" s="7" t="n">
        <v>8561</v>
      </c>
      <c r="C8563" t="inlineStr">
        <is>
          <t>Kindergarten English Teacher - Giáo Viên Tiếng Anh Mầm Non</t>
        </is>
      </c>
      <c r="D8563" t="inlineStr">
        <is>
          <t>Busy Bees Vietnam</t>
        </is>
      </c>
      <c r="E8563" t="inlineStr">
        <is>
          <t>Thương lượng</t>
        </is>
      </c>
      <c r="F8563" t="inlineStr">
        <is>
          <t>Hồ Chí Minh</t>
        </is>
      </c>
      <c r="G8563" t="inlineStr">
        <is>
          <t>Nhân viên</t>
        </is>
      </c>
      <c r="H8563" t="inlineStr">
        <is>
          <t>21/01/2026</t>
        </is>
      </c>
      <c r="I8563" t="inlineStr">
        <is>
          <t>08/04/2026</t>
        </is>
      </c>
      <c r="J8563" t="inlineStr">
        <is>
          <t>17/03/2026</t>
        </is>
      </c>
      <c r="K8563" t="inlineStr">
        <is>
          <t>N/A</t>
        </is>
      </c>
      <c r="L8563" t="inlineStr">
        <is>
          <t>Classroom Management, English Teaching, Lesson Planning, Organizational skills, Professional Communication</t>
        </is>
      </c>
      <c r="M8563" t="inlineStr">
        <is>
          <t>Bonus, Healthcare Plan, Team Activities, Canteen, Others</t>
        </is>
      </c>
      <c r="N8563" s="8">
        <f>HYPERLINK("https://www.vietnamworks.com/kindergarten-english-teacher-giao-vien-tieng-anh-mam-non-2004905-jv","Xem chi tiết")</f>
        <v/>
      </c>
    </row>
    <row r="8564">
      <c r="B8564" s="9" t="n">
        <v>8562</v>
      </c>
      <c r="C8564" s="10" t="inlineStr">
        <is>
          <t>Customs Specialist</t>
        </is>
      </c>
      <c r="D8564" s="10" t="inlineStr">
        <is>
          <t>LVHA Manufacturing Company Limited</t>
        </is>
      </c>
      <c r="E8564" s="10" t="inlineStr">
        <is>
          <t>Thương lượng</t>
        </is>
      </c>
      <c r="F8564" s="10" t="inlineStr">
        <is>
          <t>Đồng Nai</t>
        </is>
      </c>
      <c r="G8564" s="10" t="inlineStr">
        <is>
          <t>Nhân viên</t>
        </is>
      </c>
      <c r="H8564" s="10" t="inlineStr">
        <is>
          <t>20/01/2026</t>
        </is>
      </c>
      <c r="I8564" s="10" t="inlineStr">
        <is>
          <t>08/04/2026</t>
        </is>
      </c>
      <c r="J8564" s="10" t="inlineStr">
        <is>
          <t>17/03/2026</t>
        </is>
      </c>
      <c r="K8564" s="10" t="inlineStr">
        <is>
          <t>N/A</t>
        </is>
      </c>
      <c r="L8564" s="10" t="inlineStr">
        <is>
          <t>Import-Export, Customs Declaration, Customs Broker, SAP-ERP, Logistics</t>
        </is>
      </c>
      <c r="M8564" s="10" t="inlineStr">
        <is>
          <t>Bonus, Healthcare Plan, Laptop</t>
        </is>
      </c>
      <c r="N8564" s="11">
        <f>HYPERLINK("https://www.vietnamworks.com/customs-specialist--2004621-jv","Xem chi tiết")</f>
        <v/>
      </c>
      <c r="O8564" s="10" t="n"/>
    </row>
    <row r="8565">
      <c r="B8565" s="7" t="n">
        <v>8563</v>
      </c>
      <c r="C8565" t="inlineStr">
        <is>
          <t>Business Planning Senior Staff (Washing Machine Product)</t>
        </is>
      </c>
      <c r="D8565" t="inlineStr">
        <is>
          <t>Panasonic Appliances Vietnam</t>
        </is>
      </c>
      <c r="E8565" t="inlineStr">
        <is>
          <t>Thương lượng</t>
        </is>
      </c>
      <c r="F8565" t="inlineStr">
        <is>
          <t>Hưng Yên</t>
        </is>
      </c>
      <c r="G8565" t="inlineStr">
        <is>
          <t>Nhân viên</t>
        </is>
      </c>
      <c r="H8565" t="inlineStr">
        <is>
          <t>21/01/2026</t>
        </is>
      </c>
      <c r="I8565" t="inlineStr">
        <is>
          <t>08/04/2026</t>
        </is>
      </c>
      <c r="J8565" t="inlineStr">
        <is>
          <t>17/03/2026</t>
        </is>
      </c>
      <c r="K8565" t="inlineStr">
        <is>
          <t>N/A</t>
        </is>
      </c>
      <c r="L8565" t="inlineStr">
        <is>
          <t>Japanese, English, Marketing, Analysis Report, Financial Reporting</t>
        </is>
      </c>
      <c r="M8565" t="inlineStr">
        <is>
          <t>Bonus, Healthcare Plan, Transportation</t>
        </is>
      </c>
      <c r="N8565" s="8">
        <f>HYPERLINK("https://www.vietnamworks.com/business-planning-senior-staff-washing-machine-product-2004910-jv","Xem chi tiết")</f>
        <v/>
      </c>
    </row>
    <row r="8566">
      <c r="B8566" s="9" t="n">
        <v>8564</v>
      </c>
      <c r="C8566" s="10" t="inlineStr">
        <is>
          <t>Kỹ Sư Cơ Khí</t>
        </is>
      </c>
      <c r="D8566" s="10" t="inlineStr">
        <is>
          <t>CÔNG TY TNHH ECOVANCE VIỆT NAM</t>
        </is>
      </c>
      <c r="E8566" s="10" t="inlineStr">
        <is>
          <t>Thương lượng</t>
        </is>
      </c>
      <c r="F8566" s="10" t="inlineStr">
        <is>
          <t>Hải Phòng</t>
        </is>
      </c>
      <c r="G8566" s="10" t="inlineStr">
        <is>
          <t>Nhân viên</t>
        </is>
      </c>
      <c r="H8566" s="10" t="inlineStr">
        <is>
          <t>21/01/2026</t>
        </is>
      </c>
      <c r="I8566" s="10" t="inlineStr">
        <is>
          <t>08/04/2026</t>
        </is>
      </c>
      <c r="J8566" s="10" t="inlineStr">
        <is>
          <t>17/03/2026</t>
        </is>
      </c>
      <c r="K8566" s="10" t="inlineStr">
        <is>
          <t>N/A</t>
        </is>
      </c>
      <c r="L8566" s="10" t="inlineStr">
        <is>
          <t>Bảo Trì, Giám Sát Lắp Máy, Khắc Phục Sự Cố Máy, Quản Lý Vật Tư, Tiếng Anh</t>
        </is>
      </c>
      <c r="M8566" s="10" t="inlineStr">
        <is>
          <t>Bonus, Healthcare Plan, Paid Leave, Awards, Transportation, Canteen</t>
        </is>
      </c>
      <c r="N8566" s="11">
        <f>HYPERLINK("https://www.vietnamworks.com/ky-su-co-khi-2005070-jv","Xem chi tiết")</f>
        <v/>
      </c>
      <c r="O8566" s="10" t="n"/>
    </row>
    <row r="8567">
      <c r="B8567" s="7" t="n">
        <v>8565</v>
      </c>
      <c r="C8567" t="inlineStr">
        <is>
          <t>Chuyên Viên Trade Marketing Planning</t>
        </is>
      </c>
      <c r="D8567" t="inlineStr">
        <is>
          <t>VIFON</t>
        </is>
      </c>
      <c r="E8567" t="inlineStr">
        <is>
          <t>$$ 700-1,000 /tháng</t>
        </is>
      </c>
      <c r="F8567" t="inlineStr">
        <is>
          <t>Hồ Chí Minh</t>
        </is>
      </c>
      <c r="G8567" t="inlineStr">
        <is>
          <t>Nhân viên</t>
        </is>
      </c>
      <c r="H8567" t="inlineStr">
        <is>
          <t>22/01/2026</t>
        </is>
      </c>
      <c r="I8567" t="inlineStr">
        <is>
          <t>08/04/2026</t>
        </is>
      </c>
      <c r="J8567" t="inlineStr">
        <is>
          <t>17/03/2026</t>
        </is>
      </c>
      <c r="K8567" t="inlineStr">
        <is>
          <t>N/A</t>
        </is>
      </c>
      <c r="L8567" t="inlineStr">
        <is>
          <t>Planning Marketing, Trade Marketing</t>
        </is>
      </c>
      <c r="M8567" t="inlineStr">
        <is>
          <t>Bonus, Healthcare Plan, Paid Leave</t>
        </is>
      </c>
      <c r="N8567" s="8">
        <f>HYPERLINK("https://www.vietnamworks.com/chuyen-vien-trade-marketing-planning--2005149-jv","Xem chi tiết")</f>
        <v/>
      </c>
    </row>
    <row r="8568">
      <c r="B8568" s="9" t="n">
        <v>8566</v>
      </c>
      <c r="C8568" s="10" t="inlineStr">
        <is>
          <t>Phó Phòng R&amp;D (Có Xe Đưa Đón Hà Nội - Vĩnh Phúc)</t>
        </is>
      </c>
      <c r="D8568" s="10" t="inlineStr">
        <is>
          <t>CÔNG TY TNHH THỰC PHẨM TỔNG HỢP KOWA (VIỆT NAM)</t>
        </is>
      </c>
      <c r="E8568" s="10" t="inlineStr">
        <is>
          <t>Thương lượng</t>
        </is>
      </c>
      <c r="F8568" s="10" t="inlineStr">
        <is>
          <t>Vĩnh Phúc, Hà Nội</t>
        </is>
      </c>
      <c r="G8568" s="10" t="inlineStr">
        <is>
          <t>Trưởng phòng</t>
        </is>
      </c>
      <c r="H8568" s="10" t="inlineStr">
        <is>
          <t>21/01/2026</t>
        </is>
      </c>
      <c r="I8568" s="10" t="inlineStr">
        <is>
          <t>08/04/2026</t>
        </is>
      </c>
      <c r="J8568" s="10" t="inlineStr">
        <is>
          <t>17/03/2026</t>
        </is>
      </c>
      <c r="K8568" s="10" t="inlineStr">
        <is>
          <t>N/A</t>
        </is>
      </c>
      <c r="L8568" s="10" t="inlineStr">
        <is>
          <t>Công Nghệ Thực Phẩm, Phát Triển Sản Phẩm, Cải Tiến Sản Phẩm, Đánh Giá Nhà Cung Cấp, Food Technology</t>
        </is>
      </c>
      <c r="M8568" s="10" t="inlineStr">
        <is>
          <t>Bonus, Healthcare Plan, Transportation</t>
        </is>
      </c>
      <c r="N8568" s="11">
        <f>HYPERLINK("https://www.vietnamworks.com/pho-phong-r-d-co-xe-dua-don-ha-noi-vinh-phuc-2004998-jv","Xem chi tiết")</f>
        <v/>
      </c>
      <c r="O8568" s="10" t="n"/>
    </row>
    <row r="8569">
      <c r="B8569" s="7" t="n">
        <v>8567</v>
      </c>
      <c r="C8569" t="inlineStr">
        <is>
          <t>Chuyên Viên Kinh Doanh Dự Án Sản Phẩm Fosroc/ GCP/ Weber</t>
        </is>
      </c>
      <c r="D8569" t="inlineStr">
        <is>
          <t>Công ty TNHH công nghiệp Vĩnh Tường miền bắc Việt Nam</t>
        </is>
      </c>
      <c r="E8569" t="inlineStr">
        <is>
          <t>Thương lượng</t>
        </is>
      </c>
      <c r="F8569" t="inlineStr">
        <is>
          <t>Hà Nội</t>
        </is>
      </c>
      <c r="G8569" t="inlineStr">
        <is>
          <t>Nhân viên</t>
        </is>
      </c>
      <c r="H8569" t="inlineStr">
        <is>
          <t>21/01/2026</t>
        </is>
      </c>
      <c r="I8569" t="inlineStr">
        <is>
          <t>08/04/2026</t>
        </is>
      </c>
      <c r="J8569" t="inlineStr">
        <is>
          <t>17/03/2026</t>
        </is>
      </c>
      <c r="K8569" t="inlineStr">
        <is>
          <t>N/A</t>
        </is>
      </c>
      <c r="L8569" t="inlineStr">
        <is>
          <t>Sales Engineering, Project sales, Construction Chemicals, Construction Material, Waterproofing</t>
        </is>
      </c>
      <c r="M8569" t="inlineStr">
        <is>
          <t>Bonus, Healthcare Plan, Training</t>
        </is>
      </c>
      <c r="N8569" s="8">
        <f>HYPERLINK("https://www.vietnamworks.com/chuyen-vien-kinh-doanh-du-an-san-pham-fosroc-gcp-weber-2005060-jv","Xem chi tiết")</f>
        <v/>
      </c>
    </row>
    <row r="8570">
      <c r="B8570" s="9" t="n">
        <v>8568</v>
      </c>
      <c r="C8570" s="10" t="inlineStr">
        <is>
          <t>Trưởng Ban Kinh Tế Kế Hoạch Đấu Thầu</t>
        </is>
      </c>
      <c r="D8570" s="10" t="inlineStr">
        <is>
          <t>Alphanam Group</t>
        </is>
      </c>
      <c r="E8570" s="10" t="inlineStr">
        <is>
          <t>Thương lượng</t>
        </is>
      </c>
      <c r="F8570" s="10" t="inlineStr">
        <is>
          <t>Hà Nội</t>
        </is>
      </c>
      <c r="G8570" s="10" t="inlineStr">
        <is>
          <t>Trưởng phòng</t>
        </is>
      </c>
      <c r="H8570" s="10" t="inlineStr">
        <is>
          <t>22/01/2026</t>
        </is>
      </c>
      <c r="I8570" s="10" t="inlineStr">
        <is>
          <t>08/04/2026</t>
        </is>
      </c>
      <c r="J8570" s="10" t="inlineStr">
        <is>
          <t>17/03/2026</t>
        </is>
      </c>
      <c r="K8570" s="10" t="inlineStr">
        <is>
          <t>N/A</t>
        </is>
      </c>
      <c r="L8570" s="10" t="inlineStr">
        <is>
          <t>Đấu Thầu, Kinh Tế Xây Dựng, Pháp Lý Dự Án</t>
        </is>
      </c>
      <c r="M8570" s="10" t="inlineStr">
        <is>
          <t>Bonus, Training, Travel Opportunities</t>
        </is>
      </c>
      <c r="N8570" s="11">
        <f>HYPERLINK("https://www.vietnamworks.com/truong-ban-kinh-te-ke-hoach-dau-thau-2005124-jv","Xem chi tiết")</f>
        <v/>
      </c>
      <c r="O8570" s="10" t="n"/>
    </row>
    <row r="8571">
      <c r="B8571" s="7" t="n">
        <v>8569</v>
      </c>
      <c r="C8571" t="inlineStr">
        <is>
          <t>Consumer Relation Executive - Activation, Event, Sampling</t>
        </is>
      </c>
      <c r="D8571" t="inlineStr">
        <is>
          <t>Otsuka Nutraceutical Vietnam Co.,ltd.</t>
        </is>
      </c>
      <c r="E8571" t="inlineStr">
        <is>
          <t>$$ 500-550 /tháng</t>
        </is>
      </c>
      <c r="F8571" t="inlineStr">
        <is>
          <t>Hà Nội</t>
        </is>
      </c>
      <c r="G8571" t="inlineStr">
        <is>
          <t>Nhân viên</t>
        </is>
      </c>
      <c r="H8571" t="inlineStr">
        <is>
          <t>22/01/2026</t>
        </is>
      </c>
      <c r="I8571" t="inlineStr">
        <is>
          <t>08/04/2026</t>
        </is>
      </c>
      <c r="J8571" t="inlineStr">
        <is>
          <t>17/03/2026</t>
        </is>
      </c>
      <c r="K8571" t="inlineStr">
        <is>
          <t>N/A</t>
        </is>
      </c>
      <c r="L8571" t="inlineStr">
        <is>
          <t>Brand Activation, Sampling Plan, Quản Lý Sự Kiện, PG Training</t>
        </is>
      </c>
      <c r="M8571" t="inlineStr">
        <is>
          <t>Bonus, Healthcare Plan, Laptop</t>
        </is>
      </c>
      <c r="N8571" s="8">
        <f>HYPERLINK("https://www.vietnamworks.com/consumer-relation-executive-activation-event-sampling--2005126-jv","Xem chi tiết")</f>
        <v/>
      </c>
    </row>
    <row r="8572">
      <c r="B8572" s="9" t="n">
        <v>8570</v>
      </c>
      <c r="C8572" s="10" t="inlineStr">
        <is>
          <t>Chuyên Viên Xuất Nhập Khẩu (Lĩnh Vực Mỹ Phẩm và Thực Phẩm Chức Năng)</t>
        </is>
      </c>
      <c r="D8572" s="10" t="inlineStr">
        <is>
          <t>CÔNG TY TNHH PJSB</t>
        </is>
      </c>
      <c r="E8572" s="10" t="inlineStr">
        <is>
          <t>Thương lượng</t>
        </is>
      </c>
      <c r="F8572" s="10" t="inlineStr">
        <is>
          <t>Hà Nội</t>
        </is>
      </c>
      <c r="G8572" s="10" t="inlineStr">
        <is>
          <t>Nhân viên</t>
        </is>
      </c>
      <c r="H8572" s="10" t="inlineStr">
        <is>
          <t>22/01/2026</t>
        </is>
      </c>
      <c r="I8572" s="10" t="inlineStr">
        <is>
          <t>08/04/2026</t>
        </is>
      </c>
      <c r="J8572" s="10" t="inlineStr">
        <is>
          <t>17/03/2026</t>
        </is>
      </c>
      <c r="K8572" s="10" t="inlineStr">
        <is>
          <t>N/A</t>
        </is>
      </c>
      <c r="L8572" s="10" t="inlineStr">
        <is>
          <t>Xuất Nhập Khẩu, Quản Lý Hồ Sơ, Kiểm Tra Chứng Từ, Kế Toán Xuất Nhập Khẩu, Thanh Toán Quốc Tế</t>
        </is>
      </c>
      <c r="M8572" s="10" t="inlineStr">
        <is>
          <t>Bonus, Healthcare Plan, Others</t>
        </is>
      </c>
      <c r="N8572" s="11">
        <f>HYPERLINK("https://www.vietnamworks.com/chuyen-vien-xuat-nhap-khau-linh-vuc-my-pham-va-thuc-pham-chuc-nang-2005160-jv","Xem chi tiết")</f>
        <v/>
      </c>
      <c r="O8572" s="10" t="n"/>
    </row>
    <row r="8573">
      <c r="B8573" s="7" t="n">
        <v>8571</v>
      </c>
      <c r="C8573" t="inlineStr">
        <is>
          <t>Sales Engineer - Kết Cấu Thép (Nhận SV Mới Ra Trường, Làm Việc Sau Tết)</t>
        </is>
      </c>
      <c r="D8573" t="inlineStr">
        <is>
          <t>Công Ty Cổ Phần Kết Cấu Thép Remark</t>
        </is>
      </c>
      <c r="E8573" t="inlineStr">
        <is>
          <t>14tr-20tr ₫/tháng</t>
        </is>
      </c>
      <c r="F8573" t="inlineStr">
        <is>
          <t>Hồ Chí Minh</t>
        </is>
      </c>
      <c r="G8573" t="inlineStr">
        <is>
          <t>Mới Tốt Nghiệp</t>
        </is>
      </c>
      <c r="H8573" t="inlineStr">
        <is>
          <t>22/01/2026</t>
        </is>
      </c>
      <c r="I8573" t="inlineStr">
        <is>
          <t>08/04/2026</t>
        </is>
      </c>
      <c r="J8573" t="inlineStr">
        <is>
          <t>17/03/2026</t>
        </is>
      </c>
      <c r="K8573" t="inlineStr">
        <is>
          <t>N/A</t>
        </is>
      </c>
      <c r="L8573" t="inlineStr">
        <is>
          <t>Civil Construction, Kết Cấu Công Trình, Thiết Kế Kết Cấu Thép, Bóc Tách Khối Lượng, Steel Structure</t>
        </is>
      </c>
      <c r="M8573" t="inlineStr">
        <is>
          <t>Bonus, Healthcare Plan, Training, Travel Opportunities, Team Activities, Others</t>
        </is>
      </c>
      <c r="N8573" s="8">
        <f>HYPERLINK("https://www.vietnamworks.com/sales-engineer-ket-cau-thep-nhan-sv-moi-ra-truong-lam-viec-sau-tet-2005145-jv","Xem chi tiết")</f>
        <v/>
      </c>
    </row>
    <row r="8574">
      <c r="B8574" s="9" t="n">
        <v>8572</v>
      </c>
      <c r="C8574" s="10" t="inlineStr">
        <is>
          <t>Trưởng Phòng Nhân Sự (HR Manager)</t>
        </is>
      </c>
      <c r="D8574" s="10" t="inlineStr">
        <is>
          <t>CÔNG TY TNHH PJSB</t>
        </is>
      </c>
      <c r="E8574" s="10" t="inlineStr">
        <is>
          <t>Thương lượng</t>
        </is>
      </c>
      <c r="F8574" s="10" t="inlineStr">
        <is>
          <t>Hà Nội</t>
        </is>
      </c>
      <c r="G8574" s="10" t="inlineStr">
        <is>
          <t>Nhân viên</t>
        </is>
      </c>
      <c r="H8574" s="10" t="inlineStr">
        <is>
          <t>21/01/2026</t>
        </is>
      </c>
      <c r="I8574" s="10" t="inlineStr">
        <is>
          <t>08/04/2026</t>
        </is>
      </c>
      <c r="J8574" s="10" t="inlineStr">
        <is>
          <t>17/03/2026</t>
        </is>
      </c>
      <c r="K8574" s="10" t="inlineStr">
        <is>
          <t>N/A</t>
        </is>
      </c>
      <c r="L8574" s="10" t="inlineStr">
        <is>
          <t>Quản Lý Nhân Sự, Tuyển Dụng, Hành Chính Nhân Sự, Luật Lao Động, Quản Trị Nguồn Nhân Lực</t>
        </is>
      </c>
      <c r="M8574" s="10" t="inlineStr">
        <is>
          <t>Bonus, Healthcare Plan</t>
        </is>
      </c>
      <c r="N8574" s="11">
        <f>HYPERLINK("https://www.vietnamworks.com/truong-phong-nhan-su-hr-manager-2005072-jv","Xem chi tiết")</f>
        <v/>
      </c>
      <c r="O8574" s="10" t="n"/>
    </row>
    <row r="8575">
      <c r="B8575" s="7" t="n">
        <v>8573</v>
      </c>
      <c r="C8575" t="inlineStr">
        <is>
          <t>Trưởng Phòng Marketing (Làm Việc Tại Hồ Chí Minh)</t>
        </is>
      </c>
      <c r="D8575" t="inlineStr">
        <is>
          <t>Công Ty Cổ Phần BB Group</t>
        </is>
      </c>
      <c r="E8575" t="inlineStr">
        <is>
          <t>Thương lượng</t>
        </is>
      </c>
      <c r="F8575" t="inlineStr">
        <is>
          <t>Hồ Chí Minh</t>
        </is>
      </c>
      <c r="G8575" t="inlineStr">
        <is>
          <t>Trưởng phòng</t>
        </is>
      </c>
      <c r="H8575" t="inlineStr">
        <is>
          <t>22/01/2026</t>
        </is>
      </c>
      <c r="I8575" t="inlineStr">
        <is>
          <t>08/04/2026</t>
        </is>
      </c>
      <c r="J8575" t="inlineStr">
        <is>
          <t>17/03/2026</t>
        </is>
      </c>
      <c r="K8575" t="inlineStr">
        <is>
          <t>N/A</t>
        </is>
      </c>
      <c r="L8575" t="inlineStr">
        <is>
          <t>Tư Vấn Chiến Lược Marketing, Quản Lý Nhóm, Digital Marketing, Giao Tiếp Đàm Phán, Sáng Tạo</t>
        </is>
      </c>
      <c r="M8575" t="inlineStr">
        <is>
          <t>Bonus, Healthcare Plan, Others</t>
        </is>
      </c>
      <c r="N8575" s="8">
        <f>HYPERLINK("https://www.vietnamworks.com/truong-phong-marketing-lam-viec-tai-ho-chi-minh-2005154-jv","Xem chi tiết")</f>
        <v/>
      </c>
    </row>
    <row r="8576">
      <c r="B8576" s="9" t="n">
        <v>8574</v>
      </c>
      <c r="C8576" s="10" t="inlineStr">
        <is>
          <t>Trade Marketing (Quản Lý Chuỗi Điểm Bán) - Lương 20Tr Trở Lên</t>
        </is>
      </c>
      <c r="D8576" s="10" t="inlineStr">
        <is>
          <t>CÔNG TY TNHH JOMOO KITCHEN &amp; BATH VIỆT NAM</t>
        </is>
      </c>
      <c r="E8576" s="10" t="inlineStr">
        <is>
          <t>Từ 20tr ₫/tháng</t>
        </is>
      </c>
      <c r="F8576" s="10" t="inlineStr">
        <is>
          <t>Nghệ An, Hà Nội, Hồ Chí Minh</t>
        </is>
      </c>
      <c r="G8576" s="10" t="inlineStr">
        <is>
          <t>Nhân viên</t>
        </is>
      </c>
      <c r="H8576" s="10" t="inlineStr">
        <is>
          <t>22/01/2026</t>
        </is>
      </c>
      <c r="I8576" s="10" t="inlineStr">
        <is>
          <t>08/04/2026</t>
        </is>
      </c>
      <c r="J8576" s="10" t="inlineStr">
        <is>
          <t>17/03/2026</t>
        </is>
      </c>
      <c r="K8576" s="10" t="inlineStr">
        <is>
          <t>N/A</t>
        </is>
      </c>
      <c r="L8576" s="10" t="inlineStr">
        <is>
          <t>Nghiên Cứu Thị Trường, Marketing Campaigns, Trade Marketing, Marketing, Nghiên Cứu Khách Hàng</t>
        </is>
      </c>
      <c r="M8576" s="10" t="inlineStr">
        <is>
          <t>Bonus, Healthcare Plan, Paid Leave</t>
        </is>
      </c>
      <c r="N8576" s="11">
        <f>HYPERLINK("https://www.vietnamworks.com/trade-marketing-quan-ly-chuoi-diem-ban-luong-20tr-tro-len--2005178-jv","Xem chi tiết")</f>
        <v/>
      </c>
      <c r="O8576" s="10" t="n"/>
    </row>
    <row r="8577">
      <c r="B8577" s="7" t="n">
        <v>8575</v>
      </c>
      <c r="C8577" t="inlineStr">
        <is>
          <t>Nhân Viên Kế Toán Kho Thu Nhập 17 Triệu-25 Triệu/tháng</t>
        </is>
      </c>
      <c r="D8577" t="inlineStr">
        <is>
          <t>Công ty Cổ Phần Công Nghệ Phú Thành</t>
        </is>
      </c>
      <c r="E8577" t="inlineStr">
        <is>
          <t>17tr-25tr ₫/tháng</t>
        </is>
      </c>
      <c r="F8577" t="inlineStr">
        <is>
          <t>Hà Nội, Hưng Yên</t>
        </is>
      </c>
      <c r="G8577" t="inlineStr">
        <is>
          <t>Nhân viên</t>
        </is>
      </c>
      <c r="H8577" t="inlineStr">
        <is>
          <t>22/01/2026</t>
        </is>
      </c>
      <c r="I8577" t="inlineStr">
        <is>
          <t>08/04/2026</t>
        </is>
      </c>
      <c r="J8577" t="inlineStr">
        <is>
          <t>17/03/2026</t>
        </is>
      </c>
      <c r="K8577" t="inlineStr">
        <is>
          <t>N/A</t>
        </is>
      </c>
      <c r="L8577" t="inlineStr">
        <is>
          <t>Quản Lý Kho, Nhập Liệu, Kế Toán Kho, Kiểm Kê Hàng Hóa, Quản Lý Hàng Hoá</t>
        </is>
      </c>
      <c r="M8577" t="inlineStr">
        <is>
          <t>Bonus, Healthcare Plan, Paid Leave, Training, Team Activities, Others</t>
        </is>
      </c>
      <c r="N8577" s="8">
        <f>HYPERLINK("https://www.vietnamworks.com/nhan-vien-ke-toan-kho-thu-nhap-17-trieu-25-trieuthang-2005251-jv","Xem chi tiết")</f>
        <v/>
      </c>
    </row>
    <row r="8578">
      <c r="B8578" s="9" t="n">
        <v>8576</v>
      </c>
      <c r="C8578" s="10" t="inlineStr">
        <is>
          <t>Manager, Event Management</t>
        </is>
      </c>
      <c r="D8578" s="10" t="inlineStr">
        <is>
          <t>British University Vietnam (Buv)</t>
        </is>
      </c>
      <c r="E8578" s="10" t="inlineStr">
        <is>
          <t>Từ 50tr ₫/tháng</t>
        </is>
      </c>
      <c r="F8578" s="10" t="inlineStr">
        <is>
          <t>Hà Nội</t>
        </is>
      </c>
      <c r="G8578" s="10" t="inlineStr">
        <is>
          <t>Trưởng phòng</t>
        </is>
      </c>
      <c r="H8578" s="10" t="inlineStr">
        <is>
          <t>22/01/2026</t>
        </is>
      </c>
      <c r="I8578" s="10" t="inlineStr">
        <is>
          <t>08/04/2026</t>
        </is>
      </c>
      <c r="J8578" s="10" t="inlineStr">
        <is>
          <t>17/03/2026</t>
        </is>
      </c>
      <c r="K8578" s="10" t="inlineStr">
        <is>
          <t>N/A</t>
        </is>
      </c>
      <c r="L8578" s="10" t="inlineStr">
        <is>
          <t>Budget Management, Data Analysis, Event Management, Leadership, Stakeholder Management</t>
        </is>
      </c>
      <c r="M8578" s="10" t="inlineStr">
        <is>
          <t>Bonus, Healthcare Plan, Paid Leave, Awards, Team Activities, Transportation, Others</t>
        </is>
      </c>
      <c r="N8578" s="11">
        <f>HYPERLINK("https://www.vietnamworks.com/manager-event-management-2005198-jv","Xem chi tiết")</f>
        <v/>
      </c>
      <c r="O8578" s="10" t="n"/>
    </row>
    <row r="8579">
      <c r="B8579" s="7" t="n">
        <v>8577</v>
      </c>
      <c r="C8579" t="inlineStr">
        <is>
          <t>Phó Giám Đốc Chương Trình Tiếng Anh</t>
        </is>
      </c>
      <c r="D8579" t="inlineStr">
        <is>
          <t>Hệ thống Giáo Dục Edufit</t>
        </is>
      </c>
      <c r="E8579" t="inlineStr">
        <is>
          <t>Thương lượng</t>
        </is>
      </c>
      <c r="F8579" t="inlineStr">
        <is>
          <t>Hà Nội</t>
        </is>
      </c>
      <c r="G8579" t="inlineStr">
        <is>
          <t>Giám Đốc và Cấp Cao Hơn</t>
        </is>
      </c>
      <c r="H8579" t="inlineStr">
        <is>
          <t>22/01/2026</t>
        </is>
      </c>
      <c r="I8579" t="inlineStr">
        <is>
          <t>08/04/2026</t>
        </is>
      </c>
      <c r="J8579" t="inlineStr">
        <is>
          <t>17/03/2026</t>
        </is>
      </c>
      <c r="K8579" t="inlineStr">
        <is>
          <t>N/A</t>
        </is>
      </c>
      <c r="L8579" t="inlineStr">
        <is>
          <t>Tiếng Anh thành thạo, Xây Dựng Chương Trình Đào Tạo</t>
        </is>
      </c>
      <c r="M8579" t="inlineStr">
        <is>
          <t>Bonus, Paid Leave, Kindergarten</t>
        </is>
      </c>
      <c r="N8579" s="8">
        <f>HYPERLINK("https://www.vietnamworks.com/pho-giam-doc-chuong-trinh-tieng-anh--2005230-jv","Xem chi tiết")</f>
        <v/>
      </c>
    </row>
    <row r="8580">
      <c r="B8580" s="9" t="n">
        <v>8578</v>
      </c>
      <c r="C8580" s="10" t="inlineStr">
        <is>
          <t>Sea Freight Documentation</t>
        </is>
      </c>
      <c r="D8580" s="10" t="inlineStr">
        <is>
          <t>ITL FREIGHT MANAGEMENT</t>
        </is>
      </c>
      <c r="E8580" s="10" t="inlineStr">
        <is>
          <t>Thương lượng</t>
        </is>
      </c>
      <c r="F8580" s="10" t="inlineStr">
        <is>
          <t>Hồ Chí Minh, Hà Nội</t>
        </is>
      </c>
      <c r="G8580" s="10" t="inlineStr">
        <is>
          <t>Nhân viên</t>
        </is>
      </c>
      <c r="H8580" s="10" t="inlineStr">
        <is>
          <t>22/01/2026</t>
        </is>
      </c>
      <c r="I8580" s="10" t="inlineStr">
        <is>
          <t>08/04/2026</t>
        </is>
      </c>
      <c r="J8580" s="10" t="inlineStr">
        <is>
          <t>17/03/2026</t>
        </is>
      </c>
      <c r="K8580" s="10" t="inlineStr">
        <is>
          <t>N/A</t>
        </is>
      </c>
      <c r="L8580" s="10" t="inlineStr">
        <is>
          <t>Bill Of Lading, English/Vietnamese Communication, Export Management, Sea Export, Solution Oriented</t>
        </is>
      </c>
      <c r="M8580" s="10" t="inlineStr">
        <is>
          <t>Bonus, Healthcare Plan, Paid Leave, Training, Team Activities, Others</t>
        </is>
      </c>
      <c r="N8580" s="11">
        <f>HYPERLINK("https://www.vietnamworks.com/sea-freight-documentation-2005421-jv","Xem chi tiết")</f>
        <v/>
      </c>
      <c r="O8580" s="10" t="n"/>
    </row>
    <row r="8581">
      <c r="B8581" s="7" t="n">
        <v>8579</v>
      </c>
      <c r="C8581" t="inlineStr">
        <is>
          <t>Junior Animator / Motion Designer</t>
        </is>
      </c>
      <c r="D8581" t="inlineStr">
        <is>
          <t>SNOW VIỆT NAM</t>
        </is>
      </c>
      <c r="E8581" t="inlineStr">
        <is>
          <t>Thương lượng</t>
        </is>
      </c>
      <c r="F8581" t="inlineStr">
        <is>
          <t>Hồ Chí Minh</t>
        </is>
      </c>
      <c r="G8581" t="inlineStr">
        <is>
          <t>Mới Tốt Nghiệp</t>
        </is>
      </c>
      <c r="H8581" t="inlineStr">
        <is>
          <t>22/01/2026</t>
        </is>
      </c>
      <c r="I8581" t="inlineStr">
        <is>
          <t>08/04/2026</t>
        </is>
      </c>
      <c r="J8581" t="inlineStr">
        <is>
          <t>17/03/2026</t>
        </is>
      </c>
      <c r="K8581" t="inlineStr">
        <is>
          <t>N/A</t>
        </is>
      </c>
      <c r="L8581" t="inlineStr">
        <is>
          <t>2D Animation, Motion Graphic Design, Adobe Photoshop, Adobe After Effects, 3D Animation</t>
        </is>
      </c>
      <c r="M8581" t="inlineStr">
        <is>
          <t>Bonus, Healthcare Plan, Paid Leave, Laptop, Team Activities, Others</t>
        </is>
      </c>
      <c r="N8581" s="8">
        <f>HYPERLINK("https://www.vietnamworks.com/junior-animator-motion-designer-2005418-jv","Xem chi tiết")</f>
        <v/>
      </c>
    </row>
    <row r="8582">
      <c r="B8582" s="9" t="n">
        <v>8580</v>
      </c>
      <c r="C8582" s="10" t="inlineStr">
        <is>
          <t>Medical Sales Representative</t>
        </is>
      </c>
      <c r="D8582" s="10" t="inlineStr">
        <is>
          <t>Công Ty Trách Nhiệm Hữu Hạn Thiết Bị Y Tế Innomed</t>
        </is>
      </c>
      <c r="E8582" s="10" t="inlineStr">
        <is>
          <t>Thương lượng</t>
        </is>
      </c>
      <c r="F8582" s="10" t="inlineStr">
        <is>
          <t>Hồ Chí Minh</t>
        </is>
      </c>
      <c r="G8582" s="10" t="inlineStr">
        <is>
          <t>Nhân viên</t>
        </is>
      </c>
      <c r="H8582" s="10" t="inlineStr">
        <is>
          <t>22/01/2026</t>
        </is>
      </c>
      <c r="I8582" s="10" t="inlineStr">
        <is>
          <t>08/04/2026</t>
        </is>
      </c>
      <c r="J8582" s="10" t="inlineStr">
        <is>
          <t>17/03/2026</t>
        </is>
      </c>
      <c r="K8582" s="10" t="inlineStr">
        <is>
          <t>N/A</t>
        </is>
      </c>
      <c r="L8582" s="10" t="inlineStr">
        <is>
          <t>Sales experience, Medical Education, Communication Skills, Presentation Skills, Customer Centric</t>
        </is>
      </c>
      <c r="M8582" s="10" t="inlineStr">
        <is>
          <t>Bonus, Healthcare Plan, Training, Team Activities, Others</t>
        </is>
      </c>
      <c r="N8582" s="11">
        <f>HYPERLINK("https://www.vietnamworks.com/medical-sales-representative-2005431-jv","Xem chi tiết")</f>
        <v/>
      </c>
      <c r="O8582" s="10" t="n"/>
    </row>
    <row r="8583">
      <c r="B8583" s="7" t="n">
        <v>8581</v>
      </c>
      <c r="C8583" t="inlineStr">
        <is>
          <t>Tín Dụng Cá Nhân - Individual Loan Management</t>
        </is>
      </c>
      <c r="D8583" t="inlineStr">
        <is>
          <t>Ngân Hàng TNHH MTV Woori Việt Nam</t>
        </is>
      </c>
      <c r="E8583" t="inlineStr">
        <is>
          <t>$$ 500-1,500 /tháng</t>
        </is>
      </c>
      <c r="F8583" t="inlineStr">
        <is>
          <t>Đà Nẵng</t>
        </is>
      </c>
      <c r="G8583" t="inlineStr">
        <is>
          <t>Nhân viên</t>
        </is>
      </c>
      <c r="H8583" t="inlineStr">
        <is>
          <t>22/01/2026</t>
        </is>
      </c>
      <c r="I8583" t="inlineStr">
        <is>
          <t>08/04/2026</t>
        </is>
      </c>
      <c r="J8583" t="inlineStr">
        <is>
          <t>17/03/2026</t>
        </is>
      </c>
      <c r="K8583" t="inlineStr">
        <is>
          <t>N/A</t>
        </is>
      </c>
      <c r="L8583" t="inlineStr">
        <is>
          <t>Quản Lý Hồ Sơ, Tài Chính, Tài Chính Ngân Hàng, Tín Dụng Cá Nhân, Tín Dụng Ngân Hàng</t>
        </is>
      </c>
      <c r="M8583" t="inlineStr">
        <is>
          <t>Bonus, Healthcare Plan, Paid Leave, Training, Travel Opportunities</t>
        </is>
      </c>
      <c r="N8583" s="8">
        <f>HYPERLINK("https://www.vietnamworks.com/tin-dung-ca-nhan-individual-loan-management-2005361-jv","Xem chi tiết")</f>
        <v/>
      </c>
    </row>
    <row r="8584">
      <c r="B8584" s="9" t="n">
        <v>8582</v>
      </c>
      <c r="C8584" s="10" t="inlineStr">
        <is>
          <t>Sea Freight Customer Service Executive</t>
        </is>
      </c>
      <c r="D8584" s="10" t="inlineStr">
        <is>
          <t>ITL FREIGHT MANAGEMENT</t>
        </is>
      </c>
      <c r="E8584" s="10" t="inlineStr">
        <is>
          <t>Thương lượng</t>
        </is>
      </c>
      <c r="F8584" s="10" t="inlineStr">
        <is>
          <t>Hồ Chí Minh, Hà Nội</t>
        </is>
      </c>
      <c r="G8584" s="10" t="inlineStr">
        <is>
          <t>Nhân viên</t>
        </is>
      </c>
      <c r="H8584" s="10" t="inlineStr">
        <is>
          <t>22/01/2026</t>
        </is>
      </c>
      <c r="I8584" s="10" t="inlineStr">
        <is>
          <t>08/04/2026</t>
        </is>
      </c>
      <c r="J8584" s="10" t="inlineStr">
        <is>
          <t>17/03/2026</t>
        </is>
      </c>
      <c r="K8584" s="10" t="inlineStr">
        <is>
          <t>N/A</t>
        </is>
      </c>
      <c r="L8584" s="10" t="inlineStr">
        <is>
          <t>Communication, Detail Oriented Mindset, Freight Forwarding, Problem-solving, Sea Export</t>
        </is>
      </c>
      <c r="M8584" s="10" t="inlineStr">
        <is>
          <t>Bonus, Healthcare Plan, Paid Leave, Training, Travel Opportunities, Team Activities, Others</t>
        </is>
      </c>
      <c r="N8584" s="11">
        <f>HYPERLINK("https://www.vietnamworks.com/sea-freight-customer-service-executive-2005416-jv","Xem chi tiết")</f>
        <v/>
      </c>
      <c r="O8584" s="10" t="n"/>
    </row>
    <row r="8585">
      <c r="B8585" s="7" t="n">
        <v>8583</v>
      </c>
      <c r="C8585" t="inlineStr">
        <is>
          <t>Nhân Viên Tổ Chức Sự Kiện/ Event Marketing</t>
        </is>
      </c>
      <c r="D8585" t="inlineStr">
        <is>
          <t>Công Ty TNHH Vật Tư Và Trang Thiết Bị Y Tế HAT-MED Việt Nam</t>
        </is>
      </c>
      <c r="E8585" t="inlineStr">
        <is>
          <t>Tới 10tr ₫/tháng</t>
        </is>
      </c>
      <c r="F8585" t="inlineStr">
        <is>
          <t>Hà Nội</t>
        </is>
      </c>
      <c r="G8585" t="inlineStr">
        <is>
          <t>Nhân viên</t>
        </is>
      </c>
      <c r="H8585" t="inlineStr">
        <is>
          <t>22/01/2026</t>
        </is>
      </c>
      <c r="I8585" t="inlineStr">
        <is>
          <t>08/04/2026</t>
        </is>
      </c>
      <c r="J8585" t="inlineStr">
        <is>
          <t>17/03/2026</t>
        </is>
      </c>
      <c r="K8585" t="inlineStr">
        <is>
          <t>N/A</t>
        </is>
      </c>
      <c r="L8585" t="inlineStr">
        <is>
          <t>Marketing, Event, Traning, Nghiên Cứu Sản Phẩm, Xây dựng mối quan hệ khách hàng</t>
        </is>
      </c>
      <c r="M8585" t="inlineStr">
        <is>
          <t>Bonus, Healthcare Plan, Paid Leave, Team Activities, Others</t>
        </is>
      </c>
      <c r="N8585" s="8">
        <f>HYPERLINK("https://www.vietnamworks.com/nhan-vien-to-chuc-su-kien-event-marketing-2005267-jv","Xem chi tiết")</f>
        <v/>
      </c>
    </row>
    <row r="8586">
      <c r="B8586" s="9" t="n">
        <v>8584</v>
      </c>
      <c r="C8586" s="10" t="inlineStr">
        <is>
          <t>Nhân Viên Xuất Nhập Khẩu</t>
        </is>
      </c>
      <c r="D8586" s="10" t="inlineStr">
        <is>
          <t>GOSONIC SUPPLY CHAIN VIET NAM</t>
        </is>
      </c>
      <c r="E8586" s="10" t="inlineStr">
        <is>
          <t>20tr-25tr ₫/tháng</t>
        </is>
      </c>
      <c r="F8586" s="10" t="inlineStr">
        <is>
          <t>Hồ Chí Minh</t>
        </is>
      </c>
      <c r="G8586" s="10" t="inlineStr">
        <is>
          <t>Nhân viên</t>
        </is>
      </c>
      <c r="H8586" s="10" t="inlineStr">
        <is>
          <t>22/01/2026</t>
        </is>
      </c>
      <c r="I8586" s="10" t="inlineStr">
        <is>
          <t>08/04/2026</t>
        </is>
      </c>
      <c r="J8586" s="10" t="inlineStr">
        <is>
          <t>17/03/2026</t>
        </is>
      </c>
      <c r="K8586" s="10" t="inlineStr">
        <is>
          <t>N/A</t>
        </is>
      </c>
      <c r="L8586" s="10" t="inlineStr">
        <is>
          <t>Logistics, Import-Export, Communication, Problem-solving, Transport Coordination</t>
        </is>
      </c>
      <c r="M8586" s="10" t="inlineStr">
        <is>
          <t>Paid Leave, Laptop, Travel Opportunities</t>
        </is>
      </c>
      <c r="N8586" s="11">
        <f>HYPERLINK("https://www.vietnamworks.com/nhan-vien-xuat-nhap-khau--2005436-jv","Xem chi tiết")</f>
        <v/>
      </c>
      <c r="O8586" s="10" t="n"/>
    </row>
    <row r="8587">
      <c r="B8587" s="7" t="n">
        <v>8585</v>
      </c>
      <c r="C8587" t="inlineStr">
        <is>
          <t>Giao Dịch Viên Tiếng Hàn Khu Vực Miền Nam (Thu Nhập Up to 20 Triệu)</t>
        </is>
      </c>
      <c r="D8587" t="inlineStr">
        <is>
          <t>Ngân Hàng TNHH MTV Woori Việt Nam</t>
        </is>
      </c>
      <c r="E8587" t="inlineStr">
        <is>
          <t>$$ 500-1,100 /tháng</t>
        </is>
      </c>
      <c r="F8587" t="inlineStr">
        <is>
          <t>Hồ Chí Minh, Đồng Nai</t>
        </is>
      </c>
      <c r="G8587" t="inlineStr">
        <is>
          <t>Nhân viên</t>
        </is>
      </c>
      <c r="H8587" t="inlineStr">
        <is>
          <t>22/01/2026</t>
        </is>
      </c>
      <c r="I8587" t="inlineStr">
        <is>
          <t>08/04/2026</t>
        </is>
      </c>
      <c r="J8587" t="inlineStr">
        <is>
          <t>17/03/2026</t>
        </is>
      </c>
      <c r="K8587" t="inlineStr">
        <is>
          <t>N/A</t>
        </is>
      </c>
      <c r="L8587" t="inlineStr">
        <is>
          <t>Giao Dịch Ngân Hàng, Tài Chính, Quan Hệ Khách Hàng, Tài Chính Ngân Hàng, Dịch Vụ Ngân Hàng</t>
        </is>
      </c>
      <c r="M8587" t="inlineStr">
        <is>
          <t>Bonus, Healthcare Plan, Travel Opportunities</t>
        </is>
      </c>
      <c r="N8587" s="8">
        <f>HYPERLINK("https://www.vietnamworks.com/giao-dich-vien-tieng-han-khu-vuc-mien-nam-thu-nhap-up-to-20-trieu--2005435-jv","Xem chi tiết")</f>
        <v/>
      </c>
    </row>
    <row r="8588">
      <c r="B8588" s="9" t="n">
        <v>8586</v>
      </c>
      <c r="C8588" s="10" t="inlineStr">
        <is>
          <t>Chuyên Viên Phát Triển Chiến Lược Sáng Tạo (Senior Creative Planner) Thu Nhập Từ 20- 30Tr+++</t>
        </is>
      </c>
      <c r="D8588" s="10" t="inlineStr">
        <is>
          <t>Công Ty Cổ phần TAJ Việt Nam</t>
        </is>
      </c>
      <c r="E8588" s="10" t="inlineStr">
        <is>
          <t>Thương lượng</t>
        </is>
      </c>
      <c r="F8588" s="10" t="inlineStr">
        <is>
          <t>Hà Nội</t>
        </is>
      </c>
      <c r="G8588" s="10" t="inlineStr">
        <is>
          <t>Nhân viên</t>
        </is>
      </c>
      <c r="H8588" s="10" t="inlineStr">
        <is>
          <t>22/01/2026</t>
        </is>
      </c>
      <c r="I8588" s="10" t="inlineStr">
        <is>
          <t>08/04/2026</t>
        </is>
      </c>
      <c r="J8588" s="10" t="inlineStr">
        <is>
          <t>17/03/2026</t>
        </is>
      </c>
      <c r="K8588" s="10" t="inlineStr">
        <is>
          <t>N/A</t>
        </is>
      </c>
      <c r="L8588" s="10" t="inlineStr">
        <is>
          <t>Digital Marketing, Truyền Thông, Chiến Lược Truyền Thông, Quản Lý Dự Án, Marketing Research</t>
        </is>
      </c>
      <c r="M8588" s="10" t="inlineStr">
        <is>
          <t>Bonus, Healthcare Plan, Others</t>
        </is>
      </c>
      <c r="N8588" s="11">
        <f>HYPERLINK("https://www.vietnamworks.com/chuyen-vien-phat-trien-chien-luoc-sang-tao-senior-creative-planner-thu-nhap-tu-20-30tr--2005448-jv","Xem chi tiết")</f>
        <v/>
      </c>
      <c r="O8588" s="10" t="n"/>
    </row>
    <row r="8589">
      <c r="B8589" s="7" t="n">
        <v>8587</v>
      </c>
      <c r="C8589" t="inlineStr">
        <is>
          <t>Nhân Viên Kế Toán (Gấp)</t>
        </is>
      </c>
      <c r="D8589" t="inlineStr">
        <is>
          <t>CÔNG TY TRÁCH NHIỆM HỮU HẠN TOP ENGINEERING VINA</t>
        </is>
      </c>
      <c r="E8589" t="inlineStr">
        <is>
          <t>Thương lượng</t>
        </is>
      </c>
      <c r="F8589" t="inlineStr">
        <is>
          <t>Vĩnh Phúc</t>
        </is>
      </c>
      <c r="G8589" t="inlineStr">
        <is>
          <t>Nhân viên</t>
        </is>
      </c>
      <c r="H8589" t="inlineStr">
        <is>
          <t>05/02/2026</t>
        </is>
      </c>
      <c r="I8589" t="inlineStr">
        <is>
          <t>08/04/2026</t>
        </is>
      </c>
      <c r="J8589" t="inlineStr">
        <is>
          <t>17/03/2026</t>
        </is>
      </c>
      <c r="K8589" t="inlineStr">
        <is>
          <t>N/A</t>
        </is>
      </c>
      <c r="L8589" t="inlineStr">
        <is>
          <t>Tài Chính, Kế Toán, Hạch Toán, Thanh Toán Công Nợ, ERP</t>
        </is>
      </c>
      <c r="M8589" t="inlineStr">
        <is>
          <t>Bonus, Healthcare Plan, Training</t>
        </is>
      </c>
      <c r="N8589" s="8">
        <f>HYPERLINK("https://www.vietnamworks.com/nhan-vien-ke-toan-gap--2010222-jv","Xem chi tiết")</f>
        <v/>
      </c>
    </row>
    <row r="8590">
      <c r="B8590" s="9" t="n">
        <v>8588</v>
      </c>
      <c r="C8590" s="10" t="inlineStr">
        <is>
          <t>Kỹ Thuật Viên Điều Phối Bản Vẽ Tổng Hợp (Kiến Trúc, Kết Cấu, Cơ Điện)</t>
        </is>
      </c>
      <c r="D8590" s="10" t="inlineStr">
        <is>
          <t>Trung tâm Kết cấu thép và xây dựng-Viện Khoa học công nghệ xây dựng</t>
        </is>
      </c>
      <c r="E8590" s="10" t="inlineStr">
        <is>
          <t>$$ 700-1,200 /tháng</t>
        </is>
      </c>
      <c r="F8590" s="10" t="inlineStr">
        <is>
          <t>Hà Nội</t>
        </is>
      </c>
      <c r="G8590" s="10" t="inlineStr">
        <is>
          <t>Nhân viên</t>
        </is>
      </c>
      <c r="H8590" s="10" t="inlineStr">
        <is>
          <t>22/01/2026</t>
        </is>
      </c>
      <c r="I8590" s="10" t="inlineStr">
        <is>
          <t>08/04/2026</t>
        </is>
      </c>
      <c r="J8590" s="10" t="inlineStr">
        <is>
          <t>17/03/2026</t>
        </is>
      </c>
      <c r="K8590" s="10" t="inlineStr">
        <is>
          <t>N/A</t>
        </is>
      </c>
      <c r="L8590" s="10" t="inlineStr">
        <is>
          <t>Engineering Technician, AutoCAD Revit, BIM360, Project Management, Experience In Construction</t>
        </is>
      </c>
      <c r="M8590" s="10" t="inlineStr">
        <is>
          <t>Bonus, Healthcare Plan, Training</t>
        </is>
      </c>
      <c r="N8590" s="11">
        <f>HYPERLINK("https://www.vietnamworks.com/ky-thuat-vien-dieu-phoi-ban-ve-tong-hop-kien-truc-ket-cau-co-dien--2005505-jv","Xem chi tiết")</f>
        <v/>
      </c>
      <c r="O8590" s="10" t="n"/>
    </row>
    <row r="8591">
      <c r="B8591" s="7" t="n">
        <v>8589</v>
      </c>
      <c r="C8591" t="inlineStr">
        <is>
          <t>Account Team Leader (Team Leader Dự Án Lĩnh Vực Truyền Thông - Media Agency)</t>
        </is>
      </c>
      <c r="D8591" t="inlineStr">
        <is>
          <t>Công Ty Cổ phần TAJ Việt Nam</t>
        </is>
      </c>
      <c r="E8591" t="inlineStr">
        <is>
          <t>18tr-32tr ₫/tháng</t>
        </is>
      </c>
      <c r="F8591" t="inlineStr">
        <is>
          <t>Hồ Chí Minh</t>
        </is>
      </c>
      <c r="G8591" t="inlineStr">
        <is>
          <t>Trưởng phòng</t>
        </is>
      </c>
      <c r="H8591" t="inlineStr">
        <is>
          <t>22/01/2026</t>
        </is>
      </c>
      <c r="I8591" t="inlineStr">
        <is>
          <t>08/04/2026</t>
        </is>
      </c>
      <c r="J8591" t="inlineStr">
        <is>
          <t>17/03/2026</t>
        </is>
      </c>
      <c r="K8591" t="inlineStr">
        <is>
          <t>N/A</t>
        </is>
      </c>
      <c r="L8591" t="inlineStr">
        <is>
          <t>Agency Relationship Management, Kế Hoạch Truyền Thông, Quản Lý Dự Án</t>
        </is>
      </c>
      <c r="M8591" t="inlineStr">
        <is>
          <t>Bonus, Healthcare Plan, Training, Travel Opportunities</t>
        </is>
      </c>
      <c r="N8591" s="8">
        <f>HYPERLINK("https://www.vietnamworks.com/account-team-leader-team-leader-du-an-linh-vuc-truyen-thong-media-agency-2005450-jv","Xem chi tiết")</f>
        <v/>
      </c>
    </row>
    <row r="8592">
      <c r="B8592" s="9" t="n">
        <v>8590</v>
      </c>
      <c r="C8592" s="10" t="inlineStr">
        <is>
          <t>Logistics Staff</t>
        </is>
      </c>
      <c r="D8592" s="10" t="inlineStr">
        <is>
          <t>Mitsubishi Elevator Vietnam Co., Ltd.</t>
        </is>
      </c>
      <c r="E8592" s="10" t="inlineStr">
        <is>
          <t>Thương lượng</t>
        </is>
      </c>
      <c r="F8592" s="10" t="inlineStr">
        <is>
          <t>Hồ Chí Minh</t>
        </is>
      </c>
      <c r="G8592" s="10" t="inlineStr">
        <is>
          <t>Nhân viên</t>
        </is>
      </c>
      <c r="H8592" s="10" t="inlineStr">
        <is>
          <t>04/03/2026</t>
        </is>
      </c>
      <c r="I8592" s="10" t="inlineStr">
        <is>
          <t>08/04/2026</t>
        </is>
      </c>
      <c r="J8592" s="10" t="inlineStr">
        <is>
          <t>17/03/2026</t>
        </is>
      </c>
      <c r="K8592" s="10" t="inlineStr">
        <is>
          <t>N/A</t>
        </is>
      </c>
      <c r="L8592" s="10" t="inlineStr">
        <is>
          <t>Customs declaration, Customs Regulations Knowledge, Logictics, Foreign Trade, Shipping Operations</t>
        </is>
      </c>
      <c r="M8592" s="10" t="inlineStr">
        <is>
          <t>Healthcare Plan, Training, Awards, Travel Opportunities, Others</t>
        </is>
      </c>
      <c r="N8592" s="11">
        <f>HYPERLINK("https://www.vietnamworks.com/logistics-staff-2017854-jv","Xem chi tiết")</f>
        <v/>
      </c>
      <c r="O8592" s="10" t="n"/>
    </row>
    <row r="8593">
      <c r="B8593" s="7" t="n">
        <v>8591</v>
      </c>
      <c r="C8593" t="inlineStr">
        <is>
          <t>Senior Graphic Designer/ Thiết Kế Đồ Họa - Lương 13- 15 Triệu (Thu Nhập: 13 ~ 16 Tháng Lương)</t>
        </is>
      </c>
      <c r="D8593" t="inlineStr">
        <is>
          <t>Công Ty Cổ phần TAJ Việt Nam</t>
        </is>
      </c>
      <c r="E8593" t="inlineStr">
        <is>
          <t>13tr-15tr ₫/tháng</t>
        </is>
      </c>
      <c r="F8593" t="inlineStr">
        <is>
          <t>Hà Nội, Hồ Chí Minh</t>
        </is>
      </c>
      <c r="G8593" t="inlineStr">
        <is>
          <t>Nhân viên</t>
        </is>
      </c>
      <c r="H8593" t="inlineStr">
        <is>
          <t>22/01/2026</t>
        </is>
      </c>
      <c r="I8593" t="inlineStr">
        <is>
          <t>08/04/2026</t>
        </is>
      </c>
      <c r="J8593" t="inlineStr">
        <is>
          <t>17/03/2026</t>
        </is>
      </c>
      <c r="K8593" t="inlineStr">
        <is>
          <t>N/A</t>
        </is>
      </c>
      <c r="L8593" t="inlineStr">
        <is>
          <t>Adobe Illustrator, Thiết Kế Nhận Diện Thương Hiệu, Photoshop, Thiết Kế Ấn Phẩm, 2D Graphic Design</t>
        </is>
      </c>
      <c r="M8593" t="inlineStr">
        <is>
          <t>Bonus, Healthcare Plan, Training</t>
        </is>
      </c>
      <c r="N8593" s="8">
        <f>HYPERLINK("https://www.vietnamworks.com/senior-graphic-designer-thiet-ke-do-hoa-luong-13-15-trieu-thu-nhap-13-16-thang-luong--2005445-jv","Xem chi tiết")</f>
        <v/>
      </c>
    </row>
    <row r="8594">
      <c r="B8594" s="9" t="n">
        <v>8592</v>
      </c>
      <c r="C8594" s="10" t="inlineStr">
        <is>
          <t>Giám Sát Thi Công Nội Thất | Interior Site Supervisor - Hanoi Branch</t>
        </is>
      </c>
      <c r="D8594" s="10" t="inlineStr">
        <is>
          <t>Crystal Design TPL</t>
        </is>
      </c>
      <c r="E8594" s="10" t="inlineStr">
        <is>
          <t>17tr-25tr ₫/tháng</t>
        </is>
      </c>
      <c r="F8594" s="10" t="inlineStr">
        <is>
          <t>Hà Nội</t>
        </is>
      </c>
      <c r="G8594" s="10" t="inlineStr">
        <is>
          <t>Nhân viên</t>
        </is>
      </c>
      <c r="H8594" s="10" t="inlineStr">
        <is>
          <t>22/02/2026</t>
        </is>
      </c>
      <c r="I8594" s="10" t="inlineStr">
        <is>
          <t>08/04/2026</t>
        </is>
      </c>
      <c r="J8594" s="10" t="inlineStr">
        <is>
          <t>17/03/2026</t>
        </is>
      </c>
      <c r="K8594" s="10" t="inlineStr">
        <is>
          <t>N/A</t>
        </is>
      </c>
      <c r="L8594" s="10" t="inlineStr">
        <is>
          <t>Chỉ Huy Công Trình, Quản Lý Dự Án, Xây Dựng, Thi Công Nội Thất, AutoCAD</t>
        </is>
      </c>
      <c r="M8594" s="10" t="inlineStr">
        <is>
          <t>Bonus, Healthcare Plan, Paid Leave, Training, Team Activities, Canteen, Others</t>
        </is>
      </c>
      <c r="N8594" s="11">
        <f>HYPERLINK("https://www.vietnamworks.com/giam-sat-thi-cong-noi-that-or-interior-site-supervisor-hanoi-branch-2012229-jv","Xem chi tiết")</f>
        <v/>
      </c>
      <c r="O8594" s="10" t="n"/>
    </row>
    <row r="8595">
      <c r="B8595" s="7" t="n">
        <v>8593</v>
      </c>
      <c r="C8595" t="inlineStr">
        <is>
          <t>Nhân Viên Hành Chính ( Yêu Cầu Tiếng Trung) - Admin Executive</t>
        </is>
      </c>
      <c r="D8595" t="inlineStr">
        <is>
          <t>Momentum Industrial (Vietnam) Limited</t>
        </is>
      </c>
      <c r="E8595" t="inlineStr">
        <is>
          <t>$$ 15tr-25tr /tháng</t>
        </is>
      </c>
      <c r="F8595" t="inlineStr">
        <is>
          <t>Hồ Chí Minh</t>
        </is>
      </c>
      <c r="G8595" t="inlineStr">
        <is>
          <t>Nhân viên</t>
        </is>
      </c>
      <c r="H8595" t="inlineStr">
        <is>
          <t>23/02/2026</t>
        </is>
      </c>
      <c r="I8595" t="inlineStr">
        <is>
          <t>08/04/2026</t>
        </is>
      </c>
      <c r="J8595" t="inlineStr">
        <is>
          <t>17/03/2026</t>
        </is>
      </c>
      <c r="K8595" t="inlineStr">
        <is>
          <t>N/A</t>
        </is>
      </c>
      <c r="L8595" t="inlineStr">
        <is>
          <t>Tiếng Trung, Admin, Phiên dịch tiếng Trung, Chinese, Admin Support</t>
        </is>
      </c>
      <c r="M8595" t="inlineStr">
        <is>
          <t>Bonus, Training, Others</t>
        </is>
      </c>
      <c r="N8595" s="8">
        <f>HYPERLINK("https://www.vietnamworks.com/nhan-vien-hanh-chinh-yeu-cau-tieng-trung-admin-executive-2012339-jv","Xem chi tiết")</f>
        <v/>
      </c>
    </row>
    <row r="8596">
      <c r="B8596" s="9" t="n">
        <v>8594</v>
      </c>
      <c r="C8596" s="10" t="inlineStr">
        <is>
          <t>[HỘI SỞ] CHUYÊN VIÊN KINH DOANH - PHÒNG KHÁCH HÀNG ƯU TIÊN - KHỐI BÁN LẺ</t>
        </is>
      </c>
      <c r="D8596" s="10" t="inlineStr">
        <is>
          <t>SACOMBANK – NGÂN HÀNG TMCP SÀI GÒN THƯƠNG TÍN</t>
        </is>
      </c>
      <c r="E8596" s="10" t="inlineStr">
        <is>
          <t>Thương lượng</t>
        </is>
      </c>
      <c r="F8596" s="10" t="inlineStr">
        <is>
          <t>Hồ Chí Minh</t>
        </is>
      </c>
      <c r="G8596" s="10" t="inlineStr">
        <is>
          <t>Nhân viên</t>
        </is>
      </c>
      <c r="H8596" s="10" t="inlineStr">
        <is>
          <t>22/02/2026</t>
        </is>
      </c>
      <c r="I8596" s="10" t="inlineStr">
        <is>
          <t>08/04/2026</t>
        </is>
      </c>
      <c r="J8596" s="10" t="inlineStr">
        <is>
          <t>17/03/2026</t>
        </is>
      </c>
      <c r="K8596" s="10" t="inlineStr">
        <is>
          <t>N/A</t>
        </is>
      </c>
      <c r="L8596" s="10" t="inlineStr">
        <is>
          <t>Công Nghệ Thông Tin, Giao Tiếp, Kinh Tế, Ngân hàng, Tài Chính</t>
        </is>
      </c>
      <c r="M8596" s="10" t="inlineStr">
        <is>
          <t>Bonus, Training, Travel Opportunities, Others</t>
        </is>
      </c>
      <c r="N8596" s="11">
        <f>HYPERLINK("https://www.vietnamworks.com/hoi-so-chuyen-vien-kinh-doanh-phong-khach-hang-uu-tien-khoi-ban-le-2012253-jv","Xem chi tiết")</f>
        <v/>
      </c>
      <c r="O8596" s="10" t="n"/>
    </row>
    <row r="8597">
      <c r="B8597" s="7" t="n">
        <v>8595</v>
      </c>
      <c r="C8597" t="inlineStr">
        <is>
          <t>Nhân viên Kỹ thuật Bảo trì (Hà Nội)</t>
        </is>
      </c>
      <c r="D8597" t="inlineStr">
        <is>
          <t>Công Ty Cổ Phần Phúc Long Heritage</t>
        </is>
      </c>
      <c r="E8597" t="inlineStr">
        <is>
          <t>Thương lượng</t>
        </is>
      </c>
      <c r="F8597" t="inlineStr">
        <is>
          <t>Hà Nội</t>
        </is>
      </c>
      <c r="G8597" t="inlineStr">
        <is>
          <t>Nhân viên</t>
        </is>
      </c>
      <c r="H8597" t="inlineStr">
        <is>
          <t>22/02/2026</t>
        </is>
      </c>
      <c r="I8597" t="inlineStr">
        <is>
          <t>08/04/2026</t>
        </is>
      </c>
      <c r="J8597" t="inlineStr">
        <is>
          <t>17/03/2026</t>
        </is>
      </c>
      <c r="K8597" t="inlineStr">
        <is>
          <t>N/A</t>
        </is>
      </c>
      <c r="L8597" t="inlineStr">
        <is>
          <t>Bảo Trì, FnB, Sửa Chữa Bảo Trì Thiết Bị, Điện, Điện Lạnh</t>
        </is>
      </c>
      <c r="M8597" t="inlineStr">
        <is>
          <t>Others</t>
        </is>
      </c>
      <c r="N8597" s="8">
        <f>HYPERLINK("https://www.vietnamworks.com/nhan-vien-ky-thuat-bao-tri-ha-noi-2012224-jv","Xem chi tiết")</f>
        <v/>
      </c>
    </row>
    <row r="8598">
      <c r="B8598" s="9" t="n">
        <v>8596</v>
      </c>
      <c r="C8598" s="10" t="inlineStr">
        <is>
          <t>Accounting Senior</t>
        </is>
      </c>
      <c r="D8598" s="10" t="inlineStr">
        <is>
          <t>Ctac Ej (Vietnam) Advisory Co., Limited.</t>
        </is>
      </c>
      <c r="E8598" s="10" t="inlineStr">
        <is>
          <t>$$ 570-800 /tháng</t>
        </is>
      </c>
      <c r="F8598" s="10" t="inlineStr">
        <is>
          <t>Hồ Chí Minh</t>
        </is>
      </c>
      <c r="G8598" s="10" t="inlineStr">
        <is>
          <t>Nhân viên</t>
        </is>
      </c>
      <c r="H8598" s="10" t="inlineStr">
        <is>
          <t>25/02/2026</t>
        </is>
      </c>
      <c r="I8598" s="10" t="inlineStr">
        <is>
          <t>08/04/2026</t>
        </is>
      </c>
      <c r="J8598" s="10" t="inlineStr">
        <is>
          <t>17/03/2026</t>
        </is>
      </c>
      <c r="K8598" s="10" t="inlineStr">
        <is>
          <t>N/A</t>
        </is>
      </c>
      <c r="L8598" s="10" t="inlineStr">
        <is>
          <t>Transfer Pricing, Financial Analysis, Taxation Regulation, Accounting Standards, Financial Auditing</t>
        </is>
      </c>
      <c r="M8598" s="10" t="inlineStr">
        <is>
          <t>Bonus, Training, Travel Opportunities</t>
        </is>
      </c>
      <c r="N8598" s="11">
        <f>HYPERLINK("https://www.vietnamworks.com/accounting-senior--2013486-jv","Xem chi tiết")</f>
        <v/>
      </c>
      <c r="O8598" s="10" t="n"/>
    </row>
    <row r="8599">
      <c r="B8599" s="7" t="n">
        <v>8597</v>
      </c>
      <c r="C8599" t="inlineStr">
        <is>
          <t>Kế Toán Tổng Hợp</t>
        </is>
      </c>
      <c r="D8599" t="inlineStr">
        <is>
          <t>CÔNG TY TNHH TRUYỀN THÔNG TATSU</t>
        </is>
      </c>
      <c r="E8599" t="inlineStr">
        <is>
          <t>Thương lượng</t>
        </is>
      </c>
      <c r="F8599" t="inlineStr">
        <is>
          <t>Hồ Chí Minh</t>
        </is>
      </c>
      <c r="G8599" t="inlineStr">
        <is>
          <t>Nhân viên</t>
        </is>
      </c>
      <c r="H8599" t="inlineStr">
        <is>
          <t>24/02/2026</t>
        </is>
      </c>
      <c r="I8599" t="inlineStr">
        <is>
          <t>08/04/2026</t>
        </is>
      </c>
      <c r="J8599" t="inlineStr">
        <is>
          <t>17/03/2026</t>
        </is>
      </c>
      <c r="K8599" t="inlineStr">
        <is>
          <t>N/A</t>
        </is>
      </c>
      <c r="L8599" t="inlineStr">
        <is>
          <t>Kế Toán Tổng Hợp, Báo Cáo Thuế, Hạch Toán, Quản Lý Công Nợ, Đối Chiếu Số Liệu</t>
        </is>
      </c>
      <c r="M8599" t="inlineStr">
        <is>
          <t>Bonus, Healthcare Plan, Others</t>
        </is>
      </c>
      <c r="N8599" s="8">
        <f>HYPERLINK("https://www.vietnamworks.com/ke-toan-tong-hop-2013046-jv","Xem chi tiết")</f>
        <v/>
      </c>
    </row>
    <row r="8600">
      <c r="B8600" s="9" t="n">
        <v>8598</v>
      </c>
      <c r="C8600" s="10" t="inlineStr">
        <is>
          <t>Kỹ Sư MEP</t>
        </is>
      </c>
      <c r="D8600" s="10" t="inlineStr">
        <is>
          <t>Công Ty Cổ Phần Phúc Long Heritage</t>
        </is>
      </c>
      <c r="E8600" s="10" t="inlineStr">
        <is>
          <t>Thương lượng</t>
        </is>
      </c>
      <c r="F8600" s="10" t="inlineStr">
        <is>
          <t>Hồ Chí Minh</t>
        </is>
      </c>
      <c r="G8600" s="10" t="inlineStr">
        <is>
          <t>Nhân viên</t>
        </is>
      </c>
      <c r="H8600" s="10" t="inlineStr">
        <is>
          <t>22/02/2026</t>
        </is>
      </c>
      <c r="I8600" s="10" t="inlineStr">
        <is>
          <t>08/04/2026</t>
        </is>
      </c>
      <c r="J8600" s="10" t="inlineStr">
        <is>
          <t>17/03/2026</t>
        </is>
      </c>
      <c r="K8600" s="10" t="inlineStr">
        <is>
          <t>N/A</t>
        </is>
      </c>
      <c r="L8600" s="10" t="inlineStr">
        <is>
          <t>Construction, FnB, MEP System Design, Project Management</t>
        </is>
      </c>
      <c r="M8600" s="10" t="inlineStr">
        <is>
          <t>Others</t>
        </is>
      </c>
      <c r="N8600" s="11">
        <f>HYPERLINK("https://www.vietnamworks.com/ky-su-mep-2012223-jv","Xem chi tiết")</f>
        <v/>
      </c>
      <c r="O8600" s="10" t="n"/>
    </row>
    <row r="8601">
      <c r="B8601" s="7" t="n">
        <v>8599</v>
      </c>
      <c r="C8601" t="inlineStr">
        <is>
          <t>HR &amp; Sustainability Director</t>
        </is>
      </c>
      <c r="D8601" t="inlineStr">
        <is>
          <t>Saitex International Dong Nai (VN)</t>
        </is>
      </c>
      <c r="E8601" t="inlineStr">
        <is>
          <t>Thương lượng</t>
        </is>
      </c>
      <c r="F8601" t="inlineStr">
        <is>
          <t>Hồ Chí Minh</t>
        </is>
      </c>
      <c r="G8601" t="inlineStr">
        <is>
          <t>Giám Đốc và Cấp Cao Hơn</t>
        </is>
      </c>
      <c r="H8601" t="inlineStr">
        <is>
          <t>22/02/2026</t>
        </is>
      </c>
      <c r="I8601" t="inlineStr">
        <is>
          <t>08/04/2026</t>
        </is>
      </c>
      <c r="J8601" t="inlineStr">
        <is>
          <t>17/03/2026</t>
        </is>
      </c>
      <c r="K8601" t="inlineStr">
        <is>
          <t>N/A</t>
        </is>
      </c>
      <c r="L8601" t="inlineStr">
        <is>
          <t>Human Resources Management, HR Strategy, Garment Industry Experience, Sustainability Management, Compliance</t>
        </is>
      </c>
      <c r="M8601" t="inlineStr">
        <is>
          <t>Bonus, Healthcare Plan, Transportation</t>
        </is>
      </c>
      <c r="N8601" s="8">
        <f>HYPERLINK("https://www.vietnamworks.com/hr-sustainability-director-2012254-jv","Xem chi tiết")</f>
        <v/>
      </c>
    </row>
    <row r="8602">
      <c r="B8602" s="9" t="n">
        <v>8600</v>
      </c>
      <c r="C8602" s="10" t="inlineStr">
        <is>
          <t>Sales Support and Operations</t>
        </is>
      </c>
      <c r="D8602" s="10" t="inlineStr">
        <is>
          <t>Galaxy Digital Holdings Co., Ltd (GH)</t>
        </is>
      </c>
      <c r="E8602" s="10" t="inlineStr">
        <is>
          <t>Thương lượng</t>
        </is>
      </c>
      <c r="F8602" s="10" t="inlineStr">
        <is>
          <t>Hà Nội</t>
        </is>
      </c>
      <c r="G8602" s="10" t="inlineStr">
        <is>
          <t>Nhân viên</t>
        </is>
      </c>
      <c r="H8602" s="10" t="inlineStr">
        <is>
          <t>22/02/2026</t>
        </is>
      </c>
      <c r="I8602" s="10" t="inlineStr">
        <is>
          <t>08/04/2026</t>
        </is>
      </c>
      <c r="J8602" s="10" t="inlineStr">
        <is>
          <t>17/03/2026</t>
        </is>
      </c>
      <c r="K8602" s="10" t="inlineStr">
        <is>
          <t>N/A</t>
        </is>
      </c>
      <c r="L8602" s="10" t="inlineStr">
        <is>
          <t>Sales &amp; Business Development, Analysis Report, B2B Sales, Crm Familiarity, Operation</t>
        </is>
      </c>
      <c r="M8602" s="10" t="inlineStr">
        <is>
          <t>Bonus, Paid Leave, Travel Opportunities</t>
        </is>
      </c>
      <c r="N8602" s="11">
        <f>HYPERLINK("https://www.vietnamworks.com/sales-support-and-operations--2012252-jv","Xem chi tiết")</f>
        <v/>
      </c>
      <c r="O8602" s="10" t="n"/>
    </row>
    <row r="8603">
      <c r="B8603" s="7" t="n">
        <v>8601</v>
      </c>
      <c r="C8603" t="inlineStr">
        <is>
          <t>Hành Chính – Nhân Sự</t>
        </is>
      </c>
      <c r="D8603" t="inlineStr">
        <is>
          <t>CÔNG TY TNHH TRUYỀN THÔNG CHI</t>
        </is>
      </c>
      <c r="E8603" t="inlineStr">
        <is>
          <t>$$ 400-600 /tháng</t>
        </is>
      </c>
      <c r="F8603" t="inlineStr">
        <is>
          <t>Hồ Chí Minh</t>
        </is>
      </c>
      <c r="G8603" t="inlineStr">
        <is>
          <t>Nhân viên</t>
        </is>
      </c>
      <c r="H8603" t="inlineStr">
        <is>
          <t>05/03/2026</t>
        </is>
      </c>
      <c r="I8603" t="inlineStr">
        <is>
          <t>08/04/2026</t>
        </is>
      </c>
      <c r="J8603" t="inlineStr">
        <is>
          <t>17/03/2026</t>
        </is>
      </c>
      <c r="K8603" t="inlineStr">
        <is>
          <t>N/A</t>
        </is>
      </c>
      <c r="L8603" t="inlineStr">
        <is>
          <t>Tuyển Dụng, Nhân sự - HR, Human Resource &amp; Admin management, Hành Chính Nhân Sự, Hồ Sơ Giấy Tờ</t>
        </is>
      </c>
      <c r="M8603" t="inlineStr">
        <is>
          <t>Bonus, Awards, Transportation</t>
        </is>
      </c>
      <c r="N8603" s="8">
        <f>HYPERLINK("https://www.vietnamworks.com/hanh-chinh-nhan-su-2019039-jv","Xem chi tiết")</f>
        <v/>
      </c>
    </row>
    <row r="8604">
      <c r="B8604" s="9" t="n">
        <v>8602</v>
      </c>
      <c r="C8604" s="10" t="inlineStr">
        <is>
          <t>Trưởng Phòng Nhân Sự</t>
        </is>
      </c>
      <c r="D8604" s="10" t="inlineStr">
        <is>
          <t>Công Ty Vàng Bạc Đá Quý Bảo Tín Minh Châu</t>
        </is>
      </c>
      <c r="E8604" s="10" t="inlineStr">
        <is>
          <t>40tr-45tr ₫/tháng</t>
        </is>
      </c>
      <c r="F8604" s="10" t="inlineStr">
        <is>
          <t>Hà Nội</t>
        </is>
      </c>
      <c r="G8604" s="10" t="inlineStr">
        <is>
          <t>Trưởng phòng</t>
        </is>
      </c>
      <c r="H8604" s="10" t="inlineStr">
        <is>
          <t>22/02/2026</t>
        </is>
      </c>
      <c r="I8604" s="10" t="inlineStr">
        <is>
          <t>08/04/2026</t>
        </is>
      </c>
      <c r="J8604" s="10" t="inlineStr">
        <is>
          <t>17/03/2026</t>
        </is>
      </c>
      <c r="K8604" s="10" t="inlineStr">
        <is>
          <t>N/A</t>
        </is>
      </c>
      <c r="L8604" s="10" t="inlineStr">
        <is>
          <t>Kế Hoạch Nhân Sự, Luật Lao Động, Quản Trị Hành Chính, Tuyển Dụng, Hành Chính Nhân Sự</t>
        </is>
      </c>
      <c r="M8604" s="10" t="inlineStr">
        <is>
          <t>Bonus, Healthcare Plan, Training, Others</t>
        </is>
      </c>
      <c r="N8604" s="11">
        <f>HYPERLINK("https://www.vietnamworks.com/truong-phong-nhan-su-2012234-jv","Xem chi tiết")</f>
        <v/>
      </c>
      <c r="O8604" s="10" t="n"/>
    </row>
    <row r="8605">
      <c r="B8605" s="7" t="n">
        <v>8603</v>
      </c>
      <c r="C8605" t="inlineStr">
        <is>
          <t>Kỹ Sư QS (QS Công Trình)/ Kiểm Soát Khối Lượng</t>
        </is>
      </c>
      <c r="D8605" t="inlineStr">
        <is>
          <t>Tập Đoàn Bất Động Sản An Gia</t>
        </is>
      </c>
      <c r="E8605" t="inlineStr">
        <is>
          <t>Thương lượng</t>
        </is>
      </c>
      <c r="F8605" t="inlineStr">
        <is>
          <t>Hồ Chí Minh</t>
        </is>
      </c>
      <c r="G8605" t="inlineStr">
        <is>
          <t>Nhân viên</t>
        </is>
      </c>
      <c r="H8605" t="inlineStr">
        <is>
          <t>03/03/2026</t>
        </is>
      </c>
      <c r="I8605" t="inlineStr">
        <is>
          <t>08/04/2026</t>
        </is>
      </c>
      <c r="J8605" t="inlineStr">
        <is>
          <t>17/03/2026</t>
        </is>
      </c>
      <c r="K8605" t="inlineStr">
        <is>
          <t>N/A</t>
        </is>
      </c>
      <c r="L8605" t="inlineStr">
        <is>
          <t>Bất Động Sản, QA/ QC, QS, Quản Lý Khối Lượng, Quantity Surveyor</t>
        </is>
      </c>
      <c r="M8605" t="inlineStr">
        <is>
          <t>Bonus, Healthcare Plan, Paid Leave, Training, Laptop, Travel Opportunities, Vouchers</t>
        </is>
      </c>
      <c r="N8605" s="8">
        <f>HYPERLINK("https://www.vietnamworks.com/ky-su-qs-qs-cong-trinh-kiem-soat-khoi-luong-2017689-jv","Xem chi tiết")</f>
        <v/>
      </c>
    </row>
    <row r="8606">
      <c r="B8606" s="9" t="n">
        <v>8604</v>
      </c>
      <c r="C8606" s="10" t="inlineStr">
        <is>
          <t>Sales Manager</t>
        </is>
      </c>
      <c r="D8606" s="10" t="inlineStr">
        <is>
          <t>CÔNG TY TNHH THE JOYFUL NEST</t>
        </is>
      </c>
      <c r="E8606" s="10" t="inlineStr">
        <is>
          <t>$$ 1,500-3,000 /tháng</t>
        </is>
      </c>
      <c r="F8606" s="10" t="inlineStr">
        <is>
          <t>Hồ Chí Minh</t>
        </is>
      </c>
      <c r="G8606" s="10" t="inlineStr">
        <is>
          <t>Trưởng phòng</t>
        </is>
      </c>
      <c r="H8606" s="10" t="inlineStr">
        <is>
          <t>22/02/2026</t>
        </is>
      </c>
      <c r="I8606" s="10" t="inlineStr">
        <is>
          <t>08/04/2026</t>
        </is>
      </c>
      <c r="J8606" s="10" t="inlineStr">
        <is>
          <t>17/03/2026</t>
        </is>
      </c>
      <c r="K8606" s="10" t="inlineStr">
        <is>
          <t>N/A</t>
        </is>
      </c>
      <c r="L8606" s="10" t="inlineStr">
        <is>
          <t>Quản Lý Kinh Doanh, Phát Triển Thị Trường, Kinh Doanh, Business Development</t>
        </is>
      </c>
      <c r="M8606" s="10" t="inlineStr">
        <is>
          <t>Bonus, Others</t>
        </is>
      </c>
      <c r="N8606" s="11">
        <f>HYPERLINK("https://www.vietnamworks.com/sales-manager--2012231-jv","Xem chi tiết")</f>
        <v/>
      </c>
      <c r="O8606" s="10" t="n"/>
    </row>
    <row r="8607">
      <c r="B8607" s="7" t="n">
        <v>8605</v>
      </c>
      <c r="C8607" t="inlineStr">
        <is>
          <t>Trưởng Nhóm Kế Toán</t>
        </is>
      </c>
      <c r="D8607" t="inlineStr">
        <is>
          <t>Công ty cổ phần tư vấn thuế Hà Nội</t>
        </is>
      </c>
      <c r="E8607" t="inlineStr">
        <is>
          <t>$$ 960-1,925 /tháng</t>
        </is>
      </c>
      <c r="F8607" t="inlineStr">
        <is>
          <t>Hà Nội</t>
        </is>
      </c>
      <c r="G8607" t="inlineStr">
        <is>
          <t>Trưởng phòng</t>
        </is>
      </c>
      <c r="H8607" t="inlineStr">
        <is>
          <t>06/03/2026</t>
        </is>
      </c>
      <c r="I8607" t="inlineStr">
        <is>
          <t>08/04/2026</t>
        </is>
      </c>
      <c r="J8607" t="inlineStr">
        <is>
          <t>17/03/2026</t>
        </is>
      </c>
      <c r="K8607" t="inlineStr">
        <is>
          <t>N/A</t>
        </is>
      </c>
      <c r="L8607" t="inlineStr">
        <is>
          <t>Kế Toán Tổng Hợp, Báo Cáo Thuế, Báo Cáo Tài Chính, Audit, Quản Lý Nhóm</t>
        </is>
      </c>
      <c r="M8607" t="inlineStr">
        <is>
          <t>Bonus, Healthcare Plan, Awards</t>
        </is>
      </c>
      <c r="N8607" s="8">
        <f>HYPERLINK("https://www.vietnamworks.com/truong-nhom-ke-toan--2019229-jv","Xem chi tiết")</f>
        <v/>
      </c>
    </row>
    <row r="8608">
      <c r="B8608" s="9" t="n">
        <v>8606</v>
      </c>
      <c r="C8608" s="10" t="inlineStr">
        <is>
          <t>Lead Iron Casting Simulation &amp; Mold Design Engineer</t>
        </is>
      </c>
      <c r="D8608" s="10" t="inlineStr">
        <is>
          <t>CÔNG TY TNHH CODA RESOURCES VIỆT NAM</t>
        </is>
      </c>
      <c r="E8608" s="10" t="inlineStr">
        <is>
          <t>Thương lượng</t>
        </is>
      </c>
      <c r="F8608" s="10" t="inlineStr">
        <is>
          <t>Long An</t>
        </is>
      </c>
      <c r="G8608" s="10" t="inlineStr">
        <is>
          <t>Nhân viên</t>
        </is>
      </c>
      <c r="H8608" s="10" t="inlineStr">
        <is>
          <t>05/03/2026</t>
        </is>
      </c>
      <c r="I8608" s="10" t="inlineStr">
        <is>
          <t>08/04/2026</t>
        </is>
      </c>
      <c r="J8608" s="10" t="inlineStr">
        <is>
          <t>17/03/2026</t>
        </is>
      </c>
      <c r="K8608" s="10" t="inlineStr">
        <is>
          <t>N/A</t>
        </is>
      </c>
      <c r="L8608" s="10" t="inlineStr">
        <is>
          <t>Metal Casting, SolidWorks, Die Casting, ProCAST, Project Management</t>
        </is>
      </c>
      <c r="M8608" s="10" t="inlineStr">
        <is>
          <t>Bonus</t>
        </is>
      </c>
      <c r="N8608" s="11">
        <f>HYPERLINK("https://www.vietnamworks.com/lead-iron-casting-simulation-and-mold-design-engineer-2019088-jv","Xem chi tiết")</f>
        <v/>
      </c>
      <c r="O8608" s="10" t="n"/>
    </row>
    <row r="8609">
      <c r="B8609" s="7" t="n">
        <v>8607</v>
      </c>
      <c r="C8609" t="inlineStr">
        <is>
          <t>Operations Team Leader Trainee</t>
        </is>
      </c>
      <c r="D8609" t="inlineStr">
        <is>
          <t>CÔNG TY CỔ PHẦN DỊCH VỤ GIAO HÀNG NHANH</t>
        </is>
      </c>
      <c r="E8609" t="inlineStr">
        <is>
          <t>Thương lượng</t>
        </is>
      </c>
      <c r="F8609" t="inlineStr">
        <is>
          <t>Hồ Chí Minh, Hà Nội</t>
        </is>
      </c>
      <c r="G8609" t="inlineStr">
        <is>
          <t>Mới Tốt Nghiệp</t>
        </is>
      </c>
      <c r="H8609" t="inlineStr">
        <is>
          <t>06/03/2026</t>
        </is>
      </c>
      <c r="I8609" t="inlineStr">
        <is>
          <t>08/04/2026</t>
        </is>
      </c>
      <c r="J8609" t="inlineStr">
        <is>
          <t>17/03/2026</t>
        </is>
      </c>
      <c r="K8609" t="inlineStr">
        <is>
          <t>N/A</t>
        </is>
      </c>
      <c r="L8609" t="inlineStr">
        <is>
          <t>Lập Kế Hoạch, Quản Lý Kho Bãi, Quản Lý Đội Nhóm, Trình Bày, Tư Duy Logic</t>
        </is>
      </c>
      <c r="M8609" t="inlineStr">
        <is>
          <t>Bonus, Healthcare Plan, Training, Team Activities, Transportation, Others</t>
        </is>
      </c>
      <c r="N8609" s="8">
        <f>HYPERLINK("https://www.vietnamworks.com/operations-team-leader-trainee-2019524-jv","Xem chi tiết")</f>
        <v/>
      </c>
    </row>
    <row r="8610">
      <c r="B8610" s="9" t="n">
        <v>8608</v>
      </c>
      <c r="C8610" s="10" t="inlineStr">
        <is>
          <t>M&amp;E Engineer/ Project Manager</t>
        </is>
      </c>
      <c r="D8610" s="10" t="inlineStr">
        <is>
          <t>J ROGER PRESTON VIETNAM CO., LTD</t>
        </is>
      </c>
      <c r="E8610" s="10" t="inlineStr">
        <is>
          <t>Thương lượng</t>
        </is>
      </c>
      <c r="F8610" s="10" t="inlineStr">
        <is>
          <t>Hồ Chí Minh</t>
        </is>
      </c>
      <c r="G8610" s="10" t="inlineStr">
        <is>
          <t>Nhân viên</t>
        </is>
      </c>
      <c r="H8610" s="10" t="inlineStr">
        <is>
          <t>06/03/2026</t>
        </is>
      </c>
      <c r="I8610" s="10" t="inlineStr">
        <is>
          <t>08/04/2026</t>
        </is>
      </c>
      <c r="J8610" s="10" t="inlineStr">
        <is>
          <t>17/03/2026</t>
        </is>
      </c>
      <c r="K8610" s="10" t="inlineStr">
        <is>
          <t>N/A</t>
        </is>
      </c>
      <c r="L8610" s="10" t="inlineStr">
        <is>
          <t>Electrical Engineering, Thermal Engineering, M&amp;E Design, Project Management, Interpersonal skills</t>
        </is>
      </c>
      <c r="M8610" s="10" t="inlineStr">
        <is>
          <t>Bonus, Travel Opportunities, Others</t>
        </is>
      </c>
      <c r="N8610" s="11">
        <f>HYPERLINK("https://www.vietnamworks.com/mande-engineer-project-manager-2019403-jv","Xem chi tiết")</f>
        <v/>
      </c>
      <c r="O8610" s="10" t="n"/>
    </row>
    <row r="8611">
      <c r="B8611" s="7" t="n">
        <v>8609</v>
      </c>
      <c r="C8611" t="inlineStr">
        <is>
          <t>Native English Teacher - Teaching ESL For Middle School And High School (Expat)</t>
        </is>
      </c>
      <c r="D8611" t="inlineStr">
        <is>
          <t>Trường THCS Và THPT Đinh Thiện Lý ( Lawrence S.ting School )</t>
        </is>
      </c>
      <c r="E8611" t="inlineStr">
        <is>
          <t>Thương lượng</t>
        </is>
      </c>
      <c r="F8611" t="inlineStr">
        <is>
          <t>Hồ Chí Minh</t>
        </is>
      </c>
      <c r="G8611" t="inlineStr">
        <is>
          <t>Nhân viên</t>
        </is>
      </c>
      <c r="H8611" t="inlineStr">
        <is>
          <t>06/03/2026</t>
        </is>
      </c>
      <c r="I8611" t="inlineStr">
        <is>
          <t>08/04/2026</t>
        </is>
      </c>
      <c r="J8611" t="inlineStr">
        <is>
          <t>17/03/2026</t>
        </is>
      </c>
      <c r="K8611" t="inlineStr">
        <is>
          <t>N/A</t>
        </is>
      </c>
      <c r="L8611" t="inlineStr">
        <is>
          <t>English Teaching</t>
        </is>
      </c>
      <c r="M8611" t="inlineStr">
        <is>
          <t>Bonus, Healthcare Plan, Training</t>
        </is>
      </c>
      <c r="N8611" s="8">
        <f>HYPERLINK("https://www.vietnamworks.com/native-english-teacher-teaching-esl-for-middle-school-and-high-school-expat-1--2019698-jv","Xem chi tiết")</f>
        <v/>
      </c>
    </row>
    <row r="8612">
      <c r="B8612" s="9" t="n">
        <v>8610</v>
      </c>
      <c r="C8612" s="10" t="inlineStr">
        <is>
          <t>Kỹ Sư Giám Sát Xây Dựng</t>
        </is>
      </c>
      <c r="D8612" s="10" t="inlineStr">
        <is>
          <t>Tổ Chức Giáo Dục FPT</t>
        </is>
      </c>
      <c r="E8612" s="10" t="inlineStr">
        <is>
          <t>Thương lượng</t>
        </is>
      </c>
      <c r="F8612" s="10" t="inlineStr">
        <is>
          <t>Hà Nội</t>
        </is>
      </c>
      <c r="G8612" s="10" t="inlineStr">
        <is>
          <t>Nhân viên</t>
        </is>
      </c>
      <c r="H8612" s="10" t="inlineStr">
        <is>
          <t>06/03/2026</t>
        </is>
      </c>
      <c r="I8612" s="10" t="inlineStr">
        <is>
          <t>08/04/2026</t>
        </is>
      </c>
      <c r="J8612" s="10" t="inlineStr">
        <is>
          <t>17/03/2026</t>
        </is>
      </c>
      <c r="K8612" s="10" t="inlineStr">
        <is>
          <t>N/A</t>
        </is>
      </c>
      <c r="L8612" s="10" t="inlineStr">
        <is>
          <t>Xây Dựng, Giám Sát Xây Dựng Công Trình, Quản Lý Dự Án, Thanh Quyết Toán, Giám Sát Thi Công</t>
        </is>
      </c>
      <c r="M8612" s="10" t="inlineStr">
        <is>
          <t>Bonus, Healthcare Plan, Travel Opportunities</t>
        </is>
      </c>
      <c r="N8612" s="11">
        <f>HYPERLINK("https://www.vietnamworks.com/ky-su-giam-sat-xay-dung--2019889-jv","Xem chi tiết")</f>
        <v/>
      </c>
      <c r="O8612" s="10" t="n"/>
    </row>
    <row r="8613">
      <c r="B8613" s="7" t="n">
        <v>8611</v>
      </c>
      <c r="C8613" t="inlineStr">
        <is>
          <t>Chủ Quản Nhân Sự (Tiếng Trung)</t>
        </is>
      </c>
      <c r="D8613" t="inlineStr">
        <is>
          <t>Công Ty TNHH Bennett Wright</t>
        </is>
      </c>
      <c r="E8613" t="inlineStr">
        <is>
          <t>Thương lượng</t>
        </is>
      </c>
      <c r="F8613" t="inlineStr">
        <is>
          <t>Hồ Chí Minh</t>
        </is>
      </c>
      <c r="G8613" t="inlineStr">
        <is>
          <t>Trưởng phòng</t>
        </is>
      </c>
      <c r="H8613" t="inlineStr">
        <is>
          <t>09/03/2026</t>
        </is>
      </c>
      <c r="I8613" t="inlineStr">
        <is>
          <t>08/04/2026</t>
        </is>
      </c>
      <c r="J8613" t="inlineStr">
        <is>
          <t>17/03/2026</t>
        </is>
      </c>
      <c r="K8613" t="inlineStr">
        <is>
          <t>N/A</t>
        </is>
      </c>
      <c r="L8613" t="inlineStr">
        <is>
          <t>Administrative Management, Hành Chính Nhân Sự, Human Resources Management, Quản Lý Nhân Sự, Tuyển Dụng</t>
        </is>
      </c>
      <c r="M8613" t="inlineStr">
        <is>
          <t>Paid Leave, Training, Team Activities, Others</t>
        </is>
      </c>
      <c r="N8613" s="8">
        <f>HYPERLINK("https://www.vietnamworks.com/chu-quan-nhan-su-tieng-trung--2020109-jv","Xem chi tiết")</f>
        <v/>
      </c>
    </row>
    <row r="8614">
      <c r="B8614" s="9" t="n">
        <v>8612</v>
      </c>
      <c r="C8614" s="10" t="inlineStr">
        <is>
          <t>Chuyên Viên Nghiệp Vụ Bảo Hiểm (Chuyên Về Bảo Hiểm Con Người)</t>
        </is>
      </c>
      <c r="D8614" s="10" t="inlineStr">
        <is>
          <t>Công Ty TNHH Axinan Việt Nam</t>
        </is>
      </c>
      <c r="E8614" s="10" t="inlineStr">
        <is>
          <t>Thương lượng</t>
        </is>
      </c>
      <c r="F8614" s="10" t="inlineStr">
        <is>
          <t>Hà Nội, Hồ Chí Minh</t>
        </is>
      </c>
      <c r="G8614" s="10" t="inlineStr">
        <is>
          <t>Nhân viên</t>
        </is>
      </c>
      <c r="H8614" s="10" t="inlineStr">
        <is>
          <t>06/03/2026</t>
        </is>
      </c>
      <c r="I8614" s="10" t="inlineStr">
        <is>
          <t>08/04/2026</t>
        </is>
      </c>
      <c r="J8614" s="10" t="inlineStr">
        <is>
          <t>17/03/2026</t>
        </is>
      </c>
      <c r="K8614" s="10" t="inlineStr">
        <is>
          <t>N/A</t>
        </is>
      </c>
      <c r="L8614" s="10" t="inlineStr">
        <is>
          <t>Placement Executive, Employee Benefit Insurance, Health Insurance, Negotiation Skills, Critical Thinking</t>
        </is>
      </c>
      <c r="M8614" s="10" t="inlineStr">
        <is>
          <t>Healthcare Plan, Training, Others</t>
        </is>
      </c>
      <c r="N8614" s="11">
        <f>HYPERLINK("https://www.vietnamworks.com/chuyen-vien-nghiep-vu-bao-hiem-chuyen-ve-bao-hiem-con-nguoi-2019729-jv","Xem chi tiết")</f>
        <v/>
      </c>
      <c r="O8614" s="10" t="n"/>
    </row>
    <row r="8615">
      <c r="B8615" s="7" t="n">
        <v>8613</v>
      </c>
      <c r="C8615" t="inlineStr">
        <is>
          <t>Trưởng Nhóm Nền Tảng Số (Digital Marketing Platform Team Lead)</t>
        </is>
      </c>
      <c r="D8615" t="inlineStr">
        <is>
          <t>GSM - Xanh SM</t>
        </is>
      </c>
      <c r="E8615" t="inlineStr">
        <is>
          <t>$$ 1,500-2,500 /tháng</t>
        </is>
      </c>
      <c r="F8615" t="inlineStr">
        <is>
          <t>Hà Nội</t>
        </is>
      </c>
      <c r="G8615" t="inlineStr">
        <is>
          <t>Trưởng phòng</t>
        </is>
      </c>
      <c r="H8615" t="inlineStr">
        <is>
          <t>09/03/2026</t>
        </is>
      </c>
      <c r="I8615" t="inlineStr">
        <is>
          <t>08/04/2026</t>
        </is>
      </c>
      <c r="J8615" t="inlineStr">
        <is>
          <t>17/03/2026</t>
        </is>
      </c>
      <c r="K8615" t="inlineStr">
        <is>
          <t>N/A</t>
        </is>
      </c>
      <c r="L8615" t="inlineStr">
        <is>
          <t>Marketing, Digital Marketing, Growth Marketing, Potential customer identification, Retention &amp; Engagement</t>
        </is>
      </c>
      <c r="M8615" t="inlineStr">
        <is>
          <t>Bonus, Healthcare Plan, Training</t>
        </is>
      </c>
      <c r="N8615" s="8">
        <f>HYPERLINK("https://www.vietnamworks.com/truong-nhom-nen-tang-so-digital-marketing-platform-team-lead-2020104-jv","Xem chi tiết")</f>
        <v/>
      </c>
    </row>
    <row r="8616">
      <c r="B8616" s="9" t="n">
        <v>8614</v>
      </c>
      <c r="C8616" s="10" t="inlineStr">
        <is>
          <t>Cán Bộ An Toàn Vệ Sinh Lao Động</t>
        </is>
      </c>
      <c r="D8616" s="10" t="inlineStr">
        <is>
          <t>Công ty TNHH Sản Xuất và Phát triển Minh Anh</t>
        </is>
      </c>
      <c r="E8616" s="10" t="inlineStr">
        <is>
          <t>18tr-25tr ₫/tháng</t>
        </is>
      </c>
      <c r="F8616" s="10" t="inlineStr">
        <is>
          <t>Ninh Bình</t>
        </is>
      </c>
      <c r="G8616" s="10" t="inlineStr">
        <is>
          <t>Nhân viên</t>
        </is>
      </c>
      <c r="H8616" s="10" t="inlineStr">
        <is>
          <t>09/03/2026</t>
        </is>
      </c>
      <c r="I8616" s="10" t="inlineStr">
        <is>
          <t>08/04/2026</t>
        </is>
      </c>
      <c r="J8616" s="10" t="inlineStr">
        <is>
          <t>17/03/2026</t>
        </is>
      </c>
      <c r="K8616" s="10" t="inlineStr">
        <is>
          <t>N/A</t>
        </is>
      </c>
      <c r="L8616" s="10" t="inlineStr">
        <is>
          <t>An Toàn Lao Động, Bảo Hộ Lao Động, Giao Tiếp, Luật Lao Động, Nhận Diện Rủi Ro</t>
        </is>
      </c>
      <c r="M8616" s="10" t="inlineStr">
        <is>
          <t>Healthcare Plan, Training, Others</t>
        </is>
      </c>
      <c r="N8616" s="11">
        <f>HYPERLINK("https://www.vietnamworks.com/can-bo-an-toan-ve-sinh-lao-djong-2020098-jv","Xem chi tiết")</f>
        <v/>
      </c>
      <c r="O8616" s="10" t="n"/>
    </row>
    <row r="8617">
      <c r="B8617" s="7" t="n">
        <v>8615</v>
      </c>
      <c r="C8617" t="inlineStr">
        <is>
          <t>Warehouse Manager Material Warehouse</t>
        </is>
      </c>
      <c r="D8617" t="inlineStr">
        <is>
          <t>Công Ty TNHH GT Line Á Châu</t>
        </is>
      </c>
      <c r="E8617" t="inlineStr">
        <is>
          <t>18tr-28tr ₫/tháng</t>
        </is>
      </c>
      <c r="F8617" t="inlineStr">
        <is>
          <t>Bà Rịa - Vũng Tàu</t>
        </is>
      </c>
      <c r="G8617" t="inlineStr">
        <is>
          <t>Trưởng phòng</t>
        </is>
      </c>
      <c r="H8617" t="inlineStr">
        <is>
          <t>09/03/2026</t>
        </is>
      </c>
      <c r="I8617" t="inlineStr">
        <is>
          <t>08/04/2026</t>
        </is>
      </c>
      <c r="J8617" t="inlineStr">
        <is>
          <t>17/03/2026</t>
        </is>
      </c>
      <c r="K8617" t="inlineStr">
        <is>
          <t>N/A</t>
        </is>
      </c>
      <c r="L8617" t="inlineStr">
        <is>
          <t>Warehouse Management, Inventory Control, ERP Systems, Barcode System, Warehouse Operation</t>
        </is>
      </c>
      <c r="M8617" t="inlineStr">
        <is>
          <t>Bonus, Healthcare Plan, Others</t>
        </is>
      </c>
      <c r="N8617" s="8">
        <f>HYPERLINK("https://www.vietnamworks.com/warehouse-manager-material-warehouse-2020115-jv","Xem chi tiết")</f>
        <v/>
      </c>
    </row>
    <row r="8618">
      <c r="B8618" s="9" t="n">
        <v>8616</v>
      </c>
      <c r="C8618" s="10" t="inlineStr">
        <is>
          <t>Trưởng Phòng Kinh Doanh (Kho Bãi/ Vận Chuyển) Thu Nhập Upto 3000$/tháng</t>
        </is>
      </c>
      <c r="D8618" s="10" t="inlineStr">
        <is>
          <t>Công ty Cổ phần VINAFCO</t>
        </is>
      </c>
      <c r="E8618" s="10" t="inlineStr">
        <is>
          <t>$$ 2,000-3,000 /tháng</t>
        </is>
      </c>
      <c r="F8618" s="10" t="inlineStr">
        <is>
          <t>Hà Nội</t>
        </is>
      </c>
      <c r="G8618" s="10" t="inlineStr">
        <is>
          <t>Trưởng phòng</t>
        </is>
      </c>
      <c r="H8618" s="10" t="inlineStr">
        <is>
          <t>09/03/2026</t>
        </is>
      </c>
      <c r="I8618" s="10" t="inlineStr">
        <is>
          <t>08/04/2026</t>
        </is>
      </c>
      <c r="J8618" s="10" t="inlineStr">
        <is>
          <t>17/03/2026</t>
        </is>
      </c>
      <c r="K8618" s="10" t="inlineStr">
        <is>
          <t>N/A</t>
        </is>
      </c>
      <c r="L8618" s="10" t="inlineStr">
        <is>
          <t>Logistics, Đàm Phán, Kinh Doanh Logistics, Quản Lý Nhân Viên, Sales Logistics</t>
        </is>
      </c>
      <c r="M8618" s="10" t="inlineStr">
        <is>
          <t>Bonus, Healthcare Plan, Laptop, Transportation, Others</t>
        </is>
      </c>
      <c r="N8618" s="11">
        <f>HYPERLINK("https://www.vietnamworks.com/truong-phong-kinh-doanh-kho-bai-van-chuyen-thu-nhap-upto-3000-thang-2020114-jv","Xem chi tiết")</f>
        <v/>
      </c>
      <c r="O8618" s="10" t="n"/>
    </row>
    <row r="8619">
      <c r="B8619" s="7" t="n">
        <v>8617</v>
      </c>
      <c r="C8619" t="inlineStr">
        <is>
          <t>Chuyên Viên Pháp Chế (Legal Specialist)</t>
        </is>
      </c>
      <c r="D8619" t="inlineStr">
        <is>
          <t>CÔNG TY CỔ PHẦN NAM VIỆT LAND</t>
        </is>
      </c>
      <c r="E8619" t="inlineStr">
        <is>
          <t>Thương lượng</t>
        </is>
      </c>
      <c r="F8619" t="inlineStr">
        <is>
          <t>Hồ Chí Minh</t>
        </is>
      </c>
      <c r="G8619" t="inlineStr">
        <is>
          <t>Nhân viên</t>
        </is>
      </c>
      <c r="H8619" t="inlineStr">
        <is>
          <t>09/03/2026</t>
        </is>
      </c>
      <c r="I8619" t="inlineStr">
        <is>
          <t>08/04/2026</t>
        </is>
      </c>
      <c r="J8619" t="inlineStr">
        <is>
          <t>17/03/2026</t>
        </is>
      </c>
      <c r="K8619" t="inlineStr">
        <is>
          <t>N/A</t>
        </is>
      </c>
      <c r="L8619" t="inlineStr">
        <is>
          <t>Luật, Bất Động Sản, Pháp Chế, pháp lý &amp; quan hệ lao động, Legal</t>
        </is>
      </c>
      <c r="M8619" t="inlineStr">
        <is>
          <t>Bonus, Healthcare Plan, Team Activities, Others</t>
        </is>
      </c>
      <c r="N8619" s="8">
        <f>HYPERLINK("https://www.vietnamworks.com/chuyen-vien-phap-che-legal-specialist-2020111-jv","Xem chi tiết")</f>
        <v/>
      </c>
    </row>
    <row r="8620">
      <c r="B8620" s="9" t="n">
        <v>8618</v>
      </c>
      <c r="C8620" s="10" t="inlineStr">
        <is>
          <t>Trưởng Phòng Thiết Kế (Mechanical Design Manager)</t>
        </is>
      </c>
      <c r="D8620" s="10" t="inlineStr">
        <is>
          <t>CÔNG TY CP TẬP ĐOÀN VINATECH VIỆT NAM</t>
        </is>
      </c>
      <c r="E8620" s="10" t="inlineStr">
        <is>
          <t>$$ 1,000-1,500 /tháng</t>
        </is>
      </c>
      <c r="F8620" s="10" t="inlineStr">
        <is>
          <t>Hồ Chí Minh, Hà Nội</t>
        </is>
      </c>
      <c r="G8620" s="10" t="inlineStr">
        <is>
          <t>Trưởng phòng</t>
        </is>
      </c>
      <c r="H8620" s="10" t="inlineStr">
        <is>
          <t>09/03/2026</t>
        </is>
      </c>
      <c r="I8620" s="10" t="inlineStr">
        <is>
          <t>08/04/2026</t>
        </is>
      </c>
      <c r="J8620" s="10" t="inlineStr">
        <is>
          <t>17/03/2026</t>
        </is>
      </c>
      <c r="K8620" s="10" t="inlineStr">
        <is>
          <t>N/A</t>
        </is>
      </c>
      <c r="L8620" s="10" t="inlineStr">
        <is>
          <t>Inventor, SolidWork 2D/3D, AutoCAD, Thiết Kế Kết Cấu, Thiết Kế Cơ Khí</t>
        </is>
      </c>
      <c r="M8620" s="10" t="inlineStr">
        <is>
          <t>Bonus, Paid Leave, Training</t>
        </is>
      </c>
      <c r="N8620" s="11">
        <f>HYPERLINK("https://www.vietnamworks.com/truong-phong-thiet-ke-mechanical-design-manager-2020097-jv","Xem chi tiết")</f>
        <v/>
      </c>
      <c r="O8620" s="10" t="n"/>
    </row>
    <row r="8621">
      <c r="B8621" s="7" t="n">
        <v>8619</v>
      </c>
      <c r="C8621" t="inlineStr">
        <is>
          <t>SAP Senior Consultant - SAP SD (Sales and Distribution) Implementation</t>
        </is>
      </c>
      <c r="D8621" t="inlineStr">
        <is>
          <t>Deloitte Consulting SEA</t>
        </is>
      </c>
      <c r="E8621" t="inlineStr">
        <is>
          <t>Thương lượng</t>
        </is>
      </c>
      <c r="F8621" t="inlineStr">
        <is>
          <t>Hồ Chí Minh, Hà Nội</t>
        </is>
      </c>
      <c r="G8621" t="inlineStr">
        <is>
          <t>Nhân viên</t>
        </is>
      </c>
      <c r="H8621" t="inlineStr">
        <is>
          <t>09/03/2026</t>
        </is>
      </c>
      <c r="I8621" t="inlineStr">
        <is>
          <t>08/04/2026</t>
        </is>
      </c>
      <c r="J8621" t="inlineStr">
        <is>
          <t>17/03/2026</t>
        </is>
      </c>
      <c r="K8621" t="inlineStr">
        <is>
          <t>N/A</t>
        </is>
      </c>
      <c r="L8621" t="inlineStr">
        <is>
          <t>SAP, Consulting, Information Technology, SAP Consulting, Manufacturing Operations</t>
        </is>
      </c>
      <c r="M8621" t="inlineStr">
        <is>
          <t>Bonus, Healthcare Plan, Travel Opportunities</t>
        </is>
      </c>
      <c r="N8621" s="8">
        <f>HYPERLINK("https://www.vietnamworks.com/sap-senior-consultant-sap-sd-sales-and-distribution-implementation--2020107-jv","Xem chi tiết")</f>
        <v/>
      </c>
    </row>
    <row r="8622">
      <c r="B8622" s="9" t="n">
        <v>8620</v>
      </c>
      <c r="C8622" s="10" t="inlineStr">
        <is>
          <t>Senior Customer Service Executive</t>
        </is>
      </c>
      <c r="D8622" s="10" t="inlineStr">
        <is>
          <t>Công ty TNHH trung tâm thương mại và Nhà ở Hà nội</t>
        </is>
      </c>
      <c r="E8622" s="10" t="inlineStr">
        <is>
          <t>13tr-15tr ₫/tháng</t>
        </is>
      </c>
      <c r="F8622" s="10" t="inlineStr">
        <is>
          <t>Hà Nội</t>
        </is>
      </c>
      <c r="G8622" s="10" t="inlineStr">
        <is>
          <t>Nhân viên</t>
        </is>
      </c>
      <c r="H8622" s="10" t="inlineStr">
        <is>
          <t>09/03/2026</t>
        </is>
      </c>
      <c r="I8622" s="10" t="inlineStr">
        <is>
          <t>08/04/2026</t>
        </is>
      </c>
      <c r="J8622" s="10" t="inlineStr">
        <is>
          <t>17/03/2026</t>
        </is>
      </c>
      <c r="K8622" s="10" t="inlineStr">
        <is>
          <t>N/A</t>
        </is>
      </c>
      <c r="L8622" s="10" t="inlineStr">
        <is>
          <t>MS Office, Building Management, Complaint Handling, Customer Mindset, English</t>
        </is>
      </c>
      <c r="M8622" s="10" t="inlineStr">
        <is>
          <t>Bonus, Healthcare Plan, Others</t>
        </is>
      </c>
      <c r="N8622" s="11">
        <f>HYPERLINK("https://www.vietnamworks.com/senior-customer-service-executive--2020099-jv","Xem chi tiết")</f>
        <v/>
      </c>
      <c r="O8622" s="10" t="n"/>
    </row>
    <row r="8623">
      <c r="B8623" s="7" t="n">
        <v>8621</v>
      </c>
      <c r="C8623" t="inlineStr">
        <is>
          <t>Tuyển Dụng Chuyên Viên Kinh Doanh Ngành Năng Lượng</t>
        </is>
      </c>
      <c r="D8623" t="inlineStr">
        <is>
          <t>Công Ty TNHH Năng Lượng Bền Vững Việt Nga</t>
        </is>
      </c>
      <c r="E8623" t="inlineStr">
        <is>
          <t>Thương lượng</t>
        </is>
      </c>
      <c r="F8623" t="inlineStr">
        <is>
          <t>Hồ Chí Minh</t>
        </is>
      </c>
      <c r="G8623" t="inlineStr">
        <is>
          <t>Nhân viên</t>
        </is>
      </c>
      <c r="H8623" t="inlineStr">
        <is>
          <t>09/03/2026</t>
        </is>
      </c>
      <c r="I8623" t="inlineStr">
        <is>
          <t>08/04/2026</t>
        </is>
      </c>
      <c r="J8623" t="inlineStr">
        <is>
          <t>17/03/2026</t>
        </is>
      </c>
      <c r="K8623" t="inlineStr">
        <is>
          <t>N/A</t>
        </is>
      </c>
      <c r="L8623" t="inlineStr">
        <is>
          <t>Sales, Kinh Doanh, Phát Triển Thị Trường, Tìm Kiếm Khách Hàng, Sales Planning</t>
        </is>
      </c>
      <c r="M8623" t="inlineStr">
        <is>
          <t>Bonus, Healthcare Plan, Team Activities</t>
        </is>
      </c>
      <c r="N8623" s="8">
        <f>HYPERLINK("https://www.vietnamworks.com/tuyen-dung-chuyen-vien-kinh-doanh-nganh-nang-luong-2020105-jv","Xem chi tiết")</f>
        <v/>
      </c>
    </row>
    <row r="8624">
      <c r="B8624" s="9" t="n">
        <v>8622</v>
      </c>
      <c r="C8624" s="10" t="inlineStr">
        <is>
          <t>Paraplanner / Financial Planner Assistant (Home-Based)</t>
        </is>
      </c>
      <c r="D8624" s="10" t="inlineStr">
        <is>
          <t>Australian Based Company</t>
        </is>
      </c>
      <c r="E8624" s="10" t="inlineStr">
        <is>
          <t>Thương lượng</t>
        </is>
      </c>
      <c r="F8624" s="10" t="inlineStr">
        <is>
          <t>Hồ Chí Minh, Đà Nẵng</t>
        </is>
      </c>
      <c r="G8624" s="10" t="inlineStr">
        <is>
          <t>Nhân viên</t>
        </is>
      </c>
      <c r="H8624" s="10" t="inlineStr">
        <is>
          <t>09/03/2026</t>
        </is>
      </c>
      <c r="I8624" s="10" t="inlineStr">
        <is>
          <t>08/04/2026</t>
        </is>
      </c>
      <c r="J8624" s="10" t="inlineStr">
        <is>
          <t>17/03/2026</t>
        </is>
      </c>
      <c r="K8624" s="10" t="inlineStr">
        <is>
          <t>N/A</t>
        </is>
      </c>
      <c r="L8624" s="10" t="inlineStr">
        <is>
          <t>Tài Chính Ngân Hàng, Hệ Thống Thuế, Kế Toán Thuế, Kế Hoạch Tài Chính, Superannuation Knowledge</t>
        </is>
      </c>
      <c r="M8624" s="10" t="inlineStr">
        <is>
          <t>Bonus, Paid Leave, Others</t>
        </is>
      </c>
      <c r="N8624" s="11">
        <f>HYPERLINK("https://www.vietnamworks.com/paraplanner-financial-planner-assistant-home-based-2020095-jv","Xem chi tiết")</f>
        <v/>
      </c>
      <c r="O8624" s="10" t="n"/>
    </row>
    <row r="8625">
      <c r="B8625" s="7" t="n">
        <v>8623</v>
      </c>
      <c r="C8625" t="inlineStr">
        <is>
          <t>Customer Service Officier</t>
        </is>
      </c>
      <c r="D8625" t="inlineStr">
        <is>
          <t>Igus Vietnam Company Limited</t>
        </is>
      </c>
      <c r="E8625" t="inlineStr">
        <is>
          <t>Thương lượng</t>
        </is>
      </c>
      <c r="F8625" t="inlineStr">
        <is>
          <t>Hồ Chí Minh</t>
        </is>
      </c>
      <c r="G8625" t="inlineStr">
        <is>
          <t>Nhân viên</t>
        </is>
      </c>
      <c r="H8625" t="inlineStr">
        <is>
          <t>09/03/2026</t>
        </is>
      </c>
      <c r="I8625" t="inlineStr">
        <is>
          <t>08/04/2026</t>
        </is>
      </c>
      <c r="J8625" t="inlineStr">
        <is>
          <t>17/03/2026</t>
        </is>
      </c>
      <c r="K8625" t="inlineStr">
        <is>
          <t>N/A</t>
        </is>
      </c>
      <c r="L8625" t="inlineStr">
        <is>
          <t>Customs Clearance, Customer Interaction, Shipment Tracking, Complaint Handling, Customer Experiences</t>
        </is>
      </c>
      <c r="M8625" t="inlineStr">
        <is>
          <t>Bonus, Healthcare Plan, Team Activities</t>
        </is>
      </c>
      <c r="N8625" s="8">
        <f>HYPERLINK("https://www.vietnamworks.com/customer-service-officier-2020101-jv","Xem chi tiết")</f>
        <v/>
      </c>
    </row>
    <row r="8626">
      <c r="B8626" s="9" t="n">
        <v>8624</v>
      </c>
      <c r="C8626" s="10" t="inlineStr">
        <is>
          <t>Service &amp; Application Engineer (EDM) - Kĩ sư dịch vụ máy CNC</t>
        </is>
      </c>
      <c r="D8626" s="10" t="inlineStr">
        <is>
          <t>Mitsubishi Electric Vietnam Co. Ltd.</t>
        </is>
      </c>
      <c r="E8626" s="10" t="inlineStr">
        <is>
          <t>Thương lượng</t>
        </is>
      </c>
      <c r="F8626" s="10" t="inlineStr">
        <is>
          <t>Hà Nội</t>
        </is>
      </c>
      <c r="G8626" s="10" t="inlineStr">
        <is>
          <t>Nhân viên</t>
        </is>
      </c>
      <c r="H8626" s="10" t="inlineStr">
        <is>
          <t>09/03/2026</t>
        </is>
      </c>
      <c r="I8626" s="10" t="inlineStr">
        <is>
          <t>08/04/2026</t>
        </is>
      </c>
      <c r="J8626" s="10" t="inlineStr">
        <is>
          <t>17/03/2026</t>
        </is>
      </c>
      <c r="K8626" s="10" t="inlineStr">
        <is>
          <t>N/A</t>
        </is>
      </c>
      <c r="L8626" s="10" t="inlineStr">
        <is>
          <t>CNC Machinery, Communication, Electrical Engineering, Mechatronics Engineering, Edm Operation</t>
        </is>
      </c>
      <c r="M8626" s="10" t="inlineStr">
        <is>
          <t>Bonus, Healthcare Plan, Paid Leave, Laptop, Travel Opportunities</t>
        </is>
      </c>
      <c r="N8626" s="11">
        <f>HYPERLINK("https://www.vietnamworks.com/service-and-application-engineer-edm-ki-su-dich-vu-may-cnc-2020106-jv","Xem chi tiết")</f>
        <v/>
      </c>
      <c r="O8626" s="10" t="n"/>
    </row>
    <row r="8627">
      <c r="B8627" s="7" t="n">
        <v>8625</v>
      </c>
      <c r="C8627" t="inlineStr">
        <is>
          <t>Trưởng Bộ Phận Quản Trị Giải Pháp Tài Chính</t>
        </is>
      </c>
      <c r="D8627" t="inlineStr">
        <is>
          <t>Ngân Hàng TMCP Đại Chúng Việt Nam</t>
        </is>
      </c>
      <c r="E8627" t="inlineStr">
        <is>
          <t>Thương lượng</t>
        </is>
      </c>
      <c r="F8627" t="inlineStr">
        <is>
          <t>Hà Nội</t>
        </is>
      </c>
      <c r="G8627" t="inlineStr">
        <is>
          <t>Trưởng phòng</t>
        </is>
      </c>
      <c r="H8627" t="inlineStr">
        <is>
          <t>06/03/2026</t>
        </is>
      </c>
      <c r="I8627" t="inlineStr">
        <is>
          <t>08/04/2026</t>
        </is>
      </c>
      <c r="J8627" t="inlineStr">
        <is>
          <t>17/03/2026</t>
        </is>
      </c>
      <c r="K8627" t="inlineStr">
        <is>
          <t>N/A</t>
        </is>
      </c>
      <c r="L8627" t="inlineStr">
        <is>
          <t>Tư Vấn Tài Chính, Phát Triển Sản Phẩm, Thiết Kế Giải Pháp, Tài Chính Ngân Hàng, Giao Tiếp Đàm Phán</t>
        </is>
      </c>
      <c r="M8627" t="inlineStr">
        <is>
          <t>Bonus, Healthcare Plan, Canteen</t>
        </is>
      </c>
      <c r="N8627" s="8">
        <f>HYPERLINK("https://www.vietnamworks.com/truong-bo-phan-quan-tri-giai-phap-tai-chinh-2019927-jv","Xem chi tiết")</f>
        <v/>
      </c>
    </row>
    <row r="8628">
      <c r="B8628" s="9" t="n">
        <v>8626</v>
      </c>
      <c r="C8628" s="10" t="inlineStr">
        <is>
          <t>Senior IT Business Analyst cum Product Manager</t>
        </is>
      </c>
      <c r="D8628" s="10" t="inlineStr">
        <is>
          <t>Dai-Ichi Life Vietnam</t>
        </is>
      </c>
      <c r="E8628" s="10" t="inlineStr">
        <is>
          <t>Thương lượng</t>
        </is>
      </c>
      <c r="F8628" s="10" t="inlineStr">
        <is>
          <t>Hồ Chí Minh</t>
        </is>
      </c>
      <c r="G8628" s="10" t="inlineStr">
        <is>
          <t>Nhân viên</t>
        </is>
      </c>
      <c r="H8628" s="10" t="inlineStr">
        <is>
          <t>09/03/2026</t>
        </is>
      </c>
      <c r="I8628" s="10" t="inlineStr">
        <is>
          <t>08/04/2026</t>
        </is>
      </c>
      <c r="J8628" s="10" t="inlineStr">
        <is>
          <t>17/03/2026</t>
        </is>
      </c>
      <c r="K8628" s="10" t="inlineStr">
        <is>
          <t>N/A</t>
        </is>
      </c>
      <c r="L8628" s="10" t="inlineStr">
        <is>
          <t>BA, Business Analysis, product owner, Product Manager, Insurance</t>
        </is>
      </c>
      <c r="M8628" s="10" t="inlineStr">
        <is>
          <t>Bonus, Healthcare Plan, Paid Leave</t>
        </is>
      </c>
      <c r="N8628" s="11">
        <f>HYPERLINK("https://www.vietnamworks.com/senior-it-business-analyst-cum-product-manager--2020103-jv","Xem chi tiết")</f>
        <v/>
      </c>
      <c r="O8628" s="10" t="n"/>
    </row>
    <row r="8629">
      <c r="B8629" s="7" t="n">
        <v>8627</v>
      </c>
      <c r="C8629" t="inlineStr">
        <is>
          <t>Senior Sales Executive - Domestic Trucking &amp; Warehousing</t>
        </is>
      </c>
      <c r="D8629" t="inlineStr">
        <is>
          <t>Công Ty TNHH Pactra-Sebang VINA</t>
        </is>
      </c>
      <c r="E8629" t="inlineStr">
        <is>
          <t>Thương lượng</t>
        </is>
      </c>
      <c r="F8629" t="inlineStr">
        <is>
          <t>Hồ Chí Minh</t>
        </is>
      </c>
      <c r="G8629" t="inlineStr">
        <is>
          <t>Nhân viên</t>
        </is>
      </c>
      <c r="H8629" t="inlineStr">
        <is>
          <t>09/03/2026</t>
        </is>
      </c>
      <c r="I8629" t="inlineStr">
        <is>
          <t>08/04/2026</t>
        </is>
      </c>
      <c r="J8629" t="inlineStr">
        <is>
          <t>17/03/2026</t>
        </is>
      </c>
      <c r="K8629" t="inlineStr">
        <is>
          <t>N/A</t>
        </is>
      </c>
      <c r="L8629" t="inlineStr">
        <is>
          <t>Business Development, Client Acquisition, Logistics Consulting, Market Analysis, Kinh Doanh</t>
        </is>
      </c>
      <c r="M8629" t="inlineStr">
        <is>
          <t>Bonus, Healthcare Plan, Training, Awards, Others</t>
        </is>
      </c>
      <c r="N8629" s="8">
        <f>HYPERLINK("https://www.vietnamworks.com/senior-sales-executive-domestic-trucking-warehousing-2020117-jv","Xem chi tiết")</f>
        <v/>
      </c>
    </row>
    <row r="8630">
      <c r="B8630" s="9" t="n">
        <v>8628</v>
      </c>
      <c r="C8630" s="10" t="inlineStr">
        <is>
          <t>Kỹ Thuật Viên Quản Lý Chất Lượng</t>
        </is>
      </c>
      <c r="D8630" s="10" t="inlineStr">
        <is>
          <t>Hitachi Energy Vietnam</t>
        </is>
      </c>
      <c r="E8630" s="10" t="inlineStr">
        <is>
          <t>Thương lượng</t>
        </is>
      </c>
      <c r="F8630" s="10" t="inlineStr">
        <is>
          <t>Bắc Ninh</t>
        </is>
      </c>
      <c r="G8630" s="10" t="inlineStr">
        <is>
          <t>Mới Tốt Nghiệp</t>
        </is>
      </c>
      <c r="H8630" s="10" t="inlineStr">
        <is>
          <t>09/03/2026</t>
        </is>
      </c>
      <c r="I8630" s="10" t="inlineStr">
        <is>
          <t>08/04/2026</t>
        </is>
      </c>
      <c r="J8630" s="10" t="inlineStr">
        <is>
          <t>17/03/2026</t>
        </is>
      </c>
      <c r="K8630" s="10" t="inlineStr">
        <is>
          <t>N/A</t>
        </is>
      </c>
      <c r="L8630" s="10" t="inlineStr">
        <is>
          <t>QC, QA, Quality Assurance, Quality Inspection</t>
        </is>
      </c>
      <c r="M8630" s="10" t="inlineStr">
        <is>
          <t>Bonus, Training, Team Activities</t>
        </is>
      </c>
      <c r="N8630" s="11">
        <f>HYPERLINK("https://www.vietnamworks.com/ky-thuat-vien-quan-ly-chat-luong--2020119-jv","Xem chi tiết")</f>
        <v/>
      </c>
      <c r="O8630" s="10" t="n"/>
    </row>
    <row r="8631">
      <c r="B8631" s="7" t="n">
        <v>8629</v>
      </c>
      <c r="C8631" t="inlineStr">
        <is>
          <t>Giám Đốc Miền Kinh Doanh – Kênh Đại Lý</t>
        </is>
      </c>
      <c r="D8631" t="inlineStr">
        <is>
          <t>FWD</t>
        </is>
      </c>
      <c r="E8631" t="inlineStr">
        <is>
          <t>Từ 110tr ₫/tháng</t>
        </is>
      </c>
      <c r="F8631" t="inlineStr">
        <is>
          <t>Hồ Chí Minh, Hà Nội, Cần Thơ</t>
        </is>
      </c>
      <c r="G8631" t="inlineStr">
        <is>
          <t>Giám Đốc và Cấp Cao Hơn</t>
        </is>
      </c>
      <c r="H8631" t="inlineStr">
        <is>
          <t>09/03/2026</t>
        </is>
      </c>
      <c r="I8631" t="inlineStr">
        <is>
          <t>08/04/2026</t>
        </is>
      </c>
      <c r="J8631" t="inlineStr">
        <is>
          <t>17/03/2026</t>
        </is>
      </c>
      <c r="K8631" t="inlineStr">
        <is>
          <t>N/A</t>
        </is>
      </c>
      <c r="L8631" t="inlineStr">
        <is>
          <t>Quản Lý Kinh Doanh, Tuyển Dụng, Lãnh Đạo, Bảo Hiểm Nhân Thọ, Kế Hoạch Kinh Doanh</t>
        </is>
      </c>
      <c r="M8631" t="inlineStr">
        <is>
          <t>Bonus, Healthcare Plan, Paid Leave, Training, Laptop, Team Activities, Others</t>
        </is>
      </c>
      <c r="N8631" s="8">
        <f>HYPERLINK("https://www.vietnamworks.com/giam-djoc-mien-kinh-doanh-kenh-djai-ly-2020120-jv","Xem chi tiết")</f>
        <v/>
      </c>
    </row>
    <row r="8632">
      <c r="B8632" s="9" t="n">
        <v>8630</v>
      </c>
      <c r="C8632" s="10" t="inlineStr">
        <is>
          <t>Chuyên Viên Kinh Doanh Bao Bì Quốc Tế (Lương Cứng 13-20Tr/tháng + Hoa Hồng)</t>
        </is>
      </c>
      <c r="D8632" s="10" t="inlineStr">
        <is>
          <t>Công Ty Cổ Phần Kanetora</t>
        </is>
      </c>
      <c r="E8632" s="10" t="inlineStr">
        <is>
          <t>25tr-50tr ₫/tháng</t>
        </is>
      </c>
      <c r="F8632" s="10" t="inlineStr">
        <is>
          <t>Hà Nội</t>
        </is>
      </c>
      <c r="G8632" s="10" t="inlineStr">
        <is>
          <t>Nhân viên</t>
        </is>
      </c>
      <c r="H8632" s="10" t="inlineStr">
        <is>
          <t>09/03/2026</t>
        </is>
      </c>
      <c r="I8632" s="10" t="inlineStr">
        <is>
          <t>08/04/2026</t>
        </is>
      </c>
      <c r="J8632" s="10" t="inlineStr">
        <is>
          <t>17/03/2026</t>
        </is>
      </c>
      <c r="K8632" s="10" t="inlineStr">
        <is>
          <t>N/A</t>
        </is>
      </c>
      <c r="L8632" s="10" t="inlineStr">
        <is>
          <t>Kinh Doanh Quốc Tế, Kinh Doanh, Bán hàng &amp; Chăm sóc khách hàng, Telesale, Bán Hàng</t>
        </is>
      </c>
      <c r="M8632" s="10" t="inlineStr">
        <is>
          <t>Bonus, Healthcare Plan, Laptop, Travel Opportunities, Others</t>
        </is>
      </c>
      <c r="N8632" s="11">
        <f>HYPERLINK("https://www.vietnamworks.com/chuyen-vien-kinh-doanh-bao-bi-quoc-te-luong-cung-13-20trthang-hoa-hong-2020121-jv","Xem chi tiết")</f>
        <v/>
      </c>
      <c r="O8632" s="10" t="n"/>
    </row>
    <row r="8633">
      <c r="B8633" s="7" t="n">
        <v>8631</v>
      </c>
      <c r="C8633" t="inlineStr">
        <is>
          <t>Senior Investment Analyst</t>
        </is>
      </c>
      <c r="D8633" t="inlineStr">
        <is>
          <t>VIETNAM INVESTMENTS GROUP</t>
        </is>
      </c>
      <c r="E8633" t="inlineStr">
        <is>
          <t>Thương lượng</t>
        </is>
      </c>
      <c r="F8633" t="inlineStr">
        <is>
          <t>Hồ Chí Minh</t>
        </is>
      </c>
      <c r="G8633" t="inlineStr">
        <is>
          <t>Nhân viên</t>
        </is>
      </c>
      <c r="H8633" t="inlineStr">
        <is>
          <t>09/03/2026</t>
        </is>
      </c>
      <c r="I8633" t="inlineStr">
        <is>
          <t>08/04/2026</t>
        </is>
      </c>
      <c r="J8633" t="inlineStr">
        <is>
          <t>17/03/2026</t>
        </is>
      </c>
      <c r="K8633" t="inlineStr">
        <is>
          <t>N/A</t>
        </is>
      </c>
      <c r="L8633" t="inlineStr">
        <is>
          <t>Đầu Tư, Tài Chính, Phân Tích Đầu Tư, Investment, Investment Analysis</t>
        </is>
      </c>
      <c r="M8633" t="inlineStr">
        <is>
          <t>Bonus, Healthcare Plan, Paid Leave</t>
        </is>
      </c>
      <c r="N8633" s="8">
        <f>HYPERLINK("https://www.vietnamworks.com/senior-investment-analyst--2020129-jv","Xem chi tiết")</f>
        <v/>
      </c>
    </row>
    <row r="8634">
      <c r="B8634" s="9" t="n">
        <v>8632</v>
      </c>
      <c r="C8634" s="10" t="inlineStr">
        <is>
          <t>Production Manager/ Deputy Production Manager (Làm Việc Tại Vĩnh Phúc, Có Xe Bus)</t>
        </is>
      </c>
      <c r="D8634" s="10" t="inlineStr">
        <is>
          <t>Công Ty TNHH Chăn Nuôi Việt Nhật - Công Ty Thành Viên Của Vinamilk</t>
        </is>
      </c>
      <c r="E8634" s="10" t="inlineStr">
        <is>
          <t>Thương lượng</t>
        </is>
      </c>
      <c r="F8634" s="10" t="inlineStr">
        <is>
          <t>Hà Nội, Vĩnh Phúc</t>
        </is>
      </c>
      <c r="G8634" s="10" t="inlineStr">
        <is>
          <t>Trưởng phòng</t>
        </is>
      </c>
      <c r="H8634" s="10" t="inlineStr">
        <is>
          <t>09/03/2026</t>
        </is>
      </c>
      <c r="I8634" s="10" t="inlineStr">
        <is>
          <t>08/04/2026</t>
        </is>
      </c>
      <c r="J8634" s="10" t="inlineStr">
        <is>
          <t>17/03/2026</t>
        </is>
      </c>
      <c r="K8634" s="10" t="inlineStr">
        <is>
          <t>N/A</t>
        </is>
      </c>
      <c r="L8634" s="10" t="inlineStr">
        <is>
          <t>HACCP, Quality Control, Inventory Management, Production Management, Hygiene Management</t>
        </is>
      </c>
      <c r="M8634" s="10" t="inlineStr">
        <is>
          <t>Bonus, Healthcare Plan, Travel Opportunities</t>
        </is>
      </c>
      <c r="N8634" s="11">
        <f>HYPERLINK("https://www.vietnamworks.com/production-manager-deputy-production-manager-lam-viec-tai-vinh-phuc-co-xe-bus-2020122-jv","Xem chi tiết")</f>
        <v/>
      </c>
      <c r="O8634" s="10" t="n"/>
    </row>
    <row r="8635">
      <c r="B8635" s="7" t="n">
        <v>8633</v>
      </c>
      <c r="C8635" t="inlineStr">
        <is>
          <t>Nhân Viên Phiên Dịch Và Quản Lý Văn Bản Thuộc Bộ Phận Quản Lý Chất Lượng (QA)</t>
        </is>
      </c>
      <c r="D8635" t="inlineStr">
        <is>
          <t>Tohoku Pioneer Vietnam Co., Ltd</t>
        </is>
      </c>
      <c r="E8635" t="inlineStr">
        <is>
          <t>Thương lượng</t>
        </is>
      </c>
      <c r="F8635" t="inlineStr">
        <is>
          <t>Hải Phòng</t>
        </is>
      </c>
      <c r="G8635" t="inlineStr">
        <is>
          <t>Nhân viên</t>
        </is>
      </c>
      <c r="H8635" t="inlineStr">
        <is>
          <t>09/03/2026</t>
        </is>
      </c>
      <c r="I8635" t="inlineStr">
        <is>
          <t>08/04/2026</t>
        </is>
      </c>
      <c r="J8635" t="inlineStr">
        <is>
          <t>17/03/2026</t>
        </is>
      </c>
      <c r="K8635" t="inlineStr">
        <is>
          <t>N/A</t>
        </is>
      </c>
      <c r="L8635" t="inlineStr">
        <is>
          <t>Phiên Dịch Tài Liệu, Quản Lý Tạp Vụ, Tiếng Nhật N2, Excel, Làm Việc Nhóm</t>
        </is>
      </c>
      <c r="M8635" t="inlineStr">
        <is>
          <t>Bonus, Training, Travel Opportunities</t>
        </is>
      </c>
      <c r="N8635" s="8">
        <f>HYPERLINK("https://www.vietnamworks.com/nhan-vien-phien-dich-va-quan-ly-van-ban-thuoc-bo-phan-quan-ly-chat-luong-qa-2020131-jv","Xem chi tiết")</f>
        <v/>
      </c>
    </row>
    <row r="8636">
      <c r="B8636" s="9" t="n">
        <v>8634</v>
      </c>
      <c r="C8636" s="10" t="inlineStr">
        <is>
          <t>HRIS Specialist</t>
        </is>
      </c>
      <c r="D8636" s="10" t="inlineStr">
        <is>
          <t>Công Ty CP Dây Cáp Điện Việt Nam - CADIVI</t>
        </is>
      </c>
      <c r="E8636" s="10" t="inlineStr">
        <is>
          <t>Thương lượng</t>
        </is>
      </c>
      <c r="F8636" s="10" t="inlineStr">
        <is>
          <t>Hồ Chí Minh</t>
        </is>
      </c>
      <c r="G8636" s="10" t="inlineStr">
        <is>
          <t>Nhân viên</t>
        </is>
      </c>
      <c r="H8636" s="10" t="inlineStr">
        <is>
          <t>09/03/2026</t>
        </is>
      </c>
      <c r="I8636" s="10" t="inlineStr">
        <is>
          <t>08/04/2026</t>
        </is>
      </c>
      <c r="J8636" s="10" t="inlineStr">
        <is>
          <t>17/03/2026</t>
        </is>
      </c>
      <c r="K8636" s="10" t="inlineStr">
        <is>
          <t>N/A</t>
        </is>
      </c>
      <c r="L8636" s="10" t="inlineStr">
        <is>
          <t>Analytical Data, HR Services, HRIS, Total Reward</t>
        </is>
      </c>
      <c r="M8636" s="10" t="inlineStr">
        <is>
          <t>Bonus, Training, Awards</t>
        </is>
      </c>
      <c r="N8636" s="11">
        <f>HYPERLINK("https://www.vietnamworks.com/hris-specialist-2020133-jv","Xem chi tiết")</f>
        <v/>
      </c>
      <c r="O8636" s="10" t="n"/>
    </row>
    <row r="8637">
      <c r="B8637" s="7" t="n">
        <v>8635</v>
      </c>
      <c r="C8637" t="inlineStr">
        <is>
          <t>IT Senior Specialist</t>
        </is>
      </c>
      <c r="D8637" t="inlineStr">
        <is>
          <t>Samsung Vina Electronics (savina-s)</t>
        </is>
      </c>
      <c r="E8637" t="inlineStr">
        <is>
          <t>Thương lượng</t>
        </is>
      </c>
      <c r="F8637" t="inlineStr">
        <is>
          <t>Hồ Chí Minh</t>
        </is>
      </c>
      <c r="G8637" t="inlineStr">
        <is>
          <t>Nhân viên</t>
        </is>
      </c>
      <c r="H8637" t="inlineStr">
        <is>
          <t>09/03/2026</t>
        </is>
      </c>
      <c r="I8637" t="inlineStr">
        <is>
          <t>08/04/2026</t>
        </is>
      </c>
      <c r="J8637" t="inlineStr">
        <is>
          <t>17/03/2026</t>
        </is>
      </c>
      <c r="K8637" t="inlineStr">
        <is>
          <t>N/A</t>
        </is>
      </c>
      <c r="L8637" t="inlineStr">
        <is>
          <t>Network, IT System Administration, IT Infrastructure, IT Helpdesk, IT Operations</t>
        </is>
      </c>
      <c r="M8637" t="inlineStr">
        <is>
          <t>Bonus, Healthcare Plan</t>
        </is>
      </c>
      <c r="N8637" s="8">
        <f>HYPERLINK("https://www.vietnamworks.com/it-senior-specialist--2020132-jv","Xem chi tiết")</f>
        <v/>
      </c>
    </row>
    <row r="8638">
      <c r="B8638" s="9" t="n">
        <v>8636</v>
      </c>
      <c r="C8638" s="10" t="inlineStr">
        <is>
          <t>Maintenance Engineer (Working in Hai Phong)</t>
        </is>
      </c>
      <c r="D8638" s="10" t="inlineStr">
        <is>
          <t>VINFAST TRADING AND PRODUCTION JSC</t>
        </is>
      </c>
      <c r="E8638" s="10" t="inlineStr">
        <is>
          <t>Thương lượng</t>
        </is>
      </c>
      <c r="F8638" s="10" t="inlineStr">
        <is>
          <t>Hải Phòng</t>
        </is>
      </c>
      <c r="G8638" s="10" t="inlineStr">
        <is>
          <t>Nhân viên</t>
        </is>
      </c>
      <c r="H8638" s="10" t="inlineStr">
        <is>
          <t>09/03/2026</t>
        </is>
      </c>
      <c r="I8638" s="10" t="inlineStr">
        <is>
          <t>08/04/2026</t>
        </is>
      </c>
      <c r="J8638" s="10" t="inlineStr">
        <is>
          <t>17/03/2026</t>
        </is>
      </c>
      <c r="K8638" s="10" t="inlineStr">
        <is>
          <t>N/A</t>
        </is>
      </c>
      <c r="L8638" s="10" t="inlineStr">
        <is>
          <t>Electrical Engineering, Maintenance Engineering, Mechanical Engineering, Problem-solving, Troubleshooting</t>
        </is>
      </c>
      <c r="M8638" s="10" t="inlineStr">
        <is>
          <t>Bonus, Healthcare Plan, Training, Laptop, Transportation, Canteen, Others</t>
        </is>
      </c>
      <c r="N8638" s="11">
        <f>HYPERLINK("https://www.vietnamworks.com/maintenance-engineer-working-in-hai-phong-2020124-jv","Xem chi tiết")</f>
        <v/>
      </c>
      <c r="O8638" s="10" t="n"/>
    </row>
    <row r="8639">
      <c r="B8639" s="7" t="n">
        <v>8637</v>
      </c>
      <c r="C8639" t="inlineStr">
        <is>
          <t>Chuyên viên Phân tích dữ liệu</t>
        </is>
      </c>
      <c r="D8639" t="inlineStr">
        <is>
          <t>Công Ty CP Dây Cáp Điện Việt Nam - CADIVI</t>
        </is>
      </c>
      <c r="E8639" t="inlineStr">
        <is>
          <t>Thương lượng</t>
        </is>
      </c>
      <c r="F8639" t="inlineStr">
        <is>
          <t>Hồ Chí Minh</t>
        </is>
      </c>
      <c r="G8639" t="inlineStr">
        <is>
          <t>Nhân viên</t>
        </is>
      </c>
      <c r="H8639" t="inlineStr">
        <is>
          <t>09/03/2026</t>
        </is>
      </c>
      <c r="I8639" t="inlineStr">
        <is>
          <t>08/04/2026</t>
        </is>
      </c>
      <c r="J8639" t="inlineStr">
        <is>
          <t>17/03/2026</t>
        </is>
      </c>
      <c r="K8639" t="inlineStr">
        <is>
          <t>N/A</t>
        </is>
      </c>
      <c r="L8639" t="inlineStr">
        <is>
          <t>Báo Cáo Số Liệu Kinh Doanh, Data Analytics, Phân Tích Dữ Liệu, Power BI</t>
        </is>
      </c>
      <c r="M8639" t="inlineStr">
        <is>
          <t>Bonus, Training, Awards</t>
        </is>
      </c>
      <c r="N8639" s="8">
        <f>HYPERLINK("https://www.vietnamworks.com/chuyen-vien-phan-tich-du-lieu-2020134-jv","Xem chi tiết")</f>
        <v/>
      </c>
    </row>
    <row r="8640">
      <c r="B8640" s="9" t="n">
        <v>8638</v>
      </c>
      <c r="C8640" s="10" t="inlineStr">
        <is>
          <t>Kế Toán Trưởng</t>
        </is>
      </c>
      <c r="D8640" s="10" t="inlineStr">
        <is>
          <t>Dolphin Sea Air Services Corp.</t>
        </is>
      </c>
      <c r="E8640" s="10" t="inlineStr">
        <is>
          <t>$$ 1,000-2,500 /tháng</t>
        </is>
      </c>
      <c r="F8640" s="10" t="inlineStr">
        <is>
          <t>Hà Nội, Hồ Chí Minh</t>
        </is>
      </c>
      <c r="G8640" s="10" t="inlineStr">
        <is>
          <t>Giám Đốc và Cấp Cao Hơn</t>
        </is>
      </c>
      <c r="H8640" s="10" t="inlineStr">
        <is>
          <t>09/03/2026</t>
        </is>
      </c>
      <c r="I8640" s="10" t="inlineStr">
        <is>
          <t>08/04/2026</t>
        </is>
      </c>
      <c r="J8640" s="10" t="inlineStr">
        <is>
          <t>17/03/2026</t>
        </is>
      </c>
      <c r="K8640" s="10" t="inlineStr">
        <is>
          <t>N/A</t>
        </is>
      </c>
      <c r="L8640" s="10" t="inlineStr">
        <is>
          <t>Tài Chính, Kế Toán, Kế Toán Tổng Hợp, Chief Accountant Certificate</t>
        </is>
      </c>
      <c r="M8640" s="10" t="inlineStr">
        <is>
          <t>Bonus, Training, Others</t>
        </is>
      </c>
      <c r="N8640" s="11">
        <f>HYPERLINK("https://www.vietnamworks.com/ke-toan-truong--2020140-jv","Xem chi tiết")</f>
        <v/>
      </c>
      <c r="O8640" s="10" t="n"/>
    </row>
    <row r="8641">
      <c r="B8641" s="7" t="n">
        <v>8639</v>
      </c>
      <c r="C8641" t="inlineStr">
        <is>
          <t>Kế Toán Trưởng</t>
        </is>
      </c>
      <c r="D8641" t="inlineStr">
        <is>
          <t>CÔNG TY CỔ PHẦN AZ TECHNOLOGIES</t>
        </is>
      </c>
      <c r="E8641" t="inlineStr">
        <is>
          <t>15tr-20tr ₫/tháng</t>
        </is>
      </c>
      <c r="F8641" t="inlineStr">
        <is>
          <t>Hồ Chí Minh</t>
        </is>
      </c>
      <c r="G8641" t="inlineStr">
        <is>
          <t>Trưởng phòng</t>
        </is>
      </c>
      <c r="H8641" t="inlineStr">
        <is>
          <t>09/03/2026</t>
        </is>
      </c>
      <c r="I8641" t="inlineStr">
        <is>
          <t>08/04/2026</t>
        </is>
      </c>
      <c r="J8641" t="inlineStr">
        <is>
          <t>17/03/2026</t>
        </is>
      </c>
      <c r="K8641" t="inlineStr">
        <is>
          <t>N/A</t>
        </is>
      </c>
      <c r="L8641" t="inlineStr">
        <is>
          <t>Kế Toán, Tài Chính, Kiểm Toán, Excel, Trách nhiệm</t>
        </is>
      </c>
      <c r="M8641" t="inlineStr">
        <is>
          <t>Bonus, Healthcare Plan, Paid Leave, Travel Opportunities, Others</t>
        </is>
      </c>
      <c r="N8641" s="8">
        <f>HYPERLINK("https://www.vietnamworks.com/ke-toan-truong--2020148-jv","Xem chi tiết")</f>
        <v/>
      </c>
    </row>
    <row r="8642">
      <c r="B8642" s="9" t="n">
        <v>8640</v>
      </c>
      <c r="C8642" s="10" t="inlineStr">
        <is>
          <t>Chuyên Viên Kinh Doanh Vốn và Trái Phiếu - Khối Treasury</t>
        </is>
      </c>
      <c r="D8642" s="10" t="inlineStr">
        <is>
          <t>Ngân hàng TNHH MTV Việt Nam Hiện Đại (Modern Bank of Vietnam - MBV)</t>
        </is>
      </c>
      <c r="E8642" s="10" t="inlineStr">
        <is>
          <t>Thương lượng</t>
        </is>
      </c>
      <c r="F8642" s="10" t="inlineStr">
        <is>
          <t>Hà Nội</t>
        </is>
      </c>
      <c r="G8642" s="10" t="inlineStr">
        <is>
          <t>Nhân viên</t>
        </is>
      </c>
      <c r="H8642" s="10" t="inlineStr">
        <is>
          <t>09/03/2026</t>
        </is>
      </c>
      <c r="I8642" s="10" t="inlineStr">
        <is>
          <t>08/04/2026</t>
        </is>
      </c>
      <c r="J8642" s="10" t="inlineStr">
        <is>
          <t>17/03/2026</t>
        </is>
      </c>
      <c r="K8642" s="10" t="inlineStr">
        <is>
          <t>N/A</t>
        </is>
      </c>
      <c r="L8642" s="10" t="inlineStr">
        <is>
          <t>Tài Chính, Ngân hàng, Kinh Doanh Trái Phiếu, Quản Lý Nguồn Vốn, Giao Dịch Nguồn Vốn</t>
        </is>
      </c>
      <c r="M8642" s="10" t="inlineStr">
        <is>
          <t>Bonus, Healthcare Plan, Paid Leave</t>
        </is>
      </c>
      <c r="N8642" s="11">
        <f>HYPERLINK("https://www.vietnamworks.com/chuyen-vien-kinh-doanh-von-va-trai-phieu-khoi-treasury--2020136-jv","Xem chi tiết")</f>
        <v/>
      </c>
      <c r="O8642" s="10" t="n"/>
    </row>
    <row r="8643">
      <c r="B8643" s="7" t="n">
        <v>8641</v>
      </c>
      <c r="C8643" t="inlineStr">
        <is>
          <t>[Tuyển Gấp] Kỹ Thuật Viên Thiết Kế Máy - Lương Cơ Bản Từ 17 Triệu/tháng + Các Khoản Phụ Cấp, Trợ Cấp Khác</t>
        </is>
      </c>
      <c r="D8643" t="inlineStr">
        <is>
          <t>Tokyo Micro Viet Nam</t>
        </is>
      </c>
      <c r="E8643" t="inlineStr">
        <is>
          <t>Từ 17tr ₫/tháng</t>
        </is>
      </c>
      <c r="F8643" t="inlineStr">
        <is>
          <t>Hà Nội</t>
        </is>
      </c>
      <c r="G8643" t="inlineStr">
        <is>
          <t>Nhân viên</t>
        </is>
      </c>
      <c r="H8643" t="inlineStr">
        <is>
          <t>09/03/2026</t>
        </is>
      </c>
      <c r="I8643" t="inlineStr">
        <is>
          <t>08/04/2026</t>
        </is>
      </c>
      <c r="J8643" t="inlineStr">
        <is>
          <t>17/03/2026</t>
        </is>
      </c>
      <c r="K8643" t="inlineStr">
        <is>
          <t>N/A</t>
        </is>
      </c>
      <c r="L8643" t="inlineStr">
        <is>
          <t>Cơ Điện Tử, Tự Động Hóa, Thiết kế máy, Solidwork, PLC</t>
        </is>
      </c>
      <c r="M8643" t="inlineStr">
        <is>
          <t>Bonus, Healthcare Plan, Team Activities</t>
        </is>
      </c>
      <c r="N8643" s="8">
        <f>HYPERLINK("https://www.vietnamworks.com/tuyen-gap-ky-thuat-vien-thiet-ke-may-luong-co-ban-tu-17-trieu-thang-cac-khoan-phu-cap-tro-cap-khac-2020143-jv","Xem chi tiết")</f>
        <v/>
      </c>
    </row>
    <row r="8644">
      <c r="B8644" s="9" t="n">
        <v>8642</v>
      </c>
      <c r="C8644" s="10" t="inlineStr">
        <is>
          <t>Trưởng Phòng Marketing Sàn F1</t>
        </is>
      </c>
      <c r="D8644" s="10" t="inlineStr">
        <is>
          <t>Công Ty Cổ Phần Tập Đoàn BRG</t>
        </is>
      </c>
      <c r="E8644" s="10" t="inlineStr">
        <is>
          <t>Thương lượng</t>
        </is>
      </c>
      <c r="F8644" s="10" t="inlineStr">
        <is>
          <t>Hồ Chí Minh</t>
        </is>
      </c>
      <c r="G8644" s="10" t="inlineStr">
        <is>
          <t>Trưởng phòng</t>
        </is>
      </c>
      <c r="H8644" s="10" t="inlineStr">
        <is>
          <t>09/03/2026</t>
        </is>
      </c>
      <c r="I8644" s="10" t="inlineStr">
        <is>
          <t>08/04/2026</t>
        </is>
      </c>
      <c r="J8644" s="10" t="inlineStr">
        <is>
          <t>17/03/2026</t>
        </is>
      </c>
      <c r="K8644" s="10" t="inlineStr">
        <is>
          <t>N/A</t>
        </is>
      </c>
      <c r="L8644" s="10" t="inlineStr">
        <is>
          <t>Marketing manager, Bất Động Sản, Sales Marketing</t>
        </is>
      </c>
      <c r="M8644" s="10" t="inlineStr">
        <is>
          <t>Bonus, Healthcare Plan, Travel Opportunities</t>
        </is>
      </c>
      <c r="N8644" s="11">
        <f>HYPERLINK("https://www.vietnamworks.com/truong-phong-marketing-san-f1-2020146-jv","Xem chi tiết")</f>
        <v/>
      </c>
      <c r="O8644" s="10" t="n"/>
    </row>
    <row r="8645">
      <c r="B8645" s="7" t="n">
        <v>8643</v>
      </c>
      <c r="C8645" t="inlineStr">
        <is>
          <t>Giám Đốc Bán Lẻ Toàn Quốc</t>
        </is>
      </c>
      <c r="D8645" t="inlineStr">
        <is>
          <t>Tập Đoàn Vàng Bạc Đá Quý DOJI</t>
        </is>
      </c>
      <c r="E8645" t="inlineStr">
        <is>
          <t>Thương lượng</t>
        </is>
      </c>
      <c r="F8645" t="inlineStr">
        <is>
          <t>Hà Nội</t>
        </is>
      </c>
      <c r="G8645" t="inlineStr">
        <is>
          <t>Giám Đốc và Cấp Cao Hơn</t>
        </is>
      </c>
      <c r="H8645" t="inlineStr">
        <is>
          <t>09/03/2026</t>
        </is>
      </c>
      <c r="I8645" t="inlineStr">
        <is>
          <t>08/04/2026</t>
        </is>
      </c>
      <c r="J8645" t="inlineStr">
        <is>
          <t>17/03/2026</t>
        </is>
      </c>
      <c r="K8645" t="inlineStr">
        <is>
          <t>N/A</t>
        </is>
      </c>
      <c r="L8645" t="inlineStr">
        <is>
          <t>Hệ Thống Chuỗi Bán Lẻ, Quản Lý Bán Lẻ, Quản Trị Kinh Doanh, Quản Lý</t>
        </is>
      </c>
      <c r="M8645" t="inlineStr">
        <is>
          <t>Bonus, Others</t>
        </is>
      </c>
      <c r="N8645" s="8">
        <f>HYPERLINK("https://www.vietnamworks.com/giam-doc-ban-le-toan-quoc-1-1-1-1-1--2020126-jv","Xem chi tiết")</f>
        <v/>
      </c>
    </row>
    <row r="8646">
      <c r="B8646" s="9" t="n">
        <v>8644</v>
      </c>
      <c r="C8646" s="10" t="inlineStr">
        <is>
          <t>Sale MKT Manager Lĩnh Vực Xây Dựng</t>
        </is>
      </c>
      <c r="D8646" s="10" t="inlineStr">
        <is>
          <t>Công ty Cổ phần Xây dựng Hợp Lực</t>
        </is>
      </c>
      <c r="E8646" s="10" t="inlineStr">
        <is>
          <t>Thương lượng</t>
        </is>
      </c>
      <c r="F8646" s="10" t="inlineStr">
        <is>
          <t>Hồ Chí Minh</t>
        </is>
      </c>
      <c r="G8646" s="10" t="inlineStr">
        <is>
          <t>Trưởng phòng</t>
        </is>
      </c>
      <c r="H8646" s="10" t="inlineStr">
        <is>
          <t>09/03/2026</t>
        </is>
      </c>
      <c r="I8646" s="10" t="inlineStr">
        <is>
          <t>08/04/2026</t>
        </is>
      </c>
      <c r="J8646" s="10" t="inlineStr">
        <is>
          <t>17/03/2026</t>
        </is>
      </c>
      <c r="K8646" s="10" t="inlineStr">
        <is>
          <t>N/A</t>
        </is>
      </c>
      <c r="L8646" s="10" t="inlineStr">
        <is>
          <t>Tiếng Anh, Sales Planning, Giao tiếp, Tin Học Văn Phòng</t>
        </is>
      </c>
      <c r="M8646" s="10" t="inlineStr">
        <is>
          <t>Healthcare Plan, Awards, Others</t>
        </is>
      </c>
      <c r="N8646" s="11">
        <f>HYPERLINK("https://www.vietnamworks.com/sale-mkt-manager-linh-vuc-xay-dung--2020142-jv","Xem chi tiết")</f>
        <v/>
      </c>
      <c r="O8646" s="10" t="n"/>
    </row>
    <row r="8647">
      <c r="B8647" s="7" t="n">
        <v>8645</v>
      </c>
      <c r="C8647" t="inlineStr">
        <is>
          <t>Nhân Viên Phiên Dịch Tiếng Trung</t>
        </is>
      </c>
      <c r="D8647" t="inlineStr">
        <is>
          <t>Asahi Intecc Hanoi Co., Ltd.</t>
        </is>
      </c>
      <c r="E8647" t="inlineStr">
        <is>
          <t>Thương lượng</t>
        </is>
      </c>
      <c r="F8647" t="inlineStr">
        <is>
          <t>Hà Nội</t>
        </is>
      </c>
      <c r="G8647" t="inlineStr">
        <is>
          <t>Nhân viên</t>
        </is>
      </c>
      <c r="H8647" t="inlineStr">
        <is>
          <t>09/03/2026</t>
        </is>
      </c>
      <c r="I8647" t="inlineStr">
        <is>
          <t>08/04/2026</t>
        </is>
      </c>
      <c r="J8647" t="inlineStr">
        <is>
          <t>17/03/2026</t>
        </is>
      </c>
      <c r="K8647" t="inlineStr">
        <is>
          <t>N/A</t>
        </is>
      </c>
      <c r="L8647" t="inlineStr">
        <is>
          <t>Biên Dịch Tiếng Trung, HSKK, HSK6, Chiness, Biên Phiên Dịch Tiếng Trung</t>
        </is>
      </c>
      <c r="M8647" t="inlineStr">
        <is>
          <t>Bonus, Healthcare Plan, Paid Leave, Training, Team Activities, Transportation, Others</t>
        </is>
      </c>
      <c r="N8647" s="8">
        <f>HYPERLINK("https://www.vietnamworks.com/nhan-vien-phien-dich-tieng-trung-2020138-jv","Xem chi tiết")</f>
        <v/>
      </c>
    </row>
    <row r="8648">
      <c r="B8648" s="9" t="n">
        <v>8646</v>
      </c>
      <c r="C8648" s="10" t="inlineStr">
        <is>
          <t>Technical Product Developer (Decor)</t>
        </is>
      </c>
      <c r="D8648" s="10" t="inlineStr">
        <is>
          <t>Article</t>
        </is>
      </c>
      <c r="E8648" s="10" t="inlineStr">
        <is>
          <t>40tr-60tr ₫/tháng</t>
        </is>
      </c>
      <c r="F8648" s="10" t="inlineStr">
        <is>
          <t>Hồ Chí Minh</t>
        </is>
      </c>
      <c r="G8648" s="10" t="inlineStr">
        <is>
          <t>Nhân viên</t>
        </is>
      </c>
      <c r="H8648" s="10" t="inlineStr">
        <is>
          <t>09/03/2026</t>
        </is>
      </c>
      <c r="I8648" s="10" t="inlineStr">
        <is>
          <t>08/04/2026</t>
        </is>
      </c>
      <c r="J8648" s="10" t="inlineStr">
        <is>
          <t>17/03/2026</t>
        </is>
      </c>
      <c r="K8648" s="10" t="inlineStr">
        <is>
          <t>N/A</t>
        </is>
      </c>
      <c r="L8648" s="10" t="inlineStr">
        <is>
          <t>Consumer Product Design, Furniture, Lighting Knowledge, Product Knowledge, Production engineering</t>
        </is>
      </c>
      <c r="M8648" s="10" t="inlineStr">
        <is>
          <t>Healthcare Plan, Paid Leave, Training, Laptop, Others</t>
        </is>
      </c>
      <c r="N8648" s="11">
        <f>HYPERLINK("https://www.vietnamworks.com/technical-product-developer-decor-2020145-jv","Xem chi tiết")</f>
        <v/>
      </c>
      <c r="O8648" s="10" t="n"/>
    </row>
    <row r="8649">
      <c r="B8649" s="7" t="n">
        <v>8647</v>
      </c>
      <c r="C8649" t="inlineStr">
        <is>
          <t>[Hưng Yên] - Trưởng Phòng Khách Hàng Doanh Nghiệp</t>
        </is>
      </c>
      <c r="D8649" t="inlineStr">
        <is>
          <t>Ngân hàng Lộc Phát Việt Nam LPBank</t>
        </is>
      </c>
      <c r="E8649" t="inlineStr">
        <is>
          <t>Thương lượng</t>
        </is>
      </c>
      <c r="F8649" t="inlineStr">
        <is>
          <t>Hà Nội</t>
        </is>
      </c>
      <c r="G8649" t="inlineStr">
        <is>
          <t>Trưởng phòng</t>
        </is>
      </c>
      <c r="H8649" t="inlineStr">
        <is>
          <t>09/03/2026</t>
        </is>
      </c>
      <c r="I8649" t="inlineStr">
        <is>
          <t>08/04/2026</t>
        </is>
      </c>
      <c r="J8649" t="inlineStr">
        <is>
          <t>17/03/2026</t>
        </is>
      </c>
      <c r="K8649" t="inlineStr">
        <is>
          <t>N/A</t>
        </is>
      </c>
      <c r="L8649" t="inlineStr">
        <is>
          <t>Tài Chính Ngân Hàng, Khách Hàng Doanh Nghiệp, Ngân hàng, Quản Lý, Tín Dụng Doanh Nghiệp</t>
        </is>
      </c>
      <c r="M8649" t="inlineStr">
        <is>
          <t>Bonus, Healthcare Plan, Paid Leave, Laptop, Canteen, Others</t>
        </is>
      </c>
      <c r="N8649" s="8">
        <f>HYPERLINK("https://www.vietnamworks.com/hung-yen-truong-phong-khach-hang-doanh-nghiep-2020123-jv","Xem chi tiết")</f>
        <v/>
      </c>
    </row>
    <row r="8650">
      <c r="B8650" s="9" t="n">
        <v>8648</v>
      </c>
      <c r="C8650" s="10" t="inlineStr">
        <is>
          <t>Nhân viên Digital Marketing</t>
        </is>
      </c>
      <c r="D8650" s="10" t="inlineStr">
        <is>
          <t>Trường Đại Học Kinh Tế - Tài Chính TPHCM</t>
        </is>
      </c>
      <c r="E8650" s="10" t="inlineStr">
        <is>
          <t>Thương lượng</t>
        </is>
      </c>
      <c r="F8650" s="10" t="inlineStr">
        <is>
          <t>Hồ Chí Minh</t>
        </is>
      </c>
      <c r="G8650" s="10" t="inlineStr">
        <is>
          <t>Nhân viên</t>
        </is>
      </c>
      <c r="H8650" s="10" t="inlineStr">
        <is>
          <t>09/03/2026</t>
        </is>
      </c>
      <c r="I8650" s="10" t="inlineStr">
        <is>
          <t>08/04/2026</t>
        </is>
      </c>
      <c r="J8650" s="10" t="inlineStr">
        <is>
          <t>17/03/2026</t>
        </is>
      </c>
      <c r="K8650" s="10" t="inlineStr">
        <is>
          <t>N/A</t>
        </is>
      </c>
      <c r="L8650" s="10" t="inlineStr">
        <is>
          <t>Facebook Ads, Google Ads, Google Analytics, Looker Studio, Tiktok Ads</t>
        </is>
      </c>
      <c r="M8650" s="10" t="inlineStr">
        <is>
          <t>Bonus</t>
        </is>
      </c>
      <c r="N8650" s="11">
        <f>HYPERLINK("https://www.vietnamworks.com/nhan-vien-digital-marketing-2020158-jv","Xem chi tiết")</f>
        <v/>
      </c>
      <c r="O8650" s="10" t="n"/>
    </row>
    <row r="8651">
      <c r="B8651" s="7" t="n">
        <v>8649</v>
      </c>
      <c r="C8651" t="inlineStr">
        <is>
          <t>Tổ Trưởng Digital &amp; Performance Marketing</t>
        </is>
      </c>
      <c r="D8651" t="inlineStr">
        <is>
          <t>Trường Đại Học Kinh Tế - Tài Chính TPHCM</t>
        </is>
      </c>
      <c r="E8651" t="inlineStr">
        <is>
          <t>Thương lượng</t>
        </is>
      </c>
      <c r="F8651" t="inlineStr">
        <is>
          <t>Hồ Chí Minh</t>
        </is>
      </c>
      <c r="G8651" t="inlineStr">
        <is>
          <t>Trưởng phòng</t>
        </is>
      </c>
      <c r="H8651" t="inlineStr">
        <is>
          <t>09/03/2026</t>
        </is>
      </c>
      <c r="I8651" t="inlineStr">
        <is>
          <t>08/04/2026</t>
        </is>
      </c>
      <c r="J8651" t="inlineStr">
        <is>
          <t>17/03/2026</t>
        </is>
      </c>
      <c r="K8651" t="inlineStr">
        <is>
          <t>N/A</t>
        </is>
      </c>
      <c r="L8651" t="inlineStr">
        <is>
          <t>Phân Tích Báo Cáo, Quản Lý Đội Nhóm, Advertising Tools, Data Analysis, Content Performance</t>
        </is>
      </c>
      <c r="M8651" t="inlineStr">
        <is>
          <t>Bonus</t>
        </is>
      </c>
      <c r="N8651" s="8">
        <f>HYPERLINK("https://www.vietnamworks.com/to-truong-digital-and-performance-marketing-2020157-jv","Xem chi tiết")</f>
        <v/>
      </c>
    </row>
    <row r="8652">
      <c r="B8652" s="9" t="n">
        <v>8650</v>
      </c>
      <c r="C8652" s="10" t="inlineStr">
        <is>
          <t>Chuyên Gia Kế Toán Tổng Hợp - Khối Quản Trị Tài Chính</t>
        </is>
      </c>
      <c r="D8652" s="10" t="inlineStr">
        <is>
          <t>Ngân Hàng TMCP Quốc Dân ( NCB )</t>
        </is>
      </c>
      <c r="E8652" s="10" t="inlineStr">
        <is>
          <t>Thương lượng</t>
        </is>
      </c>
      <c r="F8652" s="10" t="inlineStr">
        <is>
          <t>Hà Nội</t>
        </is>
      </c>
      <c r="G8652" s="10" t="inlineStr">
        <is>
          <t>Nhân viên</t>
        </is>
      </c>
      <c r="H8652" s="10" t="inlineStr">
        <is>
          <t>09/03/2026</t>
        </is>
      </c>
      <c r="I8652" s="10" t="inlineStr">
        <is>
          <t>08/04/2026</t>
        </is>
      </c>
      <c r="J8652" s="10" t="inlineStr">
        <is>
          <t>17/03/2026</t>
        </is>
      </c>
      <c r="K8652" s="10" t="inlineStr">
        <is>
          <t>N/A</t>
        </is>
      </c>
      <c r="L8652" s="10" t="inlineStr">
        <is>
          <t>Kế Toán, Kế Toán Tổng Hợp, Kiểm Toán, Tài Chính, ACCA</t>
        </is>
      </c>
      <c r="M8652" s="10" t="inlineStr">
        <is>
          <t>Bonus, Healthcare Plan, Paid Leave, Training, Awards</t>
        </is>
      </c>
      <c r="N8652" s="11">
        <f>HYPERLINK("https://www.vietnamworks.com/chuyen-gia-ke-toan-tong-hop-khoi-quan-tri-tai-chinh-2020149-jv","Xem chi tiết")</f>
        <v/>
      </c>
      <c r="O8652" s="10" t="n"/>
    </row>
    <row r="8653">
      <c r="B8653" s="7" t="n">
        <v>8651</v>
      </c>
      <c r="C8653" t="inlineStr">
        <is>
          <t>Kỹ Sư AV / ELV (System Integration Engineer)</t>
        </is>
      </c>
      <c r="D8653" t="inlineStr">
        <is>
          <t>CÔNG TY CỔ PHẦN AZ TECHNOLOGIES</t>
        </is>
      </c>
      <c r="E8653" t="inlineStr">
        <is>
          <t>15tr-25tr ₫/tháng</t>
        </is>
      </c>
      <c r="F8653" t="inlineStr">
        <is>
          <t>Hồ Chí Minh</t>
        </is>
      </c>
      <c r="G8653" t="inlineStr">
        <is>
          <t>Nhân viên</t>
        </is>
      </c>
      <c r="H8653" t="inlineStr">
        <is>
          <t>09/03/2026</t>
        </is>
      </c>
      <c r="I8653" t="inlineStr">
        <is>
          <t>08/04/2026</t>
        </is>
      </c>
      <c r="J8653" t="inlineStr">
        <is>
          <t>17/03/2026</t>
        </is>
      </c>
      <c r="K8653" t="inlineStr">
        <is>
          <t>N/A</t>
        </is>
      </c>
      <c r="L8653" t="inlineStr">
        <is>
          <t>System Integration, ACE Systems, Elv Systems, AutoCAD, Communication Skills</t>
        </is>
      </c>
      <c r="M8653" t="inlineStr">
        <is>
          <t>Bonus, Healthcare Plan, Paid Leave, Training, Travel Opportunities, Others</t>
        </is>
      </c>
      <c r="N8653" s="8">
        <f>HYPERLINK("https://www.vietnamworks.com/ky-su-av-elv-system-integration-engineer-2020155-jv","Xem chi tiết")</f>
        <v/>
      </c>
    </row>
    <row r="8654">
      <c r="B8654" s="9" t="n">
        <v>8652</v>
      </c>
      <c r="C8654" s="10" t="inlineStr">
        <is>
          <t>Giám Sát An Toàn Thực Phẩm Bếp Ăn Công Nghiệp</t>
        </is>
      </c>
      <c r="D8654" s="10" t="inlineStr">
        <is>
          <t>Công Ty TNHH Aden Services (Việt Nam) - CN Hà Nội</t>
        </is>
      </c>
      <c r="E8654" s="10" t="inlineStr">
        <is>
          <t>$$ 500-600 /tháng</t>
        </is>
      </c>
      <c r="F8654" s="10" t="inlineStr">
        <is>
          <t>Hà Nội</t>
        </is>
      </c>
      <c r="G8654" s="10" t="inlineStr">
        <is>
          <t>Nhân viên</t>
        </is>
      </c>
      <c r="H8654" s="10" t="inlineStr">
        <is>
          <t>09/03/2026</t>
        </is>
      </c>
      <c r="I8654" s="10" t="inlineStr">
        <is>
          <t>08/04/2026</t>
        </is>
      </c>
      <c r="J8654" s="10" t="inlineStr">
        <is>
          <t>17/03/2026</t>
        </is>
      </c>
      <c r="K8654" s="10" t="inlineStr">
        <is>
          <t>N/A</t>
        </is>
      </c>
      <c r="L8654" s="10" t="inlineStr">
        <is>
          <t>Vệ Sinh An Toàn Thực Phẩm, Quản Lý Bếp Ăn, Công Nghệ Thực Phẩm</t>
        </is>
      </c>
      <c r="M8654" s="10" t="inlineStr">
        <is>
          <t>Bonus, Training, Team Activities</t>
        </is>
      </c>
      <c r="N8654" s="11">
        <f>HYPERLINK("https://www.vietnamworks.com/giam-sat-an-toan-thuc-pham-bep-an-cong-nghiep-2020150-jv","Xem chi tiết")</f>
        <v/>
      </c>
      <c r="O8654" s="10" t="n"/>
    </row>
    <row r="8655">
      <c r="B8655" s="7" t="n">
        <v>8653</v>
      </c>
      <c r="C8655" t="inlineStr">
        <is>
          <t>Primary Teacher - Full Time</t>
        </is>
      </c>
      <c r="D8655" t="inlineStr">
        <is>
          <t>Scotch Australian Grammar School (AGS)</t>
        </is>
      </c>
      <c r="E8655" t="inlineStr">
        <is>
          <t>Thương lượng</t>
        </is>
      </c>
      <c r="F8655" t="inlineStr">
        <is>
          <t>Hồ Chí Minh</t>
        </is>
      </c>
      <c r="G8655" t="inlineStr">
        <is>
          <t>Nhân viên</t>
        </is>
      </c>
      <c r="H8655" t="inlineStr">
        <is>
          <t>09/03/2026</t>
        </is>
      </c>
      <c r="I8655" t="inlineStr">
        <is>
          <t>08/04/2026</t>
        </is>
      </c>
      <c r="J8655" t="inlineStr">
        <is>
          <t>17/03/2026</t>
        </is>
      </c>
      <c r="K8655" t="inlineStr">
        <is>
          <t>N/A</t>
        </is>
      </c>
      <c r="L8655" t="inlineStr">
        <is>
          <t>English, Class Management, Education, Teaching, Ielts 7.0</t>
        </is>
      </c>
      <c r="M8655" t="inlineStr">
        <is>
          <t>Bonus, Healthcare Plan, Canteen</t>
        </is>
      </c>
      <c r="N8655" s="8">
        <f>HYPERLINK("https://www.vietnamworks.com/primary-teacher-full-time--2020175-jv","Xem chi tiết")</f>
        <v/>
      </c>
    </row>
    <row r="8656">
      <c r="B8656" s="9" t="n">
        <v>8654</v>
      </c>
      <c r="C8656" s="10" t="inlineStr">
        <is>
          <t>Tổng Giám Đốc Điều Hành | CEO Apec Group</t>
        </is>
      </c>
      <c r="D8656" s="10" t="inlineStr">
        <is>
          <t>Tập Đoàn APEC (APEC GROUP)</t>
        </is>
      </c>
      <c r="E8656" s="10" t="inlineStr">
        <is>
          <t>$$ 6,000-12,000 /tháng</t>
        </is>
      </c>
      <c r="F8656" s="10" t="inlineStr">
        <is>
          <t>Hà Nội</t>
        </is>
      </c>
      <c r="G8656" s="10" t="inlineStr">
        <is>
          <t>Giám Đốc và Cấp Cao Hơn</t>
        </is>
      </c>
      <c r="H8656" s="10" t="inlineStr">
        <is>
          <t>09/03/2026</t>
        </is>
      </c>
      <c r="I8656" s="10" t="inlineStr">
        <is>
          <t>08/04/2026</t>
        </is>
      </c>
      <c r="J8656" s="10" t="inlineStr">
        <is>
          <t>17/03/2026</t>
        </is>
      </c>
      <c r="K8656" s="10" t="inlineStr">
        <is>
          <t>N/A</t>
        </is>
      </c>
      <c r="L8656" s="10" t="inlineStr">
        <is>
          <t>CEO, Startup Mindset, Real Estate Strategic, Bussiness Development, Growth Mindset</t>
        </is>
      </c>
      <c r="M8656" s="10" t="inlineStr">
        <is>
          <t>Bonus, Travel Opportunities, Others</t>
        </is>
      </c>
      <c r="N8656" s="11">
        <f>HYPERLINK("https://www.vietnamworks.com/tong-giam-doc-dieu-hanh-ceo-apec-group-2020151-jv","Xem chi tiết")</f>
        <v/>
      </c>
      <c r="O8656" s="10" t="n"/>
    </row>
    <row r="8657">
      <c r="B8657" s="7" t="n">
        <v>8655</v>
      </c>
      <c r="C8657" t="inlineStr">
        <is>
          <t>Kế Toán (1-2 Năm Kinh Nghiệm)</t>
        </is>
      </c>
      <c r="D8657" t="inlineStr">
        <is>
          <t>CÔNG TY TNHH DẦU NHỜN QUỐC TẾ THỤY DƯƠNG</t>
        </is>
      </c>
      <c r="E8657" t="inlineStr">
        <is>
          <t>10tr-15tr ₫/tháng</t>
        </is>
      </c>
      <c r="F8657" t="inlineStr">
        <is>
          <t>Hà Nội</t>
        </is>
      </c>
      <c r="G8657" t="inlineStr">
        <is>
          <t>Nhân viên</t>
        </is>
      </c>
      <c r="H8657" t="inlineStr">
        <is>
          <t>09/03/2026</t>
        </is>
      </c>
      <c r="I8657" t="inlineStr">
        <is>
          <t>08/04/2026</t>
        </is>
      </c>
      <c r="J8657" t="inlineStr">
        <is>
          <t>17/03/2026</t>
        </is>
      </c>
      <c r="K8657" t="inlineStr">
        <is>
          <t>N/A</t>
        </is>
      </c>
      <c r="L8657" t="inlineStr">
        <is>
          <t>Kế Toán, Tài Chính, Hạch Toán, Theo Dõi Công Nợ, Đối Chiếu Số Liệu</t>
        </is>
      </c>
      <c r="M8657" t="inlineStr">
        <is>
          <t>Bonus, Healthcare Plan, Training, Team Activities, Others</t>
        </is>
      </c>
      <c r="N8657" s="8">
        <f>HYPERLINK("https://www.vietnamworks.com/ke-toan-1-2-nam-kinh-nghiem-2020160-jv","Xem chi tiết")</f>
        <v/>
      </c>
    </row>
    <row r="8658">
      <c r="B8658" s="9" t="n">
        <v>8656</v>
      </c>
      <c r="C8658" s="10" t="inlineStr">
        <is>
          <t>Chuyên Viên Cấp Cao Vận Hành Hệ Thống</t>
        </is>
      </c>
      <c r="D8658" s="10" t="inlineStr">
        <is>
          <t>Công ty Cổ phần Tập đoàn Bất động sản NK Properties</t>
        </is>
      </c>
      <c r="E8658" s="10" t="inlineStr">
        <is>
          <t>Thương lượng</t>
        </is>
      </c>
      <c r="F8658" s="10" t="inlineStr">
        <is>
          <t>Hồ Chí Minh</t>
        </is>
      </c>
      <c r="G8658" s="10" t="inlineStr">
        <is>
          <t>Nhân viên</t>
        </is>
      </c>
      <c r="H8658" s="10" t="inlineStr">
        <is>
          <t>09/03/2026</t>
        </is>
      </c>
      <c r="I8658" s="10" t="inlineStr">
        <is>
          <t>08/04/2026</t>
        </is>
      </c>
      <c r="J8658" s="10" t="inlineStr">
        <is>
          <t>17/03/2026</t>
        </is>
      </c>
      <c r="K8658" s="10" t="inlineStr">
        <is>
          <t>N/A</t>
        </is>
      </c>
      <c r="L8658" s="10" t="inlineStr">
        <is>
          <t>Cloud Infrastructure, Docker, Kubernetes, Linux System Administration, Problem Solving</t>
        </is>
      </c>
      <c r="M8658" s="10" t="inlineStr">
        <is>
          <t>Bonus, Healthcare Plan, Paid Leave, Travel Opportunities, Others</t>
        </is>
      </c>
      <c r="N8658" s="11">
        <f>HYPERLINK("https://www.vietnamworks.com/chuyen-vien-cap-cao-van-hanh-he-thong-2020174-jv","Xem chi tiết")</f>
        <v/>
      </c>
      <c r="O8658" s="10" t="n"/>
    </row>
    <row r="8659">
      <c r="B8659" s="7" t="n">
        <v>8657</v>
      </c>
      <c r="C8659" t="inlineStr">
        <is>
          <t>Nhân Viên Vận Hành (Lĩnh Vực Khí Gas)</t>
        </is>
      </c>
      <c r="D8659" t="inlineStr">
        <is>
          <t>CÔNG TY TNHH MỘT THÀNH VIÊN THƯƠNG MẠI DỊCH VỤ KỸ THUẬT NHẬT MINH THÀNH</t>
        </is>
      </c>
      <c r="E8659" t="inlineStr">
        <is>
          <t>Thương lượng</t>
        </is>
      </c>
      <c r="F8659" t="inlineStr">
        <is>
          <t>Bình Thuận, Đồng Nai</t>
        </is>
      </c>
      <c r="G8659" t="inlineStr">
        <is>
          <t>Mới Tốt Nghiệp</t>
        </is>
      </c>
      <c r="H8659" t="inlineStr">
        <is>
          <t>09/03/2026</t>
        </is>
      </c>
      <c r="I8659" t="inlineStr">
        <is>
          <t>08/04/2026</t>
        </is>
      </c>
      <c r="J8659" t="inlineStr">
        <is>
          <t>17/03/2026</t>
        </is>
      </c>
      <c r="K8659" t="inlineStr">
        <is>
          <t>N/A</t>
        </is>
      </c>
      <c r="L8659" t="inlineStr">
        <is>
          <t>Dầu Khí, Kiểm tra an toàn, Vận Hành, Cơ khí &amp; Chế tạo máy, Operation</t>
        </is>
      </c>
      <c r="M8659" t="inlineStr">
        <is>
          <t>Bonus, Healthcare Plan, Training, Team Activities, Others</t>
        </is>
      </c>
      <c r="N8659" s="8">
        <f>HYPERLINK("https://www.vietnamworks.com/nhan-vien-van-hanh-linh-vuc-khi-gas-2020165-jv","Xem chi tiết")</f>
        <v/>
      </c>
    </row>
    <row r="8660">
      <c r="B8660" s="9" t="n">
        <v>8658</v>
      </c>
      <c r="C8660" s="10" t="inlineStr">
        <is>
          <t>Trưởng Nhóm Marketing Truyền Thông</t>
        </is>
      </c>
      <c r="D8660" s="10" t="inlineStr">
        <is>
          <t>Công Ty Cổ Phần Quản Lý Quỹ Amber</t>
        </is>
      </c>
      <c r="E8660" s="10" t="inlineStr">
        <is>
          <t>Thương lượng</t>
        </is>
      </c>
      <c r="F8660" s="10" t="inlineStr">
        <is>
          <t>Hà Nội</t>
        </is>
      </c>
      <c r="G8660" s="10" t="inlineStr">
        <is>
          <t>Trưởng phòng</t>
        </is>
      </c>
      <c r="H8660" s="10" t="inlineStr">
        <is>
          <t>09/03/2026</t>
        </is>
      </c>
      <c r="I8660" s="10" t="inlineStr">
        <is>
          <t>08/04/2026</t>
        </is>
      </c>
      <c r="J8660" s="10" t="inlineStr">
        <is>
          <t>17/03/2026</t>
        </is>
      </c>
      <c r="K8660" s="10" t="inlineStr">
        <is>
          <t>N/A</t>
        </is>
      </c>
      <c r="L8660" s="10" t="inlineStr">
        <is>
          <t>Marketing Development, Branding, Communication, Creative Thinking, Chiến Dịch Truyền Thông</t>
        </is>
      </c>
      <c r="M8660" s="10" t="inlineStr">
        <is>
          <t>Bonus, Healthcare Plan, Paid Leave, Team Activities, Others</t>
        </is>
      </c>
      <c r="N8660" s="11">
        <f>HYPERLINK("https://www.vietnamworks.com/truong-nhom-marketing-truyen-thong-2020159-jv","Xem chi tiết")</f>
        <v/>
      </c>
      <c r="O8660" s="10" t="n"/>
    </row>
    <row r="8661">
      <c r="B8661" s="7" t="n">
        <v>8659</v>
      </c>
      <c r="C8661" t="inlineStr">
        <is>
          <t>Sales Export Manager (Company Shuttle Bus from HCMC)</t>
        </is>
      </c>
      <c r="D8661" t="inlineStr">
        <is>
          <t>CÔNG TY TNHH LOTTE F&amp;G VIỆT NAM</t>
        </is>
      </c>
      <c r="E8661" t="inlineStr">
        <is>
          <t>25tr-30tr ₫/tháng</t>
        </is>
      </c>
      <c r="F8661" t="inlineStr">
        <is>
          <t>Long An, Tây Ninh, Hồ Chí Minh</t>
        </is>
      </c>
      <c r="G8661" t="inlineStr">
        <is>
          <t>Trưởng phòng</t>
        </is>
      </c>
      <c r="H8661" t="inlineStr">
        <is>
          <t>09/03/2026</t>
        </is>
      </c>
      <c r="I8661" t="inlineStr">
        <is>
          <t>08/04/2026</t>
        </is>
      </c>
      <c r="J8661" t="inlineStr">
        <is>
          <t>17/03/2026</t>
        </is>
      </c>
      <c r="K8661" t="inlineStr">
        <is>
          <t>N/A</t>
        </is>
      </c>
      <c r="L8661" t="inlineStr">
        <is>
          <t>Communication Skills, Analytical Skills, Issue-Handling Skills, Food Industry, Sales Export</t>
        </is>
      </c>
      <c r="M8661" t="inlineStr">
        <is>
          <t>Bonus, Others</t>
        </is>
      </c>
      <c r="N8661" s="8">
        <f>HYPERLINK("https://www.vietnamworks.com/sales-export-manager-company-shuttle-bus-from-hcmc-2020166-jv","Xem chi tiết")</f>
        <v/>
      </c>
    </row>
    <row r="8662">
      <c r="B8662" s="9" t="n">
        <v>8660</v>
      </c>
      <c r="C8662" s="10" t="inlineStr">
        <is>
          <t>Assistant, Planning &amp; Coordination (Proficiency English)</t>
        </is>
      </c>
      <c r="D8662" s="10" t="inlineStr">
        <is>
          <t>Công Ty Cổ Phần Đầu Tư Nam Long</t>
        </is>
      </c>
      <c r="E8662" s="10" t="inlineStr">
        <is>
          <t>Thương lượng</t>
        </is>
      </c>
      <c r="F8662" s="10" t="inlineStr">
        <is>
          <t>Hồ Chí Minh</t>
        </is>
      </c>
      <c r="G8662" s="10" t="inlineStr">
        <is>
          <t>Nhân viên</t>
        </is>
      </c>
      <c r="H8662" s="10" t="inlineStr">
        <is>
          <t>09/03/2026</t>
        </is>
      </c>
      <c r="I8662" s="10" t="inlineStr">
        <is>
          <t>08/04/2026</t>
        </is>
      </c>
      <c r="J8662" s="10" t="inlineStr">
        <is>
          <t>17/03/2026</t>
        </is>
      </c>
      <c r="K8662" s="10" t="inlineStr">
        <is>
          <t>N/A</t>
        </is>
      </c>
      <c r="L8662" s="10" t="inlineStr">
        <is>
          <t>Giao Tiếp, Lập Kế Hoạch, Phân Bổ Nguồn Vốn, Quản Lý Dự Án, Quản Lý Ngân Sách</t>
        </is>
      </c>
      <c r="M8662" s="10" t="inlineStr">
        <is>
          <t>Bonus</t>
        </is>
      </c>
      <c r="N8662" s="11">
        <f>HYPERLINK("https://www.vietnamworks.com/assistant-planning-and-coordination-proficiency-english-2020161-jv","Xem chi tiết")</f>
        <v/>
      </c>
      <c r="O8662" s="10" t="n"/>
    </row>
    <row r="8663">
      <c r="B8663" s="7" t="n">
        <v>8661</v>
      </c>
      <c r="C8663" t="inlineStr">
        <is>
          <t>Retail Display Executive (Quản Lý Điểm Bán)</t>
        </is>
      </c>
      <c r="D8663" t="inlineStr">
        <is>
          <t>Hisense Viet Nam Co., Ltd</t>
        </is>
      </c>
      <c r="E8663" t="inlineStr">
        <is>
          <t>Thương lượng</t>
        </is>
      </c>
      <c r="F8663" t="inlineStr">
        <is>
          <t>Hồ Chí Minh</t>
        </is>
      </c>
      <c r="G8663" t="inlineStr">
        <is>
          <t>Nhân viên</t>
        </is>
      </c>
      <c r="H8663" t="inlineStr">
        <is>
          <t>09/03/2026</t>
        </is>
      </c>
      <c r="I8663" t="inlineStr">
        <is>
          <t>08/04/2026</t>
        </is>
      </c>
      <c r="J8663" t="inlineStr">
        <is>
          <t>17/03/2026</t>
        </is>
      </c>
      <c r="K8663" t="inlineStr">
        <is>
          <t>N/A</t>
        </is>
      </c>
      <c r="L8663" t="inlineStr">
        <is>
          <t>Tiếng Trung, Marketing, Construction Management, English, Retail experience</t>
        </is>
      </c>
      <c r="M8663" t="inlineStr">
        <is>
          <t>Bonus, Healthcare Plan, Training</t>
        </is>
      </c>
      <c r="N8663" s="8">
        <f>HYPERLINK("https://www.vietnamworks.com/retail-display-executive-quan-ly-diem-ban-2020163-jv","Xem chi tiết")</f>
        <v/>
      </c>
    </row>
    <row r="8664">
      <c r="B8664" s="9" t="n">
        <v>8662</v>
      </c>
      <c r="C8664" s="10" t="inlineStr">
        <is>
          <t>Chuyên Viên Nhân Sự</t>
        </is>
      </c>
      <c r="D8664" s="10" t="inlineStr">
        <is>
          <t>CÔNG TY CỔ PHẦN CƠ KHÍ XÂY DỰNG AMECC</t>
        </is>
      </c>
      <c r="E8664" s="10" t="inlineStr">
        <is>
          <t>12tr-15tr ₫/tháng</t>
        </is>
      </c>
      <c r="F8664" s="10" t="inlineStr">
        <is>
          <t>Hải Phòng</t>
        </is>
      </c>
      <c r="G8664" s="10" t="inlineStr">
        <is>
          <t>Nhân viên</t>
        </is>
      </c>
      <c r="H8664" s="10" t="inlineStr">
        <is>
          <t>09/03/2026</t>
        </is>
      </c>
      <c r="I8664" s="10" t="inlineStr">
        <is>
          <t>08/04/2026</t>
        </is>
      </c>
      <c r="J8664" s="10" t="inlineStr">
        <is>
          <t>17/03/2026</t>
        </is>
      </c>
      <c r="K8664" s="10" t="inlineStr">
        <is>
          <t>N/A</t>
        </is>
      </c>
      <c r="L8664" s="10" t="inlineStr">
        <is>
          <t>Quản Lý Nhân Sự, Quản Lý Hồ Sơ, HR, Nhân Sự, Tuyển Dụng</t>
        </is>
      </c>
      <c r="M8664" s="10" t="inlineStr">
        <is>
          <t>Bonus, Healthcare Plan, Training, Transportation, Canteen, Others</t>
        </is>
      </c>
      <c r="N8664" s="11">
        <f>HYPERLINK("https://www.vietnamworks.com/chuyen-vien-nhan-su-2020180-jv","Xem chi tiết")</f>
        <v/>
      </c>
      <c r="O8664" s="10" t="n"/>
    </row>
    <row r="8665">
      <c r="B8665" s="7" t="n">
        <v>8663</v>
      </c>
      <c r="C8665" t="inlineStr">
        <is>
          <t>Giám Đốc Mô Hình Rủi Ro (Digital Risk Modeling Head) - TNEX - 4B035</t>
        </is>
      </c>
      <c r="D8665" t="inlineStr">
        <is>
          <t>Tập đoàn ROX (ROX Group)</t>
        </is>
      </c>
      <c r="E8665" t="inlineStr">
        <is>
          <t>$$ 3,400-4,600 /tháng</t>
        </is>
      </c>
      <c r="F8665" t="inlineStr">
        <is>
          <t>Hà Nội</t>
        </is>
      </c>
      <c r="G8665" t="inlineStr">
        <is>
          <t>Giám Đốc và Cấp Cao Hơn</t>
        </is>
      </c>
      <c r="H8665" t="inlineStr">
        <is>
          <t>09/03/2026</t>
        </is>
      </c>
      <c r="I8665" t="inlineStr">
        <is>
          <t>08/04/2026</t>
        </is>
      </c>
      <c r="J8665" t="inlineStr">
        <is>
          <t>17/03/2026</t>
        </is>
      </c>
      <c r="K8665" t="inlineStr">
        <is>
          <t>N/A</t>
        </is>
      </c>
      <c r="L8665" t="inlineStr">
        <is>
          <t>Tiếng Anh lưu loát, Mô Hình Rủi Ro, Quản Lý</t>
        </is>
      </c>
      <c r="M8665" t="inlineStr">
        <is>
          <t>Bonus, Healthcare Plan, Paid Leave</t>
        </is>
      </c>
      <c r="N8665" s="8">
        <f>HYPERLINK("https://www.vietnamworks.com/giam-doc-mo-hinh-rui-ro-digital-risk-modeling-head-tnex-4b035-2020169-jv","Xem chi tiết")</f>
        <v/>
      </c>
    </row>
    <row r="8666">
      <c r="B8666" s="9" t="n">
        <v>8664</v>
      </c>
      <c r="C8666" s="10" t="inlineStr">
        <is>
          <t>Kỹ Sư QS Xây Dựng</t>
        </is>
      </c>
      <c r="D8666" s="10" t="inlineStr">
        <is>
          <t>CÔNG TY CỔ PHẦN TẬP ĐOÀN ĐẦU TƯ HOÀNG GIA VIỆT NAM</t>
        </is>
      </c>
      <c r="E8666" s="10" t="inlineStr">
        <is>
          <t>Thương lượng</t>
        </is>
      </c>
      <c r="F8666" s="10" t="inlineStr">
        <is>
          <t>Hồ Chí Minh</t>
        </is>
      </c>
      <c r="G8666" s="10" t="inlineStr">
        <is>
          <t>Nhân viên</t>
        </is>
      </c>
      <c r="H8666" s="10" t="inlineStr">
        <is>
          <t>09/03/2026</t>
        </is>
      </c>
      <c r="I8666" s="10" t="inlineStr">
        <is>
          <t>08/04/2026</t>
        </is>
      </c>
      <c r="J8666" s="10" t="inlineStr">
        <is>
          <t>17/03/2026</t>
        </is>
      </c>
      <c r="K8666" s="10" t="inlineStr">
        <is>
          <t>N/A</t>
        </is>
      </c>
      <c r="L8666" s="10" t="inlineStr">
        <is>
          <t>Autocad, Kinh Tế Xây Dựng, Kỹ Sư Xây Dựng, QS, QS xây dựng</t>
        </is>
      </c>
      <c r="M8666" s="10" t="inlineStr">
        <is>
          <t>Bonus, Healthcare Plan, Laptop, Travel Opportunities, Canteen, Others</t>
        </is>
      </c>
      <c r="N8666" s="11">
        <f>HYPERLINK("https://www.vietnamworks.com/ky-su-qs-xay-dung-2020168-jv","Xem chi tiết")</f>
        <v/>
      </c>
      <c r="O8666" s="10" t="n"/>
    </row>
    <row r="8667">
      <c r="B8667" s="7" t="n">
        <v>8665</v>
      </c>
      <c r="C8667" t="inlineStr">
        <is>
          <t>Giám Đốc Marketing (Brand &amp; Tiktok E-Commerce)</t>
        </is>
      </c>
      <c r="D8667" t="inlineStr">
        <is>
          <t>CÔNG TY CỔ PHẦN PHÂN PHỐI QUỐC TẾ GENEX</t>
        </is>
      </c>
      <c r="E8667" t="inlineStr">
        <is>
          <t>55tr-70tr ₫/tháng</t>
        </is>
      </c>
      <c r="F8667" t="inlineStr">
        <is>
          <t>Hà Nội</t>
        </is>
      </c>
      <c r="G8667" t="inlineStr">
        <is>
          <t>Trưởng phòng</t>
        </is>
      </c>
      <c r="H8667" t="inlineStr">
        <is>
          <t>09/03/2026</t>
        </is>
      </c>
      <c r="I8667" t="inlineStr">
        <is>
          <t>08/04/2026</t>
        </is>
      </c>
      <c r="J8667" t="inlineStr">
        <is>
          <t>17/03/2026</t>
        </is>
      </c>
      <c r="K8667" t="inlineStr">
        <is>
          <t>N/A</t>
        </is>
      </c>
      <c r="L8667" t="inlineStr">
        <is>
          <t>Phát Triển Thương Hiệu, Quản Lý Danh Mục, Quản Lý Ngân Sách, Quản Lý Thương Hiệu, Xây Dựng Chiến Lược</t>
        </is>
      </c>
      <c r="M8667" t="inlineStr">
        <is>
          <t>Bonus, Healthcare Plan, Paid Leave, Laptop, Travel Opportunities, Team Activities</t>
        </is>
      </c>
      <c r="N8667" s="8">
        <f>HYPERLINK("https://www.vietnamworks.com/giam-doc-marketing-brand-tiktok-e-commerce-2020170-jv","Xem chi tiết")</f>
        <v/>
      </c>
    </row>
    <row r="8668">
      <c r="B8668" s="9" t="n">
        <v>8666</v>
      </c>
      <c r="C8668" s="10" t="inlineStr">
        <is>
          <t>Finance and Accounting Associate</t>
        </is>
      </c>
      <c r="D8668" s="10" t="inlineStr">
        <is>
          <t>Công Ty TNHH Olam Việt Nam</t>
        </is>
      </c>
      <c r="E8668" s="10" t="inlineStr">
        <is>
          <t>Thương lượng</t>
        </is>
      </c>
      <c r="F8668" s="10" t="inlineStr">
        <is>
          <t>Hồ Chí Minh</t>
        </is>
      </c>
      <c r="G8668" s="10" t="inlineStr">
        <is>
          <t>Nhân viên</t>
        </is>
      </c>
      <c r="H8668" s="10" t="inlineStr">
        <is>
          <t>09/03/2026</t>
        </is>
      </c>
      <c r="I8668" s="10" t="inlineStr">
        <is>
          <t>08/04/2026</t>
        </is>
      </c>
      <c r="J8668" s="10" t="inlineStr">
        <is>
          <t>17/03/2026</t>
        </is>
      </c>
      <c r="K8668" s="10" t="inlineStr">
        <is>
          <t>N/A</t>
        </is>
      </c>
      <c r="L8668" s="10" t="inlineStr">
        <is>
          <t>SAP FICO, FCT Regulations, Cost Center Reporting, Intercompany Accounting, Variance Analysis</t>
        </is>
      </c>
      <c r="M8668" s="10" t="inlineStr">
        <is>
          <t>Bonus, Training, Laptop</t>
        </is>
      </c>
      <c r="N8668" s="11">
        <f>HYPERLINK("https://www.vietnamworks.com/finance-and-accounting-associate-2020167-jv","Xem chi tiết")</f>
        <v/>
      </c>
      <c r="O8668" s="10" t="n"/>
    </row>
    <row r="8669">
      <c r="B8669" s="7" t="n">
        <v>8667</v>
      </c>
      <c r="C8669" t="inlineStr">
        <is>
          <t>Director, Product and Solution (Trade Finance)</t>
        </is>
      </c>
      <c r="D8669" t="inlineStr">
        <is>
          <t>Techcombank</t>
        </is>
      </c>
      <c r="E8669" t="inlineStr">
        <is>
          <t>Thương lượng</t>
        </is>
      </c>
      <c r="F8669" t="inlineStr">
        <is>
          <t>Hà Nội</t>
        </is>
      </c>
      <c r="G8669" t="inlineStr">
        <is>
          <t>Giám Đốc và Cấp Cao Hơn</t>
        </is>
      </c>
      <c r="H8669" t="inlineStr">
        <is>
          <t>09/03/2026</t>
        </is>
      </c>
      <c r="I8669" t="inlineStr">
        <is>
          <t>08/04/2026</t>
        </is>
      </c>
      <c r="J8669" t="inlineStr">
        <is>
          <t>17/03/2026</t>
        </is>
      </c>
      <c r="K8669" t="inlineStr">
        <is>
          <t>N/A</t>
        </is>
      </c>
      <c r="L8669" t="inlineStr">
        <is>
          <t>Banking Regulation, Customer Intimacy, Product Management, Deposit Operations, Lending Operations</t>
        </is>
      </c>
      <c r="M8669" t="inlineStr">
        <is>
          <t>Others</t>
        </is>
      </c>
      <c r="N8669" s="8">
        <f>HYPERLINK("https://www.vietnamworks.com/director-product-and-solution-trade-finance-2020171-jv","Xem chi tiết")</f>
        <v/>
      </c>
    </row>
    <row r="8670">
      <c r="B8670" s="9" t="n">
        <v>8668</v>
      </c>
      <c r="C8670" s="10" t="inlineStr">
        <is>
          <t>Quality Engineer (QE Electronics)</t>
        </is>
      </c>
      <c r="D8670" s="10" t="inlineStr">
        <is>
          <t>Cong Ty TNHH EMI Asia VietNam</t>
        </is>
      </c>
      <c r="E8670" s="10" t="inlineStr">
        <is>
          <t>$$ 845-1,200 /tháng</t>
        </is>
      </c>
      <c r="F8670" s="10" t="inlineStr">
        <is>
          <t>Long An, Hồ Chí Minh</t>
        </is>
      </c>
      <c r="G8670" s="10" t="inlineStr">
        <is>
          <t>Nhân viên</t>
        </is>
      </c>
      <c r="H8670" s="10" t="inlineStr">
        <is>
          <t>09/03/2026</t>
        </is>
      </c>
      <c r="I8670" s="10" t="inlineStr">
        <is>
          <t>08/04/2026</t>
        </is>
      </c>
      <c r="J8670" s="10" t="inlineStr">
        <is>
          <t>17/03/2026</t>
        </is>
      </c>
      <c r="K8670" s="10" t="inlineStr">
        <is>
          <t>N/A</t>
        </is>
      </c>
      <c r="L8670" s="10" t="inlineStr">
        <is>
          <t>FMEA tool, Failure Analysis, Electrical Engineer, English Communication, Quality assuance</t>
        </is>
      </c>
      <c r="M8670" s="10" t="inlineStr">
        <is>
          <t>Paid Leave, Others</t>
        </is>
      </c>
      <c r="N8670" s="11">
        <f>HYPERLINK("https://www.vietnamworks.com/quality-engineer-qe-electronics-2020184-jv","Xem chi tiết")</f>
        <v/>
      </c>
      <c r="O8670" s="10" t="n"/>
    </row>
    <row r="8671">
      <c r="B8671" s="7" t="n">
        <v>8669</v>
      </c>
      <c r="C8671" t="inlineStr">
        <is>
          <t>Giáo Viên Lịch Sử - Địa Lý (Chương Trình MOET)</t>
        </is>
      </c>
      <c r="D8671" t="inlineStr">
        <is>
          <t>Scotch Australian Grammar School (AGS)</t>
        </is>
      </c>
      <c r="E8671" t="inlineStr">
        <is>
          <t>Thương lượng</t>
        </is>
      </c>
      <c r="F8671" t="inlineStr">
        <is>
          <t>Hồ Chí Minh</t>
        </is>
      </c>
      <c r="G8671" t="inlineStr">
        <is>
          <t>Nhân viên</t>
        </is>
      </c>
      <c r="H8671" t="inlineStr">
        <is>
          <t>09/03/2026</t>
        </is>
      </c>
      <c r="I8671" t="inlineStr">
        <is>
          <t>08/04/2026</t>
        </is>
      </c>
      <c r="J8671" t="inlineStr">
        <is>
          <t>17/03/2026</t>
        </is>
      </c>
      <c r="K8671" t="inlineStr">
        <is>
          <t>N/A</t>
        </is>
      </c>
      <c r="L8671" t="inlineStr">
        <is>
          <t>Education, Teaching, Sư Phạm Địa Lý, Giảng Dạy, Sư Phạm Lịch Sử</t>
        </is>
      </c>
      <c r="M8671" t="inlineStr">
        <is>
          <t>Bonus, Healthcare Plan, Canteen</t>
        </is>
      </c>
      <c r="N8671" s="8">
        <f>HYPERLINK("https://www.vietnamworks.com/giao-vien-lich-su-dia-ly-chuong-trinh-moet--2020183-jv","Xem chi tiết")</f>
        <v/>
      </c>
    </row>
    <row r="8672">
      <c r="B8672" s="9" t="n">
        <v>8670</v>
      </c>
      <c r="C8672" s="10" t="inlineStr">
        <is>
          <t>Nhân viên Truyền thông Marketing</t>
        </is>
      </c>
      <c r="D8672" s="10" t="inlineStr">
        <is>
          <t>Trường Đại Học Kinh Tế - Tài Chính TPHCM</t>
        </is>
      </c>
      <c r="E8672" s="10" t="inlineStr">
        <is>
          <t>Thương lượng</t>
        </is>
      </c>
      <c r="F8672" s="10" t="inlineStr">
        <is>
          <t>Hồ Chí Minh</t>
        </is>
      </c>
      <c r="G8672" s="10" t="inlineStr">
        <is>
          <t>Nhân viên</t>
        </is>
      </c>
      <c r="H8672" s="10" t="inlineStr">
        <is>
          <t>09/03/2026</t>
        </is>
      </c>
      <c r="I8672" s="10" t="inlineStr">
        <is>
          <t>08/04/2026</t>
        </is>
      </c>
      <c r="J8672" s="10" t="inlineStr">
        <is>
          <t>17/03/2026</t>
        </is>
      </c>
      <c r="K8672" s="10" t="inlineStr">
        <is>
          <t>N/A</t>
        </is>
      </c>
      <c r="L8672" s="10" t="inlineStr">
        <is>
          <t>Quản Lý Nội Dung, Sản Xuất Nội Dung, Social Media Communication, Tiếng Anh, Truyền Thông</t>
        </is>
      </c>
      <c r="M8672" s="10" t="inlineStr">
        <is>
          <t>Bonus</t>
        </is>
      </c>
      <c r="N8672" s="11">
        <f>HYPERLINK("https://www.vietnamworks.com/nhan-vien-truyen-thong-marketing-2020205-jv","Xem chi tiết")</f>
        <v/>
      </c>
      <c r="O8672" s="10" t="n"/>
    </row>
    <row r="8673">
      <c r="B8673" s="7" t="n">
        <v>8671</v>
      </c>
      <c r="C8673" t="inlineStr">
        <is>
          <t>Nhân viên Điều phối Marketing</t>
        </is>
      </c>
      <c r="D8673" t="inlineStr">
        <is>
          <t>Trường Đại Học Kinh Tế - Tài Chính TPHCM</t>
        </is>
      </c>
      <c r="E8673" t="inlineStr">
        <is>
          <t>Thương lượng</t>
        </is>
      </c>
      <c r="F8673" t="inlineStr">
        <is>
          <t>Hồ Chí Minh</t>
        </is>
      </c>
      <c r="G8673" t="inlineStr">
        <is>
          <t>Nhân viên</t>
        </is>
      </c>
      <c r="H8673" t="inlineStr">
        <is>
          <t>09/03/2026</t>
        </is>
      </c>
      <c r="I8673" t="inlineStr">
        <is>
          <t>08/04/2026</t>
        </is>
      </c>
      <c r="J8673" t="inlineStr">
        <is>
          <t>17/03/2026</t>
        </is>
      </c>
      <c r="K8673" t="inlineStr">
        <is>
          <t>N/A</t>
        </is>
      </c>
      <c r="L8673" t="inlineStr">
        <is>
          <t>Tiếng Anh, Advertising Tools, Quản Lý Dự Án, Tư Vấn Tuyển Sinh, Điều Phối</t>
        </is>
      </c>
      <c r="M8673" t="inlineStr">
        <is>
          <t>Bonus</t>
        </is>
      </c>
      <c r="N8673" s="8">
        <f>HYPERLINK("https://www.vietnamworks.com/nhan-vien-djieu-phoi-marketing-2020212-jv","Xem chi tiết")</f>
        <v/>
      </c>
    </row>
    <row r="8674">
      <c r="B8674" s="9" t="n">
        <v>8672</v>
      </c>
      <c r="C8674" s="10" t="inlineStr">
        <is>
          <t>Property Operation Manager (Quản Lý Vận Hành Tòa Nhà)</t>
        </is>
      </c>
      <c r="D8674" s="10" t="inlineStr">
        <is>
          <t>Công Ty Cổ Phần Tập Đoàn Masterise</t>
        </is>
      </c>
      <c r="E8674" s="10" t="inlineStr">
        <is>
          <t>Thương lượng</t>
        </is>
      </c>
      <c r="F8674" s="10" t="inlineStr">
        <is>
          <t>Hà Nội</t>
        </is>
      </c>
      <c r="G8674" s="10" t="inlineStr">
        <is>
          <t>Nhân viên</t>
        </is>
      </c>
      <c r="H8674" s="10" t="inlineStr">
        <is>
          <t>09/03/2026</t>
        </is>
      </c>
      <c r="I8674" s="10" t="inlineStr">
        <is>
          <t>08/04/2026</t>
        </is>
      </c>
      <c r="J8674" s="10" t="inlineStr">
        <is>
          <t>17/03/2026</t>
        </is>
      </c>
      <c r="K8674" s="10" t="inlineStr">
        <is>
          <t>N/A</t>
        </is>
      </c>
      <c r="L8674" s="10" t="inlineStr">
        <is>
          <t>Giám Sát Dịch Vụ, Kiểm Soát Chất Lượng, Quản Lý Vận Hành Tòa Nhà</t>
        </is>
      </c>
      <c r="M8674" s="10" t="inlineStr">
        <is>
          <t>Others</t>
        </is>
      </c>
      <c r="N8674" s="11">
        <f>HYPERLINK("https://www.vietnamworks.com/property-operation-manager-quan-ly-van-hanh-toa-nha-2020196-jv","Xem chi tiết")</f>
        <v/>
      </c>
      <c r="O8674" s="10" t="n"/>
    </row>
    <row r="8675">
      <c r="B8675" s="7" t="n">
        <v>8673</v>
      </c>
      <c r="C8675" t="inlineStr">
        <is>
          <t>HR &amp; Admin Executive (Chuyên Viên Hành Chính Nhân Sự Tổng Hợp)</t>
        </is>
      </c>
      <c r="D8675" t="inlineStr">
        <is>
          <t>CÔNG TY CỔ PHẦN TẬP ĐOÀN GMS</t>
        </is>
      </c>
      <c r="E8675" t="inlineStr">
        <is>
          <t>8tr-10tr ₫/tháng</t>
        </is>
      </c>
      <c r="F8675" t="inlineStr">
        <is>
          <t>Đà Nẵng</t>
        </is>
      </c>
      <c r="G8675" t="inlineStr">
        <is>
          <t>Nhân viên</t>
        </is>
      </c>
      <c r="H8675" t="inlineStr">
        <is>
          <t>09/03/2026</t>
        </is>
      </c>
      <c r="I8675" t="inlineStr">
        <is>
          <t>08/04/2026</t>
        </is>
      </c>
      <c r="J8675" t="inlineStr">
        <is>
          <t>17/03/2026</t>
        </is>
      </c>
      <c r="K8675" t="inlineStr">
        <is>
          <t>N/A</t>
        </is>
      </c>
      <c r="L8675" t="inlineStr">
        <is>
          <t>HR Generalist, Recruitment, C&amp;B, Payroll, Performance Management</t>
        </is>
      </c>
      <c r="M8675" t="inlineStr">
        <is>
          <t>Bonus, Healthcare Plan, Training, Travel Opportunities, Team Activities</t>
        </is>
      </c>
      <c r="N8675" s="8">
        <f>HYPERLINK("https://www.vietnamworks.com/hr-admin-executive-chuyen-vien-hanh-chinh-nhan-su-tong-hop-2020181-jv","Xem chi tiết")</f>
        <v/>
      </c>
    </row>
    <row r="8676">
      <c r="B8676" s="9" t="n">
        <v>8674</v>
      </c>
      <c r="C8676" s="10" t="inlineStr">
        <is>
          <t>Chuyên Viên C&amp;B (Compensation &amp; Benefit)</t>
        </is>
      </c>
      <c r="D8676" s="10" t="inlineStr">
        <is>
          <t>CÔNG TY CỔ PHẦN GIẢI PHÁP ĐỊNH CƯ QUỐC TẾ</t>
        </is>
      </c>
      <c r="E8676" s="10" t="inlineStr">
        <is>
          <t>Thương lượng</t>
        </is>
      </c>
      <c r="F8676" s="10" t="inlineStr">
        <is>
          <t>Hồ Chí Minh</t>
        </is>
      </c>
      <c r="G8676" s="10" t="inlineStr">
        <is>
          <t>Nhân viên</t>
        </is>
      </c>
      <c r="H8676" s="10" t="inlineStr">
        <is>
          <t>09/03/2026</t>
        </is>
      </c>
      <c r="I8676" s="10" t="inlineStr">
        <is>
          <t>08/04/2026</t>
        </is>
      </c>
      <c r="J8676" s="10" t="inlineStr">
        <is>
          <t>17/03/2026</t>
        </is>
      </c>
      <c r="K8676" s="10" t="inlineStr">
        <is>
          <t>N/A</t>
        </is>
      </c>
      <c r="L8676" s="10" t="inlineStr">
        <is>
          <t>Chính Sách Lương Thưởng, Compensation &amp; Benefits, Payroll processing, Salary Structure, Welfare Planning</t>
        </is>
      </c>
      <c r="M8676" s="10" t="inlineStr">
        <is>
          <t>Healthcare Plan, Others</t>
        </is>
      </c>
      <c r="N8676" s="11">
        <f>HYPERLINK("https://www.vietnamworks.com/chuyen-vien-candb-compensation-and-benefit-2020219-jv","Xem chi tiết")</f>
        <v/>
      </c>
      <c r="O8676" s="10" t="n"/>
    </row>
    <row r="8677">
      <c r="B8677" s="7" t="n">
        <v>8675</v>
      </c>
      <c r="C8677" t="inlineStr">
        <is>
          <t>Nhân Viên Thiết Kế Đồ Họa (Graphic Designer)</t>
        </is>
      </c>
      <c r="D8677" t="inlineStr">
        <is>
          <t>Trường Đại Học Kinh Tế - Tài Chính TPHCM</t>
        </is>
      </c>
      <c r="E8677" t="inlineStr">
        <is>
          <t>Thương lượng</t>
        </is>
      </c>
      <c r="F8677" t="inlineStr">
        <is>
          <t>Hồ Chí Minh</t>
        </is>
      </c>
      <c r="G8677" t="inlineStr">
        <is>
          <t>Nhân viên</t>
        </is>
      </c>
      <c r="H8677" t="inlineStr">
        <is>
          <t>09/03/2026</t>
        </is>
      </c>
      <c r="I8677" t="inlineStr">
        <is>
          <t>08/04/2026</t>
        </is>
      </c>
      <c r="J8677" t="inlineStr">
        <is>
          <t>17/03/2026</t>
        </is>
      </c>
      <c r="K8677" t="inlineStr">
        <is>
          <t>N/A</t>
        </is>
      </c>
      <c r="L8677" t="inlineStr">
        <is>
          <t>Adobe, Canva Design, Thiết Kế Ấn Phẩm, Tư Duy Thẩm Mỹ, Typography</t>
        </is>
      </c>
      <c r="M8677" t="inlineStr">
        <is>
          <t>Bonus</t>
        </is>
      </c>
      <c r="N8677" s="8">
        <f>HYPERLINK("https://www.vietnamworks.com/nhan-vien-thiet-ke-djo-hoa-graphic-designer-2020218-jv","Xem chi tiết")</f>
        <v/>
      </c>
    </row>
    <row r="8678">
      <c r="B8678" s="9" t="n">
        <v>8676</v>
      </c>
      <c r="C8678" s="10" t="inlineStr">
        <is>
          <t>Trưởng Phòng Marketing</t>
        </is>
      </c>
      <c r="D8678" s="10" t="inlineStr">
        <is>
          <t>CÔNG TY CỔ PHẦN TẬP ĐOÀN GMS</t>
        </is>
      </c>
      <c r="E8678" s="10" t="inlineStr">
        <is>
          <t>18tr-25tr ₫/tháng</t>
        </is>
      </c>
      <c r="F8678" s="10" t="inlineStr">
        <is>
          <t>Đà Nẵng</t>
        </is>
      </c>
      <c r="G8678" s="10" t="inlineStr">
        <is>
          <t>Trưởng phòng</t>
        </is>
      </c>
      <c r="H8678" s="10" t="inlineStr">
        <is>
          <t>09/03/2026</t>
        </is>
      </c>
      <c r="I8678" s="10" t="inlineStr">
        <is>
          <t>08/04/2026</t>
        </is>
      </c>
      <c r="J8678" s="10" t="inlineStr">
        <is>
          <t>17/03/2026</t>
        </is>
      </c>
      <c r="K8678" s="10" t="inlineStr">
        <is>
          <t>N/A</t>
        </is>
      </c>
      <c r="L8678" s="10" t="inlineStr">
        <is>
          <t>Tư Vấn Chiến Lược Marketing, Digital Marketing, Trade Marketing, Branding, Lãnh Đạo</t>
        </is>
      </c>
      <c r="M8678" s="10" t="inlineStr">
        <is>
          <t>Bonus, Healthcare Plan, Training, Others</t>
        </is>
      </c>
      <c r="N8678" s="11">
        <f>HYPERLINK("https://www.vietnamworks.com/truong-phong-marketing-2020204-jv","Xem chi tiết")</f>
        <v/>
      </c>
      <c r="O8678" s="10" t="n"/>
    </row>
    <row r="8679">
      <c r="B8679" s="7" t="n">
        <v>8677</v>
      </c>
      <c r="C8679" t="inlineStr">
        <is>
          <t>Kỹ Sư Điện Tự Động Hoá</t>
        </is>
      </c>
      <c r="D8679" t="inlineStr">
        <is>
          <t>Công ty TNHH Youngjin Hi-tech Vina</t>
        </is>
      </c>
      <c r="E8679" t="inlineStr">
        <is>
          <t>Thương lượng</t>
        </is>
      </c>
      <c r="F8679" t="inlineStr">
        <is>
          <t>Bắc Ninh, Bắc Giang, Hà Nội</t>
        </is>
      </c>
      <c r="G8679" t="inlineStr">
        <is>
          <t>Nhân viên</t>
        </is>
      </c>
      <c r="H8679" t="inlineStr">
        <is>
          <t>09/03/2026</t>
        </is>
      </c>
      <c r="I8679" t="inlineStr">
        <is>
          <t>08/04/2026</t>
        </is>
      </c>
      <c r="J8679" t="inlineStr">
        <is>
          <t>17/03/2026</t>
        </is>
      </c>
      <c r="K8679" t="inlineStr">
        <is>
          <t>N/A</t>
        </is>
      </c>
      <c r="L8679" t="inlineStr">
        <is>
          <t>Đọc Hiểu Bản Vẽ, Thiết Bị Tự Động Hóa, Tự Động Hóa Sản Xuất, Vận Hành Thiết Bị Điện, Điện Tự Động Hóa</t>
        </is>
      </c>
      <c r="M8679" t="inlineStr">
        <is>
          <t>Healthcare Plan, Training, Travel Opportunities, Others</t>
        </is>
      </c>
      <c r="N8679" s="8">
        <f>HYPERLINK("https://www.vietnamworks.com/ky-su-djien-tu-djong-hoa-2020210-jv","Xem chi tiết")</f>
        <v/>
      </c>
    </row>
    <row r="8680">
      <c r="B8680" s="9" t="n">
        <v>8678</v>
      </c>
      <c r="C8680" s="10" t="inlineStr">
        <is>
          <t>Nhân Viên Kinh Doanh</t>
        </is>
      </c>
      <c r="D8680" s="10" t="inlineStr">
        <is>
          <t>CÔNG TY CỔ PHẦN CÔNG NGHỆ T-PLUS</t>
        </is>
      </c>
      <c r="E8680" s="10" t="inlineStr">
        <is>
          <t>Thương lượng</t>
        </is>
      </c>
      <c r="F8680" s="10" t="inlineStr">
        <is>
          <t>Hồ Chí Minh</t>
        </is>
      </c>
      <c r="G8680" s="10" t="inlineStr">
        <is>
          <t>Nhân viên</t>
        </is>
      </c>
      <c r="H8680" s="10" t="inlineStr">
        <is>
          <t>09/03/2026</t>
        </is>
      </c>
      <c r="I8680" s="10" t="inlineStr">
        <is>
          <t>08/04/2026</t>
        </is>
      </c>
      <c r="J8680" s="10" t="inlineStr">
        <is>
          <t>17/03/2026</t>
        </is>
      </c>
      <c r="K8680" s="10" t="inlineStr">
        <is>
          <t>N/A</t>
        </is>
      </c>
      <c r="L8680" s="10" t="inlineStr">
        <is>
          <t>Sales Giải Pháp Saas, Quản Lý Bán Hàng, Phân Tích Quy Trình, Kỹ năng phối hợp, Giao Tiếp</t>
        </is>
      </c>
      <c r="M8680" s="10" t="inlineStr">
        <is>
          <t>Bonus, Healthcare Plan, Training, Laptop, Others</t>
        </is>
      </c>
      <c r="N8680" s="11">
        <f>HYPERLINK("https://www.vietnamworks.com/nhan-vien-kinh-doanh-2020185-jv","Xem chi tiết")</f>
        <v/>
      </c>
      <c r="O8680" s="10" t="n"/>
    </row>
    <row r="8681">
      <c r="B8681" s="7" t="n">
        <v>8679</v>
      </c>
      <c r="C8681" t="inlineStr">
        <is>
          <t>HSE Specialist (Environment)</t>
        </is>
      </c>
      <c r="D8681" t="inlineStr">
        <is>
          <t>Mondelēz Kinh Đô Việt Nam</t>
        </is>
      </c>
      <c r="E8681" t="inlineStr">
        <is>
          <t>Thương lượng</t>
        </is>
      </c>
      <c r="F8681" t="inlineStr">
        <is>
          <t>Hưng Yên</t>
        </is>
      </c>
      <c r="G8681" t="inlineStr">
        <is>
          <t>Nhân viên</t>
        </is>
      </c>
      <c r="H8681" t="inlineStr">
        <is>
          <t>09/03/2026</t>
        </is>
      </c>
      <c r="I8681" t="inlineStr">
        <is>
          <t>08/04/2026</t>
        </is>
      </c>
      <c r="J8681" t="inlineStr">
        <is>
          <t>17/03/2026</t>
        </is>
      </c>
      <c r="K8681" t="inlineStr">
        <is>
          <t>N/A</t>
        </is>
      </c>
      <c r="L8681" t="inlineStr">
        <is>
          <t>EHS Compliance, Environment, ESG, ISO 14001, ISO 45001</t>
        </is>
      </c>
      <c r="M8681" t="inlineStr">
        <is>
          <t>Bonus, Healthcare Plan, Paid Leave, Laptop, Team Activities, Transportation, Canteen</t>
        </is>
      </c>
      <c r="N8681" s="8">
        <f>HYPERLINK("https://www.vietnamworks.com/hse-specialist-environment-2020207-jv","Xem chi tiết")</f>
        <v/>
      </c>
    </row>
    <row r="8682">
      <c r="B8682" s="9" t="n">
        <v>8680</v>
      </c>
      <c r="C8682" s="10" t="inlineStr">
        <is>
          <t>Customer Service Representative</t>
        </is>
      </c>
      <c r="D8682" s="10" t="inlineStr">
        <is>
          <t>OIA GLOBAL Vietnam</t>
        </is>
      </c>
      <c r="E8682" s="10" t="inlineStr">
        <is>
          <t>Thương lượng</t>
        </is>
      </c>
      <c r="F8682" s="10" t="inlineStr">
        <is>
          <t>Hồ Chí Minh</t>
        </is>
      </c>
      <c r="G8682" s="10" t="inlineStr">
        <is>
          <t>Mới Tốt Nghiệp</t>
        </is>
      </c>
      <c r="H8682" s="10" t="inlineStr">
        <is>
          <t>09/03/2026</t>
        </is>
      </c>
      <c r="I8682" s="10" t="inlineStr">
        <is>
          <t>08/04/2026</t>
        </is>
      </c>
      <c r="J8682" s="10" t="inlineStr">
        <is>
          <t>17/03/2026</t>
        </is>
      </c>
      <c r="K8682" s="10" t="inlineStr">
        <is>
          <t>N/A</t>
        </is>
      </c>
      <c r="L8682" s="10" t="inlineStr">
        <is>
          <t>Bilingual Proficiency, Communication Skills, Import/Export Knowledge, Microsoft Office, Negotiation Skills</t>
        </is>
      </c>
      <c r="M8682" s="10" t="inlineStr">
        <is>
          <t>Bonus, Others</t>
        </is>
      </c>
      <c r="N8682" s="11">
        <f>HYPERLINK("https://www.vietnamworks.com/customer-service-representative-2020215-jv","Xem chi tiết")</f>
        <v/>
      </c>
      <c r="O8682" s="10" t="n"/>
    </row>
    <row r="8683">
      <c r="B8683" s="7" t="n">
        <v>8681</v>
      </c>
      <c r="C8683" t="inlineStr">
        <is>
          <t>Senior Talent Acquisition Specialist (FMCG Mass/commercial)</t>
        </is>
      </c>
      <c r="D8683" t="inlineStr">
        <is>
          <t>Công Ty Cổ Phần Sữa Việt Nam (Vinamilk)</t>
        </is>
      </c>
      <c r="E8683" t="inlineStr">
        <is>
          <t>Thương lượng</t>
        </is>
      </c>
      <c r="F8683" t="inlineStr">
        <is>
          <t>Hồ Chí Minh</t>
        </is>
      </c>
      <c r="G8683" t="inlineStr">
        <is>
          <t>Nhân viên</t>
        </is>
      </c>
      <c r="H8683" t="inlineStr">
        <is>
          <t>09/03/2026</t>
        </is>
      </c>
      <c r="I8683" t="inlineStr">
        <is>
          <t>08/04/2026</t>
        </is>
      </c>
      <c r="J8683" t="inlineStr">
        <is>
          <t>17/03/2026</t>
        </is>
      </c>
      <c r="K8683" t="inlineStr">
        <is>
          <t>N/A</t>
        </is>
      </c>
      <c r="L8683" t="inlineStr">
        <is>
          <t>recruiment</t>
        </is>
      </c>
      <c r="M8683" t="inlineStr">
        <is>
          <t>Bonus, Healthcare Plan, Training</t>
        </is>
      </c>
      <c r="N8683" s="8">
        <f>HYPERLINK("https://www.vietnamworks.com/senior-talent-acquisition-specialist-fmcg-mass-commercial-2020203-jv","Xem chi tiết")</f>
        <v/>
      </c>
    </row>
    <row r="8684">
      <c r="B8684" s="9" t="n">
        <v>8682</v>
      </c>
      <c r="C8684" s="10" t="inlineStr">
        <is>
          <t>Chuyên Viên Nhân Sự (C&amp;B) - Mạnh xây dựng chính sách</t>
        </is>
      </c>
      <c r="D8684" s="10" t="inlineStr">
        <is>
          <t>Công Ty TNHH Bảo Hiểm Tasco</t>
        </is>
      </c>
      <c r="E8684" s="10" t="inlineStr">
        <is>
          <t>$$ 500-1,000 /tháng</t>
        </is>
      </c>
      <c r="F8684" s="10" t="inlineStr">
        <is>
          <t>Hà Nội</t>
        </is>
      </c>
      <c r="G8684" s="10" t="inlineStr">
        <is>
          <t>Nhân viên</t>
        </is>
      </c>
      <c r="H8684" s="10" t="inlineStr">
        <is>
          <t>09/03/2026</t>
        </is>
      </c>
      <c r="I8684" s="10" t="inlineStr">
        <is>
          <t>08/04/2026</t>
        </is>
      </c>
      <c r="J8684" s="10" t="inlineStr">
        <is>
          <t>17/03/2026</t>
        </is>
      </c>
      <c r="K8684" s="10" t="inlineStr">
        <is>
          <t>N/A</t>
        </is>
      </c>
      <c r="L8684" s="10" t="inlineStr">
        <is>
          <t>Chính Sách Nhân Sự, Giao Tiếp, Luật Lao Động, Quản Lý Nhân Sự, Tin Học Văn Phòng</t>
        </is>
      </c>
      <c r="M8684" s="10" t="inlineStr">
        <is>
          <t>Healthcare Plan, Laptop, Team Activities, Others</t>
        </is>
      </c>
      <c r="N8684" s="11">
        <f>HYPERLINK("https://www.vietnamworks.com/chuyen-vien-nhan-su-candb-manh-xay-dung-chinh-sach-2020206-jv","Xem chi tiết")</f>
        <v/>
      </c>
      <c r="O8684" s="10" t="n"/>
    </row>
    <row r="8685">
      <c r="B8685" s="7" t="n">
        <v>8683</v>
      </c>
      <c r="C8685" t="inlineStr">
        <is>
          <t>Giám Sát Kinh Doanh - Telesales</t>
        </is>
      </c>
      <c r="D8685" t="inlineStr">
        <is>
          <t>Shinhan Vietnam Finance Company Limited</t>
        </is>
      </c>
      <c r="E8685" t="inlineStr">
        <is>
          <t>10tr-25tr ₫/tháng</t>
        </is>
      </c>
      <c r="F8685" t="inlineStr">
        <is>
          <t>Hồ Chí Minh</t>
        </is>
      </c>
      <c r="G8685" t="inlineStr">
        <is>
          <t>Trưởng phòng</t>
        </is>
      </c>
      <c r="H8685" t="inlineStr">
        <is>
          <t>09/03/2026</t>
        </is>
      </c>
      <c r="I8685" t="inlineStr">
        <is>
          <t>08/04/2026</t>
        </is>
      </c>
      <c r="J8685" t="inlineStr">
        <is>
          <t>17/03/2026</t>
        </is>
      </c>
      <c r="K8685" t="inlineStr">
        <is>
          <t>N/A</t>
        </is>
      </c>
      <c r="L8685" t="inlineStr">
        <is>
          <t>Giao tiếp, Quản Lý Nhân Sự</t>
        </is>
      </c>
      <c r="M8685" t="inlineStr">
        <is>
          <t>Healthcare Plan, Training, Others</t>
        </is>
      </c>
      <c r="N8685" s="8">
        <f>HYPERLINK("https://www.vietnamworks.com/giam-sat-kinh-doanh-telesales--2020216-jv","Xem chi tiết")</f>
        <v/>
      </c>
    </row>
    <row r="8686">
      <c r="B8686" s="9" t="n">
        <v>8684</v>
      </c>
      <c r="C8686" s="10" t="inlineStr">
        <is>
          <t>Giám Đốc Ban Đầu Tư</t>
        </is>
      </c>
      <c r="D8686" s="10" t="inlineStr">
        <is>
          <t>Công Ty Cổ Phần Le Delta</t>
        </is>
      </c>
      <c r="E8686" s="10" t="inlineStr">
        <is>
          <t>70tr-90tr ₫/tháng</t>
        </is>
      </c>
      <c r="F8686" s="10" t="inlineStr">
        <is>
          <t>Hà Nội</t>
        </is>
      </c>
      <c r="G8686" s="10" t="inlineStr">
        <is>
          <t>Giám Đốc và Cấp Cao Hơn</t>
        </is>
      </c>
      <c r="H8686" s="10" t="inlineStr">
        <is>
          <t>09/03/2026</t>
        </is>
      </c>
      <c r="I8686" s="10" t="inlineStr">
        <is>
          <t>08/04/2026</t>
        </is>
      </c>
      <c r="J8686" s="10" t="inlineStr">
        <is>
          <t>17/03/2026</t>
        </is>
      </c>
      <c r="K8686" s="10" t="inlineStr">
        <is>
          <t>N/A</t>
        </is>
      </c>
      <c r="L8686" s="10" t="inlineStr">
        <is>
          <t>Chiến Lược Đầu Tư, Hoạch Định Chiến Lược, Kinh Doanh Bất Động Sản, Tham Mưu Đề Xuất, Thẩm Định Dự Án Đầu Tư</t>
        </is>
      </c>
      <c r="M8686" s="10" t="inlineStr">
        <is>
          <t>Bonus, Healthcare Plan, Paid Leave, Travel Opportunities, Team Activities, Vouchers, Kindergarten</t>
        </is>
      </c>
      <c r="N8686" s="11">
        <f>HYPERLINK("https://www.vietnamworks.com/giam-djoc-ban-djau-tu-2020198-jv","Xem chi tiết")</f>
        <v/>
      </c>
      <c r="O8686" s="10" t="n"/>
    </row>
    <row r="8687">
      <c r="B8687" s="7" t="n">
        <v>8685</v>
      </c>
      <c r="C8687" t="inlineStr">
        <is>
          <t>Mechanical Engineer (Wastewater, Waste Treatment, Renewable Energy)</t>
        </is>
      </c>
      <c r="D8687" t="inlineStr">
        <is>
          <t>CÔNG TY TNHH ANAERGIA VIETNAM</t>
        </is>
      </c>
      <c r="E8687" t="inlineStr">
        <is>
          <t>Thương lượng</t>
        </is>
      </c>
      <c r="F8687" t="inlineStr">
        <is>
          <t>Hồ Chí Minh</t>
        </is>
      </c>
      <c r="G8687" t="inlineStr">
        <is>
          <t>Nhân viên</t>
        </is>
      </c>
      <c r="H8687" t="inlineStr">
        <is>
          <t>09/03/2026</t>
        </is>
      </c>
      <c r="I8687" t="inlineStr">
        <is>
          <t>08/04/2026</t>
        </is>
      </c>
      <c r="J8687" t="inlineStr">
        <is>
          <t>17/03/2026</t>
        </is>
      </c>
      <c r="K8687" t="inlineStr">
        <is>
          <t>N/A</t>
        </is>
      </c>
      <c r="L8687" t="inlineStr">
        <is>
          <t>Mechanical Design, AutoCAD, Chemical Engineering, Solidwork, Environmental Engineer</t>
        </is>
      </c>
      <c r="M8687" t="inlineStr">
        <is>
          <t>Bonus, Healthcare Plan, Others</t>
        </is>
      </c>
      <c r="N8687" s="8">
        <f>HYPERLINK("https://www.vietnamworks.com/mechanical-engineer-wastewater-waste-treatment-renewable-energy-2020199-jv","Xem chi tiết")</f>
        <v/>
      </c>
    </row>
    <row r="8688">
      <c r="B8688" s="9" t="n">
        <v>8686</v>
      </c>
      <c r="C8688" s="10" t="inlineStr">
        <is>
          <t>Nhân Viên Thiết Kế</t>
        </is>
      </c>
      <c r="D8688" s="10" t="inlineStr">
        <is>
          <t>Công ty TNHH Youngjin Hi-tech Vina</t>
        </is>
      </c>
      <c r="E8688" s="10" t="inlineStr">
        <is>
          <t>Thương lượng</t>
        </is>
      </c>
      <c r="F8688" s="10" t="inlineStr">
        <is>
          <t>Bắc Ninh, Bắc Giang, Hà Nội</t>
        </is>
      </c>
      <c r="G8688" s="10" t="inlineStr">
        <is>
          <t>Nhân viên</t>
        </is>
      </c>
      <c r="H8688" s="10" t="inlineStr">
        <is>
          <t>09/03/2026</t>
        </is>
      </c>
      <c r="I8688" s="10" t="inlineStr">
        <is>
          <t>08/04/2026</t>
        </is>
      </c>
      <c r="J8688" s="10" t="inlineStr">
        <is>
          <t>17/03/2026</t>
        </is>
      </c>
      <c r="K8688" s="10" t="inlineStr">
        <is>
          <t>N/A</t>
        </is>
      </c>
      <c r="L8688" s="10" t="inlineStr">
        <is>
          <t>AutoCAD, Thiết Kế Máy Móc, Bóc Tách Bản Vẽ Thiết Kế, Tính Toán Vật Liệu, Thiết Kế 2D</t>
        </is>
      </c>
      <c r="M8688" s="10" t="inlineStr">
        <is>
          <t>Bonus, Healthcare Plan, Awards</t>
        </is>
      </c>
      <c r="N8688" s="11">
        <f>HYPERLINK("https://www.vietnamworks.com/nhan-vien-thiet-ke--2020211-jv","Xem chi tiết")</f>
        <v/>
      </c>
      <c r="O8688" s="10" t="n"/>
    </row>
    <row r="8689">
      <c r="B8689" s="7" t="n">
        <v>8687</v>
      </c>
      <c r="C8689" t="inlineStr">
        <is>
          <t>Giám Sát MEP</t>
        </is>
      </c>
      <c r="D8689" t="inlineStr">
        <is>
          <t>First Quality Management Corporation (FQM Corp.)</t>
        </is>
      </c>
      <c r="E8689" t="inlineStr">
        <is>
          <t>Thương lượng</t>
        </is>
      </c>
      <c r="F8689" t="inlineStr">
        <is>
          <t>Nghệ An, Bình Thuận, Kiên Giang</t>
        </is>
      </c>
      <c r="G8689" t="inlineStr">
        <is>
          <t>Nhân viên</t>
        </is>
      </c>
      <c r="H8689" t="inlineStr">
        <is>
          <t>09/03/2026</t>
        </is>
      </c>
      <c r="I8689" t="inlineStr">
        <is>
          <t>08/04/2026</t>
        </is>
      </c>
      <c r="J8689" t="inlineStr">
        <is>
          <t>17/03/2026</t>
        </is>
      </c>
      <c r="K8689" t="inlineStr">
        <is>
          <t>N/A</t>
        </is>
      </c>
      <c r="L8689" t="inlineStr">
        <is>
          <t>Autocad, Cost Management, Design Management, Dynamic Personality, Project Coordination</t>
        </is>
      </c>
      <c r="M8689" t="inlineStr">
        <is>
          <t>Bonus, Healthcare Plan, Travel Opportunities</t>
        </is>
      </c>
      <c r="N8689" s="8">
        <f>HYPERLINK("https://www.vietnamworks.com/giam-sat-mep-2020217-jv","Xem chi tiết")</f>
        <v/>
      </c>
    </row>
    <row r="8690">
      <c r="B8690" s="9" t="n">
        <v>8688</v>
      </c>
      <c r="C8690" s="10" t="inlineStr">
        <is>
          <t>MT Sales Planning Specialist (HCM)</t>
        </is>
      </c>
      <c r="D8690" s="10" t="inlineStr">
        <is>
          <t>Orion Food Vina Co,. Ltd - Head Office</t>
        </is>
      </c>
      <c r="E8690" s="10" t="inlineStr">
        <is>
          <t>Thương lượng</t>
        </is>
      </c>
      <c r="F8690" s="10" t="inlineStr">
        <is>
          <t>Hồ Chí Minh</t>
        </is>
      </c>
      <c r="G8690" s="10" t="inlineStr">
        <is>
          <t>Nhân viên</t>
        </is>
      </c>
      <c r="H8690" s="10" t="inlineStr">
        <is>
          <t>09/03/2026</t>
        </is>
      </c>
      <c r="I8690" s="10" t="inlineStr">
        <is>
          <t>08/04/2026</t>
        </is>
      </c>
      <c r="J8690" s="10" t="inlineStr">
        <is>
          <t>17/03/2026</t>
        </is>
      </c>
      <c r="K8690" s="10" t="inlineStr">
        <is>
          <t>N/A</t>
        </is>
      </c>
      <c r="L8690" s="10" t="inlineStr">
        <is>
          <t>Sales Planning, MT Channel, Modern Trade, FMCG, Chiến Lược Kinh Doanh</t>
        </is>
      </c>
      <c r="M8690" s="10" t="inlineStr">
        <is>
          <t>Bonus, Healthcare Plan, Team Activities</t>
        </is>
      </c>
      <c r="N8690" s="11">
        <f>HYPERLINK("https://www.vietnamworks.com/mt-sales-planning-specialist-hcm-2020224-jv","Xem chi tiết")</f>
        <v/>
      </c>
      <c r="O8690" s="10" t="n"/>
    </row>
    <row r="8691">
      <c r="B8691" s="7" t="n">
        <v>8689</v>
      </c>
      <c r="C8691" t="inlineStr">
        <is>
          <t>Quality Assurance Manager</t>
        </is>
      </c>
      <c r="D8691" t="inlineStr">
        <is>
          <t>CÔNG TY TNHH FASHION GARMENTS 2</t>
        </is>
      </c>
      <c r="E8691" t="inlineStr">
        <is>
          <t>Thương lượng</t>
        </is>
      </c>
      <c r="F8691" t="inlineStr">
        <is>
          <t>Nam Định</t>
        </is>
      </c>
      <c r="G8691" t="inlineStr">
        <is>
          <t>Trưởng phòng</t>
        </is>
      </c>
      <c r="H8691" t="inlineStr">
        <is>
          <t>09/03/2026</t>
        </is>
      </c>
      <c r="I8691" t="inlineStr">
        <is>
          <t>08/04/2026</t>
        </is>
      </c>
      <c r="J8691" t="inlineStr">
        <is>
          <t>17/03/2026</t>
        </is>
      </c>
      <c r="K8691" t="inlineStr">
        <is>
          <t>N/A</t>
        </is>
      </c>
      <c r="L8691" t="inlineStr">
        <is>
          <t>Garment Manufacturing, Quality Management System, Quality Assurance, Factory Evaluate, ISO</t>
        </is>
      </c>
      <c r="M8691" t="inlineStr">
        <is>
          <t>Healthcare Plan, Paid Leave, Canteen</t>
        </is>
      </c>
      <c r="N8691" s="8">
        <f>HYPERLINK("https://www.vietnamworks.com/quality-assurance-manager-2020229-jv","Xem chi tiết")</f>
        <v/>
      </c>
    </row>
    <row r="8692">
      <c r="B8692" s="9" t="n">
        <v>8690</v>
      </c>
      <c r="C8692" s="10" t="inlineStr">
        <is>
          <t>Trợ Lý Trưởng Phòng Pha Chế (Sản Xuất Mỹ Phẩm)</t>
        </is>
      </c>
      <c r="D8692" s="10" t="inlineStr">
        <is>
          <t>Công Ty TNHH FT Industries Việt Nam</t>
        </is>
      </c>
      <c r="E8692" s="10" t="inlineStr">
        <is>
          <t>Thương lượng</t>
        </is>
      </c>
      <c r="F8692" s="10" t="inlineStr">
        <is>
          <t>Đồng Nai</t>
        </is>
      </c>
      <c r="G8692" s="10" t="inlineStr">
        <is>
          <t>Nhân viên</t>
        </is>
      </c>
      <c r="H8692" s="10" t="inlineStr">
        <is>
          <t>09/03/2026</t>
        </is>
      </c>
      <c r="I8692" s="10" t="inlineStr">
        <is>
          <t>08/04/2026</t>
        </is>
      </c>
      <c r="J8692" s="10" t="inlineStr">
        <is>
          <t>17/03/2026</t>
        </is>
      </c>
      <c r="K8692" s="10" t="inlineStr">
        <is>
          <t>N/A</t>
        </is>
      </c>
      <c r="L8692" s="10" t="inlineStr">
        <is>
          <t>Quản Lý Sản Xuất, GMP, ISO, Kaizen, Mỹ Phẩm</t>
        </is>
      </c>
      <c r="M8692" s="10" t="inlineStr">
        <is>
          <t>Bonus, Healthcare Plan, Paid Leave, Laptop, Travel Opportunities, Transportation, Others</t>
        </is>
      </c>
      <c r="N8692" s="11">
        <f>HYPERLINK("https://www.vietnamworks.com/tro-ly-truong-phong-pha-che-san-xuat-my-pham-2020222-jv","Xem chi tiết")</f>
        <v/>
      </c>
      <c r="O8692" s="10" t="n"/>
    </row>
    <row r="8693">
      <c r="B8693" s="7" t="n">
        <v>8691</v>
      </c>
      <c r="C8693" t="inlineStr">
        <is>
          <t>Industrial Engineer (Working in Hai Phong)</t>
        </is>
      </c>
      <c r="D8693" t="inlineStr">
        <is>
          <t>VINFAST TRADING AND PRODUCTION JSC</t>
        </is>
      </c>
      <c r="E8693" t="inlineStr">
        <is>
          <t>Thương lượng</t>
        </is>
      </c>
      <c r="F8693" t="inlineStr">
        <is>
          <t>Hải Phòng, Hải Dương</t>
        </is>
      </c>
      <c r="G8693" t="inlineStr">
        <is>
          <t>Nhân viên</t>
        </is>
      </c>
      <c r="H8693" t="inlineStr">
        <is>
          <t>09/03/2026</t>
        </is>
      </c>
      <c r="I8693" t="inlineStr">
        <is>
          <t>08/04/2026</t>
        </is>
      </c>
      <c r="J8693" t="inlineStr">
        <is>
          <t>17/03/2026</t>
        </is>
      </c>
      <c r="K8693" t="inlineStr">
        <is>
          <t>N/A</t>
        </is>
      </c>
      <c r="L8693" t="inlineStr">
        <is>
          <t>Lean Manufacturing, Lean Production, Manufactory Management, Production Enhancement</t>
        </is>
      </c>
      <c r="M8693" t="inlineStr">
        <is>
          <t>Healthcare Plan, Transportation, Canteen</t>
        </is>
      </c>
      <c r="N8693" s="8">
        <f>HYPERLINK("https://www.vietnamworks.com/industrial-engineer-working-in-hai-phong-2020225-jv","Xem chi tiết")</f>
        <v/>
      </c>
    </row>
    <row r="8694">
      <c r="B8694" s="9" t="n">
        <v>8692</v>
      </c>
      <c r="C8694" s="10" t="inlineStr">
        <is>
          <t>Deposit Product Lead</t>
        </is>
      </c>
      <c r="D8694" s="10" t="inlineStr">
        <is>
          <t>United Overseas Bank (Vietnam) Limited (UOB)</t>
        </is>
      </c>
      <c r="E8694" s="10" t="inlineStr">
        <is>
          <t>Thương lượng</t>
        </is>
      </c>
      <c r="F8694" s="10" t="inlineStr">
        <is>
          <t>Hồ Chí Minh</t>
        </is>
      </c>
      <c r="G8694" s="10" t="inlineStr">
        <is>
          <t>Trưởng phòng</t>
        </is>
      </c>
      <c r="H8694" s="10" t="inlineStr">
        <is>
          <t>09/03/2026</t>
        </is>
      </c>
      <c r="I8694" s="10" t="inlineStr">
        <is>
          <t>08/04/2026</t>
        </is>
      </c>
      <c r="J8694" s="10" t="inlineStr">
        <is>
          <t>17/03/2026</t>
        </is>
      </c>
      <c r="K8694" s="10" t="inlineStr">
        <is>
          <t>N/A</t>
        </is>
      </c>
      <c r="L8694" s="10" t="inlineStr">
        <is>
          <t>Commercial Banking, Financial Analysis, Leadership, Product Management, Regulatory Compliance</t>
        </is>
      </c>
      <c r="M8694" s="10" t="inlineStr">
        <is>
          <t>Bonus, Healthcare Plan, Paid Leave, Others</t>
        </is>
      </c>
      <c r="N8694" s="11">
        <f>HYPERLINK("https://www.vietnamworks.com/deposit-product-lead-2020223-jv","Xem chi tiết")</f>
        <v/>
      </c>
      <c r="O8694" s="10" t="n"/>
    </row>
    <row r="8695">
      <c r="B8695" s="7" t="n">
        <v>8693</v>
      </c>
      <c r="C8695" t="inlineStr">
        <is>
          <t>Sales Admin</t>
        </is>
      </c>
      <c r="D8695" t="inlineStr">
        <is>
          <t>Công Ty Cổ Phần Thương Mại Cổng Vàng</t>
        </is>
      </c>
      <c r="E8695" t="inlineStr">
        <is>
          <t>12tr-20tr ₫/tháng</t>
        </is>
      </c>
      <c r="F8695" t="inlineStr">
        <is>
          <t>Hà Nội, Hồ Chí Minh</t>
        </is>
      </c>
      <c r="G8695" t="inlineStr">
        <is>
          <t>Nhân viên</t>
        </is>
      </c>
      <c r="H8695" t="inlineStr">
        <is>
          <t>09/03/2026</t>
        </is>
      </c>
      <c r="I8695" t="inlineStr">
        <is>
          <t>08/04/2026</t>
        </is>
      </c>
      <c r="J8695" t="inlineStr">
        <is>
          <t>17/03/2026</t>
        </is>
      </c>
      <c r="K8695" t="inlineStr">
        <is>
          <t>N/A</t>
        </is>
      </c>
      <c r="L8695" t="inlineStr">
        <is>
          <t>Kế Toán, Làm Việc Nhóm, Lập Báo Cáo, Phân Tích Dữ Liệu, Quản Trị Phần Mềm ERP</t>
        </is>
      </c>
      <c r="M8695" t="inlineStr">
        <is>
          <t>Bonus, Healthcare Plan, Paid Leave, Others</t>
        </is>
      </c>
      <c r="N8695" s="8">
        <f>HYPERLINK("https://www.vietnamworks.com/sales-admin-2020228-jv","Xem chi tiết")</f>
        <v/>
      </c>
    </row>
    <row r="8696">
      <c r="B8696" s="9" t="n">
        <v>8694</v>
      </c>
      <c r="C8696" s="10" t="inlineStr">
        <is>
          <t>Kỹ Sư Tự Động Hóa (Vision, Robot)</t>
        </is>
      </c>
      <c r="D8696" s="10" t="inlineStr">
        <is>
          <t>Công ty TNHH CRESYN Hà Nội - Nhà máy Bắc Ninh</t>
        </is>
      </c>
      <c r="E8696" s="10" t="inlineStr">
        <is>
          <t>Thương lượng</t>
        </is>
      </c>
      <c r="F8696" s="10" t="inlineStr">
        <is>
          <t>Bắc Ninh</t>
        </is>
      </c>
      <c r="G8696" s="10" t="inlineStr">
        <is>
          <t>Nhân viên</t>
        </is>
      </c>
      <c r="H8696" s="10" t="inlineStr">
        <is>
          <t>09/03/2026</t>
        </is>
      </c>
      <c r="I8696" s="10" t="inlineStr">
        <is>
          <t>08/04/2026</t>
        </is>
      </c>
      <c r="J8696" s="10" t="inlineStr">
        <is>
          <t>17/03/2026</t>
        </is>
      </c>
      <c r="K8696" s="10" t="inlineStr">
        <is>
          <t>N/A</t>
        </is>
      </c>
      <c r="L8696" s="10" t="inlineStr">
        <is>
          <t>Tiếng Anh, Automation Engineering, Lập Trình PLC, Kĩ Thuật Cảm Biến, Đọc Bản Vẽ Kỹ Thuật</t>
        </is>
      </c>
      <c r="M8696" s="10" t="inlineStr">
        <is>
          <t>Bonus, Healthcare Plan, Others</t>
        </is>
      </c>
      <c r="N8696" s="11">
        <f>HYPERLINK("https://www.vietnamworks.com/ky-su-tu-dong-hoa-vision-robot--2020220-jv","Xem chi tiết")</f>
        <v/>
      </c>
      <c r="O8696" s="10" t="n"/>
    </row>
    <row r="8697">
      <c r="B8697" s="7" t="n">
        <v>8695</v>
      </c>
      <c r="C8697" t="inlineStr">
        <is>
          <t>Kỹ Sư Thiết Kế Cơ Khí (Máy - Đồ Gá (Jig))</t>
        </is>
      </c>
      <c r="D8697" t="inlineStr">
        <is>
          <t>Công ty TNHH CRESYN Hà Nội - Nhà máy Bắc Ninh</t>
        </is>
      </c>
      <c r="E8697" t="inlineStr">
        <is>
          <t>Thương lượng</t>
        </is>
      </c>
      <c r="F8697" t="inlineStr">
        <is>
          <t>Bắc Ninh</t>
        </is>
      </c>
      <c r="G8697" t="inlineStr">
        <is>
          <t>Nhân viên</t>
        </is>
      </c>
      <c r="H8697" t="inlineStr">
        <is>
          <t>09/03/2026</t>
        </is>
      </c>
      <c r="I8697" t="inlineStr">
        <is>
          <t>08/04/2026</t>
        </is>
      </c>
      <c r="J8697" t="inlineStr">
        <is>
          <t>17/03/2026</t>
        </is>
      </c>
      <c r="K8697" t="inlineStr">
        <is>
          <t>N/A</t>
        </is>
      </c>
      <c r="L8697" t="inlineStr">
        <is>
          <t>Thiết Kế Cơ Khí, Mechanical Engineering, Mechanical Design, AutoCAD, SolidWorks</t>
        </is>
      </c>
      <c r="M8697" t="inlineStr">
        <is>
          <t>Bonus, Healthcare Plan, Others</t>
        </is>
      </c>
      <c r="N8697" s="8">
        <f>HYPERLINK("https://www.vietnamworks.com/ky-su-thiet-ke-co-khi-may-do-ga-jig--2020221-jv","Xem chi tiết")</f>
        <v/>
      </c>
    </row>
    <row r="8698">
      <c r="B8698" s="9" t="n">
        <v>8696</v>
      </c>
      <c r="C8698" s="10" t="inlineStr">
        <is>
          <t>Nhân Viên Kế Toán / Accounting Staff (AR/AP &amp; Payment)</t>
        </is>
      </c>
      <c r="D8698" s="10" t="inlineStr">
        <is>
          <t>Hantech Consulting</t>
        </is>
      </c>
      <c r="E8698" s="10" t="inlineStr">
        <is>
          <t>13tr-16.5tr ₫/tháng</t>
        </is>
      </c>
      <c r="F8698" s="10" t="inlineStr">
        <is>
          <t>Hà Nội</t>
        </is>
      </c>
      <c r="G8698" s="10" t="inlineStr">
        <is>
          <t>Nhân viên</t>
        </is>
      </c>
      <c r="H8698" s="10" t="inlineStr">
        <is>
          <t>09/03/2026</t>
        </is>
      </c>
      <c r="I8698" s="10" t="inlineStr">
        <is>
          <t>08/04/2026</t>
        </is>
      </c>
      <c r="J8698" s="10" t="inlineStr">
        <is>
          <t>17/03/2026</t>
        </is>
      </c>
      <c r="K8698" s="10" t="inlineStr">
        <is>
          <t>N/A</t>
        </is>
      </c>
      <c r="L8698" s="10" t="inlineStr">
        <is>
          <t>Kế Toán Xuất Hóa Đơn, Hạch Toán, Báo Cáo Thuế, Theo Dõi Công Nợ, Hành Chính Nhân Sự</t>
        </is>
      </c>
      <c r="M8698" s="10" t="inlineStr">
        <is>
          <t>Bonus, Healthcare Plan, Canteen</t>
        </is>
      </c>
      <c r="N8698" s="11">
        <f>HYPERLINK("https://www.vietnamworks.com/nhan-vien-ke-toan-accounting-staff-arap-and-payment-2020230-jv","Xem chi tiết")</f>
        <v/>
      </c>
      <c r="O8698" s="10" t="n"/>
    </row>
    <row r="8699">
      <c r="B8699" s="7" t="n">
        <v>8697</v>
      </c>
      <c r="C8699" t="inlineStr">
        <is>
          <t>Software Configuration Engineer</t>
        </is>
      </c>
      <c r="D8699" t="inlineStr">
        <is>
          <t>Công Ty TNHH Trelleborg Việt Nam</t>
        </is>
      </c>
      <c r="E8699" t="inlineStr">
        <is>
          <t>Thương lượng</t>
        </is>
      </c>
      <c r="F8699" t="inlineStr">
        <is>
          <t>Bà Rịa - Vũng Tàu</t>
        </is>
      </c>
      <c r="G8699" t="inlineStr">
        <is>
          <t>Nhân viên</t>
        </is>
      </c>
      <c r="H8699" t="inlineStr">
        <is>
          <t>09/03/2026</t>
        </is>
      </c>
      <c r="I8699" t="inlineStr">
        <is>
          <t>08/04/2026</t>
        </is>
      </c>
      <c r="J8699" t="inlineStr">
        <is>
          <t>17/03/2026</t>
        </is>
      </c>
      <c r="K8699" t="inlineStr">
        <is>
          <t>N/A</t>
        </is>
      </c>
      <c r="L8699" t="inlineStr">
        <is>
          <t>Software Configuration Management, Technical Support, Infrawork, Linux Programming, Protocols</t>
        </is>
      </c>
      <c r="M8699" t="inlineStr">
        <is>
          <t>Bonus</t>
        </is>
      </c>
      <c r="N8699" s="8">
        <f>HYPERLINK("https://www.vietnamworks.com/software-configuration-engineer-2020226-jv","Xem chi tiết")</f>
        <v/>
      </c>
    </row>
    <row r="8700">
      <c r="B8700" s="9" t="n">
        <v>8698</v>
      </c>
      <c r="C8700" s="10" t="inlineStr">
        <is>
          <t>Chuyên Viên Tài Chính Doanh Nghiệp</t>
        </is>
      </c>
      <c r="D8700" s="10" t="inlineStr">
        <is>
          <t>Công Ty Cổ Phần Thép Nam Kim</t>
        </is>
      </c>
      <c r="E8700" s="10" t="inlineStr">
        <is>
          <t>Thương lượng</t>
        </is>
      </c>
      <c r="F8700" s="10" t="inlineStr">
        <is>
          <t>Bình Dương</t>
        </is>
      </c>
      <c r="G8700" s="10" t="inlineStr">
        <is>
          <t>Nhân viên</t>
        </is>
      </c>
      <c r="H8700" s="10" t="inlineStr">
        <is>
          <t>09/03/2026</t>
        </is>
      </c>
      <c r="I8700" s="10" t="inlineStr">
        <is>
          <t>08/04/2026</t>
        </is>
      </c>
      <c r="J8700" s="10" t="inlineStr">
        <is>
          <t>17/03/2026</t>
        </is>
      </c>
      <c r="K8700" s="10" t="inlineStr">
        <is>
          <t>N/A</t>
        </is>
      </c>
      <c r="L8700" s="10" t="inlineStr">
        <is>
          <t>Kinh Tế, Phân Tích Số Liệu, Tài Chính, Tài Chính Kế Toán, Đàm Phán</t>
        </is>
      </c>
      <c r="M8700" s="10" t="inlineStr">
        <is>
          <t>Bonus, Training, Transportation, Canteen, Others</t>
        </is>
      </c>
      <c r="N8700" s="11">
        <f>HYPERLINK("https://www.vietnamworks.com/chuyen-vien-tai-chinh-doanh-nghiep-2020237-jv","Xem chi tiết")</f>
        <v/>
      </c>
      <c r="O8700" s="10" t="n"/>
    </row>
    <row r="8701">
      <c r="B8701" s="7" t="n">
        <v>8699</v>
      </c>
      <c r="C8701" t="inlineStr">
        <is>
          <t>Kỹ Sư AI</t>
        </is>
      </c>
      <c r="D8701" t="inlineStr">
        <is>
          <t>Công Ty Cổ Phần Meiko Automation</t>
        </is>
      </c>
      <c r="E8701" t="inlineStr">
        <is>
          <t>Thương lượng</t>
        </is>
      </c>
      <c r="F8701" t="inlineStr">
        <is>
          <t>Hà Nội</t>
        </is>
      </c>
      <c r="G8701" t="inlineStr">
        <is>
          <t>Nhân viên</t>
        </is>
      </c>
      <c r="H8701" t="inlineStr">
        <is>
          <t>09/03/2026</t>
        </is>
      </c>
      <c r="I8701" t="inlineStr">
        <is>
          <t>08/04/2026</t>
        </is>
      </c>
      <c r="J8701" t="inlineStr">
        <is>
          <t>17/03/2026</t>
        </is>
      </c>
      <c r="K8701" t="inlineStr">
        <is>
          <t>N/A</t>
        </is>
      </c>
      <c r="L8701" t="inlineStr">
        <is>
          <t>Architecture Model Making, Computer Vision, Python Programming, Deep Learning, AI Engineering</t>
        </is>
      </c>
      <c r="M8701" t="inlineStr">
        <is>
          <t>Bonus, Healthcare Plan, Paid Leave, Awards, Team Activities</t>
        </is>
      </c>
      <c r="N8701" s="8">
        <f>HYPERLINK("https://www.vietnamworks.com/ky-su-ai-2020231-jv","Xem chi tiết")</f>
        <v/>
      </c>
    </row>
    <row r="8702">
      <c r="B8702" s="9" t="n">
        <v>8700</v>
      </c>
      <c r="C8702" s="10" t="inlineStr">
        <is>
          <t>Nhân Viên Thiết Kế 3D (Tổng Doanh Thu Sẽ Từ 20-25Tr/ Tháng)</t>
        </is>
      </c>
      <c r="D8702" s="10" t="inlineStr">
        <is>
          <t>Công Ty TNHH Sdragon VIỆT NAM</t>
        </is>
      </c>
      <c r="E8702" s="10" t="inlineStr">
        <is>
          <t>$$ 20,000-25,000 /tháng</t>
        </is>
      </c>
      <c r="F8702" s="10" t="inlineStr">
        <is>
          <t>Hà Nội</t>
        </is>
      </c>
      <c r="G8702" s="10" t="inlineStr">
        <is>
          <t>Mới Tốt Nghiệp</t>
        </is>
      </c>
      <c r="H8702" s="10" t="inlineStr">
        <is>
          <t>09/03/2026</t>
        </is>
      </c>
      <c r="I8702" s="10" t="inlineStr">
        <is>
          <t>08/04/2026</t>
        </is>
      </c>
      <c r="J8702" s="10" t="inlineStr">
        <is>
          <t>17/03/2026</t>
        </is>
      </c>
      <c r="K8702" s="10" t="inlineStr">
        <is>
          <t>N/A</t>
        </is>
      </c>
      <c r="L8702" s="10" t="inlineStr">
        <is>
          <t>AutoCAD, Thiết Kế Sân Khấu, Thiết Kế Đồ Họa, 3DMax, Tư Duy Sáng Tạo</t>
        </is>
      </c>
      <c r="M8702" s="10" t="inlineStr">
        <is>
          <t>Bonus, Awards, Team Activities</t>
        </is>
      </c>
      <c r="N8702" s="11">
        <f>HYPERLINK("https://www.vietnamworks.com/nhan-vien-thiet-ke-3d-tong-doanh-thu-se-tu-20-25tr-thang-2020236-jv","Xem chi tiết")</f>
        <v/>
      </c>
      <c r="O8702" s="10" t="n"/>
    </row>
    <row r="8703">
      <c r="B8703" s="7" t="n">
        <v>8701</v>
      </c>
      <c r="C8703" t="inlineStr">
        <is>
          <t>Kỹ Sư Điện – Tự Động Hóa (PLC / Scada), Lương 15 - 20 Triệu</t>
        </is>
      </c>
      <c r="D8703" t="inlineStr">
        <is>
          <t>Công Ty Cổ Phần Bơm Châu Âu</t>
        </is>
      </c>
      <c r="E8703" t="inlineStr">
        <is>
          <t>15tr-20tr ₫/tháng</t>
        </is>
      </c>
      <c r="F8703" t="inlineStr">
        <is>
          <t>Hà Nội</t>
        </is>
      </c>
      <c r="G8703" t="inlineStr">
        <is>
          <t>Nhân viên</t>
        </is>
      </c>
      <c r="H8703" t="inlineStr">
        <is>
          <t>09/03/2026</t>
        </is>
      </c>
      <c r="I8703" t="inlineStr">
        <is>
          <t>08/04/2026</t>
        </is>
      </c>
      <c r="J8703" t="inlineStr">
        <is>
          <t>17/03/2026</t>
        </is>
      </c>
      <c r="K8703" t="inlineStr">
        <is>
          <t>N/A</t>
        </is>
      </c>
      <c r="L8703" t="inlineStr">
        <is>
          <t>Tự Động Hóa, Thiết Kế Hệ Thống Điện, AutoCAD, Lập Bản Vẽ Thiết Kế, MS Office</t>
        </is>
      </c>
      <c r="M8703" t="inlineStr">
        <is>
          <t>Bonus, Healthcare Plan, Paid Leave, Training, Awards, Others</t>
        </is>
      </c>
      <c r="N8703" s="8">
        <f>HYPERLINK("https://www.vietnamworks.com/ky-su-dien-tu-dong-hoa-plc-scada-luong-15-20-trieu-2020234-jv","Xem chi tiết")</f>
        <v/>
      </c>
    </row>
    <row r="8704">
      <c r="B8704" s="9" t="n">
        <v>8702</v>
      </c>
      <c r="C8704" s="10" t="inlineStr">
        <is>
          <t>Senior Accountant</t>
        </is>
      </c>
      <c r="D8704" s="10" t="inlineStr">
        <is>
          <t>CBRE Vietnam</t>
        </is>
      </c>
      <c r="E8704" s="10" t="inlineStr">
        <is>
          <t>Thương lượng</t>
        </is>
      </c>
      <c r="F8704" s="10" t="inlineStr">
        <is>
          <t>Hồ Chí Minh</t>
        </is>
      </c>
      <c r="G8704" s="10" t="inlineStr">
        <is>
          <t>Nhân viên</t>
        </is>
      </c>
      <c r="H8704" s="10" t="inlineStr">
        <is>
          <t>09/03/2026</t>
        </is>
      </c>
      <c r="I8704" s="10" t="inlineStr">
        <is>
          <t>08/04/2026</t>
        </is>
      </c>
      <c r="J8704" s="10" t="inlineStr">
        <is>
          <t>17/03/2026</t>
        </is>
      </c>
      <c r="K8704" s="10" t="inlineStr">
        <is>
          <t>N/A</t>
        </is>
      </c>
      <c r="L8704" s="10" t="inlineStr">
        <is>
          <t>Invoicing, Accounting Payment, Financial Reporting, Accounting, Reconcile Invoice</t>
        </is>
      </c>
      <c r="M8704" s="10" t="inlineStr">
        <is>
          <t>Healthcare Plan, Training, Laptop</t>
        </is>
      </c>
      <c r="N8704" s="11">
        <f>HYPERLINK("https://www.vietnamworks.com/senior-accountant--2020242-jv","Xem chi tiết")</f>
        <v/>
      </c>
      <c r="O8704" s="10" t="n"/>
    </row>
    <row r="8705">
      <c r="B8705" s="7" t="n">
        <v>8703</v>
      </c>
      <c r="C8705" t="inlineStr">
        <is>
          <t>Chuyên Viên Quản Lý Bán Hàng Khu Vực (Đại Lý Ô Tô)</t>
        </is>
      </c>
      <c r="D8705" t="inlineStr">
        <is>
          <t>Công ty Cổ phần Phân phối và Kinh doanh Ô tô Việt Nam</t>
        </is>
      </c>
      <c r="E8705" t="inlineStr">
        <is>
          <t>Thương lượng</t>
        </is>
      </c>
      <c r="F8705" t="inlineStr">
        <is>
          <t>Hà Nội, Hồ Chí Minh</t>
        </is>
      </c>
      <c r="G8705" t="inlineStr">
        <is>
          <t>Nhân viên</t>
        </is>
      </c>
      <c r="H8705" t="inlineStr">
        <is>
          <t>09/03/2026</t>
        </is>
      </c>
      <c r="I8705" t="inlineStr">
        <is>
          <t>08/04/2026</t>
        </is>
      </c>
      <c r="J8705" t="inlineStr">
        <is>
          <t>17/03/2026</t>
        </is>
      </c>
      <c r="K8705" t="inlineStr">
        <is>
          <t>N/A</t>
        </is>
      </c>
      <c r="L8705" t="inlineStr">
        <is>
          <t>Quản Trị Kinh Doanh, Kinh Tế, Giao Tiếp, Đàm Phán, Tin Học Văn Phòng</t>
        </is>
      </c>
      <c r="M8705" t="inlineStr">
        <is>
          <t>Bonus, Healthcare Plan, Others</t>
        </is>
      </c>
      <c r="N8705" s="8">
        <f>HYPERLINK("https://www.vietnamworks.com/chuyen-vien-quan-ly-ban-hang-khu-vuc-dai-ly-o-to-2020244-jv","Xem chi tiết")</f>
        <v/>
      </c>
    </row>
    <row r="8706">
      <c r="B8706" s="9" t="n">
        <v>8704</v>
      </c>
      <c r="C8706" s="10" t="inlineStr">
        <is>
          <t>[Hot Job] Nhân Viên Kinh Doanh (Lĩnh Vực Logistics) - Lương Cứng Tối Thiểu 11 Triệu + Thưởng Doanh Số</t>
        </is>
      </c>
      <c r="D8706" s="10" t="inlineStr">
        <is>
          <t>CÔNG TY TNHH MỘT THÀNH VIÊN DỊCH VỤ LOGISTICS HOÀN VŨ</t>
        </is>
      </c>
      <c r="E8706" s="10" t="inlineStr">
        <is>
          <t>Từ 11tr ₫/tháng</t>
        </is>
      </c>
      <c r="F8706" s="10" t="inlineStr">
        <is>
          <t>Hà Nội</t>
        </is>
      </c>
      <c r="G8706" s="10" t="inlineStr">
        <is>
          <t>Nhân viên</t>
        </is>
      </c>
      <c r="H8706" s="10" t="inlineStr">
        <is>
          <t>09/03/2026</t>
        </is>
      </c>
      <c r="I8706" s="10" t="inlineStr">
        <is>
          <t>08/04/2026</t>
        </is>
      </c>
      <c r="J8706" s="10" t="inlineStr">
        <is>
          <t>17/03/2026</t>
        </is>
      </c>
      <c r="K8706" s="10" t="inlineStr">
        <is>
          <t>N/A</t>
        </is>
      </c>
      <c r="L8706" s="10" t="inlineStr">
        <is>
          <t>Logistics, Xuất Nhập Khẩu, Chứng Từ Xnk, Quản Lý Chứng Từ, Kinh Doanh Xuất Nhập Khẩu</t>
        </is>
      </c>
      <c r="M8706" s="10" t="inlineStr">
        <is>
          <t>Bonus, Healthcare Plan, Training, Team Activities, Others</t>
        </is>
      </c>
      <c r="N8706" s="11">
        <f>HYPERLINK("https://www.vietnamworks.com/hot-job-nhan-vien-kinh-doanh-linh-vuc-logistics-luong-cung-toi-thieu-11-trieu-thuong-doanh-so-2020240-jv","Xem chi tiết")</f>
        <v/>
      </c>
      <c r="O8706" s="10" t="n"/>
    </row>
    <row r="8707">
      <c r="B8707" s="7" t="n">
        <v>8705</v>
      </c>
      <c r="C8707" t="inlineStr">
        <is>
          <t>Key Account Activation Specialist for Vaccines (Lam Dong and Tay Ninh)</t>
        </is>
      </c>
      <c r="D8707" t="inlineStr">
        <is>
          <t>MSD</t>
        </is>
      </c>
      <c r="E8707" t="inlineStr">
        <is>
          <t>Thương lượng</t>
        </is>
      </c>
      <c r="F8707" t="inlineStr">
        <is>
          <t>Khác</t>
        </is>
      </c>
      <c r="G8707" t="inlineStr">
        <is>
          <t>Nhân viên</t>
        </is>
      </c>
      <c r="H8707" t="inlineStr">
        <is>
          <t>09/03/2026</t>
        </is>
      </c>
      <c r="I8707" t="inlineStr">
        <is>
          <t>08/04/2026</t>
        </is>
      </c>
      <c r="J8707" t="inlineStr">
        <is>
          <t>17/03/2026</t>
        </is>
      </c>
      <c r="K8707" t="inlineStr">
        <is>
          <t>N/A</t>
        </is>
      </c>
      <c r="L8707" t="inlineStr">
        <is>
          <t>Medical Representative, Pharmacist</t>
        </is>
      </c>
      <c r="M8707" t="inlineStr">
        <is>
          <t>Bonus, Healthcare Plan, Paid Leave</t>
        </is>
      </c>
      <c r="N8707" s="8">
        <f>HYPERLINK("https://www.vietnamworks.com/key-account-activation-specialist-for-vaccines-lam-dong-and-tay-ninh-2020245-jv","Xem chi tiết")</f>
        <v/>
      </c>
    </row>
    <row r="8708">
      <c r="B8708" s="9" t="n">
        <v>8706</v>
      </c>
      <c r="C8708" s="10" t="inlineStr">
        <is>
          <t>Chuyên Viên Hành Chính (Nghỉ Thứ 7, Chủ Nhật Thưởng Upto 2 Tháng Lương/năm)</t>
        </is>
      </c>
      <c r="D8708" s="10" t="inlineStr">
        <is>
          <t>Công Ty TNHH Anthony Innovations Việt Nam</t>
        </is>
      </c>
      <c r="E8708" s="10" t="inlineStr">
        <is>
          <t>Tới 15tr ₫/tháng</t>
        </is>
      </c>
      <c r="F8708" s="10" t="inlineStr">
        <is>
          <t>Hưng Yên</t>
        </is>
      </c>
      <c r="G8708" s="10" t="inlineStr">
        <is>
          <t>Nhân viên</t>
        </is>
      </c>
      <c r="H8708" s="10" t="inlineStr">
        <is>
          <t>09/03/2026</t>
        </is>
      </c>
      <c r="I8708" s="10" t="inlineStr">
        <is>
          <t>08/04/2026</t>
        </is>
      </c>
      <c r="J8708" s="10" t="inlineStr">
        <is>
          <t>17/03/2026</t>
        </is>
      </c>
      <c r="K8708" s="10" t="inlineStr">
        <is>
          <t>N/A</t>
        </is>
      </c>
      <c r="L8708" s="10" t="inlineStr">
        <is>
          <t>Admin, Facility Management, General Affairs, Hành Chính Nhân Sự, Vận Hành Nhà Máy</t>
        </is>
      </c>
      <c r="M8708" s="10" t="inlineStr">
        <is>
          <t>Bonus, Healthcare Plan, Training, Team Activities, Transportation, Others</t>
        </is>
      </c>
      <c r="N8708" s="11">
        <f>HYPERLINK("https://www.vietnamworks.com/chuyen-vien-hanh-chinh-nghi-thu-7-chu-nhat-thuong-upto-2-thang-luongnam-2020238-jv","Xem chi tiết")</f>
        <v/>
      </c>
      <c r="O8708" s="10" t="n"/>
    </row>
    <row r="8709">
      <c r="B8709" s="7" t="n">
        <v>8707</v>
      </c>
      <c r="C8709" t="inlineStr">
        <is>
          <t xml:space="preserve">Sales Support Lead </t>
        </is>
      </c>
      <c r="D8709" t="inlineStr">
        <is>
          <t>Công ty Cổ phần An ninh Mạng Việt Nam(VSEC)</t>
        </is>
      </c>
      <c r="E8709" t="inlineStr">
        <is>
          <t>Thương lượng</t>
        </is>
      </c>
      <c r="F8709" t="inlineStr">
        <is>
          <t>Hà Nội</t>
        </is>
      </c>
      <c r="G8709" t="inlineStr">
        <is>
          <t>Trưởng phòng</t>
        </is>
      </c>
      <c r="H8709" t="inlineStr">
        <is>
          <t>09/03/2026</t>
        </is>
      </c>
      <c r="I8709" t="inlineStr">
        <is>
          <t>08/04/2026</t>
        </is>
      </c>
      <c r="J8709" t="inlineStr">
        <is>
          <t>17/03/2026</t>
        </is>
      </c>
      <c r="K8709" t="inlineStr">
        <is>
          <t>N/A</t>
        </is>
      </c>
      <c r="L8709" t="inlineStr">
        <is>
          <t>Họp Giao Ban, Phân Tích Dữ Liệu, Quản Lý Dự Án, Quản Lý Quy Trình, Admin</t>
        </is>
      </c>
      <c r="M8709" t="inlineStr">
        <is>
          <t>Bonus, Healthcare Plan, Paid Leave, Training, Others</t>
        </is>
      </c>
      <c r="N8709" s="8">
        <f>HYPERLINK("https://www.vietnamworks.com/sales-support-lead-2020243-jv","Xem chi tiết")</f>
        <v/>
      </c>
    </row>
    <row r="8710">
      <c r="B8710" s="9" t="n">
        <v>8708</v>
      </c>
      <c r="C8710" s="10" t="inlineStr">
        <is>
          <t>Nhân Viên Thiết Kế Và Truyền Thông</t>
        </is>
      </c>
      <c r="D8710" s="10" t="inlineStr">
        <is>
          <t>Công ty TNHH Toyota Hiroshima Tân Cảng - HT</t>
        </is>
      </c>
      <c r="E8710" s="10" t="inlineStr">
        <is>
          <t>12tr-16tr ₫/tháng</t>
        </is>
      </c>
      <c r="F8710" s="10" t="inlineStr">
        <is>
          <t>Hồ Chí Minh</t>
        </is>
      </c>
      <c r="G8710" s="10" t="inlineStr">
        <is>
          <t>Nhân viên</t>
        </is>
      </c>
      <c r="H8710" s="10" t="inlineStr">
        <is>
          <t>09/03/2026</t>
        </is>
      </c>
      <c r="I8710" s="10" t="inlineStr">
        <is>
          <t>08/04/2026</t>
        </is>
      </c>
      <c r="J8710" s="10" t="inlineStr">
        <is>
          <t>17/03/2026</t>
        </is>
      </c>
      <c r="K8710" s="10" t="inlineStr">
        <is>
          <t>N/A</t>
        </is>
      </c>
      <c r="L8710" s="10" t="inlineStr">
        <is>
          <t>Adobe Illustrator, Creative Design, Truyền Thông, Photoshop, Thiết Kế Đồ Họa 3D</t>
        </is>
      </c>
      <c r="M8710" s="10" t="inlineStr">
        <is>
          <t>Bonus, Healthcare Plan, Training, Others</t>
        </is>
      </c>
      <c r="N8710" s="11">
        <f>HYPERLINK("https://www.vietnamworks.com/nhan-vien-thiet-ke-va-truyen-thong-2020248-jv","Xem chi tiết")</f>
        <v/>
      </c>
      <c r="O8710" s="10" t="n"/>
    </row>
    <row r="8711">
      <c r="B8711" s="7" t="n">
        <v>8709</v>
      </c>
      <c r="C8711" t="inlineStr">
        <is>
          <t>Nhân Viên PQC (Làm Việc 3 Ca)</t>
        </is>
      </c>
      <c r="D8711" t="inlineStr">
        <is>
          <t>Panasonic Appliances Vietnam</t>
        </is>
      </c>
      <c r="E8711" t="inlineStr">
        <is>
          <t>Thương lượng</t>
        </is>
      </c>
      <c r="F8711" t="inlineStr">
        <is>
          <t>Hưng Yên</t>
        </is>
      </c>
      <c r="G8711" t="inlineStr">
        <is>
          <t>Nhân viên</t>
        </is>
      </c>
      <c r="H8711" t="inlineStr">
        <is>
          <t>09/03/2026</t>
        </is>
      </c>
      <c r="I8711" t="inlineStr">
        <is>
          <t>08/04/2026</t>
        </is>
      </c>
      <c r="J8711" t="inlineStr">
        <is>
          <t>17/03/2026</t>
        </is>
      </c>
      <c r="K8711" t="inlineStr">
        <is>
          <t>N/A</t>
        </is>
      </c>
      <c r="L8711" t="inlineStr">
        <is>
          <t>Control Quality, Problem Solving, Analytical Thinking, Measurement Tools, Multitasking</t>
        </is>
      </c>
      <c r="M8711" t="inlineStr">
        <is>
          <t>Bonus, Healthcare Plan, Training</t>
        </is>
      </c>
      <c r="N8711" s="8">
        <f>HYPERLINK("https://www.vietnamworks.com/nhan-vien-pqc-lam-viec-3-ca-2020251-jv","Xem chi tiết")</f>
        <v/>
      </c>
    </row>
    <row r="8712">
      <c r="B8712" s="9" t="n">
        <v>8710</v>
      </c>
      <c r="C8712" s="10" t="inlineStr">
        <is>
          <t>Business Manager</t>
        </is>
      </c>
      <c r="D8712" s="10" t="inlineStr">
        <is>
          <t>Mainetti (Vietnam)</t>
        </is>
      </c>
      <c r="E8712" s="10" t="inlineStr">
        <is>
          <t>Thương lượng</t>
        </is>
      </c>
      <c r="F8712" s="10" t="inlineStr">
        <is>
          <t>Hưng Yên, Hà Nội</t>
        </is>
      </c>
      <c r="G8712" s="10" t="inlineStr">
        <is>
          <t>Trưởng phòng</t>
        </is>
      </c>
      <c r="H8712" s="10" t="inlineStr">
        <is>
          <t>09/03/2026</t>
        </is>
      </c>
      <c r="I8712" s="10" t="inlineStr">
        <is>
          <t>08/04/2026</t>
        </is>
      </c>
      <c r="J8712" s="10" t="inlineStr">
        <is>
          <t>17/03/2026</t>
        </is>
      </c>
      <c r="K8712" s="10" t="inlineStr">
        <is>
          <t>N/A</t>
        </is>
      </c>
      <c r="L8712" s="10" t="inlineStr">
        <is>
          <t>Sales, Sales Experience, Electronics, Packaging, Leadership</t>
        </is>
      </c>
      <c r="M8712" s="10" t="inlineStr">
        <is>
          <t>Bonus</t>
        </is>
      </c>
      <c r="N8712" s="11">
        <f>HYPERLINK("https://www.vietnamworks.com/business-manager-2020254-jv","Xem chi tiết")</f>
        <v/>
      </c>
      <c r="O8712" s="10" t="n"/>
    </row>
    <row r="8713">
      <c r="B8713" s="7" t="n">
        <v>8711</v>
      </c>
      <c r="C8713" t="inlineStr">
        <is>
          <t>Chuyên Viên Phát Triển Đại Lý Ô Tô [Không Yêu Cầu Kinh Nghiệm]</t>
        </is>
      </c>
      <c r="D8713" t="inlineStr">
        <is>
          <t>Công ty Cổ phần Phân phối và Kinh doanh Ô tô Việt Nam</t>
        </is>
      </c>
      <c r="E8713" t="inlineStr">
        <is>
          <t>Thương lượng</t>
        </is>
      </c>
      <c r="F8713" t="inlineStr">
        <is>
          <t>Hà Nội</t>
        </is>
      </c>
      <c r="G8713" t="inlineStr">
        <is>
          <t>Nhân viên</t>
        </is>
      </c>
      <c r="H8713" t="inlineStr">
        <is>
          <t>09/03/2026</t>
        </is>
      </c>
      <c r="I8713" t="inlineStr">
        <is>
          <t>08/04/2026</t>
        </is>
      </c>
      <c r="J8713" t="inlineStr">
        <is>
          <t>17/03/2026</t>
        </is>
      </c>
      <c r="K8713" t="inlineStr">
        <is>
          <t>N/A</t>
        </is>
      </c>
      <c r="L8713" t="inlineStr">
        <is>
          <t>Kỹ năng giao tiêp, Trách nhiệm với công việc, Dịch Vụ Ngành Ô Tô, Tốt Nghiệp Đại Học, Sẵn sàng đi công tác</t>
        </is>
      </c>
      <c r="M8713" t="inlineStr">
        <is>
          <t>Bonus, Healthcare Plan, Others</t>
        </is>
      </c>
      <c r="N8713" s="8">
        <f>HYPERLINK("https://www.vietnamworks.com/chuyen-vien-phat-trien-dai-ly-o-to-khong-yeu-cau-kinh-nghiem-2020246-jv","Xem chi tiết")</f>
        <v/>
      </c>
    </row>
    <row r="8714">
      <c r="B8714" s="9" t="n">
        <v>8712</v>
      </c>
      <c r="C8714" s="10" t="inlineStr">
        <is>
          <t>Phó Phòng Phát Triển Kinh Doanh – Ban Kinh Doanh</t>
        </is>
      </c>
      <c r="D8714" s="10" t="inlineStr">
        <is>
          <t>Petrovietnam Transportation Corporation (PVTrans)</t>
        </is>
      </c>
      <c r="E8714" s="10" t="inlineStr">
        <is>
          <t>Thương lượng</t>
        </is>
      </c>
      <c r="F8714" s="10" t="inlineStr">
        <is>
          <t>Hồ Chí Minh</t>
        </is>
      </c>
      <c r="G8714" s="10" t="inlineStr">
        <is>
          <t>Nhân viên</t>
        </is>
      </c>
      <c r="H8714" s="10" t="inlineStr">
        <is>
          <t>09/03/2026</t>
        </is>
      </c>
      <c r="I8714" s="10" t="inlineStr">
        <is>
          <t>08/04/2026</t>
        </is>
      </c>
      <c r="J8714" s="10" t="inlineStr">
        <is>
          <t>17/03/2026</t>
        </is>
      </c>
      <c r="K8714" s="10" t="inlineStr">
        <is>
          <t>N/A</t>
        </is>
      </c>
      <c r="L8714" s="10" t="inlineStr">
        <is>
          <t>Phát Triển Kinh Doanh, Tiếng Anh, Vận Tải Biển, Bussiness Development, Khai Thác Tàu</t>
        </is>
      </c>
      <c r="M8714" s="10" t="inlineStr">
        <is>
          <t>Bonus, Healthcare Plan, Training</t>
        </is>
      </c>
      <c r="N8714" s="11">
        <f>HYPERLINK("https://www.vietnamworks.com/pho-phong-phat-trien-kinh-doanh-ban-kinh-doanh-2020268-jv","Xem chi tiết")</f>
        <v/>
      </c>
      <c r="O8714" s="10" t="n"/>
    </row>
    <row r="8715">
      <c r="B8715" s="7" t="n">
        <v>8713</v>
      </c>
      <c r="C8715" t="inlineStr">
        <is>
          <t>Kỹ Sư</t>
        </is>
      </c>
      <c r="D8715" t="inlineStr">
        <is>
          <t>CÔNG TY TNHH THƯƠNG MẠI DỊCH VỤ KỸ THUẬT VÀ ĐO LƯỜNG ĐỒNG TÂM</t>
        </is>
      </c>
      <c r="E8715" t="inlineStr">
        <is>
          <t>Thương lượng</t>
        </is>
      </c>
      <c r="F8715" t="inlineStr">
        <is>
          <t>Hồ Chí Minh</t>
        </is>
      </c>
      <c r="G8715" t="inlineStr">
        <is>
          <t>Nhân viên</t>
        </is>
      </c>
      <c r="H8715" t="inlineStr">
        <is>
          <t>09/03/2026</t>
        </is>
      </c>
      <c r="I8715" t="inlineStr">
        <is>
          <t>08/04/2026</t>
        </is>
      </c>
      <c r="J8715" t="inlineStr">
        <is>
          <t>17/03/2026</t>
        </is>
      </c>
      <c r="K8715" t="inlineStr">
        <is>
          <t>N/A</t>
        </is>
      </c>
      <c r="L8715" t="inlineStr">
        <is>
          <t>Cao Đẳng / Đại Học, Điện, Điện Tử, Cơ Khí, Điều Khiển</t>
        </is>
      </c>
      <c r="M8715" t="inlineStr">
        <is>
          <t>Healthcare Plan, Training, Others</t>
        </is>
      </c>
      <c r="N8715" s="8">
        <f>HYPERLINK("https://www.vietnamworks.com/ky-su-2020272-jv","Xem chi tiết")</f>
        <v/>
      </c>
    </row>
    <row r="8716">
      <c r="B8716" s="9" t="n">
        <v>8714</v>
      </c>
      <c r="C8716" s="10" t="inlineStr">
        <is>
          <t>AI Engineer (Computer Vision/npl/llm) - Khối Công Nghệ Thông Tin (HOLT.13)</t>
        </is>
      </c>
      <c r="D8716" s="10" t="inlineStr">
        <is>
          <t>NGÂN HÀNG TMCP QUÂN ĐỘI – MBBANK</t>
        </is>
      </c>
      <c r="E8716" s="10" t="inlineStr">
        <is>
          <t>Thương lượng</t>
        </is>
      </c>
      <c r="F8716" s="10" t="inlineStr">
        <is>
          <t>Hà Nội</t>
        </is>
      </c>
      <c r="G8716" s="10" t="inlineStr">
        <is>
          <t>Nhân viên</t>
        </is>
      </c>
      <c r="H8716" s="10" t="inlineStr">
        <is>
          <t>09/03/2026</t>
        </is>
      </c>
      <c r="I8716" s="10" t="inlineStr">
        <is>
          <t>08/04/2026</t>
        </is>
      </c>
      <c r="J8716" s="10" t="inlineStr">
        <is>
          <t>17/03/2026</t>
        </is>
      </c>
      <c r="K8716" s="10" t="inlineStr">
        <is>
          <t>N/A</t>
        </is>
      </c>
      <c r="L8716" s="10" t="inlineStr">
        <is>
          <t>Python, Git, Microservice, ONNX, TensorFlow</t>
        </is>
      </c>
      <c r="M8716" s="10" t="inlineStr">
        <is>
          <t>Bonus, Healthcare Plan, Training, Awards, Library, Vouchers, Others</t>
        </is>
      </c>
      <c r="N8716" s="11">
        <f>HYPERLINK("https://www.vietnamworks.com/ai-engineer-computer-visionnplllm-khoi-cong-nghe-thong-tin-holt-13-2020258-jv","Xem chi tiết")</f>
        <v/>
      </c>
      <c r="O8716" s="10" t="n"/>
    </row>
    <row r="8717">
      <c r="B8717" s="7" t="n">
        <v>8715</v>
      </c>
      <c r="C8717" t="inlineStr">
        <is>
          <t>Senior BackEnd Engineer (Java, Go) - Khối Công Nghệ Thông Tin (HOLT.11)</t>
        </is>
      </c>
      <c r="D8717" t="inlineStr">
        <is>
          <t>NGÂN HÀNG TMCP QUÂN ĐỘI – MBBANK</t>
        </is>
      </c>
      <c r="E8717" t="inlineStr">
        <is>
          <t>Thương lượng</t>
        </is>
      </c>
      <c r="F8717" t="inlineStr">
        <is>
          <t>Hà Nội</t>
        </is>
      </c>
      <c r="G8717" t="inlineStr">
        <is>
          <t>Nhân viên</t>
        </is>
      </c>
      <c r="H8717" t="inlineStr">
        <is>
          <t>09/03/2026</t>
        </is>
      </c>
      <c r="I8717" t="inlineStr">
        <is>
          <t>08/04/2026</t>
        </is>
      </c>
      <c r="J8717" t="inlineStr">
        <is>
          <t>17/03/2026</t>
        </is>
      </c>
      <c r="K8717" t="inlineStr">
        <is>
          <t>N/A</t>
        </is>
      </c>
      <c r="L8717" t="inlineStr">
        <is>
          <t>Azure, Data Science, Python, SAS, SQL</t>
        </is>
      </c>
      <c r="M8717" t="inlineStr">
        <is>
          <t>Bonus, Healthcare Plan, Training, Awards, Library, Vouchers, Others</t>
        </is>
      </c>
      <c r="N8717" s="8">
        <f>HYPERLINK("https://www.vietnamworks.com/senior-backend-engineer-java-go-khoi-cong-nghe-thong-tin-holt-11-2020267-jv","Xem chi tiết")</f>
        <v/>
      </c>
    </row>
    <row r="8718">
      <c r="B8718" s="9" t="n">
        <v>8716</v>
      </c>
      <c r="C8718" s="10" t="inlineStr">
        <is>
          <t>Architectural Revit Modeller</t>
        </is>
      </c>
      <c r="D8718" s="10" t="inlineStr">
        <is>
          <t>Designlab</t>
        </is>
      </c>
      <c r="E8718" s="10" t="inlineStr">
        <is>
          <t>Thương lượng</t>
        </is>
      </c>
      <c r="F8718" s="10" t="inlineStr">
        <is>
          <t>Hồ Chí Minh</t>
        </is>
      </c>
      <c r="G8718" s="10" t="inlineStr">
        <is>
          <t>Nhân viên</t>
        </is>
      </c>
      <c r="H8718" s="10" t="inlineStr">
        <is>
          <t>09/03/2026</t>
        </is>
      </c>
      <c r="I8718" s="10" t="inlineStr">
        <is>
          <t>08/04/2026</t>
        </is>
      </c>
      <c r="J8718" s="10" t="inlineStr">
        <is>
          <t>17/03/2026</t>
        </is>
      </c>
      <c r="K8718" s="10" t="inlineStr">
        <is>
          <t>N/A</t>
        </is>
      </c>
      <c r="L8718" s="10" t="inlineStr">
        <is>
          <t>AutoCAD, BIM Model, Revit, Technical Drawing, Architectural Design</t>
        </is>
      </c>
      <c r="M8718" s="10" t="inlineStr">
        <is>
          <t>Bonus, Paid Leave, Team Activities</t>
        </is>
      </c>
      <c r="N8718" s="11">
        <f>HYPERLINK("https://www.vietnamworks.com/architectural-revit-modeller--2020249-jv","Xem chi tiết")</f>
        <v/>
      </c>
      <c r="O8718" s="10" t="n"/>
    </row>
    <row r="8719">
      <c r="B8719" s="7" t="n">
        <v>8717</v>
      </c>
      <c r="C8719" t="inlineStr">
        <is>
          <t>Trưởng Phòng Nhân Sự</t>
        </is>
      </c>
      <c r="D8719" t="inlineStr">
        <is>
          <t>Trường Phổ Thông Liên Cấp H.a.s</t>
        </is>
      </c>
      <c r="E8719" t="inlineStr">
        <is>
          <t>Thương lượng</t>
        </is>
      </c>
      <c r="F8719" t="inlineStr">
        <is>
          <t>Hà Nội</t>
        </is>
      </c>
      <c r="G8719" t="inlineStr">
        <is>
          <t>Trưởng phòng</t>
        </is>
      </c>
      <c r="H8719" t="inlineStr">
        <is>
          <t>09/03/2026</t>
        </is>
      </c>
      <c r="I8719" t="inlineStr">
        <is>
          <t>08/04/2026</t>
        </is>
      </c>
      <c r="J8719" t="inlineStr">
        <is>
          <t>17/03/2026</t>
        </is>
      </c>
      <c r="K8719" t="inlineStr">
        <is>
          <t>N/A</t>
        </is>
      </c>
      <c r="L8719" t="inlineStr">
        <is>
          <t>Giáo Dục Đào Tạo, Quản Lý Giáo Dục, Tuyển Dụng, Quản Lý Nhân Sự, Hành Chính Nhân Sự</t>
        </is>
      </c>
      <c r="M8719" t="inlineStr">
        <is>
          <t>Bonus, Training, Others</t>
        </is>
      </c>
      <c r="N8719" s="8">
        <f>HYPERLINK("https://www.vietnamworks.com/truong-phong-nhan-su--2020271-jv","Xem chi tiết")</f>
        <v/>
      </c>
    </row>
    <row r="8720">
      <c r="B8720" s="9" t="n">
        <v>8718</v>
      </c>
      <c r="C8720" s="10" t="inlineStr">
        <is>
          <t>MB Trainee - AI Engineer (Fresher) - Khối Công Nghệ Thông Tin (HOLT.14)</t>
        </is>
      </c>
      <c r="D8720" s="10" t="inlineStr">
        <is>
          <t>NGÂN HÀNG TMCP QUÂN ĐỘI – MBBANK</t>
        </is>
      </c>
      <c r="E8720" s="10" t="inlineStr">
        <is>
          <t>Thương lượng</t>
        </is>
      </c>
      <c r="F8720" s="10" t="inlineStr">
        <is>
          <t>Hà Nội</t>
        </is>
      </c>
      <c r="G8720" s="10" t="inlineStr">
        <is>
          <t>Mới Tốt Nghiệp</t>
        </is>
      </c>
      <c r="H8720" s="10" t="inlineStr">
        <is>
          <t>09/03/2026</t>
        </is>
      </c>
      <c r="I8720" s="10" t="inlineStr">
        <is>
          <t>08/04/2026</t>
        </is>
      </c>
      <c r="J8720" s="10" t="inlineStr">
        <is>
          <t>17/03/2026</t>
        </is>
      </c>
      <c r="K8720" s="10" t="inlineStr">
        <is>
          <t>N/A</t>
        </is>
      </c>
      <c r="L8720" s="10" t="inlineStr">
        <is>
          <t>Microservice, ONNX, Python, TensorFlow</t>
        </is>
      </c>
      <c r="M8720" s="10" t="inlineStr">
        <is>
          <t>Bonus, Healthcare Plan, Training, Awards, Library, Vouchers, Others</t>
        </is>
      </c>
      <c r="N8720" s="11">
        <f>HYPERLINK("https://www.vietnamworks.com/mb-trainee-ai-engineer-fresher-khoi-cong-nghe-thong-tin-holt-14-2020256-jv","Xem chi tiết")</f>
        <v/>
      </c>
      <c r="O8720" s="10" t="n"/>
    </row>
    <row r="8721">
      <c r="B8721" s="7" t="n">
        <v>8719</v>
      </c>
      <c r="C8721" t="inlineStr">
        <is>
          <t>Senior Interior Designer</t>
        </is>
      </c>
      <c r="D8721" t="inlineStr">
        <is>
          <t>Designlab</t>
        </is>
      </c>
      <c r="E8721" t="inlineStr">
        <is>
          <t>Thương lượng</t>
        </is>
      </c>
      <c r="F8721" t="inlineStr">
        <is>
          <t>Hồ Chí Minh</t>
        </is>
      </c>
      <c r="G8721" t="inlineStr">
        <is>
          <t>Trưởng phòng</t>
        </is>
      </c>
      <c r="H8721" t="inlineStr">
        <is>
          <t>09/03/2026</t>
        </is>
      </c>
      <c r="I8721" t="inlineStr">
        <is>
          <t>08/04/2026</t>
        </is>
      </c>
      <c r="J8721" t="inlineStr">
        <is>
          <t>17/03/2026</t>
        </is>
      </c>
      <c r="K8721" t="inlineStr">
        <is>
          <t>N/A</t>
        </is>
      </c>
      <c r="L8721" t="inlineStr">
        <is>
          <t>Interior Design, Construction, AutoCAD, Concept Design, Construction Design</t>
        </is>
      </c>
      <c r="M8721" t="inlineStr">
        <is>
          <t>Paid Leave, Team Activities</t>
        </is>
      </c>
      <c r="N8721" s="8">
        <f>HYPERLINK("https://www.vietnamworks.com/senior-interior-designer-45-1-1--2020247-jv","Xem chi tiết")</f>
        <v/>
      </c>
    </row>
    <row r="8722">
      <c r="B8722" s="9" t="n">
        <v>8720</v>
      </c>
      <c r="C8722" s="10" t="inlineStr">
        <is>
          <t>Senior Fullstack Developer - Khối Công Nghệ Thông Tin (HOLT.12)</t>
        </is>
      </c>
      <c r="D8722" s="10" t="inlineStr">
        <is>
          <t>NGÂN HÀNG TMCP QUÂN ĐỘI – MBBANK</t>
        </is>
      </c>
      <c r="E8722" s="10" t="inlineStr">
        <is>
          <t>Thương lượng</t>
        </is>
      </c>
      <c r="F8722" s="10" t="inlineStr">
        <is>
          <t>Hà Nội</t>
        </is>
      </c>
      <c r="G8722" s="10" t="inlineStr">
        <is>
          <t>Nhân viên</t>
        </is>
      </c>
      <c r="H8722" s="10" t="inlineStr">
        <is>
          <t>09/03/2026</t>
        </is>
      </c>
      <c r="I8722" s="10" t="inlineStr">
        <is>
          <t>08/04/2026</t>
        </is>
      </c>
      <c r="J8722" s="10" t="inlineStr">
        <is>
          <t>17/03/2026</t>
        </is>
      </c>
      <c r="K8722" s="10" t="inlineStr">
        <is>
          <t>N/A</t>
        </is>
      </c>
      <c r="L8722" s="10" t="inlineStr">
        <is>
          <t>Kafka, MongoDB, Oracle, Spring Core, SQL Server</t>
        </is>
      </c>
      <c r="M8722" s="10" t="inlineStr">
        <is>
          <t>Bonus, Healthcare Plan, Training, Awards, Library, Vouchers, Others</t>
        </is>
      </c>
      <c r="N8722" s="11">
        <f>HYPERLINK("https://www.vietnamworks.com/senior-fullstack-developer-khoi-cong-nghe-thong-tin-holt-12-2020259-jv","Xem chi tiết")</f>
        <v/>
      </c>
      <c r="O8722" s="10" t="n"/>
    </row>
    <row r="8723">
      <c r="B8723" s="7" t="n">
        <v>8721</v>
      </c>
      <c r="C8723" t="inlineStr">
        <is>
          <t>Quản Lý Kế Toán</t>
        </is>
      </c>
      <c r="D8723" t="inlineStr">
        <is>
          <t>Công ty Cổ phần Kết cấu thép Omega VN</t>
        </is>
      </c>
      <c r="E8723" t="inlineStr">
        <is>
          <t>Từ 15tr ₫/tháng</t>
        </is>
      </c>
      <c r="F8723" t="inlineStr">
        <is>
          <t>Hà Nội</t>
        </is>
      </c>
      <c r="G8723" t="inlineStr">
        <is>
          <t>Trưởng phòng</t>
        </is>
      </c>
      <c r="H8723" t="inlineStr">
        <is>
          <t>09/03/2026</t>
        </is>
      </c>
      <c r="I8723" t="inlineStr">
        <is>
          <t>08/04/2026</t>
        </is>
      </c>
      <c r="J8723" t="inlineStr">
        <is>
          <t>17/03/2026</t>
        </is>
      </c>
      <c r="K8723" t="inlineStr">
        <is>
          <t>N/A</t>
        </is>
      </c>
      <c r="L8723" t="inlineStr">
        <is>
          <t>Kiểm Toán, Quản Lý Tài Chính, Hạch Toán, Lập Báo Cáo Tài Chính, Quyết Toán Thuế</t>
        </is>
      </c>
      <c r="M8723" t="inlineStr">
        <is>
          <t>Bonus, Healthcare Plan, Others</t>
        </is>
      </c>
      <c r="N8723" s="8">
        <f>HYPERLINK("https://www.vietnamworks.com/quan-ly-ke-toan-2020270-jv","Xem chi tiết")</f>
        <v/>
      </c>
    </row>
    <row r="8724">
      <c r="B8724" s="9" t="n">
        <v>8722</v>
      </c>
      <c r="C8724" s="10" t="inlineStr">
        <is>
          <t>Chuyên Gia Kiến Trúc Ứng Dụng - Solution Architect - Khối Công Nghệ Thông Tin (HOLT.10)</t>
        </is>
      </c>
      <c r="D8724" s="10" t="inlineStr">
        <is>
          <t>NGÂN HÀNG TMCP QUÂN ĐỘI – MBBANK</t>
        </is>
      </c>
      <c r="E8724" s="10" t="inlineStr">
        <is>
          <t>Thương lượng</t>
        </is>
      </c>
      <c r="F8724" s="10" t="inlineStr">
        <is>
          <t>Hà Nội</t>
        </is>
      </c>
      <c r="G8724" s="10" t="inlineStr">
        <is>
          <t>Nhân viên</t>
        </is>
      </c>
      <c r="H8724" s="10" t="inlineStr">
        <is>
          <t>09/03/2026</t>
        </is>
      </c>
      <c r="I8724" s="10" t="inlineStr">
        <is>
          <t>08/04/2026</t>
        </is>
      </c>
      <c r="J8724" s="10" t="inlineStr">
        <is>
          <t>17/03/2026</t>
        </is>
      </c>
      <c r="K8724" s="10" t="inlineStr">
        <is>
          <t>N/A</t>
        </is>
      </c>
      <c r="L8724" s="10" t="inlineStr">
        <is>
          <t>Azure, Data Science, Python, SAS, SQL</t>
        </is>
      </c>
      <c r="M8724" s="10" t="inlineStr">
        <is>
          <t>Bonus, Healthcare Plan, Training, Awards, Library, Vouchers, Others</t>
        </is>
      </c>
      <c r="N8724" s="11">
        <f>HYPERLINK("https://www.vietnamworks.com/chuyen-gia-kien-truc-ung-dung-solution-architect-khoi-cong-nghe-thong-tin-holt-10-2020274-jv","Xem chi tiết")</f>
        <v/>
      </c>
      <c r="O8724" s="10" t="n"/>
    </row>
    <row r="8725">
      <c r="B8725" s="7" t="n">
        <v>8723</v>
      </c>
      <c r="C8725" t="inlineStr">
        <is>
          <t>Kế Toán Trưởng Nhà Máy Sản Xuất</t>
        </is>
      </c>
      <c r="D8725" t="inlineStr">
        <is>
          <t>CÔNG TY TNHH KIM HÀ VIỆT</t>
        </is>
      </c>
      <c r="E8725" t="inlineStr">
        <is>
          <t>Thương lượng</t>
        </is>
      </c>
      <c r="F8725" t="inlineStr">
        <is>
          <t>Phú Yên, Đắk Lắk</t>
        </is>
      </c>
      <c r="G8725" t="inlineStr">
        <is>
          <t>Trưởng phòng</t>
        </is>
      </c>
      <c r="H8725" t="inlineStr">
        <is>
          <t>09/03/2026</t>
        </is>
      </c>
      <c r="I8725" t="inlineStr">
        <is>
          <t>08/04/2026</t>
        </is>
      </c>
      <c r="J8725" t="inlineStr">
        <is>
          <t>17/03/2026</t>
        </is>
      </c>
      <c r="K8725" t="inlineStr">
        <is>
          <t>N/A</t>
        </is>
      </c>
      <c r="L8725" t="inlineStr">
        <is>
          <t>Quản Lý Kế Toán, Quản Lý Tài Chính, Phân tích dữ liệu, Phần mềm kế toán, Kỹ năng giao tiêp</t>
        </is>
      </c>
      <c r="M8725" t="inlineStr">
        <is>
          <t>Bonus, Healthcare Plan, Training, Team Activities, Transportation, Others</t>
        </is>
      </c>
      <c r="N8725" s="8">
        <f>HYPERLINK("https://www.vietnamworks.com/ke-toan-truong-nha-may-san-xuat-2020273-jv","Xem chi tiết")</f>
        <v/>
      </c>
    </row>
    <row r="8726">
      <c r="B8726" s="9" t="n">
        <v>8724</v>
      </c>
      <c r="C8726" s="10" t="inlineStr">
        <is>
          <t>MB Trainee - BackEnd Engineer (Fresher) - Khối Công Nghệ Thông Tin (HOLT.09)</t>
        </is>
      </c>
      <c r="D8726" s="10" t="inlineStr">
        <is>
          <t>NGÂN HÀNG TMCP QUÂN ĐỘI – MBBANK</t>
        </is>
      </c>
      <c r="E8726" s="10" t="inlineStr">
        <is>
          <t>Thương lượng</t>
        </is>
      </c>
      <c r="F8726" s="10" t="inlineStr">
        <is>
          <t>Hà Nội</t>
        </is>
      </c>
      <c r="G8726" s="10" t="inlineStr">
        <is>
          <t>Mới Tốt Nghiệp</t>
        </is>
      </c>
      <c r="H8726" s="10" t="inlineStr">
        <is>
          <t>09/03/2026</t>
        </is>
      </c>
      <c r="I8726" s="10" t="inlineStr">
        <is>
          <t>08/04/2026</t>
        </is>
      </c>
      <c r="J8726" s="10" t="inlineStr">
        <is>
          <t>17/03/2026</t>
        </is>
      </c>
      <c r="K8726" s="10" t="inlineStr">
        <is>
          <t>N/A</t>
        </is>
      </c>
      <c r="L8726" s="10" t="inlineStr">
        <is>
          <t>Java Spring</t>
        </is>
      </c>
      <c r="M8726" s="10" t="inlineStr">
        <is>
          <t>Bonus, Healthcare Plan, Training, Awards, Library, Vouchers, Others</t>
        </is>
      </c>
      <c r="N8726" s="11">
        <f>HYPERLINK("https://www.vietnamworks.com/mb-trainee-backend-engineer-fresher-khoi-cong-nghe-thong-tin-holt-09-2020275-jv","Xem chi tiết")</f>
        <v/>
      </c>
      <c r="O8726" s="10" t="n"/>
    </row>
    <row r="8727">
      <c r="B8727" s="7" t="n">
        <v>8725</v>
      </c>
      <c r="C8727" t="inlineStr">
        <is>
          <t>[ Hot Job ] Quản Lý Phát Triển Khu Vực (Thu Nhập Từ 18 - 25 Triệu/tháng)</t>
        </is>
      </c>
      <c r="D8727" t="inlineStr">
        <is>
          <t>CÔNG TY CỔ PHẦN UPHARMA</t>
        </is>
      </c>
      <c r="E8727" t="inlineStr">
        <is>
          <t>18tr-25tr ₫/tháng</t>
        </is>
      </c>
      <c r="F8727" t="inlineStr">
        <is>
          <t>Thanh Hóa, Đắk Lắk, Hà Nội</t>
        </is>
      </c>
      <c r="G8727" t="inlineStr">
        <is>
          <t>Trưởng phòng</t>
        </is>
      </c>
      <c r="H8727" t="inlineStr">
        <is>
          <t>09/03/2026</t>
        </is>
      </c>
      <c r="I8727" t="inlineStr">
        <is>
          <t>08/04/2026</t>
        </is>
      </c>
      <c r="J8727" t="inlineStr">
        <is>
          <t>17/03/2026</t>
        </is>
      </c>
      <c r="K8727" t="inlineStr">
        <is>
          <t>N/A</t>
        </is>
      </c>
      <c r="L8727" t="inlineStr">
        <is>
          <t>Area Management, Kinh Doanh Nhà Thuốc, Quản Lý Khu Vực ETC, Điều hành kinh doanh, Quản Lý Dược Phẩm</t>
        </is>
      </c>
      <c r="M8727" t="inlineStr">
        <is>
          <t>Bonus, Healthcare Plan, Others</t>
        </is>
      </c>
      <c r="N8727" s="8">
        <f>HYPERLINK("https://www.vietnamworks.com/hot-job-quan-ly-phat-trien-khu-vuc-thu-nhap-tu-18-25-trieuthang-2020264-jv","Xem chi tiết")</f>
        <v/>
      </c>
    </row>
    <row r="8728">
      <c r="B8728" s="9" t="n">
        <v>8726</v>
      </c>
      <c r="C8728" s="10" t="inlineStr">
        <is>
          <t>Human Resources Business Partner Manager</t>
        </is>
      </c>
      <c r="D8728" s="10" t="inlineStr">
        <is>
          <t>Công Ty Cổ Phần DatVietVAC Group Holdings</t>
        </is>
      </c>
      <c r="E8728" s="10" t="inlineStr">
        <is>
          <t>Thương lượng</t>
        </is>
      </c>
      <c r="F8728" s="10" t="inlineStr">
        <is>
          <t>Hồ Chí Minh</t>
        </is>
      </c>
      <c r="G8728" s="10" t="inlineStr">
        <is>
          <t>Trưởng phòng</t>
        </is>
      </c>
      <c r="H8728" s="10" t="inlineStr">
        <is>
          <t>09/03/2026</t>
        </is>
      </c>
      <c r="I8728" s="10" t="inlineStr">
        <is>
          <t>08/04/2026</t>
        </is>
      </c>
      <c r="J8728" s="10" t="inlineStr">
        <is>
          <t>17/03/2026</t>
        </is>
      </c>
      <c r="K8728" s="10" t="inlineStr">
        <is>
          <t>N/A</t>
        </is>
      </c>
      <c r="L8728" s="10" t="inlineStr">
        <is>
          <t>Management, HR Business Partner</t>
        </is>
      </c>
      <c r="M8728" s="10" t="inlineStr">
        <is>
          <t>Bonus, Healthcare Plan, Paid Leave</t>
        </is>
      </c>
      <c r="N8728" s="11">
        <f>HYPERLINK("https://www.vietnamworks.com/human-resources-business-partner-manager--2020290-jv","Xem chi tiết")</f>
        <v/>
      </c>
      <c r="O8728" s="10" t="n"/>
    </row>
    <row r="8729">
      <c r="B8729" s="7" t="n">
        <v>8727</v>
      </c>
      <c r="C8729" t="inlineStr">
        <is>
          <t>Nhân Viên Admin</t>
        </is>
      </c>
      <c r="D8729" t="inlineStr">
        <is>
          <t>CÔNG TY TNHH THƯƠNG MẠI DỊCH VỤ KỸ THUẬT VÀ ĐO LƯỜNG ĐỒNG TÂM</t>
        </is>
      </c>
      <c r="E8729" t="inlineStr">
        <is>
          <t>Thương lượng</t>
        </is>
      </c>
      <c r="F8729" t="inlineStr">
        <is>
          <t>Hồ Chí Minh</t>
        </is>
      </c>
      <c r="G8729" t="inlineStr">
        <is>
          <t>Mới Tốt Nghiệp</t>
        </is>
      </c>
      <c r="H8729" t="inlineStr">
        <is>
          <t>09/03/2026</t>
        </is>
      </c>
      <c r="I8729" t="inlineStr">
        <is>
          <t>08/04/2026</t>
        </is>
      </c>
      <c r="J8729" t="inlineStr">
        <is>
          <t>17/03/2026</t>
        </is>
      </c>
      <c r="K8729" t="inlineStr">
        <is>
          <t>N/A</t>
        </is>
      </c>
      <c r="L8729" t="inlineStr">
        <is>
          <t>Kinh Tế, Tài Chính, Kế Toán, Admin, Hành Chính</t>
        </is>
      </c>
      <c r="M8729" t="inlineStr">
        <is>
          <t>Training, Others</t>
        </is>
      </c>
      <c r="N8729" s="8">
        <f>HYPERLINK("https://www.vietnamworks.com/nhan-vien-admin-2020276-jv","Xem chi tiết")</f>
        <v/>
      </c>
    </row>
    <row r="8730">
      <c r="B8730" s="9" t="n">
        <v>8728</v>
      </c>
      <c r="C8730" s="10" t="inlineStr">
        <is>
          <t>Nhân Viên Quản Lý Kế Hoạch Sản Xuất</t>
        </is>
      </c>
      <c r="D8730" s="10" t="inlineStr">
        <is>
          <t>Yamaha Motor Vietnam</t>
        </is>
      </c>
      <c r="E8730" s="10" t="inlineStr">
        <is>
          <t>Thương lượng</t>
        </is>
      </c>
      <c r="F8730" s="10" t="inlineStr">
        <is>
          <t>Hà Nội</t>
        </is>
      </c>
      <c r="G8730" s="10" t="inlineStr">
        <is>
          <t>Nhân viên</t>
        </is>
      </c>
      <c r="H8730" s="10" t="inlineStr">
        <is>
          <t>09/03/2026</t>
        </is>
      </c>
      <c r="I8730" s="10" t="inlineStr">
        <is>
          <t>08/04/2026</t>
        </is>
      </c>
      <c r="J8730" s="10" t="inlineStr">
        <is>
          <t>17/03/2026</t>
        </is>
      </c>
      <c r="K8730" s="10" t="inlineStr">
        <is>
          <t>N/A</t>
        </is>
      </c>
      <c r="L8730" s="10" t="inlineStr">
        <is>
          <t>Kế Hoạch Sản Xuất, MS Office, Quản Lý Chi Phí, Thuyết Trình, Tiếng Anh</t>
        </is>
      </c>
      <c r="M8730" s="10" t="inlineStr">
        <is>
          <t>Bonus, Healthcare Plan, Training, Travel Opportunities, Team Activities, Transportation, Others</t>
        </is>
      </c>
      <c r="N8730" s="11">
        <f>HYPERLINK("https://www.vietnamworks.com/nhan-vien-quan-ly-ke-hoach-san-xuat-2020282-jv","Xem chi tiết")</f>
        <v/>
      </c>
      <c r="O8730" s="10" t="n"/>
    </row>
    <row r="8731">
      <c r="B8731" s="7" t="n">
        <v>8729</v>
      </c>
      <c r="C8731" t="inlineStr">
        <is>
          <t>Giám Đốc Kinh Doanh</t>
        </is>
      </c>
      <c r="D8731" t="inlineStr">
        <is>
          <t>Công Ty Cổ Phần Xi Măng Sài Sơn</t>
        </is>
      </c>
      <c r="E8731" t="inlineStr">
        <is>
          <t>Từ 100tr ₫/tháng</t>
        </is>
      </c>
      <c r="F8731" t="inlineStr">
        <is>
          <t>Hà Nội</t>
        </is>
      </c>
      <c r="G8731" t="inlineStr">
        <is>
          <t>Giám Đốc và Cấp Cao Hơn</t>
        </is>
      </c>
      <c r="H8731" t="inlineStr">
        <is>
          <t>09/03/2026</t>
        </is>
      </c>
      <c r="I8731" t="inlineStr">
        <is>
          <t>08/04/2026</t>
        </is>
      </c>
      <c r="J8731" t="inlineStr">
        <is>
          <t>17/03/2026</t>
        </is>
      </c>
      <c r="K8731" t="inlineStr">
        <is>
          <t>N/A</t>
        </is>
      </c>
      <c r="L8731" t="inlineStr">
        <is>
          <t>Kinh Doanh, Quản Lý Nhóm, Lãnh Đạo, Đàm Phán, Giao Tiếp Chủ Động</t>
        </is>
      </c>
      <c r="M8731" t="inlineStr">
        <is>
          <t>Bonus, Healthcare Plan, Team Activities, Others</t>
        </is>
      </c>
      <c r="N8731" s="8">
        <f>HYPERLINK("https://www.vietnamworks.com/giam-djoc-kinh-doanh-2020293-jv","Xem chi tiết")</f>
        <v/>
      </c>
    </row>
    <row r="8732">
      <c r="B8732" s="9" t="n">
        <v>8730</v>
      </c>
      <c r="C8732" s="10" t="inlineStr">
        <is>
          <t>Thiết Kế Kỹ Thuật Đóng Gói</t>
        </is>
      </c>
      <c r="D8732" s="10" t="inlineStr">
        <is>
          <t>CÔNG TY TNHH SX TM DIHAFO</t>
        </is>
      </c>
      <c r="E8732" s="10" t="inlineStr">
        <is>
          <t>Thương lượng</t>
        </is>
      </c>
      <c r="F8732" s="10" t="inlineStr">
        <is>
          <t>Bình Dương</t>
        </is>
      </c>
      <c r="G8732" s="10" t="inlineStr">
        <is>
          <t>Nhân viên</t>
        </is>
      </c>
      <c r="H8732" s="10" t="inlineStr">
        <is>
          <t>09/03/2026</t>
        </is>
      </c>
      <c r="I8732" s="10" t="inlineStr">
        <is>
          <t>08/04/2026</t>
        </is>
      </c>
      <c r="J8732" s="10" t="inlineStr">
        <is>
          <t>17/03/2026</t>
        </is>
      </c>
      <c r="K8732" s="10" t="inlineStr">
        <is>
          <t>N/A</t>
        </is>
      </c>
      <c r="L8732" s="10" t="inlineStr">
        <is>
          <t>3D Solid, AutoCAD, Excel, Quy Trình Đóng Gói, Cải Tiến Quy Trình Vận Hành</t>
        </is>
      </c>
      <c r="M8732" s="10" t="inlineStr">
        <is>
          <t>Bonus, Training, Laptop, Travel Opportunities, Others</t>
        </is>
      </c>
      <c r="N8732" s="11">
        <f>HYPERLINK("https://www.vietnamworks.com/thiet-ke-ky-thuat-djong-goi-2020296-jv","Xem chi tiết")</f>
        <v/>
      </c>
      <c r="O8732" s="10" t="n"/>
    </row>
    <row r="8733">
      <c r="B8733" s="7" t="n">
        <v>8731</v>
      </c>
      <c r="C8733" t="inlineStr">
        <is>
          <t>Chuyên Viên Mô Hình và Phân Tích Nâng Cao - Data Scientist - Modeling and Advanced Analytics - Khối Dữ Liệu (HOLT.07)</t>
        </is>
      </c>
      <c r="D8733" t="inlineStr">
        <is>
          <t>NGÂN HÀNG TMCP QUÂN ĐỘI – MBBANK</t>
        </is>
      </c>
      <c r="E8733" t="inlineStr">
        <is>
          <t>Thương lượng</t>
        </is>
      </c>
      <c r="F8733" t="inlineStr">
        <is>
          <t>Hà Nội</t>
        </is>
      </c>
      <c r="G8733" t="inlineStr">
        <is>
          <t>Nhân viên</t>
        </is>
      </c>
      <c r="H8733" t="inlineStr">
        <is>
          <t>09/03/2026</t>
        </is>
      </c>
      <c r="I8733" t="inlineStr">
        <is>
          <t>08/04/2026</t>
        </is>
      </c>
      <c r="J8733" t="inlineStr">
        <is>
          <t>17/03/2026</t>
        </is>
      </c>
      <c r="K8733" t="inlineStr">
        <is>
          <t>N/A</t>
        </is>
      </c>
      <c r="L8733" t="inlineStr">
        <is>
          <t>Analytical Data, Data Analysis, Data Science, Python, SQL</t>
        </is>
      </c>
      <c r="M8733" t="inlineStr">
        <is>
          <t>Bonus, Healthcare Plan, Training, Awards, Library, Vouchers, Others</t>
        </is>
      </c>
      <c r="N8733" s="8">
        <f>HYPERLINK("https://www.vietnamworks.com/chuyen-vien-mo-hinh-va-phan-tich-nang-cao-data-scientist-modeling-and-advanced-analytics-khoi-du-lieu-holt-07-2020278-jv","Xem chi tiết")</f>
        <v/>
      </c>
    </row>
    <row r="8734">
      <c r="B8734" s="9" t="n">
        <v>8732</v>
      </c>
      <c r="C8734" s="10" t="inlineStr">
        <is>
          <t>Chuyên Viên Cao Cấp Mô Hình Hóa và Phân Tích Nâng Cao - Senior Data Scientist - Modeling and Advanced Analytics - Khối Dữ Liệu (HOLT.08)</t>
        </is>
      </c>
      <c r="D8734" s="10" t="inlineStr">
        <is>
          <t>NGÂN HÀNG TMCP QUÂN ĐỘI – MBBANK</t>
        </is>
      </c>
      <c r="E8734" s="10" t="inlineStr">
        <is>
          <t>Thương lượng</t>
        </is>
      </c>
      <c r="F8734" s="10" t="inlineStr">
        <is>
          <t>Hà Nội</t>
        </is>
      </c>
      <c r="G8734" s="10" t="inlineStr">
        <is>
          <t>Nhân viên</t>
        </is>
      </c>
      <c r="H8734" s="10" t="inlineStr">
        <is>
          <t>09/03/2026</t>
        </is>
      </c>
      <c r="I8734" s="10" t="inlineStr">
        <is>
          <t>08/04/2026</t>
        </is>
      </c>
      <c r="J8734" s="10" t="inlineStr">
        <is>
          <t>17/03/2026</t>
        </is>
      </c>
      <c r="K8734" s="10" t="inlineStr">
        <is>
          <t>N/A</t>
        </is>
      </c>
      <c r="L8734" s="10" t="inlineStr">
        <is>
          <t>Azure, Data Science, Python, SAS, SQL</t>
        </is>
      </c>
      <c r="M8734" s="10" t="inlineStr">
        <is>
          <t>Bonus, Healthcare Plan, Training, Awards, Library, Vouchers, Others</t>
        </is>
      </c>
      <c r="N8734" s="11">
        <f>HYPERLINK("https://www.vietnamworks.com/chuyen-vien-cao-cap-mo-hinh-hoa-va-phan-tich-nang-cao-senior-data-scientist-modeling-and-advanced-analytics-khoi-du-lieu-holt-08--2020277-jv","Xem chi tiết")</f>
        <v/>
      </c>
      <c r="O8734" s="10" t="n"/>
    </row>
    <row r="8735">
      <c r="B8735" s="7" t="n">
        <v>8733</v>
      </c>
      <c r="C8735" t="inlineStr">
        <is>
          <t>Chuyên Viên/ Quản Lý Khách Hàng Cá Nhân Ưu Tiên</t>
        </is>
      </c>
      <c r="D8735" t="inlineStr">
        <is>
          <t>Ngân hàng TMCP Kiên Long</t>
        </is>
      </c>
      <c r="E8735" t="inlineStr">
        <is>
          <t>30tr-60tr ₫/tháng</t>
        </is>
      </c>
      <c r="F8735" t="inlineStr">
        <is>
          <t>Hà Nội, Hồ Chí Minh</t>
        </is>
      </c>
      <c r="G8735" t="inlineStr">
        <is>
          <t>Mới Tốt Nghiệp</t>
        </is>
      </c>
      <c r="H8735" t="inlineStr">
        <is>
          <t>09/03/2026</t>
        </is>
      </c>
      <c r="I8735" t="inlineStr">
        <is>
          <t>08/04/2026</t>
        </is>
      </c>
      <c r="J8735" t="inlineStr">
        <is>
          <t>17/03/2026</t>
        </is>
      </c>
      <c r="K8735" t="inlineStr">
        <is>
          <t>N/A</t>
        </is>
      </c>
      <c r="L8735" t="inlineStr">
        <is>
          <t>Quản Trị Kinh Doanh, Phát Triển Khách Hàng, Chăm Sóc Khách Hàng, Tư Vấn Giải Pháp Tài Chính, Xây Dựng Mối Quan Hệ</t>
        </is>
      </c>
      <c r="M8735" t="inlineStr">
        <is>
          <t>Bonus, Healthcare Plan, Training, Others</t>
        </is>
      </c>
      <c r="N8735" s="8">
        <f>HYPERLINK("https://www.vietnamworks.com/chuyen-vien-quan-ly-khach-hang-ca-nhan-uu-tien-2020289-jv","Xem chi tiết")</f>
        <v/>
      </c>
    </row>
    <row r="8736">
      <c r="B8736" s="9" t="n">
        <v>8734</v>
      </c>
      <c r="C8736" s="10" t="inlineStr">
        <is>
          <t>Marketing Manager Mạnh Về Branding &amp; Digital Ads</t>
        </is>
      </c>
      <c r="D8736" s="10" t="inlineStr">
        <is>
          <t>NVS International Investment Immigration</t>
        </is>
      </c>
      <c r="E8736" s="10" t="inlineStr">
        <is>
          <t>Thương lượng</t>
        </is>
      </c>
      <c r="F8736" s="10" t="inlineStr">
        <is>
          <t>Hồ Chí Minh</t>
        </is>
      </c>
      <c r="G8736" s="10" t="inlineStr">
        <is>
          <t>Trưởng phòng</t>
        </is>
      </c>
      <c r="H8736" s="10" t="inlineStr">
        <is>
          <t>09/03/2026</t>
        </is>
      </c>
      <c r="I8736" s="10" t="inlineStr">
        <is>
          <t>08/04/2026</t>
        </is>
      </c>
      <c r="J8736" s="10" t="inlineStr">
        <is>
          <t>17/03/2026</t>
        </is>
      </c>
      <c r="K8736" s="10" t="inlineStr">
        <is>
          <t>N/A</t>
        </is>
      </c>
      <c r="L8736" s="10" t="inlineStr">
        <is>
          <t>Digital Marketing, Brand Strategy, Brand Management, performance marketing, Marketing Analytics</t>
        </is>
      </c>
      <c r="M8736" s="10" t="inlineStr">
        <is>
          <t>Bonus, Healthcare Plan, Paid Leave, Training, Travel Opportunities, Team Activities, Others</t>
        </is>
      </c>
      <c r="N8736" s="11">
        <f>HYPERLINK("https://www.vietnamworks.com/marketing-manager-manh-ve-branding-and-digital-ads-2020292-jv","Xem chi tiết")</f>
        <v/>
      </c>
      <c r="O8736" s="10" t="n"/>
    </row>
    <row r="8737">
      <c r="B8737" s="7" t="n">
        <v>8735</v>
      </c>
      <c r="C8737" t="inlineStr">
        <is>
          <t>Chuyên Viên Phân Tích Nghiệp Vụ - Business Analyst - Khối Công Nghệ Thông Tin (HOLT.05)</t>
        </is>
      </c>
      <c r="D8737" t="inlineStr">
        <is>
          <t>NGÂN HÀNG TMCP QUÂN ĐỘI – MBBANK</t>
        </is>
      </c>
      <c r="E8737" t="inlineStr">
        <is>
          <t>Thương lượng</t>
        </is>
      </c>
      <c r="F8737" t="inlineStr">
        <is>
          <t>Hà Nội</t>
        </is>
      </c>
      <c r="G8737" t="inlineStr">
        <is>
          <t>Nhân viên</t>
        </is>
      </c>
      <c r="H8737" t="inlineStr">
        <is>
          <t>09/03/2026</t>
        </is>
      </c>
      <c r="I8737" t="inlineStr">
        <is>
          <t>08/04/2026</t>
        </is>
      </c>
      <c r="J8737" t="inlineStr">
        <is>
          <t>17/03/2026</t>
        </is>
      </c>
      <c r="K8737" t="inlineStr">
        <is>
          <t>N/A</t>
        </is>
      </c>
      <c r="L8737" t="inlineStr">
        <is>
          <t>Business Analysis, business analyst, Phân Tích Nghiệp Vụ, Phân Tích Nghiệp Vụ Tài Chính</t>
        </is>
      </c>
      <c r="M8737" t="inlineStr">
        <is>
          <t>Bonus, Healthcare Plan, Training, Awards, Library, Vouchers, Others</t>
        </is>
      </c>
      <c r="N8737" s="8">
        <f>HYPERLINK("https://www.vietnamworks.com/chuyen-vien-phan-tich-nghiep-vu-business-analyst-khoi-cong-nghe-thong-tin-holt-05--2020280-jv","Xem chi tiết")</f>
        <v/>
      </c>
    </row>
    <row r="8738">
      <c r="B8738" s="9" t="n">
        <v>8736</v>
      </c>
      <c r="C8738" s="10" t="inlineStr">
        <is>
          <t>Senior Fullstack Developer - Khối Công Nghệ Thông Tin (HOLT.04)</t>
        </is>
      </c>
      <c r="D8738" s="10" t="inlineStr">
        <is>
          <t>NGÂN HÀNG TMCP QUÂN ĐỘI – MBBANK</t>
        </is>
      </c>
      <c r="E8738" s="10" t="inlineStr">
        <is>
          <t>Thương lượng</t>
        </is>
      </c>
      <c r="F8738" s="10" t="inlineStr">
        <is>
          <t>Hà Nội</t>
        </is>
      </c>
      <c r="G8738" s="10" t="inlineStr">
        <is>
          <t>Nhân viên</t>
        </is>
      </c>
      <c r="H8738" s="10" t="inlineStr">
        <is>
          <t>09/03/2026</t>
        </is>
      </c>
      <c r="I8738" s="10" t="inlineStr">
        <is>
          <t>08/04/2026</t>
        </is>
      </c>
      <c r="J8738" s="10" t="inlineStr">
        <is>
          <t>17/03/2026</t>
        </is>
      </c>
      <c r="K8738" s="10" t="inlineStr">
        <is>
          <t>N/A</t>
        </is>
      </c>
      <c r="L8738" s="10" t="inlineStr">
        <is>
          <t>Oracle, NoSQL</t>
        </is>
      </c>
      <c r="M8738" s="10" t="inlineStr">
        <is>
          <t>Bonus, Healthcare Plan, Training, Awards, Library, Vouchers, Others</t>
        </is>
      </c>
      <c r="N8738" s="11">
        <f>HYPERLINK("https://www.vietnamworks.com/senior-fullstack-developer-khoi-cong-nghe-thong-tin-holt-04-2020286-jv","Xem chi tiết")</f>
        <v/>
      </c>
      <c r="O8738" s="10" t="n"/>
    </row>
    <row r="8739">
      <c r="B8739" s="7" t="n">
        <v>8737</v>
      </c>
      <c r="C8739" t="inlineStr">
        <is>
          <t>Trợ Lý Kinh Doanh (Sales Assistant) - Up to $900</t>
        </is>
      </c>
      <c r="D8739" t="inlineStr">
        <is>
          <t>Công ty TNHH Alpaca Việt Nam</t>
        </is>
      </c>
      <c r="E8739" t="inlineStr">
        <is>
          <t>Thương lượng</t>
        </is>
      </c>
      <c r="F8739" t="inlineStr">
        <is>
          <t>Hồ Chí Minh</t>
        </is>
      </c>
      <c r="G8739" t="inlineStr">
        <is>
          <t>Nhân viên</t>
        </is>
      </c>
      <c r="H8739" t="inlineStr">
        <is>
          <t>09/03/2026</t>
        </is>
      </c>
      <c r="I8739" t="inlineStr">
        <is>
          <t>08/04/2026</t>
        </is>
      </c>
      <c r="J8739" t="inlineStr">
        <is>
          <t>17/03/2026</t>
        </is>
      </c>
      <c r="K8739" t="inlineStr">
        <is>
          <t>N/A</t>
        </is>
      </c>
      <c r="L8739" t="inlineStr">
        <is>
          <t>English Communication, IT Phần Mềm, Sales Admin, Sales Assistant, Sales Support</t>
        </is>
      </c>
      <c r="M8739" t="inlineStr">
        <is>
          <t>Bonus, Healthcare Plan, Paid Leave, Laptop, Team Activities</t>
        </is>
      </c>
      <c r="N8739" s="8">
        <f>HYPERLINK("https://www.vietnamworks.com/tro-ly-kinh-doanh-sales-assistant-up-to-dollar900-2020283-jv","Xem chi tiết")</f>
        <v/>
      </c>
    </row>
    <row r="8740">
      <c r="B8740" s="9" t="n">
        <v>8738</v>
      </c>
      <c r="C8740" s="10" t="inlineStr">
        <is>
          <t>Phó Ban Marcom</t>
        </is>
      </c>
      <c r="D8740" s="10" t="inlineStr">
        <is>
          <t>BIM Group</t>
        </is>
      </c>
      <c r="E8740" s="10" t="inlineStr">
        <is>
          <t>Thương lượng</t>
        </is>
      </c>
      <c r="F8740" s="10" t="inlineStr">
        <is>
          <t>Hà Nội</t>
        </is>
      </c>
      <c r="G8740" s="10" t="inlineStr">
        <is>
          <t>Giám Đốc và Cấp Cao Hơn</t>
        </is>
      </c>
      <c r="H8740" s="10" t="inlineStr">
        <is>
          <t>09/03/2026</t>
        </is>
      </c>
      <c r="I8740" s="10" t="inlineStr">
        <is>
          <t>08/04/2026</t>
        </is>
      </c>
      <c r="J8740" s="10" t="inlineStr">
        <is>
          <t>17/03/2026</t>
        </is>
      </c>
      <c r="K8740" s="10" t="inlineStr">
        <is>
          <t>N/A</t>
        </is>
      </c>
      <c r="L8740" s="10" t="inlineStr">
        <is>
          <t>Marcom, Marketing Management, Marketing manager, Strategic Marketing Management, Real Estale Marketing</t>
        </is>
      </c>
      <c r="M8740" s="10" t="inlineStr">
        <is>
          <t>Bonus, Healthcare Plan, Training</t>
        </is>
      </c>
      <c r="N8740" s="11">
        <f>HYPERLINK("https://www.vietnamworks.com/pho-ban-marcom-2020279-jv","Xem chi tiết")</f>
        <v/>
      </c>
      <c r="O8740" s="10" t="n"/>
    </row>
    <row r="8741">
      <c r="B8741" s="7" t="n">
        <v>8739</v>
      </c>
      <c r="C8741" t="inlineStr">
        <is>
          <t>Senior BackEnd Engineer (Java, Go) - Khối Công Nghệ Thông Tin (HOLT.03)</t>
        </is>
      </c>
      <c r="D8741" t="inlineStr">
        <is>
          <t>NGÂN HÀNG TMCP QUÂN ĐỘI – MBBANK</t>
        </is>
      </c>
      <c r="E8741" t="inlineStr">
        <is>
          <t>Thương lượng</t>
        </is>
      </c>
      <c r="F8741" t="inlineStr">
        <is>
          <t>Hà Nội</t>
        </is>
      </c>
      <c r="G8741" t="inlineStr">
        <is>
          <t>Nhân viên</t>
        </is>
      </c>
      <c r="H8741" t="inlineStr">
        <is>
          <t>09/03/2026</t>
        </is>
      </c>
      <c r="I8741" t="inlineStr">
        <is>
          <t>08/04/2026</t>
        </is>
      </c>
      <c r="J8741" t="inlineStr">
        <is>
          <t>17/03/2026</t>
        </is>
      </c>
      <c r="K8741" t="inlineStr">
        <is>
          <t>N/A</t>
        </is>
      </c>
      <c r="L8741" t="inlineStr">
        <is>
          <t>PostgreSQL, Oracle, GraphQL</t>
        </is>
      </c>
      <c r="M8741" t="inlineStr">
        <is>
          <t>Bonus, Healthcare Plan, Training, Awards, Library, Vouchers, Others</t>
        </is>
      </c>
      <c r="N8741" s="8">
        <f>HYPERLINK("https://www.vietnamworks.com/senior-backend-engineer-java-go-khoi-cong-nghe-thong-tin-holt-03-2020291-jv","Xem chi tiết")</f>
        <v/>
      </c>
    </row>
    <row r="8742">
      <c r="B8742" s="9" t="n">
        <v>8740</v>
      </c>
      <c r="C8742" s="10" t="inlineStr">
        <is>
          <t>Giám Đốc Phòng Giao Dịch - Phòng Giao Dịch Cai Lậy, CN. Tiền Giang (CN26.08)</t>
        </is>
      </c>
      <c r="D8742" s="10" t="inlineStr">
        <is>
          <t>NGÂN HÀNG TMCP QUÂN ĐỘI – MBBANK</t>
        </is>
      </c>
      <c r="E8742" s="10" t="inlineStr">
        <is>
          <t>Thương lượng</t>
        </is>
      </c>
      <c r="F8742" s="10" t="inlineStr">
        <is>
          <t>Đồng Tháp</t>
        </is>
      </c>
      <c r="G8742" s="10" t="inlineStr">
        <is>
          <t>Giám Đốc và Cấp Cao Hơn</t>
        </is>
      </c>
      <c r="H8742" s="10" t="inlineStr">
        <is>
          <t>09/03/2026</t>
        </is>
      </c>
      <c r="I8742" s="10" t="inlineStr">
        <is>
          <t>08/04/2026</t>
        </is>
      </c>
      <c r="J8742" s="10" t="inlineStr">
        <is>
          <t>17/03/2026</t>
        </is>
      </c>
      <c r="K8742" s="10" t="inlineStr">
        <is>
          <t>N/A</t>
        </is>
      </c>
      <c r="L8742" s="10" t="inlineStr">
        <is>
          <t>Corporate Banking, Corporate Finance, Retail banking, Micro/Macro Level Analysis, Competitive Analysis</t>
        </is>
      </c>
      <c r="M8742" s="10" t="inlineStr">
        <is>
          <t>Bonus, Paid Leave, Training, Awards, Library, Vouchers, Others</t>
        </is>
      </c>
      <c r="N8742" s="11">
        <f>HYPERLINK("https://www.vietnamworks.com/giam-doc-phong-giao-dich-phong-giao-dich-cai-lay-cn-tien-giang-cn26-08-2020297-jv","Xem chi tiết")</f>
        <v/>
      </c>
      <c r="O8742" s="10" t="n"/>
    </row>
    <row r="8743">
      <c r="B8743" s="7" t="n">
        <v>8741</v>
      </c>
      <c r="C8743" t="inlineStr">
        <is>
          <t>MB Trainee - App Vqr, Agentbanking, Miniapp - Khối Ngân Hàng Số (HO26.23)</t>
        </is>
      </c>
      <c r="D8743" t="inlineStr">
        <is>
          <t>NGÂN HÀNG TMCP QUÂN ĐỘI – MBBANK</t>
        </is>
      </c>
      <c r="E8743" t="inlineStr">
        <is>
          <t>Thương lượng</t>
        </is>
      </c>
      <c r="F8743" t="inlineStr">
        <is>
          <t>Hà Nội</t>
        </is>
      </c>
      <c r="G8743" t="inlineStr">
        <is>
          <t>Mới Tốt Nghiệp</t>
        </is>
      </c>
      <c r="H8743" t="inlineStr">
        <is>
          <t>09/03/2026</t>
        </is>
      </c>
      <c r="I8743" t="inlineStr">
        <is>
          <t>08/04/2026</t>
        </is>
      </c>
      <c r="J8743" t="inlineStr">
        <is>
          <t>17/03/2026</t>
        </is>
      </c>
      <c r="K8743" t="inlineStr">
        <is>
          <t>N/A</t>
        </is>
      </c>
      <c r="L8743" t="inlineStr">
        <is>
          <t>Word, Excel, PowerPoint, Statistical Reporting, Banking</t>
        </is>
      </c>
      <c r="M8743" t="inlineStr">
        <is>
          <t>Bonus, Paid Leave, Training, Awards, Library, Vouchers, Others</t>
        </is>
      </c>
      <c r="N8743" s="8">
        <f>HYPERLINK("https://www.vietnamworks.com/mb-trainee-app-vqr-agentbanking-miniapp-khoi-ngan-hang-so-ho26-23--2020298-jv","Xem chi tiết")</f>
        <v/>
      </c>
    </row>
    <row r="8744">
      <c r="B8744" s="9" t="n">
        <v>8742</v>
      </c>
      <c r="C8744" s="10" t="inlineStr">
        <is>
          <t>Onsite IT Comtor (BrSE /N2-N1)</t>
        </is>
      </c>
      <c r="D8744" s="10" t="inlineStr">
        <is>
          <t>Digilo</t>
        </is>
      </c>
      <c r="E8744" s="10" t="inlineStr">
        <is>
          <t>$$ 700-1,000 /tháng</t>
        </is>
      </c>
      <c r="F8744" s="10" t="inlineStr">
        <is>
          <t>Hồ Chí Minh</t>
        </is>
      </c>
      <c r="G8744" s="10" t="inlineStr">
        <is>
          <t>Nhân viên</t>
        </is>
      </c>
      <c r="H8744" s="10" t="inlineStr">
        <is>
          <t>09/03/2026</t>
        </is>
      </c>
      <c r="I8744" s="10" t="inlineStr">
        <is>
          <t>08/04/2026</t>
        </is>
      </c>
      <c r="J8744" s="10" t="inlineStr">
        <is>
          <t>17/03/2026</t>
        </is>
      </c>
      <c r="K8744" s="10" t="inlineStr">
        <is>
          <t>N/A</t>
        </is>
      </c>
      <c r="L8744" s="10" t="inlineStr">
        <is>
          <t>Collaboration, Contract Translation, Customer Communication, Japanese N2, Project Management</t>
        </is>
      </c>
      <c r="M8744" s="10" t="inlineStr">
        <is>
          <t>Bonus, Healthcare Plan, Paid Leave, Training, Team Activities, Others</t>
        </is>
      </c>
      <c r="N8744" s="11">
        <f>HYPERLINK("https://www.vietnamworks.com/onsite-it-comtor-brse-n2-n1-2020288-jv","Xem chi tiết")</f>
        <v/>
      </c>
      <c r="O8744" s="10" t="n"/>
    </row>
    <row r="8745">
      <c r="B8745" s="7" t="n">
        <v>8743</v>
      </c>
      <c r="C8745" t="inlineStr">
        <is>
          <t>Giám Đốc Giải Pháp Nghiệp Vụ Bất Động Sản (Head BA Proptech) - Tntech - 4B039</t>
        </is>
      </c>
      <c r="D8745" t="inlineStr">
        <is>
          <t>Tập đoàn ROX (ROX Group)</t>
        </is>
      </c>
      <c r="E8745" t="inlineStr">
        <is>
          <t>Thương lượng</t>
        </is>
      </c>
      <c r="F8745" t="inlineStr">
        <is>
          <t>Hà Nội</t>
        </is>
      </c>
      <c r="G8745" t="inlineStr">
        <is>
          <t>Giám Đốc và Cấp Cao Hơn</t>
        </is>
      </c>
      <c r="H8745" t="inlineStr">
        <is>
          <t>09/03/2026</t>
        </is>
      </c>
      <c r="I8745" t="inlineStr">
        <is>
          <t>08/04/2026</t>
        </is>
      </c>
      <c r="J8745" t="inlineStr">
        <is>
          <t>17/03/2026</t>
        </is>
      </c>
      <c r="K8745" t="inlineStr">
        <is>
          <t>N/A</t>
        </is>
      </c>
      <c r="L8745" t="inlineStr">
        <is>
          <t>Quản Lý, Phân Tích Nghiệp Vụ, Công Nghệ Thông Tin</t>
        </is>
      </c>
      <c r="M8745" t="inlineStr">
        <is>
          <t>Bonus, Healthcare Plan, Paid Leave</t>
        </is>
      </c>
      <c r="N8745" s="8">
        <f>HYPERLINK("https://www.vietnamworks.com/giam-doc-giai-phap-nghiep-vu-bat-dong-san-head-ba-proptech-tntech-4b039-2020284-jv","Xem chi tiết")</f>
        <v/>
      </c>
    </row>
    <row r="8746">
      <c r="B8746" s="9" t="n">
        <v>8744</v>
      </c>
      <c r="C8746" s="10" t="inlineStr">
        <is>
          <t>Chuyên Viên Sản Phẩm Khách Hàng Doanh Nghiệp Mảng Tài Trợ Thương Mại - Corporate Product Specialist (Trade Finance) - Trung Tâm Sản Phẩm Khách Hàng Doanh Nghiệp (HO26.24)</t>
        </is>
      </c>
      <c r="D8746" s="10" t="inlineStr">
        <is>
          <t>NGÂN HÀNG TMCP QUÂN ĐỘI – MBBANK</t>
        </is>
      </c>
      <c r="E8746" s="10" t="inlineStr">
        <is>
          <t>Thương lượng</t>
        </is>
      </c>
      <c r="F8746" s="10" t="inlineStr">
        <is>
          <t>Hà Nội</t>
        </is>
      </c>
      <c r="G8746" s="10" t="inlineStr">
        <is>
          <t>Nhân viên</t>
        </is>
      </c>
      <c r="H8746" s="10" t="inlineStr">
        <is>
          <t>09/03/2026</t>
        </is>
      </c>
      <c r="I8746" s="10" t="inlineStr">
        <is>
          <t>08/04/2026</t>
        </is>
      </c>
      <c r="J8746" s="10" t="inlineStr">
        <is>
          <t>17/03/2026</t>
        </is>
      </c>
      <c r="K8746" s="10" t="inlineStr">
        <is>
          <t>N/A</t>
        </is>
      </c>
      <c r="L8746" s="10" t="inlineStr">
        <is>
          <t>Consumer Product, Google Analytics, SQL, Trade Finance, Bi</t>
        </is>
      </c>
      <c r="M8746" s="10" t="inlineStr">
        <is>
          <t>Bonus, Healthcare Plan, Paid Leave, Training, Awards, Team Activities, Vouchers, Others</t>
        </is>
      </c>
      <c r="N8746" s="11">
        <f>HYPERLINK("https://www.vietnamworks.com/chuyen-vien-san-pham-khach-hang-doanh-nghiep-mang-tai-tro-thuong-mai-corporate-product-specialist-trade-finance-trung-tam-san-pham-khach-hang-doanh-nghiep-ho26-24--2020294-jv","Xem chi tiết")</f>
        <v/>
      </c>
      <c r="O8746" s="10" t="n"/>
    </row>
    <row r="8747">
      <c r="B8747" s="7" t="n">
        <v>8745</v>
      </c>
      <c r="C8747" t="inlineStr">
        <is>
          <t>Product Lifecycle Management Manager</t>
        </is>
      </c>
      <c r="D8747" t="inlineStr">
        <is>
          <t>VPDD Citigroup Ltd. In Vietnam</t>
        </is>
      </c>
      <c r="E8747" t="inlineStr">
        <is>
          <t>Thương lượng</t>
        </is>
      </c>
      <c r="F8747" t="inlineStr">
        <is>
          <t>Hồ Chí Minh</t>
        </is>
      </c>
      <c r="G8747" t="inlineStr">
        <is>
          <t>Trưởng phòng</t>
        </is>
      </c>
      <c r="H8747" t="inlineStr">
        <is>
          <t>09/03/2026</t>
        </is>
      </c>
      <c r="I8747" t="inlineStr">
        <is>
          <t>08/04/2026</t>
        </is>
      </c>
      <c r="J8747" t="inlineStr">
        <is>
          <t>17/03/2026</t>
        </is>
      </c>
      <c r="K8747" t="inlineStr">
        <is>
          <t>N/A</t>
        </is>
      </c>
      <c r="L8747" t="inlineStr">
        <is>
          <t>Supply Planning, Project Management, Furniture, Supply Chain Management</t>
        </is>
      </c>
      <c r="M8747" t="inlineStr">
        <is>
          <t>Others</t>
        </is>
      </c>
      <c r="N8747" s="8">
        <f>HYPERLINK("https://www.vietnamworks.com/product-lifecycle-management-manager-2020295-jv","Xem chi tiết")</f>
        <v/>
      </c>
    </row>
    <row r="8748">
      <c r="B8748" s="9" t="n">
        <v>8746</v>
      </c>
      <c r="C8748" s="10" t="inlineStr">
        <is>
          <t>Nhân Viên Kinh Doanh Phát Triển Thị Trường</t>
        </is>
      </c>
      <c r="D8748" s="10" t="inlineStr">
        <is>
          <t>Công Ty Cổ Phần Xi Măng Sài Sơn</t>
        </is>
      </c>
      <c r="E8748" s="10" t="inlineStr">
        <is>
          <t>Từ 20tr ₫/tháng</t>
        </is>
      </c>
      <c r="F8748" s="10" t="inlineStr">
        <is>
          <t>Hà Nội</t>
        </is>
      </c>
      <c r="G8748" s="10" t="inlineStr">
        <is>
          <t>Nhân viên</t>
        </is>
      </c>
      <c r="H8748" s="10" t="inlineStr">
        <is>
          <t>09/03/2026</t>
        </is>
      </c>
      <c r="I8748" s="10" t="inlineStr">
        <is>
          <t>08/04/2026</t>
        </is>
      </c>
      <c r="J8748" s="10" t="inlineStr">
        <is>
          <t>17/03/2026</t>
        </is>
      </c>
      <c r="K8748" s="10" t="inlineStr">
        <is>
          <t>N/A</t>
        </is>
      </c>
      <c r="L8748" s="10" t="inlineStr">
        <is>
          <t>Kinh Doanh, Giao Tiếp, Đàm Phán, Lập Quy Trình Dự Án, Gia Công Áp Lực</t>
        </is>
      </c>
      <c r="M8748" s="10" t="inlineStr">
        <is>
          <t>Bonus, Healthcare Plan, Team Activities, Others</t>
        </is>
      </c>
      <c r="N8748" s="11">
        <f>HYPERLINK("https://www.vietnamworks.com/nhan-vien-kinh-doanh-phat-trien-thi-truong-2020303-jv","Xem chi tiết")</f>
        <v/>
      </c>
      <c r="O8748" s="10" t="n"/>
    </row>
    <row r="8749">
      <c r="B8749" s="7" t="n">
        <v>8747</v>
      </c>
      <c r="C8749" t="inlineStr">
        <is>
          <t>Kỹ Sư Cơ Điện</t>
        </is>
      </c>
      <c r="D8749" t="inlineStr">
        <is>
          <t>Công Ty Cổ Phần Sữa Việt Nam (Vinamilk)</t>
        </is>
      </c>
      <c r="E8749" t="inlineStr">
        <is>
          <t>Thương lượng</t>
        </is>
      </c>
      <c r="F8749" t="inlineStr">
        <is>
          <t>Bắc Ninh</t>
        </is>
      </c>
      <c r="G8749" t="inlineStr">
        <is>
          <t>Nhân viên</t>
        </is>
      </c>
      <c r="H8749" t="inlineStr">
        <is>
          <t>09/03/2026</t>
        </is>
      </c>
      <c r="I8749" t="inlineStr">
        <is>
          <t>08/04/2026</t>
        </is>
      </c>
      <c r="J8749" t="inlineStr">
        <is>
          <t>17/03/2026</t>
        </is>
      </c>
      <c r="K8749" t="inlineStr">
        <is>
          <t>N/A</t>
        </is>
      </c>
      <c r="L8749" t="inlineStr">
        <is>
          <t>Vận Hành, Bảo Dưỡng Máy Móc, Sửa Chữa, Vận Hành Cơ Điện</t>
        </is>
      </c>
      <c r="M8749" t="inlineStr">
        <is>
          <t>Bonus, Healthcare Plan, Training</t>
        </is>
      </c>
      <c r="N8749" s="8">
        <f>HYPERLINK("https://www.vietnamworks.com/ky-su-co-dien--2020300-jv","Xem chi tiết")</f>
        <v/>
      </c>
    </row>
    <row r="8750">
      <c r="B8750" s="9" t="n">
        <v>8748</v>
      </c>
      <c r="C8750" s="10" t="inlineStr">
        <is>
          <t>Nhân Viên Kinh Doanh</t>
        </is>
      </c>
      <c r="D8750" s="10" t="inlineStr">
        <is>
          <t>CÔNG TY TNHH XNK Thực Phẩm Phú Kim Nhật</t>
        </is>
      </c>
      <c r="E8750" s="10" t="inlineStr">
        <is>
          <t>Thương lượng</t>
        </is>
      </c>
      <c r="F8750" s="10" t="inlineStr">
        <is>
          <t>Hồ Chí Minh</t>
        </is>
      </c>
      <c r="G8750" s="10" t="inlineStr">
        <is>
          <t>Nhân viên</t>
        </is>
      </c>
      <c r="H8750" s="10" t="inlineStr">
        <is>
          <t>09/03/2026</t>
        </is>
      </c>
      <c r="I8750" s="10" t="inlineStr">
        <is>
          <t>08/04/2026</t>
        </is>
      </c>
      <c r="J8750" s="10" t="inlineStr">
        <is>
          <t>17/03/2026</t>
        </is>
      </c>
      <c r="K8750" s="10" t="inlineStr">
        <is>
          <t>N/A</t>
        </is>
      </c>
      <c r="L8750" s="10" t="inlineStr">
        <is>
          <t>Import &amp; Export, Kinh Doanh Hải Sản, Thực phẩm, Xuất Nhập Khẩu, Tư Vấn Bán Hàng</t>
        </is>
      </c>
      <c r="M8750" s="10" t="inlineStr">
        <is>
          <t>Bonus, Healthcare Plan, Others</t>
        </is>
      </c>
      <c r="N8750" s="11">
        <f>HYPERLINK("https://www.vietnamworks.com/nhan-vien-kinh-doanh-2020326-jv","Xem chi tiết")</f>
        <v/>
      </c>
      <c r="O8750" s="10" t="n"/>
    </row>
    <row r="8751">
      <c r="B8751" s="7" t="n">
        <v>8749</v>
      </c>
      <c r="C8751" t="inlineStr">
        <is>
          <t>Trợ Lý Vận Hành Dự Án - Project Executive Assistant</t>
        </is>
      </c>
      <c r="D8751" t="inlineStr">
        <is>
          <t>CÔNG TY TNHH HEGE</t>
        </is>
      </c>
      <c r="E8751" t="inlineStr">
        <is>
          <t>Thương lượng</t>
        </is>
      </c>
      <c r="F8751" t="inlineStr">
        <is>
          <t>Hồ Chí Minh</t>
        </is>
      </c>
      <c r="G8751" t="inlineStr">
        <is>
          <t>Mới Tốt Nghiệp</t>
        </is>
      </c>
      <c r="H8751" t="inlineStr">
        <is>
          <t>09/03/2026</t>
        </is>
      </c>
      <c r="I8751" t="inlineStr">
        <is>
          <t>08/04/2026</t>
        </is>
      </c>
      <c r="J8751" t="inlineStr">
        <is>
          <t>17/03/2026</t>
        </is>
      </c>
      <c r="K8751" t="inlineStr">
        <is>
          <t>N/A</t>
        </is>
      </c>
      <c r="L8751" t="inlineStr">
        <is>
          <t>Project Management, Quản Lý Dự Án, Quản Lý Đơn Hàng, Tiếng Anh, Vận Hành</t>
        </is>
      </c>
      <c r="M8751" t="inlineStr">
        <is>
          <t>Bonus, Training, Others</t>
        </is>
      </c>
      <c r="N8751" s="8">
        <f>HYPERLINK("https://www.vietnamworks.com/tro-ly-van-hanh-du-an-project-executive-assistant-2020305-jv","Xem chi tiết")</f>
        <v/>
      </c>
    </row>
    <row r="8752">
      <c r="B8752" s="9" t="n">
        <v>8750</v>
      </c>
      <c r="C8752" s="10" t="inlineStr">
        <is>
          <t>Sales Support Intern</t>
        </is>
      </c>
      <c r="D8752" s="10" t="inlineStr">
        <is>
          <t>CJ CGV Vietnam</t>
        </is>
      </c>
      <c r="E8752" s="10" t="inlineStr">
        <is>
          <t>$$ 150-180 /tháng</t>
        </is>
      </c>
      <c r="F8752" s="10" t="inlineStr">
        <is>
          <t>Hồ Chí Minh</t>
        </is>
      </c>
      <c r="G8752" s="10" t="inlineStr">
        <is>
          <t>Thực tập sinh/Sinh viên</t>
        </is>
      </c>
      <c r="H8752" s="10" t="inlineStr">
        <is>
          <t>09/03/2026</t>
        </is>
      </c>
      <c r="I8752" s="10" t="inlineStr">
        <is>
          <t>08/04/2026</t>
        </is>
      </c>
      <c r="J8752" s="10" t="inlineStr">
        <is>
          <t>17/03/2026</t>
        </is>
      </c>
      <c r="K8752" s="10" t="inlineStr">
        <is>
          <t>N/A</t>
        </is>
      </c>
      <c r="L8752" s="10" t="inlineStr">
        <is>
          <t>Sales Support</t>
        </is>
      </c>
      <c r="M8752" s="10" t="inlineStr">
        <is>
          <t>Vouchers, Others</t>
        </is>
      </c>
      <c r="N8752" s="11">
        <f>HYPERLINK("https://www.vietnamworks.com/sales-support-intern--2020314-jv","Xem chi tiết")</f>
        <v/>
      </c>
      <c r="O8752" s="10" t="n"/>
    </row>
    <row r="8753">
      <c r="B8753" s="7" t="n">
        <v>8751</v>
      </c>
      <c r="C8753" t="inlineStr">
        <is>
          <t>Thực Tập Sinh Thiết Kế Đồ Họa</t>
        </is>
      </c>
      <c r="D8753" t="inlineStr">
        <is>
          <t>CJ CGV Vietnam</t>
        </is>
      </c>
      <c r="E8753" t="inlineStr">
        <is>
          <t>$$ 150-180 /tháng</t>
        </is>
      </c>
      <c r="F8753" t="inlineStr">
        <is>
          <t>Hồ Chí Minh</t>
        </is>
      </c>
      <c r="G8753" t="inlineStr">
        <is>
          <t>Thực tập sinh/Sinh viên</t>
        </is>
      </c>
      <c r="H8753" t="inlineStr">
        <is>
          <t>09/03/2026</t>
        </is>
      </c>
      <c r="I8753" t="inlineStr">
        <is>
          <t>08/04/2026</t>
        </is>
      </c>
      <c r="J8753" t="inlineStr">
        <is>
          <t>17/03/2026</t>
        </is>
      </c>
      <c r="K8753" t="inlineStr">
        <is>
          <t>N/A</t>
        </is>
      </c>
      <c r="L8753" t="inlineStr">
        <is>
          <t>Graphic Design, Content, Adobe Photoshop, Adobe Illustrator, 2D Computer Graphics</t>
        </is>
      </c>
      <c r="M8753" t="inlineStr">
        <is>
          <t>Vouchers, Others</t>
        </is>
      </c>
      <c r="N8753" s="8">
        <f>HYPERLINK("https://www.vietnamworks.com/thuc-tap-sinh-thiet-ke-do-hoa--2020312-jv","Xem chi tiết")</f>
        <v/>
      </c>
    </row>
    <row r="8754">
      <c r="B8754" s="9" t="n">
        <v>8752</v>
      </c>
      <c r="C8754" s="10" t="inlineStr">
        <is>
          <t>Quản Lý Dự Án Kiêm Lập Dự Toán | Project Manager Cum Cost Estimator</t>
        </is>
      </c>
      <c r="D8754" s="10" t="inlineStr">
        <is>
          <t>Công Ty TNHH Một Thành Viên Màu Đỏ</t>
        </is>
      </c>
      <c r="E8754" s="10" t="inlineStr">
        <is>
          <t>Thương lượng</t>
        </is>
      </c>
      <c r="F8754" s="10" t="inlineStr">
        <is>
          <t>Hồ Chí Minh</t>
        </is>
      </c>
      <c r="G8754" s="10" t="inlineStr">
        <is>
          <t>Nhân viên</t>
        </is>
      </c>
      <c r="H8754" s="10" t="inlineStr">
        <is>
          <t>09/03/2026</t>
        </is>
      </c>
      <c r="I8754" s="10" t="inlineStr">
        <is>
          <t>08/04/2026</t>
        </is>
      </c>
      <c r="J8754" s="10" t="inlineStr">
        <is>
          <t>17/03/2026</t>
        </is>
      </c>
      <c r="K8754" s="10" t="inlineStr">
        <is>
          <t>N/A</t>
        </is>
      </c>
      <c r="L8754" s="10" t="inlineStr">
        <is>
          <t>Quản Lý Dự Án, MS Project, AutoCAD, Quantity Surveyor, Chỉ Huy Công Trình</t>
        </is>
      </c>
      <c r="M8754" s="10" t="inlineStr">
        <is>
          <t>Paid Leave, Team Activities, Others</t>
        </is>
      </c>
      <c r="N8754" s="11">
        <f>HYPERLINK("https://www.vietnamworks.com/quan-ly-du-an-kiem-lap-du-toan-or-project-manager-cum-cost-estimator-2020308-jv","Xem chi tiết")</f>
        <v/>
      </c>
      <c r="O8754" s="10" t="n"/>
    </row>
    <row r="8755">
      <c r="B8755" s="7" t="n">
        <v>8753</v>
      </c>
      <c r="C8755" t="inlineStr">
        <is>
          <t>Compliance Senior Staff</t>
        </is>
      </c>
      <c r="D8755" t="inlineStr">
        <is>
          <t>AJINOMOTO VIETNAM COMPANY</t>
        </is>
      </c>
      <c r="E8755" t="inlineStr">
        <is>
          <t>Thương lượng</t>
        </is>
      </c>
      <c r="F8755" t="inlineStr">
        <is>
          <t>Hồ Chí Minh</t>
        </is>
      </c>
      <c r="G8755" t="inlineStr">
        <is>
          <t>Nhân viên</t>
        </is>
      </c>
      <c r="H8755" t="inlineStr">
        <is>
          <t>09/03/2026</t>
        </is>
      </c>
      <c r="I8755" t="inlineStr">
        <is>
          <t>08/04/2026</t>
        </is>
      </c>
      <c r="J8755" t="inlineStr">
        <is>
          <t>17/03/2026</t>
        </is>
      </c>
      <c r="K8755" t="inlineStr">
        <is>
          <t>N/A</t>
        </is>
      </c>
      <c r="L8755" t="inlineStr">
        <is>
          <t>Compliance, English Fluency, Legal Analysis, Legal Consulting, Vietnamese Law</t>
        </is>
      </c>
      <c r="M8755" t="inlineStr">
        <is>
          <t>Bonus, Healthcare Plan, Training, Transportation, Canteen, Others</t>
        </is>
      </c>
      <c r="N8755" s="8">
        <f>HYPERLINK("https://www.vietnamworks.com/compliance-senior-staff-2020301-jv","Xem chi tiết")</f>
        <v/>
      </c>
    </row>
    <row r="8756">
      <c r="B8756" s="9" t="n">
        <v>8754</v>
      </c>
      <c r="C8756" s="10" t="inlineStr">
        <is>
          <t>Kỹ Sư Vận Hành Máy &amp; Hệ Thống (Bắc Ninh)</t>
        </is>
      </c>
      <c r="D8756" s="10" t="inlineStr">
        <is>
          <t>Công Ty Cổ Phần Sữa Việt Nam (Vinamilk)</t>
        </is>
      </c>
      <c r="E8756" s="10" t="inlineStr">
        <is>
          <t>Thương lượng</t>
        </is>
      </c>
      <c r="F8756" s="10" t="inlineStr">
        <is>
          <t>Bắc Ninh</t>
        </is>
      </c>
      <c r="G8756" s="10" t="inlineStr">
        <is>
          <t>Nhân viên</t>
        </is>
      </c>
      <c r="H8756" s="10" t="inlineStr">
        <is>
          <t>09/03/2026</t>
        </is>
      </c>
      <c r="I8756" s="10" t="inlineStr">
        <is>
          <t>08/04/2026</t>
        </is>
      </c>
      <c r="J8756" s="10" t="inlineStr">
        <is>
          <t>17/03/2026</t>
        </is>
      </c>
      <c r="K8756" s="10" t="inlineStr">
        <is>
          <t>N/A</t>
        </is>
      </c>
      <c r="L8756" s="10" t="inlineStr">
        <is>
          <t>Cơ Khí, Công Nghệ Thực Phẩm, Tự Động Hóa</t>
        </is>
      </c>
      <c r="M8756" s="10" t="inlineStr">
        <is>
          <t>Bonus, Healthcare Plan, Training</t>
        </is>
      </c>
      <c r="N8756" s="11">
        <f>HYPERLINK("https://www.vietnamworks.com/ky-su-van-hanh-may-he-thong-bac-ninh--2020309-jv","Xem chi tiết")</f>
        <v/>
      </c>
      <c r="O8756" s="10" t="n"/>
    </row>
    <row r="8757">
      <c r="B8757" s="7" t="n">
        <v>8755</v>
      </c>
      <c r="C8757" t="inlineStr">
        <is>
          <t>Chief Marketing Officer</t>
        </is>
      </c>
      <c r="D8757" t="inlineStr">
        <is>
          <t>Novaland</t>
        </is>
      </c>
      <c r="E8757" t="inlineStr">
        <is>
          <t>Thương lượng</t>
        </is>
      </c>
      <c r="F8757" t="inlineStr">
        <is>
          <t>Hồ Chí Minh</t>
        </is>
      </c>
      <c r="G8757" t="inlineStr">
        <is>
          <t>Giám Đốc và Cấp Cao Hơn</t>
        </is>
      </c>
      <c r="H8757" t="inlineStr">
        <is>
          <t>09/03/2026</t>
        </is>
      </c>
      <c r="I8757" t="inlineStr">
        <is>
          <t>08/04/2026</t>
        </is>
      </c>
      <c r="J8757" t="inlineStr">
        <is>
          <t>17/03/2026</t>
        </is>
      </c>
      <c r="K8757" t="inlineStr">
        <is>
          <t>N/A</t>
        </is>
      </c>
      <c r="L8757" t="inlineStr">
        <is>
          <t>CMO, Marketing</t>
        </is>
      </c>
      <c r="M8757" t="inlineStr">
        <is>
          <t>Bonus, Healthcare Plan, Awards</t>
        </is>
      </c>
      <c r="N8757" s="8">
        <f>HYPERLINK("https://www.vietnamworks.com/chief-marketing-officer--2020317-jv","Xem chi tiết")</f>
        <v/>
      </c>
    </row>
    <row r="8758">
      <c r="B8758" s="9" t="n">
        <v>8756</v>
      </c>
      <c r="C8758" s="10" t="inlineStr">
        <is>
          <t>Nhân Viên Thiết Kế - Phòng Marketing</t>
        </is>
      </c>
      <c r="D8758" s="10" t="inlineStr">
        <is>
          <t>Yamaha Motor Vietnam</t>
        </is>
      </c>
      <c r="E8758" s="10" t="inlineStr">
        <is>
          <t>Thương lượng</t>
        </is>
      </c>
      <c r="F8758" s="10" t="inlineStr">
        <is>
          <t>Hà Nội</t>
        </is>
      </c>
      <c r="G8758" s="10" t="inlineStr">
        <is>
          <t>Nhân viên</t>
        </is>
      </c>
      <c r="H8758" s="10" t="inlineStr">
        <is>
          <t>09/03/2026</t>
        </is>
      </c>
      <c r="I8758" s="10" t="inlineStr">
        <is>
          <t>08/04/2026</t>
        </is>
      </c>
      <c r="J8758" s="10" t="inlineStr">
        <is>
          <t>17/03/2026</t>
        </is>
      </c>
      <c r="K8758" s="10" t="inlineStr">
        <is>
          <t>N/A</t>
        </is>
      </c>
      <c r="L8758" s="10" t="inlineStr">
        <is>
          <t>Adobe Creative Cloud, Illustrator, Photoshop, Thiết Kế Đồ Họa, Tiếng  Anh Giao Tiếp</t>
        </is>
      </c>
      <c r="M8758" s="10" t="inlineStr">
        <is>
          <t>Bonus, Healthcare Plan, Training, Travel Opportunities, Team Activities, Others</t>
        </is>
      </c>
      <c r="N8758" s="11">
        <f>HYPERLINK("https://www.vietnamworks.com/nhan-vien-thiet-ke-phong-marketing-2020320-jv","Xem chi tiết")</f>
        <v/>
      </c>
      <c r="O8758" s="10" t="n"/>
    </row>
    <row r="8759">
      <c r="B8759" s="7" t="n">
        <v>8757</v>
      </c>
      <c r="C8759" t="inlineStr">
        <is>
          <t>Kế Toán Chi Phí Hà Nội</t>
        </is>
      </c>
      <c r="D8759" t="inlineStr">
        <is>
          <t>Elite Fitness</t>
        </is>
      </c>
      <c r="E8759" t="inlineStr">
        <is>
          <t>12tr-16tr ₫/tháng</t>
        </is>
      </c>
      <c r="F8759" t="inlineStr">
        <is>
          <t>Hà Nội</t>
        </is>
      </c>
      <c r="G8759" t="inlineStr">
        <is>
          <t>Nhân viên</t>
        </is>
      </c>
      <c r="H8759" t="inlineStr">
        <is>
          <t>09/03/2026</t>
        </is>
      </c>
      <c r="I8759" t="inlineStr">
        <is>
          <t>08/04/2026</t>
        </is>
      </c>
      <c r="J8759" t="inlineStr">
        <is>
          <t>17/03/2026</t>
        </is>
      </c>
      <c r="K8759" t="inlineStr">
        <is>
          <t>N/A</t>
        </is>
      </c>
      <c r="L8759" t="inlineStr">
        <is>
          <t>Tài Chính Kế Toán, Thuế, Word, Excel, Giải quyết vấn đề</t>
        </is>
      </c>
      <c r="M8759" t="inlineStr">
        <is>
          <t>Bonus, Healthcare Plan, Paid Leave, Training, Team Activities</t>
        </is>
      </c>
      <c r="N8759" s="8">
        <f>HYPERLINK("https://www.vietnamworks.com/ke-toan-chi-phi-ha-noi-2020315-jv","Xem chi tiết")</f>
        <v/>
      </c>
    </row>
    <row r="8760">
      <c r="B8760" s="9" t="n">
        <v>8758</v>
      </c>
      <c r="C8760" s="10" t="inlineStr">
        <is>
          <t>Project Coordinator</t>
        </is>
      </c>
      <c r="D8760" s="10" t="inlineStr">
        <is>
          <t>Galaxy Digital Holdings Co., Ltd (GH)</t>
        </is>
      </c>
      <c r="E8760" s="10" t="inlineStr">
        <is>
          <t>Thương lượng</t>
        </is>
      </c>
      <c r="F8760" s="10" t="inlineStr">
        <is>
          <t>Hồ Chí Minh</t>
        </is>
      </c>
      <c r="G8760" s="10" t="inlineStr">
        <is>
          <t>Nhân viên</t>
        </is>
      </c>
      <c r="H8760" s="10" t="inlineStr">
        <is>
          <t>09/03/2026</t>
        </is>
      </c>
      <c r="I8760" s="10" t="inlineStr">
        <is>
          <t>08/04/2026</t>
        </is>
      </c>
      <c r="J8760" s="10" t="inlineStr">
        <is>
          <t>17/03/2026</t>
        </is>
      </c>
      <c r="K8760" s="10" t="inlineStr">
        <is>
          <t>N/A</t>
        </is>
      </c>
      <c r="L8760" s="10" t="inlineStr">
        <is>
          <t>Communication, Microsoft Office, Project Management, Risk Assessment, Stakeholder Management</t>
        </is>
      </c>
      <c r="M8760" s="10" t="inlineStr">
        <is>
          <t>Bonus, Healthcare Plan, Paid Leave, Laptop, Others</t>
        </is>
      </c>
      <c r="N8760" s="11">
        <f>HYPERLINK("https://www.vietnamworks.com/project-coordinator-2020311-jv","Xem chi tiết")</f>
        <v/>
      </c>
      <c r="O8760" s="10" t="n"/>
    </row>
    <row r="8761">
      <c r="B8761" s="7" t="n">
        <v>8759</v>
      </c>
      <c r="C8761" t="inlineStr">
        <is>
          <t>Quality Controller (Work in Quy Nhon)</t>
        </is>
      </c>
      <c r="D8761" t="inlineStr">
        <is>
          <t>Blue Rock Sourcing Solution Ltd - Vietnam Representative Office</t>
        </is>
      </c>
      <c r="E8761" t="inlineStr">
        <is>
          <t>Thương lượng</t>
        </is>
      </c>
      <c r="F8761" t="inlineStr">
        <is>
          <t>Hồ Chí Minh</t>
        </is>
      </c>
      <c r="G8761" t="inlineStr">
        <is>
          <t>Nhân viên</t>
        </is>
      </c>
      <c r="H8761" t="inlineStr">
        <is>
          <t>09/03/2026</t>
        </is>
      </c>
      <c r="I8761" t="inlineStr">
        <is>
          <t>08/04/2026</t>
        </is>
      </c>
      <c r="J8761" t="inlineStr">
        <is>
          <t>17/03/2026</t>
        </is>
      </c>
      <c r="K8761" t="inlineStr">
        <is>
          <t>N/A</t>
        </is>
      </c>
      <c r="L8761" t="inlineStr">
        <is>
          <t>Quality Control, Inspection, Problem-solving, Furniture Manufacturing</t>
        </is>
      </c>
      <c r="M8761" t="inlineStr">
        <is>
          <t>Bonus, Healthcare Plan, Paid Leave, Mobile, Transportation, Others</t>
        </is>
      </c>
      <c r="N8761" s="8">
        <f>HYPERLINK("https://www.vietnamworks.com/quality-controller-work-in-quy-nhon-2020319-jv","Xem chi tiết")</f>
        <v/>
      </c>
    </row>
    <row r="8762">
      <c r="B8762" s="9" t="n">
        <v>8760</v>
      </c>
      <c r="C8762" s="10" t="inlineStr">
        <is>
          <t>Chuyên Viên Sáng Tạo Nội Dung (Content Creator)</t>
        </is>
      </c>
      <c r="D8762" s="10" t="inlineStr">
        <is>
          <t>Stavian Group</t>
        </is>
      </c>
      <c r="E8762" s="10" t="inlineStr">
        <is>
          <t>$$ 500-800 /tháng</t>
        </is>
      </c>
      <c r="F8762" s="10" t="inlineStr">
        <is>
          <t>Hà Nội</t>
        </is>
      </c>
      <c r="G8762" s="10" t="inlineStr">
        <is>
          <t>Nhân viên</t>
        </is>
      </c>
      <c r="H8762" s="10" t="inlineStr">
        <is>
          <t>09/03/2026</t>
        </is>
      </c>
      <c r="I8762" s="10" t="inlineStr">
        <is>
          <t>08/04/2026</t>
        </is>
      </c>
      <c r="J8762" s="10" t="inlineStr">
        <is>
          <t>17/03/2026</t>
        </is>
      </c>
      <c r="K8762" s="10" t="inlineStr">
        <is>
          <t>N/A</t>
        </is>
      </c>
      <c r="L8762" s="10" t="inlineStr">
        <is>
          <t>Content Creation, Content, Social Media Development, SEO Content Writing</t>
        </is>
      </c>
      <c r="M8762" s="10" t="inlineStr">
        <is>
          <t>Bonus, Healthcare Plan, Travel Opportunities</t>
        </is>
      </c>
      <c r="N8762" s="11">
        <f>HYPERLINK("https://www.vietnamworks.com/chuyen-vien-sang-tao-noi-dung-content-creator--2020310-jv","Xem chi tiết")</f>
        <v/>
      </c>
      <c r="O8762" s="10" t="n"/>
    </row>
    <row r="8763">
      <c r="B8763" s="7" t="n">
        <v>8761</v>
      </c>
      <c r="C8763" t="inlineStr">
        <is>
          <t>Senior Digital Marketing Executive</t>
        </is>
      </c>
      <c r="D8763" t="inlineStr">
        <is>
          <t>ILA Vietnam</t>
        </is>
      </c>
      <c r="E8763" t="inlineStr">
        <is>
          <t>Thương lượng</t>
        </is>
      </c>
      <c r="F8763" t="inlineStr">
        <is>
          <t>Hồ Chí Minh</t>
        </is>
      </c>
      <c r="G8763" t="inlineStr">
        <is>
          <t>Nhân viên</t>
        </is>
      </c>
      <c r="H8763" t="inlineStr">
        <is>
          <t>09/03/2026</t>
        </is>
      </c>
      <c r="I8763" t="inlineStr">
        <is>
          <t>08/04/2026</t>
        </is>
      </c>
      <c r="J8763" t="inlineStr">
        <is>
          <t>17/03/2026</t>
        </is>
      </c>
      <c r="K8763" t="inlineStr">
        <is>
          <t>N/A</t>
        </is>
      </c>
      <c r="L8763" t="inlineStr">
        <is>
          <t>Digital Marketing, Digital Marketing &amp; Advertisement, Digital Marketing Campaigns, Digital Marketing Facebook</t>
        </is>
      </c>
      <c r="M8763" t="inlineStr">
        <is>
          <t>Bonus, Paid Leave, Training</t>
        </is>
      </c>
      <c r="N8763" s="8">
        <f>HYPERLINK("https://www.vietnamworks.com/senior-digital-marketing-executive-2020313-jv","Xem chi tiết")</f>
        <v/>
      </c>
    </row>
    <row r="8764">
      <c r="B8764" s="9" t="n">
        <v>8762</v>
      </c>
      <c r="C8764" s="10" t="inlineStr">
        <is>
          <t>[HN/HCM] Trưởng Phòng Phát Triển Đối Tác Tài Chính 20-170Tr</t>
        </is>
      </c>
      <c r="D8764" s="10" t="inlineStr">
        <is>
          <t>CÔNG TY CỔ PHẦN TẬP ĐOÀN ĐẦU TƯ EMIR</t>
        </is>
      </c>
      <c r="E8764" s="10" t="inlineStr">
        <is>
          <t>$$ 1,000-5,000 /tháng</t>
        </is>
      </c>
      <c r="F8764" s="10" t="inlineStr">
        <is>
          <t>Hồ Chí Minh, Hà Nội</t>
        </is>
      </c>
      <c r="G8764" s="10" t="inlineStr">
        <is>
          <t>Trưởng phòng</t>
        </is>
      </c>
      <c r="H8764" s="10" t="inlineStr">
        <is>
          <t>09/03/2026</t>
        </is>
      </c>
      <c r="I8764" s="10" t="inlineStr">
        <is>
          <t>08/04/2026</t>
        </is>
      </c>
      <c r="J8764" s="10" t="inlineStr">
        <is>
          <t>17/03/2026</t>
        </is>
      </c>
      <c r="K8764" s="10" t="inlineStr">
        <is>
          <t>N/A</t>
        </is>
      </c>
      <c r="L8764" s="10" t="inlineStr">
        <is>
          <t>Tín Dụng Cá Nhân, Thẩm Định Giá, Quan Hệ Khách Hàng Cá Nhân, Tài Chính Tín Dụng</t>
        </is>
      </c>
      <c r="M8764" s="10" t="inlineStr">
        <is>
          <t>Bonus, Training, Travel Opportunities</t>
        </is>
      </c>
      <c r="N8764" s="11">
        <f>HYPERLINK("https://www.vietnamworks.com/hn-hcm-truong-phong-phat-trien-doi-tac-tai-chinh-20-170tr--2020322-jv","Xem chi tiết")</f>
        <v/>
      </c>
      <c r="O8764" s="10" t="n"/>
    </row>
    <row r="8765">
      <c r="B8765" s="7" t="n">
        <v>8763</v>
      </c>
      <c r="C8765" t="inlineStr">
        <is>
          <t>Hot Job- Trưởng Nhóm Marketing/ Marketing Leader/thu Nhập Upto 29 Triệu/ Tháng</t>
        </is>
      </c>
      <c r="D8765" t="inlineStr">
        <is>
          <t>Công ty TNHH Truyền thông và Giải pháp trực tuyến LeadsGen</t>
        </is>
      </c>
      <c r="E8765" t="inlineStr">
        <is>
          <t>25tr-29tr ₫/tháng</t>
        </is>
      </c>
      <c r="F8765" t="inlineStr">
        <is>
          <t>Hà Nội</t>
        </is>
      </c>
      <c r="G8765" t="inlineStr">
        <is>
          <t>Trưởng phòng</t>
        </is>
      </c>
      <c r="H8765" t="inlineStr">
        <is>
          <t>09/03/2026</t>
        </is>
      </c>
      <c r="I8765" t="inlineStr">
        <is>
          <t>08/04/2026</t>
        </is>
      </c>
      <c r="J8765" t="inlineStr">
        <is>
          <t>17/03/2026</t>
        </is>
      </c>
      <c r="K8765" t="inlineStr">
        <is>
          <t>N/A</t>
        </is>
      </c>
      <c r="L8765" t="inlineStr">
        <is>
          <t>Team Management, Marketing manager, Markeing planing</t>
        </is>
      </c>
      <c r="M8765" t="inlineStr">
        <is>
          <t>Bonus, Healthcare Plan, Team Activities, Others</t>
        </is>
      </c>
      <c r="N8765" s="8">
        <f>HYPERLINK("https://www.vietnamworks.com/hot-job-truong-nhom-marketing-marketing-leader-thu-nhap-upto-29-trieu-thang-2020327-jv","Xem chi tiết")</f>
        <v/>
      </c>
    </row>
    <row r="8766">
      <c r="B8766" s="9" t="n">
        <v>8764</v>
      </c>
      <c r="C8766" s="10" t="inlineStr">
        <is>
          <t>Kế Toán Tổng Hợp</t>
        </is>
      </c>
      <c r="D8766" s="10" t="inlineStr">
        <is>
          <t>Công Ty TNHH Phúc Hưng Thịnh</t>
        </is>
      </c>
      <c r="E8766" s="10" t="inlineStr">
        <is>
          <t>15tr-17tr ₫/tháng</t>
        </is>
      </c>
      <c r="F8766" s="10" t="inlineStr">
        <is>
          <t>Hà Nội</t>
        </is>
      </c>
      <c r="G8766" s="10" t="inlineStr">
        <is>
          <t>Nhân viên</t>
        </is>
      </c>
      <c r="H8766" s="10" t="inlineStr">
        <is>
          <t>09/03/2026</t>
        </is>
      </c>
      <c r="I8766" s="10" t="inlineStr">
        <is>
          <t>08/04/2026</t>
        </is>
      </c>
      <c r="J8766" s="10" t="inlineStr">
        <is>
          <t>17/03/2026</t>
        </is>
      </c>
      <c r="K8766" s="10" t="inlineStr">
        <is>
          <t>N/A</t>
        </is>
      </c>
      <c r="L8766" s="10" t="inlineStr">
        <is>
          <t>Phân Tích Số Liệu, Báo Cáo Tài Chính, Kiểm Soát Chi Phí, Luật Thuế, VAS</t>
        </is>
      </c>
      <c r="M8766" s="10" t="inlineStr">
        <is>
          <t>Bonus, Healthcare Plan, Laptop, Canteen</t>
        </is>
      </c>
      <c r="N8766" s="11">
        <f>HYPERLINK("https://www.vietnamworks.com/ke-toan-tong-hop-2020328-jv","Xem chi tiết")</f>
        <v/>
      </c>
      <c r="O8766" s="10" t="n"/>
    </row>
    <row r="8767">
      <c r="B8767" s="7" t="n">
        <v>8765</v>
      </c>
      <c r="C8767" t="inlineStr">
        <is>
          <t>Video Editor Social-First Content</t>
        </is>
      </c>
      <c r="D8767" t="inlineStr">
        <is>
          <t>Pixel</t>
        </is>
      </c>
      <c r="E8767" t="inlineStr">
        <is>
          <t>25tr-35tr ₫/tháng</t>
        </is>
      </c>
      <c r="F8767" t="inlineStr">
        <is>
          <t>Hồ Chí Minh</t>
        </is>
      </c>
      <c r="G8767" t="inlineStr">
        <is>
          <t>Nhân viên</t>
        </is>
      </c>
      <c r="H8767" t="inlineStr">
        <is>
          <t>09/03/2026</t>
        </is>
      </c>
      <c r="I8767" t="inlineStr">
        <is>
          <t>08/04/2026</t>
        </is>
      </c>
      <c r="J8767" t="inlineStr">
        <is>
          <t>17/03/2026</t>
        </is>
      </c>
      <c r="K8767" t="inlineStr">
        <is>
          <t>N/A</t>
        </is>
      </c>
      <c r="L8767" t="inlineStr">
        <is>
          <t>Adobe Premiere Pro, After Effects, English Communication, Social Media, Video Editing</t>
        </is>
      </c>
      <c r="M8767" t="inlineStr">
        <is>
          <t>Training</t>
        </is>
      </c>
      <c r="N8767" s="8">
        <f>HYPERLINK("https://www.vietnamworks.com/video-editor-social-first-content-2020346-jv","Xem chi tiết")</f>
        <v/>
      </c>
    </row>
    <row r="8768">
      <c r="B8768" s="9" t="n">
        <v>8766</v>
      </c>
      <c r="C8768" s="10" t="inlineStr">
        <is>
          <t>Tuyển Dụng Trình Dược Viên Cấp Cao</t>
        </is>
      </c>
      <c r="D8768" s="10" t="inlineStr">
        <is>
          <t>Gedeon Richter Plc</t>
        </is>
      </c>
      <c r="E8768" s="10" t="inlineStr">
        <is>
          <t>Thương lượng</t>
        </is>
      </c>
      <c r="F8768" s="10" t="inlineStr">
        <is>
          <t>Hồ Chí Minh</t>
        </is>
      </c>
      <c r="G8768" s="10" t="inlineStr">
        <is>
          <t>Nhân viên</t>
        </is>
      </c>
      <c r="H8768" s="10" t="inlineStr">
        <is>
          <t>09/03/2026</t>
        </is>
      </c>
      <c r="I8768" s="10" t="inlineStr">
        <is>
          <t>08/04/2026</t>
        </is>
      </c>
      <c r="J8768" s="10" t="inlineStr">
        <is>
          <t>17/03/2026</t>
        </is>
      </c>
      <c r="K8768" s="10" t="inlineStr">
        <is>
          <t>N/A</t>
        </is>
      </c>
      <c r="L8768" s="10" t="inlineStr">
        <is>
          <t>Pharmacy, Dược, Medical Affairs, Medical Representative, Pharmacist</t>
        </is>
      </c>
      <c r="M8768" s="10" t="inlineStr">
        <is>
          <t>Others</t>
        </is>
      </c>
      <c r="N8768" s="11">
        <f>HYPERLINK("https://www.vietnamworks.com/tuyen-dung-trinh-duoc-vien-cap-cao-2020331-jv","Xem chi tiết")</f>
        <v/>
      </c>
      <c r="O8768" s="10" t="n"/>
    </row>
    <row r="8769">
      <c r="B8769" s="7" t="n">
        <v>8767</v>
      </c>
      <c r="C8769" t="inlineStr">
        <is>
          <t>Quản Lý Kho (Warehouse Manager)</t>
        </is>
      </c>
      <c r="D8769" t="inlineStr">
        <is>
          <t>Công Ty Cổ Phần Chuỗi Thực Phẩm TH</t>
        </is>
      </c>
      <c r="E8769" t="inlineStr">
        <is>
          <t>Thương lượng</t>
        </is>
      </c>
      <c r="F8769" t="inlineStr">
        <is>
          <t>Nghệ An, Hà Nội</t>
        </is>
      </c>
      <c r="G8769" t="inlineStr">
        <is>
          <t>Trưởng phòng</t>
        </is>
      </c>
      <c r="H8769" t="inlineStr">
        <is>
          <t>09/03/2026</t>
        </is>
      </c>
      <c r="I8769" t="inlineStr">
        <is>
          <t>08/04/2026</t>
        </is>
      </c>
      <c r="J8769" t="inlineStr">
        <is>
          <t>17/03/2026</t>
        </is>
      </c>
      <c r="K8769" t="inlineStr">
        <is>
          <t>N/A</t>
        </is>
      </c>
      <c r="L8769" t="inlineStr">
        <is>
          <t>Giải Quyết Vấn Đề, Lập Kế Hoạch, Quản Lý Kho, Quản Lý Nhân Sự, Tư Duy Cải Tiến</t>
        </is>
      </c>
      <c r="M8769" t="inlineStr">
        <is>
          <t>Bonus, Healthcare Plan, Others</t>
        </is>
      </c>
      <c r="N8769" s="8">
        <f>HYPERLINK("https://www.vietnamworks.com/quan-ly-kho-warehouse-manager-2020334-jv","Xem chi tiết")</f>
        <v/>
      </c>
    </row>
    <row r="8770">
      <c r="B8770" s="9" t="n">
        <v>8768</v>
      </c>
      <c r="C8770" s="10" t="inlineStr">
        <is>
          <t>Quality Management System Engineer (QMS)</t>
        </is>
      </c>
      <c r="D8770" s="10" t="inlineStr">
        <is>
          <t>Công Ty TNHH VEXOS Việt Nam</t>
        </is>
      </c>
      <c r="E8770" s="10" t="inlineStr">
        <is>
          <t>Thương lượng</t>
        </is>
      </c>
      <c r="F8770" s="10" t="inlineStr">
        <is>
          <t>Hồ Chí Minh</t>
        </is>
      </c>
      <c r="G8770" s="10" t="inlineStr">
        <is>
          <t>Nhân viên</t>
        </is>
      </c>
      <c r="H8770" s="10" t="inlineStr">
        <is>
          <t>09/03/2026</t>
        </is>
      </c>
      <c r="I8770" s="10" t="inlineStr">
        <is>
          <t>08/04/2026</t>
        </is>
      </c>
      <c r="J8770" s="10" t="inlineStr">
        <is>
          <t>17/03/2026</t>
        </is>
      </c>
      <c r="K8770" s="10" t="inlineStr">
        <is>
          <t>N/A</t>
        </is>
      </c>
      <c r="L8770" s="10" t="inlineStr">
        <is>
          <t>QA, Kiểm Soát Chất Lượng, QMS, Quality Management System</t>
        </is>
      </c>
      <c r="M8770" s="10" t="inlineStr">
        <is>
          <t>Bonus, Laptop, Travel Opportunities</t>
        </is>
      </c>
      <c r="N8770" s="11">
        <f>HYPERLINK("https://www.vietnamworks.com/quality-management-system-engineer-qms-2020344-jv","Xem chi tiết")</f>
        <v/>
      </c>
      <c r="O8770" s="10" t="n"/>
    </row>
    <row r="8771">
      <c r="B8771" s="7" t="n">
        <v>8769</v>
      </c>
      <c r="C8771" t="inlineStr">
        <is>
          <t>Nhân viên mua hàng</t>
        </is>
      </c>
      <c r="D8771" t="inlineStr">
        <is>
          <t>HYUNDAI Kefico</t>
        </is>
      </c>
      <c r="E8771" t="inlineStr">
        <is>
          <t>Thương lượng</t>
        </is>
      </c>
      <c r="F8771" t="inlineStr">
        <is>
          <t>Hải Dương</t>
        </is>
      </c>
      <c r="G8771" t="inlineStr">
        <is>
          <t>Nhân viên</t>
        </is>
      </c>
      <c r="H8771" t="inlineStr">
        <is>
          <t>09/03/2026</t>
        </is>
      </c>
      <c r="I8771" t="inlineStr">
        <is>
          <t>08/04/2026</t>
        </is>
      </c>
      <c r="J8771" t="inlineStr">
        <is>
          <t>17/03/2026</t>
        </is>
      </c>
      <c r="K8771" t="inlineStr">
        <is>
          <t>N/A</t>
        </is>
      </c>
      <c r="L8771" t="inlineStr">
        <is>
          <t>communication, English, Purchasing</t>
        </is>
      </c>
      <c r="M8771" t="inlineStr">
        <is>
          <t>Bonus</t>
        </is>
      </c>
      <c r="N8771" s="8">
        <f>HYPERLINK("https://www.vietnamworks.com/nhan-vien-mua-hang-2020332-jv","Xem chi tiết")</f>
        <v/>
      </c>
    </row>
    <row r="8772">
      <c r="B8772" s="9" t="n">
        <v>8770</v>
      </c>
      <c r="C8772" s="10" t="inlineStr">
        <is>
          <t>Nhân Viên Chất Lượng (QAC)</t>
        </is>
      </c>
      <c r="D8772" s="10" t="inlineStr">
        <is>
          <t>Công Ty TNHH Công Nghiệp KYB Việt Nam</t>
        </is>
      </c>
      <c r="E8772" s="10" t="inlineStr">
        <is>
          <t>Thương lượng</t>
        </is>
      </c>
      <c r="F8772" s="10" t="inlineStr">
        <is>
          <t>Hà Nội</t>
        </is>
      </c>
      <c r="G8772" s="10" t="inlineStr">
        <is>
          <t>Nhân viên</t>
        </is>
      </c>
      <c r="H8772" s="10" t="inlineStr">
        <is>
          <t>09/03/2026</t>
        </is>
      </c>
      <c r="I8772" s="10" t="inlineStr">
        <is>
          <t>08/04/2026</t>
        </is>
      </c>
      <c r="J8772" s="10" t="inlineStr">
        <is>
          <t>17/03/2026</t>
        </is>
      </c>
      <c r="K8772" s="10" t="inlineStr">
        <is>
          <t>N/A</t>
        </is>
      </c>
      <c r="L8772" s="10" t="inlineStr">
        <is>
          <t>Quản lý chất lượng, ISO 9001, Cơ Khí, Kỹ Thuật, Kỹ Thuật Linh Kiện</t>
        </is>
      </c>
      <c r="M8772" s="10" t="inlineStr">
        <is>
          <t>Bonus, Healthcare Plan, Others</t>
        </is>
      </c>
      <c r="N8772" s="11">
        <f>HYPERLINK("https://www.vietnamworks.com/nhan-vien-chat-luong-qac-2020339-jv","Xem chi tiết")</f>
        <v/>
      </c>
      <c r="O8772" s="10" t="n"/>
    </row>
    <row r="8773">
      <c r="B8773" s="7" t="n">
        <v>8771</v>
      </c>
      <c r="C8773" t="inlineStr">
        <is>
          <t>Temporary Admin Executive (6-Month Contract)</t>
        </is>
      </c>
      <c r="D8773" t="inlineStr">
        <is>
          <t>Mascot International Company Limited, Hanoi Rep., Office</t>
        </is>
      </c>
      <c r="E8773" t="inlineStr">
        <is>
          <t>Thương lượng</t>
        </is>
      </c>
      <c r="F8773" t="inlineStr">
        <is>
          <t>Hà Nội</t>
        </is>
      </c>
      <c r="G8773" t="inlineStr">
        <is>
          <t>Nhân viên</t>
        </is>
      </c>
      <c r="H8773" t="inlineStr">
        <is>
          <t>09/03/2026</t>
        </is>
      </c>
      <c r="I8773" t="inlineStr">
        <is>
          <t>08/04/2026</t>
        </is>
      </c>
      <c r="J8773" t="inlineStr">
        <is>
          <t>17/03/2026</t>
        </is>
      </c>
      <c r="K8773" t="inlineStr">
        <is>
          <t>N/A</t>
        </is>
      </c>
      <c r="L8773" t="inlineStr">
        <is>
          <t>Administration Management, Human Resources, Office Software, English Fluency, Coordinating</t>
        </is>
      </c>
      <c r="M8773" t="inlineStr">
        <is>
          <t>Bonus, Healthcare Plan, Team Activities</t>
        </is>
      </c>
      <c r="N8773" s="8">
        <f>HYPERLINK("https://www.vietnamworks.com/temporary-admin-executive-6-month-contract-2020340-jv","Xem chi tiết")</f>
        <v/>
      </c>
    </row>
    <row r="8774">
      <c r="B8774" s="9" t="n">
        <v>8772</v>
      </c>
      <c r="C8774" s="10" t="inlineStr">
        <is>
          <t>Senior Technical Sales (Food Ingredients - Sweet)</t>
        </is>
      </c>
      <c r="D8774" s="10" t="inlineStr">
        <is>
          <t>DKSH Vietnam Co., Ltd.</t>
        </is>
      </c>
      <c r="E8774" s="10" t="inlineStr">
        <is>
          <t>Thương lượng</t>
        </is>
      </c>
      <c r="F8774" s="10" t="inlineStr">
        <is>
          <t>Hồ Chí Minh</t>
        </is>
      </c>
      <c r="G8774" s="10" t="inlineStr">
        <is>
          <t>Nhân viên</t>
        </is>
      </c>
      <c r="H8774" s="10" t="inlineStr">
        <is>
          <t>09/03/2026</t>
        </is>
      </c>
      <c r="I8774" s="10" t="inlineStr">
        <is>
          <t>08/04/2026</t>
        </is>
      </c>
      <c r="J8774" s="10" t="inlineStr">
        <is>
          <t>17/03/2026</t>
        </is>
      </c>
      <c r="K8774" s="10" t="inlineStr">
        <is>
          <t>N/A</t>
        </is>
      </c>
      <c r="L8774" s="10" t="inlineStr">
        <is>
          <t>B2B Sales, Communication Skills, Food Ingredients, Negotiation Skills, Technical Sales</t>
        </is>
      </c>
      <c r="M8774" s="10" t="inlineStr">
        <is>
          <t>Bonus</t>
        </is>
      </c>
      <c r="N8774" s="11">
        <f>HYPERLINK("https://www.vietnamworks.com/senior-technical-sales-food-ingredients-sweet-2020338-jv","Xem chi tiết")</f>
        <v/>
      </c>
      <c r="O8774" s="10" t="n"/>
    </row>
    <row r="8775">
      <c r="B8775" s="7" t="n">
        <v>8773</v>
      </c>
      <c r="C8775" t="inlineStr">
        <is>
          <t>Trưởng Phòng Nhân Sự 人力资源主管</t>
        </is>
      </c>
      <c r="D8775" t="inlineStr">
        <is>
          <t>Công ty TNHH Quang học SanShan Việt Nam</t>
        </is>
      </c>
      <c r="E8775" t="inlineStr">
        <is>
          <t>Thương lượng</t>
        </is>
      </c>
      <c r="F8775" t="inlineStr">
        <is>
          <t>Thái Nguyên</t>
        </is>
      </c>
      <c r="G8775" t="inlineStr">
        <is>
          <t>Trưởng phòng</t>
        </is>
      </c>
      <c r="H8775" t="inlineStr">
        <is>
          <t>09/03/2026</t>
        </is>
      </c>
      <c r="I8775" t="inlineStr">
        <is>
          <t>08/04/2026</t>
        </is>
      </c>
      <c r="J8775" t="inlineStr">
        <is>
          <t>17/03/2026</t>
        </is>
      </c>
      <c r="K8775" t="inlineStr">
        <is>
          <t>N/A</t>
        </is>
      </c>
      <c r="L8775" t="inlineStr">
        <is>
          <t>Đào Tạo Nội Bộ, Xây Dựng Nhân Sự, Tiếng Trung Giao Tiếp, C&amp;B, Tuyển Dụng</t>
        </is>
      </c>
      <c r="M8775" t="inlineStr">
        <is>
          <t>Bonus, Healthcare Plan, Others</t>
        </is>
      </c>
      <c r="N8775" s="8">
        <f>HYPERLINK("https://www.vietnamworks.com/truong-phong-nhan-su-pian-fa-2020341-jv","Xem chi tiết")</f>
        <v/>
      </c>
    </row>
    <row r="8776">
      <c r="B8776" s="9" t="n">
        <v>8774</v>
      </c>
      <c r="C8776" s="10" t="inlineStr">
        <is>
          <t>Chuyên Viên Phát Triển Thương Hiệu (Brand Executive) Ngành Hàng Mẹ &amp; Bé (Lương Up To 25 Triệu)</t>
        </is>
      </c>
      <c r="D8776" s="10" t="inlineStr">
        <is>
          <t>Công Ty TNHH Thương Mại Vạn An</t>
        </is>
      </c>
      <c r="E8776" s="10" t="inlineStr">
        <is>
          <t>Tới 25tr ₫/tháng</t>
        </is>
      </c>
      <c r="F8776" s="10" t="inlineStr">
        <is>
          <t>Hà Nội</t>
        </is>
      </c>
      <c r="G8776" s="10" t="inlineStr">
        <is>
          <t>Nhân viên</t>
        </is>
      </c>
      <c r="H8776" s="10" t="inlineStr">
        <is>
          <t>09/03/2026</t>
        </is>
      </c>
      <c r="I8776" s="10" t="inlineStr">
        <is>
          <t>08/04/2026</t>
        </is>
      </c>
      <c r="J8776" s="10" t="inlineStr">
        <is>
          <t>17/03/2026</t>
        </is>
      </c>
      <c r="K8776" s="10" t="inlineStr">
        <is>
          <t>N/A</t>
        </is>
      </c>
      <c r="L8776" s="10" t="inlineStr">
        <is>
          <t>FMCG, Market Research, Phát Triển Thương Hiệu, Branding, Truyền Thông</t>
        </is>
      </c>
      <c r="M8776" s="10" t="inlineStr">
        <is>
          <t>Bonus, Healthcare Plan, Others</t>
        </is>
      </c>
      <c r="N8776" s="11">
        <f>HYPERLINK("https://www.vietnamworks.com/chuyen-vien-phat-trien-thuong-hieu-brand-executive-nganh-hang-me-be-luong-up-to-25-trieu-2020330-jv","Xem chi tiết")</f>
        <v/>
      </c>
      <c r="O8776" s="10" t="n"/>
    </row>
    <row r="8777">
      <c r="B8777" s="7" t="n">
        <v>8775</v>
      </c>
      <c r="C8777" t="inlineStr">
        <is>
          <t>Kế Toán Tổng Hợp</t>
        </is>
      </c>
      <c r="D8777" t="inlineStr">
        <is>
          <t>Công Ty TNHH Khí Công Nghiệp Messer Việt Nam</t>
        </is>
      </c>
      <c r="E8777" t="inlineStr">
        <is>
          <t>12tr-14tr ₫/tháng</t>
        </is>
      </c>
      <c r="F8777" t="inlineStr">
        <is>
          <t>Hải Phòng</t>
        </is>
      </c>
      <c r="G8777" t="inlineStr">
        <is>
          <t>Nhân viên</t>
        </is>
      </c>
      <c r="H8777" t="inlineStr">
        <is>
          <t>09/03/2026</t>
        </is>
      </c>
      <c r="I8777" t="inlineStr">
        <is>
          <t>08/04/2026</t>
        </is>
      </c>
      <c r="J8777" t="inlineStr">
        <is>
          <t>17/03/2026</t>
        </is>
      </c>
      <c r="K8777" t="inlineStr">
        <is>
          <t>N/A</t>
        </is>
      </c>
      <c r="L8777" t="inlineStr">
        <is>
          <t>Hạch Toán, Kế Toán, ERP, Kế Toán Tổng Hợp</t>
        </is>
      </c>
      <c r="M8777" t="inlineStr">
        <is>
          <t>Bonus, Healthcare Plan, Team Activities</t>
        </is>
      </c>
      <c r="N8777" s="8">
        <f>HYPERLINK("https://www.vietnamworks.com/ke-toan-tong-hop-2020336-jv","Xem chi tiết")</f>
        <v/>
      </c>
    </row>
    <row r="8778">
      <c r="B8778" s="9" t="n">
        <v>8776</v>
      </c>
      <c r="C8778" s="10" t="inlineStr">
        <is>
          <t>Trưởng Nhóm Chất Lượng Đầu Vào/nhà Cung Cấp ( Iqc/sqe Supervisor)</t>
        </is>
      </c>
      <c r="D8778" s="10" t="inlineStr">
        <is>
          <t>Mektec Manufacturing Corporation (Vietnam) Ltd.</t>
        </is>
      </c>
      <c r="E8778" s="10" t="inlineStr">
        <is>
          <t>$$ 640-850 /tháng</t>
        </is>
      </c>
      <c r="F8778" s="10" t="inlineStr">
        <is>
          <t>Hưng Yên, Hà Nội, Hải Dương</t>
        </is>
      </c>
      <c r="G8778" s="10" t="inlineStr">
        <is>
          <t>Nhân viên</t>
        </is>
      </c>
      <c r="H8778" s="10" t="inlineStr">
        <is>
          <t>09/03/2026</t>
        </is>
      </c>
      <c r="I8778" s="10" t="inlineStr">
        <is>
          <t>08/04/2026</t>
        </is>
      </c>
      <c r="J8778" s="10" t="inlineStr">
        <is>
          <t>17/03/2026</t>
        </is>
      </c>
      <c r="K8778" s="10" t="inlineStr">
        <is>
          <t>N/A</t>
        </is>
      </c>
      <c r="L8778" s="10" t="inlineStr">
        <is>
          <t>SQE, IQC, English Communicate, Qc</t>
        </is>
      </c>
      <c r="M8778" s="10" t="inlineStr">
        <is>
          <t>Bonus</t>
        </is>
      </c>
      <c r="N8778" s="11">
        <f>HYPERLINK("https://www.vietnamworks.com/truong-nhom-chat-luong-dau-vao-nha-cung-cap-iqc-sqe-supervisor-2020357-jv","Xem chi tiết")</f>
        <v/>
      </c>
      <c r="O8778" s="10" t="n"/>
    </row>
    <row r="8779">
      <c r="B8779" s="7" t="n">
        <v>8777</v>
      </c>
      <c r="C8779" t="inlineStr">
        <is>
          <t>Learning and Development Senior Specialist for Customer Service</t>
        </is>
      </c>
      <c r="D8779" t="inlineStr">
        <is>
          <t>Home Credit Vietnam - Explore Your Dream Team</t>
        </is>
      </c>
      <c r="E8779" t="inlineStr">
        <is>
          <t>Thương lượng</t>
        </is>
      </c>
      <c r="F8779" t="inlineStr">
        <is>
          <t>Hồ Chí Minh</t>
        </is>
      </c>
      <c r="G8779" t="inlineStr">
        <is>
          <t>Nhân viên</t>
        </is>
      </c>
      <c r="H8779" t="inlineStr">
        <is>
          <t>09/03/2026</t>
        </is>
      </c>
      <c r="I8779" t="inlineStr">
        <is>
          <t>08/04/2026</t>
        </is>
      </c>
      <c r="J8779" t="inlineStr">
        <is>
          <t>17/03/2026</t>
        </is>
      </c>
      <c r="K8779" t="inlineStr">
        <is>
          <t>N/A</t>
        </is>
      </c>
      <c r="L8779" t="inlineStr">
        <is>
          <t>Training, Learning And Development, E-Learning, presentation, Customer Service</t>
        </is>
      </c>
      <c r="M8779" t="inlineStr">
        <is>
          <t>Bonus, Healthcare Plan, Paid Leave</t>
        </is>
      </c>
      <c r="N8779" s="8">
        <f>HYPERLINK("https://www.vietnamworks.com/learning-and-development-senior-specialist-for-customer-service--2020356-jv","Xem chi tiết")</f>
        <v/>
      </c>
    </row>
    <row r="8780">
      <c r="B8780" s="9" t="n">
        <v>8778</v>
      </c>
      <c r="C8780" s="10" t="inlineStr">
        <is>
          <t>Marketing Executive</t>
        </is>
      </c>
      <c r="D8780" s="10" t="inlineStr">
        <is>
          <t>Công ty cổ phần truyền thông Nexus</t>
        </is>
      </c>
      <c r="E8780" s="10" t="inlineStr">
        <is>
          <t>$$ 400-500 /tháng</t>
        </is>
      </c>
      <c r="F8780" s="10" t="inlineStr">
        <is>
          <t>Hồ Chí Minh</t>
        </is>
      </c>
      <c r="G8780" s="10" t="inlineStr">
        <is>
          <t>Nhân viên</t>
        </is>
      </c>
      <c r="H8780" s="10" t="inlineStr">
        <is>
          <t>09/03/2026</t>
        </is>
      </c>
      <c r="I8780" s="10" t="inlineStr">
        <is>
          <t>08/04/2026</t>
        </is>
      </c>
      <c r="J8780" s="10" t="inlineStr">
        <is>
          <t>17/03/2026</t>
        </is>
      </c>
      <c r="K8780" s="10" t="inlineStr">
        <is>
          <t>N/A</t>
        </is>
      </c>
      <c r="L8780" s="10" t="inlineStr">
        <is>
          <t>Truyền Thông, Quảng Cáo, Digital Marketing, Online Marketing, Offline Marketing</t>
        </is>
      </c>
      <c r="M8780" s="10" t="inlineStr">
        <is>
          <t>Bonus, Awards, Others</t>
        </is>
      </c>
      <c r="N8780" s="11">
        <f>HYPERLINK("https://www.vietnamworks.com/marketing-executive--2020343-jv","Xem chi tiết")</f>
        <v/>
      </c>
      <c r="O8780" s="10" t="n"/>
    </row>
    <row r="8781">
      <c r="B8781" s="7" t="n">
        <v>8779</v>
      </c>
      <c r="C8781" t="inlineStr">
        <is>
          <t>Manufacturing Project Management Officer (Working in Ha Tinh)</t>
        </is>
      </c>
      <c r="D8781" t="inlineStr">
        <is>
          <t>VINFAST TRADING AND PRODUCTION JSC</t>
        </is>
      </c>
      <c r="E8781" t="inlineStr">
        <is>
          <t>Thương lượng</t>
        </is>
      </c>
      <c r="F8781" t="inlineStr">
        <is>
          <t>Hà Tĩnh</t>
        </is>
      </c>
      <c r="G8781" t="inlineStr">
        <is>
          <t>Nhân viên</t>
        </is>
      </c>
      <c r="H8781" t="inlineStr">
        <is>
          <t>09/03/2026</t>
        </is>
      </c>
      <c r="I8781" t="inlineStr">
        <is>
          <t>08/04/2026</t>
        </is>
      </c>
      <c r="J8781" t="inlineStr">
        <is>
          <t>17/03/2026</t>
        </is>
      </c>
      <c r="K8781" t="inlineStr">
        <is>
          <t>N/A</t>
        </is>
      </c>
      <c r="L8781" t="inlineStr">
        <is>
          <t>Analytical Skills, Automotive Design, Jira, MS Project, Project Management</t>
        </is>
      </c>
      <c r="M8781" t="inlineStr">
        <is>
          <t>Healthcare Plan, Transportation, Canteen</t>
        </is>
      </c>
      <c r="N8781" s="8">
        <f>HYPERLINK("https://www.vietnamworks.com/manufacturing-project-management-officer-working-in-ha-tinh-2020337-jv","Xem chi tiết")</f>
        <v/>
      </c>
    </row>
    <row r="8782">
      <c r="B8782" s="9" t="n">
        <v>8780</v>
      </c>
      <c r="C8782" s="10" t="inlineStr">
        <is>
          <t>Phó Phòng/lead Content Marketing</t>
        </is>
      </c>
      <c r="D8782" s="10" t="inlineStr">
        <is>
          <t>Công ty cổ phần dưỡng sinh y dược Sao Phương Đông</t>
        </is>
      </c>
      <c r="E8782" s="10" t="inlineStr">
        <is>
          <t>20tr-30tr ₫/tháng</t>
        </is>
      </c>
      <c r="F8782" s="10" t="inlineStr">
        <is>
          <t>Hà Nội</t>
        </is>
      </c>
      <c r="G8782" s="10" t="inlineStr">
        <is>
          <t>Nhân viên</t>
        </is>
      </c>
      <c r="H8782" s="10" t="inlineStr">
        <is>
          <t>09/03/2026</t>
        </is>
      </c>
      <c r="I8782" s="10" t="inlineStr">
        <is>
          <t>08/04/2026</t>
        </is>
      </c>
      <c r="J8782" s="10" t="inlineStr">
        <is>
          <t>17/03/2026</t>
        </is>
      </c>
      <c r="K8782" s="10" t="inlineStr">
        <is>
          <t>N/A</t>
        </is>
      </c>
      <c r="L8782" s="10" t="inlineStr">
        <is>
          <t>Branding, Content Marketing, Digital Marketing, Media, Media Planning</t>
        </is>
      </c>
      <c r="M8782" s="10" t="inlineStr">
        <is>
          <t>Bonus, Healthcare Plan, Awards, Others</t>
        </is>
      </c>
      <c r="N8782" s="11">
        <f>HYPERLINK("https://www.vietnamworks.com/pho-phong-lead-content-marketing-2020335-jv","Xem chi tiết")</f>
        <v/>
      </c>
      <c r="O8782" s="10" t="n"/>
    </row>
    <row r="8783">
      <c r="B8783" s="7" t="n">
        <v>8781</v>
      </c>
      <c r="C8783" t="inlineStr">
        <is>
          <t>[HN/HCM] Chuyên Viên Quan Hệ Khách Hàng Ưu Tiên (Lương 15Tr - 33Tr + Incentive)</t>
        </is>
      </c>
      <c r="D8783" t="inlineStr">
        <is>
          <t>CÔNG TY CỔ PHẦN TẬP ĐOÀN ĐẦU TƯ EMIR</t>
        </is>
      </c>
      <c r="E8783" t="inlineStr">
        <is>
          <t>$$ 600-1,500 /tháng</t>
        </is>
      </c>
      <c r="F8783" t="inlineStr">
        <is>
          <t>Hồ Chí Minh, Hà Nội</t>
        </is>
      </c>
      <c r="G8783" t="inlineStr">
        <is>
          <t>Nhân viên</t>
        </is>
      </c>
      <c r="H8783" t="inlineStr">
        <is>
          <t>09/03/2026</t>
        </is>
      </c>
      <c r="I8783" t="inlineStr">
        <is>
          <t>08/04/2026</t>
        </is>
      </c>
      <c r="J8783" t="inlineStr">
        <is>
          <t>17/03/2026</t>
        </is>
      </c>
      <c r="K8783" t="inlineStr">
        <is>
          <t>N/A</t>
        </is>
      </c>
      <c r="L8783" t="inlineStr">
        <is>
          <t>Chốt Sale, Bán hàng &amp; Chăm sóc khách hàng, Tài Chính Ngân Hàng, Quản Lý Khách Hàng Ưu Tiên</t>
        </is>
      </c>
      <c r="M8783" t="inlineStr">
        <is>
          <t>Bonus, Training, Travel Opportunities</t>
        </is>
      </c>
      <c r="N8783" s="8">
        <f>HYPERLINK("https://www.vietnamworks.com/hn-hcm-chuyen-vien-quan-he-khach-hang-uu-tien-luong-15tr-33tr-incentive--2020321-jv","Xem chi tiết")</f>
        <v/>
      </c>
    </row>
    <row r="8784">
      <c r="B8784" s="9" t="n">
        <v>8782</v>
      </c>
      <c r="C8784" s="10" t="inlineStr">
        <is>
          <t>Nhân Viên Kế Hoạch Sản Xuất</t>
        </is>
      </c>
      <c r="D8784" s="10" t="inlineStr">
        <is>
          <t>Công Ty TNHH M&amp;C Electronics Vina</t>
        </is>
      </c>
      <c r="E8784" s="10" t="inlineStr">
        <is>
          <t>Thương lượng</t>
        </is>
      </c>
      <c r="F8784" s="10" t="inlineStr">
        <is>
          <t>Bắc Ninh</t>
        </is>
      </c>
      <c r="G8784" s="10" t="inlineStr">
        <is>
          <t>Nhân viên</t>
        </is>
      </c>
      <c r="H8784" s="10" t="inlineStr">
        <is>
          <t>09/03/2026</t>
        </is>
      </c>
      <c r="I8784" s="10" t="inlineStr">
        <is>
          <t>08/04/2026</t>
        </is>
      </c>
      <c r="J8784" s="10" t="inlineStr">
        <is>
          <t>17/03/2026</t>
        </is>
      </c>
      <c r="K8784" s="10" t="inlineStr">
        <is>
          <t>N/A</t>
        </is>
      </c>
      <c r="L8784" s="10" t="inlineStr">
        <is>
          <t>Kế Hoạch Sản Xuất, Sản xuất, Production plan, ERP, Tin Học Văn Phòng</t>
        </is>
      </c>
      <c r="M8784" s="10" t="inlineStr">
        <is>
          <t>Bonus, Healthcare Plan, Transportation</t>
        </is>
      </c>
      <c r="N8784" s="11">
        <f>HYPERLINK("https://www.vietnamworks.com/nhan-vien-ke-hoach-san-xuat--2020329-jv","Xem chi tiết")</f>
        <v/>
      </c>
      <c r="O8784" s="10" t="n"/>
    </row>
    <row r="8785">
      <c r="B8785" s="7" t="n">
        <v>8783</v>
      </c>
      <c r="C8785" t="inlineStr">
        <is>
          <t>Hyosung &amp; HS Hyosung Gongchae Program 2026 (Freshers Or Below 2 Years of Experiences)</t>
        </is>
      </c>
      <c r="D8785" t="inlineStr">
        <is>
          <t>Hyosung Vietnam Corp</t>
        </is>
      </c>
      <c r="E8785" t="inlineStr">
        <is>
          <t>$$ 450-550 /tháng</t>
        </is>
      </c>
      <c r="F8785" t="inlineStr">
        <is>
          <t>Đồng Nai, Hồ Chí Minh</t>
        </is>
      </c>
      <c r="G8785" t="inlineStr">
        <is>
          <t>Mới Tốt Nghiệp</t>
        </is>
      </c>
      <c r="H8785" t="inlineStr">
        <is>
          <t>09/03/2026</t>
        </is>
      </c>
      <c r="I8785" t="inlineStr">
        <is>
          <t>08/04/2026</t>
        </is>
      </c>
      <c r="J8785" t="inlineStr">
        <is>
          <t>17/03/2026</t>
        </is>
      </c>
      <c r="K8785" t="inlineStr">
        <is>
          <t>N/A</t>
        </is>
      </c>
      <c r="L8785" t="inlineStr">
        <is>
          <t>Purchasing Logistics, Production, R&amp;D, Export Sales, Technical Service</t>
        </is>
      </c>
      <c r="M8785" t="inlineStr">
        <is>
          <t>Bonus, Healthcare Plan, Transportation</t>
        </is>
      </c>
      <c r="N8785" s="8">
        <f>HYPERLINK("https://www.vietnamworks.com/hyosung-hs-hyosung-gongchae-program-2026-freshers-or-below-2-years-of-experiences-2020352-jv","Xem chi tiết")</f>
        <v/>
      </c>
    </row>
    <row r="8786">
      <c r="B8786" s="9" t="n">
        <v>8784</v>
      </c>
      <c r="C8786" s="10" t="inlineStr">
        <is>
          <t>Nhân Viên Chứng Từ Xuất Nhập Khẩu</t>
        </is>
      </c>
      <c r="D8786" s="10" t="inlineStr">
        <is>
          <t>CÔNG TY TNHH 3P LOGISTICS</t>
        </is>
      </c>
      <c r="E8786" s="10" t="inlineStr">
        <is>
          <t>9tr-15tr ₫/tháng</t>
        </is>
      </c>
      <c r="F8786" s="10" t="inlineStr">
        <is>
          <t>Đà Nẵng, Hồ Chí Minh</t>
        </is>
      </c>
      <c r="G8786" s="10" t="inlineStr">
        <is>
          <t>Nhân viên</t>
        </is>
      </c>
      <c r="H8786" s="10" t="inlineStr">
        <is>
          <t>09/03/2026</t>
        </is>
      </c>
      <c r="I8786" s="10" t="inlineStr">
        <is>
          <t>08/04/2026</t>
        </is>
      </c>
      <c r="J8786" s="10" t="inlineStr">
        <is>
          <t>17/03/2026</t>
        </is>
      </c>
      <c r="K8786" s="10" t="inlineStr">
        <is>
          <t>N/A</t>
        </is>
      </c>
      <c r="L8786" s="10" t="inlineStr">
        <is>
          <t>Incoterms, Quản Lý Hồ Sơ</t>
        </is>
      </c>
      <c r="M8786" s="10" t="inlineStr">
        <is>
          <t>Bonus, Healthcare Plan, Training, Laptop, Team Activities</t>
        </is>
      </c>
      <c r="N8786" s="11">
        <f>HYPERLINK("https://www.vietnamworks.com/nhan-vien-chung-tu-xuat-nhap-khau-2020361-jv","Xem chi tiết")</f>
        <v/>
      </c>
      <c r="O8786" s="10" t="n"/>
    </row>
    <row r="8787">
      <c r="B8787" s="7" t="n">
        <v>8785</v>
      </c>
      <c r="C8787" t="inlineStr">
        <is>
          <t>Tổ Trưởng Kho Nguyên Vật Liệu 原材料仓库组长</t>
        </is>
      </c>
      <c r="D8787" t="inlineStr">
        <is>
          <t>Công ty TNHH Quang học SanShan Việt Nam</t>
        </is>
      </c>
      <c r="E8787" t="inlineStr">
        <is>
          <t>Thương lượng</t>
        </is>
      </c>
      <c r="F8787" t="inlineStr">
        <is>
          <t>Thái Nguyên</t>
        </is>
      </c>
      <c r="G8787" t="inlineStr">
        <is>
          <t>Nhân viên</t>
        </is>
      </c>
      <c r="H8787" t="inlineStr">
        <is>
          <t>09/03/2026</t>
        </is>
      </c>
      <c r="I8787" t="inlineStr">
        <is>
          <t>08/04/2026</t>
        </is>
      </c>
      <c r="J8787" t="inlineStr">
        <is>
          <t>17/03/2026</t>
        </is>
      </c>
      <c r="K8787" t="inlineStr">
        <is>
          <t>N/A</t>
        </is>
      </c>
      <c r="L8787" t="inlineStr">
        <is>
          <t>Warehouse Management, HSK4, Quản Lý Kho, ERP, Theo Dõi Tồn Kho</t>
        </is>
      </c>
      <c r="M8787" t="inlineStr">
        <is>
          <t>Bonus, Healthcare Plan, Others</t>
        </is>
      </c>
      <c r="N8787" s="8">
        <f>HYPERLINK("https://www.vietnamworks.com/to-truong-kho-nguyen-vat-lieu-yuan-bo-2020365-jv","Xem chi tiết")</f>
        <v/>
      </c>
    </row>
    <row r="8788">
      <c r="B8788" s="9" t="n">
        <v>8786</v>
      </c>
      <c r="C8788" s="10" t="inlineStr">
        <is>
          <t>Hành Chính – Thư Ký</t>
        </is>
      </c>
      <c r="D8788" s="10" t="inlineStr">
        <is>
          <t>Công Ty Cổ Phần Xây Dựng A&amp;C</t>
        </is>
      </c>
      <c r="E8788" s="10" t="inlineStr">
        <is>
          <t>Thương lượng</t>
        </is>
      </c>
      <c r="F8788" s="10" t="inlineStr">
        <is>
          <t>Hồ Chí Minh</t>
        </is>
      </c>
      <c r="G8788" s="10" t="inlineStr">
        <is>
          <t>Nhân viên</t>
        </is>
      </c>
      <c r="H8788" s="10" t="inlineStr">
        <is>
          <t>09/03/2026</t>
        </is>
      </c>
      <c r="I8788" s="10" t="inlineStr">
        <is>
          <t>08/04/2026</t>
        </is>
      </c>
      <c r="J8788" s="10" t="inlineStr">
        <is>
          <t>17/03/2026</t>
        </is>
      </c>
      <c r="K8788" s="10" t="inlineStr">
        <is>
          <t>N/A</t>
        </is>
      </c>
      <c r="L8788" s="10" t="inlineStr">
        <is>
          <t>Chấm Công, Lễ Tân, Quản Lý Con Dấu, Quản Lý Hồ Sơ, Theo Dõi Thu Chi Nội Bộ</t>
        </is>
      </c>
      <c r="M8788" s="10" t="inlineStr">
        <is>
          <t>Bonus, Healthcare Plan, Training, Travel Opportunities, Team Activities, Canteen</t>
        </is>
      </c>
      <c r="N8788" s="11">
        <f>HYPERLINK("https://www.vietnamworks.com/hanh-chinh-thu-ky-2020368-jv","Xem chi tiết")</f>
        <v/>
      </c>
      <c r="O8788" s="10" t="n"/>
    </row>
    <row r="8789">
      <c r="B8789" s="7" t="n">
        <v>8787</v>
      </c>
      <c r="C8789" t="inlineStr">
        <is>
          <t>Marketing Manager</t>
        </is>
      </c>
      <c r="D8789" t="inlineStr">
        <is>
          <t>Công ty TNHH Enzo &amp; Leo</t>
        </is>
      </c>
      <c r="E8789" t="inlineStr">
        <is>
          <t>30tr-50tr ₫/tháng</t>
        </is>
      </c>
      <c r="F8789" t="inlineStr">
        <is>
          <t>Hồ Chí Minh</t>
        </is>
      </c>
      <c r="G8789" t="inlineStr">
        <is>
          <t>Trưởng phòng</t>
        </is>
      </c>
      <c r="H8789" t="inlineStr">
        <is>
          <t>09/03/2026</t>
        </is>
      </c>
      <c r="I8789" t="inlineStr">
        <is>
          <t>08/04/2026</t>
        </is>
      </c>
      <c r="J8789" t="inlineStr">
        <is>
          <t>17/03/2026</t>
        </is>
      </c>
      <c r="K8789" t="inlineStr">
        <is>
          <t>N/A</t>
        </is>
      </c>
      <c r="L8789" t="inlineStr">
        <is>
          <t>Digital Marketing, Phân Tích Chiến Lược, Phân Tích Dữ Liệu, Quản Lý Đội Nhóm, Tư Vấn Chiến Lược Marketing</t>
        </is>
      </c>
      <c r="M8789" t="inlineStr">
        <is>
          <t>Bonus, Paid Leave, Training, Laptop, Travel Opportunities, Vouchers</t>
        </is>
      </c>
      <c r="N8789" s="8">
        <f>HYPERLINK("https://www.vietnamworks.com/marketing-manager-2020371-jv","Xem chi tiết")</f>
        <v/>
      </c>
    </row>
    <row r="8790">
      <c r="B8790" s="9" t="n">
        <v>8788</v>
      </c>
      <c r="C8790" s="10" t="inlineStr">
        <is>
          <t>Kiến Trúc Sư Quản Lý Thiết Kế</t>
        </is>
      </c>
      <c r="D8790" s="10" t="inlineStr">
        <is>
          <t>Công Ty CP OSI HOLDINGS</t>
        </is>
      </c>
      <c r="E8790" s="10" t="inlineStr">
        <is>
          <t>$$ 1,000-1,500 /tháng</t>
        </is>
      </c>
      <c r="F8790" s="10" t="inlineStr">
        <is>
          <t>Hà Nội</t>
        </is>
      </c>
      <c r="G8790" s="10" t="inlineStr">
        <is>
          <t>Nhân viên</t>
        </is>
      </c>
      <c r="H8790" s="10" t="inlineStr">
        <is>
          <t>09/03/2026</t>
        </is>
      </c>
      <c r="I8790" s="10" t="inlineStr">
        <is>
          <t>08/04/2026</t>
        </is>
      </c>
      <c r="J8790" s="10" t="inlineStr">
        <is>
          <t>17/03/2026</t>
        </is>
      </c>
      <c r="K8790" s="10" t="inlineStr">
        <is>
          <t>N/A</t>
        </is>
      </c>
      <c r="L8790" s="10" t="inlineStr">
        <is>
          <t>Quản Lý Thiết Kế, Quản Lý Hồ Sơ Thiết Kế, Design Management, Thiết Kế Nội Thất, Thiết Kế Nội Ngoại Thất Công Trình</t>
        </is>
      </c>
      <c r="M8790" s="10" t="inlineStr">
        <is>
          <t>Healthcare Plan, Awards, Canteen</t>
        </is>
      </c>
      <c r="N8790" s="11">
        <f>HYPERLINK("https://www.vietnamworks.com/kien-truc-su-quan-ly-thiet-ke--2020369-jv","Xem chi tiết")</f>
        <v/>
      </c>
      <c r="O8790" s="10" t="n"/>
    </row>
    <row r="8791">
      <c r="B8791" s="7" t="n">
        <v>8789</v>
      </c>
      <c r="C8791" t="inlineStr">
        <is>
          <t>Chuyên Viên Nghiên Cứu Dinh Dưỡng &amp; Lâm Sàng</t>
        </is>
      </c>
      <c r="D8791" t="inlineStr">
        <is>
          <t>Công Ty Cổ Phần Sữa Việt Nam (Vinamilk)</t>
        </is>
      </c>
      <c r="E8791" t="inlineStr">
        <is>
          <t>Thương lượng</t>
        </is>
      </c>
      <c r="F8791" t="inlineStr">
        <is>
          <t>Hồ Chí Minh</t>
        </is>
      </c>
      <c r="G8791" t="inlineStr">
        <is>
          <t>Nhân viên</t>
        </is>
      </c>
      <c r="H8791" t="inlineStr">
        <is>
          <t>09/03/2026</t>
        </is>
      </c>
      <c r="I8791" t="inlineStr">
        <is>
          <t>08/04/2026</t>
        </is>
      </c>
      <c r="J8791" t="inlineStr">
        <is>
          <t>17/03/2026</t>
        </is>
      </c>
      <c r="K8791" t="inlineStr">
        <is>
          <t>N/A</t>
        </is>
      </c>
      <c r="L8791" t="inlineStr">
        <is>
          <t>Y Tế Công Cộng, Tư vấn dinh dưỡng, Y Khoa</t>
        </is>
      </c>
      <c r="M8791" t="inlineStr">
        <is>
          <t>Bonus, Healthcare Plan, Training</t>
        </is>
      </c>
      <c r="N8791" s="8">
        <f>HYPERLINK("https://www.vietnamworks.com/chuyen-vien-nghien-cuu-dinh-duong-lam-sang--2020362-jv","Xem chi tiết")</f>
        <v/>
      </c>
    </row>
    <row r="8792">
      <c r="B8792" s="9" t="n">
        <v>8790</v>
      </c>
      <c r="C8792" s="10" t="inlineStr">
        <is>
          <t>Chuyên Viên Tuyển Dụng Công Nhân (Mass Recruitment)</t>
        </is>
      </c>
      <c r="D8792" s="10" t="inlineStr">
        <is>
          <t>Star Fashion Company LTD.</t>
        </is>
      </c>
      <c r="E8792" s="10" t="inlineStr">
        <is>
          <t>Thương lượng</t>
        </is>
      </c>
      <c r="F8792" s="10" t="inlineStr">
        <is>
          <t>Hà Nội, Hưng Yên</t>
        </is>
      </c>
      <c r="G8792" s="10" t="inlineStr">
        <is>
          <t>Nhân viên</t>
        </is>
      </c>
      <c r="H8792" s="10" t="inlineStr">
        <is>
          <t>09/03/2026</t>
        </is>
      </c>
      <c r="I8792" s="10" t="inlineStr">
        <is>
          <t>08/04/2026</t>
        </is>
      </c>
      <c r="J8792" s="10" t="inlineStr">
        <is>
          <t>17/03/2026</t>
        </is>
      </c>
      <c r="K8792" s="10" t="inlineStr">
        <is>
          <t>N/A</t>
        </is>
      </c>
      <c r="L8792" s="10" t="inlineStr">
        <is>
          <t>Mass Recruitment, Recruitment, Recruitment Planning, Recruitment Advertising, Recruitment Metrics</t>
        </is>
      </c>
      <c r="M8792" s="10" t="inlineStr">
        <is>
          <t>Bonus, Paid Leave, Transportation</t>
        </is>
      </c>
      <c r="N8792" s="11">
        <f>HYPERLINK("https://www.vietnamworks.com/chuyen-vien-tuyen-dung-cong-nhan-mass-recruitment-2020373-jv","Xem chi tiết")</f>
        <v/>
      </c>
      <c r="O8792" s="10" t="n"/>
    </row>
    <row r="8793">
      <c r="B8793" s="7" t="n">
        <v>8791</v>
      </c>
      <c r="C8793" t="inlineStr">
        <is>
          <t>Chuyên Viên Đào Tạo Truyền Thông Dinh Dưỡng</t>
        </is>
      </c>
      <c r="D8793" t="inlineStr">
        <is>
          <t>Công Ty Cổ Phần Sữa Việt Nam (Vinamilk)</t>
        </is>
      </c>
      <c r="E8793" t="inlineStr">
        <is>
          <t>Thương lượng</t>
        </is>
      </c>
      <c r="F8793" t="inlineStr">
        <is>
          <t>Hồ Chí Minh</t>
        </is>
      </c>
      <c r="G8793" t="inlineStr">
        <is>
          <t>Nhân viên</t>
        </is>
      </c>
      <c r="H8793" t="inlineStr">
        <is>
          <t>09/03/2026</t>
        </is>
      </c>
      <c r="I8793" t="inlineStr">
        <is>
          <t>08/04/2026</t>
        </is>
      </c>
      <c r="J8793" t="inlineStr">
        <is>
          <t>17/03/2026</t>
        </is>
      </c>
      <c r="K8793" t="inlineStr">
        <is>
          <t>N/A</t>
        </is>
      </c>
      <c r="L8793" t="inlineStr">
        <is>
          <t>Nội Tổng Quát, Đào Tạo, Tư vấn dinh dưỡng, Kiến Thức Dinh Dưỡng</t>
        </is>
      </c>
      <c r="M8793" t="inlineStr">
        <is>
          <t>Bonus, Healthcare Plan, Training</t>
        </is>
      </c>
      <c r="N8793" s="8">
        <f>HYPERLINK("https://www.vietnamworks.com/chuyen-vien-dao-tao-truyen-thong-dinh-duong-2020366-jv","Xem chi tiết")</f>
        <v/>
      </c>
    </row>
    <row r="8794">
      <c r="B8794" s="9" t="n">
        <v>8792</v>
      </c>
      <c r="C8794" s="10" t="inlineStr">
        <is>
          <t>Giám Đốc Nhà Máy May</t>
        </is>
      </c>
      <c r="D8794" s="10" t="inlineStr">
        <is>
          <t>Công Ty TNHH Vaude Việt Nam</t>
        </is>
      </c>
      <c r="E8794" s="10" t="inlineStr">
        <is>
          <t>Thương lượng</t>
        </is>
      </c>
      <c r="F8794" s="10" t="inlineStr">
        <is>
          <t>Hà Nội, Thanh Hóa, Ninh Bình</t>
        </is>
      </c>
      <c r="G8794" s="10" t="inlineStr">
        <is>
          <t>Giám Đốc và Cấp Cao Hơn</t>
        </is>
      </c>
      <c r="H8794" s="10" t="inlineStr">
        <is>
          <t>09/03/2026</t>
        </is>
      </c>
      <c r="I8794" s="10" t="inlineStr">
        <is>
          <t>08/04/2026</t>
        </is>
      </c>
      <c r="J8794" s="10" t="inlineStr">
        <is>
          <t>17/03/2026</t>
        </is>
      </c>
      <c r="K8794" s="10" t="inlineStr">
        <is>
          <t>N/A</t>
        </is>
      </c>
      <c r="L8794" s="10" t="inlineStr">
        <is>
          <t>Lãnh Đạo, Lập Kế Hoạch Sản Xuất, Quản Lý Sản Xuất, Quản Lý Điều Hành, Tiếng Anh</t>
        </is>
      </c>
      <c r="M8794" s="10" t="inlineStr">
        <is>
          <t>Bonus, Travel Opportunities, Others</t>
        </is>
      </c>
      <c r="N8794" s="11">
        <f>HYPERLINK("https://www.vietnamworks.com/giam-djoc-nha-may-may-2020375-jv","Xem chi tiết")</f>
        <v/>
      </c>
      <c r="O8794" s="10" t="n"/>
    </row>
    <row r="8795">
      <c r="B8795" s="7" t="n">
        <v>8793</v>
      </c>
      <c r="C8795" t="inlineStr">
        <is>
          <t>Kế Hoạch Sản Xuất PMC 跟单</t>
        </is>
      </c>
      <c r="D8795" t="inlineStr">
        <is>
          <t>Công ty TNHH Quang học SanShan Việt Nam</t>
        </is>
      </c>
      <c r="E8795" t="inlineStr">
        <is>
          <t>Thương lượng</t>
        </is>
      </c>
      <c r="F8795" t="inlineStr">
        <is>
          <t>Thái Nguyên</t>
        </is>
      </c>
      <c r="G8795" t="inlineStr">
        <is>
          <t>Nhân viên</t>
        </is>
      </c>
      <c r="H8795" t="inlineStr">
        <is>
          <t>09/03/2026</t>
        </is>
      </c>
      <c r="I8795" t="inlineStr">
        <is>
          <t>08/04/2026</t>
        </is>
      </c>
      <c r="J8795" t="inlineStr">
        <is>
          <t>17/03/2026</t>
        </is>
      </c>
      <c r="K8795" t="inlineStr">
        <is>
          <t>N/A</t>
        </is>
      </c>
      <c r="L8795" t="inlineStr">
        <is>
          <t>HSK4, Lập Kế Hoạch Sản Xuất, PMC, Inventory Management, ERP</t>
        </is>
      </c>
      <c r="M8795" t="inlineStr">
        <is>
          <t>Bonus, Healthcare Plan, Others</t>
        </is>
      </c>
      <c r="N8795" s="8">
        <f>HYPERLINK("https://www.vietnamworks.com/ke-hoach-san-xuat-pmc-bin-2020363-jv","Xem chi tiết")</f>
        <v/>
      </c>
    </row>
    <row r="8796">
      <c r="B8796" s="9" t="n">
        <v>8794</v>
      </c>
      <c r="C8796" s="10" t="inlineStr">
        <is>
          <t>Nhân Viên Kinh Doanh 业务跟单</t>
        </is>
      </c>
      <c r="D8796" s="10" t="inlineStr">
        <is>
          <t>Công ty TNHH Quang học SanShan Việt Nam</t>
        </is>
      </c>
      <c r="E8796" s="10" t="inlineStr">
        <is>
          <t>Thương lượng</t>
        </is>
      </c>
      <c r="F8796" s="10" t="inlineStr">
        <is>
          <t>Thái Nguyên</t>
        </is>
      </c>
      <c r="G8796" s="10" t="inlineStr">
        <is>
          <t>Nhân viên</t>
        </is>
      </c>
      <c r="H8796" s="10" t="inlineStr">
        <is>
          <t>09/03/2026</t>
        </is>
      </c>
      <c r="I8796" s="10" t="inlineStr">
        <is>
          <t>08/04/2026</t>
        </is>
      </c>
      <c r="J8796" s="10" t="inlineStr">
        <is>
          <t>17/03/2026</t>
        </is>
      </c>
      <c r="K8796" s="10" t="inlineStr">
        <is>
          <t>N/A</t>
        </is>
      </c>
      <c r="L8796" s="10" t="inlineStr">
        <is>
          <t>Merchandising, Order Management, HSK3, Customer Service, English</t>
        </is>
      </c>
      <c r="M8796" s="10" t="inlineStr">
        <is>
          <t>Bonus, Healthcare Plan, Others</t>
        </is>
      </c>
      <c r="N8796" s="11">
        <f>HYPERLINK("https://www.vietnamworks.com/nhan-vien-kinh-doanh-bin-2020364-jv","Xem chi tiết")</f>
        <v/>
      </c>
      <c r="O8796" s="10" t="n"/>
    </row>
    <row r="8797">
      <c r="B8797" s="7" t="n">
        <v>8795</v>
      </c>
      <c r="C8797" t="inlineStr">
        <is>
          <t>Giám Sát Audit 验厂主管</t>
        </is>
      </c>
      <c r="D8797" t="inlineStr">
        <is>
          <t>Công ty TNHH Quang học SanShan Việt Nam</t>
        </is>
      </c>
      <c r="E8797" t="inlineStr">
        <is>
          <t>Thương lượng</t>
        </is>
      </c>
      <c r="F8797" t="inlineStr">
        <is>
          <t>Thái Nguyên</t>
        </is>
      </c>
      <c r="G8797" t="inlineStr">
        <is>
          <t>Trưởng phòng</t>
        </is>
      </c>
      <c r="H8797" t="inlineStr">
        <is>
          <t>09/03/2026</t>
        </is>
      </c>
      <c r="I8797" t="inlineStr">
        <is>
          <t>08/04/2026</t>
        </is>
      </c>
      <c r="J8797" t="inlineStr">
        <is>
          <t>17/03/2026</t>
        </is>
      </c>
      <c r="K8797" t="inlineStr">
        <is>
          <t>N/A</t>
        </is>
      </c>
      <c r="L8797" t="inlineStr">
        <is>
          <t>HSK5, Compliance, CSR, SMETA, ISO 9001</t>
        </is>
      </c>
      <c r="M8797" t="inlineStr">
        <is>
          <t>Bonus, Healthcare Plan, Others</t>
        </is>
      </c>
      <c r="N8797" s="8">
        <f>HYPERLINK("https://www.vietnamworks.com/giam-sat-audit-mo-fa-2020359-jv","Xem chi tiết")</f>
        <v/>
      </c>
    </row>
    <row r="8798">
      <c r="B8798" s="9" t="n">
        <v>8796</v>
      </c>
      <c r="C8798" s="10" t="inlineStr">
        <is>
          <t>Trợ Lý Trưởng BP Thu Mua/ Procurement Assist. Manager</t>
        </is>
      </c>
      <c r="D8798" s="10" t="inlineStr">
        <is>
          <t>CÔNG TY TNHH CỌC BÊ TÔNG VGSI</t>
        </is>
      </c>
      <c r="E8798" s="10" t="inlineStr">
        <is>
          <t>Thương lượng</t>
        </is>
      </c>
      <c r="F8798" s="10" t="inlineStr">
        <is>
          <t>Hồ Chí Minh</t>
        </is>
      </c>
      <c r="G8798" s="10" t="inlineStr">
        <is>
          <t>Nhân viên</t>
        </is>
      </c>
      <c r="H8798" s="10" t="inlineStr">
        <is>
          <t>09/03/2026</t>
        </is>
      </c>
      <c r="I8798" s="10" t="inlineStr">
        <is>
          <t>08/04/2026</t>
        </is>
      </c>
      <c r="J8798" s="10" t="inlineStr">
        <is>
          <t>17/03/2026</t>
        </is>
      </c>
      <c r="K8798" s="10" t="inlineStr">
        <is>
          <t>N/A</t>
        </is>
      </c>
      <c r="L8798" s="10" t="inlineStr">
        <is>
          <t>Analytical Skills, English Communication, Negotiation Skills, Purchasing Processes, Supply Chain Management</t>
        </is>
      </c>
      <c r="M8798" s="10" t="inlineStr">
        <is>
          <t>Bonus, Healthcare Plan, Paid Leave, Training, Awards, Laptop, Team Activities, Transportation, Canteen, Others</t>
        </is>
      </c>
      <c r="N8798" s="11">
        <f>HYPERLINK("https://www.vietnamworks.com/tro-ly-truong-bp-thu-mua-procurement-assist-manager-2020370-jv","Xem chi tiết")</f>
        <v/>
      </c>
      <c r="O8798" s="10" t="n"/>
    </row>
    <row r="8799">
      <c r="B8799" s="7" t="n">
        <v>8797</v>
      </c>
      <c r="C8799" t="inlineStr">
        <is>
          <t>Nhân Viên Kỹ Thuật</t>
        </is>
      </c>
      <c r="D8799" t="inlineStr">
        <is>
          <t>Công Ty Cổ Phần Công Nghệ An Toàn Việt Nam</t>
        </is>
      </c>
      <c r="E8799" t="inlineStr">
        <is>
          <t>$$ 570-960 /tháng</t>
        </is>
      </c>
      <c r="F8799" t="inlineStr">
        <is>
          <t>Hồ Chí Minh</t>
        </is>
      </c>
      <c r="G8799" t="inlineStr">
        <is>
          <t>Nhân viên</t>
        </is>
      </c>
      <c r="H8799" t="inlineStr">
        <is>
          <t>09/03/2026</t>
        </is>
      </c>
      <c r="I8799" t="inlineStr">
        <is>
          <t>08/04/2026</t>
        </is>
      </c>
      <c r="J8799" t="inlineStr">
        <is>
          <t>17/03/2026</t>
        </is>
      </c>
      <c r="K8799" t="inlineStr">
        <is>
          <t>N/A</t>
        </is>
      </c>
      <c r="L8799" t="inlineStr">
        <is>
          <t>Thiết Kế Cơ Điện, Quản Lý Thi Công Hệ Thống PCCC, Phòng Cháy Chữa Cháy, M&amp;E, Cơ Điện</t>
        </is>
      </c>
      <c r="M8799" t="inlineStr">
        <is>
          <t>Bonus, Healthcare Plan, Team Activities</t>
        </is>
      </c>
      <c r="N8799" s="8">
        <f>HYPERLINK("https://www.vietnamworks.com/nhan-vien-ky-thuat--2020360-jv","Xem chi tiết")</f>
        <v/>
      </c>
    </row>
    <row r="8800">
      <c r="B8800" s="9" t="n">
        <v>8798</v>
      </c>
      <c r="C8800" s="10" t="inlineStr">
        <is>
          <t>Trưởng Phòng Xuất Nhập Khẩu</t>
        </is>
      </c>
      <c r="D8800" s="10" t="inlineStr">
        <is>
          <t>Công Ty TNHH Vaude Việt Nam</t>
        </is>
      </c>
      <c r="E8800" s="10" t="inlineStr">
        <is>
          <t>Thương lượng</t>
        </is>
      </c>
      <c r="F8800" s="10" t="inlineStr">
        <is>
          <t>Hà Nội, Thanh Hóa, Ninh Bình</t>
        </is>
      </c>
      <c r="G8800" s="10" t="inlineStr">
        <is>
          <t>Trưởng phòng</t>
        </is>
      </c>
      <c r="H8800" s="10" t="inlineStr">
        <is>
          <t>09/03/2026</t>
        </is>
      </c>
      <c r="I8800" s="10" t="inlineStr">
        <is>
          <t>08/04/2026</t>
        </is>
      </c>
      <c r="J8800" s="10" t="inlineStr">
        <is>
          <t>17/03/2026</t>
        </is>
      </c>
      <c r="K8800" s="10" t="inlineStr">
        <is>
          <t>N/A</t>
        </is>
      </c>
      <c r="L8800" s="10" t="inlineStr">
        <is>
          <t>Incoterms, Kiểm Soát Chứng Từ</t>
        </is>
      </c>
      <c r="M8800" s="10" t="inlineStr">
        <is>
          <t>Healthcare Plan, Others</t>
        </is>
      </c>
      <c r="N8800" s="11">
        <f>HYPERLINK("https://www.vietnamworks.com/truong-phong-xuat-nhap-khau-2020376-jv","Xem chi tiết")</f>
        <v/>
      </c>
      <c r="O8800" s="10" t="n"/>
    </row>
    <row r="8801">
      <c r="B8801" s="7" t="n">
        <v>8799</v>
      </c>
      <c r="C8801" t="inlineStr">
        <is>
          <t>Trưởng Phòng Xuất Nhập Khẩu 单证主管</t>
        </is>
      </c>
      <c r="D8801" t="inlineStr">
        <is>
          <t>Công ty TNHH Quang học SanShan Việt Nam</t>
        </is>
      </c>
      <c r="E8801" t="inlineStr">
        <is>
          <t>Thương lượng</t>
        </is>
      </c>
      <c r="F8801" t="inlineStr">
        <is>
          <t>Thái Nguyên</t>
        </is>
      </c>
      <c r="G8801" t="inlineStr">
        <is>
          <t>Trưởng phòng</t>
        </is>
      </c>
      <c r="H8801" t="inlineStr">
        <is>
          <t>09/03/2026</t>
        </is>
      </c>
      <c r="I8801" t="inlineStr">
        <is>
          <t>08/04/2026</t>
        </is>
      </c>
      <c r="J8801" t="inlineStr">
        <is>
          <t>17/03/2026</t>
        </is>
      </c>
      <c r="K8801" t="inlineStr">
        <is>
          <t>N/A</t>
        </is>
      </c>
      <c r="L8801" t="inlineStr">
        <is>
          <t>HSK5, Báo Cáo Hải Quan, Chứng Từ Xuất Nhập Khẩu, FDA, Kiểm Kê Hàng Hóa</t>
        </is>
      </c>
      <c r="M8801" t="inlineStr">
        <is>
          <t>Bonus, Healthcare Plan, Others</t>
        </is>
      </c>
      <c r="N8801" s="8">
        <f>HYPERLINK("https://www.vietnamworks.com/truong-phong-xuat-nhap-khau-duo-fa-2020358-jv","Xem chi tiết")</f>
        <v/>
      </c>
    </row>
    <row r="8802">
      <c r="B8802" s="9" t="n">
        <v>8800</v>
      </c>
      <c r="C8802" s="10" t="inlineStr">
        <is>
          <t>Chuyên Viên Marketing</t>
        </is>
      </c>
      <c r="D8802" s="10" t="inlineStr">
        <is>
          <t>Korea - Vietnam Fertilizer Co., Ltd.</t>
        </is>
      </c>
      <c r="E8802" s="10" t="inlineStr">
        <is>
          <t>Thương lượng</t>
        </is>
      </c>
      <c r="F8802" s="10" t="inlineStr">
        <is>
          <t>Hồ Chí Minh</t>
        </is>
      </c>
      <c r="G8802" s="10" t="inlineStr">
        <is>
          <t>Nhân viên</t>
        </is>
      </c>
      <c r="H8802" s="10" t="inlineStr">
        <is>
          <t>09/03/2026</t>
        </is>
      </c>
      <c r="I8802" s="10" t="inlineStr">
        <is>
          <t>08/04/2026</t>
        </is>
      </c>
      <c r="J8802" s="10" t="inlineStr">
        <is>
          <t>17/03/2026</t>
        </is>
      </c>
      <c r="K8802" s="10" t="inlineStr">
        <is>
          <t>N/A</t>
        </is>
      </c>
      <c r="L8802" s="10" t="inlineStr">
        <is>
          <t>Digital Marketing, Data Analysis, SEO Optimization, Content Management, Collaboration</t>
        </is>
      </c>
      <c r="M8802" s="10" t="inlineStr">
        <is>
          <t>Bonus, Healthcare Plan, Team Activities</t>
        </is>
      </c>
      <c r="N8802" s="11">
        <f>HYPERLINK("https://www.vietnamworks.com/chuyen-vien-marketing-2020381-jv","Xem chi tiết")</f>
        <v/>
      </c>
      <c r="O8802" s="10" t="n"/>
    </row>
    <row r="8803">
      <c r="B8803" s="7" t="n">
        <v>8801</v>
      </c>
      <c r="C8803" t="inlineStr">
        <is>
          <t>Tuyển Team Lead Marketing &amp; Business Development</t>
        </is>
      </c>
      <c r="D8803" t="inlineStr">
        <is>
          <t>Hobien</t>
        </is>
      </c>
      <c r="E8803" t="inlineStr">
        <is>
          <t>Thương lượng</t>
        </is>
      </c>
      <c r="F8803" t="inlineStr">
        <is>
          <t>Hồ Chí Minh</t>
        </is>
      </c>
      <c r="G8803" t="inlineStr">
        <is>
          <t>Nhân viên</t>
        </is>
      </c>
      <c r="H8803" t="inlineStr">
        <is>
          <t>09/03/2026</t>
        </is>
      </c>
      <c r="I8803" t="inlineStr">
        <is>
          <t>08/04/2026</t>
        </is>
      </c>
      <c r="J8803" t="inlineStr">
        <is>
          <t>17/03/2026</t>
        </is>
      </c>
      <c r="K8803" t="inlineStr">
        <is>
          <t>N/A</t>
        </is>
      </c>
      <c r="L8803" t="inlineStr">
        <is>
          <t>Adobe Photoshop, Marketing, communication, Digital Marketing, Tiếng Anh</t>
        </is>
      </c>
      <c r="M8803" t="inlineStr">
        <is>
          <t>Bonus, Healthcare Plan, Paid Leave</t>
        </is>
      </c>
      <c r="N8803" s="8">
        <f>HYPERLINK("https://www.vietnamworks.com/tuyen-team-lead-marketing-business-development-2020378-jv","Xem chi tiết")</f>
        <v/>
      </c>
    </row>
    <row r="8804">
      <c r="B8804" s="9" t="n">
        <v>8802</v>
      </c>
      <c r="C8804" s="10" t="inlineStr">
        <is>
          <t>Merchadise Manager (Trưởng Phòng Merchadise)</t>
        </is>
      </c>
      <c r="D8804" s="10" t="inlineStr">
        <is>
          <t>Công Ty TNHH Vaude Việt Nam</t>
        </is>
      </c>
      <c r="E8804" s="10" t="inlineStr">
        <is>
          <t>Thương lượng</t>
        </is>
      </c>
      <c r="F8804" s="10" t="inlineStr">
        <is>
          <t>Hà Nội, Thanh Hóa, Ninh Bình</t>
        </is>
      </c>
      <c r="G8804" s="10" t="inlineStr">
        <is>
          <t>Trưởng phòng</t>
        </is>
      </c>
      <c r="H8804" s="10" t="inlineStr">
        <is>
          <t>09/03/2026</t>
        </is>
      </c>
      <c r="I8804" s="10" t="inlineStr">
        <is>
          <t>08/04/2026</t>
        </is>
      </c>
      <c r="J8804" s="10" t="inlineStr">
        <is>
          <t>17/03/2026</t>
        </is>
      </c>
      <c r="K8804" s="10" t="inlineStr">
        <is>
          <t>N/A</t>
        </is>
      </c>
      <c r="L8804" s="10" t="inlineStr">
        <is>
          <t>Communication Skills, English Language Proficiency, Merchandise Management, Sample Development, Sourcing Management</t>
        </is>
      </c>
      <c r="M8804" s="10" t="inlineStr">
        <is>
          <t>Others</t>
        </is>
      </c>
      <c r="N8804" s="11">
        <f>HYPERLINK("https://www.vietnamworks.com/merchadise-manager-truong-phong-merchadise-2020379-jv","Xem chi tiết")</f>
        <v/>
      </c>
      <c r="O8804" s="10" t="n"/>
    </row>
    <row r="8805">
      <c r="B8805" s="7" t="n">
        <v>8803</v>
      </c>
      <c r="C8805" t="inlineStr">
        <is>
          <t>Planning Staff_Nhân Viên Kế Hoạch</t>
        </is>
      </c>
      <c r="D8805" t="inlineStr">
        <is>
          <t>LX Pantos Vietnam</t>
        </is>
      </c>
      <c r="E8805" t="inlineStr">
        <is>
          <t>$$ 400-600 /tháng</t>
        </is>
      </c>
      <c r="F8805" t="inlineStr">
        <is>
          <t>Hải Phòng</t>
        </is>
      </c>
      <c r="G8805" t="inlineStr">
        <is>
          <t>Nhân viên</t>
        </is>
      </c>
      <c r="H8805" t="inlineStr">
        <is>
          <t>09/03/2026</t>
        </is>
      </c>
      <c r="I8805" t="inlineStr">
        <is>
          <t>08/04/2026</t>
        </is>
      </c>
      <c r="J8805" t="inlineStr">
        <is>
          <t>17/03/2026</t>
        </is>
      </c>
      <c r="K8805" t="inlineStr">
        <is>
          <t>N/A</t>
        </is>
      </c>
      <c r="L8805" t="inlineStr">
        <is>
          <t>Production Control, Plan Management, Material Management, English</t>
        </is>
      </c>
      <c r="M8805" t="inlineStr">
        <is>
          <t>Bonus, Healthcare Plan, Others</t>
        </is>
      </c>
      <c r="N8805" s="8">
        <f>HYPERLINK("https://www.vietnamworks.com/planning-staff-nhan-vien-ke-hoach--2020372-jv","Xem chi tiết")</f>
        <v/>
      </c>
    </row>
    <row r="8806">
      <c r="B8806" s="9" t="n">
        <v>8804</v>
      </c>
      <c r="C8806" s="10" t="inlineStr">
        <is>
          <t>Giáo Viên Mầm Non Tại Trường Mầm Non Thiên Thần Nhỏ - Đức Hòa, Tây Ninh (Long An Cũ)</t>
        </is>
      </c>
      <c r="D8806" s="10" t="inlineStr">
        <is>
          <t>Công Ty TNHH Khai Thác Dịch Vụ - Kinh Doanh Văn Phòng Và Nhà Xưởng Tân Tạo</t>
        </is>
      </c>
      <c r="E8806" s="10" t="inlineStr">
        <is>
          <t>Thương lượng</t>
        </is>
      </c>
      <c r="F8806" s="10" t="inlineStr">
        <is>
          <t>Long An</t>
        </is>
      </c>
      <c r="G8806" s="10" t="inlineStr">
        <is>
          <t>Mới Tốt Nghiệp</t>
        </is>
      </c>
      <c r="H8806" s="10" t="inlineStr">
        <is>
          <t>09/03/2026</t>
        </is>
      </c>
      <c r="I8806" s="10" t="inlineStr">
        <is>
          <t>08/04/2026</t>
        </is>
      </c>
      <c r="J8806" s="10" t="inlineStr">
        <is>
          <t>17/03/2026</t>
        </is>
      </c>
      <c r="K8806" s="10" t="inlineStr">
        <is>
          <t>N/A</t>
        </is>
      </c>
      <c r="L8806" s="10" t="inlineStr">
        <is>
          <t>Sáng Tạo, Trông Trẻ, Giao Tiếp, Có trách nhiệm, Năng Khiếu</t>
        </is>
      </c>
      <c r="M8806" s="10" t="inlineStr">
        <is>
          <t>Bonus, Paid Leave, Training, Travel Opportunities, Others</t>
        </is>
      </c>
      <c r="N8806" s="11">
        <f>HYPERLINK("https://www.vietnamworks.com/giao-vien-mam-non-tai-truong-mam-non-thien-than-nho-duc-hoa-tay-ninh-long-an-cu-2020383-jv","Xem chi tiết")</f>
        <v/>
      </c>
      <c r="O8806" s="10" t="n"/>
    </row>
    <row r="8807">
      <c r="B8807" s="7" t="n">
        <v>8805</v>
      </c>
      <c r="C8807" t="inlineStr">
        <is>
          <t>Kế Toán Tổng Hợp</t>
        </is>
      </c>
      <c r="D8807" t="inlineStr">
        <is>
          <t>Công ty TNHH Mishu Moto</t>
        </is>
      </c>
      <c r="E8807" t="inlineStr">
        <is>
          <t>12tr-18tr ₫/tháng</t>
        </is>
      </c>
      <c r="F8807" t="inlineStr">
        <is>
          <t>Hà Nội</t>
        </is>
      </c>
      <c r="G8807" t="inlineStr">
        <is>
          <t>Nhân viên</t>
        </is>
      </c>
      <c r="H8807" t="inlineStr">
        <is>
          <t>09/03/2026</t>
        </is>
      </c>
      <c r="I8807" t="inlineStr">
        <is>
          <t>08/04/2026</t>
        </is>
      </c>
      <c r="J8807" t="inlineStr">
        <is>
          <t>17/03/2026</t>
        </is>
      </c>
      <c r="K8807" t="inlineStr">
        <is>
          <t>N/A</t>
        </is>
      </c>
      <c r="L8807" t="inlineStr">
        <is>
          <t>Excel, Kiến Thức Chuẩn Mực Kế Toán, Lập Báo Cáo Tài Chính, Luật Thuế, Quyết Toán Thuế</t>
        </is>
      </c>
      <c r="M8807" t="inlineStr">
        <is>
          <t>Bonus, Healthcare Plan, Training, Others</t>
        </is>
      </c>
      <c r="N8807" s="8">
        <f>HYPERLINK("https://www.vietnamworks.com/ke-toan-tong-hop-2020384-jv","Xem chi tiết")</f>
        <v/>
      </c>
    </row>
    <row r="8808">
      <c r="B8808" s="9" t="n">
        <v>8806</v>
      </c>
      <c r="C8808" s="10" t="inlineStr">
        <is>
          <t>Retail Sales Supervisor (Offline)</t>
        </is>
      </c>
      <c r="D8808" s="10" t="inlineStr">
        <is>
          <t>Công ty TNHH Enzo &amp; Leo</t>
        </is>
      </c>
      <c r="E8808" s="10" t="inlineStr">
        <is>
          <t>16tr-18tr ₫/tháng</t>
        </is>
      </c>
      <c r="F8808" s="10" t="inlineStr">
        <is>
          <t>Hồ Chí Minh</t>
        </is>
      </c>
      <c r="G8808" s="10" t="inlineStr">
        <is>
          <t>Trưởng phòng</t>
        </is>
      </c>
      <c r="H8808" s="10" t="inlineStr">
        <is>
          <t>09/03/2026</t>
        </is>
      </c>
      <c r="I8808" s="10" t="inlineStr">
        <is>
          <t>08/04/2026</t>
        </is>
      </c>
      <c r="J8808" s="10" t="inlineStr">
        <is>
          <t>17/03/2026</t>
        </is>
      </c>
      <c r="K8808" s="10" t="inlineStr">
        <is>
          <t>N/A</t>
        </is>
      </c>
      <c r="L8808" s="10" t="inlineStr">
        <is>
          <t>Analytical Skills, Customer Experiences, Inventory Control, Performance Management, Professional Supervision</t>
        </is>
      </c>
      <c r="M8808" s="10" t="inlineStr">
        <is>
          <t>Bonus, Paid Leave, Training</t>
        </is>
      </c>
      <c r="N8808" s="11">
        <f>HYPERLINK("https://www.vietnamworks.com/retail-sales-supervisor-offline-2020382-jv","Xem chi tiết")</f>
        <v/>
      </c>
      <c r="O8808" s="10" t="n"/>
    </row>
    <row r="8809">
      <c r="B8809" s="7" t="n">
        <v>8807</v>
      </c>
      <c r="C8809" t="inlineStr">
        <is>
          <t>Chuyên Viên Chăm Sóc Khách Hàng (CSKH)</t>
        </is>
      </c>
      <c r="D8809" t="inlineStr">
        <is>
          <t>CÔNG TY TNHH FACE INCH PHOTOGRAPHY</t>
        </is>
      </c>
      <c r="E8809" t="inlineStr">
        <is>
          <t>12tr-15tr ₫/tháng</t>
        </is>
      </c>
      <c r="F8809" t="inlineStr">
        <is>
          <t>Hà Nội, Hồ Chí Minh</t>
        </is>
      </c>
      <c r="G8809" t="inlineStr">
        <is>
          <t>Mới Tốt Nghiệp</t>
        </is>
      </c>
      <c r="H8809" t="inlineStr">
        <is>
          <t>09/03/2026</t>
        </is>
      </c>
      <c r="I8809" t="inlineStr">
        <is>
          <t>08/04/2026</t>
        </is>
      </c>
      <c r="J8809" t="inlineStr">
        <is>
          <t>17/03/2026</t>
        </is>
      </c>
      <c r="K8809" t="inlineStr">
        <is>
          <t>N/A</t>
        </is>
      </c>
      <c r="L8809" t="inlineStr">
        <is>
          <t>Tin Học Văn Phòng (Word- Excel- Powerpoint), Tiếng Anh, Tiếng Trung, Kỹ năng giao tiêp, Tư Duy Dịch Vụ</t>
        </is>
      </c>
      <c r="M8809" t="inlineStr">
        <is>
          <t>Bonus, Healthcare Plan, Training, Others</t>
        </is>
      </c>
      <c r="N8809" s="8">
        <f>HYPERLINK("https://www.vietnamworks.com/chuyen-vien-cham-soc-khach-hang-cskh-2020398-jv","Xem chi tiết")</f>
        <v/>
      </c>
    </row>
    <row r="8810">
      <c r="B8810" s="9" t="n">
        <v>8808</v>
      </c>
      <c r="C8810" s="10" t="inlineStr">
        <is>
          <t>Head of Business Development</t>
        </is>
      </c>
      <c r="D8810" s="10" t="inlineStr">
        <is>
          <t>Michael Page Vietnam</t>
        </is>
      </c>
      <c r="E8810" s="10" t="inlineStr">
        <is>
          <t>Thương lượng</t>
        </is>
      </c>
      <c r="F8810" s="10" t="inlineStr">
        <is>
          <t>Hà Nội</t>
        </is>
      </c>
      <c r="G8810" s="10" t="inlineStr">
        <is>
          <t>Trưởng phòng</t>
        </is>
      </c>
      <c r="H8810" s="10" t="inlineStr">
        <is>
          <t>09/03/2026</t>
        </is>
      </c>
      <c r="I8810" s="10" t="inlineStr">
        <is>
          <t>08/04/2026</t>
        </is>
      </c>
      <c r="J8810" s="10" t="inlineStr">
        <is>
          <t>17/03/2026</t>
        </is>
      </c>
      <c r="K8810" s="10" t="inlineStr">
        <is>
          <t>N/A</t>
        </is>
      </c>
      <c r="L8810" s="10" t="inlineStr">
        <is>
          <t>Business Development, B2B Sales</t>
        </is>
      </c>
      <c r="M8810" s="10" t="inlineStr">
        <is>
          <t>Bonus</t>
        </is>
      </c>
      <c r="N8810" s="11">
        <f>HYPERLINK("https://www.vietnamworks.com/head-of-business-development-24-2020386-jv","Xem chi tiết")</f>
        <v/>
      </c>
      <c r="O8810" s="10" t="n"/>
    </row>
    <row r="8811">
      <c r="B8811" s="7" t="n">
        <v>8809</v>
      </c>
      <c r="C8811" t="inlineStr">
        <is>
          <t>Information Technology Manager - Asia</t>
        </is>
      </c>
      <c r="D8811" t="inlineStr">
        <is>
          <t>Văn Phòng Đại Diện Kimball Furniture Group, LLC Tại Thành Phố Hồ Chí Minh</t>
        </is>
      </c>
      <c r="E8811" t="inlineStr">
        <is>
          <t>Thương lượng</t>
        </is>
      </c>
      <c r="F8811" t="inlineStr">
        <is>
          <t>Bình Dương</t>
        </is>
      </c>
      <c r="G8811" t="inlineStr">
        <is>
          <t>Nhân viên</t>
        </is>
      </c>
      <c r="H8811" t="inlineStr">
        <is>
          <t>09/03/2026</t>
        </is>
      </c>
      <c r="I8811" t="inlineStr">
        <is>
          <t>08/04/2026</t>
        </is>
      </c>
      <c r="J8811" t="inlineStr">
        <is>
          <t>17/03/2026</t>
        </is>
      </c>
      <c r="K8811" t="inlineStr">
        <is>
          <t>N/A</t>
        </is>
      </c>
      <c r="L8811" t="inlineStr">
        <is>
          <t>Project Management, Windows Server, Network, Operating System Administration, SharePoint</t>
        </is>
      </c>
      <c r="M8811" t="inlineStr">
        <is>
          <t>Bonus, Healthcare Plan, Paid Leave</t>
        </is>
      </c>
      <c r="N8811" s="8">
        <f>HYPERLINK("https://www.vietnamworks.com/information-technology-manager-asia-2020385-jv","Xem chi tiết")</f>
        <v/>
      </c>
    </row>
    <row r="8812">
      <c r="B8812" s="9" t="n">
        <v>8810</v>
      </c>
      <c r="C8812" s="10" t="inlineStr">
        <is>
          <t>Automation Developer</t>
        </is>
      </c>
      <c r="D8812" s="10" t="inlineStr">
        <is>
          <t>Avery Dennison Vietnam</t>
        </is>
      </c>
      <c r="E8812" s="10" t="inlineStr">
        <is>
          <t>Thương lượng</t>
        </is>
      </c>
      <c r="F8812" s="10" t="inlineStr">
        <is>
          <t>Hồ Chí Minh</t>
        </is>
      </c>
      <c r="G8812" s="10" t="inlineStr">
        <is>
          <t>Mới Tốt Nghiệp</t>
        </is>
      </c>
      <c r="H8812" s="10" t="inlineStr">
        <is>
          <t>09/03/2026</t>
        </is>
      </c>
      <c r="I8812" s="10" t="inlineStr">
        <is>
          <t>08/04/2026</t>
        </is>
      </c>
      <c r="J8812" s="10" t="inlineStr">
        <is>
          <t>17/03/2026</t>
        </is>
      </c>
      <c r="K8812" s="10" t="inlineStr">
        <is>
          <t>N/A</t>
        </is>
      </c>
      <c r="L8812" s="10" t="inlineStr">
        <is>
          <t>C++, Automation, C#, Manufacturing Execution System</t>
        </is>
      </c>
      <c r="M8812" s="10" t="inlineStr">
        <is>
          <t>Bonus, Healthcare Plan, Paid Leave</t>
        </is>
      </c>
      <c r="N8812" s="11">
        <f>HYPERLINK("https://www.vietnamworks.com/automation-developer--2020393-jv","Xem chi tiết")</f>
        <v/>
      </c>
      <c r="O8812" s="10" t="n"/>
    </row>
    <row r="8813">
      <c r="B8813" s="7" t="n">
        <v>8811</v>
      </c>
      <c r="C8813" t="inlineStr">
        <is>
          <t>Nhân viên kiểm soát chất lượng - QC Staff (NAM)</t>
        </is>
      </c>
      <c r="D8813" t="inlineStr">
        <is>
          <t>Công Ty TNHH Triac Composites</t>
        </is>
      </c>
      <c r="E8813" t="inlineStr">
        <is>
          <t>10tr-15tr ₫/tháng</t>
        </is>
      </c>
      <c r="F8813" t="inlineStr">
        <is>
          <t>Hồ Chí Minh</t>
        </is>
      </c>
      <c r="G8813" t="inlineStr">
        <is>
          <t>Mới Tốt Nghiệp</t>
        </is>
      </c>
      <c r="H8813" t="inlineStr">
        <is>
          <t>09/03/2026</t>
        </is>
      </c>
      <c r="I8813" t="inlineStr">
        <is>
          <t>08/04/2026</t>
        </is>
      </c>
      <c r="J8813" t="inlineStr">
        <is>
          <t>17/03/2026</t>
        </is>
      </c>
      <c r="K8813" t="inlineStr">
        <is>
          <t>N/A</t>
        </is>
      </c>
      <c r="L8813" t="inlineStr">
        <is>
          <t>Giao Tiếp Tiếng Anh, Kiểm Soát Chất Lượng, Làm Việc Nhóm, Tin Học Văn Phòng (Word- Excel- Powerpoint), Đọc Hiểu Bản Vẽ Kỹ Thuật</t>
        </is>
      </c>
      <c r="M8813" t="inlineStr">
        <is>
          <t>Bonus, Healthcare Plan, Paid Leave, Training, Travel Opportunities, Canteen, Others</t>
        </is>
      </c>
      <c r="N8813" s="8">
        <f>HYPERLINK("https://www.vietnamworks.com/nhan-vien-kiem-soat-chat-luong-qc-staff-nam-2020392-jv","Xem chi tiết")</f>
        <v/>
      </c>
    </row>
    <row r="8814">
      <c r="B8814" s="9" t="n">
        <v>8812</v>
      </c>
      <c r="C8814" s="10" t="inlineStr">
        <is>
          <t>Kỹ Sư Dự Án - Ưu Tiên Ứng Viên Mới Ra Trường (Khởi Điểm 15Tr ++)</t>
        </is>
      </c>
      <c r="D8814" s="10" t="inlineStr">
        <is>
          <t>Công Ty Thép BMB</t>
        </is>
      </c>
      <c r="E8814" s="10" t="inlineStr">
        <is>
          <t>Từ 15tr ₫/tháng</t>
        </is>
      </c>
      <c r="F8814" s="10" t="inlineStr">
        <is>
          <t>Hà Nội, Hồ Chí Minh</t>
        </is>
      </c>
      <c r="G8814" s="10" t="inlineStr">
        <is>
          <t>Mới Tốt Nghiệp</t>
        </is>
      </c>
      <c r="H8814" s="10" t="inlineStr">
        <is>
          <t>09/03/2026</t>
        </is>
      </c>
      <c r="I8814" s="10" t="inlineStr">
        <is>
          <t>08/04/2026</t>
        </is>
      </c>
      <c r="J8814" s="10" t="inlineStr">
        <is>
          <t>17/03/2026</t>
        </is>
      </c>
      <c r="K8814" s="10" t="inlineStr">
        <is>
          <t>N/A</t>
        </is>
      </c>
      <c r="L8814" s="10" t="inlineStr">
        <is>
          <t>Tìm Kiếm Khách Hàng, Đấu Thầu, Đàm Phán, Quản Lý Dự Án, Giao Tiếp</t>
        </is>
      </c>
      <c r="M8814" s="10" t="inlineStr">
        <is>
          <t>Bonus, Healthcare Plan, Travel Opportunities</t>
        </is>
      </c>
      <c r="N8814" s="11">
        <f>HYPERLINK("https://www.vietnamworks.com/ky-su-du-an-uu-tien-ung-vien-moi-ra-truong-khoi-diem-15tr-2020397-jv","Xem chi tiết")</f>
        <v/>
      </c>
      <c r="O8814" s="10" t="n"/>
    </row>
    <row r="8815">
      <c r="B8815" s="7" t="n">
        <v>8813</v>
      </c>
      <c r="C8815" t="inlineStr">
        <is>
          <t>Assistant Sales Manager</t>
        </is>
      </c>
      <c r="D8815" t="inlineStr">
        <is>
          <t>Arcstone Operations Platform</t>
        </is>
      </c>
      <c r="E8815" t="inlineStr">
        <is>
          <t>Thương lượng</t>
        </is>
      </c>
      <c r="F8815" t="inlineStr">
        <is>
          <t>Hồ Chí Minh, Đồng Nai</t>
        </is>
      </c>
      <c r="G8815" t="inlineStr">
        <is>
          <t>Trưởng phòng</t>
        </is>
      </c>
      <c r="H8815" t="inlineStr">
        <is>
          <t>09/03/2026</t>
        </is>
      </c>
      <c r="I8815" t="inlineStr">
        <is>
          <t>08/04/2026</t>
        </is>
      </c>
      <c r="J8815" t="inlineStr">
        <is>
          <t>17/03/2026</t>
        </is>
      </c>
      <c r="K8815" t="inlineStr">
        <is>
          <t>N/A</t>
        </is>
      </c>
      <c r="L8815" t="inlineStr">
        <is>
          <t>Sales Management, Technical Sales, Customer Relation, Marketing Strategy, Communication</t>
        </is>
      </c>
      <c r="M8815" t="inlineStr">
        <is>
          <t>Bonus, Healthcare Plan, Training, Team Activities, Others</t>
        </is>
      </c>
      <c r="N8815" s="8">
        <f>HYPERLINK("https://www.vietnamworks.com/assistant-sales-manager-2020407-jv","Xem chi tiết")</f>
        <v/>
      </c>
    </row>
    <row r="8816">
      <c r="B8816" s="9" t="n">
        <v>8814</v>
      </c>
      <c r="C8816" s="10" t="inlineStr">
        <is>
          <t>Nhân Viên Kế Toán</t>
        </is>
      </c>
      <c r="D8816" s="10" t="inlineStr">
        <is>
          <t>CÔNG TY TNHH ICF GLOBAL</t>
        </is>
      </c>
      <c r="E8816" s="10" t="inlineStr">
        <is>
          <t>12tr-15tr ₫/tháng</t>
        </is>
      </c>
      <c r="F8816" s="10" t="inlineStr">
        <is>
          <t>Hồ Chí Minh</t>
        </is>
      </c>
      <c r="G8816" s="10" t="inlineStr">
        <is>
          <t>Nhân viên</t>
        </is>
      </c>
      <c r="H8816" s="10" t="inlineStr">
        <is>
          <t>09/03/2026</t>
        </is>
      </c>
      <c r="I8816" s="10" t="inlineStr">
        <is>
          <t>08/04/2026</t>
        </is>
      </c>
      <c r="J8816" s="10" t="inlineStr">
        <is>
          <t>17/03/2026</t>
        </is>
      </c>
      <c r="K8816" s="10" t="inlineStr">
        <is>
          <t>N/A</t>
        </is>
      </c>
      <c r="L8816" s="10" t="inlineStr">
        <is>
          <t>Kế Toán, Kiểm Toán, Tài Chính, Thực phẩm, MISA</t>
        </is>
      </c>
      <c r="M8816" s="10" t="inlineStr">
        <is>
          <t>Bonus, Healthcare Plan, Others</t>
        </is>
      </c>
      <c r="N8816" s="11">
        <f>HYPERLINK("https://www.vietnamworks.com/nhan-vien-ke-toan-2020412-jv","Xem chi tiết")</f>
        <v/>
      </c>
      <c r="O8816" s="10" t="n"/>
    </row>
    <row r="8817">
      <c r="B8817" s="7" t="n">
        <v>8815</v>
      </c>
      <c r="C8817" t="inlineStr">
        <is>
          <t>Thư Ký Tổng Giám Đốc (Executive Assistant To The CEO)</t>
        </is>
      </c>
      <c r="D8817" t="inlineStr">
        <is>
          <t>Công ty CP Hạ tầng GELEX</t>
        </is>
      </c>
      <c r="E8817" t="inlineStr">
        <is>
          <t>$$ 800-1,200 /tháng</t>
        </is>
      </c>
      <c r="F8817" t="inlineStr">
        <is>
          <t>Hà Nội</t>
        </is>
      </c>
      <c r="G8817" t="inlineStr">
        <is>
          <t>Nhân viên</t>
        </is>
      </c>
      <c r="H8817" t="inlineStr">
        <is>
          <t>09/03/2026</t>
        </is>
      </c>
      <c r="I8817" t="inlineStr">
        <is>
          <t>08/04/2026</t>
        </is>
      </c>
      <c r="J8817" t="inlineStr">
        <is>
          <t>17/03/2026</t>
        </is>
      </c>
      <c r="K8817" t="inlineStr">
        <is>
          <t>N/A</t>
        </is>
      </c>
      <c r="L8817" t="inlineStr">
        <is>
          <t>Giải Quyết Vấn Đề, Giao Tiếp, Kỹ năng phối hợp, Thành Thạo Excel, Tốt Nghiệp Đại Học</t>
        </is>
      </c>
      <c r="M8817" t="inlineStr">
        <is>
          <t>Bonus, Healthcare Plan, Training, Travel Opportunities, Others</t>
        </is>
      </c>
      <c r="N8817" s="8">
        <f>HYPERLINK("https://www.vietnamworks.com/thu-ky-tong-giam-djoc-executive-assistant-to-the-ceo-2020414-jv","Xem chi tiết")</f>
        <v/>
      </c>
    </row>
    <row r="8818">
      <c r="B8818" s="9" t="n">
        <v>8816</v>
      </c>
      <c r="C8818" s="10" t="inlineStr">
        <is>
          <t>Nhân Viên Kinh Doanh Bán Hàng Kỹ Thuật (Mảng Xây Dựng, Thu Nhập TB 40Tr / Tháng)</t>
        </is>
      </c>
      <c r="D8818" s="10" t="inlineStr">
        <is>
          <t>Công Ty TNHH GPS Việt Nam</t>
        </is>
      </c>
      <c r="E8818" s="10" t="inlineStr">
        <is>
          <t>Từ 13tr ₫/tháng</t>
        </is>
      </c>
      <c r="F8818" s="10" t="inlineStr">
        <is>
          <t>Hà Nội, Hồ Chí Minh, Khánh Hòa</t>
        </is>
      </c>
      <c r="G8818" s="10" t="inlineStr">
        <is>
          <t>Nhân viên</t>
        </is>
      </c>
      <c r="H8818" s="10" t="inlineStr">
        <is>
          <t>09/03/2026</t>
        </is>
      </c>
      <c r="I8818" s="10" t="inlineStr">
        <is>
          <t>08/04/2026</t>
        </is>
      </c>
      <c r="J8818" s="10" t="inlineStr">
        <is>
          <t>17/03/2026</t>
        </is>
      </c>
      <c r="K8818" s="10" t="inlineStr">
        <is>
          <t>N/A</t>
        </is>
      </c>
      <c r="L8818" s="10" t="inlineStr">
        <is>
          <t>Kinh Doanh, Giao Tiếp, Phân Tích Thị Trường, Kinh Tế Xây Dựng, Vật liệu xây dựng</t>
        </is>
      </c>
      <c r="M8818" s="10" t="inlineStr">
        <is>
          <t>Bonus, Healthcare Plan, Awards, Mobile, Transportation, Others</t>
        </is>
      </c>
      <c r="N8818" s="11">
        <f>HYPERLINK("https://www.vietnamworks.com/nhan-vien-kinh-doanh-ban-hang-ky-thuat-mang-xay-dung-thu-nhap-tb-40tr-thang-2020405-jv","Xem chi tiết")</f>
        <v/>
      </c>
      <c r="O8818" s="10" t="n"/>
    </row>
    <row r="8819">
      <c r="B8819" s="7" t="n">
        <v>8817</v>
      </c>
      <c r="C8819" t="inlineStr">
        <is>
          <t>Cinema Leader (Quản Lý Cụm Rạp)</t>
        </is>
      </c>
      <c r="D8819" t="inlineStr">
        <is>
          <t>CJ CGV Vietnam</t>
        </is>
      </c>
      <c r="E8819" t="inlineStr">
        <is>
          <t>Thương lượng</t>
        </is>
      </c>
      <c r="F8819" t="inlineStr">
        <is>
          <t>Hồ Chí Minh</t>
        </is>
      </c>
      <c r="G8819" t="inlineStr">
        <is>
          <t>Trưởng phòng</t>
        </is>
      </c>
      <c r="H8819" t="inlineStr">
        <is>
          <t>09/03/2026</t>
        </is>
      </c>
      <c r="I8819" t="inlineStr">
        <is>
          <t>08/04/2026</t>
        </is>
      </c>
      <c r="J8819" t="inlineStr">
        <is>
          <t>17/03/2026</t>
        </is>
      </c>
      <c r="K8819" t="inlineStr">
        <is>
          <t>N/A</t>
        </is>
      </c>
      <c r="L8819" t="inlineStr">
        <is>
          <t>Leadership Management, Sales Report Analysis, F&amp;B Business, Restaurant Management</t>
        </is>
      </c>
      <c r="M8819" t="inlineStr">
        <is>
          <t>Bonus, Vouchers, Others</t>
        </is>
      </c>
      <c r="N8819" s="8">
        <f>HYPERLINK("https://www.vietnamworks.com/cinema-leader-quan-ly-cum-rap--2020417-jv","Xem chi tiết")</f>
        <v/>
      </c>
    </row>
    <row r="8820">
      <c r="B8820" s="9" t="n">
        <v>8818</v>
      </c>
      <c r="C8820" s="10" t="inlineStr">
        <is>
          <t>Team Leader Video</t>
        </is>
      </c>
      <c r="D8820" s="10" t="inlineStr">
        <is>
          <t>Báo Điện Tử VnExpress.net</t>
        </is>
      </c>
      <c r="E8820" s="10" t="inlineStr">
        <is>
          <t>Thương lượng</t>
        </is>
      </c>
      <c r="F8820" s="10" t="inlineStr">
        <is>
          <t>Hà Nội</t>
        </is>
      </c>
      <c r="G8820" s="10" t="inlineStr">
        <is>
          <t>Nhân viên</t>
        </is>
      </c>
      <c r="H8820" s="10" t="inlineStr">
        <is>
          <t>09/03/2026</t>
        </is>
      </c>
      <c r="I8820" s="10" t="inlineStr">
        <is>
          <t>08/04/2026</t>
        </is>
      </c>
      <c r="J8820" s="10" t="inlineStr">
        <is>
          <t>17/03/2026</t>
        </is>
      </c>
      <c r="K8820" s="10" t="inlineStr">
        <is>
          <t>N/A</t>
        </is>
      </c>
      <c r="L8820" s="10" t="inlineStr">
        <is>
          <t>Content Strategy, Critical Thinking, Digital Storytelling, Motion Graphic, Video Production</t>
        </is>
      </c>
      <c r="M8820" s="10" t="inlineStr">
        <is>
          <t>Bonus, Healthcare Plan, Training, Laptop, Team Activities, Others</t>
        </is>
      </c>
      <c r="N8820" s="11">
        <f>HYPERLINK("https://www.vietnamworks.com/team-leader-video-2020415-jv","Xem chi tiết")</f>
        <v/>
      </c>
      <c r="O8820" s="10" t="n"/>
    </row>
    <row r="8821">
      <c r="B8821" s="7" t="n">
        <v>8819</v>
      </c>
      <c r="C8821" t="inlineStr">
        <is>
          <t>Nhân Viên Kỹ Thuật Phân Tích Lỗi Sản Phẩm Pe</t>
        </is>
      </c>
      <c r="D8821" t="inlineStr">
        <is>
          <t>Công Ty TNHH Jaeyoung Vina</t>
        </is>
      </c>
      <c r="E8821" t="inlineStr">
        <is>
          <t>Thương lượng</t>
        </is>
      </c>
      <c r="F8821" t="inlineStr">
        <is>
          <t>Bắc Ninh</t>
        </is>
      </c>
      <c r="G8821" t="inlineStr">
        <is>
          <t>Nhân viên</t>
        </is>
      </c>
      <c r="H8821" t="inlineStr">
        <is>
          <t>09/03/2026</t>
        </is>
      </c>
      <c r="I8821" t="inlineStr">
        <is>
          <t>24/03/2026</t>
        </is>
      </c>
      <c r="J8821" t="inlineStr">
        <is>
          <t>17/03/2026</t>
        </is>
      </c>
      <c r="K8821" t="inlineStr">
        <is>
          <t>N/A</t>
        </is>
      </c>
      <c r="L8821" t="inlineStr">
        <is>
          <t>Kĩ Thuật Sản Phẩm, Phân Tích Lỗi, Cải Tiến Quy Trình Sản Xuất, Tin Học Văn Phòng, Giao Tiếp</t>
        </is>
      </c>
      <c r="M8821" t="inlineStr">
        <is>
          <t>Bonus, Healthcare Plan, Paid Leave, Training, Awards, Others</t>
        </is>
      </c>
      <c r="N8821" s="8">
        <f>HYPERLINK("https://www.vietnamworks.com/nhan-vien-ky-thuat-phan-tich-loi-san-pham-pe-2020394-jv","Xem chi tiết")</f>
        <v/>
      </c>
    </row>
    <row r="8822">
      <c r="B8822" s="9" t="n">
        <v>8820</v>
      </c>
      <c r="C8822" s="10" t="inlineStr">
        <is>
          <t>Junior Sales Consultant (Ho Chi Minh City)</t>
        </is>
      </c>
      <c r="D8822" s="10" t="inlineStr">
        <is>
          <t>BMS Company Ltd</t>
        </is>
      </c>
      <c r="E8822" s="10" t="inlineStr">
        <is>
          <t>$$ 400-1,000 /tháng</t>
        </is>
      </c>
      <c r="F8822" s="10" t="inlineStr">
        <is>
          <t>Hồ Chí Minh</t>
        </is>
      </c>
      <c r="G8822" s="10" t="inlineStr">
        <is>
          <t>Nhân viên</t>
        </is>
      </c>
      <c r="H8822" s="10" t="inlineStr">
        <is>
          <t>09/03/2026</t>
        </is>
      </c>
      <c r="I8822" s="10" t="inlineStr">
        <is>
          <t>08/04/2026</t>
        </is>
      </c>
      <c r="J8822" s="10" t="inlineStr">
        <is>
          <t>17/03/2026</t>
        </is>
      </c>
      <c r="K8822" s="10" t="inlineStr">
        <is>
          <t>N/A</t>
        </is>
      </c>
      <c r="L8822" s="10" t="inlineStr">
        <is>
          <t>English, High-tech Equipment, Key Account Management</t>
        </is>
      </c>
      <c r="M8822" s="10" t="inlineStr">
        <is>
          <t>Bonus, Training, Team Activities</t>
        </is>
      </c>
      <c r="N8822" s="11">
        <f>HYPERLINK("https://www.vietnamworks.com/junior-sales-consultant-ho-chi-minh-city--2020401-jv","Xem chi tiết")</f>
        <v/>
      </c>
      <c r="O8822" s="10" t="n"/>
    </row>
    <row r="8823">
      <c r="B8823" s="7" t="n">
        <v>8821</v>
      </c>
      <c r="C8823" t="inlineStr">
        <is>
          <t>Kỹ Sư Thiết Kế Xây Dựng Không Yêu Cầu Kinh Nghiệm (Khởi Điểm 15Tr - 20Tr)</t>
        </is>
      </c>
      <c r="D8823" t="inlineStr">
        <is>
          <t>Công Ty Thép BMB</t>
        </is>
      </c>
      <c r="E8823" t="inlineStr">
        <is>
          <t>15tr-20tr ₫/tháng</t>
        </is>
      </c>
      <c r="F8823" t="inlineStr">
        <is>
          <t>Hà Nội</t>
        </is>
      </c>
      <c r="G8823" t="inlineStr">
        <is>
          <t>Mới Tốt Nghiệp</t>
        </is>
      </c>
      <c r="H8823" t="inlineStr">
        <is>
          <t>09/03/2026</t>
        </is>
      </c>
      <c r="I8823" t="inlineStr">
        <is>
          <t>08/04/2026</t>
        </is>
      </c>
      <c r="J8823" t="inlineStr">
        <is>
          <t>17/03/2026</t>
        </is>
      </c>
      <c r="K8823" t="inlineStr">
        <is>
          <t>N/A</t>
        </is>
      </c>
      <c r="L8823" t="inlineStr">
        <is>
          <t>Tiếng Anh, Dự Toán Xây Dựng, Xây Dựng, Dự Toán Kết Cấu, CAD</t>
        </is>
      </c>
      <c r="M8823" t="inlineStr">
        <is>
          <t>Bonus, Healthcare Plan, Travel Opportunities</t>
        </is>
      </c>
      <c r="N8823" s="8">
        <f>HYPERLINK("https://www.vietnamworks.com/ky-su-thiet-ke-xay-dung-khong-yeu-cau-kinh-nghiem-khoi-diem-15tr-20tr-2020399-jv","Xem chi tiết")</f>
        <v/>
      </c>
    </row>
    <row r="8824">
      <c r="B8824" s="9" t="n">
        <v>8822</v>
      </c>
      <c r="C8824" s="10" t="inlineStr">
        <is>
          <t>Assistant Manager, Actuarial Services</t>
        </is>
      </c>
      <c r="D8824" s="10" t="inlineStr">
        <is>
          <t>FWD Vietnam Life Insurance Company Limited</t>
        </is>
      </c>
      <c r="E8824" s="10" t="inlineStr">
        <is>
          <t>Thương lượng</t>
        </is>
      </c>
      <c r="F8824" s="10" t="inlineStr">
        <is>
          <t>Hồ Chí Minh</t>
        </is>
      </c>
      <c r="G8824" s="10" t="inlineStr">
        <is>
          <t>Nhân viên</t>
        </is>
      </c>
      <c r="H8824" s="10" t="inlineStr">
        <is>
          <t>09/03/2026</t>
        </is>
      </c>
      <c r="I8824" s="10" t="inlineStr">
        <is>
          <t>08/04/2026</t>
        </is>
      </c>
      <c r="J8824" s="10" t="inlineStr">
        <is>
          <t>17/03/2026</t>
        </is>
      </c>
      <c r="K8824" s="10" t="inlineStr">
        <is>
          <t>N/A</t>
        </is>
      </c>
      <c r="L8824" s="10" t="inlineStr">
        <is>
          <t>Finance, Financial Reporting, Phân Tích Rủi Ro, Pricing Experience, Valuation</t>
        </is>
      </c>
      <c r="M8824" s="10" t="inlineStr">
        <is>
          <t>Healthcare Plan, Training, Awards</t>
        </is>
      </c>
      <c r="N8824" s="11">
        <f>HYPERLINK("https://www.vietnamworks.com/assistant-manager-actuarial-services-2020387-jv","Xem chi tiết")</f>
        <v/>
      </c>
      <c r="O8824" s="10" t="n"/>
    </row>
    <row r="8825">
      <c r="B8825" s="7" t="n">
        <v>8823</v>
      </c>
      <c r="C8825" t="inlineStr">
        <is>
          <t>Trade Marketing Supervisor - Quản Lý Tiếp Thị Thương Mại Kênh GT</t>
        </is>
      </c>
      <c r="D8825" t="inlineStr">
        <is>
          <t>Tập Đoàn Thiên Long - Thien Long Corporation</t>
        </is>
      </c>
      <c r="E8825" t="inlineStr">
        <is>
          <t>Thương lượng</t>
        </is>
      </c>
      <c r="F8825" t="inlineStr">
        <is>
          <t>Hồ Chí Minh</t>
        </is>
      </c>
      <c r="G8825" t="inlineStr">
        <is>
          <t>Nhân viên</t>
        </is>
      </c>
      <c r="H8825" t="inlineStr">
        <is>
          <t>09/03/2026</t>
        </is>
      </c>
      <c r="I8825" t="inlineStr">
        <is>
          <t>08/04/2026</t>
        </is>
      </c>
      <c r="J8825" t="inlineStr">
        <is>
          <t>17/03/2026</t>
        </is>
      </c>
      <c r="K8825" t="inlineStr">
        <is>
          <t>N/A</t>
        </is>
      </c>
      <c r="L8825" t="inlineStr">
        <is>
          <t>Kỹ năng giao tiếp, Phân Tích Dữ Liệu, Tổ Chức Kiểm Soát Công Việc, Quản Lý Ngân Sách</t>
        </is>
      </c>
      <c r="M8825" t="inlineStr">
        <is>
          <t>Bonus, Paid Leave, Training</t>
        </is>
      </c>
      <c r="N8825" s="8">
        <f>HYPERLINK("https://www.vietnamworks.com/trade-marketing-supervisor-quan-ly-tiep-thi-thuong-mai-kenh-gt-2020416-jv","Xem chi tiết")</f>
        <v/>
      </c>
    </row>
    <row r="8826">
      <c r="B8826" s="9" t="n">
        <v>8824</v>
      </c>
      <c r="C8826" s="10" t="inlineStr">
        <is>
          <t>Manager, Industrial Leasing (Mandarin)</t>
        </is>
      </c>
      <c r="D8826" s="10" t="inlineStr">
        <is>
          <t>Frasers Property Vietnam</t>
        </is>
      </c>
      <c r="E8826" s="10" t="inlineStr">
        <is>
          <t>Thương lượng</t>
        </is>
      </c>
      <c r="F8826" s="10" t="inlineStr">
        <is>
          <t>Hà Nội</t>
        </is>
      </c>
      <c r="G8826" s="10" t="inlineStr">
        <is>
          <t>Trưởng phòng</t>
        </is>
      </c>
      <c r="H8826" s="10" t="inlineStr">
        <is>
          <t>09/03/2026</t>
        </is>
      </c>
      <c r="I8826" s="10" t="inlineStr">
        <is>
          <t>08/04/2026</t>
        </is>
      </c>
      <c r="J8826" s="10" t="inlineStr">
        <is>
          <t>17/03/2026</t>
        </is>
      </c>
      <c r="K8826" s="10" t="inlineStr">
        <is>
          <t>N/A</t>
        </is>
      </c>
      <c r="L8826" s="10" t="inlineStr">
        <is>
          <t>Business Development, Business Planning, Client Relationship, Leasing Team Management, Mandarin</t>
        </is>
      </c>
      <c r="M8826" s="10" t="inlineStr">
        <is>
          <t>Bonus, Training, Team Activities</t>
        </is>
      </c>
      <c r="N8826" s="11">
        <f>HYPERLINK("https://www.vietnamworks.com/manager-industrial-leasing-mandarin-2020400-jv","Xem chi tiết")</f>
        <v/>
      </c>
      <c r="O8826" s="10" t="n"/>
    </row>
    <row r="8827">
      <c r="B8827" s="7" t="n">
        <v>8825</v>
      </c>
      <c r="C8827" t="inlineStr">
        <is>
          <t>Kế Toán Tổng Hợp | General Accountant</t>
        </is>
      </c>
      <c r="D8827" t="inlineStr">
        <is>
          <t>Vprint Co., Ltd</t>
        </is>
      </c>
      <c r="E8827" t="inlineStr">
        <is>
          <t>Thương lượng</t>
        </is>
      </c>
      <c r="F8827" t="inlineStr">
        <is>
          <t>Hồ Chí Minh</t>
        </is>
      </c>
      <c r="G8827" t="inlineStr">
        <is>
          <t>Nhân viên</t>
        </is>
      </c>
      <c r="H8827" t="inlineStr">
        <is>
          <t>09/03/2026</t>
        </is>
      </c>
      <c r="I8827" t="inlineStr">
        <is>
          <t>08/04/2026</t>
        </is>
      </c>
      <c r="J8827" t="inlineStr">
        <is>
          <t>17/03/2026</t>
        </is>
      </c>
      <c r="K8827" t="inlineStr">
        <is>
          <t>N/A</t>
        </is>
      </c>
      <c r="L8827" t="inlineStr">
        <is>
          <t>Quản Lý Công Nợ, Hạch Toán Doanh Thu, Kế Toán Tài Chính, Kế Toán Nội Bộ, Kiểm toán tài chính</t>
        </is>
      </c>
      <c r="M8827" t="inlineStr">
        <is>
          <t>Bonus, Healthcare Plan, Training, Travel Opportunities, Others</t>
        </is>
      </c>
      <c r="N8827" s="8">
        <f>HYPERLINK("https://www.vietnamworks.com/ke-toan-tong-hop-or-general-accountant-2020402-jv","Xem chi tiết")</f>
        <v/>
      </c>
    </row>
    <row r="8828">
      <c r="B8828" s="9" t="n">
        <v>8826</v>
      </c>
      <c r="C8828" s="10" t="inlineStr">
        <is>
          <t>Trưởng Phòng Phát Triển Kinh Doanh B2B (Thu Nhập 1 Đến 3 Tháng Lương &amp; Thưởng Esop)</t>
        </is>
      </c>
      <c r="D8828" s="10" t="inlineStr">
        <is>
          <t>MASUTO VIỆT NAM</t>
        </is>
      </c>
      <c r="E8828" s="10" t="inlineStr">
        <is>
          <t>$$ 1,600-2,800 /tháng</t>
        </is>
      </c>
      <c r="F8828" s="10" t="inlineStr">
        <is>
          <t>Hà Nội</t>
        </is>
      </c>
      <c r="G8828" s="10" t="inlineStr">
        <is>
          <t>Trưởng phòng</t>
        </is>
      </c>
      <c r="H8828" s="10" t="inlineStr">
        <is>
          <t>09/03/2026</t>
        </is>
      </c>
      <c r="I8828" s="10" t="inlineStr">
        <is>
          <t>08/04/2026</t>
        </is>
      </c>
      <c r="J8828" s="10" t="inlineStr">
        <is>
          <t>17/03/2026</t>
        </is>
      </c>
      <c r="K8828" s="10" t="inlineStr">
        <is>
          <t>N/A</t>
        </is>
      </c>
      <c r="L8828" s="10" t="inlineStr">
        <is>
          <t>Kinh Doanh B2B, Quản Lý Kinh Doanh B2B, Phát Triển Kinh Doanh</t>
        </is>
      </c>
      <c r="M8828" s="10" t="inlineStr">
        <is>
          <t>Bonus, Training</t>
        </is>
      </c>
      <c r="N8828" s="11">
        <f>HYPERLINK("https://www.vietnamworks.com/truong-phong-phat-trien-kinh-doanh-b2b-thu-nhap-1-den-3-thang-luong-thuong-esop-2020418-jv","Xem chi tiết")</f>
        <v/>
      </c>
      <c r="O8828" s="10" t="n"/>
    </row>
    <row r="8829">
      <c r="B8829" s="7" t="n">
        <v>8827</v>
      </c>
      <c r="C8829" t="inlineStr">
        <is>
          <t>Trưởng Phòng Kiểm Tra Chất Lượng</t>
        </is>
      </c>
      <c r="D8829" t="inlineStr">
        <is>
          <t>Công Ty Cổ Phần Dược Phẩm Vĩnh Phúc</t>
        </is>
      </c>
      <c r="E8829" t="inlineStr">
        <is>
          <t>Thương lượng</t>
        </is>
      </c>
      <c r="F8829" t="inlineStr">
        <is>
          <t>Phú Thọ</t>
        </is>
      </c>
      <c r="G8829" t="inlineStr">
        <is>
          <t>Trưởng phòng</t>
        </is>
      </c>
      <c r="H8829" t="inlineStr">
        <is>
          <t>09/03/2026</t>
        </is>
      </c>
      <c r="I8829" t="inlineStr">
        <is>
          <t>08/04/2026</t>
        </is>
      </c>
      <c r="J8829" t="inlineStr">
        <is>
          <t>17/03/2026</t>
        </is>
      </c>
      <c r="K8829" t="inlineStr">
        <is>
          <t>N/A</t>
        </is>
      </c>
      <c r="L8829" t="inlineStr">
        <is>
          <t>Kiểm Tra Chất Lượng (QA, QC), Phân Tích Hóa Lý, Xét Nghiệm Vi Sinh</t>
        </is>
      </c>
      <c r="M8829" t="inlineStr">
        <is>
          <t>Bonus, Laptop, Transportation</t>
        </is>
      </c>
      <c r="N8829" s="8">
        <f>HYPERLINK("https://www.vietnamworks.com/truong-phong-kiem-tra-chat-luong-2020404-jv","Xem chi tiết")</f>
        <v/>
      </c>
    </row>
    <row r="8830">
      <c r="B8830" s="9" t="n">
        <v>8828</v>
      </c>
      <c r="C8830" s="10" t="inlineStr">
        <is>
          <t>Kế Toán Trưởng Tiếng Trung Thu Nhập Cao (40Tr ++)</t>
        </is>
      </c>
      <c r="D8830" s="10" t="inlineStr">
        <is>
          <t>CÔNG TY TNHH THƯƠNG MẠI VÀ XÂY LẮP MEIKO</t>
        </is>
      </c>
      <c r="E8830" s="10" t="inlineStr">
        <is>
          <t>30tr-40tr ₫/tháng</t>
        </is>
      </c>
      <c r="F8830" s="10" t="inlineStr">
        <is>
          <t>Hòa Bình, Hà Nội</t>
        </is>
      </c>
      <c r="G8830" s="10" t="inlineStr">
        <is>
          <t>Trưởng phòng</t>
        </is>
      </c>
      <c r="H8830" s="10" t="inlineStr">
        <is>
          <t>09/03/2026</t>
        </is>
      </c>
      <c r="I8830" s="10" t="inlineStr">
        <is>
          <t>08/04/2026</t>
        </is>
      </c>
      <c r="J8830" s="10" t="inlineStr">
        <is>
          <t>17/03/2026</t>
        </is>
      </c>
      <c r="K8830" s="10" t="inlineStr">
        <is>
          <t>N/A</t>
        </is>
      </c>
      <c r="L8830" s="10" t="inlineStr">
        <is>
          <t>Báo Cáo Quyết Toán, Cải Tiến Hệ Thống, Kế Toán Trưởng, Kiểm Kê Hàng Hóa, Quản Lý Chi Phí</t>
        </is>
      </c>
      <c r="M8830" s="10" t="inlineStr">
        <is>
          <t>Bonus, Healthcare Plan, Paid Leave, Training, Others</t>
        </is>
      </c>
      <c r="N8830" s="11">
        <f>HYPERLINK("https://www.vietnamworks.com/ke-toan-truong-tieng-trung-thu-nhap-cao-40tr-2020396-jv","Xem chi tiết")</f>
        <v/>
      </c>
      <c r="O8830" s="10" t="n"/>
    </row>
    <row r="8831">
      <c r="B8831" s="7" t="n">
        <v>8829</v>
      </c>
      <c r="C8831" t="inlineStr">
        <is>
          <t>Logistic Officer</t>
        </is>
      </c>
      <c r="D8831" t="inlineStr">
        <is>
          <t>Công Ty TNHH Takahata Precision Việt Nam</t>
        </is>
      </c>
      <c r="E8831" t="inlineStr">
        <is>
          <t>Thương lượng</t>
        </is>
      </c>
      <c r="F8831" t="inlineStr">
        <is>
          <t>Hải Phòng</t>
        </is>
      </c>
      <c r="G8831" t="inlineStr">
        <is>
          <t>Nhân viên</t>
        </is>
      </c>
      <c r="H8831" t="inlineStr">
        <is>
          <t>09/03/2026</t>
        </is>
      </c>
      <c r="I8831" t="inlineStr">
        <is>
          <t>08/04/2026</t>
        </is>
      </c>
      <c r="J8831" t="inlineStr">
        <is>
          <t>17/03/2026</t>
        </is>
      </c>
      <c r="K8831" t="inlineStr">
        <is>
          <t>N/A</t>
        </is>
      </c>
      <c r="L8831" t="inlineStr">
        <is>
          <t>English, Logistics Knowledge</t>
        </is>
      </c>
      <c r="M8831" t="inlineStr">
        <is>
          <t>Bonus, Training, Others</t>
        </is>
      </c>
      <c r="N8831" s="8">
        <f>HYPERLINK("https://www.vietnamworks.com/logistic-officer-5--2020406-jv","Xem chi tiết")</f>
        <v/>
      </c>
    </row>
    <row r="8832">
      <c r="B8832" s="9" t="n">
        <v>8830</v>
      </c>
      <c r="C8832" s="10" t="inlineStr">
        <is>
          <t>Air Staff</t>
        </is>
      </c>
      <c r="D8832" s="10" t="inlineStr">
        <is>
          <t>Công Ty TNHH Logistics Panakor Việt Nam</t>
        </is>
      </c>
      <c r="E8832" s="10" t="inlineStr">
        <is>
          <t>Thương lượng</t>
        </is>
      </c>
      <c r="F8832" s="10" t="inlineStr">
        <is>
          <t>Hà Nội</t>
        </is>
      </c>
      <c r="G8832" s="10" t="inlineStr">
        <is>
          <t>Nhân viên</t>
        </is>
      </c>
      <c r="H8832" s="10" t="inlineStr">
        <is>
          <t>09/03/2026</t>
        </is>
      </c>
      <c r="I8832" s="10" t="inlineStr">
        <is>
          <t>08/04/2026</t>
        </is>
      </c>
      <c r="J8832" s="10" t="inlineStr">
        <is>
          <t>17/03/2026</t>
        </is>
      </c>
      <c r="K8832" s="10" t="inlineStr">
        <is>
          <t>N/A</t>
        </is>
      </c>
      <c r="L8832" s="10" t="inlineStr">
        <is>
          <t>Logistics, Air/Sea Shipments Handling, Air Shipments Management, English, Incident Management</t>
        </is>
      </c>
      <c r="M8832" s="10" t="inlineStr">
        <is>
          <t>Bonus, Healthcare Plan, Paid Leave, Team Activities, Others</t>
        </is>
      </c>
      <c r="N8832" s="11">
        <f>HYPERLINK("https://www.vietnamworks.com/air-staff-2020424-jv","Xem chi tiết")</f>
        <v/>
      </c>
      <c r="O8832" s="10" t="n"/>
    </row>
    <row r="8833">
      <c r="B8833" s="7" t="n">
        <v>8831</v>
      </c>
      <c r="C8833" t="inlineStr">
        <is>
          <t>Social Media Manager</t>
        </is>
      </c>
      <c r="D8833" t="inlineStr">
        <is>
          <t>CÔNG TY TNHH TRUYỀN THÔNG CHI</t>
        </is>
      </c>
      <c r="E8833" t="inlineStr">
        <is>
          <t>Thương lượng</t>
        </is>
      </c>
      <c r="F8833" t="inlineStr">
        <is>
          <t>Hồ Chí Minh</t>
        </is>
      </c>
      <c r="G8833" t="inlineStr">
        <is>
          <t>Trưởng phòng</t>
        </is>
      </c>
      <c r="H8833" t="inlineStr">
        <is>
          <t>09/03/2026</t>
        </is>
      </c>
      <c r="I8833" t="inlineStr">
        <is>
          <t>08/04/2026</t>
        </is>
      </c>
      <c r="J8833" t="inlineStr">
        <is>
          <t>17/03/2026</t>
        </is>
      </c>
      <c r="K8833" t="inlineStr">
        <is>
          <t>N/A</t>
        </is>
      </c>
      <c r="L8833" t="inlineStr">
        <is>
          <t>Communication, media agency experience, Campaigns Development, Ecommerce, Social Media</t>
        </is>
      </c>
      <c r="M8833" t="inlineStr">
        <is>
          <t>Bonus, Others</t>
        </is>
      </c>
      <c r="N8833" s="8">
        <f>HYPERLINK("https://www.vietnamworks.com/social-media-manager-2020422-jv","Xem chi tiết")</f>
        <v/>
      </c>
    </row>
    <row r="8834">
      <c r="B8834" s="9" t="n">
        <v>8832</v>
      </c>
      <c r="C8834" s="10" t="inlineStr">
        <is>
          <t>Trưởng Phòng Xuất Nhập Khẩu</t>
        </is>
      </c>
      <c r="D8834" s="10" t="inlineStr">
        <is>
          <t>Trần Hồng Quân Holdings</t>
        </is>
      </c>
      <c r="E8834" s="10" t="inlineStr">
        <is>
          <t>Thương lượng</t>
        </is>
      </c>
      <c r="F8834" s="10" t="inlineStr">
        <is>
          <t>Lâm Đồng</t>
        </is>
      </c>
      <c r="G8834" s="10" t="inlineStr">
        <is>
          <t>Trưởng phòng</t>
        </is>
      </c>
      <c r="H8834" s="10" t="inlineStr">
        <is>
          <t>09/03/2026</t>
        </is>
      </c>
      <c r="I8834" s="10" t="inlineStr">
        <is>
          <t>08/04/2026</t>
        </is>
      </c>
      <c r="J8834" s="10" t="inlineStr">
        <is>
          <t>17/03/2026</t>
        </is>
      </c>
      <c r="K8834" s="10" t="inlineStr">
        <is>
          <t>N/A</t>
        </is>
      </c>
      <c r="L8834" s="10" t="inlineStr">
        <is>
          <t>Chuyên Ngành Kinh Tế Đối Ngoại, Giao Tiếp Tiếng Anh, Quản Lý Vận Tải, Thương Mại Quốc Tế, Xuất Nhập Khẩu</t>
        </is>
      </c>
      <c r="M8834" s="10" t="inlineStr">
        <is>
          <t>Bonus, Healthcare Plan, Paid Leave, Laptop, Team Activities, Canteen, Others</t>
        </is>
      </c>
      <c r="N8834" s="11">
        <f>HYPERLINK("https://www.vietnamworks.com/truong-phong-xuat-nhap-khau-2020425-jv","Xem chi tiết")</f>
        <v/>
      </c>
      <c r="O8834" s="10" t="n"/>
    </row>
    <row r="8835">
      <c r="B8835" s="7" t="n">
        <v>8833</v>
      </c>
      <c r="C8835" t="inlineStr">
        <is>
          <t>[Hưng Yên] 02 Nhân Viên Phiên Dịch Tiếng Nhật (N2)- Nghỉ Thứ 7 và Chủ Nhật</t>
        </is>
      </c>
      <c r="D8835" t="inlineStr">
        <is>
          <t>Mektec Manufacturing Corporation (Vietnam) Ltd.</t>
        </is>
      </c>
      <c r="E8835" t="inlineStr">
        <is>
          <t>$$ 400-560 /tháng</t>
        </is>
      </c>
      <c r="F8835" t="inlineStr">
        <is>
          <t>Hưng Yên, Hà Nội, Hải Dương</t>
        </is>
      </c>
      <c r="G8835" t="inlineStr">
        <is>
          <t>Nhân viên</t>
        </is>
      </c>
      <c r="H8835" t="inlineStr">
        <is>
          <t>09/03/2026</t>
        </is>
      </c>
      <c r="I8835" t="inlineStr">
        <is>
          <t>08/04/2026</t>
        </is>
      </c>
      <c r="J8835" t="inlineStr">
        <is>
          <t>17/03/2026</t>
        </is>
      </c>
      <c r="K8835" t="inlineStr">
        <is>
          <t>N/A</t>
        </is>
      </c>
      <c r="L8835" t="inlineStr">
        <is>
          <t>Tiếng Nhật N2</t>
        </is>
      </c>
      <c r="M8835" t="inlineStr">
        <is>
          <t>Bonus</t>
        </is>
      </c>
      <c r="N8835" s="8">
        <f>HYPERLINK("https://www.vietnamworks.com/hung-yen-02-nhan-vien-phien-dich-tieng-nhat-n2-nghi-thu-7-va-chu-nhat-2020427-jv","Xem chi tiết")</f>
        <v/>
      </c>
    </row>
    <row r="8836">
      <c r="B8836" s="9" t="n">
        <v>8834</v>
      </c>
      <c r="C8836" s="10" t="inlineStr">
        <is>
          <t xml:space="preserve">Sea Freight Operator </t>
        </is>
      </c>
      <c r="D8836" s="10" t="inlineStr">
        <is>
          <t>Công Ty TNHH In2Log Supply Chain Vietnam</t>
        </is>
      </c>
      <c r="E8836" s="10" t="inlineStr">
        <is>
          <t>$$ 500-600 /tháng</t>
        </is>
      </c>
      <c r="F8836" s="10" t="inlineStr">
        <is>
          <t>Hồ Chí Minh</t>
        </is>
      </c>
      <c r="G8836" s="10" t="inlineStr">
        <is>
          <t>Nhân viên</t>
        </is>
      </c>
      <c r="H8836" s="10" t="inlineStr">
        <is>
          <t>09/03/2026</t>
        </is>
      </c>
      <c r="I8836" s="10" t="inlineStr">
        <is>
          <t>08/04/2026</t>
        </is>
      </c>
      <c r="J8836" s="10" t="inlineStr">
        <is>
          <t>17/03/2026</t>
        </is>
      </c>
      <c r="K8836" s="10" t="inlineStr">
        <is>
          <t>N/A</t>
        </is>
      </c>
      <c r="L8836" s="10" t="inlineStr">
        <is>
          <t>Communication Skills, Freight Forwarding, Interpersonal Skills, Team Work, Job Responsibilities</t>
        </is>
      </c>
      <c r="M8836" s="10" t="inlineStr">
        <is>
          <t>Bonus, Healthcare Plan</t>
        </is>
      </c>
      <c r="N8836" s="11">
        <f>HYPERLINK("https://www.vietnamworks.com/sea-freight-operator-2020420-jv","Xem chi tiết")</f>
        <v/>
      </c>
      <c r="O8836" s="10" t="n"/>
    </row>
    <row r="8837">
      <c r="B8837" s="7" t="n">
        <v>8835</v>
      </c>
      <c r="C8837" t="inlineStr">
        <is>
          <t>Chuyên Viên Marketing (Growth Specialist)</t>
        </is>
      </c>
      <c r="D8837" t="inlineStr">
        <is>
          <t>GSM - Xanh SM</t>
        </is>
      </c>
      <c r="E8837" t="inlineStr">
        <is>
          <t>$$ 800-2,000 /tháng</t>
        </is>
      </c>
      <c r="F8837" t="inlineStr">
        <is>
          <t>Hà Nội</t>
        </is>
      </c>
      <c r="G8837" t="inlineStr">
        <is>
          <t>Nhân viên</t>
        </is>
      </c>
      <c r="H8837" t="inlineStr">
        <is>
          <t>09/03/2026</t>
        </is>
      </c>
      <c r="I8837" t="inlineStr">
        <is>
          <t>08/04/2026</t>
        </is>
      </c>
      <c r="J8837" t="inlineStr">
        <is>
          <t>17/03/2026</t>
        </is>
      </c>
      <c r="K8837" t="inlineStr">
        <is>
          <t>N/A</t>
        </is>
      </c>
      <c r="L8837" t="inlineStr">
        <is>
          <t>Marketing, Campaign Design, Execution Management, Marketing Campaigns, Marketing Planning</t>
        </is>
      </c>
      <c r="M8837" t="inlineStr">
        <is>
          <t>Bonus, Healthcare Plan, Training</t>
        </is>
      </c>
      <c r="N8837" s="8">
        <f>HYPERLINK("https://www.vietnamworks.com/chuyen-vien-marketing-growth-specialist-2020423-jv","Xem chi tiết")</f>
        <v/>
      </c>
    </row>
    <row r="8838">
      <c r="B8838" s="9" t="n">
        <v>8836</v>
      </c>
      <c r="C8838" s="10" t="inlineStr">
        <is>
          <t>Finance Accountant</t>
        </is>
      </c>
      <c r="D8838" s="10" t="inlineStr">
        <is>
          <t>CÔNG TY TNHH SEACAD TECHNOLOGIES VIETNAM</t>
        </is>
      </c>
      <c r="E8838" s="10" t="inlineStr">
        <is>
          <t>Thương lượng</t>
        </is>
      </c>
      <c r="F8838" s="10" t="inlineStr">
        <is>
          <t>Hồ Chí Minh</t>
        </is>
      </c>
      <c r="G8838" s="10" t="inlineStr">
        <is>
          <t>Nhân viên</t>
        </is>
      </c>
      <c r="H8838" s="10" t="inlineStr">
        <is>
          <t>09/03/2026</t>
        </is>
      </c>
      <c r="I8838" s="10" t="inlineStr">
        <is>
          <t>08/04/2026</t>
        </is>
      </c>
      <c r="J8838" s="10" t="inlineStr">
        <is>
          <t>17/03/2026</t>
        </is>
      </c>
      <c r="K8838" s="10" t="inlineStr">
        <is>
          <t>N/A</t>
        </is>
      </c>
      <c r="L8838" s="10" t="inlineStr">
        <is>
          <t>Accounting Transactions, Bookkeeping, Payroll, MS Excel, Customs Declaration</t>
        </is>
      </c>
      <c r="M8838" s="10" t="inlineStr">
        <is>
          <t>Bonus, Training, Team Activities</t>
        </is>
      </c>
      <c r="N8838" s="11">
        <f>HYPERLINK("https://www.vietnamworks.com/finance-accountant-2020428-jv","Xem chi tiết")</f>
        <v/>
      </c>
      <c r="O8838" s="10" t="n"/>
    </row>
    <row r="8839">
      <c r="B8839" s="7" t="n">
        <v>8837</v>
      </c>
      <c r="C8839" t="inlineStr">
        <is>
          <t>AR Team Leader</t>
        </is>
      </c>
      <c r="D8839" t="inlineStr">
        <is>
          <t>Asia Chemical Corporation</t>
        </is>
      </c>
      <c r="E8839" t="inlineStr">
        <is>
          <t>Thương lượng</t>
        </is>
      </c>
      <c r="F8839" t="inlineStr">
        <is>
          <t>Hồ Chí Minh</t>
        </is>
      </c>
      <c r="G8839" t="inlineStr">
        <is>
          <t>Nhân viên</t>
        </is>
      </c>
      <c r="H8839" t="inlineStr">
        <is>
          <t>09/03/2026</t>
        </is>
      </c>
      <c r="I8839" t="inlineStr">
        <is>
          <t>08/04/2026</t>
        </is>
      </c>
      <c r="J8839" t="inlineStr">
        <is>
          <t>17/03/2026</t>
        </is>
      </c>
      <c r="K8839" t="inlineStr">
        <is>
          <t>N/A</t>
        </is>
      </c>
      <c r="L8839" t="inlineStr">
        <is>
          <t>Account Receivable, Kế Toán Công Nợ, AR</t>
        </is>
      </c>
      <c r="M8839" t="inlineStr">
        <is>
          <t>Bonus, Healthcare Plan, Training</t>
        </is>
      </c>
      <c r="N8839" s="8">
        <f>HYPERLINK("https://www.vietnamworks.com/ar-team-leader--2020433-jv","Xem chi tiết")</f>
        <v/>
      </c>
    </row>
    <row r="8840">
      <c r="B8840" s="9" t="n">
        <v>8838</v>
      </c>
      <c r="C8840" s="10" t="inlineStr">
        <is>
          <t>Admin Kiêm Quản Lý Kho Vật Tư/ Warehouse &amp; Admin Officer</t>
        </is>
      </c>
      <c r="D8840" s="10" t="inlineStr">
        <is>
          <t>Glazedfrog Australia Pty. Ltd.</t>
        </is>
      </c>
      <c r="E8840" s="10" t="inlineStr">
        <is>
          <t>15tr-20tr ₫/tháng</t>
        </is>
      </c>
      <c r="F8840" s="10" t="inlineStr">
        <is>
          <t>Đồng Nai</t>
        </is>
      </c>
      <c r="G8840" s="10" t="inlineStr">
        <is>
          <t>Nhân viên</t>
        </is>
      </c>
      <c r="H8840" s="10" t="inlineStr">
        <is>
          <t>09/03/2026</t>
        </is>
      </c>
      <c r="I8840" s="10" t="inlineStr">
        <is>
          <t>08/04/2026</t>
        </is>
      </c>
      <c r="J8840" s="10" t="inlineStr">
        <is>
          <t>17/03/2026</t>
        </is>
      </c>
      <c r="K8840" s="10" t="inlineStr">
        <is>
          <t>N/A</t>
        </is>
      </c>
      <c r="L8840" s="10" t="inlineStr">
        <is>
          <t>Administrative Support, English, Inventory Management, MS Excel, Warehouse Administration</t>
        </is>
      </c>
      <c r="M8840" s="10" t="inlineStr">
        <is>
          <t>Healthcare Plan, Awards, Team Activities</t>
        </is>
      </c>
      <c r="N8840" s="11">
        <f>HYPERLINK("https://www.vietnamworks.com/admin-kiem-quan-ly-kho-vat-tu-warehouse-and-admin-officer-2020430-jv","Xem chi tiết")</f>
        <v/>
      </c>
      <c r="O8840" s="10" t="n"/>
    </row>
    <row r="8841">
      <c r="B8841" s="7" t="n">
        <v>8839</v>
      </c>
      <c r="C8841" t="inlineStr">
        <is>
          <t>Nam Nhân Viên Hành Chính Văn Phòng Làm Việc Tại Hà Nội</t>
        </is>
      </c>
      <c r="D8841" t="inlineStr">
        <is>
          <t>Công ty CP Tư vấn và Dịch vụ Viettel</t>
        </is>
      </c>
      <c r="E8841" t="inlineStr">
        <is>
          <t>Tới 20tr ₫/tháng</t>
        </is>
      </c>
      <c r="F8841" t="inlineStr">
        <is>
          <t>Hà Nội</t>
        </is>
      </c>
      <c r="G8841" t="inlineStr">
        <is>
          <t>Mới Tốt Nghiệp</t>
        </is>
      </c>
      <c r="H8841" t="inlineStr">
        <is>
          <t>09/03/2026</t>
        </is>
      </c>
      <c r="I8841" t="inlineStr">
        <is>
          <t>08/04/2026</t>
        </is>
      </c>
      <c r="J8841" t="inlineStr">
        <is>
          <t>17/03/2026</t>
        </is>
      </c>
      <c r="K8841" t="inlineStr">
        <is>
          <t>N/A</t>
        </is>
      </c>
      <c r="L8841" t="inlineStr">
        <is>
          <t>Hành Chính Nhân Sự, Quản Trị Nhân Lực, Tuyển Dụng, Nhân Sự, Quản Trị Hồ Sơ</t>
        </is>
      </c>
      <c r="M8841" t="inlineStr">
        <is>
          <t>Bonus, Others</t>
        </is>
      </c>
      <c r="N8841" s="8">
        <f>HYPERLINK("https://www.vietnamworks.com/nam-nhan-vien-hanh-chinh-van-phong-lam-viec-tai-ha-noi-2020432-jv","Xem chi tiết")</f>
        <v/>
      </c>
    </row>
    <row r="8842">
      <c r="B8842" s="9" t="n">
        <v>8840</v>
      </c>
      <c r="C8842" s="10" t="inlineStr">
        <is>
          <t>Kế Toán Tổng Hợp</t>
        </is>
      </c>
      <c r="D8842" s="10" t="inlineStr">
        <is>
          <t>Công Ty Cổ Phần Thaiholdings</t>
        </is>
      </c>
      <c r="E8842" s="10" t="inlineStr">
        <is>
          <t>Thương lượng</t>
        </is>
      </c>
      <c r="F8842" s="10" t="inlineStr">
        <is>
          <t>Hà Nội</t>
        </is>
      </c>
      <c r="G8842" s="10" t="inlineStr">
        <is>
          <t>Nhân viên</t>
        </is>
      </c>
      <c r="H8842" s="10" t="inlineStr">
        <is>
          <t>09/03/2026</t>
        </is>
      </c>
      <c r="I8842" s="10" t="inlineStr">
        <is>
          <t>08/04/2026</t>
        </is>
      </c>
      <c r="J8842" s="10" t="inlineStr">
        <is>
          <t>17/03/2026</t>
        </is>
      </c>
      <c r="K8842" s="10" t="inlineStr">
        <is>
          <t>N/A</t>
        </is>
      </c>
      <c r="L8842" s="10" t="inlineStr">
        <is>
          <t>Kế Toán Tổng Hợp, Kế Toán, Kiểm Toán, Tài Chính, Báo Cáo Tài Chính</t>
        </is>
      </c>
      <c r="M8842" s="10" t="inlineStr">
        <is>
          <t>Bonus, Healthcare Plan, Team Activities</t>
        </is>
      </c>
      <c r="N8842" s="11">
        <f>HYPERLINK("https://www.vietnamworks.com/ke-toan-tong-hop--2020437-jv","Xem chi tiết")</f>
        <v/>
      </c>
      <c r="O8842" s="10" t="n"/>
    </row>
    <row r="8843">
      <c r="B8843" s="7" t="n">
        <v>8841</v>
      </c>
      <c r="C8843" t="inlineStr">
        <is>
          <t>HR Admin Specialist – Notebook Department</t>
        </is>
      </c>
      <c r="D8843" t="inlineStr">
        <is>
          <t>VPĐD MSI PACIFIC INTERNATIONAL HOLDING CO., LTD TẠI TP.HCM</t>
        </is>
      </c>
      <c r="E8843" t="inlineStr">
        <is>
          <t>Thương lượng</t>
        </is>
      </c>
      <c r="F8843" t="inlineStr">
        <is>
          <t>Hồ Chí Minh</t>
        </is>
      </c>
      <c r="G8843" t="inlineStr">
        <is>
          <t>Nhân viên</t>
        </is>
      </c>
      <c r="H8843" t="inlineStr">
        <is>
          <t>09/03/2026</t>
        </is>
      </c>
      <c r="I8843" t="inlineStr">
        <is>
          <t>08/04/2026</t>
        </is>
      </c>
      <c r="J8843" t="inlineStr">
        <is>
          <t>17/03/2026</t>
        </is>
      </c>
      <c r="K8843" t="inlineStr">
        <is>
          <t>N/A</t>
        </is>
      </c>
      <c r="L8843" t="inlineStr">
        <is>
          <t>Giao Tiếp, HR &amp; Admin, Business Administration, Notebook, HR specialist</t>
        </is>
      </c>
      <c r="M8843" t="inlineStr">
        <is>
          <t>Bonus, Healthcare Plan, Travel Opportunities</t>
        </is>
      </c>
      <c r="N8843" s="8">
        <f>HYPERLINK("https://www.vietnamworks.com/hr-admin-specialist-notebook-department-2020435-jv","Xem chi tiết")</f>
        <v/>
      </c>
    </row>
    <row r="8844">
      <c r="B8844" s="9" t="n">
        <v>8842</v>
      </c>
      <c r="C8844" s="10" t="inlineStr">
        <is>
          <t>Shop Drawing / Thiết Kế Gia Công – Fresher Welcome</t>
        </is>
      </c>
      <c r="D8844" s="10" t="inlineStr">
        <is>
          <t>BMB&amp;A JSC.</t>
        </is>
      </c>
      <c r="E8844" s="10" t="inlineStr">
        <is>
          <t>12tr-18tr ₫/tháng</t>
        </is>
      </c>
      <c r="F8844" s="10" t="inlineStr">
        <is>
          <t>Hồ Chí Minh</t>
        </is>
      </c>
      <c r="G8844" s="10" t="inlineStr">
        <is>
          <t>Mới Tốt Nghiệp</t>
        </is>
      </c>
      <c r="H8844" s="10" t="inlineStr">
        <is>
          <t>09/03/2026</t>
        </is>
      </c>
      <c r="I8844" s="10" t="inlineStr">
        <is>
          <t>08/04/2026</t>
        </is>
      </c>
      <c r="J8844" s="10" t="inlineStr">
        <is>
          <t>17/03/2026</t>
        </is>
      </c>
      <c r="K8844" s="10" t="inlineStr">
        <is>
          <t>N/A</t>
        </is>
      </c>
      <c r="L8844" s="10" t="inlineStr">
        <is>
          <t>AutoCAD, Tekla Structures, Structural Design, Thiết Kế Kết Cấu Thép, Shop Drawing</t>
        </is>
      </c>
      <c r="M8844" s="10" t="inlineStr">
        <is>
          <t>Bonus, Healthcare Plan, Training, Travel Opportunities, Others</t>
        </is>
      </c>
      <c r="N8844" s="11">
        <f>HYPERLINK("https://www.vietnamworks.com/shop-drawing-thiet-ke-gia-cong-fresher-welcome-2020440-jv","Xem chi tiết")</f>
        <v/>
      </c>
      <c r="O8844" s="10" t="n"/>
    </row>
    <row r="8845">
      <c r="B8845" s="7" t="n">
        <v>8843</v>
      </c>
      <c r="C8845" t="inlineStr">
        <is>
          <t>Sales – Ho Chi Minh City</t>
        </is>
      </c>
      <c r="D8845" t="inlineStr">
        <is>
          <t>Orient Express Container Co., Ltd</t>
        </is>
      </c>
      <c r="E8845" t="inlineStr">
        <is>
          <t>Thương lượng</t>
        </is>
      </c>
      <c r="F8845" t="inlineStr">
        <is>
          <t>Hồ Chí Minh</t>
        </is>
      </c>
      <c r="G8845" t="inlineStr">
        <is>
          <t>Nhân viên</t>
        </is>
      </c>
      <c r="H8845" t="inlineStr">
        <is>
          <t>09/03/2026</t>
        </is>
      </c>
      <c r="I8845" t="inlineStr">
        <is>
          <t>08/04/2026</t>
        </is>
      </c>
      <c r="J8845" t="inlineStr">
        <is>
          <t>17/03/2026</t>
        </is>
      </c>
      <c r="K8845" t="inlineStr">
        <is>
          <t>N/A</t>
        </is>
      </c>
      <c r="L8845" t="inlineStr">
        <is>
          <t>Shipping Business, Sea Freight, Sales Planning, Chinese, New Customer Acquisitions</t>
        </is>
      </c>
      <c r="M8845" t="inlineStr">
        <is>
          <t>Bonus, Healthcare Plan, Paid Leave</t>
        </is>
      </c>
      <c r="N8845" s="8">
        <f>HYPERLINK("https://www.vietnamworks.com/sales-ho-chi-minh-city--2020439-jv","Xem chi tiết")</f>
        <v/>
      </c>
    </row>
    <row r="8846">
      <c r="B8846" s="9" t="n">
        <v>8844</v>
      </c>
      <c r="C8846" s="10" t="inlineStr">
        <is>
          <t>Chuyên Viên Kiểm Soát</t>
        </is>
      </c>
      <c r="D8846" s="10" t="inlineStr">
        <is>
          <t>Công Ty Cổ Phần Thaiholdings</t>
        </is>
      </c>
      <c r="E8846" s="10" t="inlineStr">
        <is>
          <t>Thương lượng</t>
        </is>
      </c>
      <c r="F8846" s="10" t="inlineStr">
        <is>
          <t>Hà Nội</t>
        </is>
      </c>
      <c r="G8846" s="10" t="inlineStr">
        <is>
          <t>Nhân viên</t>
        </is>
      </c>
      <c r="H8846" s="10" t="inlineStr">
        <is>
          <t>09/03/2026</t>
        </is>
      </c>
      <c r="I8846" s="10" t="inlineStr">
        <is>
          <t>08/04/2026</t>
        </is>
      </c>
      <c r="J8846" s="10" t="inlineStr">
        <is>
          <t>17/03/2026</t>
        </is>
      </c>
      <c r="K8846" s="10" t="inlineStr">
        <is>
          <t>N/A</t>
        </is>
      </c>
      <c r="L8846" s="10" t="inlineStr">
        <is>
          <t>Kế Toán, Kiểm Toán Nội Bộ, Kiểm Toán, Kiểm Soát Nội Bộ, Internal Control</t>
        </is>
      </c>
      <c r="M8846" s="10" t="inlineStr">
        <is>
          <t>Bonus, Healthcare Plan, Team Activities</t>
        </is>
      </c>
      <c r="N8846" s="11">
        <f>HYPERLINK("https://www.vietnamworks.com/chuyen-vien-kiem-soat--2020434-jv","Xem chi tiết")</f>
        <v/>
      </c>
      <c r="O8846" s="10" t="n"/>
    </row>
    <row r="8847">
      <c r="B8847" s="7" t="n">
        <v>8845</v>
      </c>
      <c r="C8847" t="inlineStr">
        <is>
          <t>Data Analytics &amp; Pricing Policy Expert</t>
        </is>
      </c>
      <c r="D8847" t="inlineStr">
        <is>
          <t>Công Ty Cổ Phần Vàng Bạc Đá Quý Phú Nhuận (PNJ)</t>
        </is>
      </c>
      <c r="E8847" t="inlineStr">
        <is>
          <t>$$ 2,000-3,000 /tháng</t>
        </is>
      </c>
      <c r="F8847" t="inlineStr">
        <is>
          <t>Hồ Chí Minh</t>
        </is>
      </c>
      <c r="G8847" t="inlineStr">
        <is>
          <t>Trưởng phòng</t>
        </is>
      </c>
      <c r="H8847" t="inlineStr">
        <is>
          <t>09/03/2026</t>
        </is>
      </c>
      <c r="I8847" t="inlineStr">
        <is>
          <t>08/04/2026</t>
        </is>
      </c>
      <c r="J8847" t="inlineStr">
        <is>
          <t>17/03/2026</t>
        </is>
      </c>
      <c r="K8847" t="inlineStr">
        <is>
          <t>N/A</t>
        </is>
      </c>
      <c r="L8847" t="inlineStr">
        <is>
          <t>Analytical Thinking, Data Analysis, Excel Proficiency, Forecasting Model, Pricing Strategy</t>
        </is>
      </c>
      <c r="M8847" t="inlineStr">
        <is>
          <t>Bonus</t>
        </is>
      </c>
      <c r="N8847" s="8">
        <f>HYPERLINK("https://www.vietnamworks.com/data-analytics-and-pricing-policy-expert-2020429-jv","Xem chi tiết")</f>
        <v/>
      </c>
    </row>
    <row r="8848">
      <c r="B8848" s="9" t="n">
        <v>8846</v>
      </c>
      <c r="C8848" s="10" t="inlineStr">
        <is>
          <t>Kỹ Sư Giám Sát Kết Cấu Thép - Làm Việc Tại Dự Án Điện Mặt Trời PV Quy Mô Lớn</t>
        </is>
      </c>
      <c r="D8848" s="10" t="inlineStr">
        <is>
          <t>CÔNG TY CỔ PHẦN TONA SYNTEGRA SOLAR</t>
        </is>
      </c>
      <c r="E8848" s="10" t="inlineStr">
        <is>
          <t>Thương lượng</t>
        </is>
      </c>
      <c r="F8848" s="10" t="inlineStr">
        <is>
          <t>Hồ Chí Minh, Thanh Hóa</t>
        </is>
      </c>
      <c r="G8848" s="10" t="inlineStr">
        <is>
          <t>Nhân viên</t>
        </is>
      </c>
      <c r="H8848" s="10" t="inlineStr">
        <is>
          <t>09/03/2026</t>
        </is>
      </c>
      <c r="I8848" s="10" t="inlineStr">
        <is>
          <t>08/04/2026</t>
        </is>
      </c>
      <c r="J8848" s="10" t="inlineStr">
        <is>
          <t>17/03/2026</t>
        </is>
      </c>
      <c r="K8848" s="10" t="inlineStr">
        <is>
          <t>N/A</t>
        </is>
      </c>
      <c r="L8848" s="10" t="inlineStr">
        <is>
          <t>Giám Sát Thi Công, Kết Cấu Thép, AutoCAD, MS Office, Gia Công Áp Lực</t>
        </is>
      </c>
      <c r="M8848" s="10" t="inlineStr">
        <is>
          <t>Bonus, Healthcare Plan, Training, Others</t>
        </is>
      </c>
      <c r="N8848" s="11">
        <f>HYPERLINK("https://www.vietnamworks.com/ky-su-giam-sat-ket-cau-thep-lam-viec-tai-du-an-djien-mat-troi-pv-quy-mo-lon-2020438-jv","Xem chi tiết")</f>
        <v/>
      </c>
      <c r="O8848" s="10" t="n"/>
    </row>
    <row r="8849">
      <c r="B8849" s="7" t="n">
        <v>8847</v>
      </c>
      <c r="C8849" t="inlineStr">
        <is>
          <t>Kỹ Sư MEP (Điện/ Nước/ HVAC)</t>
        </is>
      </c>
      <c r="D8849" t="inlineStr">
        <is>
          <t>Công Ty Cổ Phần Inno</t>
        </is>
      </c>
      <c r="E8849" t="inlineStr">
        <is>
          <t>15tr-30tr ₫/tháng</t>
        </is>
      </c>
      <c r="F8849" t="inlineStr">
        <is>
          <t>Hà Nội, Hồ Chí Minh</t>
        </is>
      </c>
      <c r="G8849" t="inlineStr">
        <is>
          <t>Nhân viên</t>
        </is>
      </c>
      <c r="H8849" t="inlineStr">
        <is>
          <t>09/03/2026</t>
        </is>
      </c>
      <c r="I8849" t="inlineStr">
        <is>
          <t>08/04/2026</t>
        </is>
      </c>
      <c r="J8849" t="inlineStr">
        <is>
          <t>17/03/2026</t>
        </is>
      </c>
      <c r="K8849" t="inlineStr">
        <is>
          <t>N/A</t>
        </is>
      </c>
      <c r="L8849" t="inlineStr">
        <is>
          <t>AutoCAD, BIM Revit, MEP Design, Thi Công Hệ Thống MEP, Thiết Kế Hệ Thống MEP</t>
        </is>
      </c>
      <c r="M8849" t="inlineStr">
        <is>
          <t>Bonus, Healthcare Plan, Paid Leave, Training, Laptop, Team Activities</t>
        </is>
      </c>
      <c r="N8849" s="8">
        <f>HYPERLINK("https://www.vietnamworks.com/ky-su-mep-dien-nuoc-hvac-2020436-jv","Xem chi tiết")</f>
        <v/>
      </c>
    </row>
    <row r="8850">
      <c r="B8850" s="9" t="n">
        <v>8848</v>
      </c>
      <c r="C8850" s="10" t="inlineStr">
        <is>
          <t>Phó Phòng Đầu Tư</t>
        </is>
      </c>
      <c r="D8850" s="10" t="inlineStr">
        <is>
          <t>Công Ty CP Chứng Khoán Bảo Minh</t>
        </is>
      </c>
      <c r="E8850" s="10" t="inlineStr">
        <is>
          <t>Thương lượng</t>
        </is>
      </c>
      <c r="F8850" s="10" t="inlineStr">
        <is>
          <t>Hồ Chí Minh</t>
        </is>
      </c>
      <c r="G8850" s="10" t="inlineStr">
        <is>
          <t>Trưởng phòng</t>
        </is>
      </c>
      <c r="H8850" s="10" t="inlineStr">
        <is>
          <t>09/03/2026</t>
        </is>
      </c>
      <c r="I8850" s="10" t="inlineStr">
        <is>
          <t>08/04/2026</t>
        </is>
      </c>
      <c r="J8850" s="10" t="inlineStr">
        <is>
          <t>17/03/2026</t>
        </is>
      </c>
      <c r="K8850" s="10" t="inlineStr">
        <is>
          <t>N/A</t>
        </is>
      </c>
      <c r="L8850" s="10" t="inlineStr">
        <is>
          <t>Chiến Lược Đầu Tư, Quản Lý Danh Mục, Phân Tích Tài Chính, Giao Tiếp Tiếng Anh, Kinh Tế</t>
        </is>
      </c>
      <c r="M8850" s="10" t="inlineStr">
        <is>
          <t>Bonus, Healthcare Plan, Training, Others</t>
        </is>
      </c>
      <c r="N8850" s="11">
        <f>HYPERLINK("https://www.vietnamworks.com/pho-phong-djau-tu-2020442-jv","Xem chi tiết")</f>
        <v/>
      </c>
      <c r="O8850" s="10" t="n"/>
    </row>
    <row r="8851">
      <c r="B8851" s="7" t="n">
        <v>8849</v>
      </c>
      <c r="C8851" t="inlineStr">
        <is>
          <t>Điều Phối Dự Án - Làm Việc Tại Dự Án Điện Mặt Trời PV Quy Mô Lớn</t>
        </is>
      </c>
      <c r="D8851" t="inlineStr">
        <is>
          <t>CÔNG TY CỔ PHẦN TONA SYNTEGRA SOLAR</t>
        </is>
      </c>
      <c r="E8851" t="inlineStr">
        <is>
          <t>Thương lượng</t>
        </is>
      </c>
      <c r="F8851" t="inlineStr">
        <is>
          <t>Hồ Chí Minh, Thanh Hóa</t>
        </is>
      </c>
      <c r="G8851" t="inlineStr">
        <is>
          <t>Nhân viên</t>
        </is>
      </c>
      <c r="H8851" t="inlineStr">
        <is>
          <t>09/03/2026</t>
        </is>
      </c>
      <c r="I8851" t="inlineStr">
        <is>
          <t>08/04/2026</t>
        </is>
      </c>
      <c r="J8851" t="inlineStr">
        <is>
          <t>17/03/2026</t>
        </is>
      </c>
      <c r="K8851" t="inlineStr">
        <is>
          <t>N/A</t>
        </is>
      </c>
      <c r="L8851" t="inlineStr">
        <is>
          <t>Xây Dựng, Kết Cấu Thép, Kỹ Thuật Công Trình, Cơ Điện, Quản Lý Tài Sản</t>
        </is>
      </c>
      <c r="M8851" t="inlineStr">
        <is>
          <t>Bonus, Healthcare Plan, Training, Others</t>
        </is>
      </c>
      <c r="N8851" s="8">
        <f>HYPERLINK("https://www.vietnamworks.com/djieu-phoi-du-an-lam-viec-tai-du-an-djien-mat-troi-pv-quy-mo-lon-2020447-jv","Xem chi tiết")</f>
        <v/>
      </c>
    </row>
    <row r="8852">
      <c r="B8852" s="9" t="n">
        <v>8850</v>
      </c>
      <c r="C8852" s="10" t="inlineStr">
        <is>
          <t>Trợ Lý Văn Phòng Tiếng Trung</t>
        </is>
      </c>
      <c r="D8852" s="10" t="inlineStr">
        <is>
          <t>CÔNG TY TNHH YAOYAO VIETNAM INFO TECH</t>
        </is>
      </c>
      <c r="E8852" s="10" t="inlineStr">
        <is>
          <t>$$ 600-800 /tháng</t>
        </is>
      </c>
      <c r="F8852" s="10" t="inlineStr">
        <is>
          <t>Hồ Chí Minh</t>
        </is>
      </c>
      <c r="G8852" s="10" t="inlineStr">
        <is>
          <t>Mới Tốt Nghiệp</t>
        </is>
      </c>
      <c r="H8852" s="10" t="inlineStr">
        <is>
          <t>09/03/2026</t>
        </is>
      </c>
      <c r="I8852" s="10" t="inlineStr">
        <is>
          <t>08/04/2026</t>
        </is>
      </c>
      <c r="J8852" s="10" t="inlineStr">
        <is>
          <t>17/03/2026</t>
        </is>
      </c>
      <c r="K8852" s="10" t="inlineStr">
        <is>
          <t>N/A</t>
        </is>
      </c>
      <c r="L8852" s="10" t="inlineStr">
        <is>
          <t>Tiếng Trung, Assistant, Chinese, Contract Management, Sample Management</t>
        </is>
      </c>
      <c r="M8852" s="10" t="inlineStr">
        <is>
          <t>Laptop, Team Activities, Canteen</t>
        </is>
      </c>
      <c r="N8852" s="11">
        <f>HYPERLINK("https://www.vietnamworks.com/tro-ly-van-phong-tieng-trung--2020443-jv","Xem chi tiết")</f>
        <v/>
      </c>
      <c r="O8852" s="10" t="n"/>
    </row>
    <row r="8853">
      <c r="B8853" s="7" t="n">
        <v>8851</v>
      </c>
      <c r="C8853" t="inlineStr">
        <is>
          <t>Phó Trưởng Phòng Dịch Vụ Logistics</t>
        </is>
      </c>
      <c r="D8853" t="inlineStr">
        <is>
          <t>Công Ty Cổ Phần Đầu Tư Xuất Nhập Khẩu Phúc Thịnh</t>
        </is>
      </c>
      <c r="E8853" t="inlineStr">
        <is>
          <t>Tới 35tr ₫/tháng</t>
        </is>
      </c>
      <c r="F8853" t="inlineStr">
        <is>
          <t>Hồ Chí Minh</t>
        </is>
      </c>
      <c r="G8853" t="inlineStr">
        <is>
          <t>Trưởng phòng</t>
        </is>
      </c>
      <c r="H8853" t="inlineStr">
        <is>
          <t>09/03/2026</t>
        </is>
      </c>
      <c r="I8853" t="inlineStr">
        <is>
          <t>08/04/2026</t>
        </is>
      </c>
      <c r="J8853" t="inlineStr">
        <is>
          <t>17/03/2026</t>
        </is>
      </c>
      <c r="K8853" t="inlineStr">
        <is>
          <t>N/A</t>
        </is>
      </c>
      <c r="L8853" t="inlineStr">
        <is>
          <t>Xuất Nhập Khẩu, logistic management, Báo Cáo Quyết Toán, Kinh Tế Đối Ngoại, Điều Phối Đơn Hàng</t>
        </is>
      </c>
      <c r="M8853" t="inlineStr">
        <is>
          <t>Bonus, Healthcare Plan</t>
        </is>
      </c>
      <c r="N8853" s="8">
        <f>HYPERLINK("https://www.vietnamworks.com/pho-truong-phong-dich-vu-logistics-2020445-jv","Xem chi tiết")</f>
        <v/>
      </c>
    </row>
    <row r="8854">
      <c r="B8854" s="9" t="n">
        <v>8852</v>
      </c>
      <c r="C8854" s="10" t="inlineStr">
        <is>
          <t>Nhân Viên Pháp Chế</t>
        </is>
      </c>
      <c r="D8854" s="10" t="inlineStr">
        <is>
          <t>Công Ty Cổ Phần Truyền Thông Toàn Cầu Omega</t>
        </is>
      </c>
      <c r="E8854" s="10" t="inlineStr">
        <is>
          <t>Thương lượng</t>
        </is>
      </c>
      <c r="F8854" s="10" t="inlineStr">
        <is>
          <t>Hà Nội</t>
        </is>
      </c>
      <c r="G8854" s="10" t="inlineStr">
        <is>
          <t>Nhân viên</t>
        </is>
      </c>
      <c r="H8854" s="10" t="inlineStr">
        <is>
          <t>09/03/2026</t>
        </is>
      </c>
      <c r="I8854" s="10" t="inlineStr">
        <is>
          <t>08/04/2026</t>
        </is>
      </c>
      <c r="J8854" s="10" t="inlineStr">
        <is>
          <t>17/03/2026</t>
        </is>
      </c>
      <c r="K8854" s="10" t="inlineStr">
        <is>
          <t>N/A</t>
        </is>
      </c>
      <c r="L8854" s="10" t="inlineStr">
        <is>
          <t>Luật Doanh Nghiệp, Luật Lao Động, Luật Đầu Tư, Kỹ năng giao tiêp, Tư duy phản biện</t>
        </is>
      </c>
      <c r="M8854" s="10" t="inlineStr">
        <is>
          <t>Bonus, Healthcare Plan, Team Activities, Others</t>
        </is>
      </c>
      <c r="N8854" s="11">
        <f>HYPERLINK("https://www.vietnamworks.com/nhan-vien-phap-che-2020464-jv","Xem chi tiết")</f>
        <v/>
      </c>
      <c r="O8854" s="10" t="n"/>
    </row>
    <row r="8855">
      <c r="B8855" s="7" t="n">
        <v>8853</v>
      </c>
      <c r="C8855" t="inlineStr">
        <is>
          <t>Senior Product Executive</t>
        </is>
      </c>
      <c r="D8855" t="inlineStr">
        <is>
          <t>Công Ty TNHH Dragonfly Select Brands Vietnam</t>
        </is>
      </c>
      <c r="E8855" t="inlineStr">
        <is>
          <t>15tr-20tr ₫/tháng</t>
        </is>
      </c>
      <c r="F8855" t="inlineStr">
        <is>
          <t>Hồ Chí Minh</t>
        </is>
      </c>
      <c r="G8855" t="inlineStr">
        <is>
          <t>Nhân viên</t>
        </is>
      </c>
      <c r="H8855" t="inlineStr">
        <is>
          <t>09/03/2026</t>
        </is>
      </c>
      <c r="I8855" t="inlineStr">
        <is>
          <t>08/04/2026</t>
        </is>
      </c>
      <c r="J8855" t="inlineStr">
        <is>
          <t>17/03/2026</t>
        </is>
      </c>
      <c r="K8855" t="inlineStr">
        <is>
          <t>N/A</t>
        </is>
      </c>
      <c r="L8855" t="inlineStr">
        <is>
          <t>Data Analysis, Forecasting, Business Analysis, BI Tools, Demand Planning</t>
        </is>
      </c>
      <c r="M8855" t="inlineStr">
        <is>
          <t>Bonus, Paid Leave, Others</t>
        </is>
      </c>
      <c r="N8855" s="8">
        <f>HYPERLINK("https://www.vietnamworks.com/senior-product-executive-2020454-jv","Xem chi tiết")</f>
        <v/>
      </c>
    </row>
    <row r="8856">
      <c r="B8856" s="9" t="n">
        <v>8854</v>
      </c>
      <c r="C8856" s="10" t="inlineStr">
        <is>
          <t>Trưởng Phòng R&amp;D</t>
        </is>
      </c>
      <c r="D8856" s="10" t="inlineStr">
        <is>
          <t>Công Ty Cổ Phần VNT Invest Group</t>
        </is>
      </c>
      <c r="E8856" s="10" t="inlineStr">
        <is>
          <t>Thương lượng</t>
        </is>
      </c>
      <c r="F8856" s="10" t="inlineStr">
        <is>
          <t>Hà Nội</t>
        </is>
      </c>
      <c r="G8856" s="10" t="inlineStr">
        <is>
          <t>Nhân viên</t>
        </is>
      </c>
      <c r="H8856" s="10" t="inlineStr">
        <is>
          <t>09/03/2026</t>
        </is>
      </c>
      <c r="I8856" s="10" t="inlineStr">
        <is>
          <t>08/04/2026</t>
        </is>
      </c>
      <c r="J8856" s="10" t="inlineStr">
        <is>
          <t>17/03/2026</t>
        </is>
      </c>
      <c r="K8856" s="10" t="inlineStr">
        <is>
          <t>N/A</t>
        </is>
      </c>
      <c r="L8856" s="10" t="inlineStr">
        <is>
          <t>Lập Phương Án Dòng Tiền, Phân Tích Đầu Tư, Phát Triển Dự Án, Tìm Kiếm Dự Án Bất Động Sản, Đánh Giá Dự Án</t>
        </is>
      </c>
      <c r="M8856" s="10" t="inlineStr">
        <is>
          <t>Bonus, Healthcare Plan, Transportation, Others</t>
        </is>
      </c>
      <c r="N8856" s="11">
        <f>HYPERLINK("https://www.vietnamworks.com/truong-phong-randd-2020466-jv","Xem chi tiết")</f>
        <v/>
      </c>
      <c r="O8856" s="10" t="n"/>
    </row>
    <row r="8857">
      <c r="B8857" s="7" t="n">
        <v>8855</v>
      </c>
      <c r="C8857" t="inlineStr">
        <is>
          <t>Nhân Viên Vật Tư</t>
        </is>
      </c>
      <c r="D8857" t="inlineStr">
        <is>
          <t>Kwangjin Vietnam Co., Ltd</t>
        </is>
      </c>
      <c r="E8857" t="inlineStr">
        <is>
          <t>Thương lượng</t>
        </is>
      </c>
      <c r="F8857" t="inlineStr">
        <is>
          <t>Hưng Yên</t>
        </is>
      </c>
      <c r="G8857" t="inlineStr">
        <is>
          <t>Mới Tốt Nghiệp</t>
        </is>
      </c>
      <c r="H8857" t="inlineStr">
        <is>
          <t>09/03/2026</t>
        </is>
      </c>
      <c r="I8857" t="inlineStr">
        <is>
          <t>08/04/2026</t>
        </is>
      </c>
      <c r="J8857" t="inlineStr">
        <is>
          <t>17/03/2026</t>
        </is>
      </c>
      <c r="K8857" t="inlineStr">
        <is>
          <t>N/A</t>
        </is>
      </c>
      <c r="L8857" t="inlineStr">
        <is>
          <t>Theo Dõi Đơn Hàng, Quản Lý Tồn Kho, Tìm Kiếm Nhà Cung Cấp, Tin Học Văn Phòng, Quản Lý Nhà Cung Cấp</t>
        </is>
      </c>
      <c r="M8857" t="inlineStr">
        <is>
          <t>Bonus, Team Activities, Canteen</t>
        </is>
      </c>
      <c r="N8857" s="8">
        <f>HYPERLINK("https://www.vietnamworks.com/nhan-vien-vat-tu--2020450-jv","Xem chi tiết")</f>
        <v/>
      </c>
    </row>
    <row r="8858">
      <c r="B8858" s="9" t="n">
        <v>8856</v>
      </c>
      <c r="C8858" s="10" t="inlineStr">
        <is>
          <t>Nhân Viên Sản Xuất</t>
        </is>
      </c>
      <c r="D8858" s="10" t="inlineStr">
        <is>
          <t>Kwangjin Vietnam Co., Ltd</t>
        </is>
      </c>
      <c r="E8858" s="10" t="inlineStr">
        <is>
          <t>Thương lượng</t>
        </is>
      </c>
      <c r="F8858" s="10" t="inlineStr">
        <is>
          <t>Hưng Yên</t>
        </is>
      </c>
      <c r="G8858" s="10" t="inlineStr">
        <is>
          <t>Nhân viên</t>
        </is>
      </c>
      <c r="H8858" s="10" t="inlineStr">
        <is>
          <t>09/03/2026</t>
        </is>
      </c>
      <c r="I8858" s="10" t="inlineStr">
        <is>
          <t>08/04/2026</t>
        </is>
      </c>
      <c r="J8858" s="10" t="inlineStr">
        <is>
          <t>17/03/2026</t>
        </is>
      </c>
      <c r="K8858" s="10" t="inlineStr">
        <is>
          <t>N/A</t>
        </is>
      </c>
      <c r="L8858" s="10" t="inlineStr">
        <is>
          <t>Quản Lý Công Nghiệp, Quản Trị Sản Xuất, Kiểm Soát Tồn Kho, MS Excel, Phân Tích Số Liệu</t>
        </is>
      </c>
      <c r="M8858" s="10" t="inlineStr">
        <is>
          <t>Bonus, Healthcare Plan, Team Activities</t>
        </is>
      </c>
      <c r="N8858" s="11">
        <f>HYPERLINK("https://www.vietnamworks.com/nhan-vien-san-xuat--2020449-jv","Xem chi tiết")</f>
        <v/>
      </c>
      <c r="O8858" s="10" t="n"/>
    </row>
    <row r="8859">
      <c r="B8859" s="7" t="n">
        <v>8857</v>
      </c>
      <c r="C8859" t="inlineStr">
        <is>
          <t>Automation Engineer</t>
        </is>
      </c>
      <c r="D8859" t="inlineStr">
        <is>
          <t>INSEE Vietnam</t>
        </is>
      </c>
      <c r="E8859" t="inlineStr">
        <is>
          <t>Thương lượng</t>
        </is>
      </c>
      <c r="F8859" t="inlineStr">
        <is>
          <t>Hồ Chí Minh</t>
        </is>
      </c>
      <c r="G8859" t="inlineStr">
        <is>
          <t>Nhân viên</t>
        </is>
      </c>
      <c r="H8859" t="inlineStr">
        <is>
          <t>09/03/2026</t>
        </is>
      </c>
      <c r="I8859" t="inlineStr">
        <is>
          <t>08/04/2026</t>
        </is>
      </c>
      <c r="J8859" t="inlineStr">
        <is>
          <t>17/03/2026</t>
        </is>
      </c>
      <c r="K8859" t="inlineStr">
        <is>
          <t>N/A</t>
        </is>
      </c>
      <c r="L8859" t="inlineStr">
        <is>
          <t>Tự Động Hóa, Automation, Điện, PLC, HMI</t>
        </is>
      </c>
      <c r="M8859" t="inlineStr">
        <is>
          <t>Bonus, Healthcare Plan, Paid Leave</t>
        </is>
      </c>
      <c r="N8859" s="8">
        <f>HYPERLINK("https://www.vietnamworks.com/automation-engineer--2020446-jv","Xem chi tiết")</f>
        <v/>
      </c>
    </row>
    <row r="8860">
      <c r="B8860" s="9" t="n">
        <v>8858</v>
      </c>
      <c r="C8860" s="10" t="inlineStr">
        <is>
          <t>Nhân Viên Sale Admin (English)</t>
        </is>
      </c>
      <c r="D8860" s="10" t="inlineStr">
        <is>
          <t>CÔNG TY CỔ PHẦN DỊCH VỤ VÀ GIẢI PHÁP KỸ THUẬT AUTOTECH</t>
        </is>
      </c>
      <c r="E8860" s="10" t="inlineStr">
        <is>
          <t>Thương lượng</t>
        </is>
      </c>
      <c r="F8860" s="10" t="inlineStr">
        <is>
          <t>Hà Nội</t>
        </is>
      </c>
      <c r="G8860" s="10" t="inlineStr">
        <is>
          <t>Nhân viên</t>
        </is>
      </c>
      <c r="H8860" s="10" t="inlineStr">
        <is>
          <t>09/03/2026</t>
        </is>
      </c>
      <c r="I8860" s="10" t="inlineStr">
        <is>
          <t>08/04/2026</t>
        </is>
      </c>
      <c r="J8860" s="10" t="inlineStr">
        <is>
          <t>17/03/2026</t>
        </is>
      </c>
      <c r="K8860" s="10" t="inlineStr">
        <is>
          <t>N/A</t>
        </is>
      </c>
      <c r="L8860" s="10" t="inlineStr">
        <is>
          <t>Lưu Trữ Chứng Từ, Quản Trị Kinh Doanh, Tiếng Anh, Tin Học Văn Phòng, Giao Tiếp Tốt</t>
        </is>
      </c>
      <c r="M8860" s="10" t="inlineStr">
        <is>
          <t>Bonus, Healthcare Plan, Laptop, Travel Opportunities, Team Activities, Others</t>
        </is>
      </c>
      <c r="N8860" s="11">
        <f>HYPERLINK("https://www.vietnamworks.com/nhan-vien-sale-admin-english-2020461-jv","Xem chi tiết")</f>
        <v/>
      </c>
      <c r="O8860" s="10" t="n"/>
    </row>
    <row r="8861">
      <c r="B8861" s="7" t="n">
        <v>8859</v>
      </c>
      <c r="C8861" t="inlineStr">
        <is>
          <t>Kỹ sư lập trình PLC/ PLC Programmers</t>
        </is>
      </c>
      <c r="D8861" t="inlineStr">
        <is>
          <t>CÔNG TY CỔ PHẦN DỊCH VỤ VÀ GIẢI PHÁP KỸ THUẬT AUTOTECH</t>
        </is>
      </c>
      <c r="E8861" t="inlineStr">
        <is>
          <t>$$ 800-1,000 /tháng</t>
        </is>
      </c>
      <c r="F8861" t="inlineStr">
        <is>
          <t>Hà Nội, Hải Phòng</t>
        </is>
      </c>
      <c r="G8861" t="inlineStr">
        <is>
          <t>Nhân viên</t>
        </is>
      </c>
      <c r="H8861" t="inlineStr">
        <is>
          <t>09/03/2026</t>
        </is>
      </c>
      <c r="I8861" t="inlineStr">
        <is>
          <t>08/04/2026</t>
        </is>
      </c>
      <c r="J8861" t="inlineStr">
        <is>
          <t>17/03/2026</t>
        </is>
      </c>
      <c r="K8861" t="inlineStr">
        <is>
          <t>N/A</t>
        </is>
      </c>
      <c r="L8861" t="inlineStr">
        <is>
          <t>Automated Manufacturing, HMI Process Control, Industrial Automation, PLC Programming, Siemens PLC</t>
        </is>
      </c>
      <c r="M8861" t="inlineStr">
        <is>
          <t>Bonus, Healthcare Plan, Training, Laptop, Travel Opportunities, Team Activities, Others</t>
        </is>
      </c>
      <c r="N8861" s="8">
        <f>HYPERLINK("https://www.vietnamworks.com/ky-su-lap-trinh-plc-plc-programmers-2020448-jv","Xem chi tiết")</f>
        <v/>
      </c>
    </row>
    <row r="8862">
      <c r="B8862" s="9" t="n">
        <v>8860</v>
      </c>
      <c r="C8862" s="10" t="inlineStr">
        <is>
          <t>Chuyên Viên Kinh Doanh &amp; Marketing</t>
        </is>
      </c>
      <c r="D8862" s="10" t="inlineStr">
        <is>
          <t>Idemitsu Q8 Petroleum LLC (IQ8)</t>
        </is>
      </c>
      <c r="E8862" s="10" t="inlineStr">
        <is>
          <t>Thương lượng</t>
        </is>
      </c>
      <c r="F8862" s="10" t="inlineStr">
        <is>
          <t>Hà Nội</t>
        </is>
      </c>
      <c r="G8862" s="10" t="inlineStr">
        <is>
          <t>Nhân viên</t>
        </is>
      </c>
      <c r="H8862" s="10" t="inlineStr">
        <is>
          <t>09/03/2026</t>
        </is>
      </c>
      <c r="I8862" s="10" t="inlineStr">
        <is>
          <t>08/04/2026</t>
        </is>
      </c>
      <c r="J8862" s="10" t="inlineStr">
        <is>
          <t>17/03/2026</t>
        </is>
      </c>
      <c r="K8862" s="10" t="inlineStr">
        <is>
          <t>N/A</t>
        </is>
      </c>
      <c r="L8862" s="10" t="inlineStr">
        <is>
          <t>B2B Sales, Tìm Kiếm Khách Hàng, Mở rộng thị trường, Tư Vấn Sản Phẩm, Báo Giá</t>
        </is>
      </c>
      <c r="M8862" s="10" t="inlineStr">
        <is>
          <t>Bonus, Training, Team Activities</t>
        </is>
      </c>
      <c r="N8862" s="11">
        <f>HYPERLINK("https://www.vietnamworks.com/chuyen-vien-kinh-doanh-marketing--2020459-jv","Xem chi tiết")</f>
        <v/>
      </c>
      <c r="O8862" s="10" t="n"/>
    </row>
    <row r="8863">
      <c r="B8863" s="7" t="n">
        <v>8861</v>
      </c>
      <c r="C8863" t="inlineStr">
        <is>
          <t>Chuyên Viên R&amp;D (Bất Động Sản)</t>
        </is>
      </c>
      <c r="D8863" t="inlineStr">
        <is>
          <t>Công Ty Cổ Phần VNT Invest Group</t>
        </is>
      </c>
      <c r="E8863" t="inlineStr">
        <is>
          <t>10tr-15tr ₫/tháng</t>
        </is>
      </c>
      <c r="F8863" t="inlineStr">
        <is>
          <t>Hà Nội</t>
        </is>
      </c>
      <c r="G8863" t="inlineStr">
        <is>
          <t>Nhân viên</t>
        </is>
      </c>
      <c r="H8863" t="inlineStr">
        <is>
          <t>09/03/2026</t>
        </is>
      </c>
      <c r="I8863" t="inlineStr">
        <is>
          <t>08/04/2026</t>
        </is>
      </c>
      <c r="J8863" t="inlineStr">
        <is>
          <t>17/03/2026</t>
        </is>
      </c>
      <c r="K8863" t="inlineStr">
        <is>
          <t>N/A</t>
        </is>
      </c>
      <c r="L8863" t="inlineStr">
        <is>
          <t>Bất Động Sản, Nghiên Cứu Sản Phẩm, Phân Tích Thị Trường, Phát Triển Thị Trường, Real Estate Analysis</t>
        </is>
      </c>
      <c r="M8863" t="inlineStr">
        <is>
          <t>Bonus, Healthcare Plan, Transportation, Others</t>
        </is>
      </c>
      <c r="N8863" s="8">
        <f>HYPERLINK("https://www.vietnamworks.com/chuyen-vien-randd-bat-djong-san-2020462-jv","Xem chi tiết")</f>
        <v/>
      </c>
    </row>
    <row r="8864">
      <c r="B8864" s="9" t="n">
        <v>8862</v>
      </c>
      <c r="C8864" s="10" t="inlineStr">
        <is>
          <t>Quality Assurance Senior Officer</t>
        </is>
      </c>
      <c r="D8864" s="10" t="inlineStr">
        <is>
          <t>United Overseas Bank (Vietnam) Limited (UOB)</t>
        </is>
      </c>
      <c r="E8864" s="10" t="inlineStr">
        <is>
          <t>Thương lượng</t>
        </is>
      </c>
      <c r="F8864" s="10" t="inlineStr">
        <is>
          <t>Hồ Chí Minh</t>
        </is>
      </c>
      <c r="G8864" s="10" t="inlineStr">
        <is>
          <t>Nhân viên</t>
        </is>
      </c>
      <c r="H8864" s="10" t="inlineStr">
        <is>
          <t>09/03/2026</t>
        </is>
      </c>
      <c r="I8864" s="10" t="inlineStr">
        <is>
          <t>08/04/2026</t>
        </is>
      </c>
      <c r="J8864" s="10" t="inlineStr">
        <is>
          <t>17/03/2026</t>
        </is>
      </c>
      <c r="K8864" s="10" t="inlineStr">
        <is>
          <t>N/A</t>
        </is>
      </c>
      <c r="L8864" s="10" t="inlineStr">
        <is>
          <t>Communication Skills, Persuasion Skills, Problem Solving, Quality Assurance, Relationship Management</t>
        </is>
      </c>
      <c r="M8864" s="10" t="inlineStr">
        <is>
          <t>Bonus, Healthcare Plan, Paid Leave, Others</t>
        </is>
      </c>
      <c r="N8864" s="11">
        <f>HYPERLINK("https://www.vietnamworks.com/quality-assurance-senior-officer-2020452-jv","Xem chi tiết")</f>
        <v/>
      </c>
      <c r="O8864" s="10" t="n"/>
    </row>
    <row r="8865">
      <c r="B8865" s="7" t="n">
        <v>8863</v>
      </c>
      <c r="C8865" t="inlineStr">
        <is>
          <t>Kỹ Sư Robot / Robotics Engineer</t>
        </is>
      </c>
      <c r="D8865" t="inlineStr">
        <is>
          <t>CÔNG TY CỔ PHẦN DỊCH VỤ VÀ GIẢI PHÁP KỸ THUẬT AUTOTECH</t>
        </is>
      </c>
      <c r="E8865" t="inlineStr">
        <is>
          <t>$$ 800-1,000 /tháng</t>
        </is>
      </c>
      <c r="F8865" t="inlineStr">
        <is>
          <t>Hà Nội, Hải Phòng</t>
        </is>
      </c>
      <c r="G8865" t="inlineStr">
        <is>
          <t>Nhân viên</t>
        </is>
      </c>
      <c r="H8865" t="inlineStr">
        <is>
          <t>09/03/2026</t>
        </is>
      </c>
      <c r="I8865" t="inlineStr">
        <is>
          <t>08/04/2026</t>
        </is>
      </c>
      <c r="J8865" t="inlineStr">
        <is>
          <t>17/03/2026</t>
        </is>
      </c>
      <c r="K8865" t="inlineStr">
        <is>
          <t>N/A</t>
        </is>
      </c>
      <c r="L8865" t="inlineStr">
        <is>
          <t>Giao Tiếp Tiếng Anh, Lập Trình, Lập Trình Robot Công Nghiệp, Robot Operation, Industrial Automation</t>
        </is>
      </c>
      <c r="M8865" t="inlineStr">
        <is>
          <t>Bonus, Healthcare Plan, Training, Laptop, Travel Opportunities, Team Activities, Others</t>
        </is>
      </c>
      <c r="N8865" s="8">
        <f>HYPERLINK("https://www.vietnamworks.com/ky-su-robot-robotics-engineer-2020455-jv","Xem chi tiết")</f>
        <v/>
      </c>
    </row>
    <row r="8866">
      <c r="B8866" s="9" t="n">
        <v>8864</v>
      </c>
      <c r="C8866" s="10" t="inlineStr">
        <is>
          <t>Sales Engineer (Kinh Doanh Kỹ Thuật Thiết Bị Công Nghiệp)</t>
        </is>
      </c>
      <c r="D8866" s="10" t="inlineStr">
        <is>
          <t>CÔNG TY TNHH THƯƠNG MẠI - KỸ THUẬT CÔNG NGHIỆP VIỆT Á</t>
        </is>
      </c>
      <c r="E8866" s="10" t="inlineStr">
        <is>
          <t>Thương lượng</t>
        </is>
      </c>
      <c r="F8866" s="10" t="inlineStr">
        <is>
          <t>Hồ Chí Minh</t>
        </is>
      </c>
      <c r="G8866" s="10" t="inlineStr">
        <is>
          <t>Nhân viên</t>
        </is>
      </c>
      <c r="H8866" s="10" t="inlineStr">
        <is>
          <t>09/03/2026</t>
        </is>
      </c>
      <c r="I8866" s="10" t="inlineStr">
        <is>
          <t>08/04/2026</t>
        </is>
      </c>
      <c r="J8866" s="10" t="inlineStr">
        <is>
          <t>17/03/2026</t>
        </is>
      </c>
      <c r="K8866" s="10" t="inlineStr">
        <is>
          <t>N/A</t>
        </is>
      </c>
      <c r="L8866" s="10" t="inlineStr">
        <is>
          <t>Kỹ Thuật Cơ Khí, Cơ Điện, Tự Động Hóa, Thiết Bị Công Nghiệp, Cơ Khí</t>
        </is>
      </c>
      <c r="M8866" s="10" t="inlineStr">
        <is>
          <t>Bonus, Healthcare Plan, Training, Others</t>
        </is>
      </c>
      <c r="N8866" s="11">
        <f>HYPERLINK("https://www.vietnamworks.com/sales-engineer-kinh-doanh-ky-thuat-thiet-bi-cong-nghiep-2020453-jv","Xem chi tiết")</f>
        <v/>
      </c>
      <c r="O8866" s="10" t="n"/>
    </row>
    <row r="8867">
      <c r="B8867" s="7" t="n">
        <v>8865</v>
      </c>
      <c r="C8867" t="inlineStr">
        <is>
          <t>Nhân viên Admin (Office Administrator)</t>
        </is>
      </c>
      <c r="D8867" t="inlineStr">
        <is>
          <t>CÔNG TY CỔ PHẦN DỊCH VỤ VÀ GIẢI PHÁP KỸ THUẬT AUTOTECH</t>
        </is>
      </c>
      <c r="E8867" t="inlineStr">
        <is>
          <t>Thương lượng</t>
        </is>
      </c>
      <c r="F8867" t="inlineStr">
        <is>
          <t>Hà Nội</t>
        </is>
      </c>
      <c r="G8867" t="inlineStr">
        <is>
          <t>Nhân viên</t>
        </is>
      </c>
      <c r="H8867" t="inlineStr">
        <is>
          <t>09/03/2026</t>
        </is>
      </c>
      <c r="I8867" t="inlineStr">
        <is>
          <t>08/04/2026</t>
        </is>
      </c>
      <c r="J8867" t="inlineStr">
        <is>
          <t>17/03/2026</t>
        </is>
      </c>
      <c r="K8867" t="inlineStr">
        <is>
          <t>N/A</t>
        </is>
      </c>
      <c r="L8867" t="inlineStr">
        <is>
          <t>Giải Quyết Vấn Đề, Kế Hoạch Hậu Cần, Quản Lý Thời Gian, Theo Dõi Tiến Độ, Tiếng Anh</t>
        </is>
      </c>
      <c r="M8867" t="inlineStr">
        <is>
          <t>Bonus, Healthcare Plan, Others</t>
        </is>
      </c>
      <c r="N8867" s="8">
        <f>HYPERLINK("https://www.vietnamworks.com/nhan-vien-admin-office-administrator-2020458-jv","Xem chi tiết")</f>
        <v/>
      </c>
    </row>
    <row r="8868">
      <c r="B8868" s="9" t="n">
        <v>8866</v>
      </c>
      <c r="C8868" s="10" t="inlineStr">
        <is>
          <t>Giám Đốc Nhà Máy</t>
        </is>
      </c>
      <c r="D8868" s="10" t="inlineStr">
        <is>
          <t>Công Ty TNHH MTV Xuất Nhập Khẩu Phương Nam</t>
        </is>
      </c>
      <c r="E8868" s="10" t="inlineStr">
        <is>
          <t>Thương lượng</t>
        </is>
      </c>
      <c r="F8868" s="10" t="inlineStr">
        <is>
          <t>Lạng Sơn</t>
        </is>
      </c>
      <c r="G8868" s="10" t="inlineStr">
        <is>
          <t>Giám Đốc và Cấp Cao Hơn</t>
        </is>
      </c>
      <c r="H8868" s="10" t="inlineStr">
        <is>
          <t>09/03/2026</t>
        </is>
      </c>
      <c r="I8868" s="10" t="inlineStr">
        <is>
          <t>08/04/2026</t>
        </is>
      </c>
      <c r="J8868" s="10" t="inlineStr">
        <is>
          <t>17/03/2026</t>
        </is>
      </c>
      <c r="K8868" s="10" t="inlineStr">
        <is>
          <t>N/A</t>
        </is>
      </c>
      <c r="L8868" s="10" t="inlineStr">
        <is>
          <t>Quản Lý Sản Xuất, Quản Lý Chất Lượng, Quản Lý Đội Ngũ, Mở rộng thị trường, Giám Sát Quy Trình Sản Xuất</t>
        </is>
      </c>
      <c r="M8868" s="10" t="inlineStr">
        <is>
          <t>Bonus, Healthcare Plan, Training</t>
        </is>
      </c>
      <c r="N8868" s="11">
        <f>HYPERLINK("https://www.vietnamworks.com/giam-doc-nha-may--2020451-jv","Xem chi tiết")</f>
        <v/>
      </c>
      <c r="O8868" s="10" t="n"/>
    </row>
    <row r="8869">
      <c r="B8869" s="7" t="n">
        <v>8867</v>
      </c>
      <c r="C8869" t="inlineStr">
        <is>
          <t>Nhân Viên Hành Chính Nhân Sự (Tiếng Hàn)</t>
        </is>
      </c>
      <c r="D8869" t="inlineStr">
        <is>
          <t>Công Ty TNHH Việt Nam Humanscape</t>
        </is>
      </c>
      <c r="E8869" t="inlineStr">
        <is>
          <t>Tới $ 800 /tháng</t>
        </is>
      </c>
      <c r="F8869" t="inlineStr">
        <is>
          <t>Hà Nội</t>
        </is>
      </c>
      <c r="G8869" t="inlineStr">
        <is>
          <t>Mới Tốt Nghiệp</t>
        </is>
      </c>
      <c r="H8869" t="inlineStr">
        <is>
          <t>09/03/2026</t>
        </is>
      </c>
      <c r="I8869" t="inlineStr">
        <is>
          <t>08/04/2026</t>
        </is>
      </c>
      <c r="J8869" t="inlineStr">
        <is>
          <t>17/03/2026</t>
        </is>
      </c>
      <c r="K8869" t="inlineStr">
        <is>
          <t>N/A</t>
        </is>
      </c>
      <c r="L8869" t="inlineStr">
        <is>
          <t>Tiếng Hàn Giao Tiếp, Hành Chính, Nhân Sự, Quản Lý Hồ Sơ, HR</t>
        </is>
      </c>
      <c r="M8869" t="inlineStr">
        <is>
          <t>Bonus, Healthcare Plan, Paid Leave, Training, Team Activities, Others</t>
        </is>
      </c>
      <c r="N8869" s="8">
        <f>HYPERLINK("https://www.vietnamworks.com/nhan-vien-hanh-chinh-nhan-su-tieng-han--2020456-jv","Xem chi tiết")</f>
        <v/>
      </c>
    </row>
    <row r="8870">
      <c r="B8870" s="9" t="n">
        <v>8868</v>
      </c>
      <c r="C8870" s="10" t="inlineStr">
        <is>
          <t>Customs Clearance Staff (Chứng Từ Hải Quan)</t>
        </is>
      </c>
      <c r="D8870" s="10" t="inlineStr">
        <is>
          <t>Công Ty TNHH Extrans Việt Nam</t>
        </is>
      </c>
      <c r="E8870" s="10" t="inlineStr">
        <is>
          <t>Từ 15tr ₫/tháng</t>
        </is>
      </c>
      <c r="F8870" s="10" t="inlineStr">
        <is>
          <t>Hà Nội</t>
        </is>
      </c>
      <c r="G8870" s="10" t="inlineStr">
        <is>
          <t>Nhân viên</t>
        </is>
      </c>
      <c r="H8870" s="10" t="inlineStr">
        <is>
          <t>09/03/2026</t>
        </is>
      </c>
      <c r="I8870" s="10" t="inlineStr">
        <is>
          <t>08/04/2026</t>
        </is>
      </c>
      <c r="J8870" s="10" t="inlineStr">
        <is>
          <t>17/03/2026</t>
        </is>
      </c>
      <c r="K8870" s="10" t="inlineStr">
        <is>
          <t>N/A</t>
        </is>
      </c>
      <c r="L8870" s="10" t="inlineStr">
        <is>
          <t>Customs Clearance, Import-Export Procedure, Customer Service, Export Document, Material Liquidation</t>
        </is>
      </c>
      <c r="M8870" s="10" t="inlineStr">
        <is>
          <t>Bonus, Healthcare Plan, Training, Team Activities, Others</t>
        </is>
      </c>
      <c r="N8870" s="11">
        <f>HYPERLINK("https://www.vietnamworks.com/customs-clearance-staff-chung-tu-hai-quan-2020473-jv","Xem chi tiết")</f>
        <v/>
      </c>
      <c r="O8870" s="10" t="n"/>
    </row>
    <row r="8871">
      <c r="B8871" s="7" t="n">
        <v>8869</v>
      </c>
      <c r="C8871" t="inlineStr">
        <is>
          <t>Kế Toán Nội Bộ Phụ Trách Sàn Thương Mại Điện Tử (Kinh Nghiệm Từ 1 Năm)</t>
        </is>
      </c>
      <c r="D8871" t="inlineStr">
        <is>
          <t>Công Ty TNHH Công Nghệ Và Xúc Tiến Thương Mại Haledco</t>
        </is>
      </c>
      <c r="E8871" t="inlineStr">
        <is>
          <t>Tới 15tr ₫/tháng</t>
        </is>
      </c>
      <c r="F8871" t="inlineStr">
        <is>
          <t>Hà Nội</t>
        </is>
      </c>
      <c r="G8871" t="inlineStr">
        <is>
          <t>Nhân viên</t>
        </is>
      </c>
      <c r="H8871" t="inlineStr">
        <is>
          <t>09/03/2026</t>
        </is>
      </c>
      <c r="I8871" t="inlineStr">
        <is>
          <t>08/04/2026</t>
        </is>
      </c>
      <c r="J8871" t="inlineStr">
        <is>
          <t>17/03/2026</t>
        </is>
      </c>
      <c r="K8871" t="inlineStr">
        <is>
          <t>N/A</t>
        </is>
      </c>
      <c r="L8871" t="inlineStr">
        <is>
          <t>Kế Toán, Phân Tích Số Liệu, Tin Học Văn Phòng, Kế Toán Tổng Hợp, MISA Accounting</t>
        </is>
      </c>
      <c r="M8871" t="inlineStr">
        <is>
          <t>Bonus, Healthcare Plan, Team Activities</t>
        </is>
      </c>
      <c r="N8871" s="8">
        <f>HYPERLINK("https://www.vietnamworks.com/ke-toan-noi-bo-phu-trach-san-thuong-mai-dien-tu-kinh-nghiem-tu-1-nam-2020472-jv","Xem chi tiết")</f>
        <v/>
      </c>
    </row>
    <row r="8872">
      <c r="B8872" s="9" t="n">
        <v>8870</v>
      </c>
      <c r="C8872" s="10" t="inlineStr">
        <is>
          <t>Marketing Executive</t>
        </is>
      </c>
      <c r="D8872" s="10" t="inlineStr">
        <is>
          <t>Công Ty Cổ Phần Thương Mại Cổng Vàng</t>
        </is>
      </c>
      <c r="E8872" s="10" t="inlineStr">
        <is>
          <t>12tr-25tr ₫/tháng</t>
        </is>
      </c>
      <c r="F8872" s="10" t="inlineStr">
        <is>
          <t>Hồ Chí Minh</t>
        </is>
      </c>
      <c r="G8872" s="10" t="inlineStr">
        <is>
          <t>Nhân viên</t>
        </is>
      </c>
      <c r="H8872" s="10" t="inlineStr">
        <is>
          <t>09/03/2026</t>
        </is>
      </c>
      <c r="I8872" s="10" t="inlineStr">
        <is>
          <t>08/04/2026</t>
        </is>
      </c>
      <c r="J8872" s="10" t="inlineStr">
        <is>
          <t>17/03/2026</t>
        </is>
      </c>
      <c r="K8872" s="10" t="inlineStr">
        <is>
          <t>N/A</t>
        </is>
      </c>
      <c r="L8872" s="10" t="inlineStr">
        <is>
          <t>B2B Marketing, Communication Skills, Content Management, Event Coordination, SEO Optimization</t>
        </is>
      </c>
      <c r="M8872" s="10" t="inlineStr">
        <is>
          <t>Healthcare Plan, Training, Laptop, Travel Opportunities</t>
        </is>
      </c>
      <c r="N8872" s="11">
        <f>HYPERLINK("https://www.vietnamworks.com/marketing-executive-2020480-jv","Xem chi tiết")</f>
        <v/>
      </c>
      <c r="O8872" s="10" t="n"/>
    </row>
    <row r="8873">
      <c r="B8873" s="7" t="n">
        <v>8871</v>
      </c>
      <c r="C8873" t="inlineStr">
        <is>
          <t>Trưởng Phòng Kinh Doanh (Ưu Tiên Có Kinh Nghiệm HSE Tại Khu Công Nghiệp)</t>
        </is>
      </c>
      <c r="D8873" t="inlineStr">
        <is>
          <t>Công ty Cổ phần Quốc tế Chăm sóc sức khỏe doanh nghiệp Yecxanh</t>
        </is>
      </c>
      <c r="E8873" t="inlineStr">
        <is>
          <t>Từ 20tr ₫/tháng</t>
        </is>
      </c>
      <c r="F8873" t="inlineStr">
        <is>
          <t>Hà Nội</t>
        </is>
      </c>
      <c r="G8873" t="inlineStr">
        <is>
          <t>Trưởng phòng</t>
        </is>
      </c>
      <c r="H8873" t="inlineStr">
        <is>
          <t>09/03/2026</t>
        </is>
      </c>
      <c r="I8873" t="inlineStr">
        <is>
          <t>08/04/2026</t>
        </is>
      </c>
      <c r="J8873" t="inlineStr">
        <is>
          <t>17/03/2026</t>
        </is>
      </c>
      <c r="K8873" t="inlineStr">
        <is>
          <t>N/A</t>
        </is>
      </c>
      <c r="L8873" t="inlineStr">
        <is>
          <t>Chiến Lược Kinh Doanh, HSE, Quản Lý Đội Ngũ, Quản Trị Kinh Doanh B2B, Tìm Kiếm Khách Hàng</t>
        </is>
      </c>
      <c r="M8873" t="inlineStr">
        <is>
          <t>Bonus, Healthcare Plan, Training, Others</t>
        </is>
      </c>
      <c r="N8873" s="8">
        <f>HYPERLINK("https://www.vietnamworks.com/truong-phong-kinh-doanh-uu-tien-co-kinh-nghiem-hse-tai-khu-cong-nghiep-2020467-jv","Xem chi tiết")</f>
        <v/>
      </c>
    </row>
    <row r="8874">
      <c r="B8874" s="9" t="n">
        <v>8872</v>
      </c>
      <c r="C8874" s="10" t="inlineStr">
        <is>
          <t>[Tuyển Gấp] Trưởng Phòng Hành Chính Nhân Sự - Mức Lương Lên Đến 40 Triệu</t>
        </is>
      </c>
      <c r="D8874" s="10" t="inlineStr">
        <is>
          <t>CÔNG TY CỔ PHẦN ĐẦU TƯ Ô TÔ HẢI ÂU</t>
        </is>
      </c>
      <c r="E8874" s="10" t="inlineStr">
        <is>
          <t>Tới 40tr ₫/tháng</t>
        </is>
      </c>
      <c r="F8874" s="10" t="inlineStr">
        <is>
          <t>Hà Nội</t>
        </is>
      </c>
      <c r="G8874" s="10" t="inlineStr">
        <is>
          <t>Trưởng phòng</t>
        </is>
      </c>
      <c r="H8874" s="10" t="inlineStr">
        <is>
          <t>09/03/2026</t>
        </is>
      </c>
      <c r="I8874" s="10" t="inlineStr">
        <is>
          <t>08/04/2026</t>
        </is>
      </c>
      <c r="J8874" s="10" t="inlineStr">
        <is>
          <t>17/03/2026</t>
        </is>
      </c>
      <c r="K8874" s="10" t="inlineStr">
        <is>
          <t>N/A</t>
        </is>
      </c>
      <c r="L8874" s="10" t="inlineStr">
        <is>
          <t>C&amp;B, HR, Luật Lao Động, Nhân Sự, Quản Trị Nguồn Nhân Lực</t>
        </is>
      </c>
      <c r="M8874" s="10" t="inlineStr">
        <is>
          <t>Bonus, Healthcare Plan, Paid Leave, Training, Team Activities, Others</t>
        </is>
      </c>
      <c r="N8874" s="11">
        <f>HYPERLINK("https://www.vietnamworks.com/tuyen-gap-truong-phong-hanh-chinh-nhan-su-muc-luong-len-den-40-trieu-2020483-jv","Xem chi tiết")</f>
        <v/>
      </c>
      <c r="O8874" s="10" t="n"/>
    </row>
    <row r="8875">
      <c r="B8875" s="7" t="n">
        <v>8873</v>
      </c>
      <c r="C8875" t="inlineStr">
        <is>
          <t>Chuyên Viên Marketing</t>
        </is>
      </c>
      <c r="D8875" t="inlineStr">
        <is>
          <t>Công Ty Cổ Phần VNT Invest Group</t>
        </is>
      </c>
      <c r="E8875" t="inlineStr">
        <is>
          <t>15tr-20tr ₫/tháng</t>
        </is>
      </c>
      <c r="F8875" t="inlineStr">
        <is>
          <t>Hà Nội</t>
        </is>
      </c>
      <c r="G8875" t="inlineStr">
        <is>
          <t>Nhân viên</t>
        </is>
      </c>
      <c r="H8875" t="inlineStr">
        <is>
          <t>09/03/2026</t>
        </is>
      </c>
      <c r="I8875" t="inlineStr">
        <is>
          <t>08/04/2026</t>
        </is>
      </c>
      <c r="J8875" t="inlineStr">
        <is>
          <t>17/03/2026</t>
        </is>
      </c>
      <c r="K8875" t="inlineStr">
        <is>
          <t>N/A</t>
        </is>
      </c>
      <c r="L8875" t="inlineStr">
        <is>
          <t>Content Marketing, Customer Analysis, Marketing Planning, Marketing Strategy, Real Estate</t>
        </is>
      </c>
      <c r="M8875" t="inlineStr">
        <is>
          <t>Bonus, Others</t>
        </is>
      </c>
      <c r="N8875" s="8">
        <f>HYPERLINK("https://www.vietnamworks.com/chuyen-vien-marketing-2020468-jv","Xem chi tiết")</f>
        <v/>
      </c>
    </row>
    <row r="8876">
      <c r="B8876" s="9" t="n">
        <v>8874</v>
      </c>
      <c r="C8876" s="10" t="inlineStr">
        <is>
          <t>Kế Toán Tổng Hợp Kiêm Kế Toán Trưởng (Độ Tuổi Dưới 35)</t>
        </is>
      </c>
      <c r="D8876" s="10" t="inlineStr">
        <is>
          <t>CÔNG TY CỔ PHẦN MAXCREATIVE</t>
        </is>
      </c>
      <c r="E8876" s="10" t="inlineStr">
        <is>
          <t>Thương lượng</t>
        </is>
      </c>
      <c r="F8876" s="10" t="inlineStr">
        <is>
          <t>Hà Nội</t>
        </is>
      </c>
      <c r="G8876" s="10" t="inlineStr">
        <is>
          <t>Trưởng phòng</t>
        </is>
      </c>
      <c r="H8876" s="10" t="inlineStr">
        <is>
          <t>09/03/2026</t>
        </is>
      </c>
      <c r="I8876" s="10" t="inlineStr">
        <is>
          <t>08/04/2026</t>
        </is>
      </c>
      <c r="J8876" s="10" t="inlineStr">
        <is>
          <t>17/03/2026</t>
        </is>
      </c>
      <c r="K8876" s="10" t="inlineStr">
        <is>
          <t>N/A</t>
        </is>
      </c>
      <c r="L8876" s="10" t="inlineStr">
        <is>
          <t>Báo Cáo Tài Chính, Luật Thuế, Phân Tích Chi Phí, Quản Lý Chứng Từ, Quản Lý Hóa Đơn</t>
        </is>
      </c>
      <c r="M8876" s="10" t="inlineStr">
        <is>
          <t>Bonus, Healthcare Plan, Paid Leave, Travel Opportunities, Transportation, Others</t>
        </is>
      </c>
      <c r="N8876" s="11">
        <f>HYPERLINK("https://www.vietnamworks.com/ke-toan-tong-hop-kiem-ke-toan-truong-djo-tuoi-duoi-35-2020474-jv","Xem chi tiết")</f>
        <v/>
      </c>
      <c r="O8876" s="10" t="n"/>
    </row>
    <row r="8877">
      <c r="B8877" s="7" t="n">
        <v>8875</v>
      </c>
      <c r="C8877" t="inlineStr">
        <is>
          <t>Kế Toán Trưởng</t>
        </is>
      </c>
      <c r="D8877" t="inlineStr">
        <is>
          <t>CÔNG TY CỔ PHẦN DEVIE</t>
        </is>
      </c>
      <c r="E8877" t="inlineStr">
        <is>
          <t>25tr-30tr ₫/tháng</t>
        </is>
      </c>
      <c r="F8877" t="inlineStr">
        <is>
          <t>Hồ Chí Minh</t>
        </is>
      </c>
      <c r="G8877" t="inlineStr">
        <is>
          <t>Trưởng phòng</t>
        </is>
      </c>
      <c r="H8877" t="inlineStr">
        <is>
          <t>09/03/2026</t>
        </is>
      </c>
      <c r="I8877" t="inlineStr">
        <is>
          <t>08/04/2026</t>
        </is>
      </c>
      <c r="J8877" t="inlineStr">
        <is>
          <t>17/03/2026</t>
        </is>
      </c>
      <c r="K8877" t="inlineStr">
        <is>
          <t>N/A</t>
        </is>
      </c>
      <c r="L8877" t="inlineStr">
        <is>
          <t>Kế Toán, MS Excel, Quản Lý, Tài Chính</t>
        </is>
      </c>
      <c r="M8877" t="inlineStr">
        <is>
          <t>Bonus, Healthcare Plan, Training, Laptop, Travel Opportunities, Others</t>
        </is>
      </c>
      <c r="N8877" s="8">
        <f>HYPERLINK("https://www.vietnamworks.com/ke-toan-truong-2020477-jv","Xem chi tiết")</f>
        <v/>
      </c>
    </row>
    <row r="8878">
      <c r="B8878" s="9" t="n">
        <v>8876</v>
      </c>
      <c r="C8878" s="10" t="inlineStr">
        <is>
          <t>Senior NPI Delivery Manager</t>
        </is>
      </c>
      <c r="D8878" s="10" t="inlineStr">
        <is>
          <t>BAT Vietnam</t>
        </is>
      </c>
      <c r="E8878" s="10" t="inlineStr">
        <is>
          <t>Thương lượng</t>
        </is>
      </c>
      <c r="F8878" s="10" t="inlineStr">
        <is>
          <t>Hồ Chí Minh</t>
        </is>
      </c>
      <c r="G8878" s="10" t="inlineStr">
        <is>
          <t>Nhân viên</t>
        </is>
      </c>
      <c r="H8878" s="10" t="inlineStr">
        <is>
          <t>09/03/2026</t>
        </is>
      </c>
      <c r="I8878" s="10" t="inlineStr">
        <is>
          <t>08/04/2026</t>
        </is>
      </c>
      <c r="J8878" s="10" t="inlineStr">
        <is>
          <t>17/03/2026</t>
        </is>
      </c>
      <c r="K8878" s="10" t="inlineStr">
        <is>
          <t>N/A</t>
        </is>
      </c>
      <c r="L8878" s="10" t="inlineStr">
        <is>
          <t>Interpersonal Skills, NPI, Project Management, Stakeholder Mangement, Supply Chain</t>
        </is>
      </c>
      <c r="M8878" s="10" t="inlineStr">
        <is>
          <t>Bonus, Healthcare Plan, Training, Awards, Laptop</t>
        </is>
      </c>
      <c r="N8878" s="11">
        <f>HYPERLINK("https://www.vietnamworks.com/senior-npi-delivery-manager-2020478-jv","Xem chi tiết")</f>
        <v/>
      </c>
      <c r="O8878" s="10" t="n"/>
    </row>
    <row r="8879">
      <c r="B8879" s="7" t="n">
        <v>8877</v>
      </c>
      <c r="C8879" t="inlineStr">
        <is>
          <t>Giám Sát Sản Xuất (chấp nhận ứng viên tiềm năng / ít kinh nghiệm)</t>
        </is>
      </c>
      <c r="D8879" t="inlineStr">
        <is>
          <t>Công Ty TNHH Thú Y Vaksindo Việt Nam</t>
        </is>
      </c>
      <c r="E8879" t="inlineStr">
        <is>
          <t>$$ 500-750 /tháng</t>
        </is>
      </c>
      <c r="F8879" t="inlineStr">
        <is>
          <t>Hưng Yên</t>
        </is>
      </c>
      <c r="G8879" t="inlineStr">
        <is>
          <t>Nhân viên</t>
        </is>
      </c>
      <c r="H8879" t="inlineStr">
        <is>
          <t>09/03/2026</t>
        </is>
      </c>
      <c r="I8879" t="inlineStr">
        <is>
          <t>08/04/2026</t>
        </is>
      </c>
      <c r="J8879" t="inlineStr">
        <is>
          <t>17/03/2026</t>
        </is>
      </c>
      <c r="K8879" t="inlineStr">
        <is>
          <t>N/A</t>
        </is>
      </c>
      <c r="L8879" t="inlineStr">
        <is>
          <t>Kỹ năng giao tiếp, Làm Việc Nhóm, Quản Lý Thời Gian, Tiêu Chuẩn GMP, Quy Trình Sản Xuất Vaccine</t>
        </is>
      </c>
      <c r="M8879" t="inlineStr">
        <is>
          <t>Bonus, Healthcare Plan, Paid Leave, Training, Laptop, Travel Opportunities, Transportation, Canteen</t>
        </is>
      </c>
      <c r="N8879" s="8">
        <f>HYPERLINK("https://www.vietnamworks.com/giam-sat-san-xuat-chap-nhan-ung-vien-tiem-nang-it-kinh-nghiem-2020479-jv","Xem chi tiết")</f>
        <v/>
      </c>
    </row>
    <row r="8880">
      <c r="B8880" s="9" t="n">
        <v>8878</v>
      </c>
      <c r="C8880" s="10" t="inlineStr">
        <is>
          <t>Contact Center Workforce Management Officer</t>
        </is>
      </c>
      <c r="D8880" s="10" t="inlineStr">
        <is>
          <t>United Overseas Bank (Vietnam) Limited (UOB)</t>
        </is>
      </c>
      <c r="E8880" s="10" t="inlineStr">
        <is>
          <t>Thương lượng</t>
        </is>
      </c>
      <c r="F8880" s="10" t="inlineStr">
        <is>
          <t>Hồ Chí Minh</t>
        </is>
      </c>
      <c r="G8880" s="10" t="inlineStr">
        <is>
          <t>Nhân viên</t>
        </is>
      </c>
      <c r="H8880" s="10" t="inlineStr">
        <is>
          <t>09/03/2026</t>
        </is>
      </c>
      <c r="I8880" s="10" t="inlineStr">
        <is>
          <t>08/04/2026</t>
        </is>
      </c>
      <c r="J8880" s="10" t="inlineStr">
        <is>
          <t>17/03/2026</t>
        </is>
      </c>
      <c r="K8880" s="10" t="inlineStr">
        <is>
          <t>N/A</t>
        </is>
      </c>
      <c r="L8880" s="10" t="inlineStr">
        <is>
          <t>Communication Skills, Microsoft Office, Performance Analysis, Problem Solving, Task Analysis</t>
        </is>
      </c>
      <c r="M8880" s="10" t="inlineStr">
        <is>
          <t>Bonus, Healthcare Plan, Paid Leave, Others</t>
        </is>
      </c>
      <c r="N8880" s="11">
        <f>HYPERLINK("https://www.vietnamworks.com/contact-center-workforce-management-officer-2020470-jv","Xem chi tiết")</f>
        <v/>
      </c>
      <c r="O8880" s="10" t="n"/>
    </row>
    <row r="8881">
      <c r="B8881" s="7" t="n">
        <v>8879</v>
      </c>
      <c r="C8881" t="inlineStr">
        <is>
          <t>Distribution Requirement Planning (DRP) Senior Manager</t>
        </is>
      </c>
      <c r="D8881" t="inlineStr">
        <is>
          <t>Công Ty Cổ phẩn MASAN MEATLife</t>
        </is>
      </c>
      <c r="E8881" t="inlineStr">
        <is>
          <t>Thương lượng</t>
        </is>
      </c>
      <c r="F8881" t="inlineStr">
        <is>
          <t>Hồ Chí Minh</t>
        </is>
      </c>
      <c r="G8881" t="inlineStr">
        <is>
          <t>Trưởng phòng</t>
        </is>
      </c>
      <c r="H8881" t="inlineStr">
        <is>
          <t>09/03/2026</t>
        </is>
      </c>
      <c r="I8881" t="inlineStr">
        <is>
          <t>08/04/2026</t>
        </is>
      </c>
      <c r="J8881" t="inlineStr">
        <is>
          <t>17/03/2026</t>
        </is>
      </c>
      <c r="K8881" t="inlineStr">
        <is>
          <t>N/A</t>
        </is>
      </c>
      <c r="L8881" t="inlineStr">
        <is>
          <t>Cold-Chain Management, Collaboration, Drp Systems, Inventory Analysis, Phân Tích Dữ Liệu</t>
        </is>
      </c>
      <c r="M8881" t="inlineStr">
        <is>
          <t>Bonus</t>
        </is>
      </c>
      <c r="N8881" s="8">
        <f>HYPERLINK("https://www.vietnamworks.com/distribution-requirement-planning-drp-senior-manager-2020485-jv","Xem chi tiết")</f>
        <v/>
      </c>
    </row>
    <row r="8882">
      <c r="B8882" s="9" t="n">
        <v>8880</v>
      </c>
      <c r="C8882" s="10" t="inlineStr">
        <is>
          <t>Quản Lý Phát Triển Kinh Doanh/ BD Manager</t>
        </is>
      </c>
      <c r="D8882" s="10" t="inlineStr">
        <is>
          <t>China Construction Shenzhen Decoration Co.,Ltd</t>
        </is>
      </c>
      <c r="E8882" s="10" t="inlineStr">
        <is>
          <t>Thương lượng</t>
        </is>
      </c>
      <c r="F8882" s="10" t="inlineStr">
        <is>
          <t>Hà Nội</t>
        </is>
      </c>
      <c r="G8882" s="10" t="inlineStr">
        <is>
          <t>Trưởng phòng</t>
        </is>
      </c>
      <c r="H8882" s="10" t="inlineStr">
        <is>
          <t>09/03/2026</t>
        </is>
      </c>
      <c r="I8882" s="10" t="inlineStr">
        <is>
          <t>08/04/2026</t>
        </is>
      </c>
      <c r="J8882" s="10" t="inlineStr">
        <is>
          <t>17/03/2026</t>
        </is>
      </c>
      <c r="K8882" s="10" t="inlineStr">
        <is>
          <t>N/A</t>
        </is>
      </c>
      <c r="L8882" s="10" t="inlineStr">
        <is>
          <t>Chăm Sóc Khách Hàng, Phân Tích Thị Trường, Phát Triển Dự Án, Phát Triển Kinh Doanh, Đọc Hiểu Bản Vẽ</t>
        </is>
      </c>
      <c r="M8882" s="10" t="inlineStr">
        <is>
          <t>Bonus, Healthcare Plan, Others</t>
        </is>
      </c>
      <c r="N8882" s="11">
        <f>HYPERLINK("https://www.vietnamworks.com/quan-ly-phat-trien-kinh-doanh-bd-manager-2020475-jv","Xem chi tiết")</f>
        <v/>
      </c>
      <c r="O8882" s="10" t="n"/>
    </row>
    <row r="8883">
      <c r="B8883" s="7" t="n">
        <v>8881</v>
      </c>
      <c r="C8883" t="inlineStr">
        <is>
          <t>CVC Hỗ Trợ Kinh Doanh Quản Lý Tài Chính</t>
        </is>
      </c>
      <c r="D8883" t="inlineStr">
        <is>
          <t>CÔNG TY CỔ PHẦN TẬP ĐOÀN ĐẦU TƯ EMIR</t>
        </is>
      </c>
      <c r="E8883" t="inlineStr">
        <is>
          <t>$$ 600-800 /tháng</t>
        </is>
      </c>
      <c r="F8883" t="inlineStr">
        <is>
          <t>Hà Nội</t>
        </is>
      </c>
      <c r="G8883" t="inlineStr">
        <is>
          <t>Nhân viên</t>
        </is>
      </c>
      <c r="H8883" t="inlineStr">
        <is>
          <t>09/03/2026</t>
        </is>
      </c>
      <c r="I8883" t="inlineStr">
        <is>
          <t>08/04/2026</t>
        </is>
      </c>
      <c r="J8883" t="inlineStr">
        <is>
          <t>17/03/2026</t>
        </is>
      </c>
      <c r="K8883" t="inlineStr">
        <is>
          <t>N/A</t>
        </is>
      </c>
      <c r="L8883" t="inlineStr">
        <is>
          <t>Hỗ Trợ Tín Dụng, Kiểm Soát Tín Dụng, Quản Lý Tín Dụng, Tín Dụng Cá Nhân, Quan Hệ Khách Hàng Cá Nhân</t>
        </is>
      </c>
      <c r="M8883" t="inlineStr">
        <is>
          <t>Bonus, Training, Travel Opportunities</t>
        </is>
      </c>
      <c r="N8883" s="8">
        <f>HYPERLINK("https://www.vietnamworks.com/cvc-ho-tro-kinh-doanh-quan-ly-tai-chinh--2020493-jv","Xem chi tiết")</f>
        <v/>
      </c>
    </row>
    <row r="8884">
      <c r="B8884" s="9" t="n">
        <v>8882</v>
      </c>
      <c r="C8884" s="10" t="inlineStr">
        <is>
          <t>Quản Lý Nhà Máy Sản Xuất Viên Nén Gỗ</t>
        </is>
      </c>
      <c r="D8884" s="10" t="inlineStr">
        <is>
          <t>Vietnamworks' Client</t>
        </is>
      </c>
      <c r="E8884" s="10" t="inlineStr">
        <is>
          <t>Thương lượng</t>
        </is>
      </c>
      <c r="F8884" s="10" t="inlineStr">
        <is>
          <t>Bình Dương, Đồng Nai</t>
        </is>
      </c>
      <c r="G8884" s="10" t="inlineStr">
        <is>
          <t>Nhân viên</t>
        </is>
      </c>
      <c r="H8884" s="10" t="inlineStr">
        <is>
          <t>09/03/2026</t>
        </is>
      </c>
      <c r="I8884" s="10" t="inlineStr">
        <is>
          <t>08/04/2026</t>
        </is>
      </c>
      <c r="J8884" s="10" t="inlineStr">
        <is>
          <t>17/03/2026</t>
        </is>
      </c>
      <c r="K8884" s="10" t="inlineStr">
        <is>
          <t>N/A</t>
        </is>
      </c>
      <c r="L8884" s="10" t="inlineStr">
        <is>
          <t>Quản Lý Sản Xuất, Kỹ sư cơ khí, Kiểm Soát Chất Lượng</t>
        </is>
      </c>
      <c r="M8884" s="10" t="inlineStr">
        <is>
          <t>Bonus, Healthcare Plan, Others</t>
        </is>
      </c>
      <c r="N8884" s="11">
        <f>HYPERLINK("https://www.vietnamworks.com/quan-ly-nha-may-san-xuat-vien-nen-go-2020486-jv","Xem chi tiết")</f>
        <v/>
      </c>
      <c r="O8884" s="10" t="n"/>
    </row>
    <row r="8885">
      <c r="B8885" s="7" t="n">
        <v>8883</v>
      </c>
      <c r="C8885" t="inlineStr">
        <is>
          <t>Nhân Viên Kế Toán Thuế - Tổng Hợp</t>
        </is>
      </c>
      <c r="D8885" t="inlineStr">
        <is>
          <t>CÔNG TY CỔ PHẦN KHO VẬN VIỆT THÁI</t>
        </is>
      </c>
      <c r="E8885" t="inlineStr">
        <is>
          <t>Thương lượng</t>
        </is>
      </c>
      <c r="F8885" t="inlineStr">
        <is>
          <t>Hải Phòng</t>
        </is>
      </c>
      <c r="G8885" t="inlineStr">
        <is>
          <t>Nhân viên</t>
        </is>
      </c>
      <c r="H8885" t="inlineStr">
        <is>
          <t>09/03/2026</t>
        </is>
      </c>
      <c r="I8885" t="inlineStr">
        <is>
          <t>08/04/2026</t>
        </is>
      </c>
      <c r="J8885" t="inlineStr">
        <is>
          <t>17/03/2026</t>
        </is>
      </c>
      <c r="K8885" t="inlineStr">
        <is>
          <t>N/A</t>
        </is>
      </c>
      <c r="L8885" t="inlineStr">
        <is>
          <t>Báo Cáo Tài Chính, Báo Cáo Thuế, Kế Toán Tổng Hợp, VAS Standards, Quản Lý Công Nợ</t>
        </is>
      </c>
      <c r="M8885" t="inlineStr">
        <is>
          <t>Bonus, Paid Leave</t>
        </is>
      </c>
      <c r="N8885" s="8">
        <f>HYPERLINK("https://www.vietnamworks.com/nhan-vien-ke-toan-thue-tong-hop-2020491-jv","Xem chi tiết")</f>
        <v/>
      </c>
    </row>
    <row r="8886">
      <c r="B8886" s="9" t="n">
        <v>8884</v>
      </c>
      <c r="C8886" s="10" t="inlineStr">
        <is>
          <t>Giám Đốc Kinh Doanh (Lương Cơ Bản 20 - 30 Triệu/tháng, Thu Nhập Trung Bình: 60 - 100 Triệu/tháng)</t>
        </is>
      </c>
      <c r="D8886" s="10" t="inlineStr">
        <is>
          <t>CÔNG TY CỔ PHẦN ĐẦU TƯ Ô TÔ HẢI ÂU</t>
        </is>
      </c>
      <c r="E8886" s="10" t="inlineStr">
        <is>
          <t>20tr-100tr ₫/tháng</t>
        </is>
      </c>
      <c r="F8886" s="10" t="inlineStr">
        <is>
          <t>Hà Nội</t>
        </is>
      </c>
      <c r="G8886" s="10" t="inlineStr">
        <is>
          <t>Giám Đốc và Cấp Cao Hơn</t>
        </is>
      </c>
      <c r="H8886" s="10" t="inlineStr">
        <is>
          <t>09/03/2026</t>
        </is>
      </c>
      <c r="I8886" s="10" t="inlineStr">
        <is>
          <t>08/04/2026</t>
        </is>
      </c>
      <c r="J8886" s="10" t="inlineStr">
        <is>
          <t>17/03/2026</t>
        </is>
      </c>
      <c r="K8886" s="10" t="inlineStr">
        <is>
          <t>N/A</t>
        </is>
      </c>
      <c r="L8886" s="10" t="inlineStr">
        <is>
          <t>Quản Trị Vận Hành, Quản Trị Nhân Lực, Đàm Phán Thương Lượng, Kinh Doanh, Tiếng Anh</t>
        </is>
      </c>
      <c r="M8886" s="10" t="inlineStr">
        <is>
          <t>Bonus, Healthcare Plan, Paid Leave, Training, Team Activities, Others</t>
        </is>
      </c>
      <c r="N8886" s="11">
        <f>HYPERLINK("https://www.vietnamworks.com/giam-doc-kinh-doanh-luong-co-ban-20-30-trieu-thang-thu-nhap-trung-binh-60-100-trieu-thang-2020487-jv","Xem chi tiết")</f>
        <v/>
      </c>
      <c r="O8886" s="10" t="n"/>
    </row>
    <row r="8887">
      <c r="B8887" s="7" t="n">
        <v>8885</v>
      </c>
      <c r="C8887" t="inlineStr">
        <is>
          <t>Chuyên Viên Thiết Kế</t>
        </is>
      </c>
      <c r="D8887" t="inlineStr">
        <is>
          <t>CÔNG TY CỔ PHẦN TẬP ĐOÀN Y KHOA SÀI GÒN</t>
        </is>
      </c>
      <c r="E8887" t="inlineStr">
        <is>
          <t>Thương lượng</t>
        </is>
      </c>
      <c r="F8887" t="inlineStr">
        <is>
          <t>Hồ Chí Minh</t>
        </is>
      </c>
      <c r="G8887" t="inlineStr">
        <is>
          <t>Nhân viên</t>
        </is>
      </c>
      <c r="H8887" t="inlineStr">
        <is>
          <t>09/03/2026</t>
        </is>
      </c>
      <c r="I8887" t="inlineStr">
        <is>
          <t>08/04/2026</t>
        </is>
      </c>
      <c r="J8887" t="inlineStr">
        <is>
          <t>17/03/2026</t>
        </is>
      </c>
      <c r="K8887" t="inlineStr">
        <is>
          <t>N/A</t>
        </is>
      </c>
      <c r="L8887" t="inlineStr">
        <is>
          <t>Kỹ năng giao tiếp, Quản Lý Thương Hiệu, Sáng Tạo, Teamwork, Thiết Kế Đồ Họa</t>
        </is>
      </c>
      <c r="M8887" t="inlineStr">
        <is>
          <t>Bonus, Healthcare Plan, Laptop, Travel Opportunities</t>
        </is>
      </c>
      <c r="N8887" s="8">
        <f>HYPERLINK("https://www.vietnamworks.com/chuyen-vien-thiet-ke-2020496-jv","Xem chi tiết")</f>
        <v/>
      </c>
    </row>
    <row r="8888">
      <c r="B8888" s="9" t="n">
        <v>8886</v>
      </c>
      <c r="C8888" s="10" t="inlineStr">
        <is>
          <t>[Ha Noi Office] Corporate Communication Executive</t>
        </is>
      </c>
      <c r="D8888" s="10" t="inlineStr">
        <is>
          <t>Công Ty TNHH Aeon Việt Nam</t>
        </is>
      </c>
      <c r="E8888" s="10" t="inlineStr">
        <is>
          <t>Thương lượng</t>
        </is>
      </c>
      <c r="F8888" s="10" t="inlineStr">
        <is>
          <t>Hà Nội</t>
        </is>
      </c>
      <c r="G8888" s="10" t="inlineStr">
        <is>
          <t>Nhân viên</t>
        </is>
      </c>
      <c r="H8888" s="10" t="inlineStr">
        <is>
          <t>09/03/2026</t>
        </is>
      </c>
      <c r="I8888" s="10" t="inlineStr">
        <is>
          <t>08/04/2026</t>
        </is>
      </c>
      <c r="J8888" s="10" t="inlineStr">
        <is>
          <t>17/03/2026</t>
        </is>
      </c>
      <c r="K8888" s="10" t="inlineStr">
        <is>
          <t>N/A</t>
        </is>
      </c>
      <c r="L8888" s="10" t="inlineStr">
        <is>
          <t>Quan Hệ Công Chúng, Truyền Thông Nội Bộ</t>
        </is>
      </c>
      <c r="M8888" s="10" t="inlineStr">
        <is>
          <t>Bonus, Healthcare Plan, Training</t>
        </is>
      </c>
      <c r="N8888" s="11">
        <f>HYPERLINK("https://www.vietnamworks.com/ha-noi-office-corporate-communication-executive-2020501-jv","Xem chi tiết")</f>
        <v/>
      </c>
      <c r="O8888" s="10" t="n"/>
    </row>
    <row r="8889">
      <c r="B8889" s="7" t="n">
        <v>8887</v>
      </c>
      <c r="C8889" t="inlineStr">
        <is>
          <t>Project Manager</t>
        </is>
      </c>
      <c r="D8889" t="inlineStr">
        <is>
          <t>Công Ty Cổ phẩn MASAN MEATLife</t>
        </is>
      </c>
      <c r="E8889" t="inlineStr">
        <is>
          <t>Thương lượng</t>
        </is>
      </c>
      <c r="F8889" t="inlineStr">
        <is>
          <t>Hồ Chí Minh, Long An</t>
        </is>
      </c>
      <c r="G8889" t="inlineStr">
        <is>
          <t>Trưởng phòng</t>
        </is>
      </c>
      <c r="H8889" t="inlineStr">
        <is>
          <t>09/03/2026</t>
        </is>
      </c>
      <c r="I8889" t="inlineStr">
        <is>
          <t>08/04/2026</t>
        </is>
      </c>
      <c r="J8889" t="inlineStr">
        <is>
          <t>17/03/2026</t>
        </is>
      </c>
      <c r="K8889" t="inlineStr">
        <is>
          <t>N/A</t>
        </is>
      </c>
      <c r="L8889" t="inlineStr">
        <is>
          <t>Cơ Khí, Giao Tiếp, Máy Chế Biến Thực Phẩm, Quản Lý Dự Án, Thiết Kế Thang Máy</t>
        </is>
      </c>
      <c r="M8889" t="inlineStr">
        <is>
          <t>Bonus</t>
        </is>
      </c>
      <c r="N8889" s="8">
        <f>HYPERLINK("https://www.vietnamworks.com/project-manager-2020498-jv","Xem chi tiết")</f>
        <v/>
      </c>
    </row>
    <row r="8890">
      <c r="B8890" s="9" t="n">
        <v>8888</v>
      </c>
      <c r="C8890" s="10" t="inlineStr">
        <is>
          <t>Kế Toán Nội Bộ</t>
        </is>
      </c>
      <c r="D8890" s="10" t="inlineStr">
        <is>
          <t>CÔNG TY CỔ PHẦN THƯƠNG MẠI VÀ DỊCH VỤ VẬN TẢI TRƯỜNG NAM</t>
        </is>
      </c>
      <c r="E8890" s="10" t="inlineStr">
        <is>
          <t>12tr-15tr ₫/tháng</t>
        </is>
      </c>
      <c r="F8890" s="10" t="inlineStr">
        <is>
          <t>Hà Nội</t>
        </is>
      </c>
      <c r="G8890" s="10" t="inlineStr">
        <is>
          <t>Nhân viên</t>
        </is>
      </c>
      <c r="H8890" s="10" t="inlineStr">
        <is>
          <t>09/03/2026</t>
        </is>
      </c>
      <c r="I8890" s="10" t="inlineStr">
        <is>
          <t>08/04/2026</t>
        </is>
      </c>
      <c r="J8890" s="10" t="inlineStr">
        <is>
          <t>17/03/2026</t>
        </is>
      </c>
      <c r="K8890" s="10" t="inlineStr">
        <is>
          <t>N/A</t>
        </is>
      </c>
      <c r="L8890" s="10" t="inlineStr">
        <is>
          <t>Kế Toán, Kiểm Toán, Tài Chính, Excel, Giao Tiếp</t>
        </is>
      </c>
      <c r="M8890" s="10" t="inlineStr">
        <is>
          <t>Healthcare Plan, Others</t>
        </is>
      </c>
      <c r="N8890" s="11">
        <f>HYPERLINK("https://www.vietnamworks.com/ke-toan-noi-bo-2020505-jv","Xem chi tiết")</f>
        <v/>
      </c>
      <c r="O8890" s="10" t="n"/>
    </row>
    <row r="8891">
      <c r="B8891" s="7" t="n">
        <v>8889</v>
      </c>
      <c r="C8891" t="inlineStr">
        <is>
          <t>Nhân Viên Chứng Từ Và Khai Báo Hải Quan</t>
        </is>
      </c>
      <c r="D8891" t="inlineStr">
        <is>
          <t>AWARDS SHIPPING SERVICES CO.,LTD</t>
        </is>
      </c>
      <c r="E8891" t="inlineStr">
        <is>
          <t>Thương lượng</t>
        </is>
      </c>
      <c r="F8891" t="inlineStr">
        <is>
          <t>Hồ Chí Minh</t>
        </is>
      </c>
      <c r="G8891" t="inlineStr">
        <is>
          <t>Nhân viên</t>
        </is>
      </c>
      <c r="H8891" t="inlineStr">
        <is>
          <t>09/03/2026</t>
        </is>
      </c>
      <c r="I8891" t="inlineStr">
        <is>
          <t>08/04/2026</t>
        </is>
      </c>
      <c r="J8891" t="inlineStr">
        <is>
          <t>17/03/2026</t>
        </is>
      </c>
      <c r="K8891" t="inlineStr">
        <is>
          <t>N/A</t>
        </is>
      </c>
      <c r="L8891" t="inlineStr">
        <is>
          <t>Chăm Sóc Khách Hàng, Customs Clearance, Customs Declaration, Chứng Từ Hải Quan, Customs</t>
        </is>
      </c>
      <c r="M8891" t="inlineStr">
        <is>
          <t>Bonus, Healthcare Plan, Paid Leave, Others</t>
        </is>
      </c>
      <c r="N8891" s="8">
        <f>HYPERLINK("https://www.vietnamworks.com/nhan-vien-chung-tu-va-khai-bao-hai-quan--2020506-jv","Xem chi tiết")</f>
        <v/>
      </c>
    </row>
    <row r="8892">
      <c r="B8892" s="9" t="n">
        <v>8890</v>
      </c>
      <c r="C8892" s="10" t="inlineStr">
        <is>
          <t>Kỹ Sư Giám Sát Xây Dựng (Từ 2 Năm Kinh Nghiệm, Đi Công Tác Tỉnh)</t>
        </is>
      </c>
      <c r="D8892" s="10" t="inlineStr">
        <is>
          <t>Công Ty Cổ phần Tư Vấn Thiết Kế Xây Dựng và Kiểm Định Bách Khoa Việt</t>
        </is>
      </c>
      <c r="E8892" s="10" t="inlineStr">
        <is>
          <t>$$ 500-1,500 /tháng</t>
        </is>
      </c>
      <c r="F8892" s="10" t="inlineStr">
        <is>
          <t>Tây Ninh</t>
        </is>
      </c>
      <c r="G8892" s="10" t="inlineStr">
        <is>
          <t>Nhân viên</t>
        </is>
      </c>
      <c r="H8892" s="10" t="inlineStr">
        <is>
          <t>09/03/2026</t>
        </is>
      </c>
      <c r="I8892" s="10" t="inlineStr">
        <is>
          <t>08/04/2026</t>
        </is>
      </c>
      <c r="J8892" s="10" t="inlineStr">
        <is>
          <t>17/03/2026</t>
        </is>
      </c>
      <c r="K8892" s="10" t="inlineStr">
        <is>
          <t>N/A</t>
        </is>
      </c>
      <c r="L8892" s="10" t="inlineStr">
        <is>
          <t>Giám Sát Xây Dựng, Kiểm Soát Khối Lượng, Nghiệm Thu, Xây Dựng, Tiếng Anh</t>
        </is>
      </c>
      <c r="M8892" s="10" t="inlineStr">
        <is>
          <t>Bonus, Healthcare Plan, Paid Leave</t>
        </is>
      </c>
      <c r="N8892" s="11">
        <f>HYPERLINK("https://www.vietnamworks.com/ky-su-giam-sat-xay-dung-tu-2-nam-kinh-nghiem-dji-cong-tac-tinh-2020503-jv","Xem chi tiết")</f>
        <v/>
      </c>
      <c r="O8892" s="10" t="n"/>
    </row>
    <row r="8893">
      <c r="B8893" s="7" t="n">
        <v>8891</v>
      </c>
      <c r="C8893" t="inlineStr">
        <is>
          <t>System Operations Executive</t>
        </is>
      </c>
      <c r="D8893" t="inlineStr">
        <is>
          <t>Panasonic Sales Vietnam</t>
        </is>
      </c>
      <c r="E8893" t="inlineStr">
        <is>
          <t>Thương lượng</t>
        </is>
      </c>
      <c r="F8893" t="inlineStr">
        <is>
          <t>Hà Nội</t>
        </is>
      </c>
      <c r="G8893" t="inlineStr">
        <is>
          <t>Nhân viên</t>
        </is>
      </c>
      <c r="H8893" t="inlineStr">
        <is>
          <t>09/03/2026</t>
        </is>
      </c>
      <c r="I8893" t="inlineStr">
        <is>
          <t>08/04/2026</t>
        </is>
      </c>
      <c r="J8893" t="inlineStr">
        <is>
          <t>17/03/2026</t>
        </is>
      </c>
      <c r="K8893" t="inlineStr">
        <is>
          <t>N/A</t>
        </is>
      </c>
      <c r="L8893" t="inlineStr">
        <is>
          <t>CRM, Customer Service Operation, ERP, Systems Administration</t>
        </is>
      </c>
      <c r="M8893" t="inlineStr">
        <is>
          <t>Bonus, Training, Laptop, Travel Opportunities</t>
        </is>
      </c>
      <c r="N8893" s="8">
        <f>HYPERLINK("https://www.vietnamworks.com/system-operations-executive-2020502-jv","Xem chi tiết")</f>
        <v/>
      </c>
    </row>
    <row r="8894">
      <c r="B8894" s="9" t="n">
        <v>8892</v>
      </c>
      <c r="C8894" s="10" t="inlineStr">
        <is>
          <t>Chuyên Viên Kinh Doanh (B2B-Horeca)</t>
        </is>
      </c>
      <c r="D8894" s="10" t="inlineStr">
        <is>
          <t>CÔNG TY CỔ PHẦN DEVIE</t>
        </is>
      </c>
      <c r="E8894" s="10" t="inlineStr">
        <is>
          <t>15tr-30tr ₫/tháng</t>
        </is>
      </c>
      <c r="F8894" s="10" t="inlineStr">
        <is>
          <t>Hồ Chí Minh</t>
        </is>
      </c>
      <c r="G8894" s="10" t="inlineStr">
        <is>
          <t>Nhân viên</t>
        </is>
      </c>
      <c r="H8894" s="10" t="inlineStr">
        <is>
          <t>09/03/2026</t>
        </is>
      </c>
      <c r="I8894" s="10" t="inlineStr">
        <is>
          <t>08/04/2026</t>
        </is>
      </c>
      <c r="J8894" s="10" t="inlineStr">
        <is>
          <t>17/03/2026</t>
        </is>
      </c>
      <c r="K8894" s="10" t="inlineStr">
        <is>
          <t>N/A</t>
        </is>
      </c>
      <c r="L8894" s="10" t="inlineStr">
        <is>
          <t>Communication, FMCG, Market Research, Negotiation, Sales B2B</t>
        </is>
      </c>
      <c r="M8894" s="10" t="inlineStr">
        <is>
          <t>Bonus, Healthcare Plan, Others</t>
        </is>
      </c>
      <c r="N8894" s="11">
        <f>HYPERLINK("https://www.vietnamworks.com/chuyen-vien-kinh-doanh-b2b-horeca--2020508-jv","Xem chi tiết")</f>
        <v/>
      </c>
      <c r="O8894" s="10" t="n"/>
    </row>
    <row r="8895">
      <c r="B8895" s="7" t="n">
        <v>8893</v>
      </c>
      <c r="C8895" t="inlineStr">
        <is>
          <t>Freight Officer (HCM &amp; Hà Nội)</t>
        </is>
      </c>
      <c r="D8895" t="inlineStr">
        <is>
          <t>UPS Vietnam</t>
        </is>
      </c>
      <c r="E8895" t="inlineStr">
        <is>
          <t>Thương lượng</t>
        </is>
      </c>
      <c r="F8895" t="inlineStr">
        <is>
          <t>Hồ Chí Minh, Hà Nội</t>
        </is>
      </c>
      <c r="G8895" t="inlineStr">
        <is>
          <t>Nhân viên</t>
        </is>
      </c>
      <c r="H8895" t="inlineStr">
        <is>
          <t>09/03/2026</t>
        </is>
      </c>
      <c r="I8895" t="inlineStr">
        <is>
          <t>08/04/2026</t>
        </is>
      </c>
      <c r="J8895" t="inlineStr">
        <is>
          <t>17/03/2026</t>
        </is>
      </c>
      <c r="K8895" t="inlineStr">
        <is>
          <t>N/A</t>
        </is>
      </c>
      <c r="L8895" t="inlineStr">
        <is>
          <t>Supply Chain Management, Logistics Management, Good Communication Skill</t>
        </is>
      </c>
      <c r="M8895" t="inlineStr">
        <is>
          <t>Healthcare Plan, Team Activities, Others</t>
        </is>
      </c>
      <c r="N8895" s="8">
        <f>HYPERLINK("https://www.vietnamworks.com/freight-officer-hcm-ha-noi-2020499-jv","Xem chi tiết")</f>
        <v/>
      </c>
    </row>
    <row r="8896">
      <c r="B8896" s="9" t="n">
        <v>8894</v>
      </c>
      <c r="C8896" s="10" t="inlineStr">
        <is>
          <t>Quality Supervisor</t>
        </is>
      </c>
      <c r="D8896" s="10" t="inlineStr">
        <is>
          <t>AkzoNobel Vietnam</t>
        </is>
      </c>
      <c r="E8896" s="10" t="inlineStr">
        <is>
          <t>Thương lượng</t>
        </is>
      </c>
      <c r="F8896" s="10" t="inlineStr">
        <is>
          <t>Bắc Ninh</t>
        </is>
      </c>
      <c r="G8896" s="10" t="inlineStr">
        <is>
          <t>Nhân viên</t>
        </is>
      </c>
      <c r="H8896" s="10" t="inlineStr">
        <is>
          <t>09/03/2026</t>
        </is>
      </c>
      <c r="I8896" s="10" t="inlineStr">
        <is>
          <t>08/04/2026</t>
        </is>
      </c>
      <c r="J8896" s="10" t="inlineStr">
        <is>
          <t>17/03/2026</t>
        </is>
      </c>
      <c r="K8896" s="10" t="inlineStr">
        <is>
          <t>N/A</t>
        </is>
      </c>
      <c r="L8896" s="10" t="inlineStr">
        <is>
          <t>Coatings, ISO, Process Improvement, Quality Assurance, Quality Management</t>
        </is>
      </c>
      <c r="M8896" s="10" t="inlineStr">
        <is>
          <t>Bonus, Healthcare Plan, Paid Leave</t>
        </is>
      </c>
      <c r="N8896" s="11">
        <f>HYPERLINK("https://www.vietnamworks.com/quality-supervisor-2020507-jv","Xem chi tiết")</f>
        <v/>
      </c>
      <c r="O8896" s="10" t="n"/>
    </row>
    <row r="8897">
      <c r="B8897" s="7" t="n">
        <v>8895</v>
      </c>
      <c r="C8897" t="inlineStr">
        <is>
          <t>Kỹ Sư Dịch Vụ Kỹ Thuật (Service Engineer)</t>
        </is>
      </c>
      <c r="D8897" t="inlineStr">
        <is>
          <t>Công Ty TNHH Sao Đỏ Việt Nam - Chi Nhánh CMS</t>
        </is>
      </c>
      <c r="E8897" t="inlineStr">
        <is>
          <t>10tr-20tr ₫/tháng</t>
        </is>
      </c>
      <c r="F8897" t="inlineStr">
        <is>
          <t>Hà Nội</t>
        </is>
      </c>
      <c r="G8897" t="inlineStr">
        <is>
          <t>Nhân viên</t>
        </is>
      </c>
      <c r="H8897" t="inlineStr">
        <is>
          <t>09/03/2026</t>
        </is>
      </c>
      <c r="I8897" t="inlineStr">
        <is>
          <t>08/04/2026</t>
        </is>
      </c>
      <c r="J8897" t="inlineStr">
        <is>
          <t>17/03/2026</t>
        </is>
      </c>
      <c r="K8897" t="inlineStr">
        <is>
          <t>N/A</t>
        </is>
      </c>
      <c r="L8897" t="inlineStr">
        <is>
          <t>Sửa Chữa Thiết Bị, Bảo Dưỡng, Bảo trì, sửa chữa, Kỹ Thuật Hóa Phân Tích, Sửa Chữa Bảo Trì Máy</t>
        </is>
      </c>
      <c r="M8897" t="inlineStr">
        <is>
          <t>Bonus, Healthcare Plan, Paid Leave, Training, Others</t>
        </is>
      </c>
      <c r="N8897" s="8">
        <f>HYPERLINK("https://www.vietnamworks.com/ky-su-dich-vu-ky-thuat-service-engineer-2020512-jv","Xem chi tiết")</f>
        <v/>
      </c>
    </row>
    <row r="8898">
      <c r="B8898" s="9" t="n">
        <v>8896</v>
      </c>
      <c r="C8898" s="10" t="inlineStr">
        <is>
          <t>Kỹ Sư Bán Hàng/ Nhân Viên Kinh Doanh/ Nhân Viên Bán Hàng (Sale Engineer) - Lương Cứng Từ 15 – 25 Triệu</t>
        </is>
      </c>
      <c r="D8898" s="10" t="inlineStr">
        <is>
          <t>Công Ty TNHH Sao Đỏ Việt Nam - Chi Nhánh CMS</t>
        </is>
      </c>
      <c r="E8898" s="10" t="inlineStr">
        <is>
          <t>15tr-25tr ₫/tháng</t>
        </is>
      </c>
      <c r="F8898" s="10" t="inlineStr">
        <is>
          <t>Hà Nội</t>
        </is>
      </c>
      <c r="G8898" s="10" t="inlineStr">
        <is>
          <t>Nhân viên</t>
        </is>
      </c>
      <c r="H8898" s="10" t="inlineStr">
        <is>
          <t>09/03/2026</t>
        </is>
      </c>
      <c r="I8898" s="10" t="inlineStr">
        <is>
          <t>08/04/2026</t>
        </is>
      </c>
      <c r="J8898" s="10" t="inlineStr">
        <is>
          <t>17/03/2026</t>
        </is>
      </c>
      <c r="K8898" s="10" t="inlineStr">
        <is>
          <t>N/A</t>
        </is>
      </c>
      <c r="L8898" s="10" t="inlineStr">
        <is>
          <t>Chăm Sóc Khách Hàng, Giới Thiệu Sản Phẩm, Tư Vấn Khách Hàng, Tư Vấn Kinh Doanh, Đàm Phán Thương Lượng</t>
        </is>
      </c>
      <c r="M8898" s="10" t="inlineStr">
        <is>
          <t>Bonus, Healthcare Plan, Paid Leave, Training, Others</t>
        </is>
      </c>
      <c r="N8898" s="11">
        <f>HYPERLINK("https://www.vietnamworks.com/ky-su-ban-hang-nhan-vien-kinh-doanh-nhan-vien-ban-hang-sale-engineer-luong-cung-tu-15-25-trieu-2020511-jv","Xem chi tiết")</f>
        <v/>
      </c>
      <c r="O8898" s="10" t="n"/>
    </row>
    <row r="8899">
      <c r="B8899" s="7" t="n">
        <v>8897</v>
      </c>
      <c r="C8899" t="inlineStr">
        <is>
          <t>Nhân Viên Chứng Từ</t>
        </is>
      </c>
      <c r="D8899" t="inlineStr">
        <is>
          <t>CÔNG TY TNHH PROTEINA VIỆT NAM</t>
        </is>
      </c>
      <c r="E8899" t="inlineStr">
        <is>
          <t>Thương lượng</t>
        </is>
      </c>
      <c r="F8899" t="inlineStr">
        <is>
          <t>Hồ Chí Minh</t>
        </is>
      </c>
      <c r="G8899" t="inlineStr">
        <is>
          <t>Nhân viên</t>
        </is>
      </c>
      <c r="H8899" t="inlineStr">
        <is>
          <t>09/03/2026</t>
        </is>
      </c>
      <c r="I8899" t="inlineStr">
        <is>
          <t>08/04/2026</t>
        </is>
      </c>
      <c r="J8899" t="inlineStr">
        <is>
          <t>17/03/2026</t>
        </is>
      </c>
      <c r="K8899" t="inlineStr">
        <is>
          <t>N/A</t>
        </is>
      </c>
      <c r="L8899" t="inlineStr">
        <is>
          <t>Hải Quan, Logistics, Thương Mại, Chứng từ, Document &amp; Cargo Handling</t>
        </is>
      </c>
      <c r="M8899" t="inlineStr">
        <is>
          <t>Bonus, Healthcare Plan, Training, Team Activities, Others</t>
        </is>
      </c>
      <c r="N8899" s="8">
        <f>HYPERLINK("https://www.vietnamworks.com/nhan-vien-chung-tu-2020524-jv","Xem chi tiết")</f>
        <v/>
      </c>
    </row>
    <row r="8900">
      <c r="B8900" s="9" t="n">
        <v>8898</v>
      </c>
      <c r="C8900" s="10" t="inlineStr">
        <is>
          <t>Purchasing Staff (Chinese Speaking)</t>
        </is>
      </c>
      <c r="D8900" s="10" t="inlineStr">
        <is>
          <t>Panasonic Industrial Devices Vietnam CO., LTD (PIDVN)</t>
        </is>
      </c>
      <c r="E8900" s="10" t="inlineStr">
        <is>
          <t>Thương lượng</t>
        </is>
      </c>
      <c r="F8900" s="10" t="inlineStr">
        <is>
          <t>Hà Nội</t>
        </is>
      </c>
      <c r="G8900" s="10" t="inlineStr">
        <is>
          <t>Nhân viên</t>
        </is>
      </c>
      <c r="H8900" s="10" t="inlineStr">
        <is>
          <t>09/03/2026</t>
        </is>
      </c>
      <c r="I8900" s="10" t="inlineStr">
        <is>
          <t>08/04/2026</t>
        </is>
      </c>
      <c r="J8900" s="10" t="inlineStr">
        <is>
          <t>17/03/2026</t>
        </is>
      </c>
      <c r="K8900" s="10" t="inlineStr">
        <is>
          <t>N/A</t>
        </is>
      </c>
      <c r="L8900" s="10" t="inlineStr">
        <is>
          <t>Tiếng Trung, Tiếng Anh, Thu Mua, Purchase Management, Mua Hàng</t>
        </is>
      </c>
      <c r="M8900" s="10" t="inlineStr">
        <is>
          <t>Bonus, Training, Transportation</t>
        </is>
      </c>
      <c r="N8900" s="11">
        <f>HYPERLINK("https://www.vietnamworks.com/purchasing-staff-chinese-speaking--2020531-jv","Xem chi tiết")</f>
        <v/>
      </c>
      <c r="O8900" s="10" t="n"/>
    </row>
    <row r="8901">
      <c r="B8901" s="7" t="n">
        <v>8899</v>
      </c>
      <c r="C8901" t="inlineStr">
        <is>
          <t>Legal Specialist/ Chuyên Viên Pháp Chế</t>
        </is>
      </c>
      <c r="D8901" t="inlineStr">
        <is>
          <t>Sungrow Power(Singapore) Pte. LTD</t>
        </is>
      </c>
      <c r="E8901" t="inlineStr">
        <is>
          <t>Thương lượng</t>
        </is>
      </c>
      <c r="F8901" t="inlineStr">
        <is>
          <t>Hà Nội</t>
        </is>
      </c>
      <c r="G8901" t="inlineStr">
        <is>
          <t>Nhân viên</t>
        </is>
      </c>
      <c r="H8901" t="inlineStr">
        <is>
          <t>09/03/2026</t>
        </is>
      </c>
      <c r="I8901" t="inlineStr">
        <is>
          <t>08/04/2026</t>
        </is>
      </c>
      <c r="J8901" t="inlineStr">
        <is>
          <t>17/03/2026</t>
        </is>
      </c>
      <c r="K8901" t="inlineStr">
        <is>
          <t>N/A</t>
        </is>
      </c>
      <c r="L8901" t="inlineStr">
        <is>
          <t>Legal Assistance, Contract Drafting, Negotiation, Legal Research, English Fluency</t>
        </is>
      </c>
      <c r="M8901" t="inlineStr">
        <is>
          <t>Bonus, Healthcare Plan, Others</t>
        </is>
      </c>
      <c r="N8901" s="8">
        <f>HYPERLINK("https://www.vietnamworks.com/legal-specialist-chuyen-vien-phap-che-2020532-jv","Xem chi tiết")</f>
        <v/>
      </c>
    </row>
    <row r="8902">
      <c r="B8902" s="9" t="n">
        <v>8900</v>
      </c>
      <c r="C8902" s="10" t="inlineStr">
        <is>
          <t>Human Resources Generalist</t>
        </is>
      </c>
      <c r="D8902" s="10" t="inlineStr">
        <is>
          <t>Công Ty TNHH CJ Olivenetworks VINA</t>
        </is>
      </c>
      <c r="E8902" s="10" t="inlineStr">
        <is>
          <t>$$ 600-1,000 /tháng</t>
        </is>
      </c>
      <c r="F8902" s="10" t="inlineStr">
        <is>
          <t>Hồ Chí Minh</t>
        </is>
      </c>
      <c r="G8902" s="10" t="inlineStr">
        <is>
          <t>Nhân viên</t>
        </is>
      </c>
      <c r="H8902" s="10" t="inlineStr">
        <is>
          <t>09/03/2026</t>
        </is>
      </c>
      <c r="I8902" s="10" t="inlineStr">
        <is>
          <t>08/04/2026</t>
        </is>
      </c>
      <c r="J8902" s="10" t="inlineStr">
        <is>
          <t>17/03/2026</t>
        </is>
      </c>
      <c r="K8902" s="10" t="inlineStr">
        <is>
          <t>N/A</t>
        </is>
      </c>
      <c r="L8902" s="10" t="inlineStr">
        <is>
          <t>Communication Skills, Compensation &amp; Benefits, Labor Law, Payroll, Recruitment</t>
        </is>
      </c>
      <c r="M8902" s="10" t="inlineStr">
        <is>
          <t>Bonus, Healthcare Plan, Paid Leave, Team Activities, Others</t>
        </is>
      </c>
      <c r="N8902" s="11">
        <f>HYPERLINK("https://www.vietnamworks.com/human-resources-generalist-2020528-jv","Xem chi tiết")</f>
        <v/>
      </c>
      <c r="O8902" s="10" t="n"/>
    </row>
    <row r="8903">
      <c r="B8903" s="7" t="n">
        <v>8901</v>
      </c>
      <c r="C8903" t="inlineStr">
        <is>
          <t>Accounting Manager</t>
        </is>
      </c>
      <c r="D8903" t="inlineStr">
        <is>
          <t>Amann (Vietnam) Co., Ltd.</t>
        </is>
      </c>
      <c r="E8903" t="inlineStr">
        <is>
          <t>Thương lượng</t>
        </is>
      </c>
      <c r="F8903" t="inlineStr">
        <is>
          <t>Đà Nẵng</t>
        </is>
      </c>
      <c r="G8903" t="inlineStr">
        <is>
          <t>Trưởng phòng</t>
        </is>
      </c>
      <c r="H8903" t="inlineStr">
        <is>
          <t>09/03/2026</t>
        </is>
      </c>
      <c r="I8903" t="inlineStr">
        <is>
          <t>08/04/2026</t>
        </is>
      </c>
      <c r="J8903" t="inlineStr">
        <is>
          <t>17/03/2026</t>
        </is>
      </c>
      <c r="K8903" t="inlineStr">
        <is>
          <t>N/A</t>
        </is>
      </c>
      <c r="L8903" t="inlineStr">
        <is>
          <t>Accounting Management, Tax Knowledge, MS Office, Accounting Software, Leadership Skills</t>
        </is>
      </c>
      <c r="M8903" t="inlineStr">
        <is>
          <t>Bonus, Healthcare Plan, Paid Leave</t>
        </is>
      </c>
      <c r="N8903" s="8">
        <f>HYPERLINK("https://www.vietnamworks.com/accounting-manager-2020527-jv","Xem chi tiết")</f>
        <v/>
      </c>
    </row>
    <row r="8904">
      <c r="B8904" s="9" t="n">
        <v>8902</v>
      </c>
      <c r="C8904" s="10" t="inlineStr">
        <is>
          <t>Data Engineering Lead</t>
        </is>
      </c>
      <c r="D8904" s="10" t="inlineStr">
        <is>
          <t>Wanek Furniture CO., LTD.</t>
        </is>
      </c>
      <c r="E8904" s="10" t="inlineStr">
        <is>
          <t>Thương lượng</t>
        </is>
      </c>
      <c r="F8904" s="10" t="inlineStr">
        <is>
          <t>Bình Dương</t>
        </is>
      </c>
      <c r="G8904" s="10" t="inlineStr">
        <is>
          <t>Nhân viên</t>
        </is>
      </c>
      <c r="H8904" s="10" t="inlineStr">
        <is>
          <t>09/03/2026</t>
        </is>
      </c>
      <c r="I8904" s="10" t="inlineStr">
        <is>
          <t>08/04/2026</t>
        </is>
      </c>
      <c r="J8904" s="10" t="inlineStr">
        <is>
          <t>17/03/2026</t>
        </is>
      </c>
      <c r="K8904" s="10" t="inlineStr">
        <is>
          <t>N/A</t>
        </is>
      </c>
      <c r="L8904" s="10" t="inlineStr">
        <is>
          <t>Data Engineer, Manufacturing knowledge, ETL</t>
        </is>
      </c>
      <c r="M8904" s="10" t="inlineStr">
        <is>
          <t>Paid Leave, Team Activities, Transportation</t>
        </is>
      </c>
      <c r="N8904" s="11">
        <f>HYPERLINK("https://www.vietnamworks.com/data-engineering-lead--2020513-jv","Xem chi tiết")</f>
        <v/>
      </c>
      <c r="O8904" s="10" t="n"/>
    </row>
    <row r="8905">
      <c r="B8905" s="7" t="n">
        <v>8903</v>
      </c>
      <c r="C8905" t="inlineStr">
        <is>
          <t>Thực Tập Sinh Chăm Sóc Khách Hàng</t>
        </is>
      </c>
      <c r="D8905" t="inlineStr">
        <is>
          <t>Công Ty TNHH Westlake Compounds Việt Nam</t>
        </is>
      </c>
      <c r="E8905" t="inlineStr">
        <is>
          <t>Từ 3tr ₫/tháng</t>
        </is>
      </c>
      <c r="F8905" t="inlineStr">
        <is>
          <t>Đồng Nai</t>
        </is>
      </c>
      <c r="G8905" t="inlineStr">
        <is>
          <t>Thực tập sinh/Sinh viên</t>
        </is>
      </c>
      <c r="H8905" t="inlineStr">
        <is>
          <t>09/03/2026</t>
        </is>
      </c>
      <c r="I8905" t="inlineStr">
        <is>
          <t>08/04/2026</t>
        </is>
      </c>
      <c r="J8905" t="inlineStr">
        <is>
          <t>17/03/2026</t>
        </is>
      </c>
      <c r="K8905" t="inlineStr">
        <is>
          <t>N/A</t>
        </is>
      </c>
      <c r="L8905" t="inlineStr">
        <is>
          <t>Quản Trị Kinh Doanh, Thương Mại, Chăm Sóc Khách Hàng, Kinh Doanh</t>
        </is>
      </c>
      <c r="M8905" t="inlineStr">
        <is>
          <t>Healthcare Plan, Training, Team Activities, Transportation, Canteen, Others</t>
        </is>
      </c>
      <c r="N8905" s="8">
        <f>HYPERLINK("https://www.vietnamworks.com/thuc-tap-sinh-cham-soc-khach-hang-2020530-jv","Xem chi tiết")</f>
        <v/>
      </c>
    </row>
    <row r="8906">
      <c r="B8906" s="9" t="n">
        <v>8904</v>
      </c>
      <c r="C8906" s="10" t="inlineStr">
        <is>
          <t>Legal &amp; Compliance Specialist</t>
        </is>
      </c>
      <c r="D8906" s="10" t="inlineStr">
        <is>
          <t>Công Ty TNHH CJ Olivenetworks VINA</t>
        </is>
      </c>
      <c r="E8906" s="10" t="inlineStr">
        <is>
          <t>Thương lượng</t>
        </is>
      </c>
      <c r="F8906" s="10" t="inlineStr">
        <is>
          <t>Hồ Chí Minh</t>
        </is>
      </c>
      <c r="G8906" s="10" t="inlineStr">
        <is>
          <t>Nhân viên</t>
        </is>
      </c>
      <c r="H8906" s="10" t="inlineStr">
        <is>
          <t>09/03/2026</t>
        </is>
      </c>
      <c r="I8906" s="10" t="inlineStr">
        <is>
          <t>08/04/2026</t>
        </is>
      </c>
      <c r="J8906" s="10" t="inlineStr">
        <is>
          <t>17/03/2026</t>
        </is>
      </c>
      <c r="K8906" s="10" t="inlineStr">
        <is>
          <t>N/A</t>
        </is>
      </c>
      <c r="L8906" s="10" t="inlineStr">
        <is>
          <t>Compliance Management, Contract Drafting, Corporate Affairs, Legal Analysis, Problem-solving</t>
        </is>
      </c>
      <c r="M8906" s="10" t="inlineStr">
        <is>
          <t>Bonus, Healthcare Plan, Paid Leave, Team Activities, Others</t>
        </is>
      </c>
      <c r="N8906" s="11">
        <f>HYPERLINK("https://www.vietnamworks.com/legal-and-compliance-specialist-2020529-jv","Xem chi tiết")</f>
        <v/>
      </c>
      <c r="O8906" s="10" t="n"/>
    </row>
    <row r="8907">
      <c r="B8907" s="7" t="n">
        <v>8905</v>
      </c>
      <c r="C8907" t="inlineStr">
        <is>
          <t>BI Developer/ Data Analyst (Salary 30M++) 5 Working Days/ Week</t>
        </is>
      </c>
      <c r="D8907" t="inlineStr">
        <is>
          <t>Digital Intellect</t>
        </is>
      </c>
      <c r="E8907" t="inlineStr">
        <is>
          <t>Từ 30tr ₫/tháng</t>
        </is>
      </c>
      <c r="F8907" t="inlineStr">
        <is>
          <t>Hà Nội</t>
        </is>
      </c>
      <c r="G8907" t="inlineStr">
        <is>
          <t>Nhân viên</t>
        </is>
      </c>
      <c r="H8907" t="inlineStr">
        <is>
          <t>09/03/2026</t>
        </is>
      </c>
      <c r="I8907" t="inlineStr">
        <is>
          <t>08/04/2026</t>
        </is>
      </c>
      <c r="J8907" t="inlineStr">
        <is>
          <t>17/03/2026</t>
        </is>
      </c>
      <c r="K8907" t="inlineStr">
        <is>
          <t>N/A</t>
        </is>
      </c>
      <c r="L8907" t="inlineStr">
        <is>
          <t>Azure, Power BI, ERP, Power Query</t>
        </is>
      </c>
      <c r="M8907" t="inlineStr">
        <is>
          <t>Bonus, Paid Leave, Training</t>
        </is>
      </c>
      <c r="N8907" s="8">
        <f>HYPERLINK("https://www.vietnamworks.com/bi-developer-data-analyst-salary-30m-5-working-days-week--2020520-jv","Xem chi tiết")</f>
        <v/>
      </c>
    </row>
    <row r="8908">
      <c r="B8908" s="9" t="n">
        <v>8906</v>
      </c>
      <c r="C8908" s="10" t="inlineStr">
        <is>
          <t>Nhân Viên IT</t>
        </is>
      </c>
      <c r="D8908" s="10" t="inlineStr">
        <is>
          <t>Công ty Cổ phần Đầu tư và Phát triển Bất động sản HUDLAND</t>
        </is>
      </c>
      <c r="E8908" s="10" t="inlineStr">
        <is>
          <t>Thương lượng</t>
        </is>
      </c>
      <c r="F8908" s="10" t="inlineStr">
        <is>
          <t>Hà Nội</t>
        </is>
      </c>
      <c r="G8908" s="10" t="inlineStr">
        <is>
          <t>Nhân viên</t>
        </is>
      </c>
      <c r="H8908" s="10" t="inlineStr">
        <is>
          <t>09/03/2026</t>
        </is>
      </c>
      <c r="I8908" s="10" t="inlineStr">
        <is>
          <t>08/04/2026</t>
        </is>
      </c>
      <c r="J8908" s="10" t="inlineStr">
        <is>
          <t>17/03/2026</t>
        </is>
      </c>
      <c r="K8908" s="10" t="inlineStr">
        <is>
          <t>N/A</t>
        </is>
      </c>
      <c r="L8908" s="10" t="inlineStr">
        <is>
          <t>Bảo Mật Web, Chuyển Đổi Số, Kiến Thức Mạng Nội Bộ, Phân Tích Dữ Liệu, Quản Trị Hệ Thống Mạng</t>
        </is>
      </c>
      <c r="M8908" s="10" t="inlineStr">
        <is>
          <t>Healthcare Plan, Transportation, Kindergarten</t>
        </is>
      </c>
      <c r="N8908" s="11">
        <f>HYPERLINK("https://www.vietnamworks.com/nhan-vien-it-2020514-jv","Xem chi tiết")</f>
        <v/>
      </c>
      <c r="O8908" s="10" t="n"/>
    </row>
    <row r="8909">
      <c r="B8909" s="7" t="n">
        <v>8907</v>
      </c>
      <c r="C8909" t="inlineStr">
        <is>
          <t>Nhân Viên BQLDA (KS Trắc Đạc)</t>
        </is>
      </c>
      <c r="D8909" t="inlineStr">
        <is>
          <t>Công ty Cổ phần Đầu tư và Phát triển Bất động sản HUDLAND</t>
        </is>
      </c>
      <c r="E8909" t="inlineStr">
        <is>
          <t>Thương lượng</t>
        </is>
      </c>
      <c r="F8909" t="inlineStr">
        <is>
          <t>Hà Nội</t>
        </is>
      </c>
      <c r="G8909" t="inlineStr">
        <is>
          <t>Nhân viên</t>
        </is>
      </c>
      <c r="H8909" t="inlineStr">
        <is>
          <t>09/03/2026</t>
        </is>
      </c>
      <c r="I8909" t="inlineStr">
        <is>
          <t>08/04/2026</t>
        </is>
      </c>
      <c r="J8909" t="inlineStr">
        <is>
          <t>17/03/2026</t>
        </is>
      </c>
      <c r="K8909" t="inlineStr">
        <is>
          <t>N/A</t>
        </is>
      </c>
      <c r="L8909" t="inlineStr">
        <is>
          <t>Autocad, Giám Sát Xây Dựng, Quản Lý Thiết Bị, Trắc Đạc, Trắc Địa Công Trình</t>
        </is>
      </c>
      <c r="M8909" t="inlineStr">
        <is>
          <t>Bonus, Transportation, Vouchers</t>
        </is>
      </c>
      <c r="N8909" s="8">
        <f>HYPERLINK("https://www.vietnamworks.com/nhan-vien-bqlda-ks-trac-djac-2020519-jv","Xem chi tiết")</f>
        <v/>
      </c>
    </row>
    <row r="8910">
      <c r="B8910" s="9" t="n">
        <v>8908</v>
      </c>
      <c r="C8910" s="10" t="inlineStr">
        <is>
          <t>Organization Development &amp; Policy Specialist</t>
        </is>
      </c>
      <c r="D8910" s="10" t="inlineStr">
        <is>
          <t>Công Ty Cổ Phần Chứng Khoán SSI</t>
        </is>
      </c>
      <c r="E8910" s="10" t="inlineStr">
        <is>
          <t>Thương lượng</t>
        </is>
      </c>
      <c r="F8910" s="10" t="inlineStr">
        <is>
          <t>Hà Nội</t>
        </is>
      </c>
      <c r="G8910" s="10" t="inlineStr">
        <is>
          <t>Nhân viên</t>
        </is>
      </c>
      <c r="H8910" s="10" t="inlineStr">
        <is>
          <t>09/03/2026</t>
        </is>
      </c>
      <c r="I8910" s="10" t="inlineStr">
        <is>
          <t>08/04/2026</t>
        </is>
      </c>
      <c r="J8910" s="10" t="inlineStr">
        <is>
          <t>17/03/2026</t>
        </is>
      </c>
      <c r="K8910" s="10" t="inlineStr">
        <is>
          <t>N/A</t>
        </is>
      </c>
      <c r="L8910" s="10" t="inlineStr">
        <is>
          <t>Organizational Structure, Organizational Development, HR policy standardization, HR Policy Execution, Chính Sách Nhân Sự</t>
        </is>
      </c>
      <c r="M8910" s="10" t="inlineStr">
        <is>
          <t>Bonus, Healthcare Plan, Paid Leave</t>
        </is>
      </c>
      <c r="N8910" s="11">
        <f>HYPERLINK("https://www.vietnamworks.com/organization-development-policy-specialist-2020509-jv","Xem chi tiết")</f>
        <v/>
      </c>
      <c r="O8910" s="10" t="n"/>
    </row>
    <row r="8911">
      <c r="B8911" s="7" t="n">
        <v>8909</v>
      </c>
      <c r="C8911" t="inlineStr">
        <is>
          <t>Trợ Lý Kinh Doanh</t>
        </is>
      </c>
      <c r="D8911" t="inlineStr">
        <is>
          <t>Công Ty TNHH JCU Việt Nam</t>
        </is>
      </c>
      <c r="E8911" t="inlineStr">
        <is>
          <t>Thương lượng</t>
        </is>
      </c>
      <c r="F8911" t="inlineStr">
        <is>
          <t>Hà Nội</t>
        </is>
      </c>
      <c r="G8911" t="inlineStr">
        <is>
          <t>Nhân viên</t>
        </is>
      </c>
      <c r="H8911" t="inlineStr">
        <is>
          <t>09/03/2026</t>
        </is>
      </c>
      <c r="I8911" t="inlineStr">
        <is>
          <t>08/04/2026</t>
        </is>
      </c>
      <c r="J8911" t="inlineStr">
        <is>
          <t>17/03/2026</t>
        </is>
      </c>
      <c r="K8911" t="inlineStr">
        <is>
          <t>N/A</t>
        </is>
      </c>
      <c r="L8911" t="inlineStr">
        <is>
          <t>Kế Hoạch Bán Hàng, Giao Tiếp Tiếng Anh, Xử Lý Tình Huống, Hỗ Trợ Kinh Doanh, Sales Support</t>
        </is>
      </c>
      <c r="M8911" t="inlineStr">
        <is>
          <t>Bonus, Healthcare Plan, Travel Opportunities, Team Activities</t>
        </is>
      </c>
      <c r="N8911" s="8">
        <f>HYPERLINK("https://www.vietnamworks.com/tro-ly-kinh-doanh-2020534-jv","Xem chi tiết")</f>
        <v/>
      </c>
    </row>
    <row r="8912">
      <c r="B8912" s="9" t="n">
        <v>8910</v>
      </c>
      <c r="C8912" s="10" t="inlineStr">
        <is>
          <t>Nhân Viên Quản Lý Chất Lượng (QC Staff)</t>
        </is>
      </c>
      <c r="D8912" s="10" t="inlineStr">
        <is>
          <t>Công Ty TNHH Vật Liệu Nam Châm Shin-Etsu Việt Nam</t>
        </is>
      </c>
      <c r="E8912" s="10" t="inlineStr">
        <is>
          <t>10tr-13tr ₫/tháng</t>
        </is>
      </c>
      <c r="F8912" s="10" t="inlineStr">
        <is>
          <t>Hải Phòng</t>
        </is>
      </c>
      <c r="G8912" s="10" t="inlineStr">
        <is>
          <t>Nhân viên</t>
        </is>
      </c>
      <c r="H8912" s="10" t="inlineStr">
        <is>
          <t>09/03/2026</t>
        </is>
      </c>
      <c r="I8912" s="10" t="inlineStr">
        <is>
          <t>08/04/2026</t>
        </is>
      </c>
      <c r="J8912" s="10" t="inlineStr">
        <is>
          <t>17/03/2026</t>
        </is>
      </c>
      <c r="K8912" s="10" t="inlineStr">
        <is>
          <t>N/A</t>
        </is>
      </c>
      <c r="L8912" s="10" t="inlineStr">
        <is>
          <t>QAC, Cải Tiến, English, Tiếng Anh, VBA</t>
        </is>
      </c>
      <c r="M8912" s="10" t="inlineStr">
        <is>
          <t>Bonus, Healthcare Plan, Training, Awards, Others</t>
        </is>
      </c>
      <c r="N8912" s="11">
        <f>HYPERLINK("https://www.vietnamworks.com/nhan-vien-quan-ly-chat-luong-qc-staff-2020517-jv","Xem chi tiết")</f>
        <v/>
      </c>
      <c r="O8912" s="10" t="n"/>
    </row>
    <row r="8913">
      <c r="B8913" s="7" t="n">
        <v>8911</v>
      </c>
      <c r="C8913" t="inlineStr">
        <is>
          <t>Account Manager</t>
        </is>
      </c>
      <c r="D8913" t="inlineStr">
        <is>
          <t>TẬP ĐOÀN CÔNG NGHIỆP - VIỄN THÔNG QUÂN ĐỘI VIETTEL</t>
        </is>
      </c>
      <c r="E8913" t="inlineStr">
        <is>
          <t>Thương lượng</t>
        </is>
      </c>
      <c r="F8913" t="inlineStr">
        <is>
          <t>Hà Nội, Hồ Chí Minh</t>
        </is>
      </c>
      <c r="G8913" t="inlineStr">
        <is>
          <t>Nhân viên</t>
        </is>
      </c>
      <c r="H8913" t="inlineStr">
        <is>
          <t>09/03/2026</t>
        </is>
      </c>
      <c r="I8913" t="inlineStr">
        <is>
          <t>08/04/2026</t>
        </is>
      </c>
      <c r="J8913" t="inlineStr">
        <is>
          <t>17/03/2026</t>
        </is>
      </c>
      <c r="K8913" t="inlineStr">
        <is>
          <t>N/A</t>
        </is>
      </c>
      <c r="L8913" t="inlineStr">
        <is>
          <t>An Toàn Thông Tin, Dự Thảo Hợp Đồng, IT Security, Kỹ Thuật Thông Tin, Network đối tác</t>
        </is>
      </c>
      <c r="M8913" t="inlineStr">
        <is>
          <t>Bonus, Library, Travel Opportunities</t>
        </is>
      </c>
      <c r="N8913" s="8">
        <f>HYPERLINK("https://www.vietnamworks.com/account-manager-2020526-jv","Xem chi tiết")</f>
        <v/>
      </c>
    </row>
    <row r="8914">
      <c r="B8914" s="9" t="n">
        <v>8912</v>
      </c>
      <c r="C8914" s="10" t="inlineStr">
        <is>
          <t>Nhân Viên An Toàn Lao Động/ HSE Staff (PCCC, ATLĐ)</t>
        </is>
      </c>
      <c r="D8914" s="10" t="inlineStr">
        <is>
          <t>Công Ty TNHH Vật Liệu Nam Châm Shin-Etsu Việt Nam</t>
        </is>
      </c>
      <c r="E8914" s="10" t="inlineStr">
        <is>
          <t>10tr-14tr ₫/tháng</t>
        </is>
      </c>
      <c r="F8914" s="10" t="inlineStr">
        <is>
          <t>Hải Phòng</t>
        </is>
      </c>
      <c r="G8914" s="10" t="inlineStr">
        <is>
          <t>Nhân viên</t>
        </is>
      </c>
      <c r="H8914" s="10" t="inlineStr">
        <is>
          <t>09/03/2026</t>
        </is>
      </c>
      <c r="I8914" s="10" t="inlineStr">
        <is>
          <t>08/04/2026</t>
        </is>
      </c>
      <c r="J8914" s="10" t="inlineStr">
        <is>
          <t>17/03/2026</t>
        </is>
      </c>
      <c r="K8914" s="10" t="inlineStr">
        <is>
          <t>N/A</t>
        </is>
      </c>
      <c r="L8914" s="10" t="inlineStr">
        <is>
          <t>ISO 45001, ISO 14001, HSE, Health</t>
        </is>
      </c>
      <c r="M8914" s="10" t="inlineStr">
        <is>
          <t>Bonus, Healthcare Plan, Paid Leave, Training, Awards, Others</t>
        </is>
      </c>
      <c r="N8914" s="11">
        <f>HYPERLINK("https://www.vietnamworks.com/nhan-vien-an-toan-lao-djong-hse-staff-pccc-atldj-2020515-jv","Xem chi tiết")</f>
        <v/>
      </c>
      <c r="O8914" s="10" t="n"/>
    </row>
    <row r="8915">
      <c r="B8915" s="7" t="n">
        <v>8913</v>
      </c>
      <c r="C8915" t="inlineStr">
        <is>
          <t>Nhân Viên Kinh Doanh</t>
        </is>
      </c>
      <c r="D8915" t="inlineStr">
        <is>
          <t>Công ty Cổ phần Đầu tư và Phát triển Bất động sản HUDLAND</t>
        </is>
      </c>
      <c r="E8915" t="inlineStr">
        <is>
          <t>Thương lượng</t>
        </is>
      </c>
      <c r="F8915" t="inlineStr">
        <is>
          <t>Hà Nội</t>
        </is>
      </c>
      <c r="G8915" t="inlineStr">
        <is>
          <t>Nhân viên</t>
        </is>
      </c>
      <c r="H8915" t="inlineStr">
        <is>
          <t>09/03/2026</t>
        </is>
      </c>
      <c r="I8915" t="inlineStr">
        <is>
          <t>08/04/2026</t>
        </is>
      </c>
      <c r="J8915" t="inlineStr">
        <is>
          <t>17/03/2026</t>
        </is>
      </c>
      <c r="K8915" t="inlineStr">
        <is>
          <t>N/A</t>
        </is>
      </c>
      <c r="L8915" t="inlineStr">
        <is>
          <t>Giới Thiệu Sản Phẩm, Kinh Doanh Bất Động Sản, Phân Tích Thị Trường, Quản Lý Hợp Đồng, Thiết Lập Phương Án Kinh Doanh</t>
        </is>
      </c>
      <c r="M8915" t="inlineStr">
        <is>
          <t>Bonus, Healthcare Plan, Vouchers</t>
        </is>
      </c>
      <c r="N8915" s="8">
        <f>HYPERLINK("https://www.vietnamworks.com/nhan-vien-kinh-doanh-2020521-jv","Xem chi tiết")</f>
        <v/>
      </c>
    </row>
    <row r="8916">
      <c r="B8916" s="9" t="n">
        <v>8914</v>
      </c>
      <c r="C8916" s="10" t="inlineStr">
        <is>
          <t>Nhân Viên Kinh Doanh - Dự Án</t>
        </is>
      </c>
      <c r="D8916" s="10" t="inlineStr">
        <is>
          <t>Công Ty Cổ Phần Thiết Bị Điện Hàn Quốc</t>
        </is>
      </c>
      <c r="E8916" s="10" t="inlineStr">
        <is>
          <t>10tr-30tr ₫/tháng</t>
        </is>
      </c>
      <c r="F8916" s="10" t="inlineStr">
        <is>
          <t>Hà Nội</t>
        </is>
      </c>
      <c r="G8916" s="10" t="inlineStr">
        <is>
          <t>Nhân viên</t>
        </is>
      </c>
      <c r="H8916" s="10" t="inlineStr">
        <is>
          <t>09/03/2026</t>
        </is>
      </c>
      <c r="I8916" s="10" t="inlineStr">
        <is>
          <t>08/04/2026</t>
        </is>
      </c>
      <c r="J8916" s="10" t="inlineStr">
        <is>
          <t>17/03/2026</t>
        </is>
      </c>
      <c r="K8916" s="10" t="inlineStr">
        <is>
          <t>N/A</t>
        </is>
      </c>
      <c r="L8916" s="10" t="inlineStr">
        <is>
          <t>Kinh Doanh Dự Án, Lập Kế Hoạch Kinh Doanh, Quản Lý Hồ Sơ, Theo Dõi Hợp Đồng, Tìm Kiếm Khách Hàng</t>
        </is>
      </c>
      <c r="M8916" s="10" t="inlineStr">
        <is>
          <t>Bonus, Healthcare Plan, Awards</t>
        </is>
      </c>
      <c r="N8916" s="11">
        <f>HYPERLINK("https://www.vietnamworks.com/nhan-vien-kinh-doanh-du-an-2020536-jv","Xem chi tiết")</f>
        <v/>
      </c>
      <c r="O8916" s="10" t="n"/>
    </row>
    <row r="8917">
      <c r="B8917" s="7" t="n">
        <v>8915</v>
      </c>
      <c r="C8917" t="inlineStr">
        <is>
          <t>Chuyên Viên Phát Triển Dự Án</t>
        </is>
      </c>
      <c r="D8917" t="inlineStr">
        <is>
          <t>Công ty Cổ phần Đầu tư và Phát triển Bất động sản HUDLAND</t>
        </is>
      </c>
      <c r="E8917" t="inlineStr">
        <is>
          <t>Thương lượng</t>
        </is>
      </c>
      <c r="F8917" t="inlineStr">
        <is>
          <t>Hà Nội</t>
        </is>
      </c>
      <c r="G8917" t="inlineStr">
        <is>
          <t>Nhân viên</t>
        </is>
      </c>
      <c r="H8917" t="inlineStr">
        <is>
          <t>09/03/2026</t>
        </is>
      </c>
      <c r="I8917" t="inlineStr">
        <is>
          <t>08/04/2026</t>
        </is>
      </c>
      <c r="J8917" t="inlineStr">
        <is>
          <t>17/03/2026</t>
        </is>
      </c>
      <c r="K8917" t="inlineStr">
        <is>
          <t>N/A</t>
        </is>
      </c>
      <c r="L8917" t="inlineStr">
        <is>
          <t>Giải Phóng Mặt Bằng, Kỹ Sư Xây Dựng, Nghiên Cứu Thị Trường, Quy Trình Pháp Lý Đầu Tư, Thủ Tục Đầu Tư Dự Án</t>
        </is>
      </c>
      <c r="M8917" t="inlineStr">
        <is>
          <t>Bonus, Transportation, Vouchers</t>
        </is>
      </c>
      <c r="N8917" s="8">
        <f>HYPERLINK("https://www.vietnamworks.com/chuyen-vien-phat-trien-du-an-2020516-jv","Xem chi tiết")</f>
        <v/>
      </c>
    </row>
    <row r="8918">
      <c r="B8918" s="9" t="n">
        <v>8916</v>
      </c>
      <c r="C8918" s="10" t="inlineStr">
        <is>
          <t>Microsoft Customer Service Specialist - Chinese/ Mandarin</t>
        </is>
      </c>
      <c r="D8918" s="10" t="inlineStr">
        <is>
          <t>Teknowledge Co., Ltd</t>
        </is>
      </c>
      <c r="E8918" s="10" t="inlineStr">
        <is>
          <t>Thương lượng</t>
        </is>
      </c>
      <c r="F8918" s="10" t="inlineStr">
        <is>
          <t>Hà Nội</t>
        </is>
      </c>
      <c r="G8918" s="10" t="inlineStr">
        <is>
          <t>Nhân viên</t>
        </is>
      </c>
      <c r="H8918" s="10" t="inlineStr">
        <is>
          <t>09/03/2026</t>
        </is>
      </c>
      <c r="I8918" s="10" t="inlineStr">
        <is>
          <t>08/04/2026</t>
        </is>
      </c>
      <c r="J8918" s="10" t="inlineStr">
        <is>
          <t>17/03/2026</t>
        </is>
      </c>
      <c r="K8918" s="10" t="inlineStr">
        <is>
          <t>N/A</t>
        </is>
      </c>
      <c r="L8918" s="10" t="inlineStr">
        <is>
          <t>Customer Support, Dịch Vụ Khách Hàng, Technical Support, Chinese, Hỗ Trợ Kỹ Thuật</t>
        </is>
      </c>
      <c r="M8918" s="10" t="inlineStr">
        <is>
          <t>Laptop, Team Activities, Vouchers</t>
        </is>
      </c>
      <c r="N8918" s="11">
        <f>HYPERLINK("https://www.vietnamworks.com/microsoft-customer-service-specialist-chinese-mandarin-2020533-jv","Xem chi tiết")</f>
        <v/>
      </c>
      <c r="O8918" s="10" t="n"/>
    </row>
    <row r="8919">
      <c r="B8919" s="7" t="n">
        <v>8917</v>
      </c>
      <c r="C8919" t="inlineStr">
        <is>
          <t>Kế Toán Tổng Hợp</t>
        </is>
      </c>
      <c r="D8919" t="inlineStr">
        <is>
          <t>CÔNG TY CỔ PHẦN SẢN XUẤT VÀ KINH DOANH VIPEV</t>
        </is>
      </c>
      <c r="E8919" t="inlineStr">
        <is>
          <t>18tr-20tr ₫/tháng</t>
        </is>
      </c>
      <c r="F8919" t="inlineStr">
        <is>
          <t>Hà Nội</t>
        </is>
      </c>
      <c r="G8919" t="inlineStr">
        <is>
          <t>Nhân viên</t>
        </is>
      </c>
      <c r="H8919" t="inlineStr">
        <is>
          <t>09/03/2026</t>
        </is>
      </c>
      <c r="I8919" t="inlineStr">
        <is>
          <t>08/04/2026</t>
        </is>
      </c>
      <c r="J8919" t="inlineStr">
        <is>
          <t>17/03/2026</t>
        </is>
      </c>
      <c r="K8919" t="inlineStr">
        <is>
          <t>N/A</t>
        </is>
      </c>
      <c r="L8919" t="inlineStr">
        <is>
          <t>Giao Dịch Ngân Hàng, Hạch Toán, Kế Toán Sản Xuất, Tài Chính Kế Toán, Chứng Từ Kế Toán</t>
        </is>
      </c>
      <c r="M8919" t="inlineStr">
        <is>
          <t>Bonus, Healthcare Plan, Others</t>
        </is>
      </c>
      <c r="N8919" s="8">
        <f>HYPERLINK("https://www.vietnamworks.com/ke-toan-tong-hop-2020537-jv","Xem chi tiết")</f>
        <v/>
      </c>
    </row>
    <row r="8920">
      <c r="B8920" s="9" t="n">
        <v>8918</v>
      </c>
      <c r="C8920" s="10" t="inlineStr">
        <is>
          <t>Giám Sát Công Trình / Site Engineer – Thu Nhập Upto 25 Triệu</t>
        </is>
      </c>
      <c r="D8920" s="10" t="inlineStr">
        <is>
          <t>CÔNG TY CỔ PHẦN KIẾN TRÚC XÂY DỰNG FUCO VIỆT NAM</t>
        </is>
      </c>
      <c r="E8920" s="10" t="inlineStr">
        <is>
          <t>16tr-25tr ₫/tháng</t>
        </is>
      </c>
      <c r="F8920" s="10" t="inlineStr">
        <is>
          <t>Hà Nội</t>
        </is>
      </c>
      <c r="G8920" s="10" t="inlineStr">
        <is>
          <t>Nhân viên</t>
        </is>
      </c>
      <c r="H8920" s="10" t="inlineStr">
        <is>
          <t>09/03/2026</t>
        </is>
      </c>
      <c r="I8920" s="10" t="inlineStr">
        <is>
          <t>08/04/2026</t>
        </is>
      </c>
      <c r="J8920" s="10" t="inlineStr">
        <is>
          <t>17/03/2026</t>
        </is>
      </c>
      <c r="K8920" s="10" t="inlineStr">
        <is>
          <t>N/A</t>
        </is>
      </c>
      <c r="L8920" s="10" t="inlineStr">
        <is>
          <t>Giám Sát Thi Công, Bóc Tách Khối Lượng, Giám Sát Thi Công Công Trình Xây Dựng, Thi Công Công Trình, Xây Dựng</t>
        </is>
      </c>
      <c r="M8920" s="10" t="inlineStr">
        <is>
          <t>Bonus, Healthcare Plan, Team Activities, Others</t>
        </is>
      </c>
      <c r="N8920" s="11">
        <f>HYPERLINK("https://www.vietnamworks.com/giam-sat-cong-trinh-site-engineer-thu-nhap-upto-25-trieu-2020558-jv","Xem chi tiết")</f>
        <v/>
      </c>
      <c r="O8920" s="10" t="n"/>
    </row>
    <row r="8921">
      <c r="B8921" s="7" t="n">
        <v>8919</v>
      </c>
      <c r="C8921" t="inlineStr">
        <is>
          <t>Chuyên Viên Hành Chính (Từ 15 Đến 20 Triệu) Tại Hồ Chí Minh</t>
        </is>
      </c>
      <c r="D8921" t="inlineStr">
        <is>
          <t>Công Ty TNHH Dịch Vụ Vận Tải Sinh Thái Vinbus</t>
        </is>
      </c>
      <c r="E8921" t="inlineStr">
        <is>
          <t>$$ 700-900 /tháng</t>
        </is>
      </c>
      <c r="F8921" t="inlineStr">
        <is>
          <t>Hồ Chí Minh</t>
        </is>
      </c>
      <c r="G8921" t="inlineStr">
        <is>
          <t>Nhân viên</t>
        </is>
      </c>
      <c r="H8921" t="inlineStr">
        <is>
          <t>09/03/2026</t>
        </is>
      </c>
      <c r="I8921" t="inlineStr">
        <is>
          <t>08/04/2026</t>
        </is>
      </c>
      <c r="J8921" t="inlineStr">
        <is>
          <t>17/03/2026</t>
        </is>
      </c>
      <c r="K8921" t="inlineStr">
        <is>
          <t>N/A</t>
        </is>
      </c>
      <c r="L8921" t="inlineStr">
        <is>
          <t>Office Administration, Office Admin, Hành Chính Nhân Sự, Administration, Quản Trị Nhân Sự</t>
        </is>
      </c>
      <c r="M8921" t="inlineStr">
        <is>
          <t>Healthcare Plan, Training, Laptop</t>
        </is>
      </c>
      <c r="N8921" s="8">
        <f>HYPERLINK("https://www.vietnamworks.com/chuyen-vien-hanh-chinh-tu-15-den-20-trieu-tai-ho-chi-minh-2020555-jv","Xem chi tiết")</f>
        <v/>
      </c>
    </row>
    <row r="8922">
      <c r="B8922" s="9" t="n">
        <v>8920</v>
      </c>
      <c r="C8922" s="10" t="inlineStr">
        <is>
          <t>[ Hot Job ] Business Controlling (Intern/staff)</t>
        </is>
      </c>
      <c r="D8922" s="10" t="inlineStr">
        <is>
          <t>Piaggio Vietnam Co., Ltd (Pvn)</t>
        </is>
      </c>
      <c r="E8922" s="10" t="inlineStr">
        <is>
          <t>Thương lượng</t>
        </is>
      </c>
      <c r="F8922" s="10" t="inlineStr">
        <is>
          <t>Vĩnh Phúc, Hà Nội</t>
        </is>
      </c>
      <c r="G8922" s="10" t="inlineStr">
        <is>
          <t>Mới Tốt Nghiệp</t>
        </is>
      </c>
      <c r="H8922" s="10" t="inlineStr">
        <is>
          <t>09/03/2026</t>
        </is>
      </c>
      <c r="I8922" s="10" t="inlineStr">
        <is>
          <t>08/04/2026</t>
        </is>
      </c>
      <c r="J8922" s="10" t="inlineStr">
        <is>
          <t>17/03/2026</t>
        </is>
      </c>
      <c r="K8922" s="10" t="inlineStr">
        <is>
          <t>N/A</t>
        </is>
      </c>
      <c r="L8922" s="10" t="inlineStr">
        <is>
          <t>Accounting Standards, Budget Forecasting, Cost Controlling, Financial Analysis</t>
        </is>
      </c>
      <c r="M8922" s="10" t="inlineStr">
        <is>
          <t>Bonus, Healthcare Plan, Paid Leave, Training, Team Activities, Vouchers</t>
        </is>
      </c>
      <c r="N8922" s="11">
        <f>HYPERLINK("https://www.vietnamworks.com/hot-job-business-controlling-intern-staff-2020559-jv","Xem chi tiết")</f>
        <v/>
      </c>
      <c r="O8922" s="10" t="n"/>
    </row>
    <row r="8923">
      <c r="B8923" s="7" t="n">
        <v>8921</v>
      </c>
      <c r="C8923" t="inlineStr">
        <is>
          <t>Project Sales Executive</t>
        </is>
      </c>
      <c r="D8923" t="inlineStr">
        <is>
          <t>Công ty Cổ phần Quốc Tế Gốm Sứ Việt</t>
        </is>
      </c>
      <c r="E8923" t="inlineStr">
        <is>
          <t>$$ 700-1,500 /tháng</t>
        </is>
      </c>
      <c r="F8923" t="inlineStr">
        <is>
          <t>Hà Nội</t>
        </is>
      </c>
      <c r="G8923" t="inlineStr">
        <is>
          <t>Nhân viên</t>
        </is>
      </c>
      <c r="H8923" t="inlineStr">
        <is>
          <t>09/03/2026</t>
        </is>
      </c>
      <c r="I8923" t="inlineStr">
        <is>
          <t>08/04/2026</t>
        </is>
      </c>
      <c r="J8923" t="inlineStr">
        <is>
          <t>17/03/2026</t>
        </is>
      </c>
      <c r="K8923" t="inlineStr">
        <is>
          <t>N/A</t>
        </is>
      </c>
      <c r="L8923" t="inlineStr">
        <is>
          <t>English</t>
        </is>
      </c>
      <c r="M8923" t="inlineStr">
        <is>
          <t>Bonus, Healthcare Plan, Awards</t>
        </is>
      </c>
      <c r="N8923" s="8">
        <f>HYPERLINK("https://www.vietnamworks.com/project-sales-executive--2020557-jv","Xem chi tiết")</f>
        <v/>
      </c>
    </row>
    <row r="8924">
      <c r="B8924" s="9" t="n">
        <v>8922</v>
      </c>
      <c r="C8924" s="10" t="inlineStr">
        <is>
          <t>Well-Being Executive</t>
        </is>
      </c>
      <c r="D8924" s="10" t="inlineStr">
        <is>
          <t>CÔNG TY TNHH FASHION GARMENTS 2</t>
        </is>
      </c>
      <c r="E8924" s="10" t="inlineStr">
        <is>
          <t>Thương lượng</t>
        </is>
      </c>
      <c r="F8924" s="10" t="inlineStr">
        <is>
          <t>Đồng Nai</t>
        </is>
      </c>
      <c r="G8924" s="10" t="inlineStr">
        <is>
          <t>Nhân viên</t>
        </is>
      </c>
      <c r="H8924" s="10" t="inlineStr">
        <is>
          <t>09/03/2026</t>
        </is>
      </c>
      <c r="I8924" s="10" t="inlineStr">
        <is>
          <t>08/04/2026</t>
        </is>
      </c>
      <c r="J8924" s="10" t="inlineStr">
        <is>
          <t>17/03/2026</t>
        </is>
      </c>
      <c r="K8924" s="10" t="inlineStr">
        <is>
          <t>N/A</t>
        </is>
      </c>
      <c r="L8924" s="10" t="inlineStr">
        <is>
          <t>Interpersonal skills, Project Management, Analytical Skills, Human Resources, Internal Communications</t>
        </is>
      </c>
      <c r="M8924" s="10" t="inlineStr">
        <is>
          <t>Healthcare Plan, Paid Leave, Canteen</t>
        </is>
      </c>
      <c r="N8924" s="11">
        <f>HYPERLINK("https://www.vietnamworks.com/well-being-executive-2020548-jv","Xem chi tiết")</f>
        <v/>
      </c>
      <c r="O8924" s="10" t="n"/>
    </row>
    <row r="8925">
      <c r="B8925" s="7" t="n">
        <v>8923</v>
      </c>
      <c r="C8925" t="inlineStr">
        <is>
          <t>Export Sales Manager - Phước Hưng Furniture (Gia Lai)</t>
        </is>
      </c>
      <c r="D8925" t="inlineStr">
        <is>
          <t>Phuoc Hung JSC</t>
        </is>
      </c>
      <c r="E8925" t="inlineStr">
        <is>
          <t>Thương lượng</t>
        </is>
      </c>
      <c r="F8925" t="inlineStr">
        <is>
          <t>Gia Lai</t>
        </is>
      </c>
      <c r="G8925" t="inlineStr">
        <is>
          <t>Trưởng phòng</t>
        </is>
      </c>
      <c r="H8925" t="inlineStr">
        <is>
          <t>09/03/2026</t>
        </is>
      </c>
      <c r="I8925" t="inlineStr">
        <is>
          <t>08/04/2026</t>
        </is>
      </c>
      <c r="J8925" t="inlineStr">
        <is>
          <t>17/03/2026</t>
        </is>
      </c>
      <c r="K8925" t="inlineStr">
        <is>
          <t>N/A</t>
        </is>
      </c>
      <c r="L8925" t="inlineStr">
        <is>
          <t>Sales, Quản Lý Kinh Doanh, Kinh Doanh Nội Thất, Furniture, Business Development</t>
        </is>
      </c>
      <c r="M8925" t="inlineStr">
        <is>
          <t>Bonus, Training</t>
        </is>
      </c>
      <c r="N8925" s="8">
        <f>HYPERLINK("https://www.vietnamworks.com/export-sales-manager-phuoc-hung-furniture-gia-lai-2020561-jv","Xem chi tiết")</f>
        <v/>
      </c>
    </row>
    <row r="8926">
      <c r="B8926" s="9" t="n">
        <v>8924</v>
      </c>
      <c r="C8926" s="10" t="inlineStr">
        <is>
          <t>Regulatory Compliance Analyst, APJ</t>
        </is>
      </c>
      <c r="D8926" s="10" t="inlineStr">
        <is>
          <t>Tech Data APAC</t>
        </is>
      </c>
      <c r="E8926" s="10" t="inlineStr">
        <is>
          <t>Thương lượng</t>
        </is>
      </c>
      <c r="F8926" s="10" t="inlineStr">
        <is>
          <t>Hà Nội</t>
        </is>
      </c>
      <c r="G8926" s="10" t="inlineStr">
        <is>
          <t>Nhân viên</t>
        </is>
      </c>
      <c r="H8926" s="10" t="inlineStr">
        <is>
          <t>09/03/2026</t>
        </is>
      </c>
      <c r="I8926" s="10" t="inlineStr">
        <is>
          <t>08/04/2026</t>
        </is>
      </c>
      <c r="J8926" s="10" t="inlineStr">
        <is>
          <t>17/03/2026</t>
        </is>
      </c>
      <c r="K8926" s="10" t="inlineStr">
        <is>
          <t>N/A</t>
        </is>
      </c>
      <c r="L8926" s="10" t="inlineStr">
        <is>
          <t>Regulatory Compliance, Customs Compliance, Compliance Control, Import Export Experience</t>
        </is>
      </c>
      <c r="M8926" s="10" t="inlineStr">
        <is>
          <t>Others</t>
        </is>
      </c>
      <c r="N8926" s="11">
        <f>HYPERLINK("https://www.vietnamworks.com/regulatory-compliance-analyst-apj-2020542-jv","Xem chi tiết")</f>
        <v/>
      </c>
      <c r="O8926" s="10" t="n"/>
    </row>
    <row r="8927">
      <c r="B8927" s="7" t="n">
        <v>8925</v>
      </c>
      <c r="C8927" t="inlineStr">
        <is>
          <t>Senior Sales Tour Inbound (English Market) Salary $600 – $1000 + Team Commission + 13th Month Salary</t>
        </is>
      </c>
      <c r="D8927" t="inlineStr">
        <is>
          <t>Realistic ASIA Co.,ltd</t>
        </is>
      </c>
      <c r="E8927" t="inlineStr">
        <is>
          <t>$$ 600-1,000 /tháng</t>
        </is>
      </c>
      <c r="F8927" t="inlineStr">
        <is>
          <t>Hà Nội</t>
        </is>
      </c>
      <c r="G8927" t="inlineStr">
        <is>
          <t>Nhân viên</t>
        </is>
      </c>
      <c r="H8927" t="inlineStr">
        <is>
          <t>09/03/2026</t>
        </is>
      </c>
      <c r="I8927" t="inlineStr">
        <is>
          <t>08/04/2026</t>
        </is>
      </c>
      <c r="J8927" t="inlineStr">
        <is>
          <t>17/03/2026</t>
        </is>
      </c>
      <c r="K8927" t="inlineStr">
        <is>
          <t>N/A</t>
        </is>
      </c>
      <c r="L8927" t="inlineStr">
        <is>
          <t>Inbound Sales, English Communication, Relationship Management, Microsoft Office, Negotiation Skills</t>
        </is>
      </c>
      <c r="M8927" t="inlineStr">
        <is>
          <t>Bonus, Healthcare Plan, Paid Leave, Laptop, Team Activities, Others</t>
        </is>
      </c>
      <c r="N8927" s="8">
        <f>HYPERLINK("https://www.vietnamworks.com/senior-sales-tour-inbound-english-market-salary-600-1000-team-commission-13th-month-salary-2020560-jv","Xem chi tiết")</f>
        <v/>
      </c>
    </row>
    <row r="8928">
      <c r="B8928" s="9" t="n">
        <v>8926</v>
      </c>
      <c r="C8928" s="10" t="inlineStr">
        <is>
          <t>Nhân Viên Dự Toán Công Trình (Thu Nhập Upto 25 Triệu)</t>
        </is>
      </c>
      <c r="D8928" s="10" t="inlineStr">
        <is>
          <t>CÔNG TY CỔ PHẦN KIẾN TRÚC XÂY DỰNG FUCO VIỆT NAM</t>
        </is>
      </c>
      <c r="E8928" s="10" t="inlineStr">
        <is>
          <t>16tr-25tr ₫/tháng</t>
        </is>
      </c>
      <c r="F8928" s="10" t="inlineStr">
        <is>
          <t>Hà Nội</t>
        </is>
      </c>
      <c r="G8928" s="10" t="inlineStr">
        <is>
          <t>Nhân viên</t>
        </is>
      </c>
      <c r="H8928" s="10" t="inlineStr">
        <is>
          <t>09/03/2026</t>
        </is>
      </c>
      <c r="I8928" s="10" t="inlineStr">
        <is>
          <t>08/04/2026</t>
        </is>
      </c>
      <c r="J8928" s="10" t="inlineStr">
        <is>
          <t>17/03/2026</t>
        </is>
      </c>
      <c r="K8928" s="10" t="inlineStr">
        <is>
          <t>N/A</t>
        </is>
      </c>
      <c r="L8928" s="10" t="inlineStr">
        <is>
          <t>AutoCAD, Lập Hồ Sơ Thầu, Bóc Tách Khối Lượng, Dự Toán, Hồ Sơ Hoàn Công</t>
        </is>
      </c>
      <c r="M8928" s="10" t="inlineStr">
        <is>
          <t>Bonus, Healthcare Plan, Team Activities, Others</t>
        </is>
      </c>
      <c r="N8928" s="11">
        <f>HYPERLINK("https://www.vietnamworks.com/nhan-vien-du-toan-cong-trinh-thu-nhap-upto-25-trieu-2020567-jv","Xem chi tiết")</f>
        <v/>
      </c>
      <c r="O8928" s="10" t="n"/>
    </row>
    <row r="8929">
      <c r="B8929" s="7" t="n">
        <v>8927</v>
      </c>
      <c r="C8929" t="inlineStr">
        <is>
          <t>Nhân Viên Mua Hàng</t>
        </is>
      </c>
      <c r="D8929" t="inlineStr">
        <is>
          <t>Wistron Neweb CORPORATION (WNC)</t>
        </is>
      </c>
      <c r="E8929" t="inlineStr">
        <is>
          <t>Thương lượng</t>
        </is>
      </c>
      <c r="F8929" t="inlineStr">
        <is>
          <t>Hà Nam</t>
        </is>
      </c>
      <c r="G8929" t="inlineStr">
        <is>
          <t>Nhân viên</t>
        </is>
      </c>
      <c r="H8929" t="inlineStr">
        <is>
          <t>09/03/2026</t>
        </is>
      </c>
      <c r="I8929" t="inlineStr">
        <is>
          <t>08/04/2026</t>
        </is>
      </c>
      <c r="J8929" t="inlineStr">
        <is>
          <t>17/03/2026</t>
        </is>
      </c>
      <c r="K8929" t="inlineStr">
        <is>
          <t>N/A</t>
        </is>
      </c>
      <c r="L8929" t="inlineStr">
        <is>
          <t>Mua Hàng, MRO, Kiểm Soát Mua Sắm, Thu Mua Nguyên Vật Liệu, Đánh Giá Nhà Cung Cấp</t>
        </is>
      </c>
      <c r="M8929" t="inlineStr">
        <is>
          <t>Bonus, Healthcare Plan, Paid Leave, Training, Team Activities, Others</t>
        </is>
      </c>
      <c r="N8929" s="8">
        <f>HYPERLINK("https://www.vietnamworks.com/nhan-vien-mua-hang--2020564-jv","Xem chi tiết")</f>
        <v/>
      </c>
    </row>
    <row r="8930">
      <c r="B8930" s="9" t="n">
        <v>8928</v>
      </c>
      <c r="C8930" s="10" t="inlineStr">
        <is>
          <t>Travel Consultant (German - Speaking Markets) Salary: $400 – $1000 + Team Commission + 13th Month Salary</t>
        </is>
      </c>
      <c r="D8930" s="10" t="inlineStr">
        <is>
          <t>Realistic ASIA Co.,ltd</t>
        </is>
      </c>
      <c r="E8930" s="10" t="inlineStr">
        <is>
          <t>$$ 400-1,000 /tháng</t>
        </is>
      </c>
      <c r="F8930" s="10" t="inlineStr">
        <is>
          <t>Hà Nội</t>
        </is>
      </c>
      <c r="G8930" s="10" t="inlineStr">
        <is>
          <t>Nhân viên</t>
        </is>
      </c>
      <c r="H8930" s="10" t="inlineStr">
        <is>
          <t>09/03/2026</t>
        </is>
      </c>
      <c r="I8930" s="10" t="inlineStr">
        <is>
          <t>08/04/2026</t>
        </is>
      </c>
      <c r="J8930" s="10" t="inlineStr">
        <is>
          <t>17/03/2026</t>
        </is>
      </c>
      <c r="K8930" s="10" t="inlineStr">
        <is>
          <t>N/A</t>
        </is>
      </c>
      <c r="L8930" s="10" t="inlineStr">
        <is>
          <t>Tour Sales, German Native, Channel Relationship Management, Negotiation Skills, Communication Skills</t>
        </is>
      </c>
      <c r="M8930" s="10" t="inlineStr">
        <is>
          <t>Bonus, Healthcare Plan, Paid Leave, Laptop, Team Activities, Others</t>
        </is>
      </c>
      <c r="N8930" s="11">
        <f>HYPERLINK("https://www.vietnamworks.com/travel-consultant-german-speaking-markets-salary-400-1000-team-commission-13th-month-salary-2020568-jv","Xem chi tiết")</f>
        <v/>
      </c>
      <c r="O8930" s="10" t="n"/>
    </row>
    <row r="8931">
      <c r="B8931" s="7" t="n">
        <v>8929</v>
      </c>
      <c r="C8931" t="inlineStr">
        <is>
          <t>Nhân Viên Kinh Doanh</t>
        </is>
      </c>
      <c r="D8931" t="inlineStr">
        <is>
          <t>Công Ty TNHH JCU Việt Nam</t>
        </is>
      </c>
      <c r="E8931" t="inlineStr">
        <is>
          <t>Thương lượng</t>
        </is>
      </c>
      <c r="F8931" t="inlineStr">
        <is>
          <t>Hà Nội</t>
        </is>
      </c>
      <c r="G8931" t="inlineStr">
        <is>
          <t>Nhân viên</t>
        </is>
      </c>
      <c r="H8931" t="inlineStr">
        <is>
          <t>09/03/2026</t>
        </is>
      </c>
      <c r="I8931" t="inlineStr">
        <is>
          <t>08/04/2026</t>
        </is>
      </c>
      <c r="J8931" t="inlineStr">
        <is>
          <t>17/03/2026</t>
        </is>
      </c>
      <c r="K8931" t="inlineStr">
        <is>
          <t>N/A</t>
        </is>
      </c>
      <c r="L8931" t="inlineStr">
        <is>
          <t>Bán hàng, Kinh Doanh, Technical Sales, Technical Sales Support, Tư Vấn</t>
        </is>
      </c>
      <c r="M8931" t="inlineStr">
        <is>
          <t>Bonus, Healthcare Plan, Travel Opportunities, Team Activities</t>
        </is>
      </c>
      <c r="N8931" s="8">
        <f>HYPERLINK("https://www.vietnamworks.com/nhan-vien-kinh-doanh-2020540-jv","Xem chi tiết")</f>
        <v/>
      </c>
    </row>
    <row r="8932">
      <c r="B8932" s="9" t="n">
        <v>8930</v>
      </c>
      <c r="C8932" s="10" t="inlineStr">
        <is>
          <t>Nhân Viên Kế Hoạch Sản Xuất PMC</t>
        </is>
      </c>
      <c r="D8932" s="10" t="inlineStr">
        <is>
          <t>Wistron Neweb CORPORATION (WNC)</t>
        </is>
      </c>
      <c r="E8932" s="10" t="inlineStr">
        <is>
          <t>Thương lượng</t>
        </is>
      </c>
      <c r="F8932" s="10" t="inlineStr">
        <is>
          <t>Hà Nam</t>
        </is>
      </c>
      <c r="G8932" s="10" t="inlineStr">
        <is>
          <t>Nhân viên</t>
        </is>
      </c>
      <c r="H8932" s="10" t="inlineStr">
        <is>
          <t>09/03/2026</t>
        </is>
      </c>
      <c r="I8932" s="10" t="inlineStr">
        <is>
          <t>08/04/2026</t>
        </is>
      </c>
      <c r="J8932" s="10" t="inlineStr">
        <is>
          <t>17/03/2026</t>
        </is>
      </c>
      <c r="K8932" s="10" t="inlineStr">
        <is>
          <t>N/A</t>
        </is>
      </c>
      <c r="L8932" s="10" t="inlineStr">
        <is>
          <t>Kế Hoạch Sản Xuất, Nghiên Cứu Sản Xuất, Production Planning, Tiếng Anh, Tiếng Trung</t>
        </is>
      </c>
      <c r="M8932" s="10" t="inlineStr">
        <is>
          <t>Bonus, Healthcare Plan, Paid Leave, Training, Team Activities, Transportation, Others</t>
        </is>
      </c>
      <c r="N8932" s="11">
        <f>HYPERLINK("https://www.vietnamworks.com/nhan-vien-ke-hoach-san-xuat-pmc--2020566-jv","Xem chi tiết")</f>
        <v/>
      </c>
      <c r="O8932" s="10" t="n"/>
    </row>
    <row r="8933">
      <c r="B8933" s="7" t="n">
        <v>8931</v>
      </c>
      <c r="C8933" t="inlineStr">
        <is>
          <t>Manager, Office of General Counsel (OGC)</t>
        </is>
      </c>
      <c r="D8933" t="inlineStr">
        <is>
          <t>PwC (Vietnam) Ltd.</t>
        </is>
      </c>
      <c r="E8933" t="inlineStr">
        <is>
          <t>Thương lượng</t>
        </is>
      </c>
      <c r="F8933" t="inlineStr">
        <is>
          <t>Hồ Chí Minh</t>
        </is>
      </c>
      <c r="G8933" t="inlineStr">
        <is>
          <t>Trưởng phòng</t>
        </is>
      </c>
      <c r="H8933" t="inlineStr">
        <is>
          <t>09/03/2026</t>
        </is>
      </c>
      <c r="I8933" t="inlineStr">
        <is>
          <t>08/04/2026</t>
        </is>
      </c>
      <c r="J8933" t="inlineStr">
        <is>
          <t>17/03/2026</t>
        </is>
      </c>
      <c r="K8933" t="inlineStr">
        <is>
          <t>N/A</t>
        </is>
      </c>
      <c r="L8933" t="inlineStr">
        <is>
          <t>Communication, Compliance Management, Contract Management, Legal Consulting</t>
        </is>
      </c>
      <c r="M8933" t="inlineStr">
        <is>
          <t>Bonus, Training, Mobile</t>
        </is>
      </c>
      <c r="N8933" s="8">
        <f>HYPERLINK("https://www.vietnamworks.com/manager-office-of-general-counsel-ogc-2020541-jv","Xem chi tiết")</f>
        <v/>
      </c>
    </row>
    <row r="8934">
      <c r="B8934" s="9" t="n">
        <v>8932</v>
      </c>
      <c r="C8934" s="10" t="inlineStr">
        <is>
          <t>Quản Đốc Sản Xuất (Production Manager)</t>
        </is>
      </c>
      <c r="D8934" s="10" t="inlineStr">
        <is>
          <t>Công Ty TNHH Libra Việt Nam</t>
        </is>
      </c>
      <c r="E8934" s="10" t="inlineStr">
        <is>
          <t>Thương lượng</t>
        </is>
      </c>
      <c r="F8934" s="10" t="inlineStr">
        <is>
          <t>Hà Nội</t>
        </is>
      </c>
      <c r="G8934" s="10" t="inlineStr">
        <is>
          <t>Trưởng phòng</t>
        </is>
      </c>
      <c r="H8934" s="10" t="inlineStr">
        <is>
          <t>09/03/2026</t>
        </is>
      </c>
      <c r="I8934" s="10" t="inlineStr">
        <is>
          <t>08/04/2026</t>
        </is>
      </c>
      <c r="J8934" s="10" t="inlineStr">
        <is>
          <t>17/03/2026</t>
        </is>
      </c>
      <c r="K8934" s="10" t="inlineStr">
        <is>
          <t>N/A</t>
        </is>
      </c>
      <c r="L8934" s="10" t="inlineStr">
        <is>
          <t>Giải Quyết Vấn Đề, Giao Tiếp, Kĩ Thuật Sản Phẩm, Quản Lý Sản Xuất, Sản xuất</t>
        </is>
      </c>
      <c r="M8934" s="10" t="inlineStr">
        <is>
          <t>Bonus, Healthcare Plan, Training, Others</t>
        </is>
      </c>
      <c r="N8934" s="11">
        <f>HYPERLINK("https://www.vietnamworks.com/quan-djoc-san-xuat-production-manager-2020543-jv","Xem chi tiết")</f>
        <v/>
      </c>
      <c r="O8934" s="10" t="n"/>
    </row>
    <row r="8935">
      <c r="B8935" s="7" t="n">
        <v>8933</v>
      </c>
      <c r="C8935" t="inlineStr">
        <is>
          <t>Investment Analyst</t>
        </is>
      </c>
      <c r="D8935" t="inlineStr">
        <is>
          <t>GSM</t>
        </is>
      </c>
      <c r="E8935" t="inlineStr">
        <is>
          <t>$$ 1,000-1,500 /tháng</t>
        </is>
      </c>
      <c r="F8935" t="inlineStr">
        <is>
          <t>Hà Nội</t>
        </is>
      </c>
      <c r="G8935" t="inlineStr">
        <is>
          <t>Nhân viên</t>
        </is>
      </c>
      <c r="H8935" t="inlineStr">
        <is>
          <t>09/03/2026</t>
        </is>
      </c>
      <c r="I8935" t="inlineStr">
        <is>
          <t>08/04/2026</t>
        </is>
      </c>
      <c r="J8935" t="inlineStr">
        <is>
          <t>17/03/2026</t>
        </is>
      </c>
      <c r="K8935" t="inlineStr">
        <is>
          <t>N/A</t>
        </is>
      </c>
      <c r="L8935" t="inlineStr">
        <is>
          <t>Đầu Tư, Investment Analysis</t>
        </is>
      </c>
      <c r="M8935" t="inlineStr">
        <is>
          <t>Bonus, Healthcare Plan, Training</t>
        </is>
      </c>
      <c r="N8935" s="8">
        <f>HYPERLINK("https://www.vietnamworks.com/investment-analyst--2020553-jv","Xem chi tiết")</f>
        <v/>
      </c>
    </row>
    <row r="8936">
      <c r="B8936" s="9" t="n">
        <v>8934</v>
      </c>
      <c r="C8936" s="10" t="inlineStr">
        <is>
          <t>Data Engineer (Salary 30M++) 5 Working Days/ Week</t>
        </is>
      </c>
      <c r="D8936" s="10" t="inlineStr">
        <is>
          <t>Digital Intellect</t>
        </is>
      </c>
      <c r="E8936" s="10" t="inlineStr">
        <is>
          <t>Từ 30tr ₫/tháng</t>
        </is>
      </c>
      <c r="F8936" s="10" t="inlineStr">
        <is>
          <t>Hà Nội</t>
        </is>
      </c>
      <c r="G8936" s="10" t="inlineStr">
        <is>
          <t>Nhân viên</t>
        </is>
      </c>
      <c r="H8936" s="10" t="inlineStr">
        <is>
          <t>09/03/2026</t>
        </is>
      </c>
      <c r="I8936" s="10" t="inlineStr">
        <is>
          <t>08/04/2026</t>
        </is>
      </c>
      <c r="J8936" s="10" t="inlineStr">
        <is>
          <t>17/03/2026</t>
        </is>
      </c>
      <c r="K8936" s="10" t="inlineStr">
        <is>
          <t>N/A</t>
        </is>
      </c>
      <c r="L8936" s="10" t="inlineStr">
        <is>
          <t>Data Analysis, SQL Server, Pipeline Development, Data Engineering, Azure</t>
        </is>
      </c>
      <c r="M8936" s="10" t="inlineStr">
        <is>
          <t>Bonus, Paid Leave, Training</t>
        </is>
      </c>
      <c r="N8936" s="11">
        <f>HYPERLINK("https://www.vietnamworks.com/data-engineer-salary-30m-5-working-days-week--2020538-jv","Xem chi tiết")</f>
        <v/>
      </c>
      <c r="O8936" s="10" t="n"/>
    </row>
    <row r="8937">
      <c r="B8937" s="7" t="n">
        <v>8935</v>
      </c>
      <c r="C8937" t="inlineStr">
        <is>
          <t>Kỹ Sư SMT PE</t>
        </is>
      </c>
      <c r="D8937" t="inlineStr">
        <is>
          <t>Wistron Neweb CORPORATION (WNC)</t>
        </is>
      </c>
      <c r="E8937" t="inlineStr">
        <is>
          <t>Thương lượng</t>
        </is>
      </c>
      <c r="F8937" t="inlineStr">
        <is>
          <t>Hà Nam</t>
        </is>
      </c>
      <c r="G8937" t="inlineStr">
        <is>
          <t>Nhân viên</t>
        </is>
      </c>
      <c r="H8937" t="inlineStr">
        <is>
          <t>09/03/2026</t>
        </is>
      </c>
      <c r="I8937" t="inlineStr">
        <is>
          <t>08/04/2026</t>
        </is>
      </c>
      <c r="J8937" t="inlineStr">
        <is>
          <t>17/03/2026</t>
        </is>
      </c>
      <c r="K8937" t="inlineStr">
        <is>
          <t>N/A</t>
        </is>
      </c>
      <c r="L8937" t="inlineStr">
        <is>
          <t>SMT, PE, Kỹ Sư Pe, Sản xuất</t>
        </is>
      </c>
      <c r="M8937" t="inlineStr">
        <is>
          <t>Bonus, Healthcare Plan, Training</t>
        </is>
      </c>
      <c r="N8937" s="8">
        <f>HYPERLINK("https://www.vietnamworks.com/ky-su-smt-pe--2020569-jv","Xem chi tiết")</f>
        <v/>
      </c>
    </row>
    <row r="8938">
      <c r="B8938" s="9" t="n">
        <v>8936</v>
      </c>
      <c r="C8938" s="10" t="inlineStr">
        <is>
          <t>Quảng Ninh - Chuyên Viên Giám Sát Xây Dựng</t>
        </is>
      </c>
      <c r="D8938" s="10" t="inlineStr">
        <is>
          <t>BIM Group Quảng Ninh</t>
        </is>
      </c>
      <c r="E8938" s="10" t="inlineStr">
        <is>
          <t>Thương lượng</t>
        </is>
      </c>
      <c r="F8938" s="10" t="inlineStr">
        <is>
          <t>Quảng Ninh</t>
        </is>
      </c>
      <c r="G8938" s="10" t="inlineStr">
        <is>
          <t>Nhân viên</t>
        </is>
      </c>
      <c r="H8938" s="10" t="inlineStr">
        <is>
          <t>09/03/2026</t>
        </is>
      </c>
      <c r="I8938" s="10" t="inlineStr">
        <is>
          <t>08/04/2026</t>
        </is>
      </c>
      <c r="J8938" s="10" t="inlineStr">
        <is>
          <t>17/03/2026</t>
        </is>
      </c>
      <c r="K8938" s="10" t="inlineStr">
        <is>
          <t>N/A</t>
        </is>
      </c>
      <c r="L8938" s="10" t="inlineStr">
        <is>
          <t>Giám Sát Xây Dựng, Tư Vấn Giám Sát Xây Dựng, Lập Tiến Độ Thi Công, An Toàn Lao Động, Bảo Quản Vật Tư</t>
        </is>
      </c>
      <c r="M8938" s="10" t="inlineStr">
        <is>
          <t>Bonus, Healthcare Plan, Paid Leave</t>
        </is>
      </c>
      <c r="N8938" s="11">
        <f>HYPERLINK("https://www.vietnamworks.com/quang-ninh-chuyen-vien-giam-sat-xay-dung--2020551-jv","Xem chi tiết")</f>
        <v/>
      </c>
      <c r="O8938" s="10" t="n"/>
    </row>
    <row r="8939">
      <c r="B8939" s="7" t="n">
        <v>8937</v>
      </c>
      <c r="C8939" t="inlineStr">
        <is>
          <t>Kỹ Sư Sản Xuất (PE, EE) - Lương Upto $1200</t>
        </is>
      </c>
      <c r="D8939" t="inlineStr">
        <is>
          <t>Wistron Neweb CORPORATION (WNC)</t>
        </is>
      </c>
      <c r="E8939" t="inlineStr">
        <is>
          <t>$$ 700-1,200 /tháng</t>
        </is>
      </c>
      <c r="F8939" t="inlineStr">
        <is>
          <t>Hà Nam</t>
        </is>
      </c>
      <c r="G8939" t="inlineStr">
        <is>
          <t>Nhân viên</t>
        </is>
      </c>
      <c r="H8939" t="inlineStr">
        <is>
          <t>09/03/2026</t>
        </is>
      </c>
      <c r="I8939" t="inlineStr">
        <is>
          <t>08/04/2026</t>
        </is>
      </c>
      <c r="J8939" t="inlineStr">
        <is>
          <t>17/03/2026</t>
        </is>
      </c>
      <c r="K8939" t="inlineStr">
        <is>
          <t>N/A</t>
        </is>
      </c>
      <c r="L8939" t="inlineStr">
        <is>
          <t>Công Nghệ Bán Dẫn, SOP Development, 8D, Thiết Lập Quy Trình Sản Xuất, Sản Xuất Màng PE</t>
        </is>
      </c>
      <c r="M8939" t="inlineStr">
        <is>
          <t>Bonus, Healthcare Plan, Training</t>
        </is>
      </c>
      <c r="N8939" s="8">
        <f>HYPERLINK("https://www.vietnamworks.com/ky-su-san-xuat-pe-ee-luong-upto-1200--2020570-jv","Xem chi tiết")</f>
        <v/>
      </c>
    </row>
    <row r="8940">
      <c r="B8940" s="9" t="n">
        <v>8938</v>
      </c>
      <c r="C8940" s="10" t="inlineStr">
        <is>
          <t>Kỹ Sư Bảo Dưỡng Khuôn Dập – Nhà Máy Sản Xuất Tại KCN Thăng Long II, Hưng Yên</t>
        </is>
      </c>
      <c r="D8940" s="10" t="inlineStr">
        <is>
          <t>Sews-Components Vietnam Co., Ltd.</t>
        </is>
      </c>
      <c r="E8940" s="10" t="inlineStr">
        <is>
          <t>Thương lượng</t>
        </is>
      </c>
      <c r="F8940" s="10" t="inlineStr">
        <is>
          <t>Hưng Yên</t>
        </is>
      </c>
      <c r="G8940" s="10" t="inlineStr">
        <is>
          <t>Nhân viên</t>
        </is>
      </c>
      <c r="H8940" s="10" t="inlineStr">
        <is>
          <t>09/03/2026</t>
        </is>
      </c>
      <c r="I8940" s="10" t="inlineStr">
        <is>
          <t>08/04/2026</t>
        </is>
      </c>
      <c r="J8940" s="10" t="inlineStr">
        <is>
          <t>17/03/2026</t>
        </is>
      </c>
      <c r="K8940" s="10" t="inlineStr">
        <is>
          <t>N/A</t>
        </is>
      </c>
      <c r="L8940" s="10" t="inlineStr">
        <is>
          <t>Mechanical Engineering, Mechatronics Engineering, Automation, Bảo dưỡng khuôn, Khuôn dập</t>
        </is>
      </c>
      <c r="M8940" s="10" t="inlineStr">
        <is>
          <t>Bonus, Healthcare Plan, Travel Opportunities, Transportation</t>
        </is>
      </c>
      <c r="N8940" s="11">
        <f>HYPERLINK("https://www.vietnamworks.com/ky-su-bao-duong-khuon-dap-nha-may-san-xuat-tai-kcn-thang-long-ii-hung-yen-2020575-jv","Xem chi tiết")</f>
        <v/>
      </c>
      <c r="O8940" s="10" t="n"/>
    </row>
    <row r="8941">
      <c r="B8941" s="7" t="n">
        <v>8939</v>
      </c>
      <c r="C8941" t="inlineStr">
        <is>
          <t>[Hai Phong] Site Manager, Architect (Kiến Trúc Sư Quản Lý Hiện Trường)</t>
        </is>
      </c>
      <c r="D8941" t="inlineStr">
        <is>
          <t>CapitaLand Development (Vietnam)</t>
        </is>
      </c>
      <c r="E8941" t="inlineStr">
        <is>
          <t>Thương lượng</t>
        </is>
      </c>
      <c r="F8941" t="inlineStr">
        <is>
          <t>Hải Phòng</t>
        </is>
      </c>
      <c r="G8941" t="inlineStr">
        <is>
          <t>Trưởng phòng</t>
        </is>
      </c>
      <c r="H8941" t="inlineStr">
        <is>
          <t>09/03/2026</t>
        </is>
      </c>
      <c r="I8941" t="inlineStr">
        <is>
          <t>08/04/2026</t>
        </is>
      </c>
      <c r="J8941" t="inlineStr">
        <is>
          <t>17/03/2026</t>
        </is>
      </c>
      <c r="K8941" t="inlineStr">
        <is>
          <t>N/A</t>
        </is>
      </c>
      <c r="L8941" t="inlineStr">
        <is>
          <t>Engineering Drawings, Structural Engineering, Landscape Architecture, Architect, Architecture Design</t>
        </is>
      </c>
      <c r="M8941" t="inlineStr">
        <is>
          <t>Bonus, Healthcare Plan, Paid Leave</t>
        </is>
      </c>
      <c r="N8941" s="8">
        <f>HYPERLINK("https://www.vietnamworks.com/hai-phong-site-manager-architect-kien-truc-su-quan-ly-hien-truong-2020578-jv","Xem chi tiết")</f>
        <v/>
      </c>
    </row>
    <row r="8942">
      <c r="B8942" s="9" t="n">
        <v>8940</v>
      </c>
      <c r="C8942" s="10" t="inlineStr">
        <is>
          <t>Senior Talent Acquisition</t>
        </is>
      </c>
      <c r="D8942" s="10" t="inlineStr">
        <is>
          <t>Apollo Education And Training Organization</t>
        </is>
      </c>
      <c r="E8942" s="10" t="inlineStr">
        <is>
          <t>Thương lượng</t>
        </is>
      </c>
      <c r="F8942" s="10" t="inlineStr">
        <is>
          <t>Hồ Chí Minh, Hà Nội</t>
        </is>
      </c>
      <c r="G8942" s="10" t="inlineStr">
        <is>
          <t>Nhân viên</t>
        </is>
      </c>
      <c r="H8942" s="10" t="inlineStr">
        <is>
          <t>09/03/2026</t>
        </is>
      </c>
      <c r="I8942" s="10" t="inlineStr">
        <is>
          <t>08/04/2026</t>
        </is>
      </c>
      <c r="J8942" s="10" t="inlineStr">
        <is>
          <t>17/03/2026</t>
        </is>
      </c>
      <c r="K8942" s="10" t="inlineStr">
        <is>
          <t>N/A</t>
        </is>
      </c>
      <c r="L8942" s="10" t="inlineStr">
        <is>
          <t>Talent Acquisition, Headhunt, Sourcing CV</t>
        </is>
      </c>
      <c r="M8942" s="10" t="inlineStr">
        <is>
          <t>Bonus, Paid Leave, Others</t>
        </is>
      </c>
      <c r="N8942" s="11">
        <f>HYPERLINK("https://www.vietnamworks.com/senior-talent-acquisition--2020576-jv","Xem chi tiết")</f>
        <v/>
      </c>
      <c r="O8942" s="10" t="n"/>
    </row>
    <row r="8943">
      <c r="B8943" s="7" t="n">
        <v>8941</v>
      </c>
      <c r="C8943" t="inlineStr">
        <is>
          <t>Phó Giám Đốc Quản Lý Thương Hiệu</t>
        </is>
      </c>
      <c r="D8943" t="inlineStr">
        <is>
          <t>CÔNG TY CỔ PHẦN TẬP ĐOÀN KIM OANH</t>
        </is>
      </c>
      <c r="E8943" t="inlineStr">
        <is>
          <t>Thương lượng</t>
        </is>
      </c>
      <c r="F8943" t="inlineStr">
        <is>
          <t>Hồ Chí Minh</t>
        </is>
      </c>
      <c r="G8943" t="inlineStr">
        <is>
          <t>Giám Đốc và Cấp Cao Hơn</t>
        </is>
      </c>
      <c r="H8943" t="inlineStr">
        <is>
          <t>09/03/2026</t>
        </is>
      </c>
      <c r="I8943" t="inlineStr">
        <is>
          <t>08/04/2026</t>
        </is>
      </c>
      <c r="J8943" t="inlineStr">
        <is>
          <t>17/03/2026</t>
        </is>
      </c>
      <c r="K8943" t="inlineStr">
        <is>
          <t>N/A</t>
        </is>
      </c>
      <c r="L8943" t="inlineStr">
        <is>
          <t>Truyền Thông Thương Hiệu, PR, Marketing</t>
        </is>
      </c>
      <c r="M8943" t="inlineStr">
        <is>
          <t>Others</t>
        </is>
      </c>
      <c r="N8943" s="8">
        <f>HYPERLINK("https://www.vietnamworks.com/pho-giam-doc-quan-ly-thuong-hieu-2020572-jv","Xem chi tiết")</f>
        <v/>
      </c>
    </row>
    <row r="8944">
      <c r="B8944" s="9" t="n">
        <v>8942</v>
      </c>
      <c r="C8944" s="10" t="inlineStr">
        <is>
          <t>Nhân Viên Quản Lý Dự Án Sản Xuất MPM - Lương Up to $1200</t>
        </is>
      </c>
      <c r="D8944" s="10" t="inlineStr">
        <is>
          <t>Wistron Neweb CORPORATION (WNC)</t>
        </is>
      </c>
      <c r="E8944" s="10" t="inlineStr">
        <is>
          <t>$$ 700-1,200 /tháng</t>
        </is>
      </c>
      <c r="F8944" s="10" t="inlineStr">
        <is>
          <t>Hà Nam</t>
        </is>
      </c>
      <c r="G8944" s="10" t="inlineStr">
        <is>
          <t>Mới Tốt Nghiệp</t>
        </is>
      </c>
      <c r="H8944" s="10" t="inlineStr">
        <is>
          <t>09/03/2026</t>
        </is>
      </c>
      <c r="I8944" s="10" t="inlineStr">
        <is>
          <t>08/04/2026</t>
        </is>
      </c>
      <c r="J8944" s="10" t="inlineStr">
        <is>
          <t>17/03/2026</t>
        </is>
      </c>
      <c r="K8944" s="10" t="inlineStr">
        <is>
          <t>N/A</t>
        </is>
      </c>
      <c r="L8944" s="10" t="inlineStr">
        <is>
          <t>Tiếng Anh, Điện, Tự Động Hóa, Kế Hoạch Sản Xuất, Quản Lý Sản Xuất</t>
        </is>
      </c>
      <c r="M8944" s="10" t="inlineStr">
        <is>
          <t>Bonus, Healthcare Plan, Training</t>
        </is>
      </c>
      <c r="N8944" s="11">
        <f>HYPERLINK("https://www.vietnamworks.com/nhan-vien-quan-ly-du-an-san-xuat-mpm-luong-up-to-1200--2020571-jv","Xem chi tiết")</f>
        <v/>
      </c>
      <c r="O8944" s="10" t="n"/>
    </row>
    <row r="8945">
      <c r="B8945" s="7" t="n">
        <v>8943</v>
      </c>
      <c r="C8945" t="inlineStr">
        <is>
          <t>Brand Manager</t>
        </is>
      </c>
      <c r="D8945" t="inlineStr">
        <is>
          <t>Công Ty TNHH B.pure Việt Nam</t>
        </is>
      </c>
      <c r="E8945" t="inlineStr">
        <is>
          <t>30tr-40tr ₫/tháng</t>
        </is>
      </c>
      <c r="F8945" t="inlineStr">
        <is>
          <t>Hà Nội</t>
        </is>
      </c>
      <c r="G8945" t="inlineStr">
        <is>
          <t>Trưởng phòng</t>
        </is>
      </c>
      <c r="H8945" t="inlineStr">
        <is>
          <t>09/03/2026</t>
        </is>
      </c>
      <c r="I8945" t="inlineStr">
        <is>
          <t>08/04/2026</t>
        </is>
      </c>
      <c r="J8945" t="inlineStr">
        <is>
          <t>17/03/2026</t>
        </is>
      </c>
      <c r="K8945" t="inlineStr">
        <is>
          <t>N/A</t>
        </is>
      </c>
      <c r="L8945" t="inlineStr">
        <is>
          <t>Brand Development, Project Management, Data Interpretation, Communication</t>
        </is>
      </c>
      <c r="M8945" t="inlineStr">
        <is>
          <t>Bonus, Healthcare Plan, Paid Leave, Training, Awards, Team Activities</t>
        </is>
      </c>
      <c r="N8945" s="8">
        <f>HYPERLINK("https://www.vietnamworks.com/brand-manager-2020584-jv","Xem chi tiết")</f>
        <v/>
      </c>
    </row>
    <row r="8946">
      <c r="B8946" s="9" t="n">
        <v>8944</v>
      </c>
      <c r="C8946" s="10" t="inlineStr">
        <is>
          <t>Nhân Viên Hỗ Trợ Kinh Doanh (Sales Admin)</t>
        </is>
      </c>
      <c r="D8946" s="10" t="inlineStr">
        <is>
          <t>Công Ty Cổ Phần Cơ Khí Chính Xác Smart Việt Nam</t>
        </is>
      </c>
      <c r="E8946" s="10" t="inlineStr">
        <is>
          <t>10tr-15tr ₫/tháng</t>
        </is>
      </c>
      <c r="F8946" s="10" t="inlineStr">
        <is>
          <t>Hà Nội</t>
        </is>
      </c>
      <c r="G8946" s="10" t="inlineStr">
        <is>
          <t>Nhân viên</t>
        </is>
      </c>
      <c r="H8946" s="10" t="inlineStr">
        <is>
          <t>09/03/2026</t>
        </is>
      </c>
      <c r="I8946" s="10" t="inlineStr">
        <is>
          <t>08/04/2026</t>
        </is>
      </c>
      <c r="J8946" s="10" t="inlineStr">
        <is>
          <t>17/03/2026</t>
        </is>
      </c>
      <c r="K8946" s="10" t="inlineStr">
        <is>
          <t>N/A</t>
        </is>
      </c>
      <c r="L8946" s="10" t="inlineStr">
        <is>
          <t>Giải Quyết Khiếu Nại, Quản Lý Chứng Từ, Soạn Thảo Hợp Đồng, Theo Dõi Đơn Hàng, Thu Hồi Công Nợ</t>
        </is>
      </c>
      <c r="M8946" s="10" t="inlineStr">
        <is>
          <t>Bonus, Healthcare Plan, Paid Leave, Awards, Team Activities, Transportation, Others</t>
        </is>
      </c>
      <c r="N8946" s="11">
        <f>HYPERLINK("https://www.vietnamworks.com/nhan-vien-ho-tro-kinh-doanh-sales-admin-2020574-jv","Xem chi tiết")</f>
        <v/>
      </c>
      <c r="O8946" s="10" t="n"/>
    </row>
    <row r="8947">
      <c r="B8947" s="7" t="n">
        <v>8945</v>
      </c>
      <c r="C8947" t="inlineStr">
        <is>
          <t>Kỹ Sư Quản Lý Thiết Kế Thi Công</t>
        </is>
      </c>
      <c r="D8947" t="inlineStr">
        <is>
          <t>Công Ty Cổ Phần Tập Đoàn Thái Bình Dương</t>
        </is>
      </c>
      <c r="E8947" t="inlineStr">
        <is>
          <t>Thương lượng</t>
        </is>
      </c>
      <c r="F8947" t="inlineStr">
        <is>
          <t>Hà Nội, Cần Thơ, Hồ Chí Minh</t>
        </is>
      </c>
      <c r="G8947" t="inlineStr">
        <is>
          <t>Nhân viên</t>
        </is>
      </c>
      <c r="H8947" t="inlineStr">
        <is>
          <t>09/03/2026</t>
        </is>
      </c>
      <c r="I8947" t="inlineStr">
        <is>
          <t>08/04/2026</t>
        </is>
      </c>
      <c r="J8947" t="inlineStr">
        <is>
          <t>17/03/2026</t>
        </is>
      </c>
      <c r="K8947" t="inlineStr">
        <is>
          <t>N/A</t>
        </is>
      </c>
      <c r="L8947" t="inlineStr">
        <is>
          <t>Autocad, Excel, Giám Sát Thi Công, Kỹ Sư Xây Dựng, Tiếng Anh</t>
        </is>
      </c>
      <c r="M8947" t="inlineStr">
        <is>
          <t>Bonus, Healthcare Plan, Others</t>
        </is>
      </c>
      <c r="N8947" s="8">
        <f>HYPERLINK("https://www.vietnamworks.com/ky-su-quan-ly-thiet-ke-thi-cong-2020579-jv","Xem chi tiết")</f>
        <v/>
      </c>
    </row>
    <row r="8948">
      <c r="B8948" s="9" t="n">
        <v>8946</v>
      </c>
      <c r="C8948" s="10" t="inlineStr">
        <is>
          <t>Growth Marketing Manager</t>
        </is>
      </c>
      <c r="D8948" s="10" t="inlineStr">
        <is>
          <t>MSIG Insurance (Vietnam) Co., Ltd.</t>
        </is>
      </c>
      <c r="E8948" s="10" t="inlineStr">
        <is>
          <t>Thương lượng</t>
        </is>
      </c>
      <c r="F8948" s="10" t="inlineStr">
        <is>
          <t>Hồ Chí Minh, Hà Nội</t>
        </is>
      </c>
      <c r="G8948" s="10" t="inlineStr">
        <is>
          <t>Trưởng phòng</t>
        </is>
      </c>
      <c r="H8948" s="10" t="inlineStr">
        <is>
          <t>09/03/2026</t>
        </is>
      </c>
      <c r="I8948" s="10" t="inlineStr">
        <is>
          <t>08/04/2026</t>
        </is>
      </c>
      <c r="J8948" s="10" t="inlineStr">
        <is>
          <t>17/03/2026</t>
        </is>
      </c>
      <c r="K8948" s="10" t="inlineStr">
        <is>
          <t>N/A</t>
        </is>
      </c>
      <c r="L8948" s="10" t="inlineStr">
        <is>
          <t>Digital Marketing, Customer Acquisition, Performance Marketing, Growth Strategy, SEO Marketing</t>
        </is>
      </c>
      <c r="M8948" s="10" t="inlineStr">
        <is>
          <t>Paid Leave, Travel Opportunities, Others</t>
        </is>
      </c>
      <c r="N8948" s="11">
        <f>HYPERLINK("https://www.vietnamworks.com/growth-marketing-manager--2020581-jv","Xem chi tiết")</f>
        <v/>
      </c>
      <c r="O8948" s="10" t="n"/>
    </row>
    <row r="8949">
      <c r="B8949" s="7" t="n">
        <v>8947</v>
      </c>
      <c r="C8949" t="inlineStr">
        <is>
          <t>Nhân Viên Tổng Vụ - Nhân Sự (Administrative Staff - Human Resources)</t>
        </is>
      </c>
      <c r="D8949" t="inlineStr">
        <is>
          <t>Công Ty Cổ Phần Thái Việt CORPORATION</t>
        </is>
      </c>
      <c r="E8949" t="inlineStr">
        <is>
          <t>10tr-15tr ₫/tháng</t>
        </is>
      </c>
      <c r="F8949" t="inlineStr">
        <is>
          <t>Đồng Nai</t>
        </is>
      </c>
      <c r="G8949" t="inlineStr">
        <is>
          <t>Nhân viên</t>
        </is>
      </c>
      <c r="H8949" t="inlineStr">
        <is>
          <t>09/03/2026</t>
        </is>
      </c>
      <c r="I8949" t="inlineStr">
        <is>
          <t>08/04/2026</t>
        </is>
      </c>
      <c r="J8949" t="inlineStr">
        <is>
          <t>17/03/2026</t>
        </is>
      </c>
      <c r="K8949" t="inlineStr">
        <is>
          <t>N/A</t>
        </is>
      </c>
      <c r="L8949" t="inlineStr">
        <is>
          <t>Giao Tiếp, Kỹ năng tổ chức, Làm Việc Nhóm, Quản Lý Hành Chính, Sử Dụng Vi Tính</t>
        </is>
      </c>
      <c r="M8949" t="inlineStr">
        <is>
          <t>Bonus, Healthcare Plan, Training, Others</t>
        </is>
      </c>
      <c r="N8949" s="8">
        <f>HYPERLINK("https://www.vietnamworks.com/nhan-vien-tong-vu-nhan-su-administrative-staff-human-resources-2020587-jv","Xem chi tiết")</f>
        <v/>
      </c>
    </row>
    <row r="8950">
      <c r="B8950" s="9" t="n">
        <v>8948</v>
      </c>
      <c r="C8950" s="10" t="inlineStr">
        <is>
          <t>Sales Executive (Industrial Chemicals / Lubricants)</t>
        </is>
      </c>
      <c r="D8950" s="10" t="inlineStr">
        <is>
          <t>Sam Chem Sphere Joint Stock Company</t>
        </is>
      </c>
      <c r="E8950" s="10" t="inlineStr">
        <is>
          <t>Thương lượng</t>
        </is>
      </c>
      <c r="F8950" s="10" t="inlineStr">
        <is>
          <t>Hồ Chí Minh, Hà Nội</t>
        </is>
      </c>
      <c r="G8950" s="10" t="inlineStr">
        <is>
          <t>Nhân viên</t>
        </is>
      </c>
      <c r="H8950" s="10" t="inlineStr">
        <is>
          <t>09/03/2026</t>
        </is>
      </c>
      <c r="I8950" s="10" t="inlineStr">
        <is>
          <t>08/04/2026</t>
        </is>
      </c>
      <c r="J8950" s="10" t="inlineStr">
        <is>
          <t>17/03/2026</t>
        </is>
      </c>
      <c r="K8950" s="10" t="inlineStr">
        <is>
          <t>N/A</t>
        </is>
      </c>
      <c r="L8950" s="10" t="inlineStr">
        <is>
          <t>Technical Sales, Industrial Sales, Key Account Management, Business Development, Industrial Products</t>
        </is>
      </c>
      <c r="M8950" s="10" t="inlineStr">
        <is>
          <t>Bonus, Healthcare Plan, Others</t>
        </is>
      </c>
      <c r="N8950" s="11">
        <f>HYPERLINK("https://www.vietnamworks.com/sales-executive-industrial-chemicals-lubricants-2020590-jv","Xem chi tiết")</f>
        <v/>
      </c>
      <c r="O8950" s="10" t="n"/>
    </row>
    <row r="8951">
      <c r="B8951" s="7" t="n">
        <v>8949</v>
      </c>
      <c r="C8951" t="inlineStr">
        <is>
          <t>Brand Lead (Alpha Works)</t>
        </is>
      </c>
      <c r="D8951" t="inlineStr">
        <is>
          <t>Phuc Giang Company Limited/ Công Ty TNHH Phúc Giang</t>
        </is>
      </c>
      <c r="E8951" t="inlineStr">
        <is>
          <t>Thương lượng</t>
        </is>
      </c>
      <c r="F8951" t="inlineStr">
        <is>
          <t>Hồ Chí Minh</t>
        </is>
      </c>
      <c r="G8951" t="inlineStr">
        <is>
          <t>Nhân viên</t>
        </is>
      </c>
      <c r="H8951" t="inlineStr">
        <is>
          <t>09/03/2026</t>
        </is>
      </c>
      <c r="I8951" t="inlineStr">
        <is>
          <t>08/04/2026</t>
        </is>
      </c>
      <c r="J8951" t="inlineStr">
        <is>
          <t>17/03/2026</t>
        </is>
      </c>
      <c r="K8951" t="inlineStr">
        <is>
          <t>N/A</t>
        </is>
      </c>
      <c r="L8951" t="inlineStr">
        <is>
          <t>Brand Marketing</t>
        </is>
      </c>
      <c r="M8951" t="inlineStr">
        <is>
          <t>Bonus, Healthcare Plan, Laptop</t>
        </is>
      </c>
      <c r="N8951" s="8">
        <f>HYPERLINK("https://www.vietnamworks.com/brand-lead-alpha-works-2020585-jv","Xem chi tiết")</f>
        <v/>
      </c>
    </row>
    <row r="8952">
      <c r="B8952" s="9" t="n">
        <v>8950</v>
      </c>
      <c r="C8952" s="10" t="inlineStr">
        <is>
          <t>Trưởng Phòng M&amp;E (Cơ Khí) - M&amp;E Manager</t>
        </is>
      </c>
      <c r="D8952" s="10" t="inlineStr">
        <is>
          <t>CÔNG TY TNHH SÀI GÒN 3 JEAN</t>
        </is>
      </c>
      <c r="E8952" s="10" t="inlineStr">
        <is>
          <t>Thương lượng</t>
        </is>
      </c>
      <c r="F8952" s="10" t="inlineStr">
        <is>
          <t>Đồng Nai</t>
        </is>
      </c>
      <c r="G8952" s="10" t="inlineStr">
        <is>
          <t>Trưởng phòng</t>
        </is>
      </c>
      <c r="H8952" s="10" t="inlineStr">
        <is>
          <t>09/03/2026</t>
        </is>
      </c>
      <c r="I8952" s="10" t="inlineStr">
        <is>
          <t>08/04/2026</t>
        </is>
      </c>
      <c r="J8952" s="10" t="inlineStr">
        <is>
          <t>17/03/2026</t>
        </is>
      </c>
      <c r="K8952" s="10" t="inlineStr">
        <is>
          <t>N/A</t>
        </is>
      </c>
      <c r="L8952" s="10" t="inlineStr">
        <is>
          <t>Bảo Trì Kỹ Thuật, Cải Tiến Hệ Thống, Quản Lý Chi Phí, Quản Lý Vận Hành, Quản Lý Đội Ngũ</t>
        </is>
      </c>
      <c r="M8952" s="10" t="inlineStr">
        <is>
          <t>Bonus, Healthcare Plan, Paid Leave, Others</t>
        </is>
      </c>
      <c r="N8952" s="11">
        <f>HYPERLINK("https://www.vietnamworks.com/truong-phong-mande-co-khi-mande-manager-2020599-jv","Xem chi tiết")</f>
        <v/>
      </c>
      <c r="O8952" s="10" t="n"/>
    </row>
    <row r="8953">
      <c r="B8953" s="7" t="n">
        <v>8951</v>
      </c>
      <c r="C8953" t="inlineStr">
        <is>
          <t>Automation &amp; Innovation Manager</t>
        </is>
      </c>
      <c r="D8953" t="inlineStr">
        <is>
          <t>Mascot International Viet Nam</t>
        </is>
      </c>
      <c r="E8953" t="inlineStr">
        <is>
          <t>Thương lượng</t>
        </is>
      </c>
      <c r="F8953" t="inlineStr">
        <is>
          <t>Hải Dương</t>
        </is>
      </c>
      <c r="G8953" t="inlineStr">
        <is>
          <t>Trưởng phòng</t>
        </is>
      </c>
      <c r="H8953" t="inlineStr">
        <is>
          <t>09/03/2026</t>
        </is>
      </c>
      <c r="I8953" t="inlineStr">
        <is>
          <t>08/04/2026</t>
        </is>
      </c>
      <c r="J8953" t="inlineStr">
        <is>
          <t>17/03/2026</t>
        </is>
      </c>
      <c r="K8953" t="inlineStr">
        <is>
          <t>N/A</t>
        </is>
      </c>
      <c r="L8953" t="inlineStr">
        <is>
          <t>Industrial Manufacturing, Analytical Skills, AutoCAD, English, SolidWorks</t>
        </is>
      </c>
      <c r="M8953" t="inlineStr">
        <is>
          <t>Bonus, Healthcare Plan, Paid Leave, Training, Awards, Transportation, Canteen, Others</t>
        </is>
      </c>
      <c r="N8953" s="8">
        <f>HYPERLINK("https://www.vietnamworks.com/automation-and-innovation-manager-2020598-jv","Xem chi tiết")</f>
        <v/>
      </c>
    </row>
    <row r="8954">
      <c r="B8954" s="9" t="n">
        <v>8952</v>
      </c>
      <c r="C8954" s="10" t="inlineStr">
        <is>
          <t>Trưởng Phòng Giao Nhận (Delivery Operations Manager)</t>
        </is>
      </c>
      <c r="D8954" s="10" t="inlineStr">
        <is>
          <t>Công Ty TNHH Thực Phẩm Trung Minh Thành</t>
        </is>
      </c>
      <c r="E8954" s="10" t="inlineStr">
        <is>
          <t>Thương lượng</t>
        </is>
      </c>
      <c r="F8954" s="10" t="inlineStr">
        <is>
          <t>Hồ Chí Minh</t>
        </is>
      </c>
      <c r="G8954" s="10" t="inlineStr">
        <is>
          <t>Trưởng phòng</t>
        </is>
      </c>
      <c r="H8954" s="10" t="inlineStr">
        <is>
          <t>09/03/2026</t>
        </is>
      </c>
      <c r="I8954" s="10" t="inlineStr">
        <is>
          <t>08/04/2026</t>
        </is>
      </c>
      <c r="J8954" s="10" t="inlineStr">
        <is>
          <t>17/03/2026</t>
        </is>
      </c>
      <c r="K8954" s="10" t="inlineStr">
        <is>
          <t>N/A</t>
        </is>
      </c>
      <c r="L8954" s="10" t="inlineStr">
        <is>
          <t>Logistics Management, Team Management, Supply Chain Management, Problem-solving, Operations Coordinating</t>
        </is>
      </c>
      <c r="M8954" s="10" t="inlineStr">
        <is>
          <t>Bonus, Paid Leave, Others</t>
        </is>
      </c>
      <c r="N8954" s="11">
        <f>HYPERLINK("https://www.vietnamworks.com/truong-phong-giao-nhan-delivery-operations-manager-2020600-jv","Xem chi tiết")</f>
        <v/>
      </c>
      <c r="O8954" s="10" t="n"/>
    </row>
    <row r="8955">
      <c r="B8955" s="7" t="n">
        <v>8953</v>
      </c>
      <c r="C8955" t="inlineStr">
        <is>
          <t>Đại Diện Kinh Doanh Y Tế (Thu Nhập Upto 50Tr)</t>
        </is>
      </c>
      <c r="D8955" t="inlineStr">
        <is>
          <t>Công Ty TNHH Thiết Bị Y Tế Thái Sơn( Thaisonmed)</t>
        </is>
      </c>
      <c r="E8955" t="inlineStr">
        <is>
          <t>Tới 50tr ₫/tháng</t>
        </is>
      </c>
      <c r="F8955" t="inlineStr">
        <is>
          <t>Hà Nội</t>
        </is>
      </c>
      <c r="G8955" t="inlineStr">
        <is>
          <t>Nhân viên</t>
        </is>
      </c>
      <c r="H8955" t="inlineStr">
        <is>
          <t>09/03/2026</t>
        </is>
      </c>
      <c r="I8955" t="inlineStr">
        <is>
          <t>08/04/2026</t>
        </is>
      </c>
      <c r="J8955" t="inlineStr">
        <is>
          <t>17/03/2026</t>
        </is>
      </c>
      <c r="K8955" t="inlineStr">
        <is>
          <t>N/A</t>
        </is>
      </c>
      <c r="L8955" t="inlineStr">
        <is>
          <t>Thiết Bị Y Tế, Phát Triển Thị Trường, Tư Vấn Giải Pháp, Vật Tư Tiêu Hao, Đàm Phán</t>
        </is>
      </c>
      <c r="M8955" t="inlineStr">
        <is>
          <t>Bonus, Healthcare Plan, Paid Leave</t>
        </is>
      </c>
      <c r="N8955" s="8">
        <f>HYPERLINK("https://www.vietnamworks.com/djai-dien-kinh-doanh-y-te-thu-nhap-upto-50tr-2020595-jv","Xem chi tiết")</f>
        <v/>
      </c>
    </row>
    <row r="8956">
      <c r="B8956" s="9" t="n">
        <v>8954</v>
      </c>
      <c r="C8956" s="10" t="inlineStr">
        <is>
          <t>Chuyên Gia Đánh Giá</t>
        </is>
      </c>
      <c r="D8956" s="10" t="inlineStr">
        <is>
          <t>Văn phòng Công nhận chất lượng quốc gia</t>
        </is>
      </c>
      <c r="E8956" s="10" t="inlineStr">
        <is>
          <t>Thương lượng</t>
        </is>
      </c>
      <c r="F8956" s="10" t="inlineStr">
        <is>
          <t>Hà Nội</t>
        </is>
      </c>
      <c r="G8956" s="10" t="inlineStr">
        <is>
          <t>Nhân viên</t>
        </is>
      </c>
      <c r="H8956" s="10" t="inlineStr">
        <is>
          <t>09/03/2026</t>
        </is>
      </c>
      <c r="I8956" s="10" t="inlineStr">
        <is>
          <t>08/04/2026</t>
        </is>
      </c>
      <c r="J8956" s="10" t="inlineStr">
        <is>
          <t>17/03/2026</t>
        </is>
      </c>
      <c r="K8956" s="10" t="inlineStr">
        <is>
          <t>N/A</t>
        </is>
      </c>
      <c r="L8956" s="10" t="inlineStr">
        <is>
          <t>Kỹ Thuật, Khoa Học Môi Trường, Giao Tiếp Tiếng Anh, Đánh Giá Chất Lượng, Tư duy logic</t>
        </is>
      </c>
      <c r="M8956" s="10" t="inlineStr">
        <is>
          <t>Healthcare Plan, Training, Others</t>
        </is>
      </c>
      <c r="N8956" s="11">
        <f>HYPERLINK("https://www.vietnamworks.com/chuyen-gia-danh-gia--2020597-jv","Xem chi tiết")</f>
        <v/>
      </c>
      <c r="O8956" s="10" t="n"/>
    </row>
    <row r="8957">
      <c r="B8957" s="7" t="n">
        <v>8955</v>
      </c>
      <c r="C8957" t="inlineStr">
        <is>
          <t>[Hải Phòng] Assistant Site Manager (C&amp;S)</t>
        </is>
      </c>
      <c r="D8957" t="inlineStr">
        <is>
          <t>CapitaLand Development (Vietnam)</t>
        </is>
      </c>
      <c r="E8957" t="inlineStr">
        <is>
          <t>Thương lượng</t>
        </is>
      </c>
      <c r="F8957" t="inlineStr">
        <is>
          <t>Hải Phòng</t>
        </is>
      </c>
      <c r="G8957" t="inlineStr">
        <is>
          <t>Nhân viên</t>
        </is>
      </c>
      <c r="H8957" t="inlineStr">
        <is>
          <t>09/03/2026</t>
        </is>
      </c>
      <c r="I8957" t="inlineStr">
        <is>
          <t>08/04/2026</t>
        </is>
      </c>
      <c r="J8957" t="inlineStr">
        <is>
          <t>17/03/2026</t>
        </is>
      </c>
      <c r="K8957" t="inlineStr">
        <is>
          <t>N/A</t>
        </is>
      </c>
      <c r="L8957" t="inlineStr">
        <is>
          <t>Project Management, Site Construction, Structural Engineering, Civil Engineering</t>
        </is>
      </c>
      <c r="M8957" t="inlineStr">
        <is>
          <t>Bonus, Healthcare Plan, Paid Leave</t>
        </is>
      </c>
      <c r="N8957" s="8">
        <f>HYPERLINK("https://www.vietnamworks.com/hai-phong-assistant-site-manager-c-s-2020601-jv","Xem chi tiết")</f>
        <v/>
      </c>
    </row>
    <row r="8958">
      <c r="B8958" s="9" t="n">
        <v>8956</v>
      </c>
      <c r="C8958" s="10" t="inlineStr">
        <is>
          <t>Chuyên Viên Cao Cấp Quản Trị Rủi Ro và Kiểm Soát Tuân Thủ - K.CNTT</t>
        </is>
      </c>
      <c r="D8958" s="10" t="inlineStr">
        <is>
          <t>Ngân Hàng TMCP Đại Chúng Việt Nam</t>
        </is>
      </c>
      <c r="E8958" s="10" t="inlineStr">
        <is>
          <t>Thương lượng</t>
        </is>
      </c>
      <c r="F8958" s="10" t="inlineStr">
        <is>
          <t>Hà Nội</t>
        </is>
      </c>
      <c r="G8958" s="10" t="inlineStr">
        <is>
          <t>Nhân viên</t>
        </is>
      </c>
      <c r="H8958" s="10" t="inlineStr">
        <is>
          <t>09/03/2026</t>
        </is>
      </c>
      <c r="I8958" s="10" t="inlineStr">
        <is>
          <t>08/04/2026</t>
        </is>
      </c>
      <c r="J8958" s="10" t="inlineStr">
        <is>
          <t>17/03/2026</t>
        </is>
      </c>
      <c r="K8958" s="10" t="inlineStr">
        <is>
          <t>N/A</t>
        </is>
      </c>
      <c r="L8958" s="10" t="inlineStr">
        <is>
          <t>An Toàn Thông Tin Mạng, An Ninh Mạng, Kiểm Soát Tuân Thủ, Core Banking, ISO 27001</t>
        </is>
      </c>
      <c r="M8958" s="10" t="inlineStr">
        <is>
          <t>Bonus</t>
        </is>
      </c>
      <c r="N8958" s="11">
        <f>HYPERLINK("https://www.vietnamworks.com/chuyen-vien-cao-cap-quan-tri-rui-ro-va-kiem-soat-tuan-thu-k-cntt-2020586-jv","Xem chi tiết")</f>
        <v/>
      </c>
      <c r="O8958" s="10" t="n"/>
    </row>
    <row r="8959">
      <c r="B8959" s="7" t="n">
        <v>8957</v>
      </c>
      <c r="C8959" t="inlineStr">
        <is>
          <t>Phiên Dịch Tiếng Anh</t>
        </is>
      </c>
      <c r="D8959" t="inlineStr">
        <is>
          <t>Sumitomo Electric Interconnect Products (Vietnam), Ltd. [Sepv]</t>
        </is>
      </c>
      <c r="E8959" t="inlineStr">
        <is>
          <t>Thương lượng</t>
        </is>
      </c>
      <c r="F8959" t="inlineStr">
        <is>
          <t>Bắc Giang, Bắc Ninh, Hà Nội</t>
        </is>
      </c>
      <c r="G8959" t="inlineStr">
        <is>
          <t>Nhân viên</t>
        </is>
      </c>
      <c r="H8959" t="inlineStr">
        <is>
          <t>09/03/2026</t>
        </is>
      </c>
      <c r="I8959" t="inlineStr">
        <is>
          <t>08/04/2026</t>
        </is>
      </c>
      <c r="J8959" t="inlineStr">
        <is>
          <t>17/03/2026</t>
        </is>
      </c>
      <c r="K8959" t="inlineStr">
        <is>
          <t>N/A</t>
        </is>
      </c>
      <c r="L8959" t="inlineStr">
        <is>
          <t>Phiên Dịch Tiếng Nhật, Tiếng Nhật, Biên Phiên Dịch Tiếng Anh, TOEIC 500+, JLPT N3</t>
        </is>
      </c>
      <c r="M8959" t="inlineStr">
        <is>
          <t>Bonus, Healthcare Plan, Transportation</t>
        </is>
      </c>
      <c r="N8959" s="8">
        <f>HYPERLINK("https://www.vietnamworks.com/phien-dich-tieng-anh--2020596-jv","Xem chi tiết")</f>
        <v/>
      </c>
    </row>
    <row r="8960">
      <c r="B8960" s="9" t="n">
        <v>8958</v>
      </c>
      <c r="C8960" s="10" t="inlineStr">
        <is>
          <t>HR &amp; Admin Executive</t>
        </is>
      </c>
      <c r="D8960" s="10" t="inlineStr">
        <is>
          <t>Công Ty Cổ Phần Green Leaf Holding</t>
        </is>
      </c>
      <c r="E8960" s="10" t="inlineStr">
        <is>
          <t>13tr-17tr ₫/tháng</t>
        </is>
      </c>
      <c r="F8960" s="10" t="inlineStr">
        <is>
          <t>Hà Nội</t>
        </is>
      </c>
      <c r="G8960" s="10" t="inlineStr">
        <is>
          <t>Nhân viên</t>
        </is>
      </c>
      <c r="H8960" s="10" t="inlineStr">
        <is>
          <t>09/03/2026</t>
        </is>
      </c>
      <c r="I8960" s="10" t="inlineStr">
        <is>
          <t>08/04/2026</t>
        </is>
      </c>
      <c r="J8960" s="10" t="inlineStr">
        <is>
          <t>17/03/2026</t>
        </is>
      </c>
      <c r="K8960" s="10" t="inlineStr">
        <is>
          <t>N/A</t>
        </is>
      </c>
      <c r="L8960" s="10" t="inlineStr">
        <is>
          <t>HR Management, Labor Law, Recruitment Tools, Hành Chính, Nhân Sự</t>
        </is>
      </c>
      <c r="M8960" s="10" t="inlineStr">
        <is>
          <t>Healthcare Plan, Training, Team Activities, Others</t>
        </is>
      </c>
      <c r="N8960" s="11">
        <f>HYPERLINK("https://www.vietnamworks.com/hr-and-admin-executive-2020602-jv","Xem chi tiết")</f>
        <v/>
      </c>
      <c r="O8960" s="10" t="n"/>
    </row>
    <row r="8961">
      <c r="B8961" s="7" t="n">
        <v>8959</v>
      </c>
      <c r="C8961" t="inlineStr">
        <is>
          <t>Tài Xế Lái Xe Văn Phòng (Xe Innova 7 Chỗ) TP.HCM Ưu Tiên Biết Tiếng Anh Cơ Bản</t>
        </is>
      </c>
      <c r="D8961" t="inlineStr">
        <is>
          <t>Ecu Worldwide Vietnam</t>
        </is>
      </c>
      <c r="E8961" t="inlineStr">
        <is>
          <t>Thương lượng</t>
        </is>
      </c>
      <c r="F8961" t="inlineStr">
        <is>
          <t>Hồ Chí Minh</t>
        </is>
      </c>
      <c r="G8961" t="inlineStr">
        <is>
          <t>Mới Tốt Nghiệp</t>
        </is>
      </c>
      <c r="H8961" t="inlineStr">
        <is>
          <t>09/03/2026</t>
        </is>
      </c>
      <c r="I8961" t="inlineStr">
        <is>
          <t>08/04/2026</t>
        </is>
      </c>
      <c r="J8961" t="inlineStr">
        <is>
          <t>17/03/2026</t>
        </is>
      </c>
      <c r="K8961" t="inlineStr">
        <is>
          <t>N/A</t>
        </is>
      </c>
      <c r="L8961" t="inlineStr">
        <is>
          <t>Lái Xe, Luật Giao Thông, Khám Sức Khỏe, Tiếng Anh Căn Bản, Trung Thực</t>
        </is>
      </c>
      <c r="M8961" t="inlineStr">
        <is>
          <t>Bonus, Healthcare Plan, Training, Others</t>
        </is>
      </c>
      <c r="N8961" s="8">
        <f>HYPERLINK("https://www.vietnamworks.com/tai-xe-lai-xe-van-phong-xe-innova-7-cho-tp-hcm-uu-tien-biet-tieng-anh-co-ban-2020604-jv","Xem chi tiết")</f>
        <v/>
      </c>
    </row>
    <row r="8962">
      <c r="B8962" s="9" t="n">
        <v>8960</v>
      </c>
      <c r="C8962" s="10" t="inlineStr">
        <is>
          <t>Sourcing Engineer</t>
        </is>
      </c>
      <c r="D8962" s="10" t="inlineStr">
        <is>
          <t>Pro QC International</t>
        </is>
      </c>
      <c r="E8962" s="10" t="inlineStr">
        <is>
          <t>Thương lượng</t>
        </is>
      </c>
      <c r="F8962" s="10" t="inlineStr">
        <is>
          <t>Hà Nội, Hồ Chí Minh</t>
        </is>
      </c>
      <c r="G8962" s="10" t="inlineStr">
        <is>
          <t>Nhân viên</t>
        </is>
      </c>
      <c r="H8962" s="10" t="inlineStr">
        <is>
          <t>09/03/2026</t>
        </is>
      </c>
      <c r="I8962" s="10" t="inlineStr">
        <is>
          <t>08/04/2026</t>
        </is>
      </c>
      <c r="J8962" s="10" t="inlineStr">
        <is>
          <t>17/03/2026</t>
        </is>
      </c>
      <c r="K8962" s="10" t="inlineStr">
        <is>
          <t>N/A</t>
        </is>
      </c>
      <c r="L8962" s="10" t="inlineStr">
        <is>
          <t>Procurement, Mechanical, Engineering</t>
        </is>
      </c>
      <c r="M8962" s="10" t="inlineStr">
        <is>
          <t>Travel Opportunities</t>
        </is>
      </c>
      <c r="N8962" s="11">
        <f>HYPERLINK("https://www.vietnamworks.com/sourcing-engineer--2020603-jv","Xem chi tiết")</f>
        <v/>
      </c>
      <c r="O8962" s="10" t="n"/>
    </row>
    <row r="8963">
      <c r="B8963" s="7" t="n">
        <v>8961</v>
      </c>
      <c r="C8963" t="inlineStr">
        <is>
          <t>[Hot] Chuyên Viên Xử Lý Hồ Sơ và Hỗ Trợ Pháp Lý</t>
        </is>
      </c>
      <c r="D8963" t="inlineStr">
        <is>
          <t>Công ty Cổ phần Đầu tư và Phát triển Bắc Sơn</t>
        </is>
      </c>
      <c r="E8963" t="inlineStr">
        <is>
          <t>Thương lượng</t>
        </is>
      </c>
      <c r="F8963" t="inlineStr">
        <is>
          <t>Hà Nội</t>
        </is>
      </c>
      <c r="G8963" t="inlineStr">
        <is>
          <t>Nhân viên</t>
        </is>
      </c>
      <c r="H8963" t="inlineStr">
        <is>
          <t>09/03/2026</t>
        </is>
      </c>
      <c r="I8963" t="inlineStr">
        <is>
          <t>08/04/2026</t>
        </is>
      </c>
      <c r="J8963" t="inlineStr">
        <is>
          <t>17/03/2026</t>
        </is>
      </c>
      <c r="K8963" t="inlineStr">
        <is>
          <t>N/A</t>
        </is>
      </c>
      <c r="L8963" t="inlineStr">
        <is>
          <t>Soạn Thảo Văn Bản, Thẩm Định Hợp Đồng, Xử Lý Hồ Sơ, Hỗ Trợ Pháp Lý, Tiếng Anh</t>
        </is>
      </c>
      <c r="M8963" t="inlineStr">
        <is>
          <t>Bonus, Travel Opportunities, Team Activities</t>
        </is>
      </c>
      <c r="N8963" s="8">
        <f>HYPERLINK("https://www.vietnamworks.com/hot-chuyen-vien-xu-ly-ho-so-va-ho-tro-phap-ly-2020612-jv","Xem chi tiết")</f>
        <v/>
      </c>
    </row>
    <row r="8964">
      <c r="B8964" s="9" t="n">
        <v>8962</v>
      </c>
      <c r="C8964" s="10" t="inlineStr">
        <is>
          <t>[Tuyển Gấp] Chuyên viên quản lý hợp đồng và thanh toán - Ban Năng Lượng</t>
        </is>
      </c>
      <c r="D8964" s="10" t="inlineStr">
        <is>
          <t>Xuân Cầu Holdings</t>
        </is>
      </c>
      <c r="E8964" s="10" t="inlineStr">
        <is>
          <t>$$ 800-1,500 /tháng</t>
        </is>
      </c>
      <c r="F8964" s="10" t="inlineStr">
        <is>
          <t>Hà Nội</t>
        </is>
      </c>
      <c r="G8964" s="10" t="inlineStr">
        <is>
          <t>Nhân viên</t>
        </is>
      </c>
      <c r="H8964" s="10" t="inlineStr">
        <is>
          <t>09/03/2026</t>
        </is>
      </c>
      <c r="I8964" s="10" t="inlineStr">
        <is>
          <t>08/04/2026</t>
        </is>
      </c>
      <c r="J8964" s="10" t="inlineStr">
        <is>
          <t>17/03/2026</t>
        </is>
      </c>
      <c r="K8964" s="10" t="inlineStr">
        <is>
          <t>N/A</t>
        </is>
      </c>
      <c r="L8964" s="10" t="inlineStr">
        <is>
          <t>Kinh Tế Xây Dựng, QS, Quản Lý Hợp Đồng, Điện Gió, Điện Mặt Trời</t>
        </is>
      </c>
      <c r="M8964" s="10" t="inlineStr">
        <is>
          <t>Bonus, Healthcare Plan, Paid Leave</t>
        </is>
      </c>
      <c r="N8964" s="11">
        <f>HYPERLINK("https://www.vietnamworks.com/tuyen-gap-chuyen-vien-quan-ly-hop-djong-va-thanh-toan-ban-nang-luong-2020605-jv","Xem chi tiết")</f>
        <v/>
      </c>
      <c r="O8964" s="10" t="n"/>
    </row>
    <row r="8965">
      <c r="B8965" s="7" t="n">
        <v>8963</v>
      </c>
      <c r="C8965" t="inlineStr">
        <is>
          <t>[VSIP - Bắc Ninh] Nhân Viên Mua Hàng (Tiếng Anh Hoặc Tiếng Nhật)</t>
        </is>
      </c>
      <c r="D8965" t="inlineStr">
        <is>
          <t>Công Ty TNHH Fujikin Việt Nam - Chi Nhánh Nhà Máy Bắc Ninh</t>
        </is>
      </c>
      <c r="E8965" t="inlineStr">
        <is>
          <t>Thương lượng</t>
        </is>
      </c>
      <c r="F8965" t="inlineStr">
        <is>
          <t>Bắc Ninh, Hà Nội</t>
        </is>
      </c>
      <c r="G8965" t="inlineStr">
        <is>
          <t>Nhân viên</t>
        </is>
      </c>
      <c r="H8965" t="inlineStr">
        <is>
          <t>09/03/2026</t>
        </is>
      </c>
      <c r="I8965" t="inlineStr">
        <is>
          <t>08/04/2026</t>
        </is>
      </c>
      <c r="J8965" t="inlineStr">
        <is>
          <t>17/03/2026</t>
        </is>
      </c>
      <c r="K8965" t="inlineStr">
        <is>
          <t>N/A</t>
        </is>
      </c>
      <c r="L8965" t="inlineStr">
        <is>
          <t>Mua Hàng, Quản Lý Cung Ứng, Tiếng Anh, Đàm Phán, Đánh Giá Nhà Cung Cấp</t>
        </is>
      </c>
      <c r="M8965" t="inlineStr">
        <is>
          <t>Bonus, Healthcare Plan, Team Activities, Canteen, Others</t>
        </is>
      </c>
      <c r="N8965" s="8">
        <f>HYPERLINK("https://www.vietnamworks.com/vsip-bac-ninh-nhan-vien-mua-hang-tieng-anh-hoac-tieng-nhat-2020620-jv","Xem chi tiết")</f>
        <v/>
      </c>
    </row>
    <row r="8966">
      <c r="B8966" s="9" t="n">
        <v>8964</v>
      </c>
      <c r="C8966" s="10" t="inlineStr">
        <is>
          <t>Key Account &amp; Business Development Specialist (B2B: Catering, Canteen, Hospital)</t>
        </is>
      </c>
      <c r="D8966" s="10" t="inlineStr">
        <is>
          <t>Công Ty Cổ Phần Sữa Việt Nam (Vinamilk)</t>
        </is>
      </c>
      <c r="E8966" s="10" t="inlineStr">
        <is>
          <t>Thương lượng</t>
        </is>
      </c>
      <c r="F8966" s="10" t="inlineStr">
        <is>
          <t>Hồ Chí Minh</t>
        </is>
      </c>
      <c r="G8966" s="10" t="inlineStr">
        <is>
          <t>Nhân viên</t>
        </is>
      </c>
      <c r="H8966" s="10" t="inlineStr">
        <is>
          <t>09/03/2026</t>
        </is>
      </c>
      <c r="I8966" s="10" t="inlineStr">
        <is>
          <t>08/04/2026</t>
        </is>
      </c>
      <c r="J8966" s="10" t="inlineStr">
        <is>
          <t>17/03/2026</t>
        </is>
      </c>
      <c r="K8966" s="10" t="inlineStr">
        <is>
          <t>N/A</t>
        </is>
      </c>
      <c r="L8966" s="10" t="inlineStr">
        <is>
          <t>Sales</t>
        </is>
      </c>
      <c r="M8966" s="10" t="inlineStr">
        <is>
          <t>Bonus, Healthcare Plan, Training</t>
        </is>
      </c>
      <c r="N8966" s="11">
        <f>HYPERLINK("https://www.vietnamworks.com/key-account-business-development-specialist-b2b-catering-canteen-hospital-2020608-jv","Xem chi tiết")</f>
        <v/>
      </c>
      <c r="O8966" s="10" t="n"/>
    </row>
    <row r="8967">
      <c r="B8967" s="7" t="n">
        <v>8965</v>
      </c>
      <c r="C8967" t="inlineStr">
        <is>
          <t>Phiên Dịch Tiếng Trung</t>
        </is>
      </c>
      <c r="D8967" t="inlineStr">
        <is>
          <t>Sumitomo Electric Interconnect Products (Vietnam), Ltd. [Sepv]</t>
        </is>
      </c>
      <c r="E8967" t="inlineStr">
        <is>
          <t>Thương lượng</t>
        </is>
      </c>
      <c r="F8967" t="inlineStr">
        <is>
          <t>Bắc Giang, Bắc Ninh, Hà Nội</t>
        </is>
      </c>
      <c r="G8967" t="inlineStr">
        <is>
          <t>Nhân viên</t>
        </is>
      </c>
      <c r="H8967" t="inlineStr">
        <is>
          <t>09/03/2026</t>
        </is>
      </c>
      <c r="I8967" t="inlineStr">
        <is>
          <t>08/04/2026</t>
        </is>
      </c>
      <c r="J8967" t="inlineStr">
        <is>
          <t>17/03/2026</t>
        </is>
      </c>
      <c r="K8967" t="inlineStr">
        <is>
          <t>N/A</t>
        </is>
      </c>
      <c r="L8967" t="inlineStr">
        <is>
          <t>Phiên Dịch Tiếng Nhật, Tiếng Nhật, Phiên dịch tiếng Trung, Biên Phiên Dịch Tiếng Trung, HSK5</t>
        </is>
      </c>
      <c r="M8967" t="inlineStr">
        <is>
          <t>Bonus, Healthcare Plan, Transportation</t>
        </is>
      </c>
      <c r="N8967" s="8">
        <f>HYPERLINK("https://www.vietnamworks.com/phien-dich-tieng-trung--2020616-jv","Xem chi tiết")</f>
        <v/>
      </c>
    </row>
    <row r="8968">
      <c r="B8968" s="9" t="n">
        <v>8966</v>
      </c>
      <c r="C8968" s="10" t="inlineStr">
        <is>
          <t>Chuyên Viên Mua Hàng (Purchasing Executive)</t>
        </is>
      </c>
      <c r="D8968" s="10" t="inlineStr">
        <is>
          <t>Công ty TNHH Công nghiệp ADCEL Việt Nam</t>
        </is>
      </c>
      <c r="E8968" s="10" t="inlineStr">
        <is>
          <t>Thương lượng</t>
        </is>
      </c>
      <c r="F8968" s="10" t="inlineStr">
        <is>
          <t>Hà Nội</t>
        </is>
      </c>
      <c r="G8968" s="10" t="inlineStr">
        <is>
          <t>Nhân viên</t>
        </is>
      </c>
      <c r="H8968" s="10" t="inlineStr">
        <is>
          <t>09/03/2026</t>
        </is>
      </c>
      <c r="I8968" s="10" t="inlineStr">
        <is>
          <t>08/04/2026</t>
        </is>
      </c>
      <c r="J8968" s="10" t="inlineStr">
        <is>
          <t>17/03/2026</t>
        </is>
      </c>
      <c r="K8968" s="10" t="inlineStr">
        <is>
          <t>N/A</t>
        </is>
      </c>
      <c r="L8968" s="10" t="inlineStr">
        <is>
          <t>Kiểm Soát Chi Phí, Mua Hàng, Quản Lý Nhà Cung Cấp, Theo Dõi Đơn Hàng, Đàm Phán Thương Lượng</t>
        </is>
      </c>
      <c r="M8968" s="10" t="inlineStr">
        <is>
          <t>Bonus, Healthcare Plan, Paid Leave, Canteen, Others</t>
        </is>
      </c>
      <c r="N8968" s="11">
        <f>HYPERLINK("https://www.vietnamworks.com/chuyen-vien-mua-hang-purchasing-executive-2020630-jv","Xem chi tiết")</f>
        <v/>
      </c>
      <c r="O8968" s="10" t="n"/>
    </row>
    <row r="8969">
      <c r="B8969" s="7" t="n">
        <v>8967</v>
      </c>
      <c r="C8969" t="inlineStr">
        <is>
          <t>Nhân Viên Lái Xe</t>
        </is>
      </c>
      <c r="D8969" t="inlineStr">
        <is>
          <t>Foster Electric (Bac Ninh) Co. Ltd</t>
        </is>
      </c>
      <c r="E8969" t="inlineStr">
        <is>
          <t>9tr-23tr ₫/tháng</t>
        </is>
      </c>
      <c r="F8969" t="inlineStr">
        <is>
          <t>Bắc Ninh, Hà Nội</t>
        </is>
      </c>
      <c r="G8969" t="inlineStr">
        <is>
          <t>Nhân viên</t>
        </is>
      </c>
      <c r="H8969" t="inlineStr">
        <is>
          <t>09/03/2026</t>
        </is>
      </c>
      <c r="I8969" t="inlineStr">
        <is>
          <t>08/04/2026</t>
        </is>
      </c>
      <c r="J8969" t="inlineStr">
        <is>
          <t>17/03/2026</t>
        </is>
      </c>
      <c r="K8969" t="inlineStr">
        <is>
          <t>N/A</t>
        </is>
      </c>
      <c r="L8969" t="inlineStr">
        <is>
          <t>Bảo Trì Ô Tô, Giao Tiếp Tiếng Anh, Lái Xe Hạng D, Tính Cẩn Thận, Trung Thực</t>
        </is>
      </c>
      <c r="M8969" t="inlineStr">
        <is>
          <t>Bonus, Healthcare Plan, Paid Leave, Others</t>
        </is>
      </c>
      <c r="N8969" s="8">
        <f>HYPERLINK("https://www.vietnamworks.com/nhan-vien-lai-xe-2020632-jv","Xem chi tiết")</f>
        <v/>
      </c>
    </row>
    <row r="8970">
      <c r="B8970" s="9" t="n">
        <v>8968</v>
      </c>
      <c r="C8970" s="10" t="inlineStr">
        <is>
          <t>Account Payable Executive</t>
        </is>
      </c>
      <c r="D8970" s="10" t="inlineStr">
        <is>
          <t>Vietjet Air</t>
        </is>
      </c>
      <c r="E8970" s="10" t="inlineStr">
        <is>
          <t>Thương lượng</t>
        </is>
      </c>
      <c r="F8970" s="10" t="inlineStr">
        <is>
          <t>Hồ Chí Minh</t>
        </is>
      </c>
      <c r="G8970" s="10" t="inlineStr">
        <is>
          <t>Nhân viên</t>
        </is>
      </c>
      <c r="H8970" s="10" t="inlineStr">
        <is>
          <t>09/03/2026</t>
        </is>
      </c>
      <c r="I8970" s="10" t="inlineStr">
        <is>
          <t>08/04/2026</t>
        </is>
      </c>
      <c r="J8970" s="10" t="inlineStr">
        <is>
          <t>17/03/2026</t>
        </is>
      </c>
      <c r="K8970" s="10" t="inlineStr">
        <is>
          <t>N/A</t>
        </is>
      </c>
      <c r="L8970" s="10" t="inlineStr">
        <is>
          <t>Kế Toán, Kế Toán Thanh Toán, Accountant, Finance &amp; Accounting, Payable Accounting</t>
        </is>
      </c>
      <c r="M8970" s="10" t="inlineStr">
        <is>
          <t>Bonus, Healthcare Plan, Training, Travel Opportunities</t>
        </is>
      </c>
      <c r="N8970" s="11">
        <f>HYPERLINK("https://www.vietnamworks.com/account-payable-executive-2020613-jv","Xem chi tiết")</f>
        <v/>
      </c>
      <c r="O8970" s="10" t="n"/>
    </row>
    <row r="8971">
      <c r="B8971" s="7" t="n">
        <v>8969</v>
      </c>
      <c r="C8971" t="inlineStr">
        <is>
          <t>[VSIP - Bắc Ninh] Nhân Viên Kỹ Thuật Sản Xuất (Cải Tiến Quy Trình)</t>
        </is>
      </c>
      <c r="D8971" t="inlineStr">
        <is>
          <t>Công Ty TNHH Fujikin Việt Nam - Chi Nhánh Nhà Máy Bắc Ninh</t>
        </is>
      </c>
      <c r="E8971" t="inlineStr">
        <is>
          <t>Thương lượng</t>
        </is>
      </c>
      <c r="F8971" t="inlineStr">
        <is>
          <t>Bắc Ninh, Hà Nội</t>
        </is>
      </c>
      <c r="G8971" t="inlineStr">
        <is>
          <t>Nhân viên</t>
        </is>
      </c>
      <c r="H8971" t="inlineStr">
        <is>
          <t>09/03/2026</t>
        </is>
      </c>
      <c r="I8971" t="inlineStr">
        <is>
          <t>08/04/2026</t>
        </is>
      </c>
      <c r="J8971" t="inlineStr">
        <is>
          <t>17/03/2026</t>
        </is>
      </c>
      <c r="K8971" t="inlineStr">
        <is>
          <t>N/A</t>
        </is>
      </c>
      <c r="L8971" t="inlineStr">
        <is>
          <t>AutoCAD, Cải Tiến Quy Trình Sản Xuất, Lean Manufacturing, Phân Tích Dữ Liệu, SolidWorks</t>
        </is>
      </c>
      <c r="M8971" t="inlineStr">
        <is>
          <t>Bonus, Healthcare Plan, Training, Awards, Team Activities, Canteen, Others</t>
        </is>
      </c>
      <c r="N8971" s="8">
        <f>HYPERLINK("https://www.vietnamworks.com/vsip-bac-ninh-nhan-vien-ky-thuat-san-xuat-cai-tien-quy-trinh-2020617-jv","Xem chi tiết")</f>
        <v/>
      </c>
    </row>
    <row r="8972">
      <c r="B8972" s="9" t="n">
        <v>8970</v>
      </c>
      <c r="C8972" s="10" t="inlineStr">
        <is>
          <t>Kế Toán Tổng Hợp</t>
        </is>
      </c>
      <c r="D8972" s="10" t="inlineStr">
        <is>
          <t>CÔNG TY TNHH VITASG VN</t>
        </is>
      </c>
      <c r="E8972" s="10" t="inlineStr">
        <is>
          <t>15tr-25tr ₫/tháng</t>
        </is>
      </c>
      <c r="F8972" s="10" t="inlineStr">
        <is>
          <t>Hồ Chí Minh</t>
        </is>
      </c>
      <c r="G8972" s="10" t="inlineStr">
        <is>
          <t>Nhân viên</t>
        </is>
      </c>
      <c r="H8972" s="10" t="inlineStr">
        <is>
          <t>09/03/2026</t>
        </is>
      </c>
      <c r="I8972" s="10" t="inlineStr">
        <is>
          <t>08/04/2026</t>
        </is>
      </c>
      <c r="J8972" s="10" t="inlineStr">
        <is>
          <t>17/03/2026</t>
        </is>
      </c>
      <c r="K8972" s="10" t="inlineStr">
        <is>
          <t>N/A</t>
        </is>
      </c>
      <c r="L8972" s="10" t="inlineStr">
        <is>
          <t>Kế Toán Tổng Hợp, Quản Lý Tài Chính, Kê Khai Thuế, xuất hóa đơn, Tiếng Anh</t>
        </is>
      </c>
      <c r="M8972" s="10" t="inlineStr">
        <is>
          <t>Bonus, Healthcare Plan, Awards</t>
        </is>
      </c>
      <c r="N8972" s="11">
        <f>HYPERLINK("https://www.vietnamworks.com/ke-toan-tong-hop-2020621-jv","Xem chi tiết")</f>
        <v/>
      </c>
      <c r="O8972" s="10" t="n"/>
    </row>
    <row r="8973">
      <c r="B8973" s="7" t="n">
        <v>8971</v>
      </c>
      <c r="C8973" t="inlineStr">
        <is>
          <t>Chuyên Viên Sáng Tạo Nội Dung Tiktok - Video Editor</t>
        </is>
      </c>
      <c r="D8973" t="inlineStr">
        <is>
          <t>CÔNG TY TNHH VITASG VN</t>
        </is>
      </c>
      <c r="E8973" t="inlineStr">
        <is>
          <t>6tr-16tr ₫/tháng</t>
        </is>
      </c>
      <c r="F8973" t="inlineStr">
        <is>
          <t>Hồ Chí Minh</t>
        </is>
      </c>
      <c r="G8973" t="inlineStr">
        <is>
          <t>Mới Tốt Nghiệp</t>
        </is>
      </c>
      <c r="H8973" t="inlineStr">
        <is>
          <t>09/03/2026</t>
        </is>
      </c>
      <c r="I8973" t="inlineStr">
        <is>
          <t>08/04/2026</t>
        </is>
      </c>
      <c r="J8973" t="inlineStr">
        <is>
          <t>17/03/2026</t>
        </is>
      </c>
      <c r="K8973" t="inlineStr">
        <is>
          <t>N/A</t>
        </is>
      </c>
      <c r="L8973" t="inlineStr">
        <is>
          <t>Quay Dựng Video, Sử dụng Capcut, Sử dụng Premiere, Sử Dụng Final Cut, Sáng Tạo</t>
        </is>
      </c>
      <c r="M8973" t="inlineStr">
        <is>
          <t>Bonus, Healthcare Plan, Training, Awards, Team Activities, Others</t>
        </is>
      </c>
      <c r="N8973" s="8">
        <f>HYPERLINK("https://www.vietnamworks.com/chuyen-vien-sang-tao-noi-dung-tiktok-video-editor-2020622-jv","Xem chi tiết")</f>
        <v/>
      </c>
    </row>
    <row r="8974">
      <c r="B8974" s="9" t="n">
        <v>8972</v>
      </c>
      <c r="C8974" s="10" t="inlineStr">
        <is>
          <t>[VSIP - Bắc Ninh] Nhân Viên Xuất Nhập Khẩu</t>
        </is>
      </c>
      <c r="D8974" s="10" t="inlineStr">
        <is>
          <t>Công Ty TNHH Fujikin Việt Nam - Chi Nhánh Nhà Máy Bắc Ninh</t>
        </is>
      </c>
      <c r="E8974" s="10" t="inlineStr">
        <is>
          <t>Thương lượng</t>
        </is>
      </c>
      <c r="F8974" s="10" t="inlineStr">
        <is>
          <t>Bắc Ninh, Hà Nội</t>
        </is>
      </c>
      <c r="G8974" s="10" t="inlineStr">
        <is>
          <t>Nhân viên</t>
        </is>
      </c>
      <c r="H8974" s="10" t="inlineStr">
        <is>
          <t>09/03/2026</t>
        </is>
      </c>
      <c r="I8974" s="10" t="inlineStr">
        <is>
          <t>08/04/2026</t>
        </is>
      </c>
      <c r="J8974" s="10" t="inlineStr">
        <is>
          <t>17/03/2026</t>
        </is>
      </c>
      <c r="K8974" s="10" t="inlineStr">
        <is>
          <t>N/A</t>
        </is>
      </c>
      <c r="L8974" s="10" t="inlineStr">
        <is>
          <t>Báo Cáo Quyết Toán, Giao Tiếp, Khai Báo Hải Quan, Tiếng Anh, Đối Chiếu Công Nợ</t>
        </is>
      </c>
      <c r="M8974" s="10" t="inlineStr">
        <is>
          <t>Bonus, Healthcare Plan, Team Activities, Canteen, Others</t>
        </is>
      </c>
      <c r="N8974" s="11">
        <f>HYPERLINK("https://www.vietnamworks.com/vsip-bac-ninh-nhan-vien-xuat-nhap-khau-2020624-jv","Xem chi tiết")</f>
        <v/>
      </c>
      <c r="O8974" s="10" t="n"/>
    </row>
    <row r="8975">
      <c r="B8975" s="7" t="n">
        <v>8973</v>
      </c>
      <c r="C8975" t="inlineStr">
        <is>
          <t>Nhân Viên Kinh Doanh (Sales Executive)</t>
        </is>
      </c>
      <c r="D8975" t="inlineStr">
        <is>
          <t>CÔNG TY TNHH THƯƠNG MẠI INTELLIGENT TRAVEL</t>
        </is>
      </c>
      <c r="E8975" t="inlineStr">
        <is>
          <t>10tr-20tr ₫/tháng</t>
        </is>
      </c>
      <c r="F8975" t="inlineStr">
        <is>
          <t>Hà Nội</t>
        </is>
      </c>
      <c r="G8975" t="inlineStr">
        <is>
          <t>Nhân viên</t>
        </is>
      </c>
      <c r="H8975" t="inlineStr">
        <is>
          <t>09/03/2026</t>
        </is>
      </c>
      <c r="I8975" t="inlineStr">
        <is>
          <t>08/04/2026</t>
        </is>
      </c>
      <c r="J8975" t="inlineStr">
        <is>
          <t>17/03/2026</t>
        </is>
      </c>
      <c r="K8975" t="inlineStr">
        <is>
          <t>N/A</t>
        </is>
      </c>
      <c r="L8975" t="inlineStr">
        <is>
          <t>Bán hàng, Kinh Doanh, Phát Triển Kinh Doanh, Sales, Tư Vấn</t>
        </is>
      </c>
      <c r="M8975" t="inlineStr">
        <is>
          <t>Bonus, Training, Others</t>
        </is>
      </c>
      <c r="N8975" s="8">
        <f>HYPERLINK("https://www.vietnamworks.com/nhan-vien-kinh-doanh-sales-executive-2020623-jv","Xem chi tiết")</f>
        <v/>
      </c>
    </row>
    <row r="8976">
      <c r="B8976" s="9" t="n">
        <v>8974</v>
      </c>
      <c r="C8976" s="10" t="inlineStr">
        <is>
          <t>Industrial Designer (Alpha Works)</t>
        </is>
      </c>
      <c r="D8976" s="10" t="inlineStr">
        <is>
          <t>Phuc Giang Company Limited/ Công Ty TNHH Phúc Giang</t>
        </is>
      </c>
      <c r="E8976" s="10" t="inlineStr">
        <is>
          <t>Thương lượng</t>
        </is>
      </c>
      <c r="F8976" s="10" t="inlineStr">
        <is>
          <t>Hồ Chí Minh</t>
        </is>
      </c>
      <c r="G8976" s="10" t="inlineStr">
        <is>
          <t>Nhân viên</t>
        </is>
      </c>
      <c r="H8976" s="10" t="inlineStr">
        <is>
          <t>09/03/2026</t>
        </is>
      </c>
      <c r="I8976" s="10" t="inlineStr">
        <is>
          <t>08/04/2026</t>
        </is>
      </c>
      <c r="J8976" s="10" t="inlineStr">
        <is>
          <t>17/03/2026</t>
        </is>
      </c>
      <c r="K8976" s="10" t="inlineStr">
        <is>
          <t>N/A</t>
        </is>
      </c>
      <c r="L8976" s="10" t="inlineStr">
        <is>
          <t>designer</t>
        </is>
      </c>
      <c r="M8976" s="10" t="inlineStr">
        <is>
          <t>Bonus, Healthcare Plan, Laptop</t>
        </is>
      </c>
      <c r="N8976" s="11">
        <f>HYPERLINK("https://www.vietnamworks.com/industrial-designer-alpha-works-2020625-jv","Xem chi tiết")</f>
        <v/>
      </c>
      <c r="O8976" s="10" t="n"/>
    </row>
    <row r="8977">
      <c r="B8977" s="7" t="n">
        <v>8975</v>
      </c>
      <c r="C8977" t="inlineStr">
        <is>
          <t xml:space="preserve">Trưởng nhóm quản trị dữ liệu </t>
        </is>
      </c>
      <c r="D8977" t="inlineStr">
        <is>
          <t>Ngân Hàng TMCP Việt Nam Thương Tín (Vietbank)</t>
        </is>
      </c>
      <c r="E8977" t="inlineStr">
        <is>
          <t>$$ 1,000-1,500 /tháng</t>
        </is>
      </c>
      <c r="F8977" t="inlineStr">
        <is>
          <t>Hồ Chí Minh</t>
        </is>
      </c>
      <c r="G8977" t="inlineStr">
        <is>
          <t>Nhân viên</t>
        </is>
      </c>
      <c r="H8977" t="inlineStr">
        <is>
          <t>09/03/2026</t>
        </is>
      </c>
      <c r="I8977" t="inlineStr">
        <is>
          <t>08/04/2026</t>
        </is>
      </c>
      <c r="J8977" t="inlineStr">
        <is>
          <t>17/03/2026</t>
        </is>
      </c>
      <c r="K8977" t="inlineStr">
        <is>
          <t>N/A</t>
        </is>
      </c>
      <c r="L8977" t="inlineStr">
        <is>
          <t>Giao Tiếp, Mô Hình Hóa Dữ Liệu, Phân Tích Chất Lượng, Phân Tích Dữ Liệu, Quản Trị Dữ Liệu</t>
        </is>
      </c>
      <c r="M8977" t="inlineStr">
        <is>
          <t>Healthcare Plan, Awards, Laptop, Canteen</t>
        </is>
      </c>
      <c r="N8977" s="8">
        <f>HYPERLINK("https://www.vietnamworks.com/truong-nhom-quan-tri-du-lieu-2020619-jv","Xem chi tiết")</f>
        <v/>
      </c>
    </row>
    <row r="8978">
      <c r="B8978" s="9" t="n">
        <v>8976</v>
      </c>
      <c r="C8978" s="10" t="inlineStr">
        <is>
          <t>Education Consultant - Chuyên Viên Tư Vấn Tuyển Sinh</t>
        </is>
      </c>
      <c r="D8978" s="10" t="inlineStr">
        <is>
          <t>Busy Bees Vietnam</t>
        </is>
      </c>
      <c r="E8978" s="10" t="inlineStr">
        <is>
          <t>Thương lượng</t>
        </is>
      </c>
      <c r="F8978" s="10" t="inlineStr">
        <is>
          <t>Hồ Chí Minh</t>
        </is>
      </c>
      <c r="G8978" s="10" t="inlineStr">
        <is>
          <t>Nhân viên</t>
        </is>
      </c>
      <c r="H8978" s="10" t="inlineStr">
        <is>
          <t>09/03/2026</t>
        </is>
      </c>
      <c r="I8978" s="10" t="inlineStr">
        <is>
          <t>08/04/2026</t>
        </is>
      </c>
      <c r="J8978" s="10" t="inlineStr">
        <is>
          <t>17/03/2026</t>
        </is>
      </c>
      <c r="K8978" s="10" t="inlineStr">
        <is>
          <t>N/A</t>
        </is>
      </c>
      <c r="L8978" s="10" t="inlineStr">
        <is>
          <t>Business Administration, Customer Experience Management, English, MS Office, Sales Experience</t>
        </is>
      </c>
      <c r="M8978" s="10" t="inlineStr">
        <is>
          <t>Bonus, Healthcare Plan, Training, Team Activities, Kindergarten</t>
        </is>
      </c>
      <c r="N8978" s="11">
        <f>HYPERLINK("https://www.vietnamworks.com/education-consultant-chuyen-vien-tu-van-tuyen-sinh-2020631-jv","Xem chi tiết")</f>
        <v/>
      </c>
      <c r="O8978" s="10" t="n"/>
    </row>
    <row r="8979">
      <c r="B8979" s="7" t="n">
        <v>8977</v>
      </c>
      <c r="C8979" t="inlineStr">
        <is>
          <t>PGĐ Kinh Doanh Dự Án (Đèn Chiếu Sáng)</t>
        </is>
      </c>
      <c r="D8979" t="inlineStr">
        <is>
          <t>Công Ty Cổ Phần Công Nghệ Đầu Tư Minh Phương</t>
        </is>
      </c>
      <c r="E8979" t="inlineStr">
        <is>
          <t>30tr-50tr ₫/tháng</t>
        </is>
      </c>
      <c r="F8979" t="inlineStr">
        <is>
          <t>Hồ Chí Minh, Hà Nội, Đà Nẵng</t>
        </is>
      </c>
      <c r="G8979" t="inlineStr">
        <is>
          <t>Giám Đốc và Cấp Cao Hơn</t>
        </is>
      </c>
      <c r="H8979" t="inlineStr">
        <is>
          <t>09/03/2026</t>
        </is>
      </c>
      <c r="I8979" t="inlineStr">
        <is>
          <t>08/04/2026</t>
        </is>
      </c>
      <c r="J8979" t="inlineStr">
        <is>
          <t>17/03/2026</t>
        </is>
      </c>
      <c r="K8979" t="inlineStr">
        <is>
          <t>N/A</t>
        </is>
      </c>
      <c r="L8979" t="inlineStr">
        <is>
          <t>Giao Tiếp, Kinh Doanh Phát Triển Dự Án, Lãnh Đạo, Phát Triển Thị Trường, Đàm Phán</t>
        </is>
      </c>
      <c r="M8979" t="inlineStr">
        <is>
          <t>Bonus, Paid Leave, Training, Travel Opportunities, Transportation</t>
        </is>
      </c>
      <c r="N8979" s="8">
        <f>HYPERLINK("https://www.vietnamworks.com/pgdj-kinh-doanh-du-an-djen-chieu-sang-2020626-jv","Xem chi tiết")</f>
        <v/>
      </c>
    </row>
    <row r="8980">
      <c r="B8980" s="9" t="n">
        <v>8978</v>
      </c>
      <c r="C8980" s="10" t="inlineStr">
        <is>
          <t>Chuyên Viên Thiết Kế 5 Năm Kinh Nghiệm (Kỹ Sư Thiết Kế Kết Cấu Thép)</t>
        </is>
      </c>
      <c r="D8980" s="10" t="inlineStr">
        <is>
          <t>Công Ty Trách Nhiệm Hữu Hạn K&amp;K Innovation</t>
        </is>
      </c>
      <c r="E8980" s="10" t="inlineStr">
        <is>
          <t>Thương lượng</t>
        </is>
      </c>
      <c r="F8980" s="10" t="inlineStr">
        <is>
          <t>Hồ Chí Minh</t>
        </is>
      </c>
      <c r="G8980" s="10" t="inlineStr">
        <is>
          <t>Nhân viên</t>
        </is>
      </c>
      <c r="H8980" s="10" t="inlineStr">
        <is>
          <t>09/03/2026</t>
        </is>
      </c>
      <c r="I8980" s="10" t="inlineStr">
        <is>
          <t>08/04/2026</t>
        </is>
      </c>
      <c r="J8980" s="10" t="inlineStr">
        <is>
          <t>17/03/2026</t>
        </is>
      </c>
      <c r="K8980" s="10" t="inlineStr">
        <is>
          <t>N/A</t>
        </is>
      </c>
      <c r="L8980" s="10" t="inlineStr">
        <is>
          <t>Thiết Kế Kết Cấu Thép, Lập Trình AutoCAD, Hệ Thống SAP, Thiết Kế Kỹ Thuật, Xây Dựng Dân Dụng</t>
        </is>
      </c>
      <c r="M8980" s="10" t="inlineStr">
        <is>
          <t>Bonus, Healthcare Plan, Training, Others</t>
        </is>
      </c>
      <c r="N8980" s="11">
        <f>HYPERLINK("https://www.vietnamworks.com/chuyen-vien-thiet-ke-5-nam-kinh-nghiem-ky-su-thiet-ke-ket-cau-thep-2020633-jv","Xem chi tiết")</f>
        <v/>
      </c>
      <c r="O8980" s="10" t="n"/>
    </row>
    <row r="8981">
      <c r="B8981" s="7" t="n">
        <v>8979</v>
      </c>
      <c r="C8981" t="inlineStr">
        <is>
          <t>Chuyên Viên Kinh Doanh Dự Án (Đèn Chiếu Sáng)</t>
        </is>
      </c>
      <c r="D8981" t="inlineStr">
        <is>
          <t>Công Ty Cổ Phần Công Nghệ Đầu Tư Minh Phương</t>
        </is>
      </c>
      <c r="E8981" t="inlineStr">
        <is>
          <t>20tr-35tr ₫/tháng</t>
        </is>
      </c>
      <c r="F8981" t="inlineStr">
        <is>
          <t>Đà Nẵng, Hồ Chí Minh, Hà Nội</t>
        </is>
      </c>
      <c r="G8981" t="inlineStr">
        <is>
          <t>Nhân viên</t>
        </is>
      </c>
      <c r="H8981" t="inlineStr">
        <is>
          <t>09/03/2026</t>
        </is>
      </c>
      <c r="I8981" t="inlineStr">
        <is>
          <t>08/04/2026</t>
        </is>
      </c>
      <c r="J8981" t="inlineStr">
        <is>
          <t>17/03/2026</t>
        </is>
      </c>
      <c r="K8981" t="inlineStr">
        <is>
          <t>N/A</t>
        </is>
      </c>
      <c r="L8981" t="inlineStr">
        <is>
          <t>Lập Kế Hoạch Kinh Doanh, Phát Triển Kinh Doanh, Thiết Bị Chiếu Sáng, Tìm Kiếm Khách Hàng, Điện Chiếu Sáng</t>
        </is>
      </c>
      <c r="M8981" t="inlineStr">
        <is>
          <t>Bonus, Healthcare Plan, Paid Leave, Training, Travel Opportunities</t>
        </is>
      </c>
      <c r="N8981" s="8">
        <f>HYPERLINK("https://www.vietnamworks.com/chuyen-vien-kinh-doanh-du-an-djen-chieu-sang-2020634-jv","Xem chi tiết")</f>
        <v/>
      </c>
    </row>
    <row r="8982">
      <c r="B8982" s="9" t="n">
        <v>8980</v>
      </c>
      <c r="C8982" s="10" t="inlineStr">
        <is>
          <t>Digital Creator ( Thu Nhập Từ 11 Triệu VND Trở Lên )</t>
        </is>
      </c>
      <c r="D8982" s="10" t="inlineStr">
        <is>
          <t>Công ty TNHH Line Pilates</t>
        </is>
      </c>
      <c r="E8982" s="10" t="inlineStr">
        <is>
          <t>Từ 500 ₫/tháng</t>
        </is>
      </c>
      <c r="F8982" s="10" t="inlineStr">
        <is>
          <t>Hồ Chí Minh</t>
        </is>
      </c>
      <c r="G8982" s="10" t="inlineStr">
        <is>
          <t>Nhân viên</t>
        </is>
      </c>
      <c r="H8982" s="10" t="inlineStr">
        <is>
          <t>09/03/2026</t>
        </is>
      </c>
      <c r="I8982" s="10" t="inlineStr">
        <is>
          <t>08/04/2026</t>
        </is>
      </c>
      <c r="J8982" s="10" t="inlineStr">
        <is>
          <t>17/03/2026</t>
        </is>
      </c>
      <c r="K8982" s="10" t="inlineStr">
        <is>
          <t>N/A</t>
        </is>
      </c>
      <c r="L8982" s="10" t="inlineStr">
        <is>
          <t>Photo Shooting, Fitness, Pilates, Adobe, Canva Editing</t>
        </is>
      </c>
      <c r="M8982" s="10" t="inlineStr">
        <is>
          <t>Healthcare Plan, Team Activities, Others</t>
        </is>
      </c>
      <c r="N8982" s="11">
        <f>HYPERLINK("https://www.vietnamworks.com/digital-creator-thu-nhap-tu-11-trieu-vnd-tro-len-2020641-jv","Xem chi tiết")</f>
        <v/>
      </c>
      <c r="O8982" s="10" t="n"/>
    </row>
    <row r="8983">
      <c r="B8983" s="7" t="n">
        <v>8981</v>
      </c>
      <c r="C8983" t="inlineStr">
        <is>
          <t>Senior Graphic Designer</t>
        </is>
      </c>
      <c r="D8983" t="inlineStr">
        <is>
          <t>Công ty TNHH Truyền thông Unicomm</t>
        </is>
      </c>
      <c r="E8983" t="inlineStr">
        <is>
          <t>$$ 500-1,000 /tháng</t>
        </is>
      </c>
      <c r="F8983" t="inlineStr">
        <is>
          <t>Hà Nội</t>
        </is>
      </c>
      <c r="G8983" t="inlineStr">
        <is>
          <t>Nhân viên</t>
        </is>
      </c>
      <c r="H8983" t="inlineStr">
        <is>
          <t>09/03/2026</t>
        </is>
      </c>
      <c r="I8983" t="inlineStr">
        <is>
          <t>08/04/2026</t>
        </is>
      </c>
      <c r="J8983" t="inlineStr">
        <is>
          <t>17/03/2026</t>
        </is>
      </c>
      <c r="K8983" t="inlineStr">
        <is>
          <t>N/A</t>
        </is>
      </c>
      <c r="L8983" t="inlineStr">
        <is>
          <t>Thiết Kế Đồ Họa, Adobe Photoshop, Adobe Illustrator, Design</t>
        </is>
      </c>
      <c r="M8983" t="inlineStr">
        <is>
          <t>Bonus, Awards, Travel Opportunities</t>
        </is>
      </c>
      <c r="N8983" s="8">
        <f>HYPERLINK("https://www.vietnamworks.com/senior-graphic-designer--2020635-jv","Xem chi tiết")</f>
        <v/>
      </c>
    </row>
    <row r="8984">
      <c r="B8984" s="9" t="n">
        <v>8982</v>
      </c>
      <c r="C8984" s="10" t="inlineStr">
        <is>
          <t>Giám Sát MEP</t>
        </is>
      </c>
      <c r="D8984" s="10" t="inlineStr">
        <is>
          <t>AA Decor CORPORATION</t>
        </is>
      </c>
      <c r="E8984" s="10" t="inlineStr">
        <is>
          <t>Thương lượng</t>
        </is>
      </c>
      <c r="F8984" s="10" t="inlineStr">
        <is>
          <t>Hồ Chí Minh</t>
        </is>
      </c>
      <c r="G8984" s="10" t="inlineStr">
        <is>
          <t>Nhân viên</t>
        </is>
      </c>
      <c r="H8984" s="10" t="inlineStr">
        <is>
          <t>09/03/2026</t>
        </is>
      </c>
      <c r="I8984" s="10" t="inlineStr">
        <is>
          <t>08/04/2026</t>
        </is>
      </c>
      <c r="J8984" s="10" t="inlineStr">
        <is>
          <t>17/03/2026</t>
        </is>
      </c>
      <c r="K8984" s="10" t="inlineStr">
        <is>
          <t>N/A</t>
        </is>
      </c>
      <c r="L8984" s="10" t="inlineStr">
        <is>
          <t>MEP Construction, Giám Sát An Toàn Công Trình, Điện Nước Dân Dụng, Giám Sát Thi Công, M&amp;E</t>
        </is>
      </c>
      <c r="M8984" s="10" t="inlineStr">
        <is>
          <t>Bonus, Healthcare Plan, Others</t>
        </is>
      </c>
      <c r="N8984" s="11">
        <f>HYPERLINK("https://www.vietnamworks.com/giam-sat-mep--2020636-jv","Xem chi tiết")</f>
        <v/>
      </c>
      <c r="O8984" s="10" t="n"/>
    </row>
    <row r="8985">
      <c r="B8985" s="7" t="n">
        <v>8983</v>
      </c>
      <c r="C8985" t="inlineStr">
        <is>
          <t>Chief Accountant (F&amp;b/restaurant/nightlife)</t>
        </is>
      </c>
      <c r="D8985" t="inlineStr">
        <is>
          <t>Công ty Quản Lý Tập Đoàn HYLO</t>
        </is>
      </c>
      <c r="E8985" t="inlineStr">
        <is>
          <t>$$ 2,000-3,000 /tháng</t>
        </is>
      </c>
      <c r="F8985" t="inlineStr">
        <is>
          <t>Hồ Chí Minh</t>
        </is>
      </c>
      <c r="G8985" t="inlineStr">
        <is>
          <t>Trưởng phòng</t>
        </is>
      </c>
      <c r="H8985" t="inlineStr">
        <is>
          <t>09/03/2026</t>
        </is>
      </c>
      <c r="I8985" t="inlineStr">
        <is>
          <t>08/04/2026</t>
        </is>
      </c>
      <c r="J8985" t="inlineStr">
        <is>
          <t>17/03/2026</t>
        </is>
      </c>
      <c r="K8985" t="inlineStr">
        <is>
          <t>N/A</t>
        </is>
      </c>
      <c r="L8985" t="inlineStr">
        <is>
          <t>Kế Toán Doanh Nghiệp, Kế Toán Tổng Hợp, Tối Ưu Chi Phí, Quản Trị Chi Phí, Quản Lý</t>
        </is>
      </c>
      <c r="M8985" t="inlineStr">
        <is>
          <t>Bonus, Paid Leave, Vouchers</t>
        </is>
      </c>
      <c r="N8985" s="8">
        <f>HYPERLINK("https://www.vietnamworks.com/chief-accountant-f-b-restaurant-nightlife-2020658-jv","Xem chi tiết")</f>
        <v/>
      </c>
    </row>
    <row r="8986">
      <c r="B8986" s="9" t="n">
        <v>8984</v>
      </c>
      <c r="C8986" s="10" t="inlineStr">
        <is>
          <t>Kỹ Sư Xây Dựng - Không Yêu Cầu Kinh Nghiệm</t>
        </is>
      </c>
      <c r="D8986" s="10" t="inlineStr">
        <is>
          <t>CÔNG TY TNHH XD-TM CÔNG NGHIỆP HOÀN CẦU</t>
        </is>
      </c>
      <c r="E8986" s="10" t="inlineStr">
        <is>
          <t>Thương lượng</t>
        </is>
      </c>
      <c r="F8986" s="10" t="inlineStr">
        <is>
          <t>Hồ Chí Minh</t>
        </is>
      </c>
      <c r="G8986" s="10" t="inlineStr">
        <is>
          <t>Mới Tốt Nghiệp</t>
        </is>
      </c>
      <c r="H8986" s="10" t="inlineStr">
        <is>
          <t>09/03/2026</t>
        </is>
      </c>
      <c r="I8986" s="10" t="inlineStr">
        <is>
          <t>08/04/2026</t>
        </is>
      </c>
      <c r="J8986" s="10" t="inlineStr">
        <is>
          <t>17/03/2026</t>
        </is>
      </c>
      <c r="K8986" s="10" t="inlineStr">
        <is>
          <t>N/A</t>
        </is>
      </c>
      <c r="L8986" s="10" t="inlineStr">
        <is>
          <t>Xây Dựng, Civil, Construction, Triển khai thi công</t>
        </is>
      </c>
      <c r="M8986" s="10" t="inlineStr">
        <is>
          <t>Healthcare Plan, Others</t>
        </is>
      </c>
      <c r="N8986" s="11">
        <f>HYPERLINK("https://www.vietnamworks.com/ky-su-xay-dung-khong-yeu-cau-kinh-nghiem--2020657-jv","Xem chi tiết")</f>
        <v/>
      </c>
      <c r="O8986" s="10" t="n"/>
    </row>
    <row r="8987">
      <c r="B8987" s="7" t="n">
        <v>8985</v>
      </c>
      <c r="C8987" t="inlineStr">
        <is>
          <t>Lễ Tân Chăm Sóc Khách Hàng (8 - 10 Triệu)</t>
        </is>
      </c>
      <c r="D8987" t="inlineStr">
        <is>
          <t>Công ty TNHH Line Pilates</t>
        </is>
      </c>
      <c r="E8987" t="inlineStr">
        <is>
          <t>400-500 ₫/tháng</t>
        </is>
      </c>
      <c r="F8987" t="inlineStr">
        <is>
          <t>Hồ Chí Minh</t>
        </is>
      </c>
      <c r="G8987" t="inlineStr">
        <is>
          <t>Nhân viên</t>
        </is>
      </c>
      <c r="H8987" t="inlineStr">
        <is>
          <t>09/03/2026</t>
        </is>
      </c>
      <c r="I8987" t="inlineStr">
        <is>
          <t>08/04/2026</t>
        </is>
      </c>
      <c r="J8987" t="inlineStr">
        <is>
          <t>17/03/2026</t>
        </is>
      </c>
      <c r="K8987" t="inlineStr">
        <is>
          <t>N/A</t>
        </is>
      </c>
      <c r="L8987" t="inlineStr">
        <is>
          <t>Lễ Tân, Chăm Sóc Khách Hàng, Tiếng Anh, Tin Học Văn Phòng, Tư Vấn Khách Hàng</t>
        </is>
      </c>
      <c r="M8987" t="inlineStr">
        <is>
          <t>Healthcare Plan, Team Activities, Others</t>
        </is>
      </c>
      <c r="N8987" s="8">
        <f>HYPERLINK("https://www.vietnamworks.com/le-tan-cham-soc-khach-hang-8-10-trieu-2020640-jv","Xem chi tiết")</f>
        <v/>
      </c>
    </row>
    <row r="8988">
      <c r="B8988" s="9" t="n">
        <v>8986</v>
      </c>
      <c r="C8988" s="10" t="inlineStr">
        <is>
          <t>Kế Toán Quản Trị</t>
        </is>
      </c>
      <c r="D8988" s="10" t="inlineStr">
        <is>
          <t>Công Ty Cổ phẩn MASAN MEATLife</t>
        </is>
      </c>
      <c r="E8988" s="10" t="inlineStr">
        <is>
          <t>Thương lượng</t>
        </is>
      </c>
      <c r="F8988" s="10" t="inlineStr">
        <is>
          <t>Hồ Chí Minh</t>
        </is>
      </c>
      <c r="G8988" s="10" t="inlineStr">
        <is>
          <t>Nhân viên</t>
        </is>
      </c>
      <c r="H8988" s="10" t="inlineStr">
        <is>
          <t>09/03/2026</t>
        </is>
      </c>
      <c r="I8988" s="10" t="inlineStr">
        <is>
          <t>08/04/2026</t>
        </is>
      </c>
      <c r="J8988" s="10" t="inlineStr">
        <is>
          <t>17/03/2026</t>
        </is>
      </c>
      <c r="K8988" s="10" t="inlineStr">
        <is>
          <t>N/A</t>
        </is>
      </c>
      <c r="L8988" s="10" t="inlineStr">
        <is>
          <t>Management Accounting, Kế toán Quản trị, Finance Business Partnering, Phân Tích Tài Chính, Finance Management</t>
        </is>
      </c>
      <c r="M8988" s="10" t="inlineStr">
        <is>
          <t>Bonus, Healthcare Plan, Training</t>
        </is>
      </c>
      <c r="N8988" s="11">
        <f>HYPERLINK("https://www.vietnamworks.com/ke-toan-quan-tri--2020651-jv","Xem chi tiết")</f>
        <v/>
      </c>
      <c r="O8988" s="10" t="n"/>
    </row>
    <row r="8989">
      <c r="B8989" s="7" t="n">
        <v>8987</v>
      </c>
      <c r="C8989" t="inlineStr">
        <is>
          <t>Kỹ Sư Giám Sát Xây Dựng Tại Hà Nội ( Thu Nhập ~ 20Tr)</t>
        </is>
      </c>
      <c r="D8989" t="inlineStr">
        <is>
          <t>Công ty CP Tư vấn và Dịch vụ Viettel</t>
        </is>
      </c>
      <c r="E8989" t="inlineStr">
        <is>
          <t>Từ 15tr ₫/tháng</t>
        </is>
      </c>
      <c r="F8989" t="inlineStr">
        <is>
          <t>Hà Nội</t>
        </is>
      </c>
      <c r="G8989" t="inlineStr">
        <is>
          <t>Mới Tốt Nghiệp</t>
        </is>
      </c>
      <c r="H8989" t="inlineStr">
        <is>
          <t>09/03/2026</t>
        </is>
      </c>
      <c r="I8989" t="inlineStr">
        <is>
          <t>08/04/2026</t>
        </is>
      </c>
      <c r="J8989" t="inlineStr">
        <is>
          <t>17/03/2026</t>
        </is>
      </c>
      <c r="K8989" t="inlineStr">
        <is>
          <t>N/A</t>
        </is>
      </c>
      <c r="L8989" t="inlineStr">
        <is>
          <t>Auto CAD, Xây Dựng Dân Dụng, Hạ Tầng Viễn Thông, Giám Sát Thi Công, Viễn Thông</t>
        </is>
      </c>
      <c r="M8989" t="inlineStr">
        <is>
          <t>Bonus, Healthcare Plan, Others</t>
        </is>
      </c>
      <c r="N8989" s="8">
        <f>HYPERLINK("https://www.vietnamworks.com/ky-su-giam-sat-xay-dung-tai-ha-noi-thu-nhap-20tr-2020643-jv","Xem chi tiết")</f>
        <v/>
      </c>
    </row>
    <row r="8990">
      <c r="B8990" s="9" t="n">
        <v>8988</v>
      </c>
      <c r="C8990" s="10" t="inlineStr">
        <is>
          <t>Chuyên Viên Đối Ngoại và Điều Phối Dự Án (Thông thạo Tiếng Trung)</t>
        </is>
      </c>
      <c r="D8990" s="10" t="inlineStr">
        <is>
          <t>SUNWAH Vietnam</t>
        </is>
      </c>
      <c r="E8990" s="10" t="inlineStr">
        <is>
          <t>Thương lượng</t>
        </is>
      </c>
      <c r="F8990" s="10" t="inlineStr">
        <is>
          <t>Hồ Chí Minh</t>
        </is>
      </c>
      <c r="G8990" s="10" t="inlineStr">
        <is>
          <t>Nhân viên</t>
        </is>
      </c>
      <c r="H8990" s="10" t="inlineStr">
        <is>
          <t>09/03/2026</t>
        </is>
      </c>
      <c r="I8990" s="10" t="inlineStr">
        <is>
          <t>08/04/2026</t>
        </is>
      </c>
      <c r="J8990" s="10" t="inlineStr">
        <is>
          <t>17/03/2026</t>
        </is>
      </c>
      <c r="K8990" s="10" t="inlineStr">
        <is>
          <t>N/A</t>
        </is>
      </c>
      <c r="L8990" s="10" t="inlineStr">
        <is>
          <t>Điều Phối Dự Án, Quan Hệ Đối Ngoại, Tổ Chức Sự Kiện, Biên Phiên Dịch Trung, Phát Triển Kinh Doanh</t>
        </is>
      </c>
      <c r="M8990" s="10" t="inlineStr">
        <is>
          <t>Bonus, Healthcare Plan, Training</t>
        </is>
      </c>
      <c r="N8990" s="11">
        <f>HYPERLINK("https://www.vietnamworks.com/chuyen-vien-doi-ngoai-va-dieu-phoi-du-an-thong-thao-tieng-trung-2020654-jv","Xem chi tiết")</f>
        <v/>
      </c>
      <c r="O8990" s="10" t="n"/>
    </row>
    <row r="8991">
      <c r="B8991" s="7" t="n">
        <v>8989</v>
      </c>
      <c r="C8991" t="inlineStr">
        <is>
          <t>Risk Governance Senior Expert (Airport Project)</t>
        </is>
      </c>
      <c r="D8991" t="inlineStr">
        <is>
          <t>Công Ty Cổ Phần Tập Đoàn Masterise</t>
        </is>
      </c>
      <c r="E8991" t="inlineStr">
        <is>
          <t>Thương lượng</t>
        </is>
      </c>
      <c r="F8991" t="inlineStr">
        <is>
          <t>Hà Nội</t>
        </is>
      </c>
      <c r="G8991" t="inlineStr">
        <is>
          <t>Nhân viên</t>
        </is>
      </c>
      <c r="H8991" t="inlineStr">
        <is>
          <t>09/03/2026</t>
        </is>
      </c>
      <c r="I8991" t="inlineStr">
        <is>
          <t>08/04/2026</t>
        </is>
      </c>
      <c r="J8991" t="inlineStr">
        <is>
          <t>17/03/2026</t>
        </is>
      </c>
      <c r="K8991" t="inlineStr">
        <is>
          <t>N/A</t>
        </is>
      </c>
      <c r="L8991" t="inlineStr">
        <is>
          <t>Risk Compliance, Stakeholder Coordination, Managemment Reporting, Analytical Thinking, Communication &amp; Facilitation</t>
        </is>
      </c>
      <c r="M8991" t="inlineStr">
        <is>
          <t>Bonus, Healthcare Plan, Laptop</t>
        </is>
      </c>
      <c r="N8991" s="8">
        <f>HYPERLINK("https://www.vietnamworks.com/risk-governance-senior-expert-airport-project-2020649-jv","Xem chi tiết")</f>
        <v/>
      </c>
    </row>
    <row r="8992">
      <c r="B8992" s="9" t="n">
        <v>8990</v>
      </c>
      <c r="C8992" s="10" t="inlineStr">
        <is>
          <t>Nhân Viên Phân Tích - BA</t>
        </is>
      </c>
      <c r="D8992" s="10" t="inlineStr">
        <is>
          <t>Công Ty TNHH Thiết Bị Minh Tâm (Mitalab Co., Ltd)</t>
        </is>
      </c>
      <c r="E8992" s="10" t="inlineStr">
        <is>
          <t>Thương lượng</t>
        </is>
      </c>
      <c r="F8992" s="10" t="inlineStr">
        <is>
          <t>Hồ Chí Minh</t>
        </is>
      </c>
      <c r="G8992" s="10" t="inlineStr">
        <is>
          <t>Nhân viên</t>
        </is>
      </c>
      <c r="H8992" s="10" t="inlineStr">
        <is>
          <t>09/03/2026</t>
        </is>
      </c>
      <c r="I8992" s="10" t="inlineStr">
        <is>
          <t>08/04/2026</t>
        </is>
      </c>
      <c r="J8992" s="10" t="inlineStr">
        <is>
          <t>17/03/2026</t>
        </is>
      </c>
      <c r="K8992" s="10" t="inlineStr">
        <is>
          <t>N/A</t>
        </is>
      </c>
      <c r="L8992" s="10" t="inlineStr">
        <is>
          <t>Data Analysis, Business Analysis, Phân Tích Nghiệp Vụ, Y Tế</t>
        </is>
      </c>
      <c r="M8992" s="10" t="inlineStr">
        <is>
          <t>Bonus, Training, Travel Opportunities</t>
        </is>
      </c>
      <c r="N8992" s="11">
        <f>HYPERLINK("https://www.vietnamworks.com/nhan-vien-phan-tich-ba--2020650-jv","Xem chi tiết")</f>
        <v/>
      </c>
      <c r="O8992" s="10" t="n"/>
    </row>
    <row r="8993">
      <c r="B8993" s="7" t="n">
        <v>8991</v>
      </c>
      <c r="C8993" t="inlineStr">
        <is>
          <t>Thực Tập Sinh Tư Vấn Chứng Khoán (Hà Nội/ Hồ Chí Minh/ Hải Phòng/ Nha Trang)</t>
        </is>
      </c>
      <c r="D8993" t="inlineStr">
        <is>
          <t>Công Ty Cổ Phần Chứng Khoán SSI</t>
        </is>
      </c>
      <c r="E8993" t="inlineStr">
        <is>
          <t>Thương lượng</t>
        </is>
      </c>
      <c r="F8993" t="inlineStr">
        <is>
          <t>Hải Phòng, Hà Nội, Hồ Chí Minh</t>
        </is>
      </c>
      <c r="G8993" t="inlineStr">
        <is>
          <t>Thực tập sinh/Sinh viên</t>
        </is>
      </c>
      <c r="H8993" t="inlineStr">
        <is>
          <t>09/03/2026</t>
        </is>
      </c>
      <c r="I8993" t="inlineStr">
        <is>
          <t>08/04/2026</t>
        </is>
      </c>
      <c r="J8993" t="inlineStr">
        <is>
          <t>17/03/2026</t>
        </is>
      </c>
      <c r="K8993" t="inlineStr">
        <is>
          <t>N/A</t>
        </is>
      </c>
      <c r="L8993" t="inlineStr">
        <is>
          <t>Môi Giới Chứng Khoán, Đầu Tư Chứng Khoán, Chứng Khoán Đầu Tư, Tài Chính Đầu Tư, Đầu Tư Tài Chính</t>
        </is>
      </c>
      <c r="M8993" t="inlineStr">
        <is>
          <t>Bonus, Training, Others</t>
        </is>
      </c>
      <c r="N8993" s="8">
        <f>HYPERLINK("https://www.vietnamworks.com/thuc-tap-sinh-tu-van-chung-khoan-ha-noi-ho-chi-minh-hai-phong-nha-trang--2020645-jv","Xem chi tiết")</f>
        <v/>
      </c>
    </row>
    <row r="8994">
      <c r="B8994" s="9" t="n">
        <v>8992</v>
      </c>
      <c r="C8994" s="10" t="inlineStr">
        <is>
          <t>Chuyên Viên Tư Vấn Chứng Khoán (Không Yêu Cầu Kinh Nghiệm)</t>
        </is>
      </c>
      <c r="D8994" s="10" t="inlineStr">
        <is>
          <t>Công Ty Cổ Phần Chứng Khoán SSI</t>
        </is>
      </c>
      <c r="E8994" s="10" t="inlineStr">
        <is>
          <t>Thương lượng</t>
        </is>
      </c>
      <c r="F8994" s="10" t="inlineStr">
        <is>
          <t>Hà Nội, Hải Phòng, Hồ Chí Minh</t>
        </is>
      </c>
      <c r="G8994" s="10" t="inlineStr">
        <is>
          <t>Mới Tốt Nghiệp</t>
        </is>
      </c>
      <c r="H8994" s="10" t="inlineStr">
        <is>
          <t>09/03/2026</t>
        </is>
      </c>
      <c r="I8994" s="10" t="inlineStr">
        <is>
          <t>08/04/2026</t>
        </is>
      </c>
      <c r="J8994" s="10" t="inlineStr">
        <is>
          <t>17/03/2026</t>
        </is>
      </c>
      <c r="K8994" s="10" t="inlineStr">
        <is>
          <t>N/A</t>
        </is>
      </c>
      <c r="L8994" s="10" t="inlineStr">
        <is>
          <t>Brokerage, Môi Giới Chứng Khoán, Tư Vấn Đầu Tư, Chứng Khoán, Tư Vấn Chứng Khoán</t>
        </is>
      </c>
      <c r="M8994" s="10" t="inlineStr">
        <is>
          <t>Bonus, Training, Others</t>
        </is>
      </c>
      <c r="N8994" s="11">
        <f>HYPERLINK("https://www.vietnamworks.com/chuyen-vien-tu-van-chung-khoan-khong-yeu-cau-kinh-nghiem--2020652-jv","Xem chi tiết")</f>
        <v/>
      </c>
      <c r="O8994" s="10" t="n"/>
    </row>
    <row r="8995">
      <c r="B8995" s="7" t="n">
        <v>8993</v>
      </c>
      <c r="C8995" t="inlineStr">
        <is>
          <t>Kiểm Soát Nội Bộ</t>
        </is>
      </c>
      <c r="D8995" t="inlineStr">
        <is>
          <t>Công Ty CP XNK Hóa Chất &amp; Thiết Bị Kim Ngưu</t>
        </is>
      </c>
      <c r="E8995" t="inlineStr">
        <is>
          <t>17tr-25tr ₫/tháng</t>
        </is>
      </c>
      <c r="F8995" t="inlineStr">
        <is>
          <t>Hà Nội</t>
        </is>
      </c>
      <c r="G8995" t="inlineStr">
        <is>
          <t>Nhân viên</t>
        </is>
      </c>
      <c r="H8995" t="inlineStr">
        <is>
          <t>09/03/2026</t>
        </is>
      </c>
      <c r="I8995" t="inlineStr">
        <is>
          <t>08/04/2026</t>
        </is>
      </c>
      <c r="J8995" t="inlineStr">
        <is>
          <t>17/03/2026</t>
        </is>
      </c>
      <c r="K8995" t="inlineStr">
        <is>
          <t>N/A</t>
        </is>
      </c>
      <c r="L8995" t="inlineStr">
        <is>
          <t>kiểm soát, Kiểm Soát Kiểm Toán, Kiểm Soát Nội Bộ, Kiểm Soát Tuân Thủ, Kiểm toán</t>
        </is>
      </c>
      <c r="M8995" t="inlineStr">
        <is>
          <t>Bonus, Healthcare Plan, Paid Leave, Transportation, Canteen, Others</t>
        </is>
      </c>
      <c r="N8995" s="8">
        <f>HYPERLINK("https://www.vietnamworks.com/kiem-soat-noi-bo-2020644-jv","Xem chi tiết")</f>
        <v/>
      </c>
    </row>
    <row r="8996">
      <c r="B8996" s="9" t="n">
        <v>8994</v>
      </c>
      <c r="C8996" s="10" t="inlineStr">
        <is>
          <t>Chuyên Viên Bộ Phận Mua Sắm &amp; Cung Ứng Vật Tư Phòng Kế Hoạch Vật Tư</t>
        </is>
      </c>
      <c r="D8996" s="10" t="inlineStr">
        <is>
          <t>Công Ty TNHH Phát Triển Kỹ Thuật Công Nghệ FRA</t>
        </is>
      </c>
      <c r="E8996" s="10" t="inlineStr">
        <is>
          <t>Thương lượng</t>
        </is>
      </c>
      <c r="F8996" s="10" t="inlineStr">
        <is>
          <t>Hà Nội</t>
        </is>
      </c>
      <c r="G8996" s="10" t="inlineStr">
        <is>
          <t>Nhân viên</t>
        </is>
      </c>
      <c r="H8996" s="10" t="inlineStr">
        <is>
          <t>09/03/2026</t>
        </is>
      </c>
      <c r="I8996" s="10" t="inlineStr">
        <is>
          <t>08/04/2026</t>
        </is>
      </c>
      <c r="J8996" s="10" t="inlineStr">
        <is>
          <t>17/03/2026</t>
        </is>
      </c>
      <c r="K8996" s="10" t="inlineStr">
        <is>
          <t>N/A</t>
        </is>
      </c>
      <c r="L8996" s="10" t="inlineStr">
        <is>
          <t>Tìm Kiếm Nhà Cung Cấp, Đàm Phán Giá, Giao Nhận Vật Tư, Kiểm Soát Chất Lượng, Tiếng Anh</t>
        </is>
      </c>
      <c r="M8996" s="10" t="inlineStr">
        <is>
          <t>Bonus, Training, Travel Opportunities</t>
        </is>
      </c>
      <c r="N8996" s="11">
        <f>HYPERLINK("https://www.vietnamworks.com/chuyen-vien-bo-phan-mua-sam-cung-ung-vat-tu-phong-ke-hoach-vat-tu--2020646-jv","Xem chi tiết")</f>
        <v/>
      </c>
      <c r="O8996" s="10" t="n"/>
    </row>
    <row r="8997">
      <c r="B8997" s="7" t="n">
        <v>8995</v>
      </c>
      <c r="C8997" t="inlineStr">
        <is>
          <t>Relationship Manager – Bond Sales</t>
        </is>
      </c>
      <c r="D8997" t="inlineStr">
        <is>
          <t>Công Ty Cổ Phần Chứng Khoán KIS Việt Nam</t>
        </is>
      </c>
      <c r="E8997" t="inlineStr">
        <is>
          <t>Thương lượng</t>
        </is>
      </c>
      <c r="F8997" t="inlineStr">
        <is>
          <t>Hồ Chí Minh</t>
        </is>
      </c>
      <c r="G8997" t="inlineStr">
        <is>
          <t>Trưởng phòng</t>
        </is>
      </c>
      <c r="H8997" t="inlineStr">
        <is>
          <t>09/03/2026</t>
        </is>
      </c>
      <c r="I8997" t="inlineStr">
        <is>
          <t>08/04/2026</t>
        </is>
      </c>
      <c r="J8997" t="inlineStr">
        <is>
          <t>17/03/2026</t>
        </is>
      </c>
      <c r="K8997" t="inlineStr">
        <is>
          <t>N/A</t>
        </is>
      </c>
      <c r="L8997" t="inlineStr">
        <is>
          <t>Investment, Relationship Management, Investment Banking, Securities, CPA</t>
        </is>
      </c>
      <c r="M8997" t="inlineStr">
        <is>
          <t>Bonus, Healthcare Plan, Paid Leave, Training, Others</t>
        </is>
      </c>
      <c r="N8997" s="8">
        <f>HYPERLINK("https://www.vietnamworks.com/relationship-manager-bond-sales-2020648-jv","Xem chi tiết")</f>
        <v/>
      </c>
    </row>
    <row r="8998">
      <c r="B8998" s="9" t="n">
        <v>8996</v>
      </c>
      <c r="C8998" s="10" t="inlineStr">
        <is>
          <t>[Hot Job] Kế Toán Trưởng</t>
        </is>
      </c>
      <c r="D8998" s="10" t="inlineStr">
        <is>
          <t>Oristar Corporation - Công Ty Cổ Phần Oristar</t>
        </is>
      </c>
      <c r="E8998" s="10" t="inlineStr">
        <is>
          <t>Thương lượng</t>
        </is>
      </c>
      <c r="F8998" s="10" t="inlineStr">
        <is>
          <t>Hà Nội</t>
        </is>
      </c>
      <c r="G8998" s="10" t="inlineStr">
        <is>
          <t>Trưởng phòng</t>
        </is>
      </c>
      <c r="H8998" s="10" t="inlineStr">
        <is>
          <t>09/03/2026</t>
        </is>
      </c>
      <c r="I8998" s="10" t="inlineStr">
        <is>
          <t>08/04/2026</t>
        </is>
      </c>
      <c r="J8998" s="10" t="inlineStr">
        <is>
          <t>17/03/2026</t>
        </is>
      </c>
      <c r="K8998" s="10" t="inlineStr">
        <is>
          <t>N/A</t>
        </is>
      </c>
      <c r="L8998" s="10" t="inlineStr">
        <is>
          <t>ERP, Kế Toán, Kế Toán Trưởng, Kiểm toán, Tài Chính</t>
        </is>
      </c>
      <c r="M8998" s="10" t="inlineStr">
        <is>
          <t>Bonus, Healthcare Plan, Team Activities</t>
        </is>
      </c>
      <c r="N8998" s="11">
        <f>HYPERLINK("https://www.vietnamworks.com/hot-job-ke-toan-truong--2020647-jv","Xem chi tiết")</f>
        <v/>
      </c>
      <c r="O8998" s="10" t="n"/>
    </row>
    <row r="8999">
      <c r="B8999" s="7" t="n">
        <v>8997</v>
      </c>
      <c r="C8999" t="inlineStr">
        <is>
          <t>Giám Đốc Cao Cấp Quan Hệ Khách Hàng - Trung Tâm FDI – Id674</t>
        </is>
      </c>
      <c r="D8999" t="inlineStr">
        <is>
          <t>VPBank - Https://tuyendung.vpbank.com.vn/</t>
        </is>
      </c>
      <c r="E8999" t="inlineStr">
        <is>
          <t>Thương lượng</t>
        </is>
      </c>
      <c r="F8999" t="inlineStr">
        <is>
          <t>Hà Nội, Hồ Chí Minh</t>
        </is>
      </c>
      <c r="G8999" t="inlineStr">
        <is>
          <t>Nhân viên</t>
        </is>
      </c>
      <c r="H8999" t="inlineStr">
        <is>
          <t>09/03/2026</t>
        </is>
      </c>
      <c r="I8999" t="inlineStr">
        <is>
          <t>08/04/2026</t>
        </is>
      </c>
      <c r="J8999" t="inlineStr">
        <is>
          <t>17/03/2026</t>
        </is>
      </c>
      <c r="K8999" t="inlineStr">
        <is>
          <t>N/A</t>
        </is>
      </c>
      <c r="L8999" t="inlineStr">
        <is>
          <t>Giải Trình Ngân Hàng, Phát Triển Sản Phẩm, Quản Lý Rủi Ro Tín Dụng, Kiến thức thị trường, Giao Tiếp</t>
        </is>
      </c>
      <c r="M8999" t="inlineStr">
        <is>
          <t>Bonus, Healthcare Plan, Paid Leave, Training, Team Activities, Others</t>
        </is>
      </c>
      <c r="N8999" s="8">
        <f>HYPERLINK("https://www.vietnamworks.com/giam-djoc-cao-cap-quan-he-khach-hang-trung-tam-fdi-id674-2020656-jv","Xem chi tiết")</f>
        <v/>
      </c>
    </row>
    <row r="9000">
      <c r="B9000" s="9" t="n">
        <v>8998</v>
      </c>
      <c r="C9000" s="10" t="inlineStr">
        <is>
          <t>IT Security Engineer – Cybersecurity &amp; Networks</t>
        </is>
      </c>
      <c r="D9000" s="10" t="inlineStr">
        <is>
          <t>Công Ty Cổ Phần Chứng Khoán KIS Việt Nam</t>
        </is>
      </c>
      <c r="E9000" s="10" t="inlineStr">
        <is>
          <t>Thương lượng</t>
        </is>
      </c>
      <c r="F9000" s="10" t="inlineStr">
        <is>
          <t>Hồ Chí Minh</t>
        </is>
      </c>
      <c r="G9000" s="10" t="inlineStr">
        <is>
          <t>Nhân viên</t>
        </is>
      </c>
      <c r="H9000" s="10" t="inlineStr">
        <is>
          <t>09/03/2026</t>
        </is>
      </c>
      <c r="I9000" s="10" t="inlineStr">
        <is>
          <t>08/04/2026</t>
        </is>
      </c>
      <c r="J9000" s="10" t="inlineStr">
        <is>
          <t>17/03/2026</t>
        </is>
      </c>
      <c r="K9000" s="10" t="inlineStr">
        <is>
          <t>N/A</t>
        </is>
      </c>
      <c r="L9000" s="10" t="inlineStr">
        <is>
          <t>IT Security, Security, Security Administration, Security Firewall, Security Test</t>
        </is>
      </c>
      <c r="M9000" s="10" t="inlineStr">
        <is>
          <t>Bonus, Healthcare Plan, Paid Leave, Training, Others</t>
        </is>
      </c>
      <c r="N9000" s="11">
        <f>HYPERLINK("https://www.vietnamworks.com/it-security-engineer-cybersecurity-and-networks-2020655-jv","Xem chi tiết")</f>
        <v/>
      </c>
      <c r="O9000" s="10" t="n"/>
    </row>
    <row r="9001">
      <c r="B9001" s="7" t="n">
        <v>8999</v>
      </c>
      <c r="C9001" t="inlineStr">
        <is>
          <t>Kĩ Sư Kết Cấu</t>
        </is>
      </c>
      <c r="D9001" t="inlineStr">
        <is>
          <t>Công ty Cổ Phần đầu tư VIC Việt Nam</t>
        </is>
      </c>
      <c r="E9001" t="inlineStr">
        <is>
          <t>12tr-16tr ₫/tháng</t>
        </is>
      </c>
      <c r="F9001" t="inlineStr">
        <is>
          <t>Hà Nội</t>
        </is>
      </c>
      <c r="G9001" t="inlineStr">
        <is>
          <t>Nhân viên</t>
        </is>
      </c>
      <c r="H9001" t="inlineStr">
        <is>
          <t>09/03/2026</t>
        </is>
      </c>
      <c r="I9001" t="inlineStr">
        <is>
          <t>08/04/2026</t>
        </is>
      </c>
      <c r="J9001" t="inlineStr">
        <is>
          <t>17/03/2026</t>
        </is>
      </c>
      <c r="K9001" t="inlineStr">
        <is>
          <t>N/A</t>
        </is>
      </c>
      <c r="L9001" t="inlineStr">
        <is>
          <t>Giám Sát, Giao Tiếp, Phần Mềm Thiết Kế 3D, Thí Nghiệm Mẫu Bê Tông, Thiết Kế Kết Cấu</t>
        </is>
      </c>
      <c r="M9001" t="inlineStr">
        <is>
          <t>Bonus, Healthcare Plan, Paid Leave, Training, Laptop, Team Activities, Others</t>
        </is>
      </c>
      <c r="N9001" s="8">
        <f>HYPERLINK("https://www.vietnamworks.com/ki-su-ket-cau-2020660-jv","Xem chi tiết")</f>
        <v/>
      </c>
    </row>
    <row r="9002">
      <c r="B9002" s="9" t="n">
        <v>9000</v>
      </c>
      <c r="C9002" s="10" t="inlineStr">
        <is>
          <t>Nhân Viên Hành Chính (Tiếng Nhật)</t>
        </is>
      </c>
      <c r="D9002" s="10" t="inlineStr">
        <is>
          <t>Công Ty TNHH Sumitomo Heavy Industries (Việt Nam)</t>
        </is>
      </c>
      <c r="E9002" s="10" t="inlineStr">
        <is>
          <t>$$ 400-750 /tháng</t>
        </is>
      </c>
      <c r="F9002" s="10" t="inlineStr">
        <is>
          <t>Hà Nội</t>
        </is>
      </c>
      <c r="G9002" s="10" t="inlineStr">
        <is>
          <t>Nhân viên</t>
        </is>
      </c>
      <c r="H9002" s="10" t="inlineStr">
        <is>
          <t>09/03/2026</t>
        </is>
      </c>
      <c r="I9002" s="10" t="inlineStr">
        <is>
          <t>08/04/2026</t>
        </is>
      </c>
      <c r="J9002" s="10" t="inlineStr">
        <is>
          <t>17/03/2026</t>
        </is>
      </c>
      <c r="K9002" s="10" t="inlineStr">
        <is>
          <t>N/A</t>
        </is>
      </c>
      <c r="L9002" s="10" t="inlineStr">
        <is>
          <t>Hành Chính Nhân Sự, Hành Chính Phiên Dịch, Hành Chính Tổng Hợp, Tiếng Nhật N2, Tiếng Nhật Thành thạo</t>
        </is>
      </c>
      <c r="M9002" s="10" t="inlineStr">
        <is>
          <t>Bonus, Healthcare Plan, Training, Travel Opportunities, Transportation</t>
        </is>
      </c>
      <c r="N9002" s="11">
        <f>HYPERLINK("https://www.vietnamworks.com/nhan-vien-hanh-chinh-tieng-nhat-2020661-jv","Xem chi tiết")</f>
        <v/>
      </c>
      <c r="O9002" s="10" t="n"/>
    </row>
    <row r="9003">
      <c r="B9003" s="7" t="n">
        <v>9001</v>
      </c>
      <c r="C9003" t="inlineStr">
        <is>
          <t>Chuyên Viên Kỹ Thuật Bào Chế R&amp;D / R&amp;D Formulator</t>
        </is>
      </c>
      <c r="D9003" t="inlineStr">
        <is>
          <t>Công Ty Cổ Phần Dược Danapha</t>
        </is>
      </c>
      <c r="E9003" t="inlineStr">
        <is>
          <t>$$ 700-1,000 /tháng</t>
        </is>
      </c>
      <c r="F9003" t="inlineStr">
        <is>
          <t>Đà Nẵng</t>
        </is>
      </c>
      <c r="G9003" t="inlineStr">
        <is>
          <t>Nhân viên</t>
        </is>
      </c>
      <c r="H9003" t="inlineStr">
        <is>
          <t>09/03/2026</t>
        </is>
      </c>
      <c r="I9003" t="inlineStr">
        <is>
          <t>08/04/2026</t>
        </is>
      </c>
      <c r="J9003" t="inlineStr">
        <is>
          <t>17/03/2026</t>
        </is>
      </c>
      <c r="K9003" t="inlineStr">
        <is>
          <t>N/A</t>
        </is>
      </c>
      <c r="L9003" t="inlineStr">
        <is>
          <t>Chuyên Môn Dược, Dược, Điều Chế Dược, Nghiên Cứu Phát Triển, Bào Chế Tân Dược</t>
        </is>
      </c>
      <c r="M9003" t="inlineStr">
        <is>
          <t>Bonus, Healthcare Plan, Paid Leave</t>
        </is>
      </c>
      <c r="N9003" s="8">
        <f>HYPERLINK("https://www.vietnamworks.com/chuyen-vien-ky-thuat-bao-che-r-d-r-d-formulator--2020667-jv","Xem chi tiết")</f>
        <v/>
      </c>
    </row>
    <row r="9004">
      <c r="B9004" s="9" t="n">
        <v>9002</v>
      </c>
      <c r="C9004" s="10" t="inlineStr">
        <is>
          <t>[Hai Phong] Project Executive</t>
        </is>
      </c>
      <c r="D9004" s="10" t="inlineStr">
        <is>
          <t>CapitaLand Development (Vietnam)</t>
        </is>
      </c>
      <c r="E9004" s="10" t="inlineStr">
        <is>
          <t>Thương lượng</t>
        </is>
      </c>
      <c r="F9004" s="10" t="inlineStr">
        <is>
          <t>Hải Phòng</t>
        </is>
      </c>
      <c r="G9004" s="10" t="inlineStr">
        <is>
          <t>Nhân viên</t>
        </is>
      </c>
      <c r="H9004" s="10" t="inlineStr">
        <is>
          <t>09/03/2026</t>
        </is>
      </c>
      <c r="I9004" s="10" t="inlineStr">
        <is>
          <t>08/04/2026</t>
        </is>
      </c>
      <c r="J9004" s="10" t="inlineStr">
        <is>
          <t>17/03/2026</t>
        </is>
      </c>
      <c r="K9004" s="10" t="inlineStr">
        <is>
          <t>N/A</t>
        </is>
      </c>
      <c r="L9004" s="10" t="inlineStr">
        <is>
          <t>Interpersonal Communication, Project Management, Construction Project, Planning And Organising Skills</t>
        </is>
      </c>
      <c r="M9004" s="10" t="inlineStr">
        <is>
          <t>Others</t>
        </is>
      </c>
      <c r="N9004" s="11">
        <f>HYPERLINK("https://www.vietnamworks.com/hai-phong-project-executive-2020664-jv","Xem chi tiết")</f>
        <v/>
      </c>
      <c r="O9004" s="10" t="n"/>
    </row>
    <row r="9005">
      <c r="B9005" s="7" t="n">
        <v>9003</v>
      </c>
      <c r="C9005" t="inlineStr">
        <is>
          <t>Nhân Viên QC (Ngành Gạo)</t>
        </is>
      </c>
      <c r="D9005" t="inlineStr">
        <is>
          <t>Olam Global Agri Việt Nam</t>
        </is>
      </c>
      <c r="E9005" t="inlineStr">
        <is>
          <t>8tr-12tr ₫/tháng</t>
        </is>
      </c>
      <c r="F9005" t="inlineStr">
        <is>
          <t>Tây Ninh, Hồ Chí Minh</t>
        </is>
      </c>
      <c r="G9005" t="inlineStr">
        <is>
          <t>Nhân viên</t>
        </is>
      </c>
      <c r="H9005" t="inlineStr">
        <is>
          <t>09/03/2026</t>
        </is>
      </c>
      <c r="I9005" t="inlineStr">
        <is>
          <t>08/04/2026</t>
        </is>
      </c>
      <c r="J9005" t="inlineStr">
        <is>
          <t>17/03/2026</t>
        </is>
      </c>
      <c r="K9005" t="inlineStr">
        <is>
          <t>N/A</t>
        </is>
      </c>
      <c r="L9005" t="inlineStr">
        <is>
          <t>Giao Tiếp, HACCP, ISO 22000, Kiểm Tra Chất Lượng, Phân Tích Chất Lượng</t>
        </is>
      </c>
      <c r="M9005" t="inlineStr">
        <is>
          <t>Others</t>
        </is>
      </c>
      <c r="N9005" s="8">
        <f>HYPERLINK("https://www.vietnamworks.com/nhan-vien-qc-nganh-gao-2020666-jv","Xem chi tiết")</f>
        <v/>
      </c>
    </row>
    <row r="9006">
      <c r="B9006" s="9" t="n">
        <v>9004</v>
      </c>
      <c r="C9006" s="10" t="inlineStr">
        <is>
          <t>Investment Manager</t>
        </is>
      </c>
      <c r="D9006" s="10" t="inlineStr">
        <is>
          <t>Công Ty TNHH Onpoint</t>
        </is>
      </c>
      <c r="E9006" s="10" t="inlineStr">
        <is>
          <t>Thương lượng</t>
        </is>
      </c>
      <c r="F9006" s="10" t="inlineStr">
        <is>
          <t>Hồ Chí Minh</t>
        </is>
      </c>
      <c r="G9006" s="10" t="inlineStr">
        <is>
          <t>Trưởng phòng</t>
        </is>
      </c>
      <c r="H9006" s="10" t="inlineStr">
        <is>
          <t>09/03/2026</t>
        </is>
      </c>
      <c r="I9006" s="10" t="inlineStr">
        <is>
          <t>08/04/2026</t>
        </is>
      </c>
      <c r="J9006" s="10" t="inlineStr">
        <is>
          <t>17/03/2026</t>
        </is>
      </c>
      <c r="K9006" s="10" t="inlineStr">
        <is>
          <t>N/A</t>
        </is>
      </c>
      <c r="L9006" s="10" t="inlineStr">
        <is>
          <t>Analytical Skills, Business Acumen, Corporate M&amp;A, Financial Modeling, Valuation</t>
        </is>
      </c>
      <c r="M9006" s="10" t="inlineStr">
        <is>
          <t>Bonus, Healthcare Plan, Paid Leave, Laptop, Mobile, Others</t>
        </is>
      </c>
      <c r="N9006" s="11">
        <f>HYPERLINK("https://www.vietnamworks.com/investment-manager-2020674-jv","Xem chi tiết")</f>
        <v/>
      </c>
      <c r="O9006" s="10" t="n"/>
    </row>
    <row r="9007">
      <c r="B9007" s="7" t="n">
        <v>9005</v>
      </c>
      <c r="C9007" t="inlineStr">
        <is>
          <t>Nhân Viên Kế Toán Nội Bộ</t>
        </is>
      </c>
      <c r="D9007" t="inlineStr">
        <is>
          <t>Công Ty TNHH AT Á Châu</t>
        </is>
      </c>
      <c r="E9007" t="inlineStr">
        <is>
          <t>Thương lượng</t>
        </is>
      </c>
      <c r="F9007" t="inlineStr">
        <is>
          <t>Hà Nội</t>
        </is>
      </c>
      <c r="G9007" t="inlineStr">
        <is>
          <t>Nhân viên</t>
        </is>
      </c>
      <c r="H9007" t="inlineStr">
        <is>
          <t>09/03/2026</t>
        </is>
      </c>
      <c r="I9007" t="inlineStr">
        <is>
          <t>08/04/2026</t>
        </is>
      </c>
      <c r="J9007" t="inlineStr">
        <is>
          <t>17/03/2026</t>
        </is>
      </c>
      <c r="K9007" t="inlineStr">
        <is>
          <t>N/A</t>
        </is>
      </c>
      <c r="L9007" t="inlineStr">
        <is>
          <t>Kế Toán Nội Bộ, Kế Toán Xuất Hóa Đơn, Thu Hồi Công Nợ, Hạch Toán, Lập Hồ Sơ Thanh Toán</t>
        </is>
      </c>
      <c r="M9007" t="inlineStr">
        <is>
          <t>Bonus, Healthcare Plan, Paid Leave, Travel Opportunities, Team Activities, Others</t>
        </is>
      </c>
      <c r="N9007" s="8">
        <f>HYPERLINK("https://www.vietnamworks.com/nhan-vien-ke-toan-noi-bo-2020671-jv","Xem chi tiết")</f>
        <v/>
      </c>
    </row>
    <row r="9008">
      <c r="B9008" s="9" t="n">
        <v>9006</v>
      </c>
      <c r="C9008" s="10" t="inlineStr">
        <is>
          <t>Trưởng Phòng Cao Cấp Báo Cáo &amp; Phân Tích Rủi Ro Tích Hợp – Id1288</t>
        </is>
      </c>
      <c r="D9008" s="10" t="inlineStr">
        <is>
          <t>VPBank - Https://tuyendung.vpbank.com.vn/</t>
        </is>
      </c>
      <c r="E9008" s="10" t="inlineStr">
        <is>
          <t>Thương lượng</t>
        </is>
      </c>
      <c r="F9008" s="10" t="inlineStr">
        <is>
          <t>Hà Nội</t>
        </is>
      </c>
      <c r="G9008" s="10" t="inlineStr">
        <is>
          <t>Nhân viên</t>
        </is>
      </c>
      <c r="H9008" s="10" t="inlineStr">
        <is>
          <t>09/03/2026</t>
        </is>
      </c>
      <c r="I9008" s="10" t="inlineStr">
        <is>
          <t>08/04/2026</t>
        </is>
      </c>
      <c r="J9008" s="10" t="inlineStr">
        <is>
          <t>17/03/2026</t>
        </is>
      </c>
      <c r="K9008" s="10" t="inlineStr">
        <is>
          <t>N/A</t>
        </is>
      </c>
      <c r="L9008" s="10" t="inlineStr">
        <is>
          <t>Quản Trị Rủi Ro, Phân tích dữ liệu, Giao Tiếp Tiếng Anh, Excel, Phân Tích Chiến Lược</t>
        </is>
      </c>
      <c r="M9008" s="10" t="inlineStr">
        <is>
          <t>Bonus, Healthcare Plan, Paid Leave, Training, Team Activities, Others</t>
        </is>
      </c>
      <c r="N9008" s="11">
        <f>HYPERLINK("https://www.vietnamworks.com/truong-phong-cao-cap-bao-cao-and-phan-tich-rui-ro-tich-hop-id1288-2020659-jv","Xem chi tiết")</f>
        <v/>
      </c>
      <c r="O9008" s="10" t="n"/>
    </row>
    <row r="9009">
      <c r="B9009" s="7" t="n">
        <v>9007</v>
      </c>
      <c r="C9009" t="inlineStr">
        <is>
          <t>Sales Engineer - Laser Cutting &amp; Intelligent Systems (Ho Chi Minh, Hanoi, Dongnai Or Haiphong)</t>
        </is>
      </c>
      <c r="D9009" t="inlineStr">
        <is>
          <t>IGAWARA CORPORATION PTE. LTD.</t>
        </is>
      </c>
      <c r="E9009" t="inlineStr">
        <is>
          <t>Thương lượng</t>
        </is>
      </c>
      <c r="F9009" t="inlineStr">
        <is>
          <t>Hồ Chí Minh, Hà Nội, Hải Phòng</t>
        </is>
      </c>
      <c r="G9009" t="inlineStr">
        <is>
          <t>Nhân viên</t>
        </is>
      </c>
      <c r="H9009" t="inlineStr">
        <is>
          <t>09/03/2026</t>
        </is>
      </c>
      <c r="I9009" t="inlineStr">
        <is>
          <t>08/04/2026</t>
        </is>
      </c>
      <c r="J9009" t="inlineStr">
        <is>
          <t>17/03/2026</t>
        </is>
      </c>
      <c r="K9009" t="inlineStr">
        <is>
          <t>N/A</t>
        </is>
      </c>
      <c r="L9009" t="inlineStr">
        <is>
          <t>Customer Development, Laser Cutting, Sales Support, Steel Fabrication, Technical Support</t>
        </is>
      </c>
      <c r="M9009" t="inlineStr">
        <is>
          <t>Bonus</t>
        </is>
      </c>
      <c r="N9009" s="8">
        <f>HYPERLINK("https://www.vietnamworks.com/sales-engineer-laser-cutting-intelligent-systems-ho-chi-minh-hanoi-dongnai-or-haiphong-2020673-jv","Xem chi tiết")</f>
        <v/>
      </c>
    </row>
    <row r="9010">
      <c r="B9010" s="9" t="n">
        <v>9008</v>
      </c>
      <c r="C9010" s="10" t="inlineStr">
        <is>
          <t>Trưởng Phòng Chăm Sóc Khách Hàng</t>
        </is>
      </c>
      <c r="D9010" s="10" t="inlineStr">
        <is>
          <t>CÔNG TY CỔ PHẦN TẬP ĐOÀN Y KHOA SÀI GÒN</t>
        </is>
      </c>
      <c r="E9010" s="10" t="inlineStr">
        <is>
          <t>Thương lượng</t>
        </is>
      </c>
      <c r="F9010" s="10" t="inlineStr">
        <is>
          <t>Quảng Ninh</t>
        </is>
      </c>
      <c r="G9010" s="10" t="inlineStr">
        <is>
          <t>Trưởng phòng</t>
        </is>
      </c>
      <c r="H9010" s="10" t="inlineStr">
        <is>
          <t>09/03/2026</t>
        </is>
      </c>
      <c r="I9010" s="10" t="inlineStr">
        <is>
          <t>08/04/2026</t>
        </is>
      </c>
      <c r="J9010" s="10" t="inlineStr">
        <is>
          <t>17/03/2026</t>
        </is>
      </c>
      <c r="K9010" s="10" t="inlineStr">
        <is>
          <t>N/A</t>
        </is>
      </c>
      <c r="L9010" s="10" t="inlineStr">
        <is>
          <t>Dịch Vụ Khách Hàng, Customer Service, Chăm Sóc Khách Hàng, Customer Care</t>
        </is>
      </c>
      <c r="M9010" s="10" t="inlineStr">
        <is>
          <t>Bonus, Healthcare Plan</t>
        </is>
      </c>
      <c r="N9010" s="11">
        <f>HYPERLINK("https://www.vietnamworks.com/truong-phong-cham-soc-khach-hang--2020668-jv","Xem chi tiết")</f>
        <v/>
      </c>
      <c r="O9010" s="10" t="n"/>
    </row>
    <row r="9011">
      <c r="B9011" s="7" t="n">
        <v>9009</v>
      </c>
      <c r="C9011" t="inlineStr">
        <is>
          <t>Kol Marketing Specialist (English / Chinese)</t>
        </is>
      </c>
      <c r="D9011" t="inlineStr">
        <is>
          <t>CÔNG TY TNHH VITASG VN</t>
        </is>
      </c>
      <c r="E9011" t="inlineStr">
        <is>
          <t>12tr-18tr ₫/tháng</t>
        </is>
      </c>
      <c r="F9011" t="inlineStr">
        <is>
          <t>Hồ Chí Minh</t>
        </is>
      </c>
      <c r="G9011" t="inlineStr">
        <is>
          <t>Nhân viên</t>
        </is>
      </c>
      <c r="H9011" t="inlineStr">
        <is>
          <t>09/03/2026</t>
        </is>
      </c>
      <c r="I9011" t="inlineStr">
        <is>
          <t>08/04/2026</t>
        </is>
      </c>
      <c r="J9011" t="inlineStr">
        <is>
          <t>17/03/2026</t>
        </is>
      </c>
      <c r="K9011" t="inlineStr">
        <is>
          <t>N/A</t>
        </is>
      </c>
      <c r="L9011" t="inlineStr">
        <is>
          <t>influencer marketing, KOL Partnership, E-Marketing, Data Analysis, Communication Skills</t>
        </is>
      </c>
      <c r="M9011" t="inlineStr">
        <is>
          <t>Bonus, Healthcare Plan, Paid Leave, Training, Awards, Team Activities, Others</t>
        </is>
      </c>
      <c r="N9011" s="8">
        <f>HYPERLINK("https://www.vietnamworks.com/kol-marketing-specialist-english-chinese-2020670-jv","Xem chi tiết")</f>
        <v/>
      </c>
    </row>
    <row r="9012">
      <c r="B9012" s="9" t="n">
        <v>9010</v>
      </c>
      <c r="C9012" s="10" t="inlineStr">
        <is>
          <t>Kỹ Sư Dự Án CNTT - Dự Toán &amp; Đấu Thầu (Lương Từ 18-30Tr/tháng)</t>
        </is>
      </c>
      <c r="D9012" s="10" t="inlineStr">
        <is>
          <t>Công ty TNHH Công nghệ Nguyên Lộc</t>
        </is>
      </c>
      <c r="E9012" s="10" t="inlineStr">
        <is>
          <t>18tr-30tr ₫/tháng</t>
        </is>
      </c>
      <c r="F9012" s="10" t="inlineStr">
        <is>
          <t>Hà Nội</t>
        </is>
      </c>
      <c r="G9012" s="10" t="inlineStr">
        <is>
          <t>Nhân viên</t>
        </is>
      </c>
      <c r="H9012" s="10" t="inlineStr">
        <is>
          <t>09/03/2026</t>
        </is>
      </c>
      <c r="I9012" s="10" t="inlineStr">
        <is>
          <t>08/04/2026</t>
        </is>
      </c>
      <c r="J9012" s="10" t="inlineStr">
        <is>
          <t>17/03/2026</t>
        </is>
      </c>
      <c r="K9012" s="10" t="inlineStr">
        <is>
          <t>N/A</t>
        </is>
      </c>
      <c r="L9012" s="10" t="inlineStr">
        <is>
          <t>IT Phần Cứng, Quản Lý Dự Án, Project Management, Tư Vấn, Điện tử</t>
        </is>
      </c>
      <c r="M9012" s="10" t="inlineStr">
        <is>
          <t>Bonus, Healthcare Plan, Training</t>
        </is>
      </c>
      <c r="N9012" s="11">
        <f>HYPERLINK("https://www.vietnamworks.com/ky-su-du-an-cntt-du-toan-dau-thau-luong-tu-18-30tr-thang-2020662-jv","Xem chi tiết")</f>
        <v/>
      </c>
      <c r="O9012" s="10" t="n"/>
    </row>
    <row r="9013">
      <c r="B9013" s="7" t="n">
        <v>9011</v>
      </c>
      <c r="C9013" t="inlineStr">
        <is>
          <t>Nhân Viên Trợ Lý Phòng Kinh Doanh (Sales Admin)</t>
        </is>
      </c>
      <c r="D9013" t="inlineStr">
        <is>
          <t>Công Ty Cổ Phần Thép Đất Việt</t>
        </is>
      </c>
      <c r="E9013" t="inlineStr">
        <is>
          <t>Thương lượng</t>
        </is>
      </c>
      <c r="F9013" t="inlineStr">
        <is>
          <t>Hà Nội</t>
        </is>
      </c>
      <c r="G9013" t="inlineStr">
        <is>
          <t>Nhân viên</t>
        </is>
      </c>
      <c r="H9013" t="inlineStr">
        <is>
          <t>09/03/2026</t>
        </is>
      </c>
      <c r="I9013" t="inlineStr">
        <is>
          <t>08/04/2026</t>
        </is>
      </c>
      <c r="J9013" t="inlineStr">
        <is>
          <t>17/03/2026</t>
        </is>
      </c>
      <c r="K9013" t="inlineStr">
        <is>
          <t>N/A</t>
        </is>
      </c>
      <c r="L9013" t="inlineStr">
        <is>
          <t>Chăm Sóc Khách Hàng, Lưu Trữ Hồ Sơ, Soạn Thảo Hợp Đồng, Theo Dõi Đơn Hàng, Thu Hồi Công Nợ</t>
        </is>
      </c>
      <c r="M9013" t="inlineStr">
        <is>
          <t>Bonus, Training, Team Activities, Canteen, Others</t>
        </is>
      </c>
      <c r="N9013" s="8">
        <f>HYPERLINK("https://www.vietnamworks.com/nhan-vien-tro-ly-phong-kinh-doanh-sales-admin-2020682-jv","Xem chi tiết")</f>
        <v/>
      </c>
    </row>
    <row r="9014">
      <c r="B9014" s="9" t="n">
        <v>9012</v>
      </c>
      <c r="C9014" s="10" t="inlineStr">
        <is>
          <t>Marketing And Business Development Executive</t>
        </is>
      </c>
      <c r="D9014" s="10" t="inlineStr">
        <is>
          <t>Iritech, INC.</t>
        </is>
      </c>
      <c r="E9014" s="10" t="inlineStr">
        <is>
          <t>Thương lượng</t>
        </is>
      </c>
      <c r="F9014" s="10" t="inlineStr">
        <is>
          <t>Hồ Chí Minh</t>
        </is>
      </c>
      <c r="G9014" s="10" t="inlineStr">
        <is>
          <t>Nhân viên</t>
        </is>
      </c>
      <c r="H9014" s="10" t="inlineStr">
        <is>
          <t>09/03/2026</t>
        </is>
      </c>
      <c r="I9014" s="10" t="inlineStr">
        <is>
          <t>08/04/2026</t>
        </is>
      </c>
      <c r="J9014" s="10" t="inlineStr">
        <is>
          <t>17/03/2026</t>
        </is>
      </c>
      <c r="K9014" s="10" t="inlineStr">
        <is>
          <t>N/A</t>
        </is>
      </c>
      <c r="L9014" s="10" t="inlineStr">
        <is>
          <t>Revenue Growth, Market Development, Digital Marketing, English Language Proficiency, Sales Development</t>
        </is>
      </c>
      <c r="M9014" s="10" t="inlineStr">
        <is>
          <t>Bonus, Healthcare Plan, Travel Opportunities, Canteen, Others</t>
        </is>
      </c>
      <c r="N9014" s="11">
        <f>HYPERLINK("https://www.vietnamworks.com/marketing-and-business-development-executive-2020663-jv","Xem chi tiết")</f>
        <v/>
      </c>
      <c r="O9014" s="10" t="n"/>
    </row>
    <row r="9015">
      <c r="B9015" s="7" t="n">
        <v>9013</v>
      </c>
      <c r="C9015" t="inlineStr">
        <is>
          <t>Trưởng Phòng Phát Triển Kinh Doanh</t>
        </is>
      </c>
      <c r="D9015" t="inlineStr">
        <is>
          <t>Công Ty Cổ Phần Quản Lý Quỹ Amber</t>
        </is>
      </c>
      <c r="E9015" t="inlineStr">
        <is>
          <t>Thương lượng</t>
        </is>
      </c>
      <c r="F9015" t="inlineStr">
        <is>
          <t>Hà Nội</t>
        </is>
      </c>
      <c r="G9015" t="inlineStr">
        <is>
          <t>Trưởng phòng</t>
        </is>
      </c>
      <c r="H9015" t="inlineStr">
        <is>
          <t>09/03/2026</t>
        </is>
      </c>
      <c r="I9015" t="inlineStr">
        <is>
          <t>08/04/2026</t>
        </is>
      </c>
      <c r="J9015" t="inlineStr">
        <is>
          <t>17/03/2026</t>
        </is>
      </c>
      <c r="K9015" t="inlineStr">
        <is>
          <t>N/A</t>
        </is>
      </c>
      <c r="L9015" t="inlineStr">
        <is>
          <t>Phát Triển Đầu Tư, Quản Lý Quỹ, Phát Triển Kênh Phân Phối, Phân Tích Kinh Doanh, Giao Tiếp</t>
        </is>
      </c>
      <c r="M9015" t="inlineStr">
        <is>
          <t>Bonus, Healthcare Plan, Paid Leave, Team Activities, Others</t>
        </is>
      </c>
      <c r="N9015" s="8">
        <f>HYPERLINK("https://www.vietnamworks.com/truong-phong-phat-trien-kinh-doanh-2020669-jv","Xem chi tiết")</f>
        <v/>
      </c>
    </row>
    <row r="9016">
      <c r="B9016" s="9" t="n">
        <v>9014</v>
      </c>
      <c r="C9016" s="10" t="inlineStr">
        <is>
          <t>Nhân Viên Thiết Kế Nội Thất</t>
        </is>
      </c>
      <c r="D9016" s="10" t="inlineStr">
        <is>
          <t>Công Ty TNHH Falcon Việt Nam (Đại An)</t>
        </is>
      </c>
      <c r="E9016" s="10" t="inlineStr">
        <is>
          <t>Thương lượng</t>
        </is>
      </c>
      <c r="F9016" s="10" t="inlineStr">
        <is>
          <t>Hải Phòng, Hải Dương</t>
        </is>
      </c>
      <c r="G9016" s="10" t="inlineStr">
        <is>
          <t>Nhân viên</t>
        </is>
      </c>
      <c r="H9016" s="10" t="inlineStr">
        <is>
          <t>09/03/2026</t>
        </is>
      </c>
      <c r="I9016" s="10" t="inlineStr">
        <is>
          <t>08/04/2026</t>
        </is>
      </c>
      <c r="J9016" s="10" t="inlineStr">
        <is>
          <t>17/03/2026</t>
        </is>
      </c>
      <c r="K9016" s="10" t="inlineStr">
        <is>
          <t>N/A</t>
        </is>
      </c>
      <c r="L9016" s="10" t="inlineStr">
        <is>
          <t>Thiết Kế Nội Thất, Triển Khai Bản Vẽ 2D, Thiết Kế CAD 2D, Đọc Bản Vẽ Kỹ Thuật, Tư Duy Linh Hoạt</t>
        </is>
      </c>
      <c r="M9016" s="10" t="inlineStr">
        <is>
          <t>Bonus, Healthcare Plan, Travel Opportunities</t>
        </is>
      </c>
      <c r="N9016" s="11">
        <f>HYPERLINK("https://www.vietnamworks.com/nhan-vien-thiet-ke-noi-that-2020683-jv","Xem chi tiết")</f>
        <v/>
      </c>
      <c r="O9016" s="10" t="n"/>
    </row>
    <row r="9017">
      <c r="B9017" s="7" t="n">
        <v>9015</v>
      </c>
      <c r="C9017" t="inlineStr">
        <is>
          <t>Hardware Design Engineer (for SSD &amp; Memory Products)</t>
        </is>
      </c>
      <c r="D9017" t="inlineStr">
        <is>
          <t>Unigen Vietnam Hanoi Co.Ltd</t>
        </is>
      </c>
      <c r="E9017" t="inlineStr">
        <is>
          <t>Thương lượng</t>
        </is>
      </c>
      <c r="F9017" t="inlineStr">
        <is>
          <t>Bắc Ninh, Hưng Yên, Hà Nội</t>
        </is>
      </c>
      <c r="G9017" t="inlineStr">
        <is>
          <t>Nhân viên</t>
        </is>
      </c>
      <c r="H9017" t="inlineStr">
        <is>
          <t>09/03/2026</t>
        </is>
      </c>
      <c r="I9017" t="inlineStr">
        <is>
          <t>08/04/2026</t>
        </is>
      </c>
      <c r="J9017" t="inlineStr">
        <is>
          <t>17/03/2026</t>
        </is>
      </c>
      <c r="K9017" t="inlineStr">
        <is>
          <t>N/A</t>
        </is>
      </c>
      <c r="L9017" t="inlineStr">
        <is>
          <t>Hardware Design, Electrical System Engineering, PCB Layout, PCB Design, SAN Storage</t>
        </is>
      </c>
      <c r="M9017" t="inlineStr">
        <is>
          <t>Bonus, Healthcare Plan, Paid Leave</t>
        </is>
      </c>
      <c r="N9017" s="8">
        <f>HYPERLINK("https://www.vietnamworks.com/hardware-design-engineer-for-ssd-memory-products-2020672-jv","Xem chi tiết")</f>
        <v/>
      </c>
    </row>
    <row r="9018">
      <c r="B9018" s="9" t="n">
        <v>9016</v>
      </c>
      <c r="C9018" s="10" t="inlineStr">
        <is>
          <t>Fundraising Officer</t>
        </is>
      </c>
      <c r="D9018" s="10" t="inlineStr">
        <is>
          <t>THE DARIU FOUNDATION</t>
        </is>
      </c>
      <c r="E9018" s="10" t="inlineStr">
        <is>
          <t>Tới $ 2,000 /tháng</t>
        </is>
      </c>
      <c r="F9018" s="10" t="inlineStr">
        <is>
          <t>Hồ Chí Minh</t>
        </is>
      </c>
      <c r="G9018" s="10" t="inlineStr">
        <is>
          <t>Nhân viên</t>
        </is>
      </c>
      <c r="H9018" s="10" t="inlineStr">
        <is>
          <t>09/03/2026</t>
        </is>
      </c>
      <c r="I9018" s="10" t="inlineStr">
        <is>
          <t>08/04/2026</t>
        </is>
      </c>
      <c r="J9018" s="10" t="inlineStr">
        <is>
          <t>17/03/2026</t>
        </is>
      </c>
      <c r="K9018" s="10" t="inlineStr">
        <is>
          <t>N/A</t>
        </is>
      </c>
      <c r="L9018" s="10" t="inlineStr">
        <is>
          <t>Fundraising, Proposal Writing, Donor Relationship, Business Development, Interpersonal skills</t>
        </is>
      </c>
      <c r="M9018" s="10" t="inlineStr">
        <is>
          <t>Bonus, Healthcare Plan, Paid Leave, Others</t>
        </is>
      </c>
      <c r="N9018" s="11">
        <f>HYPERLINK("https://www.vietnamworks.com/fundraising-officer-2020677-jv","Xem chi tiết")</f>
        <v/>
      </c>
      <c r="O9018" s="10" t="n"/>
    </row>
    <row r="9019">
      <c r="B9019" s="7" t="n">
        <v>9017</v>
      </c>
      <c r="C9019" t="inlineStr">
        <is>
          <t>Test Development Engineer (for SSD &amp; Memory Products)</t>
        </is>
      </c>
      <c r="D9019" t="inlineStr">
        <is>
          <t>Unigen Vietnam Hanoi Co.Ltd</t>
        </is>
      </c>
      <c r="E9019" t="inlineStr">
        <is>
          <t>Thương lượng</t>
        </is>
      </c>
      <c r="F9019" t="inlineStr">
        <is>
          <t>Bắc Ninh, Hưng Yên, Hà Nội</t>
        </is>
      </c>
      <c r="G9019" t="inlineStr">
        <is>
          <t>Nhân viên</t>
        </is>
      </c>
      <c r="H9019" t="inlineStr">
        <is>
          <t>09/03/2026</t>
        </is>
      </c>
      <c r="I9019" t="inlineStr">
        <is>
          <t>08/04/2026</t>
        </is>
      </c>
      <c r="J9019" t="inlineStr">
        <is>
          <t>17/03/2026</t>
        </is>
      </c>
      <c r="K9019" t="inlineStr">
        <is>
          <t>N/A</t>
        </is>
      </c>
      <c r="L9019" t="inlineStr">
        <is>
          <t>English, Test Case, Automation Testing, Python, SSD</t>
        </is>
      </c>
      <c r="M9019" t="inlineStr">
        <is>
          <t>Bonus, Healthcare Plan, Paid Leave</t>
        </is>
      </c>
      <c r="N9019" s="8">
        <f>HYPERLINK("https://www.vietnamworks.com/test-development-engineer-for-ssd-memory-products-2020676-jv","Xem chi tiết")</f>
        <v/>
      </c>
    </row>
    <row r="9020">
      <c r="B9020" s="9" t="n">
        <v>9018</v>
      </c>
      <c r="C9020" s="10" t="inlineStr">
        <is>
          <t>Nhân Viên QC (Ngành Gạo)</t>
        </is>
      </c>
      <c r="D9020" s="10" t="inlineStr">
        <is>
          <t>Olam Global Agri Việt Nam</t>
        </is>
      </c>
      <c r="E9020" s="10" t="inlineStr">
        <is>
          <t>Thương lượng</t>
        </is>
      </c>
      <c r="F9020" s="10" t="inlineStr">
        <is>
          <t>Tây Ninh</t>
        </is>
      </c>
      <c r="G9020" s="10" t="inlineStr">
        <is>
          <t>Nhân viên</t>
        </is>
      </c>
      <c r="H9020" s="10" t="inlineStr">
        <is>
          <t>09/03/2026</t>
        </is>
      </c>
      <c r="I9020" s="10" t="inlineStr">
        <is>
          <t>08/04/2026</t>
        </is>
      </c>
      <c r="J9020" s="10" t="inlineStr">
        <is>
          <t>17/03/2026</t>
        </is>
      </c>
      <c r="K9020" s="10" t="inlineStr">
        <is>
          <t>N/A</t>
        </is>
      </c>
      <c r="L9020" s="10" t="inlineStr">
        <is>
          <t>Giao Tiếp, HACCP, ISO 22000, Kiểm Tra Chất Lượng, Phân Tích Chất Lượng</t>
        </is>
      </c>
      <c r="M9020" s="10" t="inlineStr">
        <is>
          <t>Others</t>
        </is>
      </c>
      <c r="N9020" s="11">
        <f>HYPERLINK("https://www.vietnamworks.com/nhan-vien-qc-nganh-gao-2020684-jv","Xem chi tiết")</f>
        <v/>
      </c>
      <c r="O9020" s="10" t="n"/>
    </row>
    <row r="9021">
      <c r="B9021" s="7" t="n">
        <v>9019</v>
      </c>
      <c r="C9021" t="inlineStr">
        <is>
          <t>Sales Engineer - Transformers And Switchgears (Ho Chi Minh, Hanoi, Dongnai Or Haiphong)</t>
        </is>
      </c>
      <c r="D9021" t="inlineStr">
        <is>
          <t>IGAWARA CORPORATION PTE. LTD.</t>
        </is>
      </c>
      <c r="E9021" t="inlineStr">
        <is>
          <t>Thương lượng</t>
        </is>
      </c>
      <c r="F9021" t="inlineStr">
        <is>
          <t>Hồ Chí Minh, Hà Nội, Hải Phòng</t>
        </is>
      </c>
      <c r="G9021" t="inlineStr">
        <is>
          <t>Nhân viên</t>
        </is>
      </c>
      <c r="H9021" t="inlineStr">
        <is>
          <t>09/03/2026</t>
        </is>
      </c>
      <c r="I9021" t="inlineStr">
        <is>
          <t>08/04/2026</t>
        </is>
      </c>
      <c r="J9021" t="inlineStr">
        <is>
          <t>17/03/2026</t>
        </is>
      </c>
      <c r="K9021" t="inlineStr">
        <is>
          <t>N/A</t>
        </is>
      </c>
      <c r="L9021" t="inlineStr">
        <is>
          <t>Electrical Engineering, Marketing Strategy, Sales, Sales Engineering, Technical Sales</t>
        </is>
      </c>
      <c r="M9021" t="inlineStr">
        <is>
          <t>Bonus</t>
        </is>
      </c>
      <c r="N9021" s="8">
        <f>HYPERLINK("https://www.vietnamworks.com/sales-engineer-transformers-and-switchgears-ho-chi-minh-hanoi-dongnai-or-haiphong-2020685-jv","Xem chi tiết")</f>
        <v/>
      </c>
    </row>
    <row r="9022">
      <c r="B9022" s="9" t="n">
        <v>9020</v>
      </c>
      <c r="C9022" s="10" t="inlineStr">
        <is>
          <t>Nhân Viên Thiết Kế - Design Draftsman</t>
        </is>
      </c>
      <c r="D9022" s="10" t="inlineStr">
        <is>
          <t>Công Ty TNHH Triac Composites</t>
        </is>
      </c>
      <c r="E9022" s="10" t="inlineStr">
        <is>
          <t>8tr-10tr ₫/tháng</t>
        </is>
      </c>
      <c r="F9022" s="10" t="inlineStr">
        <is>
          <t>Hồ Chí Minh</t>
        </is>
      </c>
      <c r="G9022" s="10" t="inlineStr">
        <is>
          <t>Mới Tốt Nghiệp</t>
        </is>
      </c>
      <c r="H9022" s="10" t="inlineStr">
        <is>
          <t>09/03/2026</t>
        </is>
      </c>
      <c r="I9022" s="10" t="inlineStr">
        <is>
          <t>08/04/2026</t>
        </is>
      </c>
      <c r="J9022" s="10" t="inlineStr">
        <is>
          <t>17/03/2026</t>
        </is>
      </c>
      <c r="K9022" s="10" t="inlineStr">
        <is>
          <t>N/A</t>
        </is>
      </c>
      <c r="L9022" s="10" t="inlineStr">
        <is>
          <t>Attention To Detail, CAD Software, English Communication, Problem-solving, Technical Drawing</t>
        </is>
      </c>
      <c r="M9022" s="10" t="inlineStr">
        <is>
          <t>Bonus, Healthcare Plan, Paid Leave, Travel Opportunities, Canteen, Others</t>
        </is>
      </c>
      <c r="N9022" s="11">
        <f>HYPERLINK("https://www.vietnamworks.com/nhan-vien-thiet-ke-design-draftsman-2020688-jv","Xem chi tiết")</f>
        <v/>
      </c>
      <c r="O9022" s="10" t="n"/>
    </row>
    <row r="9023">
      <c r="B9023" s="7" t="n">
        <v>9021</v>
      </c>
      <c r="C9023" t="inlineStr">
        <is>
          <t>Sales Engineer - Steel Trading (Ho Chi Minh, Hanoi, Dongnai Or Haiphong)</t>
        </is>
      </c>
      <c r="D9023" t="inlineStr">
        <is>
          <t>IGAWARA CORPORATION PTE. LTD.</t>
        </is>
      </c>
      <c r="E9023" t="inlineStr">
        <is>
          <t>Thương lượng</t>
        </is>
      </c>
      <c r="F9023" t="inlineStr">
        <is>
          <t>Hải Phòng, Hà Nội, Hồ Chí Minh</t>
        </is>
      </c>
      <c r="G9023" t="inlineStr">
        <is>
          <t>Mới Tốt Nghiệp</t>
        </is>
      </c>
      <c r="H9023" t="inlineStr">
        <is>
          <t>09/03/2026</t>
        </is>
      </c>
      <c r="I9023" t="inlineStr">
        <is>
          <t>08/04/2026</t>
        </is>
      </c>
      <c r="J9023" t="inlineStr">
        <is>
          <t>17/03/2026</t>
        </is>
      </c>
      <c r="K9023" t="inlineStr">
        <is>
          <t>N/A</t>
        </is>
      </c>
      <c r="L9023" t="inlineStr">
        <is>
          <t>Communication, Customer Service, Marketing Development, Sales, Technical Engineering</t>
        </is>
      </c>
      <c r="M9023" t="inlineStr">
        <is>
          <t>Bonus</t>
        </is>
      </c>
      <c r="N9023" s="8">
        <f>HYPERLINK("https://www.vietnamworks.com/sales-engineer-steel-trading-ho-chi-minh-hanoi-dongnai-or-haiphong-2020690-jv","Xem chi tiết")</f>
        <v/>
      </c>
    </row>
    <row r="9024">
      <c r="B9024" s="9" t="n">
        <v>9022</v>
      </c>
      <c r="C9024" s="10" t="inlineStr">
        <is>
          <t>Thẩm Định Viên Về Giá</t>
        </is>
      </c>
      <c r="D9024" s="10" t="inlineStr">
        <is>
          <t>Công ty TNHH Hãng Kiểm toán và Định giá ATC</t>
        </is>
      </c>
      <c r="E9024" s="10" t="inlineStr">
        <is>
          <t>20tr-30tr ₫/tháng</t>
        </is>
      </c>
      <c r="F9024" s="10" t="inlineStr">
        <is>
          <t>Hà Nội</t>
        </is>
      </c>
      <c r="G9024" s="10" t="inlineStr">
        <is>
          <t>Nhân viên</t>
        </is>
      </c>
      <c r="H9024" s="10" t="inlineStr">
        <is>
          <t>09/03/2026</t>
        </is>
      </c>
      <c r="I9024" s="10" t="inlineStr">
        <is>
          <t>08/04/2026</t>
        </is>
      </c>
      <c r="J9024" s="10" t="inlineStr">
        <is>
          <t>17/03/2026</t>
        </is>
      </c>
      <c r="K9024" s="10" t="inlineStr">
        <is>
          <t>N/A</t>
        </is>
      </c>
      <c r="L9024" s="10" t="inlineStr">
        <is>
          <t>Thẩm Định Giá, Kinh Tế, Tài Chính, Phân tích, ngân hàng</t>
        </is>
      </c>
      <c r="M9024" s="10" t="inlineStr">
        <is>
          <t>Bonus, Healthcare Plan, Training, Others</t>
        </is>
      </c>
      <c r="N9024" s="11">
        <f>HYPERLINK("https://www.vietnamworks.com/tham-djinh-vien-ve-gia-2020695-jv","Xem chi tiết")</f>
        <v/>
      </c>
      <c r="O9024" s="10" t="n"/>
    </row>
    <row r="9025">
      <c r="B9025" s="7" t="n">
        <v>9023</v>
      </c>
      <c r="C9025" t="inlineStr">
        <is>
          <t>Kỹ Sư Bảo Trì Hạ Tầng Kỹ Thuật (Lương Tối Thiểu 20 Triệu)</t>
        </is>
      </c>
      <c r="D9025" t="inlineStr">
        <is>
          <t>Công ty Cổ phần đầu tư và công nghệ Tân Hoàng Minh Phát</t>
        </is>
      </c>
      <c r="E9025" t="inlineStr">
        <is>
          <t>Từ 20tr ₫/tháng</t>
        </is>
      </c>
      <c r="F9025" t="inlineStr">
        <is>
          <t>Hà Nội</t>
        </is>
      </c>
      <c r="G9025" t="inlineStr">
        <is>
          <t>Nhân viên</t>
        </is>
      </c>
      <c r="H9025" t="inlineStr">
        <is>
          <t>09/03/2026</t>
        </is>
      </c>
      <c r="I9025" t="inlineStr">
        <is>
          <t>08/04/2026</t>
        </is>
      </c>
      <c r="J9025" t="inlineStr">
        <is>
          <t>17/03/2026</t>
        </is>
      </c>
      <c r="K9025" t="inlineStr">
        <is>
          <t>N/A</t>
        </is>
      </c>
      <c r="L9025" t="inlineStr">
        <is>
          <t>Tự Động Hóa, Bảo Trì Kỹ Thuật, HVAC, PCCC, Điện Lạnh</t>
        </is>
      </c>
      <c r="M9025" t="inlineStr">
        <is>
          <t>Bonus, Healthcare Plan, Others</t>
        </is>
      </c>
      <c r="N9025" s="8">
        <f>HYPERLINK("https://www.vietnamworks.com/ky-su-bao-tri-ha-tang-ky-thuat-luong-toi-thieu-20-trieu-2020687-jv","Xem chi tiết")</f>
        <v/>
      </c>
    </row>
    <row r="9026">
      <c r="B9026" s="9" t="n">
        <v>9024</v>
      </c>
      <c r="C9026" s="10" t="inlineStr">
        <is>
          <t>Chuyên Viên Kế Toán Tài Chính</t>
        </is>
      </c>
      <c r="D9026" s="10" t="inlineStr">
        <is>
          <t>Công Ty Cổ Phần Apollo Silicone</t>
        </is>
      </c>
      <c r="E9026" s="10" t="inlineStr">
        <is>
          <t>Thương lượng</t>
        </is>
      </c>
      <c r="F9026" s="10" t="inlineStr">
        <is>
          <t>Hồ Chí Minh</t>
        </is>
      </c>
      <c r="G9026" s="10" t="inlineStr">
        <is>
          <t>Nhân viên</t>
        </is>
      </c>
      <c r="H9026" s="10" t="inlineStr">
        <is>
          <t>09/03/2026</t>
        </is>
      </c>
      <c r="I9026" s="10" t="inlineStr">
        <is>
          <t>08/04/2026</t>
        </is>
      </c>
      <c r="J9026" s="10" t="inlineStr">
        <is>
          <t>17/03/2026</t>
        </is>
      </c>
      <c r="K9026" s="10" t="inlineStr">
        <is>
          <t>N/A</t>
        </is>
      </c>
      <c r="L9026" s="10" t="inlineStr">
        <is>
          <t>Báo Cáo Lợi Nhuận, Tài Chính Kế Toán, Finance, Tài Chính, Kế Toán Tổng Hợp</t>
        </is>
      </c>
      <c r="M9026" s="10" t="inlineStr">
        <is>
          <t>Bonus</t>
        </is>
      </c>
      <c r="N9026" s="11">
        <f>HYPERLINK("https://www.vietnamworks.com/chuyen-vien-ke-toan-tai-chinh--2020709-jv","Xem chi tiết")</f>
        <v/>
      </c>
      <c r="O9026" s="10" t="n"/>
    </row>
    <row r="9027">
      <c r="B9027" s="7" t="n">
        <v>9025</v>
      </c>
      <c r="C9027" t="inlineStr">
        <is>
          <t>Kỹ Sư Phần Cứng</t>
        </is>
      </c>
      <c r="D9027" t="inlineStr">
        <is>
          <t>Công Ty Cổ Phần Thiết Bị Đo Điện EMIC</t>
        </is>
      </c>
      <c r="E9027" t="inlineStr">
        <is>
          <t>Thương lượng</t>
        </is>
      </c>
      <c r="F9027" t="inlineStr">
        <is>
          <t>Bắc Ninh</t>
        </is>
      </c>
      <c r="G9027" t="inlineStr">
        <is>
          <t>Mới Tốt Nghiệp</t>
        </is>
      </c>
      <c r="H9027" t="inlineStr">
        <is>
          <t>09/03/2026</t>
        </is>
      </c>
      <c r="I9027" t="inlineStr">
        <is>
          <t>08/04/2026</t>
        </is>
      </c>
      <c r="J9027" t="inlineStr">
        <is>
          <t>17/03/2026</t>
        </is>
      </c>
      <c r="K9027" t="inlineStr">
        <is>
          <t>N/A</t>
        </is>
      </c>
      <c r="L9027" t="inlineStr">
        <is>
          <t>IoT, Kiểm Thử Mạch Điện, Mạch Điện Tử, Thiết Kế Phần Cứng, Đọc Hiểu Bản Vẽ Kỹ Thuật</t>
        </is>
      </c>
      <c r="M9027" t="inlineStr">
        <is>
          <t>Bonus, Healthcare Plan, Travel Opportunities, Transportation, Others</t>
        </is>
      </c>
      <c r="N9027" s="8">
        <f>HYPERLINK("https://www.vietnamworks.com/ky-su-phan-cung-2020711-jv","Xem chi tiết")</f>
        <v/>
      </c>
    </row>
    <row r="9028">
      <c r="B9028" s="9" t="n">
        <v>9026</v>
      </c>
      <c r="C9028" s="10" t="inlineStr">
        <is>
          <t>Nhân Viên Văn Thư</t>
        </is>
      </c>
      <c r="D9028" s="10" t="inlineStr">
        <is>
          <t>Công Ty Cổ Phần Chứng Khoán Dầu Khí (Psi)</t>
        </is>
      </c>
      <c r="E9028" s="10" t="inlineStr">
        <is>
          <t>Thương lượng</t>
        </is>
      </c>
      <c r="F9028" s="10" t="inlineStr">
        <is>
          <t>Hà Nội</t>
        </is>
      </c>
      <c r="G9028" s="10" t="inlineStr">
        <is>
          <t>Nhân viên</t>
        </is>
      </c>
      <c r="H9028" s="10" t="inlineStr">
        <is>
          <t>09/03/2026</t>
        </is>
      </c>
      <c r="I9028" s="10" t="inlineStr">
        <is>
          <t>08/04/2026</t>
        </is>
      </c>
      <c r="J9028" s="10" t="inlineStr">
        <is>
          <t>17/03/2026</t>
        </is>
      </c>
      <c r="K9028" s="10" t="inlineStr">
        <is>
          <t>N/A</t>
        </is>
      </c>
      <c r="L9028" s="10" t="inlineStr">
        <is>
          <t>Quản Trị Văn Phòng, Văn Thư Lưu Trữ, Admin, Admin Support, Thư Ký</t>
        </is>
      </c>
      <c r="M9028" s="10" t="inlineStr">
        <is>
          <t>Bonus, Healthcare Plan, Training, Others</t>
        </is>
      </c>
      <c r="N9028" s="11">
        <f>HYPERLINK("https://www.vietnamworks.com/nhan-vien-van-thu-2020699-jv","Xem chi tiết")</f>
        <v/>
      </c>
      <c r="O9028" s="10" t="n"/>
    </row>
    <row r="9029">
      <c r="B9029" s="7" t="n">
        <v>9027</v>
      </c>
      <c r="C9029" t="inlineStr">
        <is>
          <t>International Freight Forwarding Operations Customer Service</t>
        </is>
      </c>
      <c r="D9029" t="inlineStr">
        <is>
          <t>Công Ty TNHH YQN Link International Logistics</t>
        </is>
      </c>
      <c r="E9029" t="inlineStr">
        <is>
          <t>$$ 500-800 /tháng</t>
        </is>
      </c>
      <c r="F9029" t="inlineStr">
        <is>
          <t>Hồ Chí Minh</t>
        </is>
      </c>
      <c r="G9029" t="inlineStr">
        <is>
          <t>Nhân viên</t>
        </is>
      </c>
      <c r="H9029" t="inlineStr">
        <is>
          <t>09/03/2026</t>
        </is>
      </c>
      <c r="I9029" t="inlineStr">
        <is>
          <t>08/04/2026</t>
        </is>
      </c>
      <c r="J9029" t="inlineStr">
        <is>
          <t>17/03/2026</t>
        </is>
      </c>
      <c r="K9029" t="inlineStr">
        <is>
          <t>N/A</t>
        </is>
      </c>
      <c r="L9029" t="inlineStr">
        <is>
          <t>Communication Skills, Freight Forwarding, Multitasking, PC Literacy, Solution Oriented</t>
        </is>
      </c>
      <c r="M9029" t="inlineStr">
        <is>
          <t>Team Activities</t>
        </is>
      </c>
      <c r="N9029" s="8">
        <f>HYPERLINK("https://www.vietnamworks.com/international-freight-forwarding-operations-customer-service-2020691-jv","Xem chi tiết")</f>
        <v/>
      </c>
    </row>
    <row r="9030">
      <c r="B9030" s="9" t="n">
        <v>9028</v>
      </c>
      <c r="C9030" s="10" t="inlineStr">
        <is>
          <t>Nhân Viên QS Phòng Kinh Tế Đấu Thầu</t>
        </is>
      </c>
      <c r="D9030" s="10" t="inlineStr">
        <is>
          <t>Công ty Cổ Phần đầu tư VIC Việt Nam</t>
        </is>
      </c>
      <c r="E9030" s="10" t="inlineStr">
        <is>
          <t>10tr-18tr ₫/tháng</t>
        </is>
      </c>
      <c r="F9030" s="10" t="inlineStr">
        <is>
          <t>Hà Nội</t>
        </is>
      </c>
      <c r="G9030" s="10" t="inlineStr">
        <is>
          <t>Nhân viên</t>
        </is>
      </c>
      <c r="H9030" s="10" t="inlineStr">
        <is>
          <t>09/03/2026</t>
        </is>
      </c>
      <c r="I9030" s="10" t="inlineStr">
        <is>
          <t>08/04/2026</t>
        </is>
      </c>
      <c r="J9030" s="10" t="inlineStr">
        <is>
          <t>17/03/2026</t>
        </is>
      </c>
      <c r="K9030" s="10" t="inlineStr">
        <is>
          <t>N/A</t>
        </is>
      </c>
      <c r="L9030" s="10" t="inlineStr">
        <is>
          <t>Kinh Tế Xây Dựng, Đọc Hiểu Bản Vẽ, QS Ngành Xây Dựng, Đấu Thầu, Bóc Tách Khối Lượng</t>
        </is>
      </c>
      <c r="M9030" s="10" t="inlineStr">
        <is>
          <t>Bonus, Healthcare Plan, Training, Travel Opportunities, Others</t>
        </is>
      </c>
      <c r="N9030" s="11">
        <f>HYPERLINK("https://www.vietnamworks.com/nhan-vien-qs-phong-kinh-te-djau-thau-2020706-jv","Xem chi tiết")</f>
        <v/>
      </c>
      <c r="O9030" s="10" t="n"/>
    </row>
    <row r="9031">
      <c r="B9031" s="7" t="n">
        <v>9029</v>
      </c>
      <c r="C9031" t="inlineStr">
        <is>
          <t>Ecommerce Manager (M&amp;b, FMCG)</t>
        </is>
      </c>
      <c r="D9031" t="inlineStr">
        <is>
          <t>Công Ty TNHH Onpoint</t>
        </is>
      </c>
      <c r="E9031" t="inlineStr">
        <is>
          <t>Thương lượng</t>
        </is>
      </c>
      <c r="F9031" t="inlineStr">
        <is>
          <t>Hồ Chí Minh</t>
        </is>
      </c>
      <c r="G9031" t="inlineStr">
        <is>
          <t>Trưởng phòng</t>
        </is>
      </c>
      <c r="H9031" t="inlineStr">
        <is>
          <t>09/03/2026</t>
        </is>
      </c>
      <c r="I9031" t="inlineStr">
        <is>
          <t>08/04/2026</t>
        </is>
      </c>
      <c r="J9031" t="inlineStr">
        <is>
          <t>17/03/2026</t>
        </is>
      </c>
      <c r="K9031" t="inlineStr">
        <is>
          <t>N/A</t>
        </is>
      </c>
      <c r="L9031" t="inlineStr">
        <is>
          <t>Brand Management, Data Analysis, FMCG, P&amp;L Management, Team Management</t>
        </is>
      </c>
      <c r="M9031" t="inlineStr">
        <is>
          <t>Bonus, Healthcare Plan, Paid Leave, Laptop, Others</t>
        </is>
      </c>
      <c r="N9031" s="8">
        <f>HYPERLINK("https://www.vietnamworks.com/ecommerce-manager-m-b-fmcg-2020689-jv","Xem chi tiết")</f>
        <v/>
      </c>
    </row>
    <row r="9032">
      <c r="B9032" s="9" t="n">
        <v>9030</v>
      </c>
      <c r="C9032" s="10" t="inlineStr">
        <is>
          <t>Trưởng Nhóm Bộ Phận ACS</t>
        </is>
      </c>
      <c r="D9032" s="10" t="inlineStr">
        <is>
          <t>Công ty Cổ phần Thông minh MK</t>
        </is>
      </c>
      <c r="E9032" s="10" t="inlineStr">
        <is>
          <t>12tr-14tr ₫/tháng</t>
        </is>
      </c>
      <c r="F9032" s="10" t="inlineStr">
        <is>
          <t>Hà Nội</t>
        </is>
      </c>
      <c r="G9032" s="10" t="inlineStr">
        <is>
          <t>Trưởng phòng</t>
        </is>
      </c>
      <c r="H9032" s="10" t="inlineStr">
        <is>
          <t>09/03/2026</t>
        </is>
      </c>
      <c r="I9032" s="10" t="inlineStr">
        <is>
          <t>08/04/2026</t>
        </is>
      </c>
      <c r="J9032" s="10" t="inlineStr">
        <is>
          <t>17/03/2026</t>
        </is>
      </c>
      <c r="K9032" s="10" t="inlineStr">
        <is>
          <t>N/A</t>
        </is>
      </c>
      <c r="L9032" s="10" t="inlineStr">
        <is>
          <t>Cơ Khí, Cơ Điện Tử, Điện, Tự Động Hóa, Quản Lý Nhóm</t>
        </is>
      </c>
      <c r="M9032" s="10" t="inlineStr">
        <is>
          <t>Bonus, Healthcare Plan, Training</t>
        </is>
      </c>
      <c r="N9032" s="11">
        <f>HYPERLINK("https://www.vietnamworks.com/truong-nhom-bo-phan-acs-2020698-jv","Xem chi tiết")</f>
        <v/>
      </c>
      <c r="O9032" s="10" t="n"/>
    </row>
    <row r="9033">
      <c r="B9033" s="7" t="n">
        <v>9031</v>
      </c>
      <c r="C9033" t="inlineStr">
        <is>
          <t>Business Development Lead (FMCG / M&amp;B / Beauty / OTC)</t>
        </is>
      </c>
      <c r="D9033" t="inlineStr">
        <is>
          <t>Công Ty TNHH Onpoint</t>
        </is>
      </c>
      <c r="E9033" t="inlineStr">
        <is>
          <t>Thương lượng</t>
        </is>
      </c>
      <c r="F9033" t="inlineStr">
        <is>
          <t>Hồ Chí Minh</t>
        </is>
      </c>
      <c r="G9033" t="inlineStr">
        <is>
          <t>Nhân viên</t>
        </is>
      </c>
      <c r="H9033" t="inlineStr">
        <is>
          <t>09/03/2026</t>
        </is>
      </c>
      <c r="I9033" t="inlineStr">
        <is>
          <t>08/04/2026</t>
        </is>
      </c>
      <c r="J9033" t="inlineStr">
        <is>
          <t>17/03/2026</t>
        </is>
      </c>
      <c r="K9033" t="inlineStr">
        <is>
          <t>N/A</t>
        </is>
      </c>
      <c r="L9033" t="inlineStr">
        <is>
          <t>Analytical Skills, Brand Marketing, Business Acumen, English Communication, Trade Marketing</t>
        </is>
      </c>
      <c r="M9033" t="inlineStr">
        <is>
          <t>Bonus, Healthcare Plan, Paid Leave, Laptop, Others</t>
        </is>
      </c>
      <c r="N9033" s="8">
        <f>HYPERLINK("https://www.vietnamworks.com/business-development-lead-fmcg-mandb-beauty-otc-2020697-jv","Xem chi tiết")</f>
        <v/>
      </c>
    </row>
    <row r="9034">
      <c r="B9034" s="9" t="n">
        <v>9032</v>
      </c>
      <c r="C9034" s="10" t="inlineStr">
        <is>
          <t>[Tuyển Gấp] Chuyên Viên Tuyển Dụng &amp; Đào Tạo</t>
        </is>
      </c>
      <c r="D9034" s="10" t="inlineStr">
        <is>
          <t>Công Ty Cổ Phần Tập đoàn Sơn Phúc</t>
        </is>
      </c>
      <c r="E9034" s="10" t="inlineStr">
        <is>
          <t>Thương lượng</t>
        </is>
      </c>
      <c r="F9034" s="10" t="inlineStr">
        <is>
          <t>Hà Nội</t>
        </is>
      </c>
      <c r="G9034" s="10" t="inlineStr">
        <is>
          <t>Nhân viên</t>
        </is>
      </c>
      <c r="H9034" s="10" t="inlineStr">
        <is>
          <t>09/03/2026</t>
        </is>
      </c>
      <c r="I9034" s="10" t="inlineStr">
        <is>
          <t>08/04/2026</t>
        </is>
      </c>
      <c r="J9034" s="10" t="inlineStr">
        <is>
          <t>17/03/2026</t>
        </is>
      </c>
      <c r="K9034" s="10" t="inlineStr">
        <is>
          <t>N/A</t>
        </is>
      </c>
      <c r="L9034" s="10" t="inlineStr">
        <is>
          <t>Tuyển Dụng, Đào Tạo, Giao Tiếp, Thuyết Trình, Làm Việc Nhóm</t>
        </is>
      </c>
      <c r="M9034" s="10" t="inlineStr">
        <is>
          <t>Bonus, Healthcare Plan, Paid Leave, Training, Awards, Travel Opportunities, Others</t>
        </is>
      </c>
      <c r="N9034" s="11">
        <f>HYPERLINK("https://www.vietnamworks.com/tuyen-gap-chuyen-vien-tuyen-dung-dao-tao--2020696-jv","Xem chi tiết")</f>
        <v/>
      </c>
      <c r="O9034" s="10" t="n"/>
    </row>
    <row r="9035">
      <c r="B9035" s="7" t="n">
        <v>9033</v>
      </c>
      <c r="C9035" t="inlineStr">
        <is>
          <t>Quantity Surveyors</t>
        </is>
      </c>
      <c r="D9035" t="inlineStr">
        <is>
          <t>Công Ty TNHH Falcon Việt Nam (Đại An)</t>
        </is>
      </c>
      <c r="E9035" t="inlineStr">
        <is>
          <t>$$ 800-1,500 /tháng</t>
        </is>
      </c>
      <c r="F9035" t="inlineStr">
        <is>
          <t>Hà Nội</t>
        </is>
      </c>
      <c r="G9035" t="inlineStr">
        <is>
          <t>Nhân viên</t>
        </is>
      </c>
      <c r="H9035" t="inlineStr">
        <is>
          <t>09/03/2026</t>
        </is>
      </c>
      <c r="I9035" t="inlineStr">
        <is>
          <t>08/04/2026</t>
        </is>
      </c>
      <c r="J9035" t="inlineStr">
        <is>
          <t>17/03/2026</t>
        </is>
      </c>
      <c r="K9035" t="inlineStr">
        <is>
          <t>N/A</t>
        </is>
      </c>
      <c r="L9035" t="inlineStr">
        <is>
          <t>Quantity Surveyor Management, Financial Analysis, Budget Management, Construction Engineering</t>
        </is>
      </c>
      <c r="M9035" t="inlineStr">
        <is>
          <t>Bonus, Healthcare Plan, Travel Opportunities, Others</t>
        </is>
      </c>
      <c r="N9035" s="8">
        <f>HYPERLINK("https://www.vietnamworks.com/quantity-surveyors-2020692-jv","Xem chi tiết")</f>
        <v/>
      </c>
    </row>
    <row r="9036">
      <c r="B9036" s="9" t="n">
        <v>9034</v>
      </c>
      <c r="C9036" s="10" t="inlineStr">
        <is>
          <t>Chuyên Viên Thu Mua</t>
        </is>
      </c>
      <c r="D9036" s="10" t="inlineStr">
        <is>
          <t>Công Ty Cổ Phần Apollo Silicone</t>
        </is>
      </c>
      <c r="E9036" s="10" t="inlineStr">
        <is>
          <t>Thương lượng</t>
        </is>
      </c>
      <c r="F9036" s="10" t="inlineStr">
        <is>
          <t>Hồ Chí Minh</t>
        </is>
      </c>
      <c r="G9036" s="10" t="inlineStr">
        <is>
          <t>Nhân viên</t>
        </is>
      </c>
      <c r="H9036" s="10" t="inlineStr">
        <is>
          <t>09/03/2026</t>
        </is>
      </c>
      <c r="I9036" s="10" t="inlineStr">
        <is>
          <t>08/04/2026</t>
        </is>
      </c>
      <c r="J9036" s="10" t="inlineStr">
        <is>
          <t>17/03/2026</t>
        </is>
      </c>
      <c r="K9036" s="10" t="inlineStr">
        <is>
          <t>N/A</t>
        </is>
      </c>
      <c r="L9036" s="10" t="inlineStr">
        <is>
          <t>Thu Mua, Mua Hàng Sản Xuất, Mua hàng &amp; Tìm nguồn cung ứng, Mua Hàng Kỹ Thuật, Mua Hàng Trong Nước</t>
        </is>
      </c>
      <c r="M9036" s="10" t="inlineStr">
        <is>
          <t>Bonus</t>
        </is>
      </c>
      <c r="N9036" s="11">
        <f>HYPERLINK("https://www.vietnamworks.com/chuyen-vien-thu-mua--2020686-jv","Xem chi tiết")</f>
        <v/>
      </c>
      <c r="O9036" s="10" t="n"/>
    </row>
    <row r="9037">
      <c r="B9037" s="7" t="n">
        <v>9035</v>
      </c>
      <c r="C9037" t="inlineStr">
        <is>
          <t>Service &amp; Tender Assistant/ Trợ Lý Phòng Dịch Vụ và Thầu</t>
        </is>
      </c>
      <c r="D9037" t="inlineStr">
        <is>
          <t>Yokogawa Vietnam Company Limited</t>
        </is>
      </c>
      <c r="E9037" t="inlineStr">
        <is>
          <t>Thương lượng</t>
        </is>
      </c>
      <c r="F9037" t="inlineStr">
        <is>
          <t>Hồ Chí Minh</t>
        </is>
      </c>
      <c r="G9037" t="inlineStr">
        <is>
          <t>Nhân viên</t>
        </is>
      </c>
      <c r="H9037" t="inlineStr">
        <is>
          <t>09/03/2026</t>
        </is>
      </c>
      <c r="I9037" t="inlineStr">
        <is>
          <t>08/04/2026</t>
        </is>
      </c>
      <c r="J9037" t="inlineStr">
        <is>
          <t>17/03/2026</t>
        </is>
      </c>
      <c r="K9037" t="inlineStr">
        <is>
          <t>N/A</t>
        </is>
      </c>
      <c r="L9037" t="inlineStr">
        <is>
          <t>Kỹ Thuật, Trợ Lý, Admin, Dự án, Assistant Experience</t>
        </is>
      </c>
      <c r="M9037" t="inlineStr">
        <is>
          <t>Bonus, Healthcare Plan, Travel Opportunities</t>
        </is>
      </c>
      <c r="N9037" s="8">
        <f>HYPERLINK("https://www.vietnamworks.com/service-tender-assistant-tro-ly-phong-dich-vu-va-thau--2020704-jv","Xem chi tiết")</f>
        <v/>
      </c>
    </row>
    <row r="9038">
      <c r="B9038" s="9" t="n">
        <v>9036</v>
      </c>
      <c r="C9038" s="10" t="inlineStr">
        <is>
          <t>Chuyên Viên Thiết Kế Cơ Điện</t>
        </is>
      </c>
      <c r="D9038" s="10" t="inlineStr">
        <is>
          <t>Công Ty Cổ Phần Đầu Tư Xây Dựng Viteccons</t>
        </is>
      </c>
      <c r="E9038" s="10" t="inlineStr">
        <is>
          <t>$$ 550-850 /tháng</t>
        </is>
      </c>
      <c r="F9038" s="10" t="inlineStr">
        <is>
          <t>Hồ Chí Minh</t>
        </is>
      </c>
      <c r="G9038" s="10" t="inlineStr">
        <is>
          <t>Nhân viên</t>
        </is>
      </c>
      <c r="H9038" s="10" t="inlineStr">
        <is>
          <t>09/03/2026</t>
        </is>
      </c>
      <c r="I9038" s="10" t="inlineStr">
        <is>
          <t>08/04/2026</t>
        </is>
      </c>
      <c r="J9038" s="10" t="inlineStr">
        <is>
          <t>17/03/2026</t>
        </is>
      </c>
      <c r="K9038" s="10" t="inlineStr">
        <is>
          <t>N/A</t>
        </is>
      </c>
      <c r="L9038" s="10" t="inlineStr">
        <is>
          <t>Thiết Kế</t>
        </is>
      </c>
      <c r="M9038" s="10" t="inlineStr">
        <is>
          <t>Others</t>
        </is>
      </c>
      <c r="N9038" s="11">
        <f>HYPERLINK("https://www.vietnamworks.com/chuyen-vien-thiet-ke-co-dien--2020712-jv","Xem chi tiết")</f>
        <v/>
      </c>
      <c r="O9038" s="10" t="n"/>
    </row>
    <row r="9039">
      <c r="B9039" s="7" t="n">
        <v>9037</v>
      </c>
      <c r="C9039" t="inlineStr">
        <is>
          <t>Trưởng Bộ Phận Hành Chính Nhân Sự</t>
        </is>
      </c>
      <c r="D9039" t="inlineStr">
        <is>
          <t>Công Ty CP XNK Hóa Chất &amp; Thiết Bị Kim Ngưu</t>
        </is>
      </c>
      <c r="E9039" t="inlineStr">
        <is>
          <t>Thương lượng</t>
        </is>
      </c>
      <c r="F9039" t="inlineStr">
        <is>
          <t>Hưng Yên</t>
        </is>
      </c>
      <c r="G9039" t="inlineStr">
        <is>
          <t>Trưởng phòng</t>
        </is>
      </c>
      <c r="H9039" t="inlineStr">
        <is>
          <t>09/03/2026</t>
        </is>
      </c>
      <c r="I9039" t="inlineStr">
        <is>
          <t>08/04/2026</t>
        </is>
      </c>
      <c r="J9039" t="inlineStr">
        <is>
          <t>17/03/2026</t>
        </is>
      </c>
      <c r="K9039" t="inlineStr">
        <is>
          <t>N/A</t>
        </is>
      </c>
      <c r="L9039" t="inlineStr">
        <is>
          <t>Brand Marketing, FMCG, Quản Lý Ngân Sách, Quảng Cáo Thương Hiệu</t>
        </is>
      </c>
      <c r="M9039" t="inlineStr">
        <is>
          <t>Bonus, Healthcare Plan, Paid Leave, Transportation, Canteen</t>
        </is>
      </c>
      <c r="N9039" s="8">
        <f>HYPERLINK("https://www.vietnamworks.com/truong-bo-phan-hanh-chinh-nhan-su--2020702-jv","Xem chi tiết")</f>
        <v/>
      </c>
    </row>
    <row r="9040">
      <c r="B9040" s="9" t="n">
        <v>9038</v>
      </c>
      <c r="C9040" s="10" t="inlineStr">
        <is>
          <t>Quản Lý Sàn Thương Mại Điện Tử - E -Commerce (Thu Nhập Trên 20Tr/tháng)</t>
        </is>
      </c>
      <c r="D9040" s="10" t="inlineStr">
        <is>
          <t>Công Ty Cổ Phần Thương Mại Âu Á</t>
        </is>
      </c>
      <c r="E9040" s="10" t="inlineStr">
        <is>
          <t>Từ 20tr ₫/tháng</t>
        </is>
      </c>
      <c r="F9040" s="10" t="inlineStr">
        <is>
          <t>Hà Nội</t>
        </is>
      </c>
      <c r="G9040" s="10" t="inlineStr">
        <is>
          <t>Trưởng phòng</t>
        </is>
      </c>
      <c r="H9040" s="10" t="inlineStr">
        <is>
          <t>09/03/2026</t>
        </is>
      </c>
      <c r="I9040" s="10" t="inlineStr">
        <is>
          <t>08/04/2026</t>
        </is>
      </c>
      <c r="J9040" s="10" t="inlineStr">
        <is>
          <t>17/03/2026</t>
        </is>
      </c>
      <c r="K9040" s="10" t="inlineStr">
        <is>
          <t>N/A</t>
        </is>
      </c>
      <c r="L9040" s="10" t="inlineStr">
        <is>
          <t>Phân tích dữ liệu, KOL, KOL Campaigns, Kol Relationship Management, KOL/KOC Management</t>
        </is>
      </c>
      <c r="M9040" s="10" t="inlineStr">
        <is>
          <t>Bonus, Paid Leave, Training, Others</t>
        </is>
      </c>
      <c r="N9040" s="11">
        <f>HYPERLINK("https://www.vietnamworks.com/quan-ly-san-thuong-mai-dien-tu-e-commerce-thu-nhap-tren-20tr-thang-2020701-jv","Xem chi tiết")</f>
        <v/>
      </c>
      <c r="O9040" s="10" t="n"/>
    </row>
    <row r="9041">
      <c r="B9041" s="7" t="n">
        <v>9039</v>
      </c>
      <c r="C9041" t="inlineStr">
        <is>
          <t>Kỹ Sư PCCC (Lương 18-30 Triệu)</t>
        </is>
      </c>
      <c r="D9041" t="inlineStr">
        <is>
          <t>Công Ty Cổ Phần Đầu Tư Xây Dựng - Facco</t>
        </is>
      </c>
      <c r="E9041" t="inlineStr">
        <is>
          <t>18tr-30tr ₫/tháng</t>
        </is>
      </c>
      <c r="F9041" t="inlineStr">
        <is>
          <t>Hà Nội</t>
        </is>
      </c>
      <c r="G9041" t="inlineStr">
        <is>
          <t>Nhân viên</t>
        </is>
      </c>
      <c r="H9041" t="inlineStr">
        <is>
          <t>09/03/2026</t>
        </is>
      </c>
      <c r="I9041" t="inlineStr">
        <is>
          <t>08/04/2026</t>
        </is>
      </c>
      <c r="J9041" t="inlineStr">
        <is>
          <t>17/03/2026</t>
        </is>
      </c>
      <c r="K9041" t="inlineStr">
        <is>
          <t>N/A</t>
        </is>
      </c>
      <c r="L9041" t="inlineStr">
        <is>
          <t>Dự Toán Công Trình, Giám Sát Thi Công, Hệ Thống Phòng Cháy Chữa Cháy, Phòng Cháy Chữa Cháy, Shop Drawing</t>
        </is>
      </c>
      <c r="M9041" t="inlineStr">
        <is>
          <t>Bonus, Healthcare Plan</t>
        </is>
      </c>
      <c r="N9041" s="8">
        <f>HYPERLINK("https://www.vietnamworks.com/ky-su-pccc-luong-18-30-trieu-2020713-jv","Xem chi tiết")</f>
        <v/>
      </c>
    </row>
    <row r="9042">
      <c r="B9042" s="9" t="n">
        <v>9040</v>
      </c>
      <c r="C9042" s="10" t="inlineStr">
        <is>
          <t>Kỹ Sư Cơ Khí</t>
        </is>
      </c>
      <c r="D9042" s="10" t="inlineStr">
        <is>
          <t>Công Ty Cổ Phần Thiết Bị Đo Điện EMIC</t>
        </is>
      </c>
      <c r="E9042" s="10" t="inlineStr">
        <is>
          <t>Thương lượng</t>
        </is>
      </c>
      <c r="F9042" s="10" t="inlineStr">
        <is>
          <t>Bắc Ninh</t>
        </is>
      </c>
      <c r="G9042" s="10" t="inlineStr">
        <is>
          <t>Mới Tốt Nghiệp</t>
        </is>
      </c>
      <c r="H9042" s="10" t="inlineStr">
        <is>
          <t>09/03/2026</t>
        </is>
      </c>
      <c r="I9042" s="10" t="inlineStr">
        <is>
          <t>08/04/2026</t>
        </is>
      </c>
      <c r="J9042" s="10" t="inlineStr">
        <is>
          <t>17/03/2026</t>
        </is>
      </c>
      <c r="K9042" s="10" t="inlineStr">
        <is>
          <t>N/A</t>
        </is>
      </c>
      <c r="L9042" s="10" t="inlineStr">
        <is>
          <t>AutoCAD, Chế Tạo Máy, Cơ Khí, Cơ Điện Tử, Kỹ Thuật Cơ Khí</t>
        </is>
      </c>
      <c r="M9042" s="10" t="inlineStr">
        <is>
          <t>Bonus, Healthcare Plan, Travel Opportunities, Transportation, Others</t>
        </is>
      </c>
      <c r="N9042" s="11">
        <f>HYPERLINK("https://www.vietnamworks.com/ky-su-co-khi-2020715-jv","Xem chi tiết")</f>
        <v/>
      </c>
      <c r="O9042" s="10" t="n"/>
    </row>
    <row r="9043">
      <c r="B9043" s="7" t="n">
        <v>9041</v>
      </c>
      <c r="C9043" t="inlineStr">
        <is>
          <t>Kỹ Sư Hàn Sóng (Wave Soldering &amp; PCB Assembly)</t>
        </is>
      </c>
      <c r="D9043" t="inlineStr">
        <is>
          <t>Công Ty TNHH Vinatech Vina</t>
        </is>
      </c>
      <c r="E9043" t="inlineStr">
        <is>
          <t>$$ 700-1,500 /tháng</t>
        </is>
      </c>
      <c r="F9043" t="inlineStr">
        <is>
          <t>Bắc Ninh</t>
        </is>
      </c>
      <c r="G9043" t="inlineStr">
        <is>
          <t>Nhân viên</t>
        </is>
      </c>
      <c r="H9043" t="inlineStr">
        <is>
          <t>09/03/2026</t>
        </is>
      </c>
      <c r="I9043" t="inlineStr">
        <is>
          <t>08/04/2026</t>
        </is>
      </c>
      <c r="J9043" t="inlineStr">
        <is>
          <t>17/03/2026</t>
        </is>
      </c>
      <c r="K9043" t="inlineStr">
        <is>
          <t>N/A</t>
        </is>
      </c>
      <c r="L9043" t="inlineStr">
        <is>
          <t>Assembly Process, PCB, SMT Technology, SMT</t>
        </is>
      </c>
      <c r="M9043" t="inlineStr">
        <is>
          <t>Bonus, Healthcare Plan, Training</t>
        </is>
      </c>
      <c r="N9043" s="8">
        <f>HYPERLINK("https://www.vietnamworks.com/ky-su-han-song-wave-soldering-pcb-assembly--2020728-jv","Xem chi tiết")</f>
        <v/>
      </c>
    </row>
    <row r="9044">
      <c r="B9044" s="9" t="n">
        <v>9042</v>
      </c>
      <c r="C9044" s="10" t="inlineStr">
        <is>
          <t>Operation Staff</t>
        </is>
      </c>
      <c r="D9044" s="10" t="inlineStr">
        <is>
          <t>Trancy Logistics (Vietnam) CO., LTD/ Trancy Distribution (Vietnam) CO., LTD</t>
        </is>
      </c>
      <c r="E9044" s="10" t="inlineStr">
        <is>
          <t>Thương lượng</t>
        </is>
      </c>
      <c r="F9044" s="10" t="inlineStr">
        <is>
          <t>Hồ Chí Minh</t>
        </is>
      </c>
      <c r="G9044" s="10" t="inlineStr">
        <is>
          <t>Nhân viên</t>
        </is>
      </c>
      <c r="H9044" s="10" t="inlineStr">
        <is>
          <t>09/03/2026</t>
        </is>
      </c>
      <c r="I9044" s="10" t="inlineStr">
        <is>
          <t>08/04/2026</t>
        </is>
      </c>
      <c r="J9044" s="10" t="inlineStr">
        <is>
          <t>17/03/2026</t>
        </is>
      </c>
      <c r="K9044" s="10" t="inlineStr">
        <is>
          <t>N/A</t>
        </is>
      </c>
      <c r="L9044" s="10" t="inlineStr">
        <is>
          <t>Customs Clearance, English Fluency, Shipping Documents, Status Tracking, Booking To Shipping Line</t>
        </is>
      </c>
      <c r="M9044" s="10" t="inlineStr">
        <is>
          <t>Others</t>
        </is>
      </c>
      <c r="N9044" s="11">
        <f>HYPERLINK("https://www.vietnamworks.com/operation-staff-2020726-jv","Xem chi tiết")</f>
        <v/>
      </c>
      <c r="O9044" s="10" t="n"/>
    </row>
    <row r="9045">
      <c r="B9045" s="7" t="n">
        <v>9043</v>
      </c>
      <c r="C9045" t="inlineStr">
        <is>
          <t>Nhân Viên Merchandiser</t>
        </is>
      </c>
      <c r="D9045" t="inlineStr">
        <is>
          <t>Công Ty TNHH Vaude Việt Nam</t>
        </is>
      </c>
      <c r="E9045" t="inlineStr">
        <is>
          <t>Thương lượng</t>
        </is>
      </c>
      <c r="F9045" t="inlineStr">
        <is>
          <t>Thanh Hóa, Hà Nội, Ninh Bình</t>
        </is>
      </c>
      <c r="G9045" t="inlineStr">
        <is>
          <t>Nhân viên</t>
        </is>
      </c>
      <c r="H9045" t="inlineStr">
        <is>
          <t>09/03/2026</t>
        </is>
      </c>
      <c r="I9045" t="inlineStr">
        <is>
          <t>08/04/2026</t>
        </is>
      </c>
      <c r="J9045" t="inlineStr">
        <is>
          <t>17/03/2026</t>
        </is>
      </c>
      <c r="K9045" t="inlineStr">
        <is>
          <t>N/A</t>
        </is>
      </c>
      <c r="L9045" t="inlineStr">
        <is>
          <t>Tìm Kiếm Nhà Cung Cấp, Tính Giá Thành, Theo Dõi Đơn Hàng, May Mặc, Sản Xuất</t>
        </is>
      </c>
      <c r="M9045" t="inlineStr">
        <is>
          <t>Bonus, Healthcare Plan, Travel Opportunities</t>
        </is>
      </c>
      <c r="N9045" s="8">
        <f>HYPERLINK("https://www.vietnamworks.com/nhan-vien-merchandiser-14--2020723-jv","Xem chi tiết")</f>
        <v/>
      </c>
    </row>
    <row r="9046">
      <c r="B9046" s="9" t="n">
        <v>9044</v>
      </c>
      <c r="C9046" s="10" t="inlineStr">
        <is>
          <t>Trưởng Phòng Quản Trị Hệ Thống và Dữ Liệu Nhân Sự (HRIS)</t>
        </is>
      </c>
      <c r="D9046" s="10" t="inlineStr">
        <is>
          <t>Tập Đoàn Sun Group</t>
        </is>
      </c>
      <c r="E9046" s="10" t="inlineStr">
        <is>
          <t>Thương lượng</t>
        </is>
      </c>
      <c r="F9046" s="10" t="inlineStr">
        <is>
          <t>Hà Nội</t>
        </is>
      </c>
      <c r="G9046" s="10" t="inlineStr">
        <is>
          <t>Trưởng phòng</t>
        </is>
      </c>
      <c r="H9046" s="10" t="inlineStr">
        <is>
          <t>09/03/2026</t>
        </is>
      </c>
      <c r="I9046" s="10" t="inlineStr">
        <is>
          <t>08/04/2026</t>
        </is>
      </c>
      <c r="J9046" s="10" t="inlineStr">
        <is>
          <t>17/03/2026</t>
        </is>
      </c>
      <c r="K9046" s="10" t="inlineStr">
        <is>
          <t>N/A</t>
        </is>
      </c>
      <c r="L9046" s="10" t="inlineStr">
        <is>
          <t>HRIS, HR Analytics, Quản Lý Nhân Sự, Hr Technology</t>
        </is>
      </c>
      <c r="M9046" s="10" t="inlineStr">
        <is>
          <t>Bonus, Healthcare Plan, Canteen, Vouchers, Others</t>
        </is>
      </c>
      <c r="N9046" s="11">
        <f>HYPERLINK("https://www.vietnamworks.com/truong-phong-quan-tri-he-thong-va-du-lieu-nhan-su-hris-2020714-jv","Xem chi tiết")</f>
        <v/>
      </c>
      <c r="O9046" s="10" t="n"/>
    </row>
    <row r="9047">
      <c r="B9047" s="7" t="n">
        <v>9045</v>
      </c>
      <c r="C9047" t="inlineStr">
        <is>
          <t>Commercial Business Analyst</t>
        </is>
      </c>
      <c r="D9047" t="inlineStr">
        <is>
          <t>Indorama Ventures Vietnam</t>
        </is>
      </c>
      <c r="E9047" t="inlineStr">
        <is>
          <t>Thương lượng</t>
        </is>
      </c>
      <c r="F9047" t="inlineStr">
        <is>
          <t>Hồ Chí Minh</t>
        </is>
      </c>
      <c r="G9047" t="inlineStr">
        <is>
          <t>Nhân viên</t>
        </is>
      </c>
      <c r="H9047" t="inlineStr">
        <is>
          <t>09/03/2026</t>
        </is>
      </c>
      <c r="I9047" t="inlineStr">
        <is>
          <t>08/04/2026</t>
        </is>
      </c>
      <c r="J9047" t="inlineStr">
        <is>
          <t>17/03/2026</t>
        </is>
      </c>
      <c r="K9047" t="inlineStr">
        <is>
          <t>N/A</t>
        </is>
      </c>
      <c r="L9047" t="inlineStr">
        <is>
          <t>Costing, Costing Analysis, Data Analysis, Excel Proficiency, Product Pricing</t>
        </is>
      </c>
      <c r="M9047" t="inlineStr">
        <is>
          <t>Paid Leave, Laptop, Team Activities</t>
        </is>
      </c>
      <c r="N9047" s="8">
        <f>HYPERLINK("https://www.vietnamworks.com/commercial-business-analyst-2020718-jv","Xem chi tiết")</f>
        <v/>
      </c>
    </row>
    <row r="9048">
      <c r="B9048" s="9" t="n">
        <v>9046</v>
      </c>
      <c r="C9048" s="10" t="inlineStr">
        <is>
          <t>Franchise Operations Manager</t>
        </is>
      </c>
      <c r="D9048" s="10" t="inlineStr">
        <is>
          <t>Language Link Vietnam</t>
        </is>
      </c>
      <c r="E9048" s="10" t="inlineStr">
        <is>
          <t>Thương lượng</t>
        </is>
      </c>
      <c r="F9048" s="10" t="inlineStr">
        <is>
          <t>Hà Nội</t>
        </is>
      </c>
      <c r="G9048" s="10" t="inlineStr">
        <is>
          <t>Trưởng phòng</t>
        </is>
      </c>
      <c r="H9048" s="10" t="inlineStr">
        <is>
          <t>09/03/2026</t>
        </is>
      </c>
      <c r="I9048" s="10" t="inlineStr">
        <is>
          <t>08/04/2026</t>
        </is>
      </c>
      <c r="J9048" s="10" t="inlineStr">
        <is>
          <t>17/03/2026</t>
        </is>
      </c>
      <c r="K9048" s="10" t="inlineStr">
        <is>
          <t>N/A</t>
        </is>
      </c>
      <c r="L9048" s="10" t="inlineStr">
        <is>
          <t>Communication Skills, Problem-solving, Project Management, Task Coordination, Franchise Operations</t>
        </is>
      </c>
      <c r="M9048" s="10" t="inlineStr">
        <is>
          <t>Healthcare Plan, Paid Leave, Training, Others</t>
        </is>
      </c>
      <c r="N9048" s="11">
        <f>HYPERLINK("https://www.vietnamworks.com/franchise-operations-manager-2020725-jv","Xem chi tiết")</f>
        <v/>
      </c>
      <c r="O9048" s="10" t="n"/>
    </row>
    <row r="9049">
      <c r="B9049" s="7" t="n">
        <v>9047</v>
      </c>
      <c r="C9049" t="inlineStr">
        <is>
          <t>Case Manager - 100% Remote, Contractor</t>
        </is>
      </c>
      <c r="D9049" t="inlineStr">
        <is>
          <t>AWEPLUS CX SOLUTION</t>
        </is>
      </c>
      <c r="E9049" t="inlineStr">
        <is>
          <t>$$ 750-800 /tháng</t>
        </is>
      </c>
      <c r="F9049" t="inlineStr">
        <is>
          <t>Hồ Chí Minh, Hà Nội</t>
        </is>
      </c>
      <c r="G9049" t="inlineStr">
        <is>
          <t>Nhân viên</t>
        </is>
      </c>
      <c r="H9049" t="inlineStr">
        <is>
          <t>09/03/2026</t>
        </is>
      </c>
      <c r="I9049" t="inlineStr">
        <is>
          <t>08/04/2026</t>
        </is>
      </c>
      <c r="J9049" t="inlineStr">
        <is>
          <t>17/03/2026</t>
        </is>
      </c>
      <c r="K9049" t="inlineStr">
        <is>
          <t>N/A</t>
        </is>
      </c>
      <c r="L9049" t="inlineStr">
        <is>
          <t>Customer Care Mindset, Logical Thinking, English, Documentation, Customer Support</t>
        </is>
      </c>
      <c r="M9049" t="inlineStr">
        <is>
          <t>Training</t>
        </is>
      </c>
      <c r="N9049" s="8">
        <f>HYPERLINK("https://www.vietnamworks.com/case-manager-100-remote-contractor--2020731-jv","Xem chi tiết")</f>
        <v/>
      </c>
    </row>
    <row r="9050">
      <c r="B9050" s="9" t="n">
        <v>9048</v>
      </c>
      <c r="C9050" s="10" t="inlineStr">
        <is>
          <t>[Hải Phòng] Site Admin (for Project Management)</t>
        </is>
      </c>
      <c r="D9050" s="10" t="inlineStr">
        <is>
          <t>CapitaLand Development (Vietnam)</t>
        </is>
      </c>
      <c r="E9050" s="10" t="inlineStr">
        <is>
          <t>Thương lượng</t>
        </is>
      </c>
      <c r="F9050" s="10" t="inlineStr">
        <is>
          <t>Hải Phòng</t>
        </is>
      </c>
      <c r="G9050" s="10" t="inlineStr">
        <is>
          <t>Nhân viên</t>
        </is>
      </c>
      <c r="H9050" s="10" t="inlineStr">
        <is>
          <t>09/03/2026</t>
        </is>
      </c>
      <c r="I9050" s="10" t="inlineStr">
        <is>
          <t>08/04/2026</t>
        </is>
      </c>
      <c r="J9050" s="10" t="inlineStr">
        <is>
          <t>17/03/2026</t>
        </is>
      </c>
      <c r="K9050" s="10" t="inlineStr">
        <is>
          <t>N/A</t>
        </is>
      </c>
      <c r="L9050" s="10" t="inlineStr">
        <is>
          <t>Site Administration, Filing Documents</t>
        </is>
      </c>
      <c r="M9050" s="10" t="inlineStr">
        <is>
          <t>Bonus, Healthcare Plan, Paid Leave</t>
        </is>
      </c>
      <c r="N9050" s="11">
        <f>HYPERLINK("https://www.vietnamworks.com/hai-phong-site-admin-for-project-management-2020752-jv","Xem chi tiết")</f>
        <v/>
      </c>
      <c r="O9050" s="10" t="n"/>
    </row>
    <row r="9051">
      <c r="B9051" s="7" t="n">
        <v>9049</v>
      </c>
      <c r="C9051" t="inlineStr">
        <is>
          <t>Client Management Assistant - 100% Remote, Contractor</t>
        </is>
      </c>
      <c r="D9051" t="inlineStr">
        <is>
          <t>AWEPLUS CX SOLUTION</t>
        </is>
      </c>
      <c r="E9051" t="inlineStr">
        <is>
          <t>$$ 400-500 /tháng</t>
        </is>
      </c>
      <c r="F9051" t="inlineStr">
        <is>
          <t>Hà Nội, Hồ Chí Minh</t>
        </is>
      </c>
      <c r="G9051" t="inlineStr">
        <is>
          <t>Nhân viên</t>
        </is>
      </c>
      <c r="H9051" t="inlineStr">
        <is>
          <t>09/03/2026</t>
        </is>
      </c>
      <c r="I9051" t="inlineStr">
        <is>
          <t>08/04/2026</t>
        </is>
      </c>
      <c r="J9051" t="inlineStr">
        <is>
          <t>17/03/2026</t>
        </is>
      </c>
      <c r="K9051" t="inlineStr">
        <is>
          <t>N/A</t>
        </is>
      </c>
      <c r="L9051" t="inlineStr">
        <is>
          <t>Client Management, English, Client Support, Chăm Sóc Khách Hàng, Customer Excellence</t>
        </is>
      </c>
      <c r="M9051" t="inlineStr">
        <is>
          <t>Training</t>
        </is>
      </c>
      <c r="N9051" s="8">
        <f>HYPERLINK("https://www.vietnamworks.com/client-management-assistant-100-remote-contractor--2020743-jv","Xem chi tiết")</f>
        <v/>
      </c>
    </row>
    <row r="9052">
      <c r="B9052" s="9" t="n">
        <v>9050</v>
      </c>
      <c r="C9052" s="10" t="inlineStr">
        <is>
          <t>Chuyên Viên Cao Cấp Thủ Tục (Mảng Bất Động Sản)</t>
        </is>
      </c>
      <c r="D9052" s="10" t="inlineStr">
        <is>
          <t>Công Ty Cổ Phần Tập Đoàn Masterise</t>
        </is>
      </c>
      <c r="E9052" s="10" t="inlineStr">
        <is>
          <t>20tr-25tr ₫/tháng</t>
        </is>
      </c>
      <c r="F9052" s="10" t="inlineStr">
        <is>
          <t>Hồ Chí Minh</t>
        </is>
      </c>
      <c r="G9052" s="10" t="inlineStr">
        <is>
          <t>Nhân viên</t>
        </is>
      </c>
      <c r="H9052" s="10" t="inlineStr">
        <is>
          <t>09/03/2026</t>
        </is>
      </c>
      <c r="I9052" s="10" t="inlineStr">
        <is>
          <t>08/04/2026</t>
        </is>
      </c>
      <c r="J9052" s="10" t="inlineStr">
        <is>
          <t>17/03/2026</t>
        </is>
      </c>
      <c r="K9052" s="10" t="inlineStr">
        <is>
          <t>N/A</t>
        </is>
      </c>
      <c r="L9052" s="10" t="inlineStr">
        <is>
          <t>Bất Động Sản, Kiểm Tra Chứng Từ, Quản Lý Hồ Sơ, Tin Học Văn Phòng, Xử Lý Giao Dịch</t>
        </is>
      </c>
      <c r="M9052" s="10" t="inlineStr">
        <is>
          <t>Bonus, Healthcare Plan, Others</t>
        </is>
      </c>
      <c r="N9052" s="11">
        <f>HYPERLINK("https://www.vietnamworks.com/chuyen-vien-cao-cap-thu-tuc-mang-bat-djong-san-2020744-jv","Xem chi tiết")</f>
        <v/>
      </c>
      <c r="O9052" s="10" t="n"/>
    </row>
    <row r="9053">
      <c r="B9053" s="7" t="n">
        <v>9051</v>
      </c>
      <c r="C9053" t="inlineStr">
        <is>
          <t>Biên Phiên Dịch Tiếng Trung</t>
        </is>
      </c>
      <c r="D9053" t="inlineStr">
        <is>
          <t>Công Ty Cổ Phần Địa Ốc Phú Long</t>
        </is>
      </c>
      <c r="E9053" t="inlineStr">
        <is>
          <t>Thương lượng</t>
        </is>
      </c>
      <c r="F9053" t="inlineStr">
        <is>
          <t>Hồ Chí Minh</t>
        </is>
      </c>
      <c r="G9053" t="inlineStr">
        <is>
          <t>Nhân viên</t>
        </is>
      </c>
      <c r="H9053" t="inlineStr">
        <is>
          <t>09/03/2026</t>
        </is>
      </c>
      <c r="I9053" t="inlineStr">
        <is>
          <t>08/04/2026</t>
        </is>
      </c>
      <c r="J9053" t="inlineStr">
        <is>
          <t>17/03/2026</t>
        </is>
      </c>
      <c r="K9053" t="inlineStr">
        <is>
          <t>N/A</t>
        </is>
      </c>
      <c r="L9053" t="inlineStr">
        <is>
          <t>Tiếng Trung, Biên Phiên Dịch Tiếng Trung, Phiên Dịch, Biên Phiên Dịch, Biên Phiên Dịch Tiếng Hoa</t>
        </is>
      </c>
      <c r="M9053" t="inlineStr">
        <is>
          <t>Bonus, Awards, Others</t>
        </is>
      </c>
      <c r="N9053" s="8">
        <f>HYPERLINK("https://www.vietnamworks.com/bien-phien-dich-tieng-trung--2020750-jv","Xem chi tiết")</f>
        <v/>
      </c>
    </row>
    <row r="9054">
      <c r="B9054" s="9" t="n">
        <v>9052</v>
      </c>
      <c r="C9054" s="10" t="inlineStr">
        <is>
          <t>Quản Lý Nhãn Hàng (Mức Lương Từ 20 - 25 Triệu/tháng)</t>
        </is>
      </c>
      <c r="D9054" s="10" t="inlineStr">
        <is>
          <t>Công Ty Cổ Phần Anvy</t>
        </is>
      </c>
      <c r="E9054" s="10" t="inlineStr">
        <is>
          <t>20tr-25tr ₫/tháng</t>
        </is>
      </c>
      <c r="F9054" s="10" t="inlineStr">
        <is>
          <t>Hà Nội</t>
        </is>
      </c>
      <c r="G9054" s="10" t="inlineStr">
        <is>
          <t>Trưởng phòng</t>
        </is>
      </c>
      <c r="H9054" s="10" t="inlineStr">
        <is>
          <t>09/03/2026</t>
        </is>
      </c>
      <c r="I9054" s="10" t="inlineStr">
        <is>
          <t>08/04/2026</t>
        </is>
      </c>
      <c r="J9054" s="10" t="inlineStr">
        <is>
          <t>17/03/2026</t>
        </is>
      </c>
      <c r="K9054" s="10" t="inlineStr">
        <is>
          <t>N/A</t>
        </is>
      </c>
      <c r="L9054" s="10" t="inlineStr">
        <is>
          <t>Lập Kế Hoạch, Phân Tích Thị Trường, Quản Trị Kinh Doanh, Quản Trị Marketing, Sáng Tạo Nội Dung</t>
        </is>
      </c>
      <c r="M9054" s="10" t="inlineStr">
        <is>
          <t>Bonus, Healthcare Plan, Paid Leave, Training, Laptop, Team Activities</t>
        </is>
      </c>
      <c r="N9054" s="11">
        <f>HYPERLINK("https://www.vietnamworks.com/quan-ly-nhan-hang-muc-luong-tu-20-25-trieu-thang-2020746-jv","Xem chi tiết")</f>
        <v/>
      </c>
      <c r="O9054" s="10" t="n"/>
    </row>
    <row r="9055">
      <c r="B9055" s="7" t="n">
        <v>9053</v>
      </c>
      <c r="C9055" t="inlineStr">
        <is>
          <t>[Hải Phòng] Assisstant Site Manager (MEP)</t>
        </is>
      </c>
      <c r="D9055" t="inlineStr">
        <is>
          <t>CapitaLand Development (Vietnam)</t>
        </is>
      </c>
      <c r="E9055" t="inlineStr">
        <is>
          <t>Thương lượng</t>
        </is>
      </c>
      <c r="F9055" t="inlineStr">
        <is>
          <t>Hải Phòng</t>
        </is>
      </c>
      <c r="G9055" t="inlineStr">
        <is>
          <t>Nhân viên</t>
        </is>
      </c>
      <c r="H9055" t="inlineStr">
        <is>
          <t>09/03/2026</t>
        </is>
      </c>
      <c r="I9055" t="inlineStr">
        <is>
          <t>08/04/2026</t>
        </is>
      </c>
      <c r="J9055" t="inlineStr">
        <is>
          <t>17/03/2026</t>
        </is>
      </c>
      <c r="K9055" t="inlineStr">
        <is>
          <t>N/A</t>
        </is>
      </c>
      <c r="L9055" t="inlineStr">
        <is>
          <t>Project Management, Power Systems, MEP Engineering, Electrical Management, Electrical Systems</t>
        </is>
      </c>
      <c r="M9055" t="inlineStr">
        <is>
          <t>Bonus, Healthcare Plan, Paid Leave</t>
        </is>
      </c>
      <c r="N9055" s="8">
        <f>HYPERLINK("https://www.vietnamworks.com/hai-phong-assisstant-site-manager-mep-2020747-jv","Xem chi tiết")</f>
        <v/>
      </c>
    </row>
    <row r="9056">
      <c r="B9056" s="9" t="n">
        <v>9054</v>
      </c>
      <c r="C9056" s="10" t="inlineStr">
        <is>
          <t>LG Innotek Tuyển Dụng Thực Tập Sinh Kỹ Thuật 2026</t>
        </is>
      </c>
      <c r="D9056" s="10" t="inlineStr">
        <is>
          <t>Công Ty TNHH LG Innotek Việt Nam Hải Phòng</t>
        </is>
      </c>
      <c r="E9056" s="10" t="inlineStr">
        <is>
          <t>Thương lượng</t>
        </is>
      </c>
      <c r="F9056" s="10" t="inlineStr">
        <is>
          <t>Hải Phòng</t>
        </is>
      </c>
      <c r="G9056" s="10" t="inlineStr">
        <is>
          <t>Thực tập sinh/Sinh viên</t>
        </is>
      </c>
      <c r="H9056" s="10" t="inlineStr">
        <is>
          <t>09/03/2026</t>
        </is>
      </c>
      <c r="I9056" s="10" t="inlineStr">
        <is>
          <t>08/04/2026</t>
        </is>
      </c>
      <c r="J9056" s="10" t="inlineStr">
        <is>
          <t>17/03/2026</t>
        </is>
      </c>
      <c r="K9056" s="10" t="inlineStr">
        <is>
          <t>N/A</t>
        </is>
      </c>
      <c r="L9056" s="10" t="inlineStr">
        <is>
          <t>MFG, Sản xuất, Tiếng Anh, Cơ Khí, Quản Lý Sản Lượng</t>
        </is>
      </c>
      <c r="M9056" s="10" t="inlineStr">
        <is>
          <t>Bonus, Transportation, Others</t>
        </is>
      </c>
      <c r="N9056" s="11">
        <f>HYPERLINK("https://www.vietnamworks.com/lg-innotek-tuyen-dung-thuc-tap-sinh-ky-thuat-2026--2020719-jv","Xem chi tiết")</f>
        <v/>
      </c>
      <c r="O9056" s="10" t="n"/>
    </row>
    <row r="9057">
      <c r="B9057" s="7" t="n">
        <v>9055</v>
      </c>
      <c r="C9057" t="inlineStr">
        <is>
          <t>Nhân Viên Kinh Doanh Quốc Tế</t>
        </is>
      </c>
      <c r="D9057" t="inlineStr">
        <is>
          <t>Công Ty Cổ Phần Thiết Bị Đo Điện EMIC</t>
        </is>
      </c>
      <c r="E9057" t="inlineStr">
        <is>
          <t>Thương lượng</t>
        </is>
      </c>
      <c r="F9057" t="inlineStr">
        <is>
          <t>Bắc Ninh</t>
        </is>
      </c>
      <c r="G9057" t="inlineStr">
        <is>
          <t>Nhân viên</t>
        </is>
      </c>
      <c r="H9057" t="inlineStr">
        <is>
          <t>09/03/2026</t>
        </is>
      </c>
      <c r="I9057" t="inlineStr">
        <is>
          <t>08/04/2026</t>
        </is>
      </c>
      <c r="J9057" t="inlineStr">
        <is>
          <t>17/03/2026</t>
        </is>
      </c>
      <c r="K9057" t="inlineStr">
        <is>
          <t>N/A</t>
        </is>
      </c>
      <c r="L9057" t="inlineStr">
        <is>
          <t>Kinh Doanh B2B, Quản Lý Đơn Hàng, Quản Trị Kinh Doanh, Thương Mại Quốc Tế, Tiếng Trung</t>
        </is>
      </c>
      <c r="M9057" t="inlineStr">
        <is>
          <t>Bonus, Healthcare Plan, Travel Opportunities, Transportation, Others</t>
        </is>
      </c>
      <c r="N9057" s="8">
        <f>HYPERLINK("https://www.vietnamworks.com/nhan-vien-kinh-doanh-quoc-te-2020720-jv","Xem chi tiết")</f>
        <v/>
      </c>
    </row>
    <row r="9058">
      <c r="B9058" s="9" t="n">
        <v>9056</v>
      </c>
      <c r="C9058" s="10" t="inlineStr">
        <is>
          <t>Chuyên Viên Cao Cấp Phát Triển Dự Án</t>
        </is>
      </c>
      <c r="D9058" s="10" t="inlineStr">
        <is>
          <t>Công Ty Cổ Phần Phát Triển Bất Động Sản Văn Phú</t>
        </is>
      </c>
      <c r="E9058" s="10" t="inlineStr">
        <is>
          <t>Thương lượng</t>
        </is>
      </c>
      <c r="F9058" s="10" t="inlineStr">
        <is>
          <t>Hà Nội</t>
        </is>
      </c>
      <c r="G9058" s="10" t="inlineStr">
        <is>
          <t>Nhân viên</t>
        </is>
      </c>
      <c r="H9058" s="10" t="inlineStr">
        <is>
          <t>09/03/2026</t>
        </is>
      </c>
      <c r="I9058" s="10" t="inlineStr">
        <is>
          <t>08/04/2026</t>
        </is>
      </c>
      <c r="J9058" s="10" t="inlineStr">
        <is>
          <t>17/03/2026</t>
        </is>
      </c>
      <c r="K9058" s="10" t="inlineStr">
        <is>
          <t>N/A</t>
        </is>
      </c>
      <c r="L9058" s="10" t="inlineStr">
        <is>
          <t>Đầu Tư Phát Triển Dự Án, Xây Dựng, Phát Triển Dự Án, Luật Đầu Tư, Bất Động Sản</t>
        </is>
      </c>
      <c r="M9058" s="10" t="inlineStr">
        <is>
          <t>Bonus, Paid Leave, Canteen</t>
        </is>
      </c>
      <c r="N9058" s="11">
        <f>HYPERLINK("https://www.vietnamworks.com/chuyen-vien-cao-cap-phat-trien-du-an--2020755-jv","Xem chi tiết")</f>
        <v/>
      </c>
      <c r="O9058" s="10" t="n"/>
    </row>
    <row r="9059">
      <c r="B9059" s="7" t="n">
        <v>9057</v>
      </c>
      <c r="C9059" t="inlineStr">
        <is>
          <t>Risk Officer</t>
        </is>
      </c>
      <c r="D9059" t="inlineStr">
        <is>
          <t>RMIT University Vietnam</t>
        </is>
      </c>
      <c r="E9059" t="inlineStr">
        <is>
          <t>Thương lượng</t>
        </is>
      </c>
      <c r="F9059" t="inlineStr">
        <is>
          <t>Hồ Chí Minh</t>
        </is>
      </c>
      <c r="G9059" t="inlineStr">
        <is>
          <t>Nhân viên</t>
        </is>
      </c>
      <c r="H9059" t="inlineStr">
        <is>
          <t>09/03/2026</t>
        </is>
      </c>
      <c r="I9059" t="inlineStr">
        <is>
          <t>08/04/2026</t>
        </is>
      </c>
      <c r="J9059" t="inlineStr">
        <is>
          <t>17/03/2026</t>
        </is>
      </c>
      <c r="K9059" t="inlineStr">
        <is>
          <t>N/A</t>
        </is>
      </c>
      <c r="L9059" t="inlineStr">
        <is>
          <t>Claim Management, Compliance Assurance, Interpersonal Communication, Risk Management, Stakeholder Management</t>
        </is>
      </c>
      <c r="M9059" t="inlineStr">
        <is>
          <t>Bonus, Healthcare Plan, Training</t>
        </is>
      </c>
      <c r="N9059" s="8">
        <f>HYPERLINK("https://www.vietnamworks.com/risk-officer-2020721-jv","Xem chi tiết")</f>
        <v/>
      </c>
    </row>
    <row r="9060">
      <c r="B9060" s="9" t="n">
        <v>9058</v>
      </c>
      <c r="C9060" s="10" t="inlineStr">
        <is>
          <t>Executive Assistant of University Council</t>
        </is>
      </c>
      <c r="D9060" s="10" t="inlineStr">
        <is>
          <t>Công Ty TNHH Giáo Dục Và Đào Tạo Vinacademy</t>
        </is>
      </c>
      <c r="E9060" s="10" t="inlineStr">
        <is>
          <t>Thương lượng</t>
        </is>
      </c>
      <c r="F9060" s="10" t="inlineStr">
        <is>
          <t>Hà Nội</t>
        </is>
      </c>
      <c r="G9060" s="10" t="inlineStr">
        <is>
          <t>Nhân viên</t>
        </is>
      </c>
      <c r="H9060" s="10" t="inlineStr">
        <is>
          <t>09/03/2026</t>
        </is>
      </c>
      <c r="I9060" s="10" t="inlineStr">
        <is>
          <t>08/04/2026</t>
        </is>
      </c>
      <c r="J9060" s="10" t="inlineStr">
        <is>
          <t>17/03/2026</t>
        </is>
      </c>
      <c r="K9060" s="10" t="inlineStr">
        <is>
          <t>N/A</t>
        </is>
      </c>
      <c r="L9060" s="10" t="inlineStr">
        <is>
          <t>Organizational skills, Microsoft Office, Communication Skills, Analytical Skills, Problem Solving</t>
        </is>
      </c>
      <c r="M9060" s="10" t="inlineStr">
        <is>
          <t>Healthcare Plan, Training, Laptop</t>
        </is>
      </c>
      <c r="N9060" s="11">
        <f>HYPERLINK("https://www.vietnamworks.com/executive-assistant-of-university-council--2020724-jv","Xem chi tiết")</f>
        <v/>
      </c>
      <c r="O9060" s="10" t="n"/>
    </row>
    <row r="9061">
      <c r="B9061" s="7" t="n">
        <v>9059</v>
      </c>
      <c r="C9061" t="inlineStr">
        <is>
          <t>Event Marketing &amp; Partnership Specialist</t>
        </is>
      </c>
      <c r="D9061" t="inlineStr">
        <is>
          <t>Navigos Group</t>
        </is>
      </c>
      <c r="E9061" t="inlineStr">
        <is>
          <t>18tr-20tr ₫/tháng</t>
        </is>
      </c>
      <c r="F9061" t="inlineStr">
        <is>
          <t>Hồ Chí Minh</t>
        </is>
      </c>
      <c r="G9061" t="inlineStr">
        <is>
          <t>Nhân viên</t>
        </is>
      </c>
      <c r="H9061" t="inlineStr">
        <is>
          <t>09/03/2026</t>
        </is>
      </c>
      <c r="I9061" t="inlineStr">
        <is>
          <t>08/04/2026</t>
        </is>
      </c>
      <c r="J9061" t="inlineStr">
        <is>
          <t>17/03/2026</t>
        </is>
      </c>
      <c r="K9061" t="inlineStr">
        <is>
          <t>N/A</t>
        </is>
      </c>
      <c r="L9061" t="inlineStr">
        <is>
          <t>Communication Skills, Detail Oriented Mindset, Event Management, Partnership Development, Project Management</t>
        </is>
      </c>
      <c r="M9061" t="inlineStr">
        <is>
          <t>Healthcare Plan, Paid Leave</t>
        </is>
      </c>
      <c r="N9061" s="8">
        <f>HYPERLINK("https://www.vietnamworks.com/event-marketing-and-partnership-specialist-2020761-jv","Xem chi tiết")</f>
        <v/>
      </c>
    </row>
    <row r="9062">
      <c r="B9062" s="9" t="n">
        <v>9060</v>
      </c>
      <c r="C9062" s="10" t="inlineStr">
        <is>
          <t>Chuyên viên Quản trị Tuân thủ ATTT</t>
        </is>
      </c>
      <c r="D9062" s="10" t="inlineStr">
        <is>
          <t>Galaxy Digital Holdings Co., Ltd (GH)</t>
        </is>
      </c>
      <c r="E9062" s="10" t="inlineStr">
        <is>
          <t>Thương lượng</t>
        </is>
      </c>
      <c r="F9062" s="10" t="inlineStr">
        <is>
          <t>Hồ Chí Minh</t>
        </is>
      </c>
      <c r="G9062" s="10" t="inlineStr">
        <is>
          <t>Nhân viên</t>
        </is>
      </c>
      <c r="H9062" s="10" t="inlineStr">
        <is>
          <t>09/03/2026</t>
        </is>
      </c>
      <c r="I9062" s="10" t="inlineStr">
        <is>
          <t>08/04/2026</t>
        </is>
      </c>
      <c r="J9062" s="10" t="inlineStr">
        <is>
          <t>17/03/2026</t>
        </is>
      </c>
      <c r="K9062" s="10" t="inlineStr">
        <is>
          <t>N/A</t>
        </is>
      </c>
      <c r="L9062" s="10" t="inlineStr">
        <is>
          <t>Confluence BA, ISO, ISO 27001, Jira</t>
        </is>
      </c>
      <c r="M9062" s="10" t="inlineStr">
        <is>
          <t>Bonus, Healthcare Plan, Paid Leave, Laptop, Team Activities</t>
        </is>
      </c>
      <c r="N9062" s="11">
        <f>HYPERLINK("https://www.vietnamworks.com/chuyen-vien-quan-tri-tuan-thu-attt-2020756-jv","Xem chi tiết")</f>
        <v/>
      </c>
      <c r="O9062" s="10" t="n"/>
    </row>
    <row r="9063">
      <c r="B9063" s="7" t="n">
        <v>9061</v>
      </c>
      <c r="C9063" t="inlineStr">
        <is>
          <t>Phó Tổng Quản Lý - Golf (Deputy General Manager)</t>
        </is>
      </c>
      <c r="D9063" t="inlineStr">
        <is>
          <t>CÔNG TY CỔ PHẦN TẬP ĐOÀN ĐẦU TƯ HOÀNG GIA VIỆT NAM</t>
        </is>
      </c>
      <c r="E9063" t="inlineStr">
        <is>
          <t>Thương lượng</t>
        </is>
      </c>
      <c r="F9063" t="inlineStr">
        <is>
          <t>Long An</t>
        </is>
      </c>
      <c r="G9063" t="inlineStr">
        <is>
          <t>Giám Đốc và Cấp Cao Hơn</t>
        </is>
      </c>
      <c r="H9063" t="inlineStr">
        <is>
          <t>09/03/2026</t>
        </is>
      </c>
      <c r="I9063" t="inlineStr">
        <is>
          <t>08/04/2026</t>
        </is>
      </c>
      <c r="J9063" t="inlineStr">
        <is>
          <t>17/03/2026</t>
        </is>
      </c>
      <c r="K9063" t="inlineStr">
        <is>
          <t>N/A</t>
        </is>
      </c>
      <c r="L9063" t="inlineStr">
        <is>
          <t>Golf, Quản Lý Nhà Hàng Khách Sạn</t>
        </is>
      </c>
      <c r="M9063" t="inlineStr">
        <is>
          <t>Healthcare Plan, Training, Travel Opportunities</t>
        </is>
      </c>
      <c r="N9063" s="8">
        <f>HYPERLINK("https://www.vietnamworks.com/pho-tong-quan-ly-golf-deputy-general-manager-2020758-jv","Xem chi tiết")</f>
        <v/>
      </c>
    </row>
    <row r="9064">
      <c r="B9064" s="9" t="n">
        <v>9062</v>
      </c>
      <c r="C9064" s="10" t="inlineStr">
        <is>
          <t>Mechanical Design Engineer</t>
        </is>
      </c>
      <c r="D9064" s="10" t="inlineStr">
        <is>
          <t>VINFAST TRADING AND PRODUCTION JSC</t>
        </is>
      </c>
      <c r="E9064" s="10" t="inlineStr">
        <is>
          <t>Thương lượng</t>
        </is>
      </c>
      <c r="F9064" s="10" t="inlineStr">
        <is>
          <t>Hà Nội</t>
        </is>
      </c>
      <c r="G9064" s="10" t="inlineStr">
        <is>
          <t>Mới Tốt Nghiệp</t>
        </is>
      </c>
      <c r="H9064" s="10" t="inlineStr">
        <is>
          <t>09/03/2026</t>
        </is>
      </c>
      <c r="I9064" s="10" t="inlineStr">
        <is>
          <t>08/04/2026</t>
        </is>
      </c>
      <c r="J9064" s="10" t="inlineStr">
        <is>
          <t>17/03/2026</t>
        </is>
      </c>
      <c r="K9064" s="10" t="inlineStr">
        <is>
          <t>N/A</t>
        </is>
      </c>
      <c r="L9064" s="10" t="inlineStr">
        <is>
          <t>Virtual Chassis, BIW Design, Interior, Exterior Trim, Sea Transport</t>
        </is>
      </c>
      <c r="M9064" s="10" t="inlineStr">
        <is>
          <t>Bonus, Healthcare Plan, Others</t>
        </is>
      </c>
      <c r="N9064" s="11">
        <f>HYPERLINK("https://www.vietnamworks.com/mechanical-design-engineer-71-2020776-jv","Xem chi tiết")</f>
        <v/>
      </c>
      <c r="O9064" s="10" t="n"/>
    </row>
    <row r="9065">
      <c r="B9065" s="7" t="n">
        <v>9063</v>
      </c>
      <c r="C9065" t="inlineStr">
        <is>
          <t>Tuyển Gấp Kỹ Sư Hóa - Phòng QA</t>
        </is>
      </c>
      <c r="D9065" t="inlineStr">
        <is>
          <t>Công Ty TNHH Nippon Paint Việt Nam (Hà Nội)</t>
        </is>
      </c>
      <c r="E9065" t="inlineStr">
        <is>
          <t>$$ 500-800 /tháng</t>
        </is>
      </c>
      <c r="F9065" t="inlineStr">
        <is>
          <t>Vĩnh Phúc</t>
        </is>
      </c>
      <c r="G9065" t="inlineStr">
        <is>
          <t>Nhân viên</t>
        </is>
      </c>
      <c r="H9065" t="inlineStr">
        <is>
          <t>09/03/2026</t>
        </is>
      </c>
      <c r="I9065" t="inlineStr">
        <is>
          <t>08/04/2026</t>
        </is>
      </c>
      <c r="J9065" t="inlineStr">
        <is>
          <t>17/03/2026</t>
        </is>
      </c>
      <c r="K9065" t="inlineStr">
        <is>
          <t>N/A</t>
        </is>
      </c>
      <c r="L9065" t="inlineStr">
        <is>
          <t>Tiếng Anh</t>
        </is>
      </c>
      <c r="M9065" t="inlineStr">
        <is>
          <t>Bonus, Healthcare Plan, Training</t>
        </is>
      </c>
      <c r="N9065" s="8">
        <f>HYPERLINK("https://www.vietnamworks.com/tuyen-gap-ky-su-hoa-phong-qa-2020768-jv","Xem chi tiết")</f>
        <v/>
      </c>
    </row>
    <row r="9066">
      <c r="B9066" s="9" t="n">
        <v>9064</v>
      </c>
      <c r="C9066" s="10" t="inlineStr">
        <is>
          <t>Nhân Viên Phân Tích Mô Phỏng CAE</t>
        </is>
      </c>
      <c r="D9066" s="10" t="inlineStr">
        <is>
          <t>Công ty TNHH Y- Tec Việt Nam</t>
        </is>
      </c>
      <c r="E9066" s="10" t="inlineStr">
        <is>
          <t>Thương lượng</t>
        </is>
      </c>
      <c r="F9066" s="10" t="inlineStr">
        <is>
          <t>Hải Phòng</t>
        </is>
      </c>
      <c r="G9066" s="10" t="inlineStr">
        <is>
          <t>Mới Tốt Nghiệp</t>
        </is>
      </c>
      <c r="H9066" s="10" t="inlineStr">
        <is>
          <t>12/01/2026</t>
        </is>
      </c>
      <c r="I9066" s="10" t="inlineStr">
        <is>
          <t>09/04/2026</t>
        </is>
      </c>
      <c r="J9066" s="10" t="inlineStr">
        <is>
          <t>17/03/2026</t>
        </is>
      </c>
      <c r="K9066" s="10" t="inlineStr">
        <is>
          <t>N/A</t>
        </is>
      </c>
      <c r="L9066" s="10" t="inlineStr">
        <is>
          <t>Lập Trình Python, Phân Tích Cấu Trúc, Phân Tích Độ Rung Ồn, Tiếng Nhật, ANSYS</t>
        </is>
      </c>
      <c r="M9066" s="10" t="inlineStr">
        <is>
          <t>Bonus, Healthcare Plan, Training, Travel Opportunities, Team Activities, Transportation, Others</t>
        </is>
      </c>
      <c r="N9066" s="11">
        <f>HYPERLINK("https://www.vietnamworks.com/nhan-vien-phan-tich-mo-phong-cae-2001668-jv","Xem chi tiết")</f>
        <v/>
      </c>
      <c r="O9066" s="10" t="n"/>
    </row>
    <row r="9067">
      <c r="B9067" s="7" t="n">
        <v>9065</v>
      </c>
      <c r="C9067" t="inlineStr">
        <is>
          <t>Phó Phòng Sản Xuất</t>
        </is>
      </c>
      <c r="D9067" t="inlineStr">
        <is>
          <t>INOAC Vietnam CO., LTD.</t>
        </is>
      </c>
      <c r="E9067" t="inlineStr">
        <is>
          <t>Thương lượng</t>
        </is>
      </c>
      <c r="F9067" t="inlineStr">
        <is>
          <t>Hà Nội</t>
        </is>
      </c>
      <c r="G9067" t="inlineStr">
        <is>
          <t>Nhân viên</t>
        </is>
      </c>
      <c r="H9067" t="inlineStr">
        <is>
          <t>15/01/2026</t>
        </is>
      </c>
      <c r="I9067" t="inlineStr">
        <is>
          <t>09/04/2026</t>
        </is>
      </c>
      <c r="J9067" t="inlineStr">
        <is>
          <t>17/03/2026</t>
        </is>
      </c>
      <c r="K9067" t="inlineStr">
        <is>
          <t>N/A</t>
        </is>
      </c>
      <c r="L9067" t="inlineStr">
        <is>
          <t>JLPT N2, Quản Lý Sản Xuất, Kế Hoạch Sản Xuất, Tiếng Nhật, Chemical</t>
        </is>
      </c>
      <c r="M9067" t="inlineStr">
        <is>
          <t>Bonus, Training, Transportation</t>
        </is>
      </c>
      <c r="N9067" s="8">
        <f>HYPERLINK("https://www.vietnamworks.com/pho-phong-san-xuat--2002827-jv","Xem chi tiết")</f>
        <v/>
      </c>
    </row>
    <row r="9068">
      <c r="B9068" s="9" t="n">
        <v>9066</v>
      </c>
      <c r="C9068" s="10" t="inlineStr">
        <is>
          <t>Quality Engineer/Inspector (on-site in Ho Chi Minh, Vietnam)</t>
        </is>
      </c>
      <c r="D9068" s="10" t="inlineStr">
        <is>
          <t>sourceM LLC.</t>
        </is>
      </c>
      <c r="E9068" s="10" t="inlineStr">
        <is>
          <t>Thương lượng</t>
        </is>
      </c>
      <c r="F9068" s="10" t="inlineStr">
        <is>
          <t>Hồ Chí Minh</t>
        </is>
      </c>
      <c r="G9068" s="10" t="inlineStr">
        <is>
          <t>Nhân viên</t>
        </is>
      </c>
      <c r="H9068" s="10" t="inlineStr">
        <is>
          <t>09/03/2026</t>
        </is>
      </c>
      <c r="I9068" s="10" t="inlineStr">
        <is>
          <t>08/04/2026</t>
        </is>
      </c>
      <c r="J9068" s="10" t="inlineStr">
        <is>
          <t>17/03/2026</t>
        </is>
      </c>
      <c r="K9068" s="10" t="inlineStr">
        <is>
          <t>N/A</t>
        </is>
      </c>
      <c r="L9068" s="10" t="inlineStr">
        <is>
          <t>Analytical Skills, Communication Skills, Quality Assurance, Quality Control, Team Work</t>
        </is>
      </c>
      <c r="M9068" s="10" t="inlineStr">
        <is>
          <t>Bonus, Training, Transportation</t>
        </is>
      </c>
      <c r="N9068" s="11">
        <f>HYPERLINK("https://www.vietnamworks.com/quality-engineerinspector-on-site-in-ho-chi-minh-vietnam-2020766-jv","Xem chi tiết")</f>
        <v/>
      </c>
      <c r="O9068" s="10" t="n"/>
    </row>
    <row r="9069">
      <c r="B9069" s="7" t="n">
        <v>9067</v>
      </c>
      <c r="C9069" t="inlineStr">
        <is>
          <t>[Hot Job] Nhân Viên Kinh Doanh Kênh Siêu Thị</t>
        </is>
      </c>
      <c r="D9069" t="inlineStr">
        <is>
          <t>Công Ty TNHH Lock&amp;Lock HN</t>
        </is>
      </c>
      <c r="E9069" t="inlineStr">
        <is>
          <t>Thương lượng</t>
        </is>
      </c>
      <c r="F9069" t="inlineStr">
        <is>
          <t>Hà Nội</t>
        </is>
      </c>
      <c r="G9069" t="inlineStr">
        <is>
          <t>Nhân viên</t>
        </is>
      </c>
      <c r="H9069" t="inlineStr">
        <is>
          <t>13/01/2026</t>
        </is>
      </c>
      <c r="I9069" t="inlineStr">
        <is>
          <t>09/04/2026</t>
        </is>
      </c>
      <c r="J9069" t="inlineStr">
        <is>
          <t>17/03/2026</t>
        </is>
      </c>
      <c r="K9069" t="inlineStr">
        <is>
          <t>N/A</t>
        </is>
      </c>
      <c r="L9069" t="inlineStr">
        <is>
          <t>Chăm Sóc Khách Hàng, Giao Tiếp, Trưng Bày Hàng Hóa, Siêu Thị, FMCG</t>
        </is>
      </c>
      <c r="M9069" t="inlineStr">
        <is>
          <t>Healthcare Plan, Paid Leave, Laptop, Travel Opportunities, Transportation, Others</t>
        </is>
      </c>
      <c r="N9069" s="8">
        <f>HYPERLINK("https://www.vietnamworks.com/hot-job-nhan-vien-kinh-doanh-kenh-sieu-thi-2002120-jv","Xem chi tiết")</f>
        <v/>
      </c>
    </row>
    <row r="9070">
      <c r="B9070" s="9" t="n">
        <v>9068</v>
      </c>
      <c r="C9070" s="10" t="inlineStr">
        <is>
          <t>Trưởng Phòng Kinh Doanh Quốc Tế</t>
        </is>
      </c>
      <c r="D9070" s="10" t="inlineStr">
        <is>
          <t>CÔNG TY CỔ PHẦN STPOWER</t>
        </is>
      </c>
      <c r="E9070" s="10" t="inlineStr">
        <is>
          <t>Thương lượng</t>
        </is>
      </c>
      <c r="F9070" s="10" t="inlineStr">
        <is>
          <t>Hồ Chí Minh, Đà Nẵng</t>
        </is>
      </c>
      <c r="G9070" s="10" t="inlineStr">
        <is>
          <t>Trưởng phòng</t>
        </is>
      </c>
      <c r="H9070" s="10" t="inlineStr">
        <is>
          <t>05/01/2026</t>
        </is>
      </c>
      <c r="I9070" s="10" t="inlineStr">
        <is>
          <t>09/04/2026</t>
        </is>
      </c>
      <c r="J9070" s="10" t="inlineStr">
        <is>
          <t>17/03/2026</t>
        </is>
      </c>
      <c r="K9070" s="10" t="inlineStr">
        <is>
          <t>N/A</t>
        </is>
      </c>
      <c r="L9070" s="10" t="inlineStr">
        <is>
          <t>Kinh Doanh, Tìm Kiếm Khách Hàng, Điện, B2B</t>
        </is>
      </c>
      <c r="M9070" s="10" t="inlineStr">
        <is>
          <t>Bonus, Training, Others</t>
        </is>
      </c>
      <c r="N9070" s="11">
        <f>HYPERLINK("https://www.vietnamworks.com/truong-phong-kinh-doanh-quoc-te--1999472-jv","Xem chi tiết")</f>
        <v/>
      </c>
      <c r="O9070" s="10" t="n"/>
    </row>
    <row r="9071">
      <c r="B9071" s="7" t="n">
        <v>9069</v>
      </c>
      <c r="C9071" t="inlineStr">
        <is>
          <t>[CT0004] Trưởng Phòng Dịch Vụ Ngân Hàng Đầu Tư</t>
        </is>
      </c>
      <c r="D9071" t="inlineStr">
        <is>
          <t>Công Ty Cổ Phần Chứng Khoán MB</t>
        </is>
      </c>
      <c r="E9071" t="inlineStr">
        <is>
          <t>Thương lượng</t>
        </is>
      </c>
      <c r="F9071" t="inlineStr">
        <is>
          <t>Hà Nội</t>
        </is>
      </c>
      <c r="G9071" t="inlineStr">
        <is>
          <t>Trưởng phòng</t>
        </is>
      </c>
      <c r="H9071" t="inlineStr">
        <is>
          <t>14/01/2026</t>
        </is>
      </c>
      <c r="I9071" t="inlineStr">
        <is>
          <t>09/04/2026</t>
        </is>
      </c>
      <c r="J9071" t="inlineStr">
        <is>
          <t>17/03/2026</t>
        </is>
      </c>
      <c r="K9071" t="inlineStr">
        <is>
          <t>N/A</t>
        </is>
      </c>
      <c r="L9071" t="inlineStr">
        <is>
          <t>Tài Chính, Chứng khoán, Investment Banking, IPO, IPO Restructure</t>
        </is>
      </c>
      <c r="M9071" t="inlineStr">
        <is>
          <t>Bonus, Healthcare Plan, Training, Team Activities, Others</t>
        </is>
      </c>
      <c r="N9071" s="8">
        <f>HYPERLINK("https://www.vietnamworks.com/ct0004-truong-phong-dich-vu-ngan-hang-dau-tu-2002405-jv","Xem chi tiết")</f>
        <v/>
      </c>
    </row>
    <row r="9072">
      <c r="B9072" s="9" t="n">
        <v>9070</v>
      </c>
      <c r="C9072" s="10" t="inlineStr">
        <is>
          <t>Trưởng Phòng Thu Mua (Purchasing Manager)</t>
        </is>
      </c>
      <c r="D9072" s="10" t="inlineStr">
        <is>
          <t>VIKKAFE</t>
        </is>
      </c>
      <c r="E9072" s="10" t="inlineStr">
        <is>
          <t>Thương lượng</t>
        </is>
      </c>
      <c r="F9072" s="10" t="inlineStr">
        <is>
          <t>Hồ Chí Minh</t>
        </is>
      </c>
      <c r="G9072" s="10" t="inlineStr">
        <is>
          <t>Trưởng phòng</t>
        </is>
      </c>
      <c r="H9072" s="10" t="inlineStr">
        <is>
          <t>14/01/2026</t>
        </is>
      </c>
      <c r="I9072" s="10" t="inlineStr">
        <is>
          <t>09/04/2026</t>
        </is>
      </c>
      <c r="J9072" s="10" t="inlineStr">
        <is>
          <t>17/03/2026</t>
        </is>
      </c>
      <c r="K9072" s="10" t="inlineStr">
        <is>
          <t>N/A</t>
        </is>
      </c>
      <c r="L9072" s="10" t="inlineStr">
        <is>
          <t>Quản Lý Cung Ứng, Kỹ năng đàm phán, Phân Tích Số Liệu, Quản Lý Giao Vận, Giải quyết vấn đề</t>
        </is>
      </c>
      <c r="M9072" s="10" t="inlineStr">
        <is>
          <t>Others</t>
        </is>
      </c>
      <c r="N9072" s="11">
        <f>HYPERLINK("https://www.vietnamworks.com/truong-phong-thu-mua-purchasing-manager-2002633-jv","Xem chi tiết")</f>
        <v/>
      </c>
      <c r="O9072" s="10" t="n"/>
    </row>
    <row r="9073">
      <c r="B9073" s="7" t="n">
        <v>9071</v>
      </c>
      <c r="C9073" t="inlineStr">
        <is>
          <t>Terminal Supervisor - Lương Hấp Dẫn Từ 20 Triệu ++</t>
        </is>
      </c>
      <c r="D9073" t="inlineStr">
        <is>
          <t>Cai Mep International Terminal Co., Ltd.</t>
        </is>
      </c>
      <c r="E9073" t="inlineStr">
        <is>
          <t>Thương lượng</t>
        </is>
      </c>
      <c r="F9073" t="inlineStr">
        <is>
          <t>Bà Rịa - Vũng Tàu</t>
        </is>
      </c>
      <c r="G9073" t="inlineStr">
        <is>
          <t>Nhân viên</t>
        </is>
      </c>
      <c r="H9073" t="inlineStr">
        <is>
          <t>14/01/2026</t>
        </is>
      </c>
      <c r="I9073" t="inlineStr">
        <is>
          <t>09/04/2026</t>
        </is>
      </c>
      <c r="J9073" t="inlineStr">
        <is>
          <t>17/03/2026</t>
        </is>
      </c>
      <c r="K9073" t="inlineStr">
        <is>
          <t>N/A</t>
        </is>
      </c>
      <c r="L9073" t="inlineStr">
        <is>
          <t>Logistics, Cargo, Operation, Yard Management, Cargo Handling</t>
        </is>
      </c>
      <c r="M9073" t="inlineStr">
        <is>
          <t>Bonus, Healthcare Plan, Paid Leave, Others</t>
        </is>
      </c>
      <c r="N9073" s="8">
        <f>HYPERLINK("https://www.vietnamworks.com/terminal-supervisor-luong-hap-dan-tu-20-trieu-2002542-jv","Xem chi tiết")</f>
        <v/>
      </c>
    </row>
    <row r="9074">
      <c r="B9074" s="9" t="n">
        <v>9072</v>
      </c>
      <c r="C9074" s="10" t="inlineStr">
        <is>
          <t>Kế Toán Doanh Thu Và Công Nợ Phải Thu</t>
        </is>
      </c>
      <c r="D9074" s="10" t="inlineStr">
        <is>
          <t>TẬP ĐOÀN HẢI SẢN HOÀNG GIA</t>
        </is>
      </c>
      <c r="E9074" s="10" t="inlineStr">
        <is>
          <t>Thương lượng</t>
        </is>
      </c>
      <c r="F9074" s="10" t="inlineStr">
        <is>
          <t>Hồ Chí Minh</t>
        </is>
      </c>
      <c r="G9074" s="10" t="inlineStr">
        <is>
          <t>Nhân viên</t>
        </is>
      </c>
      <c r="H9074" s="10" t="inlineStr">
        <is>
          <t>09/03/2026</t>
        </is>
      </c>
      <c r="I9074" s="10" t="inlineStr">
        <is>
          <t>08/04/2026</t>
        </is>
      </c>
      <c r="J9074" s="10" t="inlineStr">
        <is>
          <t>17/03/2026</t>
        </is>
      </c>
      <c r="K9074" s="10" t="inlineStr">
        <is>
          <t>N/A</t>
        </is>
      </c>
      <c r="L9074" s="10" t="inlineStr">
        <is>
          <t>Kế Toán Doanh Thu, Phần mềm kế toán, Phân Tích Số Liệu, Thành Thạo Excel, Trung Thực</t>
        </is>
      </c>
      <c r="M9074" s="10" t="inlineStr">
        <is>
          <t>Bonus, Healthcare Plan, Team Activities</t>
        </is>
      </c>
      <c r="N9074" s="11">
        <f>HYPERLINK("https://www.vietnamworks.com/ke-toan-doanh-thu-va-cong-no-phai-thu-2020760-jv","Xem chi tiết")</f>
        <v/>
      </c>
      <c r="O9074" s="10" t="n"/>
    </row>
    <row r="9075">
      <c r="B9075" s="7" t="n">
        <v>9073</v>
      </c>
      <c r="C9075" t="inlineStr">
        <is>
          <t>Kế Toán Trưởng (30 - 40 Triệu, Hà Nội, Phỏng Vấn Đi Làm Luôn)</t>
        </is>
      </c>
      <c r="D9075" t="inlineStr">
        <is>
          <t>Công ty Cổ phần Tập đoàn Đầu tư Bảo Ngọc</t>
        </is>
      </c>
      <c r="E9075" t="inlineStr">
        <is>
          <t>30tr-40tr ₫/tháng</t>
        </is>
      </c>
      <c r="F9075" t="inlineStr">
        <is>
          <t>Hà Nội</t>
        </is>
      </c>
      <c r="G9075" t="inlineStr">
        <is>
          <t>Trưởng phòng</t>
        </is>
      </c>
      <c r="H9075" t="inlineStr">
        <is>
          <t>16/01/2026</t>
        </is>
      </c>
      <c r="I9075" t="inlineStr">
        <is>
          <t>09/04/2026</t>
        </is>
      </c>
      <c r="J9075" t="inlineStr">
        <is>
          <t>17/03/2026</t>
        </is>
      </c>
      <c r="K9075" t="inlineStr">
        <is>
          <t>N/A</t>
        </is>
      </c>
      <c r="L9075" t="inlineStr">
        <is>
          <t>MISA Accounting Software, SAP, Tài Chính Doanh Nghiệp, Tài Chính Kế Toán, Thuế</t>
        </is>
      </c>
      <c r="M9075" t="inlineStr">
        <is>
          <t>Bonus, Healthcare Plan, Laptop, Team Activities, Canteen, Others</t>
        </is>
      </c>
      <c r="N9075" s="8">
        <f>HYPERLINK("https://www.vietnamworks.com/ke-toan-truong-30-40-trieu-ha-noi-phong-van-di-lam-luon-2003374-jv","Xem chi tiết")</f>
        <v/>
      </c>
    </row>
    <row r="9076">
      <c r="B9076" s="9" t="n">
        <v>9074</v>
      </c>
      <c r="C9076" s="10" t="inlineStr">
        <is>
          <t>[HCM] Senior Project Engineer</t>
        </is>
      </c>
      <c r="D9076" s="10" t="inlineStr">
        <is>
          <t>Pizza 4P's</t>
        </is>
      </c>
      <c r="E9076" s="10" t="inlineStr">
        <is>
          <t>$$ 1,000-1,200 /tháng</t>
        </is>
      </c>
      <c r="F9076" s="10" t="inlineStr">
        <is>
          <t>Hồ Chí Minh</t>
        </is>
      </c>
      <c r="G9076" s="10" t="inlineStr">
        <is>
          <t>Nhân viên</t>
        </is>
      </c>
      <c r="H9076" s="10" t="inlineStr">
        <is>
          <t>09/03/2026</t>
        </is>
      </c>
      <c r="I9076" s="10" t="inlineStr">
        <is>
          <t>08/04/2026</t>
        </is>
      </c>
      <c r="J9076" s="10" t="inlineStr">
        <is>
          <t>17/03/2026</t>
        </is>
      </c>
      <c r="K9076" s="10" t="inlineStr">
        <is>
          <t>N/A</t>
        </is>
      </c>
      <c r="L9076" s="10" t="inlineStr">
        <is>
          <t>Project Managing</t>
        </is>
      </c>
      <c r="M9076" s="10" t="inlineStr">
        <is>
          <t>Bonus, Healthcare Plan, Vouchers</t>
        </is>
      </c>
      <c r="N9076" s="11">
        <f>HYPERLINK("https://www.vietnamworks.com/hcm-senior-project-engineer-2020779-jv","Xem chi tiết")</f>
        <v/>
      </c>
      <c r="O9076" s="10" t="n"/>
    </row>
    <row r="9077">
      <c r="B9077" s="7" t="n">
        <v>9075</v>
      </c>
      <c r="C9077" t="inlineStr">
        <is>
          <t>Nhân Viên Mua Hàng</t>
        </is>
      </c>
      <c r="D9077" t="inlineStr">
        <is>
          <t>INOAC Vietnam CO., LTD.</t>
        </is>
      </c>
      <c r="E9077" t="inlineStr">
        <is>
          <t>Thương lượng</t>
        </is>
      </c>
      <c r="F9077" t="inlineStr">
        <is>
          <t>Vĩnh Phúc, Hà Nội</t>
        </is>
      </c>
      <c r="G9077" t="inlineStr">
        <is>
          <t>Nhân viên</t>
        </is>
      </c>
      <c r="H9077" t="inlineStr">
        <is>
          <t>15/01/2026</t>
        </is>
      </c>
      <c r="I9077" t="inlineStr">
        <is>
          <t>09/04/2026</t>
        </is>
      </c>
      <c r="J9077" t="inlineStr">
        <is>
          <t>17/03/2026</t>
        </is>
      </c>
      <c r="K9077" t="inlineStr">
        <is>
          <t>N/A</t>
        </is>
      </c>
      <c r="L9077" t="inlineStr">
        <is>
          <t>Purchase Management, Planning Capability, Business English</t>
        </is>
      </c>
      <c r="M9077" t="inlineStr">
        <is>
          <t>Bonus, Training, Canteen</t>
        </is>
      </c>
      <c r="N9077" s="8">
        <f>HYPERLINK("https://www.vietnamworks.com/nhan-vien-mua-hang--2002829-jv","Xem chi tiết")</f>
        <v/>
      </c>
    </row>
    <row r="9078">
      <c r="B9078" s="9" t="n">
        <v>9076</v>
      </c>
      <c r="C9078" s="10" t="inlineStr">
        <is>
          <t>Chuyên Viên Kiểm Soát Tài Chính Dự Án (Pfc)/ Project Financial Controller (VP Quận 02)</t>
        </is>
      </c>
      <c r="D9078" s="10" t="inlineStr">
        <is>
          <t>AA Corporation</t>
        </is>
      </c>
      <c r="E9078" s="10" t="inlineStr">
        <is>
          <t>$$ 500-1,000 /tháng</t>
        </is>
      </c>
      <c r="F9078" s="10" t="inlineStr">
        <is>
          <t>Hồ Chí Minh</t>
        </is>
      </c>
      <c r="G9078" s="10" t="inlineStr">
        <is>
          <t>Nhân viên</t>
        </is>
      </c>
      <c r="H9078" s="10" t="inlineStr">
        <is>
          <t>09/03/2026</t>
        </is>
      </c>
      <c r="I9078" s="10" t="inlineStr">
        <is>
          <t>08/04/2026</t>
        </is>
      </c>
      <c r="J9078" s="10" t="inlineStr">
        <is>
          <t>17/03/2026</t>
        </is>
      </c>
      <c r="K9078" s="10" t="inlineStr">
        <is>
          <t>N/A</t>
        </is>
      </c>
      <c r="L9078" s="10" t="inlineStr">
        <is>
          <t>Budget Management, Data Processing, Financial Analysis, SAP ERP, Tài Chính</t>
        </is>
      </c>
      <c r="M9078" s="10" t="inlineStr">
        <is>
          <t>Bonus, Healthcare Plan, Awards, Transportation</t>
        </is>
      </c>
      <c r="N9078" s="11">
        <f>HYPERLINK("https://www.vietnamworks.com/chuyen-vien-kiem-soat-tai-chinh-du-an-pfc-project-financial-controller-vp-quan-02-2020773-jv","Xem chi tiết")</f>
        <v/>
      </c>
      <c r="O9078" s="10" t="n"/>
    </row>
    <row r="9079">
      <c r="B9079" s="7" t="n">
        <v>9077</v>
      </c>
      <c r="C9079" t="inlineStr">
        <is>
          <t>Senior Operations Optimization &amp; Control Analyst</t>
        </is>
      </c>
      <c r="D9079" t="inlineStr">
        <is>
          <t>Galaxy Digital Holdings Co., Ltd (GH)</t>
        </is>
      </c>
      <c r="E9079" t="inlineStr">
        <is>
          <t>Thương lượng</t>
        </is>
      </c>
      <c r="F9079" t="inlineStr">
        <is>
          <t>Hồ Chí Minh</t>
        </is>
      </c>
      <c r="G9079" t="inlineStr">
        <is>
          <t>Nhân viên</t>
        </is>
      </c>
      <c r="H9079" t="inlineStr">
        <is>
          <t>09/03/2026</t>
        </is>
      </c>
      <c r="I9079" t="inlineStr">
        <is>
          <t>08/04/2026</t>
        </is>
      </c>
      <c r="J9079" t="inlineStr">
        <is>
          <t>17/03/2026</t>
        </is>
      </c>
      <c r="K9079" t="inlineStr">
        <is>
          <t>N/A</t>
        </is>
      </c>
      <c r="L9079" t="inlineStr">
        <is>
          <t>Data Analytics, Performance Analysis, Performance Monitoring</t>
        </is>
      </c>
      <c r="M9079" t="inlineStr">
        <is>
          <t>Bonus, Healthcare Plan, Paid Leave</t>
        </is>
      </c>
      <c r="N9079" s="8">
        <f>HYPERLINK("https://www.vietnamworks.com/senior-operations-optimization-and-control-analyst-2020757-jv","Xem chi tiết")</f>
        <v/>
      </c>
    </row>
    <row r="9080">
      <c r="B9080" s="9" t="n">
        <v>9078</v>
      </c>
      <c r="C9080" s="10" t="inlineStr">
        <is>
          <t>Giáo Viên Trung Học Các Bộ Môn (Làm Việc Tại Phú Quốc)</t>
        </is>
      </c>
      <c r="D9080" s="10" t="inlineStr">
        <is>
          <t>Hệ thống Giáo dục Vinschool</t>
        </is>
      </c>
      <c r="E9080" s="10" t="inlineStr">
        <is>
          <t>Thương lượng</t>
        </is>
      </c>
      <c r="F9080" s="10" t="inlineStr">
        <is>
          <t>Hồ Chí Minh</t>
        </is>
      </c>
      <c r="G9080" s="10" t="inlineStr">
        <is>
          <t>Nhân viên</t>
        </is>
      </c>
      <c r="H9080" s="10" t="inlineStr">
        <is>
          <t>09/03/2026</t>
        </is>
      </c>
      <c r="I9080" s="10" t="inlineStr">
        <is>
          <t>08/04/2026</t>
        </is>
      </c>
      <c r="J9080" s="10" t="inlineStr">
        <is>
          <t>17/03/2026</t>
        </is>
      </c>
      <c r="K9080" s="10" t="inlineStr">
        <is>
          <t>N/A</t>
        </is>
      </c>
      <c r="L9080" s="10" t="inlineStr">
        <is>
          <t>Giảng Dạy Môn Lịch Sử, Giảng dạy Ngữ văn, Giáo dục thể chất, Giáo Viên Ngữ Văn, Sư Phạm Lịch Sử</t>
        </is>
      </c>
      <c r="M9080" s="10" t="inlineStr">
        <is>
          <t>Healthcare Plan, Training, Others</t>
        </is>
      </c>
      <c r="N9080" s="11">
        <f>HYPERLINK("https://www.vietnamworks.com/giao-vien-trung-hoc-cac-bo-mon-lam-viec-tai-phu-quoc-2020765-jv","Xem chi tiết")</f>
        <v/>
      </c>
      <c r="O9080" s="10" t="n"/>
    </row>
    <row r="9081">
      <c r="B9081" s="7" t="n">
        <v>9079</v>
      </c>
      <c r="C9081" t="inlineStr">
        <is>
          <t>Giám Sát Bảo Trì Tại Nghệ An</t>
        </is>
      </c>
      <c r="D9081" t="inlineStr">
        <is>
          <t>WHA Vietnam</t>
        </is>
      </c>
      <c r="E9081" t="inlineStr">
        <is>
          <t>Tới $ 700 /tháng</t>
        </is>
      </c>
      <c r="F9081" t="inlineStr">
        <is>
          <t>Nghệ An</t>
        </is>
      </c>
      <c r="G9081" t="inlineStr">
        <is>
          <t>Nhân viên</t>
        </is>
      </c>
      <c r="H9081" t="inlineStr">
        <is>
          <t>19/01/2026</t>
        </is>
      </c>
      <c r="I9081" t="inlineStr">
        <is>
          <t>09/04/2026</t>
        </is>
      </c>
      <c r="J9081" t="inlineStr">
        <is>
          <t>17/03/2026</t>
        </is>
      </c>
      <c r="K9081" t="inlineStr">
        <is>
          <t>N/A</t>
        </is>
      </c>
      <c r="L9081" t="inlineStr">
        <is>
          <t>Bảo Trì Máy, Đọc Bản Vẽ Kỹ Thuật, Vận hành &amp; bảo trì, Giám Sát Bảo Trì, Cơ Khí Điện Tử</t>
        </is>
      </c>
      <c r="M9081" t="inlineStr">
        <is>
          <t>Bonus, Healthcare Plan, Training</t>
        </is>
      </c>
      <c r="N9081" s="8">
        <f>HYPERLINK("https://www.vietnamworks.com/giam-sat-bao-tri-tai-nghe-an-2004102-jv","Xem chi tiết")</f>
        <v/>
      </c>
    </row>
    <row r="9082">
      <c r="B9082" s="9" t="n">
        <v>9080</v>
      </c>
      <c r="C9082" s="10" t="inlineStr">
        <is>
          <t>Kỹ Sư Chất Lượng PQA -Tiếng Trung/ Anh</t>
        </is>
      </c>
      <c r="D9082" s="10" t="inlineStr">
        <is>
          <t>Công Ty TNHH Công Nghệ Shunyun (Hà Nội, Việt Nam)</t>
        </is>
      </c>
      <c r="E9082" s="10" t="inlineStr">
        <is>
          <t>$$ 500-1,000 /tháng</t>
        </is>
      </c>
      <c r="F9082" s="10" t="inlineStr">
        <is>
          <t>Bắc Ninh</t>
        </is>
      </c>
      <c r="G9082" s="10" t="inlineStr">
        <is>
          <t>Nhân viên</t>
        </is>
      </c>
      <c r="H9082" s="10" t="inlineStr">
        <is>
          <t>20/01/2026</t>
        </is>
      </c>
      <c r="I9082" s="10" t="inlineStr">
        <is>
          <t>09/04/2026</t>
        </is>
      </c>
      <c r="J9082" s="10" t="inlineStr">
        <is>
          <t>17/03/2026</t>
        </is>
      </c>
      <c r="K9082" s="10" t="inlineStr">
        <is>
          <t>N/A</t>
        </is>
      </c>
      <c r="L9082" s="10" t="inlineStr">
        <is>
          <t>PQA, Tiếng Trung, Tiếng Anh</t>
        </is>
      </c>
      <c r="M9082" s="10" t="inlineStr">
        <is>
          <t>Bonus, Paid Leave</t>
        </is>
      </c>
      <c r="N9082" s="11">
        <f>HYPERLINK("https://www.vietnamworks.com/ky-su-chat-luong-pqa-tieng-trung-anh-2004261-jv","Xem chi tiết")</f>
        <v/>
      </c>
      <c r="O9082" s="10" t="n"/>
    </row>
    <row r="9083">
      <c r="B9083" s="7" t="n">
        <v>9081</v>
      </c>
      <c r="C9083" t="inlineStr">
        <is>
          <t>Process Quality Engineer</t>
        </is>
      </c>
      <c r="D9083" t="inlineStr">
        <is>
          <t>Công Ty TNHH Ziehl-Abegg Việt Nam</t>
        </is>
      </c>
      <c r="E9083" t="inlineStr">
        <is>
          <t>Thương lượng</t>
        </is>
      </c>
      <c r="F9083" t="inlineStr">
        <is>
          <t>Đồng Nai</t>
        </is>
      </c>
      <c r="G9083" t="inlineStr">
        <is>
          <t>Nhân viên</t>
        </is>
      </c>
      <c r="H9083" t="inlineStr">
        <is>
          <t>20/01/2026</t>
        </is>
      </c>
      <c r="I9083" t="inlineStr">
        <is>
          <t>09/04/2026</t>
        </is>
      </c>
      <c r="J9083" t="inlineStr">
        <is>
          <t>17/03/2026</t>
        </is>
      </c>
      <c r="K9083" t="inlineStr">
        <is>
          <t>N/A</t>
        </is>
      </c>
      <c r="L9083" t="inlineStr">
        <is>
          <t>IATF 16949:2016, ISO 9001, Measurement Tools, Root Cause Analysis</t>
        </is>
      </c>
      <c r="M9083" t="inlineStr">
        <is>
          <t>Bonus, Healthcare Plan, Team Activities</t>
        </is>
      </c>
      <c r="N9083" s="8">
        <f>HYPERLINK("https://www.vietnamworks.com/process-quality-engineer-2004327-jv","Xem chi tiết")</f>
        <v/>
      </c>
    </row>
    <row r="9084">
      <c r="B9084" s="9" t="n">
        <v>9082</v>
      </c>
      <c r="C9084" s="10" t="inlineStr">
        <is>
          <t>Nhân Viên Kế Hoạch Sản Xuất (PPC Staff)</t>
        </is>
      </c>
      <c r="D9084" s="10" t="inlineStr">
        <is>
          <t>Công Ty TNHH May Tinh Lợi</t>
        </is>
      </c>
      <c r="E9084" s="10" t="inlineStr">
        <is>
          <t>Thương lượng</t>
        </is>
      </c>
      <c r="F9084" s="10" t="inlineStr">
        <is>
          <t>Hải Dương, Hải Phòng</t>
        </is>
      </c>
      <c r="G9084" s="10" t="inlineStr">
        <is>
          <t>Nhân viên</t>
        </is>
      </c>
      <c r="H9084" s="10" t="inlineStr">
        <is>
          <t>19/01/2026</t>
        </is>
      </c>
      <c r="I9084" s="10" t="inlineStr">
        <is>
          <t>09/04/2026</t>
        </is>
      </c>
      <c r="J9084" s="10" t="inlineStr">
        <is>
          <t>17/03/2026</t>
        </is>
      </c>
      <c r="K9084" s="10" t="inlineStr">
        <is>
          <t>N/A</t>
        </is>
      </c>
      <c r="L9084" s="10" t="inlineStr">
        <is>
          <t>Material Planning, Production Management, Production Planning, Kế Hoạch Sản Xuất, Lập Kế Hoạch Sản Xuất</t>
        </is>
      </c>
      <c r="M9084" s="10" t="inlineStr">
        <is>
          <t>Bonus, Paid Leave, Training, Transportation, Others</t>
        </is>
      </c>
      <c r="N9084" s="11">
        <f>HYPERLINK("https://www.vietnamworks.com/nhan-vien-ke-hoach-san-xuat-ppc-staff-2004176-jv","Xem chi tiết")</f>
        <v/>
      </c>
      <c r="O9084" s="10" t="n"/>
    </row>
    <row r="9085">
      <c r="B9085" s="7" t="n">
        <v>9083</v>
      </c>
      <c r="C9085" t="inlineStr">
        <is>
          <t>Chuyên Viên Kế Toán Cao Cấp</t>
        </is>
      </c>
      <c r="D9085" t="inlineStr">
        <is>
          <t>Công ty Cổ phần Sản xuất và Kinh doanh VinMetal</t>
        </is>
      </c>
      <c r="E9085" t="inlineStr">
        <is>
          <t>Thương lượng</t>
        </is>
      </c>
      <c r="F9085" t="inlineStr">
        <is>
          <t>Hà Nội</t>
        </is>
      </c>
      <c r="G9085" t="inlineStr">
        <is>
          <t>Trưởng phòng</t>
        </is>
      </c>
      <c r="H9085" t="inlineStr">
        <is>
          <t>20/01/2026</t>
        </is>
      </c>
      <c r="I9085" t="inlineStr">
        <is>
          <t>09/04/2026</t>
        </is>
      </c>
      <c r="J9085" t="inlineStr">
        <is>
          <t>17/03/2026</t>
        </is>
      </c>
      <c r="K9085" t="inlineStr">
        <is>
          <t>N/A</t>
        </is>
      </c>
      <c r="L9085" t="inlineStr">
        <is>
          <t>Theo Dõi Tài Sản, Finance, VAS, Kế Toán Nội Bộ, Accounting</t>
        </is>
      </c>
      <c r="M9085" t="inlineStr">
        <is>
          <t>Bonus, Healthcare Plan, Training</t>
        </is>
      </c>
      <c r="N9085" s="8">
        <f>HYPERLINK("https://www.vietnamworks.com/chuyen-vien-ke-toan-cao-cap--2004219-jv","Xem chi tiết")</f>
        <v/>
      </c>
    </row>
    <row r="9086">
      <c r="B9086" s="9" t="n">
        <v>9084</v>
      </c>
      <c r="C9086" s="10" t="inlineStr">
        <is>
          <t>Facilities Staff - Nhân Viên Quản Lý Thiết Bị</t>
        </is>
      </c>
      <c r="D9086" s="10" t="inlineStr">
        <is>
          <t>Panasonic Appliances Vietnam</t>
        </is>
      </c>
      <c r="E9086" s="10" t="inlineStr">
        <is>
          <t>Thương lượng</t>
        </is>
      </c>
      <c r="F9086" s="10" t="inlineStr">
        <is>
          <t>Hà Nội</t>
        </is>
      </c>
      <c r="G9086" s="10" t="inlineStr">
        <is>
          <t>Nhân viên</t>
        </is>
      </c>
      <c r="H9086" s="10" t="inlineStr">
        <is>
          <t>20/01/2026</t>
        </is>
      </c>
      <c r="I9086" s="10" t="inlineStr">
        <is>
          <t>09/04/2026</t>
        </is>
      </c>
      <c r="J9086" s="10" t="inlineStr">
        <is>
          <t>17/03/2026</t>
        </is>
      </c>
      <c r="K9086" s="10" t="inlineStr">
        <is>
          <t>N/A</t>
        </is>
      </c>
      <c r="L9086" s="10" t="inlineStr">
        <is>
          <t>Bảo Trì, an toàn, Phòng cháy chữa cháy (PCCC), Điện, Maintenance</t>
        </is>
      </c>
      <c r="M9086" s="10" t="inlineStr">
        <is>
          <t>Bonus, Healthcare Plan, Transportation</t>
        </is>
      </c>
      <c r="N9086" s="11">
        <f>HYPERLINK("https://www.vietnamworks.com/facilities-staff-nhan-vien-quan-ly-thiet-bi--2004331-jv","Xem chi tiết")</f>
        <v/>
      </c>
      <c r="O9086" s="10" t="n"/>
    </row>
    <row r="9087">
      <c r="B9087" s="7" t="n">
        <v>9085</v>
      </c>
      <c r="C9087" t="inlineStr">
        <is>
          <t>[Vinphaco] Tuyển Dụng Nhân Viên Hồ Sơ Kỹ Thuật</t>
        </is>
      </c>
      <c r="D9087" t="inlineStr">
        <is>
          <t>Công Ty Cổ Phần Dược Phẩm Vĩnh Phúc</t>
        </is>
      </c>
      <c r="E9087" t="inlineStr">
        <is>
          <t>Thương lượng</t>
        </is>
      </c>
      <c r="F9087" t="inlineStr">
        <is>
          <t>Vĩnh Phúc</t>
        </is>
      </c>
      <c r="G9087" t="inlineStr">
        <is>
          <t>Nhân viên</t>
        </is>
      </c>
      <c r="H9087" t="inlineStr">
        <is>
          <t>21/01/2026</t>
        </is>
      </c>
      <c r="I9087" t="inlineStr">
        <is>
          <t>09/04/2026</t>
        </is>
      </c>
      <c r="J9087" t="inlineStr">
        <is>
          <t>17/03/2026</t>
        </is>
      </c>
      <c r="K9087" t="inlineStr">
        <is>
          <t>N/A</t>
        </is>
      </c>
      <c r="L9087" t="inlineStr">
        <is>
          <t>Tác Dụng Dược Lý, Nghiên Cứu Hồ Sơ, Cẩn Thận Và Tỉ Mỉ</t>
        </is>
      </c>
      <c r="M9087" t="inlineStr">
        <is>
          <t>Bonus, Healthcare Plan, Travel Opportunities</t>
        </is>
      </c>
      <c r="N9087" s="8">
        <f>HYPERLINK("https://www.vietnamworks.com/vinphaco-tuyen-dung-nhan-vien-ho-so-ky-thuat--2004677-jv","Xem chi tiết")</f>
        <v/>
      </c>
    </row>
    <row r="9088">
      <c r="B9088" s="9" t="n">
        <v>9086</v>
      </c>
      <c r="C9088" s="10" t="inlineStr">
        <is>
          <t>Nghiên Cứu Viên (Mảng Đông Dược)</t>
        </is>
      </c>
      <c r="D9088" s="10" t="inlineStr">
        <is>
          <t>Công Ty Cổ Phần Dược Phẩm Vĩnh Phúc</t>
        </is>
      </c>
      <c r="E9088" s="10" t="inlineStr">
        <is>
          <t>Thương lượng</t>
        </is>
      </c>
      <c r="F9088" s="10" t="inlineStr">
        <is>
          <t>Vĩnh Phúc</t>
        </is>
      </c>
      <c r="G9088" s="10" t="inlineStr">
        <is>
          <t>Nhân viên</t>
        </is>
      </c>
      <c r="H9088" s="10" t="inlineStr">
        <is>
          <t>21/01/2026</t>
        </is>
      </c>
      <c r="I9088" s="10" t="inlineStr">
        <is>
          <t>09/04/2026</t>
        </is>
      </c>
      <c r="J9088" s="10" t="inlineStr">
        <is>
          <t>17/03/2026</t>
        </is>
      </c>
      <c r="K9088" s="10" t="inlineStr">
        <is>
          <t>N/A</t>
        </is>
      </c>
      <c r="L9088" s="10" t="inlineStr">
        <is>
          <t>R&amp;D, R&amp;D Dược Phẩm</t>
        </is>
      </c>
      <c r="M9088" s="10" t="inlineStr">
        <is>
          <t>Bonus, Healthcare Plan, Travel Opportunities</t>
        </is>
      </c>
      <c r="N9088" s="11">
        <f>HYPERLINK("https://www.vietnamworks.com/nghien-cuu-vien-mang-dong-duoc-2004680-jv","Xem chi tiết")</f>
        <v/>
      </c>
      <c r="O9088" s="10" t="n"/>
    </row>
    <row r="9089">
      <c r="B9089" s="7" t="n">
        <v>9087</v>
      </c>
      <c r="C9089" t="inlineStr">
        <is>
          <t>Nhân Viên Cơ Khí</t>
        </is>
      </c>
      <c r="D9089" t="inlineStr">
        <is>
          <t>Công Ty Cổ Phần Dược Phẩm Vĩnh Phúc</t>
        </is>
      </c>
      <c r="E9089" t="inlineStr">
        <is>
          <t>Thương lượng</t>
        </is>
      </c>
      <c r="F9089" t="inlineStr">
        <is>
          <t>Vĩnh Phúc</t>
        </is>
      </c>
      <c r="G9089" t="inlineStr">
        <is>
          <t>Nhân viên</t>
        </is>
      </c>
      <c r="H9089" t="inlineStr">
        <is>
          <t>21/01/2026</t>
        </is>
      </c>
      <c r="I9089" t="inlineStr">
        <is>
          <t>09/04/2026</t>
        </is>
      </c>
      <c r="J9089" t="inlineStr">
        <is>
          <t>17/03/2026</t>
        </is>
      </c>
      <c r="K9089" t="inlineStr">
        <is>
          <t>N/A</t>
        </is>
      </c>
      <c r="L9089" t="inlineStr">
        <is>
          <t>Cơ Khí Chế Tạo Máy, Hàn Xì Cơ Khí, AutoCAD, Cơ Khí</t>
        </is>
      </c>
      <c r="M9089" t="inlineStr">
        <is>
          <t>Bonus, Healthcare Plan, Travel Opportunities</t>
        </is>
      </c>
      <c r="N9089" s="8">
        <f>HYPERLINK("https://www.vietnamworks.com/nhan-vien-co-khi--2004678-jv","Xem chi tiết")</f>
        <v/>
      </c>
    </row>
    <row r="9090">
      <c r="B9090" s="9" t="n">
        <v>9088</v>
      </c>
      <c r="C9090" s="10" t="inlineStr">
        <is>
          <t>Account Executive (Field Sales_Chinese Speaking)</t>
        </is>
      </c>
      <c r="D9090" s="10" t="inlineStr">
        <is>
          <t>UPS Vietnam</t>
        </is>
      </c>
      <c r="E9090" s="10" t="inlineStr">
        <is>
          <t>Thương lượng</t>
        </is>
      </c>
      <c r="F9090" s="10" t="inlineStr">
        <is>
          <t>Hà Nội</t>
        </is>
      </c>
      <c r="G9090" s="10" t="inlineStr">
        <is>
          <t>Nhân viên</t>
        </is>
      </c>
      <c r="H9090" s="10" t="inlineStr">
        <is>
          <t>21/01/2026</t>
        </is>
      </c>
      <c r="I9090" s="10" t="inlineStr">
        <is>
          <t>09/04/2026</t>
        </is>
      </c>
      <c r="J9090" s="10" t="inlineStr">
        <is>
          <t>17/03/2026</t>
        </is>
      </c>
      <c r="K9090" s="10" t="inlineStr">
        <is>
          <t>N/A</t>
        </is>
      </c>
      <c r="L9090" s="10" t="inlineStr">
        <is>
          <t>Accounting Management, English Communication, Customer Engagement, Sales Oriented, Result Driving</t>
        </is>
      </c>
      <c r="M9090" s="10" t="inlineStr">
        <is>
          <t>Healthcare Plan, Team Activities, Others</t>
        </is>
      </c>
      <c r="N9090" s="11">
        <f>HYPERLINK("https://www.vietnamworks.com/account-executive-field-sales-chinese-speaking-2004769-jv","Xem chi tiết")</f>
        <v/>
      </c>
      <c r="O9090" s="10" t="n"/>
    </row>
    <row r="9091">
      <c r="B9091" s="7" t="n">
        <v>9089</v>
      </c>
      <c r="C9091" t="inlineStr">
        <is>
          <t>Cần Tuyển Gấp Nhân Viên Merchandiser Ngành May Mặc (Đi Làm Sau Tết)</t>
        </is>
      </c>
      <c r="D9091" t="inlineStr">
        <is>
          <t>Công Ty TNHH Một Thành Viên KL Mas</t>
        </is>
      </c>
      <c r="E9091" t="inlineStr">
        <is>
          <t>Thương lượng</t>
        </is>
      </c>
      <c r="F9091" t="inlineStr">
        <is>
          <t>Hà Nội</t>
        </is>
      </c>
      <c r="G9091" t="inlineStr">
        <is>
          <t>Nhân viên</t>
        </is>
      </c>
      <c r="H9091" t="inlineStr">
        <is>
          <t>21/01/2026</t>
        </is>
      </c>
      <c r="I9091" t="inlineStr">
        <is>
          <t>09/04/2026</t>
        </is>
      </c>
      <c r="J9091" t="inlineStr">
        <is>
          <t>17/03/2026</t>
        </is>
      </c>
      <c r="K9091" t="inlineStr">
        <is>
          <t>N/A</t>
        </is>
      </c>
      <c r="L9091" t="inlineStr">
        <is>
          <t>May Mặc Thời Trang, Merchandising, Garment, Mua Hàng, Công nghệ may</t>
        </is>
      </c>
      <c r="M9091" t="inlineStr">
        <is>
          <t>Bonus, Healthcare Plan, Others</t>
        </is>
      </c>
      <c r="N9091" s="8">
        <f>HYPERLINK("https://www.vietnamworks.com/can-tuyen-gap-nhan-vien-merchandiser-nganh-may-mac-di-lam-sau-tet-2004731-jv","Xem chi tiết")</f>
        <v/>
      </c>
    </row>
    <row r="9092">
      <c r="B9092" s="9" t="n">
        <v>9090</v>
      </c>
      <c r="C9092" s="10" t="inlineStr">
        <is>
          <t>Nhân Viên Kinh Doanh</t>
        </is>
      </c>
      <c r="D9092" s="10" t="inlineStr">
        <is>
          <t>Công Ty Cổ Phần Chứng Khoán Dầu Khí (Psi)</t>
        </is>
      </c>
      <c r="E9092" s="10" t="inlineStr">
        <is>
          <t>10tr-30tr ₫/tháng</t>
        </is>
      </c>
      <c r="F9092" s="10" t="inlineStr">
        <is>
          <t>Hà Nội, Hồ Chí Minh, Đà Nẵng</t>
        </is>
      </c>
      <c r="G9092" s="10" t="inlineStr">
        <is>
          <t>Nhân viên</t>
        </is>
      </c>
      <c r="H9092" s="10" t="inlineStr">
        <is>
          <t>21/01/2026</t>
        </is>
      </c>
      <c r="I9092" s="10" t="inlineStr">
        <is>
          <t>09/04/2026</t>
        </is>
      </c>
      <c r="J9092" s="10" t="inlineStr">
        <is>
          <t>17/03/2026</t>
        </is>
      </c>
      <c r="K9092" s="10" t="inlineStr">
        <is>
          <t>N/A</t>
        </is>
      </c>
      <c r="L9092" s="10" t="inlineStr">
        <is>
          <t>Báo Cáo Tài Chính, Chứng khoán, Kinh Doanh, Môi Giới, Quản Lý Tiền Tệ</t>
        </is>
      </c>
      <c r="M9092" s="10" t="inlineStr">
        <is>
          <t>Healthcare Plan, Paid Leave, Training, Awards, Laptop, Team Activities, Others</t>
        </is>
      </c>
      <c r="N9092" s="11">
        <f>HYPERLINK("https://www.vietnamworks.com/nhan-vien-kinh-doanh--2004742-jv","Xem chi tiết")</f>
        <v/>
      </c>
      <c r="O9092" s="10" t="n"/>
    </row>
    <row r="9093">
      <c r="B9093" s="7" t="n">
        <v>9091</v>
      </c>
      <c r="C9093" t="inlineStr">
        <is>
          <t>Chuyên Viên Nghiên Cứu Thị Trường &amp; Sản Phẩm Xe Ô Tô</t>
        </is>
      </c>
      <c r="D9093" t="inlineStr">
        <is>
          <t>Công Ty TNHH Daehan Motors</t>
        </is>
      </c>
      <c r="E9093" t="inlineStr">
        <is>
          <t>Thương lượng</t>
        </is>
      </c>
      <c r="F9093" t="inlineStr">
        <is>
          <t>Hồ Chí Minh</t>
        </is>
      </c>
      <c r="G9093" t="inlineStr">
        <is>
          <t>Nhân viên</t>
        </is>
      </c>
      <c r="H9093" t="inlineStr">
        <is>
          <t>20/01/2026</t>
        </is>
      </c>
      <c r="I9093" t="inlineStr">
        <is>
          <t>09/04/2026</t>
        </is>
      </c>
      <c r="J9093" t="inlineStr">
        <is>
          <t>17/03/2026</t>
        </is>
      </c>
      <c r="K9093" t="inlineStr">
        <is>
          <t>N/A</t>
        </is>
      </c>
      <c r="L9093" t="inlineStr">
        <is>
          <t>Phát Triển Sản Phẩm, R&amp;D Experience, Marketing Product, Nghiên Cứu Sản Phẩm, Nghiên Cứu Đối Thủ</t>
        </is>
      </c>
      <c r="M9093" t="inlineStr">
        <is>
          <t>Bonus, Healthcare Plan, Laptop</t>
        </is>
      </c>
      <c r="N9093" s="8">
        <f>HYPERLINK("https://www.vietnamworks.com/chuyen-vien-nghien-cuu-thi-truong-san-pham-xe-o-to--2004413-jv","Xem chi tiết")</f>
        <v/>
      </c>
    </row>
    <row r="9094">
      <c r="B9094" s="9" t="n">
        <v>9092</v>
      </c>
      <c r="C9094" s="10" t="inlineStr">
        <is>
          <t>Senior Account Manager - Chuyên Viên Cao Cấp Kế Hoạch và Quản Lý Dự Án (Upto 1000$)</t>
        </is>
      </c>
      <c r="D9094" s="10" t="inlineStr">
        <is>
          <t>CÔNG TY CỔ PHẦN MAT GROUP</t>
        </is>
      </c>
      <c r="E9094" s="10" t="inlineStr">
        <is>
          <t>Tới $ 1,000 /tháng</t>
        </is>
      </c>
      <c r="F9094" s="10" t="inlineStr">
        <is>
          <t>Hà Nội</t>
        </is>
      </c>
      <c r="G9094" s="10" t="inlineStr">
        <is>
          <t>Nhân viên</t>
        </is>
      </c>
      <c r="H9094" s="10" t="inlineStr">
        <is>
          <t>21/01/2026</t>
        </is>
      </c>
      <c r="I9094" s="10" t="inlineStr">
        <is>
          <t>09/04/2026</t>
        </is>
      </c>
      <c r="J9094" s="10" t="inlineStr">
        <is>
          <t>17/03/2026</t>
        </is>
      </c>
      <c r="K9094" s="10" t="inlineStr">
        <is>
          <t>N/A</t>
        </is>
      </c>
      <c r="L9094" s="10" t="inlineStr">
        <is>
          <t>Digital Marketing Tools, Data Analysis, Nghiên Cứu Khách Hàng, Tư Vấn Chiến Lược Marketing, Marketing &amp; Advertising</t>
        </is>
      </c>
      <c r="M9094" s="10" t="inlineStr">
        <is>
          <t>Bonus, Healthcare Plan, Paid Leave, Training, Laptop, Others</t>
        </is>
      </c>
      <c r="N9094" s="11">
        <f>HYPERLINK("https://www.vietnamworks.com/senior-account-manager-chuyen-vien-cao-cap-ke-hoach-va-quan-ly-du-an-upto-1000-2004744-jv","Xem chi tiết")</f>
        <v/>
      </c>
      <c r="O9094" s="10" t="n"/>
    </row>
    <row r="9095">
      <c r="B9095" s="7" t="n">
        <v>9093</v>
      </c>
      <c r="C9095" t="inlineStr">
        <is>
          <t>Kế Toán Quản Trị Tổng Hợp</t>
        </is>
      </c>
      <c r="D9095" t="inlineStr">
        <is>
          <t>Công Ty TNHH Thiết Bị Minh Tâm (Mitalab Co., Ltd)</t>
        </is>
      </c>
      <c r="E9095" t="inlineStr">
        <is>
          <t>Thương lượng</t>
        </is>
      </c>
      <c r="F9095" t="inlineStr">
        <is>
          <t>Hồ Chí Minh</t>
        </is>
      </c>
      <c r="G9095" t="inlineStr">
        <is>
          <t>Nhân viên</t>
        </is>
      </c>
      <c r="H9095" t="inlineStr">
        <is>
          <t>21/01/2026</t>
        </is>
      </c>
      <c r="I9095" t="inlineStr">
        <is>
          <t>09/04/2026</t>
        </is>
      </c>
      <c r="J9095" t="inlineStr">
        <is>
          <t>17/03/2026</t>
        </is>
      </c>
      <c r="K9095" t="inlineStr">
        <is>
          <t>N/A</t>
        </is>
      </c>
      <c r="L9095" t="inlineStr">
        <is>
          <t>Kế Toán Tổng Hợp, Kế toán Quản trị</t>
        </is>
      </c>
      <c r="M9095" t="inlineStr">
        <is>
          <t>Bonus, Training, Travel Opportunities</t>
        </is>
      </c>
      <c r="N9095" s="8">
        <f>HYPERLINK("https://www.vietnamworks.com/ke-toan-quan-tri-tong-hop--2004722-jv","Xem chi tiết")</f>
        <v/>
      </c>
    </row>
    <row r="9096">
      <c r="B9096" s="9" t="n">
        <v>9094</v>
      </c>
      <c r="C9096" s="10" t="inlineStr">
        <is>
          <t xml:space="preserve">Presales Security </t>
        </is>
      </c>
      <c r="D9096" s="10" t="inlineStr">
        <is>
          <t>Công ty Cổ phần An ninh Mạng Việt Nam(VSEC)</t>
        </is>
      </c>
      <c r="E9096" s="10" t="inlineStr">
        <is>
          <t>Thương lượng</t>
        </is>
      </c>
      <c r="F9096" s="10" t="inlineStr">
        <is>
          <t>Hà Nội</t>
        </is>
      </c>
      <c r="G9096" s="10" t="inlineStr">
        <is>
          <t>Nhân viên</t>
        </is>
      </c>
      <c r="H9096" s="10" t="inlineStr">
        <is>
          <t>20/01/2026</t>
        </is>
      </c>
      <c r="I9096" s="10" t="inlineStr">
        <is>
          <t>09/04/2026</t>
        </is>
      </c>
      <c r="J9096" s="10" t="inlineStr">
        <is>
          <t>17/03/2026</t>
        </is>
      </c>
      <c r="K9096" s="10" t="inlineStr">
        <is>
          <t>N/A</t>
        </is>
      </c>
      <c r="L9096" s="10" t="inlineStr">
        <is>
          <t>An Toàn Thông Tin, Giải Quyết Vấn Đề, Kỹ năng giao tiếp, Tư Vấn Giải Pháp, Viết Tài Liệu</t>
        </is>
      </c>
      <c r="M9096" s="10" t="inlineStr">
        <is>
          <t>Bonus, Healthcare Plan, Paid Leave, Training, Team Activities, Others</t>
        </is>
      </c>
      <c r="N9096" s="11">
        <f>HYPERLINK("https://www.vietnamworks.com/presales-security-2004614-jv","Xem chi tiết")</f>
        <v/>
      </c>
      <c r="O9096" s="10" t="n"/>
    </row>
    <row r="9097">
      <c r="B9097" s="7" t="n">
        <v>9095</v>
      </c>
      <c r="C9097" t="inlineStr">
        <is>
          <t>Nhân Viên Kinh Doanh Xuất Khẩu (Lương + Thưởng DS Từ 12 Triệu +++)</t>
        </is>
      </c>
      <c r="D9097" t="inlineStr">
        <is>
          <t>Công Ty CP Chế Tạo Thiết Bị Điện Omega</t>
        </is>
      </c>
      <c r="E9097" t="inlineStr">
        <is>
          <t>Từ 12tr ₫/tháng</t>
        </is>
      </c>
      <c r="F9097" t="inlineStr">
        <is>
          <t>Hà Nội</t>
        </is>
      </c>
      <c r="G9097" t="inlineStr">
        <is>
          <t>Nhân viên</t>
        </is>
      </c>
      <c r="H9097" t="inlineStr">
        <is>
          <t>21/01/2026</t>
        </is>
      </c>
      <c r="I9097" t="inlineStr">
        <is>
          <t>09/04/2026</t>
        </is>
      </c>
      <c r="J9097" t="inlineStr">
        <is>
          <t>17/03/2026</t>
        </is>
      </c>
      <c r="K9097" t="inlineStr">
        <is>
          <t>N/A</t>
        </is>
      </c>
      <c r="L9097" t="inlineStr">
        <is>
          <t>Xuất Nhập Khẩu, Ngoại Thương, Quản Trị Kinh Doanh, Kinh Doanh Xuất Nhập Khẩu, Kinh Tế Đối Ngoại</t>
        </is>
      </c>
      <c r="M9097" t="inlineStr">
        <is>
          <t>Bonus, Healthcare Plan, Paid Leave, Laptop, Others</t>
        </is>
      </c>
      <c r="N9097" s="8">
        <f>HYPERLINK("https://www.vietnamworks.com/nhan-vien-kinh-doanh-xuat-khau-luong-thuong-ds-tu-12-trieu-2004780-jv","Xem chi tiết")</f>
        <v/>
      </c>
    </row>
    <row r="9098">
      <c r="B9098" s="9" t="n">
        <v>9096</v>
      </c>
      <c r="C9098" s="10" t="inlineStr">
        <is>
          <t>[Vinphaco] Tuyển Dụng Kiểm Nghiệm Viên Nghiên Cứu</t>
        </is>
      </c>
      <c r="D9098" s="10" t="inlineStr">
        <is>
          <t>Công Ty Cổ Phần Dược Phẩm Vĩnh Phúc</t>
        </is>
      </c>
      <c r="E9098" s="10" t="inlineStr">
        <is>
          <t>Thương lượng</t>
        </is>
      </c>
      <c r="F9098" s="10" t="inlineStr">
        <is>
          <t>Vĩnh Phúc</t>
        </is>
      </c>
      <c r="G9098" s="10" t="inlineStr">
        <is>
          <t>Nhân viên</t>
        </is>
      </c>
      <c r="H9098" s="10" t="inlineStr">
        <is>
          <t>21/01/2026</t>
        </is>
      </c>
      <c r="I9098" s="10" t="inlineStr">
        <is>
          <t>09/04/2026</t>
        </is>
      </c>
      <c r="J9098" s="10" t="inlineStr">
        <is>
          <t>17/03/2026</t>
        </is>
      </c>
      <c r="K9098" s="10" t="inlineStr">
        <is>
          <t>N/A</t>
        </is>
      </c>
      <c r="L9098" s="10" t="inlineStr">
        <is>
          <t>Kiểm Nghiệm Thuốc, Điều Chế Dược</t>
        </is>
      </c>
      <c r="M9098" s="10" t="inlineStr">
        <is>
          <t>Bonus, Healthcare Plan, Travel Opportunities</t>
        </is>
      </c>
      <c r="N9098" s="11">
        <f>HYPERLINK("https://www.vietnamworks.com/vinphaco-tuyen-dung-kiem-nghiem-vien-nghien-cuu--2004679-jv","Xem chi tiết")</f>
        <v/>
      </c>
      <c r="O9098" s="10" t="n"/>
    </row>
    <row r="9099">
      <c r="B9099" s="7" t="n">
        <v>9097</v>
      </c>
      <c r="C9099" t="inlineStr">
        <is>
          <t>Chuyên Viên Trade Marketing Lương Upto 22Tr</t>
        </is>
      </c>
      <c r="D9099" t="inlineStr">
        <is>
          <t>Công Ty CP Chế Tạo Thiết Bị Điện Omega</t>
        </is>
      </c>
      <c r="E9099" t="inlineStr">
        <is>
          <t>13tr-22tr ₫/tháng</t>
        </is>
      </c>
      <c r="F9099" t="inlineStr">
        <is>
          <t>Hà Nội</t>
        </is>
      </c>
      <c r="G9099" t="inlineStr">
        <is>
          <t>Nhân viên</t>
        </is>
      </c>
      <c r="H9099" t="inlineStr">
        <is>
          <t>21/01/2026</t>
        </is>
      </c>
      <c r="I9099" t="inlineStr">
        <is>
          <t>09/04/2026</t>
        </is>
      </c>
      <c r="J9099" t="inlineStr">
        <is>
          <t>17/03/2026</t>
        </is>
      </c>
      <c r="K9099" t="inlineStr">
        <is>
          <t>N/A</t>
        </is>
      </c>
      <c r="L9099" t="inlineStr">
        <is>
          <t>Trade Marketing, Market Research, Promotional Marketing, Data Analysis, Nghiên Cứu Khách Hàng</t>
        </is>
      </c>
      <c r="M9099" t="inlineStr">
        <is>
          <t>Bonus, Healthcare Plan, Paid Leave, Training, Laptop, Team Activities, Others</t>
        </is>
      </c>
      <c r="N9099" s="8">
        <f>HYPERLINK("https://www.vietnamworks.com/chuyen-vien-trade-marketing-luong-upto-22tr--2004781-jv","Xem chi tiết")</f>
        <v/>
      </c>
    </row>
    <row r="9100">
      <c r="B9100" s="9" t="n">
        <v>9098</v>
      </c>
      <c r="C9100" s="10" t="inlineStr">
        <is>
          <t>Maintenance and Repair (Mnr)</t>
        </is>
      </c>
      <c r="D9100" s="10" t="inlineStr">
        <is>
          <t>JINJIANG SHIPPING LOGISTICS (VIETNAM) COMPANY LIMITED</t>
        </is>
      </c>
      <c r="E9100" s="10" t="inlineStr">
        <is>
          <t>Thương lượng</t>
        </is>
      </c>
      <c r="F9100" s="10" t="inlineStr">
        <is>
          <t>Hải Phòng</t>
        </is>
      </c>
      <c r="G9100" s="10" t="inlineStr">
        <is>
          <t>Nhân viên</t>
        </is>
      </c>
      <c r="H9100" s="10" t="inlineStr">
        <is>
          <t>21/01/2026</t>
        </is>
      </c>
      <c r="I9100" s="10" t="inlineStr">
        <is>
          <t>09/04/2026</t>
        </is>
      </c>
      <c r="J9100" s="10" t="inlineStr">
        <is>
          <t>17/03/2026</t>
        </is>
      </c>
      <c r="K9100" s="10" t="inlineStr">
        <is>
          <t>N/A</t>
        </is>
      </c>
      <c r="L9100" s="10" t="inlineStr">
        <is>
          <t>EDI System, English, Logistics Industry Knowledge, Maintenance, Quality Inspection</t>
        </is>
      </c>
      <c r="M9100" s="10" t="inlineStr">
        <is>
          <t>Healthcare Plan, Others</t>
        </is>
      </c>
      <c r="N9100" s="11">
        <f>HYPERLINK("https://www.vietnamworks.com/maintenance-and-repair-mnr-2004786-jv","Xem chi tiết")</f>
        <v/>
      </c>
      <c r="O9100" s="10" t="n"/>
    </row>
    <row r="9101">
      <c r="B9101" s="7" t="n">
        <v>9099</v>
      </c>
      <c r="C9101" t="inlineStr">
        <is>
          <t>Senior Commercial (Procurement / Purchasing) Executive | 5+ Years</t>
        </is>
      </c>
      <c r="D9101" t="inlineStr">
        <is>
          <t>Primewood Corporation (Vietnam)</t>
        </is>
      </c>
      <c r="E9101" t="inlineStr">
        <is>
          <t>Thương lượng</t>
        </is>
      </c>
      <c r="F9101" t="inlineStr">
        <is>
          <t>Đà Nẵng</t>
        </is>
      </c>
      <c r="G9101" t="inlineStr">
        <is>
          <t>Nhân viên</t>
        </is>
      </c>
      <c r="H9101" t="inlineStr">
        <is>
          <t>21/01/2026</t>
        </is>
      </c>
      <c r="I9101" t="inlineStr">
        <is>
          <t>09/04/2026</t>
        </is>
      </c>
      <c r="J9101" t="inlineStr">
        <is>
          <t>17/03/2026</t>
        </is>
      </c>
      <c r="K9101" t="inlineStr">
        <is>
          <t>N/A</t>
        </is>
      </c>
      <c r="L9101" t="inlineStr">
        <is>
          <t>Market Intelligent, Purchasing Control, Procurement, Commercial, Supplier Sourcing</t>
        </is>
      </c>
      <c r="M9101" t="inlineStr">
        <is>
          <t>Bonus, Healthcare Plan, Paid Leave</t>
        </is>
      </c>
      <c r="N9101" s="8">
        <f>HYPERLINK("https://www.vietnamworks.com/senior-commercial-procurement-purchasing-executive-5-years-2005013-jv","Xem chi tiết")</f>
        <v/>
      </c>
    </row>
    <row r="9102">
      <c r="B9102" s="9" t="n">
        <v>9100</v>
      </c>
      <c r="C9102" s="10" t="inlineStr">
        <is>
          <t>Trình Dược Viên ETC</t>
        </is>
      </c>
      <c r="D9102" s="10" t="inlineStr">
        <is>
          <t>CÔNG TY TNHH DƯỢC PHẨM VÀ THIẾT BỊ Y TẾ KIỀU KHÁNH</t>
        </is>
      </c>
      <c r="E9102" s="10" t="inlineStr">
        <is>
          <t>Thương lượng</t>
        </is>
      </c>
      <c r="F9102" s="10" t="inlineStr">
        <is>
          <t>Đà Nẵng, Đắk Lắk, Gia Lai</t>
        </is>
      </c>
      <c r="G9102" s="10" t="inlineStr">
        <is>
          <t>Nhân viên</t>
        </is>
      </c>
      <c r="H9102" s="10" t="inlineStr">
        <is>
          <t>21/01/2026</t>
        </is>
      </c>
      <c r="I9102" s="10" t="inlineStr">
        <is>
          <t>09/04/2026</t>
        </is>
      </c>
      <c r="J9102" s="10" t="inlineStr">
        <is>
          <t>17/03/2026</t>
        </is>
      </c>
      <c r="K9102" s="10" t="inlineStr">
        <is>
          <t>N/A</t>
        </is>
      </c>
      <c r="L9102" s="10" t="inlineStr">
        <is>
          <t>Kỹ năng giao tiêp, Bán Hàng, Tin Học Văn Phòng, Ngoại hình tốt, Trung Thực</t>
        </is>
      </c>
      <c r="M9102" s="10" t="inlineStr">
        <is>
          <t>Bonus, Healthcare Plan, Paid Leave, Training, Team Activities, Others</t>
        </is>
      </c>
      <c r="N9102" s="11">
        <f>HYPERLINK("https://www.vietnamworks.com/trinh-duoc-vien-etc-2004867-jv","Xem chi tiết")</f>
        <v/>
      </c>
      <c r="O9102" s="10" t="n"/>
    </row>
    <row r="9103">
      <c r="B9103" s="7" t="n">
        <v>9101</v>
      </c>
      <c r="C9103" t="inlineStr">
        <is>
          <t>Kỹ Sư Bán Hàng – Thiết Bị Công Nghiệp ( Sales Engineer ) - Có Thể Đi Làm Sau Tết</t>
        </is>
      </c>
      <c r="D9103" t="inlineStr">
        <is>
          <t>Công ty Cổ phần kỹ thuật công nghiệp VH Việt Nam</t>
        </is>
      </c>
      <c r="E9103" t="inlineStr">
        <is>
          <t>15tr-25tr ₫/tháng</t>
        </is>
      </c>
      <c r="F9103" t="inlineStr">
        <is>
          <t>Hà Nội</t>
        </is>
      </c>
      <c r="G9103" t="inlineStr">
        <is>
          <t>Nhân viên</t>
        </is>
      </c>
      <c r="H9103" t="inlineStr">
        <is>
          <t>21/01/2026</t>
        </is>
      </c>
      <c r="I9103" t="inlineStr">
        <is>
          <t>09/04/2026</t>
        </is>
      </c>
      <c r="J9103" t="inlineStr">
        <is>
          <t>17/03/2026</t>
        </is>
      </c>
      <c r="K9103" t="inlineStr">
        <is>
          <t>N/A</t>
        </is>
      </c>
      <c r="L9103" t="inlineStr">
        <is>
          <t>Kỹ năng giao tiêp, Đàm Phán, MS Office, Kỹ Thuật, Giao Tiếp Chủ Động</t>
        </is>
      </c>
      <c r="M9103" t="inlineStr">
        <is>
          <t>Bonus, Healthcare Plan, Training, Laptop, Others</t>
        </is>
      </c>
      <c r="N9103" s="8">
        <f>HYPERLINK("https://www.vietnamworks.com/ky-su-ban-hang-thiet-bi-cong-nghiep-sales-engineer-co-the-dji-lam-sau-tet-2004871-jv","Xem chi tiết")</f>
        <v/>
      </c>
    </row>
    <row r="9104">
      <c r="B9104" s="9" t="n">
        <v>9102</v>
      </c>
      <c r="C9104" s="10" t="inlineStr">
        <is>
          <t>HCM - Technical Designer (TD)</t>
        </is>
      </c>
      <c r="D9104" s="10" t="inlineStr">
        <is>
          <t>Công ty TNHH Bando Vina</t>
        </is>
      </c>
      <c r="E9104" s="10" t="inlineStr">
        <is>
          <t>18tr-50tr ₫/tháng</t>
        </is>
      </c>
      <c r="F9104" s="10" t="inlineStr">
        <is>
          <t>Hồ Chí Minh</t>
        </is>
      </c>
      <c r="G9104" s="10" t="inlineStr">
        <is>
          <t>Nhân viên</t>
        </is>
      </c>
      <c r="H9104" s="10" t="inlineStr">
        <is>
          <t>22/01/2026</t>
        </is>
      </c>
      <c r="I9104" s="10" t="inlineStr">
        <is>
          <t>09/04/2026</t>
        </is>
      </c>
      <c r="J9104" s="10" t="inlineStr">
        <is>
          <t>17/03/2026</t>
        </is>
      </c>
      <c r="K9104" s="10" t="inlineStr">
        <is>
          <t>N/A</t>
        </is>
      </c>
      <c r="L9104" s="10" t="inlineStr">
        <is>
          <t>Garment Construction, Pattern Making, Technical Design, Fabric Design, Thiết Kế</t>
        </is>
      </c>
      <c r="M9104" s="10" t="inlineStr">
        <is>
          <t>Bonus, Healthcare Plan, Paid Leave, Team Activities, Others</t>
        </is>
      </c>
      <c r="N9104" s="11">
        <f>HYPERLINK("https://www.vietnamworks.com/hcm-technical-designer-td-2005382-jv","Xem chi tiết")</f>
        <v/>
      </c>
      <c r="O9104" s="10" t="n"/>
    </row>
    <row r="9105">
      <c r="B9105" s="7" t="n">
        <v>9103</v>
      </c>
      <c r="C9105" t="inlineStr">
        <is>
          <t>Senior Educational Consultant</t>
        </is>
      </c>
      <c r="D9105" t="inlineStr">
        <is>
          <t>Unimates Education Vietnam</t>
        </is>
      </c>
      <c r="E9105" t="inlineStr">
        <is>
          <t>Thương lượng</t>
        </is>
      </c>
      <c r="F9105" t="inlineStr">
        <is>
          <t>Hà Nội, Đà Nẵng, Hồ Chí Minh</t>
        </is>
      </c>
      <c r="G9105" t="inlineStr">
        <is>
          <t>Nhân viên</t>
        </is>
      </c>
      <c r="H9105" t="inlineStr">
        <is>
          <t>21/01/2026</t>
        </is>
      </c>
      <c r="I9105" t="inlineStr">
        <is>
          <t>09/04/2026</t>
        </is>
      </c>
      <c r="J9105" t="inlineStr">
        <is>
          <t>17/03/2026</t>
        </is>
      </c>
      <c r="K9105" t="inlineStr">
        <is>
          <t>N/A</t>
        </is>
      </c>
      <c r="L9105" t="inlineStr">
        <is>
          <t>Communication Skills, Customer Service, Education Consulting, Microsoft Office, Teamwork</t>
        </is>
      </c>
      <c r="M9105" t="inlineStr">
        <is>
          <t>Bonus, Paid Leave, Mobile, Travel Opportunities, Team Activities</t>
        </is>
      </c>
      <c r="N9105" s="8">
        <f>HYPERLINK("https://www.vietnamworks.com/senior-educational-consultant-2005007-jv","Xem chi tiết")</f>
        <v/>
      </c>
    </row>
    <row r="9106">
      <c r="B9106" s="9" t="n">
        <v>9104</v>
      </c>
      <c r="C9106" s="10" t="inlineStr">
        <is>
          <t>Nhân Viên Kế Toán - Hành Chính</t>
        </is>
      </c>
      <c r="D9106" s="10" t="inlineStr">
        <is>
          <t>The Woodpecker Studio</t>
        </is>
      </c>
      <c r="E9106" s="10" t="inlineStr">
        <is>
          <t>10tr-12tr ₫/tháng</t>
        </is>
      </c>
      <c r="F9106" s="10" t="inlineStr">
        <is>
          <t>Hà Nội</t>
        </is>
      </c>
      <c r="G9106" s="10" t="inlineStr">
        <is>
          <t>Nhân viên</t>
        </is>
      </c>
      <c r="H9106" s="10" t="inlineStr">
        <is>
          <t>21/01/2026</t>
        </is>
      </c>
      <c r="I9106" s="10" t="inlineStr">
        <is>
          <t>09/04/2026</t>
        </is>
      </c>
      <c r="J9106" s="10" t="inlineStr">
        <is>
          <t>17/03/2026</t>
        </is>
      </c>
      <c r="K9106" s="10" t="inlineStr">
        <is>
          <t>N/A</t>
        </is>
      </c>
      <c r="L9106" s="10" t="inlineStr">
        <is>
          <t>Hành Chính, Kế Toán, Luật Lao Động, Quản Lý Hồ Sơ, Tính Lương</t>
        </is>
      </c>
      <c r="M9106" s="10" t="inlineStr">
        <is>
          <t>Bonus, Healthcare Plan, Paid Leave, Training, Team Activities, Others</t>
        </is>
      </c>
      <c r="N9106" s="11">
        <f>HYPERLINK("https://www.vietnamworks.com/nhan-vien-ke-toan-hanh-chinh-2005029-jv","Xem chi tiết")</f>
        <v/>
      </c>
      <c r="O9106" s="10" t="n"/>
    </row>
    <row r="9107">
      <c r="B9107" s="7" t="n">
        <v>9105</v>
      </c>
      <c r="C9107" t="inlineStr">
        <is>
          <t>Nhân Viên Theo Dõi Đơn Hàng (Merchandiser)</t>
        </is>
      </c>
      <c r="D9107" t="inlineStr">
        <is>
          <t>Công Ty TNHH May Tinh Lợi</t>
        </is>
      </c>
      <c r="E9107" t="inlineStr">
        <is>
          <t>Thương lượng</t>
        </is>
      </c>
      <c r="F9107" t="inlineStr">
        <is>
          <t>Hải Dương</t>
        </is>
      </c>
      <c r="G9107" t="inlineStr">
        <is>
          <t>Nhân viên</t>
        </is>
      </c>
      <c r="H9107" t="inlineStr">
        <is>
          <t>22/01/2026</t>
        </is>
      </c>
      <c r="I9107" t="inlineStr">
        <is>
          <t>09/04/2026</t>
        </is>
      </c>
      <c r="J9107" t="inlineStr">
        <is>
          <t>17/03/2026</t>
        </is>
      </c>
      <c r="K9107" t="inlineStr">
        <is>
          <t>N/A</t>
        </is>
      </c>
      <c r="L9107" t="inlineStr">
        <is>
          <t>Material Planning, Production Management, Production Planning, Kế Hoạch Sản Xuất, Lập Kế Hoạch Sản Xuất</t>
        </is>
      </c>
      <c r="M9107" t="inlineStr">
        <is>
          <t>Bonus, Paid Leave, Training, Transportation, Others</t>
        </is>
      </c>
      <c r="N9107" s="8">
        <f>HYPERLINK("https://www.vietnamworks.com/nhan-vien-theo-doi-djon-hang-merchandiser-2005393-jv","Xem chi tiết")</f>
        <v/>
      </c>
    </row>
    <row r="9108">
      <c r="B9108" s="9" t="n">
        <v>9106</v>
      </c>
      <c r="C9108" s="10" t="inlineStr">
        <is>
          <t>Incoming Quality Control Technician (IQC Technician)</t>
        </is>
      </c>
      <c r="D9108" s="10" t="inlineStr">
        <is>
          <t>CÔNG TY TNHH AJAX SYSTEMS VIỆT NAM</t>
        </is>
      </c>
      <c r="E9108" s="10" t="inlineStr">
        <is>
          <t>Thương lượng</t>
        </is>
      </c>
      <c r="F9108" s="10" t="inlineStr">
        <is>
          <t>Hưng Yên, Hà Nội, Hải Dương</t>
        </is>
      </c>
      <c r="G9108" s="10" t="inlineStr">
        <is>
          <t>Nhân viên</t>
        </is>
      </c>
      <c r="H9108" s="10" t="inlineStr">
        <is>
          <t>23/01/2026</t>
        </is>
      </c>
      <c r="I9108" s="10" t="inlineStr">
        <is>
          <t>09/04/2026</t>
        </is>
      </c>
      <c r="J9108" s="10" t="inlineStr">
        <is>
          <t>17/03/2026</t>
        </is>
      </c>
      <c r="K9108" s="10" t="inlineStr">
        <is>
          <t>N/A</t>
        </is>
      </c>
      <c r="L9108" s="10" t="inlineStr">
        <is>
          <t>Quality Control &amp; Assurance, ISO 9001, ISO 9001 &amp; 14001, IQC, Quản Lý Chất Lượng IQC</t>
        </is>
      </c>
      <c r="M9108" s="10" t="inlineStr">
        <is>
          <t>Bonus, Laptop, Transportation</t>
        </is>
      </c>
      <c r="N9108" s="11">
        <f>HYPERLINK("https://www.vietnamworks.com/incoming-quality-control-technician-iqc-technician-2005593-jv","Xem chi tiết")</f>
        <v/>
      </c>
      <c r="O9108" s="10" t="n"/>
    </row>
    <row r="9109">
      <c r="B9109" s="7" t="n">
        <v>9107</v>
      </c>
      <c r="C9109" t="inlineStr">
        <is>
          <t>Giám Đốc Nhân Sự (Tiếng Trung - Nhận Việc Sau Tết)</t>
        </is>
      </c>
      <c r="D9109" t="inlineStr">
        <is>
          <t>CÔNG TY TNHH HORIZON CONSTRUCTION DEVELOPMENT OVERSEAS (VIỆT NAM)</t>
        </is>
      </c>
      <c r="E9109" t="inlineStr">
        <is>
          <t>$$ 2,000-2,500 /tháng</t>
        </is>
      </c>
      <c r="F9109" t="inlineStr">
        <is>
          <t>Hà Nội</t>
        </is>
      </c>
      <c r="G9109" t="inlineStr">
        <is>
          <t>Giám Đốc và Cấp Cao Hơn</t>
        </is>
      </c>
      <c r="H9109" t="inlineStr">
        <is>
          <t>21/01/2026</t>
        </is>
      </c>
      <c r="I9109" t="inlineStr">
        <is>
          <t>09/04/2026</t>
        </is>
      </c>
      <c r="J9109" t="inlineStr">
        <is>
          <t>17/03/2026</t>
        </is>
      </c>
      <c r="K9109" t="inlineStr">
        <is>
          <t>N/A</t>
        </is>
      </c>
      <c r="L9109" t="inlineStr">
        <is>
          <t>Quản Trị Nhân Sự, Luật Lao Động, Kinh Tế, Lãnh Đạo</t>
        </is>
      </c>
      <c r="M9109" t="inlineStr">
        <is>
          <t>Bonus, Training, Awards</t>
        </is>
      </c>
      <c r="N9109" s="8">
        <f>HYPERLINK("https://www.vietnamworks.com/giam-doc-nhan-su-tieng-trung-nhan-viec-sau-tet-2005027-jv","Xem chi tiết")</f>
        <v/>
      </c>
    </row>
    <row r="9110">
      <c r="B9110" s="9" t="n">
        <v>9108</v>
      </c>
      <c r="C9110" s="10" t="inlineStr">
        <is>
          <t>Nhân Viên Kế Toán</t>
        </is>
      </c>
      <c r="D9110" s="10" t="inlineStr">
        <is>
          <t>Công ty TNHH Bando Vina</t>
        </is>
      </c>
      <c r="E9110" s="10" t="inlineStr">
        <is>
          <t>Thương lượng</t>
        </is>
      </c>
      <c r="F9110" s="10" t="inlineStr">
        <is>
          <t>Hồ Chí Minh</t>
        </is>
      </c>
      <c r="G9110" s="10" t="inlineStr">
        <is>
          <t>Nhân viên</t>
        </is>
      </c>
      <c r="H9110" s="10" t="inlineStr">
        <is>
          <t>22/01/2026</t>
        </is>
      </c>
      <c r="I9110" s="10" t="inlineStr">
        <is>
          <t>09/04/2026</t>
        </is>
      </c>
      <c r="J9110" s="10" t="inlineStr">
        <is>
          <t>17/03/2026</t>
        </is>
      </c>
      <c r="K9110" s="10" t="inlineStr">
        <is>
          <t>N/A</t>
        </is>
      </c>
      <c r="L9110" s="10" t="inlineStr">
        <is>
          <t>Kế Toán, Nhập Liệu, Tiếng Anh Căn Bản, Làm Sổ Sách Kế Toán, Quản Lý Hóa Đơn</t>
        </is>
      </c>
      <c r="M9110" s="10" t="inlineStr">
        <is>
          <t>Bonus, Healthcare Plan, Paid Leave, Others</t>
        </is>
      </c>
      <c r="N9110" s="11">
        <f>HYPERLINK("https://www.vietnamworks.com/nhan-vien-ke-toan-2005409-jv","Xem chi tiết")</f>
        <v/>
      </c>
      <c r="O9110" s="10" t="n"/>
    </row>
    <row r="9111">
      <c r="B9111" s="7" t="n">
        <v>9109</v>
      </c>
      <c r="C9111" t="inlineStr">
        <is>
          <t>Kế Toán Trưởng</t>
        </is>
      </c>
      <c r="D9111" t="inlineStr">
        <is>
          <t>Công Ty Cổ Phần Takahiro</t>
        </is>
      </c>
      <c r="E9111" t="inlineStr">
        <is>
          <t>Thương lượng</t>
        </is>
      </c>
      <c r="F9111" t="inlineStr">
        <is>
          <t>Hồ Chí Minh</t>
        </is>
      </c>
      <c r="G9111" t="inlineStr">
        <is>
          <t>Trưởng phòng</t>
        </is>
      </c>
      <c r="H9111" t="inlineStr">
        <is>
          <t>23/01/2026</t>
        </is>
      </c>
      <c r="I9111" t="inlineStr">
        <is>
          <t>09/04/2026</t>
        </is>
      </c>
      <c r="J9111" t="inlineStr">
        <is>
          <t>17/03/2026</t>
        </is>
      </c>
      <c r="K9111" t="inlineStr">
        <is>
          <t>N/A</t>
        </is>
      </c>
      <c r="L9111" t="inlineStr">
        <is>
          <t>Phân Tích Số Liệu, Lập Kế Hoạch Tài Chính, Quản Lý Chi Phí, Quản Lý Kế Toán, Quản Lý Nhân Sự</t>
        </is>
      </c>
      <c r="M9111" t="inlineStr">
        <is>
          <t>Bonus, Healthcare Plan, Others</t>
        </is>
      </c>
      <c r="N9111" s="8">
        <f>HYPERLINK("https://www.vietnamworks.com/ke-toan-truong-2005719-jv","Xem chi tiết")</f>
        <v/>
      </c>
    </row>
    <row r="9112">
      <c r="B9112" s="9" t="n">
        <v>9110</v>
      </c>
      <c r="C9112" s="10" t="inlineStr">
        <is>
          <t>Chuyên Viên Mua Hàng (Mảng Thương Mại)</t>
        </is>
      </c>
      <c r="D9112" s="10" t="inlineStr">
        <is>
          <t>Công Ty TNHH HSE Việt Nam</t>
        </is>
      </c>
      <c r="E9112" s="10" t="inlineStr">
        <is>
          <t>15tr-18tr ₫/tháng</t>
        </is>
      </c>
      <c r="F9112" s="10" t="inlineStr">
        <is>
          <t>Hà Nội</t>
        </is>
      </c>
      <c r="G9112" s="10" t="inlineStr">
        <is>
          <t>Nhân viên</t>
        </is>
      </c>
      <c r="H9112" s="10" t="inlineStr">
        <is>
          <t>22/01/2026</t>
        </is>
      </c>
      <c r="I9112" s="10" t="inlineStr">
        <is>
          <t>09/04/2026</t>
        </is>
      </c>
      <c r="J9112" s="10" t="inlineStr">
        <is>
          <t>17/03/2026</t>
        </is>
      </c>
      <c r="K9112" s="10" t="inlineStr">
        <is>
          <t>N/A</t>
        </is>
      </c>
      <c r="L9112" s="10" t="inlineStr">
        <is>
          <t>Incoterms, Mua Hàng, Thủ Tục Hải Quan, Thương Mại, Xuất nhập khẩu</t>
        </is>
      </c>
      <c r="M9112" s="10" t="inlineStr">
        <is>
          <t>Bonus, Healthcare Plan, Others</t>
        </is>
      </c>
      <c r="N9112" s="11">
        <f>HYPERLINK("https://www.vietnamworks.com/chuyen-vien-mua-hang-mang-thuong-mai-2005311-jv","Xem chi tiết")</f>
        <v/>
      </c>
      <c r="O9112" s="10" t="n"/>
    </row>
    <row r="9113">
      <c r="B9113" s="7" t="n">
        <v>9111</v>
      </c>
      <c r="C9113" t="inlineStr">
        <is>
          <t>Kỹ Sư Hệ Thống Chất Lượng Lương 16Tr - 18Tr ( Có Xe Đưa Đón Từ Hà Nội)</t>
        </is>
      </c>
      <c r="D9113" t="inlineStr">
        <is>
          <t>CÔNG TY TNHH DELTEC VIỆT NAM</t>
        </is>
      </c>
      <c r="E9113" t="inlineStr">
        <is>
          <t>16tr-18tr ₫/tháng</t>
        </is>
      </c>
      <c r="F9113" t="inlineStr">
        <is>
          <t>Hà Nội, Hà Nam, Ninh Bình</t>
        </is>
      </c>
      <c r="G9113" t="inlineStr">
        <is>
          <t>Nhân viên</t>
        </is>
      </c>
      <c r="H9113" t="inlineStr">
        <is>
          <t>22/01/2026</t>
        </is>
      </c>
      <c r="I9113" t="inlineStr">
        <is>
          <t>09/04/2026</t>
        </is>
      </c>
      <c r="J9113" t="inlineStr">
        <is>
          <t>17/03/2026</t>
        </is>
      </c>
      <c r="K9113" t="inlineStr">
        <is>
          <t>N/A</t>
        </is>
      </c>
      <c r="L9113" t="inlineStr">
        <is>
          <t>ISO 14001, IATF 16949:2016, Quality Tools, Communication Skills, Cơ Khí</t>
        </is>
      </c>
      <c r="M9113" t="inlineStr">
        <is>
          <t>Bonus, Healthcare Plan, Others</t>
        </is>
      </c>
      <c r="N9113" s="8">
        <f>HYPERLINK("https://www.vietnamworks.com/ky-su-he-thong-chat-luong-luong-16tr-18tr-co-xe-dua-don-tu-ha-noi-2005155-jv","Xem chi tiết")</f>
        <v/>
      </c>
    </row>
    <row r="9114">
      <c r="B9114" s="9" t="n">
        <v>9112</v>
      </c>
      <c r="C9114" s="10" t="inlineStr">
        <is>
          <t>Tester</t>
        </is>
      </c>
      <c r="D9114" s="10" t="inlineStr">
        <is>
          <t>K&amp;M Holdings</t>
        </is>
      </c>
      <c r="E9114" s="10" t="inlineStr">
        <is>
          <t>12tr-16tr ₫/tháng</t>
        </is>
      </c>
      <c r="F9114" s="10" t="inlineStr">
        <is>
          <t>Hà Nội</t>
        </is>
      </c>
      <c r="G9114" s="10" t="inlineStr">
        <is>
          <t>Nhân viên</t>
        </is>
      </c>
      <c r="H9114" s="10" t="inlineStr">
        <is>
          <t>22/01/2026</t>
        </is>
      </c>
      <c r="I9114" s="10" t="inlineStr">
        <is>
          <t>09/04/2026</t>
        </is>
      </c>
      <c r="J9114" s="10" t="inlineStr">
        <is>
          <t>17/03/2026</t>
        </is>
      </c>
      <c r="K9114" s="10" t="inlineStr">
        <is>
          <t>N/A</t>
        </is>
      </c>
      <c r="L9114" s="10" t="inlineStr">
        <is>
          <t>API Testing, Service Testing, AI Testing, Logical Thinking, Lean UX</t>
        </is>
      </c>
      <c r="M9114" s="10" t="inlineStr">
        <is>
          <t>Bonus, Healthcare Plan, Paid Leave, Training, Laptop, Travel Opportunities, Team Activities</t>
        </is>
      </c>
      <c r="N9114" s="11">
        <f>HYPERLINK("https://www.vietnamworks.com/tester--2005446-jv","Xem chi tiết")</f>
        <v/>
      </c>
      <c r="O9114" s="10" t="n"/>
    </row>
    <row r="9115">
      <c r="B9115" s="7" t="n">
        <v>9113</v>
      </c>
      <c r="C9115" t="inlineStr">
        <is>
          <t>Senior Inventory Controller</t>
        </is>
      </c>
      <c r="D9115" t="inlineStr">
        <is>
          <t>Công Ty TNHH Onpoint</t>
        </is>
      </c>
      <c r="E9115" t="inlineStr">
        <is>
          <t>Thương lượng</t>
        </is>
      </c>
      <c r="F9115" t="inlineStr">
        <is>
          <t>Hồ Chí Minh</t>
        </is>
      </c>
      <c r="G9115" t="inlineStr">
        <is>
          <t>Nhân viên</t>
        </is>
      </c>
      <c r="H9115" t="inlineStr">
        <is>
          <t>22/01/2026</t>
        </is>
      </c>
      <c r="I9115" t="inlineStr">
        <is>
          <t>09/04/2026</t>
        </is>
      </c>
      <c r="J9115" t="inlineStr">
        <is>
          <t>17/03/2026</t>
        </is>
      </c>
      <c r="K9115" t="inlineStr">
        <is>
          <t>N/A</t>
        </is>
      </c>
      <c r="L9115" t="inlineStr">
        <is>
          <t>Inventory Management, Stock Replenishment, Data Analysis, Microsoft Office, Communication Skills</t>
        </is>
      </c>
      <c r="M9115" t="inlineStr">
        <is>
          <t>Bonus, Healthcare Plan, Paid Leave, Laptop, Others</t>
        </is>
      </c>
      <c r="N9115" s="8">
        <f>HYPERLINK("https://www.vietnamworks.com/senior-inventory-controller-2005397-jv","Xem chi tiết")</f>
        <v/>
      </c>
    </row>
    <row r="9116">
      <c r="B9116" s="9" t="n">
        <v>9114</v>
      </c>
      <c r="C9116" s="10" t="inlineStr">
        <is>
          <t>Nhân Viên Thiết Kế Bao Bì - Thu Nhập Từ 20-25Tr/ Tháng</t>
        </is>
      </c>
      <c r="D9116" s="10" t="inlineStr">
        <is>
          <t>Công Ty CP Thuận Đức</t>
        </is>
      </c>
      <c r="E9116" s="10" t="inlineStr">
        <is>
          <t>12tr-16tr ₫/tháng</t>
        </is>
      </c>
      <c r="F9116" s="10" t="inlineStr">
        <is>
          <t>Hà Nội</t>
        </is>
      </c>
      <c r="G9116" s="10" t="inlineStr">
        <is>
          <t>Nhân viên</t>
        </is>
      </c>
      <c r="H9116" s="10" t="inlineStr">
        <is>
          <t>23/01/2026</t>
        </is>
      </c>
      <c r="I9116" s="10" t="inlineStr">
        <is>
          <t>09/04/2026</t>
        </is>
      </c>
      <c r="J9116" s="10" t="inlineStr">
        <is>
          <t>17/03/2026</t>
        </is>
      </c>
      <c r="K9116" s="10" t="inlineStr">
        <is>
          <t>N/A</t>
        </is>
      </c>
      <c r="L9116" s="10" t="inlineStr">
        <is>
          <t>Thiết Kế Đồ Họa, illustrator, Corel draw, Thiết Kế Bao Bì, Thiết Kế In Ấn</t>
        </is>
      </c>
      <c r="M9116" s="10" t="inlineStr">
        <is>
          <t>Bonus, Paid Leave, Travel Opportunities, Team Activities, Transportation, Others</t>
        </is>
      </c>
      <c r="N9116" s="11">
        <f>HYPERLINK("https://www.vietnamworks.com/nhan-vien-thiet-ke-bao-bi-thu-nhap-tu-20-25tr-thang-2005586-jv","Xem chi tiết")</f>
        <v/>
      </c>
      <c r="O9116" s="10" t="n"/>
    </row>
    <row r="9117">
      <c r="B9117" s="7" t="n">
        <v>9115</v>
      </c>
      <c r="C9117" t="inlineStr">
        <is>
          <t>Chuyên Viên Kinh Doanh Quốc Tế - Thu Nhập 25-30Tr/ Tháng</t>
        </is>
      </c>
      <c r="D9117" t="inlineStr">
        <is>
          <t>Công Ty CP Thuận Đức</t>
        </is>
      </c>
      <c r="E9117" t="inlineStr">
        <is>
          <t>25tr-30tr ₫/tháng</t>
        </is>
      </c>
      <c r="F9117" t="inlineStr">
        <is>
          <t>Hà Nội</t>
        </is>
      </c>
      <c r="G9117" t="inlineStr">
        <is>
          <t>Nhân viên</t>
        </is>
      </c>
      <c r="H9117" t="inlineStr">
        <is>
          <t>23/01/2026</t>
        </is>
      </c>
      <c r="I9117" t="inlineStr">
        <is>
          <t>09/04/2026</t>
        </is>
      </c>
      <c r="J9117" t="inlineStr">
        <is>
          <t>17/03/2026</t>
        </is>
      </c>
      <c r="K9117" t="inlineStr">
        <is>
          <t>N/A</t>
        </is>
      </c>
      <c r="L9117" t="inlineStr">
        <is>
          <t>Kinh Doanh, Thương Mại Điện Tử, Kinh Doanh Quốc Tế, Sales B2B, Tìm Kiếm Khách Hàng</t>
        </is>
      </c>
      <c r="M9117" t="inlineStr">
        <is>
          <t>Bonus, Healthcare Plan, Team Activities, Transportation, Others</t>
        </is>
      </c>
      <c r="N9117" s="8">
        <f>HYPERLINK("https://www.vietnamworks.com/chuyen-vien-kinh-doanh-quoc-te-thu-nhap-25-30tr-thang-2005587-jv","Xem chi tiết")</f>
        <v/>
      </c>
    </row>
    <row r="9118">
      <c r="B9118" s="9" t="n">
        <v>9116</v>
      </c>
      <c r="C9118" s="10" t="inlineStr">
        <is>
          <t>Cửa Hàng Trưởng (Cửa Hàng Vinamilk)</t>
        </is>
      </c>
      <c r="D9118" s="10" t="inlineStr">
        <is>
          <t>Công Ty Cổ Phần Sữa Việt Nam (Vinamilk)</t>
        </is>
      </c>
      <c r="E9118" s="10" t="inlineStr">
        <is>
          <t>Thương lượng</t>
        </is>
      </c>
      <c r="F9118" s="10" t="inlineStr">
        <is>
          <t>Hồ Chí Minh, Hà Nội, Long An</t>
        </is>
      </c>
      <c r="G9118" s="10" t="inlineStr">
        <is>
          <t>Nhân viên</t>
        </is>
      </c>
      <c r="H9118" s="10" t="inlineStr">
        <is>
          <t>21/01/2026</t>
        </is>
      </c>
      <c r="I9118" s="10" t="inlineStr">
        <is>
          <t>09/04/2026</t>
        </is>
      </c>
      <c r="J9118" s="10" t="inlineStr">
        <is>
          <t>17/03/2026</t>
        </is>
      </c>
      <c r="K9118" s="10" t="inlineStr">
        <is>
          <t>N/A</t>
        </is>
      </c>
      <c r="L9118" s="10" t="inlineStr">
        <is>
          <t>Store Operations, Store Management, Retail Chain Management, Quản Lý Cửa Hàng, Quản Lý Kênh Bán Lẻ</t>
        </is>
      </c>
      <c r="M9118" s="10" t="inlineStr">
        <is>
          <t>Bonus, Healthcare Plan, Training</t>
        </is>
      </c>
      <c r="N9118" s="11">
        <f>HYPERLINK("https://www.vietnamworks.com/cua-hang-truong-cua-hang-vinamilk--2004887-jv","Xem chi tiết")</f>
        <v/>
      </c>
      <c r="O9118" s="10" t="n"/>
    </row>
    <row r="9119">
      <c r="B9119" s="7" t="n">
        <v>9117</v>
      </c>
      <c r="C9119" t="inlineStr">
        <is>
          <t>Trưởng Phòng Kho Vận (Lĩnh Vực Dược Phẩm, Thiết Bị Y Tế)</t>
        </is>
      </c>
      <c r="D9119" t="inlineStr">
        <is>
          <t>Công Ty Cổ Phần Dược Phẩm Vĩnh Phúc</t>
        </is>
      </c>
      <c r="E9119" t="inlineStr">
        <is>
          <t>Thương lượng</t>
        </is>
      </c>
      <c r="F9119" t="inlineStr">
        <is>
          <t>Vĩnh Phúc</t>
        </is>
      </c>
      <c r="G9119" t="inlineStr">
        <is>
          <t>Trưởng phòng</t>
        </is>
      </c>
      <c r="H9119" t="inlineStr">
        <is>
          <t>23/01/2026</t>
        </is>
      </c>
      <c r="I9119" t="inlineStr">
        <is>
          <t>09/04/2026</t>
        </is>
      </c>
      <c r="J9119" t="inlineStr">
        <is>
          <t>17/03/2026</t>
        </is>
      </c>
      <c r="K9119" t="inlineStr">
        <is>
          <t>N/A</t>
        </is>
      </c>
      <c r="L9119" t="inlineStr">
        <is>
          <t>Logistics, Giao Vận, Kho Vận, Dược Phẩm</t>
        </is>
      </c>
      <c r="M9119" t="inlineStr">
        <is>
          <t>Bonus, Healthcare Plan, Travel Opportunities</t>
        </is>
      </c>
      <c r="N9119" s="8">
        <f>HYPERLINK("https://www.vietnamworks.com/truong-phong-kho-van-linh-vuc-duoc-pham-thiet-bi-y-te--2005574-jv","Xem chi tiết")</f>
        <v/>
      </c>
    </row>
    <row r="9120">
      <c r="B9120" s="9" t="n">
        <v>9118</v>
      </c>
      <c r="C9120" s="10" t="inlineStr">
        <is>
          <t>Nhân Viên Pháp Lý (Legal Staff)</t>
        </is>
      </c>
      <c r="D9120" s="10" t="inlineStr">
        <is>
          <t>CÔNG TY TNHH TƯ VẤN THƯƠNG MẠI PHÚ SINH</t>
        </is>
      </c>
      <c r="E9120" s="10" t="inlineStr">
        <is>
          <t>12tr-20tr ₫/tháng</t>
        </is>
      </c>
      <c r="F9120" s="10" t="inlineStr">
        <is>
          <t>Hà Nội</t>
        </is>
      </c>
      <c r="G9120" s="10" t="inlineStr">
        <is>
          <t>Nhân viên</t>
        </is>
      </c>
      <c r="H9120" s="10" t="inlineStr">
        <is>
          <t>23/01/2026</t>
        </is>
      </c>
      <c r="I9120" s="10" t="inlineStr">
        <is>
          <t>09/04/2026</t>
        </is>
      </c>
      <c r="J9120" s="10" t="inlineStr">
        <is>
          <t>17/03/2026</t>
        </is>
      </c>
      <c r="K9120" s="10" t="inlineStr">
        <is>
          <t>N/A</t>
        </is>
      </c>
      <c r="L9120" s="10" t="inlineStr">
        <is>
          <t>Luật Doanh Nghiệp, Luật Đầu Tư, M&amp;A, Tiếng Anh, Legal Consulting</t>
        </is>
      </c>
      <c r="M9120" s="10" t="inlineStr">
        <is>
          <t>Others</t>
        </is>
      </c>
      <c r="N9120" s="11">
        <f>HYPERLINK("https://www.vietnamworks.com/nhan-vien-phap-ly-legal-staff-2005757-jv","Xem chi tiết")</f>
        <v/>
      </c>
      <c r="O9120" s="10" t="n"/>
    </row>
    <row r="9121">
      <c r="B9121" s="7" t="n">
        <v>9119</v>
      </c>
      <c r="C9121" t="inlineStr">
        <is>
          <t>Law And Policy Program Coordinator</t>
        </is>
      </c>
      <c r="D9121" t="inlineStr">
        <is>
          <t>Education For Nature - Vietnam (ENV)</t>
        </is>
      </c>
      <c r="E9121" t="inlineStr">
        <is>
          <t>Thương lượng</t>
        </is>
      </c>
      <c r="F9121" t="inlineStr">
        <is>
          <t>Hà Nội</t>
        </is>
      </c>
      <c r="G9121" t="inlineStr">
        <is>
          <t>Nhân viên</t>
        </is>
      </c>
      <c r="H9121" t="inlineStr">
        <is>
          <t>23/01/2026</t>
        </is>
      </c>
      <c r="I9121" t="inlineStr">
        <is>
          <t>09/04/2026</t>
        </is>
      </c>
      <c r="J9121" t="inlineStr">
        <is>
          <t>17/03/2026</t>
        </is>
      </c>
      <c r="K9121" t="inlineStr">
        <is>
          <t>N/A</t>
        </is>
      </c>
      <c r="L9121" t="inlineStr">
        <is>
          <t>Legal Thinking, Experience With Law Enforcement, Law, NGO, Vietnamese Legal System</t>
        </is>
      </c>
      <c r="M9121" t="inlineStr">
        <is>
          <t>Bonus, Healthcare Plan, Paid Leave, Training, Awards, Library, Team Activities, Others</t>
        </is>
      </c>
      <c r="N9121" s="8">
        <f>HYPERLINK("https://www.vietnamworks.com/law-and-policy-program-coordinator-2005751-jv","Xem chi tiết")</f>
        <v/>
      </c>
    </row>
    <row r="9122">
      <c r="B9122" s="9" t="n">
        <v>9120</v>
      </c>
      <c r="C9122" s="10" t="inlineStr">
        <is>
          <t>Quality Assurance Assistant ( Garment/Textile )</t>
        </is>
      </c>
      <c r="D9122" s="10" t="inlineStr">
        <is>
          <t>Gloria Jeans Vietnam</t>
        </is>
      </c>
      <c r="E9122" s="10" t="inlineStr">
        <is>
          <t>Thương lượng</t>
        </is>
      </c>
      <c r="F9122" s="10" t="inlineStr">
        <is>
          <t>Hồ Chí Minh</t>
        </is>
      </c>
      <c r="G9122" s="10" t="inlineStr">
        <is>
          <t>Mới Tốt Nghiệp</t>
        </is>
      </c>
      <c r="H9122" s="10" t="inlineStr">
        <is>
          <t>23/01/2026</t>
        </is>
      </c>
      <c r="I9122" s="10" t="inlineStr">
        <is>
          <t>09/04/2026</t>
        </is>
      </c>
      <c r="J9122" s="10" t="inlineStr">
        <is>
          <t>17/03/2026</t>
        </is>
      </c>
      <c r="K9122" s="10" t="inlineStr">
        <is>
          <t>N/A</t>
        </is>
      </c>
      <c r="L9122" s="10" t="inlineStr">
        <is>
          <t>Quality Control, Garment Measurement, Garment Industry Experience, Garment Sample, Quality Assurance</t>
        </is>
      </c>
      <c r="M9122" s="10" t="inlineStr">
        <is>
          <t>Bonus</t>
        </is>
      </c>
      <c r="N9122" s="11">
        <f>HYPERLINK("https://www.vietnamworks.com/quality-assurance-assistant-garmenttextile-2005855-jv","Xem chi tiết")</f>
        <v/>
      </c>
      <c r="O9122" s="10" t="n"/>
    </row>
    <row r="9123">
      <c r="B9123" s="7" t="n">
        <v>9121</v>
      </c>
      <c r="C9123" t="inlineStr">
        <is>
          <t>Trưởng Phòng Quản Lý Tự Động Hóa</t>
        </is>
      </c>
      <c r="D9123" t="inlineStr">
        <is>
          <t>GFT GROUP LIMITED</t>
        </is>
      </c>
      <c r="E9123" t="inlineStr">
        <is>
          <t>Thương lượng</t>
        </is>
      </c>
      <c r="F9123" t="inlineStr">
        <is>
          <t>Hải Dương</t>
        </is>
      </c>
      <c r="G9123" t="inlineStr">
        <is>
          <t>Trưởng phòng</t>
        </is>
      </c>
      <c r="H9123" t="inlineStr">
        <is>
          <t>23/01/2026</t>
        </is>
      </c>
      <c r="I9123" t="inlineStr">
        <is>
          <t>09/04/2026</t>
        </is>
      </c>
      <c r="J9123" t="inlineStr">
        <is>
          <t>17/03/2026</t>
        </is>
      </c>
      <c r="K9123" t="inlineStr">
        <is>
          <t>N/A</t>
        </is>
      </c>
      <c r="L9123" t="inlineStr">
        <is>
          <t>Quản Lý Dự Án, Tự Động Hóa, Phân Tích Chi Phí, Kỹ Thuật Cơ Khí, Giao Tiếp</t>
        </is>
      </c>
      <c r="M9123" t="inlineStr">
        <is>
          <t>Bonus, Healthcare Plan, Paid Leave</t>
        </is>
      </c>
      <c r="N9123" s="8">
        <f>HYPERLINK("https://www.vietnamworks.com/truong-phong-quan-ly-tu-djong-hoa-2005831-jv","Xem chi tiết")</f>
        <v/>
      </c>
    </row>
    <row r="9124">
      <c r="B9124" s="9" t="n">
        <v>9122</v>
      </c>
      <c r="C9124" s="10" t="inlineStr">
        <is>
          <t>Giám Sát An Toàn Tại Hà Nội</t>
        </is>
      </c>
      <c r="D9124" s="10" t="inlineStr">
        <is>
          <t>VSL Vietnam Ltd.</t>
        </is>
      </c>
      <c r="E9124" s="10" t="inlineStr">
        <is>
          <t>Thương lượng</t>
        </is>
      </c>
      <c r="F9124" s="10" t="inlineStr">
        <is>
          <t>Hà Nội</t>
        </is>
      </c>
      <c r="G9124" s="10" t="inlineStr">
        <is>
          <t>Nhân viên</t>
        </is>
      </c>
      <c r="H9124" s="10" t="inlineStr">
        <is>
          <t>23/01/2026</t>
        </is>
      </c>
      <c r="I9124" s="10" t="inlineStr">
        <is>
          <t>09/04/2026</t>
        </is>
      </c>
      <c r="J9124" s="10" t="inlineStr">
        <is>
          <t>17/03/2026</t>
        </is>
      </c>
      <c r="K9124" s="10" t="inlineStr">
        <is>
          <t>N/A</t>
        </is>
      </c>
      <c r="L9124" s="10" t="inlineStr">
        <is>
          <t>HSE, An Toàn Lao Động, Quản Lý An Toàn Lao Động, Giám Sát An Toàn Công Trình, Bảo Hộ Lao Động</t>
        </is>
      </c>
      <c r="M9124" s="10" t="inlineStr">
        <is>
          <t>Healthcare Plan, Training, Team Activities</t>
        </is>
      </c>
      <c r="N9124" s="11">
        <f>HYPERLINK("https://www.vietnamworks.com/giam-sat-an-toan-tai-ha-noi--2005888-jv","Xem chi tiết")</f>
        <v/>
      </c>
      <c r="O9124" s="10" t="n"/>
    </row>
    <row r="9125">
      <c r="B9125" s="7" t="n">
        <v>9123</v>
      </c>
      <c r="C9125" t="inlineStr">
        <is>
          <t>Nhân Viên Kế Hoạch Sản Xuất - Production Planner</t>
        </is>
      </c>
      <c r="D9125" t="inlineStr">
        <is>
          <t>Công ty TNHH Julie Sandlau Việt Nam</t>
        </is>
      </c>
      <c r="E9125" t="inlineStr">
        <is>
          <t>$$ 500-600 /tháng</t>
        </is>
      </c>
      <c r="F9125" t="inlineStr">
        <is>
          <t>Hà Nội</t>
        </is>
      </c>
      <c r="G9125" t="inlineStr">
        <is>
          <t>Nhân viên</t>
        </is>
      </c>
      <c r="H9125" t="inlineStr">
        <is>
          <t>23/01/2026</t>
        </is>
      </c>
      <c r="I9125" t="inlineStr">
        <is>
          <t>09/04/2026</t>
        </is>
      </c>
      <c r="J9125" t="inlineStr">
        <is>
          <t>17/03/2026</t>
        </is>
      </c>
      <c r="K9125" t="inlineStr">
        <is>
          <t>N/A</t>
        </is>
      </c>
      <c r="L9125" t="inlineStr">
        <is>
          <t>Production Planning, Production Control, Plan Management, Planning, Kế Hoạch Sản Xuất</t>
        </is>
      </c>
      <c r="M9125" t="inlineStr">
        <is>
          <t>Bonus, Healthcare Plan, Others</t>
        </is>
      </c>
      <c r="N9125" s="8">
        <f>HYPERLINK("https://www.vietnamworks.com/nhan-vien-ke-hoach-san-xuat-production-planner--2005871-jv","Xem chi tiết")</f>
        <v/>
      </c>
    </row>
    <row r="9126">
      <c r="B9126" s="9" t="n">
        <v>9124</v>
      </c>
      <c r="C9126" s="10" t="inlineStr">
        <is>
          <t>Chuyên Viên Content Marketing Thương Hiệu Sản Phẩm / Tuyển Gấp</t>
        </is>
      </c>
      <c r="D9126" s="10" t="inlineStr">
        <is>
          <t>MISA Jointstock Company</t>
        </is>
      </c>
      <c r="E9126" s="10" t="inlineStr">
        <is>
          <t>12tr-20tr ₫/tháng</t>
        </is>
      </c>
      <c r="F9126" s="10" t="inlineStr">
        <is>
          <t>Hà Nội</t>
        </is>
      </c>
      <c r="G9126" s="10" t="inlineStr">
        <is>
          <t>Nhân viên</t>
        </is>
      </c>
      <c r="H9126" s="10" t="inlineStr">
        <is>
          <t>23/01/2026</t>
        </is>
      </c>
      <c r="I9126" s="10" t="inlineStr">
        <is>
          <t>09/04/2026</t>
        </is>
      </c>
      <c r="J9126" s="10" t="inlineStr">
        <is>
          <t>17/03/2026</t>
        </is>
      </c>
      <c r="K9126" s="10" t="inlineStr">
        <is>
          <t>N/A</t>
        </is>
      </c>
      <c r="L9126" s="10" t="inlineStr">
        <is>
          <t>Employer Branding, Recruitment Marketing, Data Analysis, Content Production, Brand Marketing Specialist</t>
        </is>
      </c>
      <c r="M9126" s="10" t="inlineStr">
        <is>
          <t>Bonus, Healthcare Plan, Training, Awards, Laptop, Team Activities, Others</t>
        </is>
      </c>
      <c r="N9126" s="11">
        <f>HYPERLINK("https://www.vietnamworks.com/chuyen-vien-content-marketing-thuong-hieu-san-pham-tuyen-gap-2005812-jv","Xem chi tiết")</f>
        <v/>
      </c>
      <c r="O9126" s="10" t="n"/>
    </row>
    <row r="9127">
      <c r="B9127" s="7" t="n">
        <v>9125</v>
      </c>
      <c r="C9127" t="inlineStr">
        <is>
          <t>Store Manager | Quản Lý Cửa Hàng (tại Hà Nội)</t>
        </is>
      </c>
      <c r="D9127" t="inlineStr">
        <is>
          <t>GiGO Vietnam Co., Ltd | GENDA GiGO Entertainment Inc</t>
        </is>
      </c>
      <c r="E9127" t="inlineStr">
        <is>
          <t>Thương lượng</t>
        </is>
      </c>
      <c r="F9127" t="inlineStr">
        <is>
          <t>Hà Nội</t>
        </is>
      </c>
      <c r="G9127" t="inlineStr">
        <is>
          <t>Trưởng phòng</t>
        </is>
      </c>
      <c r="H9127" t="inlineStr">
        <is>
          <t>23/01/2026</t>
        </is>
      </c>
      <c r="I9127" t="inlineStr">
        <is>
          <t>09/04/2026</t>
        </is>
      </c>
      <c r="J9127" t="inlineStr">
        <is>
          <t>17/03/2026</t>
        </is>
      </c>
      <c r="K9127" t="inlineStr">
        <is>
          <t>N/A</t>
        </is>
      </c>
      <c r="L9127" t="inlineStr">
        <is>
          <t>Customer Service, Leadership, Management, Sales Operations</t>
        </is>
      </c>
      <c r="M9127" t="inlineStr">
        <is>
          <t>Bonus, Healthcare Plan, Laptop</t>
        </is>
      </c>
      <c r="N9127" s="8">
        <f>HYPERLINK("https://www.vietnamworks.com/store-manager-or-quan-ly-cua-hang-tai-ha-noi-2005960-jv","Xem chi tiết")</f>
        <v/>
      </c>
    </row>
    <row r="9128">
      <c r="B9128" s="9" t="n">
        <v>9126</v>
      </c>
      <c r="C9128" s="10" t="inlineStr">
        <is>
          <t>Senior Key Account Manager – Petrochemical Industry</t>
        </is>
      </c>
      <c r="D9128" s="10" t="inlineStr">
        <is>
          <t>Rieckermann Vietnam Ltd., Co.</t>
        </is>
      </c>
      <c r="E9128" s="10" t="inlineStr">
        <is>
          <t>Thương lượng</t>
        </is>
      </c>
      <c r="F9128" s="10" t="inlineStr">
        <is>
          <t>Hồ Chí Minh</t>
        </is>
      </c>
      <c r="G9128" s="10" t="inlineStr">
        <is>
          <t>Trưởng phòng</t>
        </is>
      </c>
      <c r="H9128" s="10" t="inlineStr">
        <is>
          <t>27/02/2026</t>
        </is>
      </c>
      <c r="I9128" s="10" t="inlineStr">
        <is>
          <t>09/04/2026</t>
        </is>
      </c>
      <c r="J9128" s="10" t="inlineStr">
        <is>
          <t>17/03/2026</t>
        </is>
      </c>
      <c r="K9128" s="10" t="inlineStr">
        <is>
          <t>N/A</t>
        </is>
      </c>
      <c r="L9128" s="10" t="inlineStr">
        <is>
          <t>Electrochemical Engineering, Petroleum, Chemical, Fertilizer, Petrochemical</t>
        </is>
      </c>
      <c r="M9128" s="10" t="inlineStr">
        <is>
          <t>Paid Leave, Team Activities, Others</t>
        </is>
      </c>
      <c r="N9128" s="11">
        <f>HYPERLINK("https://www.vietnamworks.com/senior-key-account-manager-petrochemical-industry-2015601-jv","Xem chi tiết")</f>
        <v/>
      </c>
      <c r="O9128" s="10" t="n"/>
    </row>
    <row r="9129">
      <c r="B9129" s="7" t="n">
        <v>9127</v>
      </c>
      <c r="C9129" t="inlineStr">
        <is>
          <t>Kế Toán Trưởng</t>
        </is>
      </c>
      <c r="D9129" t="inlineStr">
        <is>
          <t>CÔNG TY TNHH Một Thành Viên Sản Xuất Và In Nhãn Cao Phát Đạt</t>
        </is>
      </c>
      <c r="E9129" t="inlineStr">
        <is>
          <t>Thương lượng</t>
        </is>
      </c>
      <c r="F9129" t="inlineStr">
        <is>
          <t>Hồ Chí Minh</t>
        </is>
      </c>
      <c r="G9129" t="inlineStr">
        <is>
          <t>Trưởng phòng</t>
        </is>
      </c>
      <c r="H9129" t="inlineStr">
        <is>
          <t>23/01/2026</t>
        </is>
      </c>
      <c r="I9129" t="inlineStr">
        <is>
          <t>09/04/2026</t>
        </is>
      </c>
      <c r="J9129" t="inlineStr">
        <is>
          <t>17/03/2026</t>
        </is>
      </c>
      <c r="K9129" t="inlineStr">
        <is>
          <t>N/A</t>
        </is>
      </c>
      <c r="L9129" t="inlineStr">
        <is>
          <t>Tài Chính, Management Accounting, Kế Toán, Finance, Chief Accountant Certificate</t>
        </is>
      </c>
      <c r="M9129" t="inlineStr">
        <is>
          <t>Bonus, Healthcare Plan, Paid Leave</t>
        </is>
      </c>
      <c r="N9129" s="8">
        <f>HYPERLINK("https://www.vietnamworks.com/ke-toan-truong--2005861-jv","Xem chi tiết")</f>
        <v/>
      </c>
    </row>
    <row r="9130">
      <c r="B9130" s="9" t="n">
        <v>9128</v>
      </c>
      <c r="C9130" s="10" t="inlineStr">
        <is>
          <t>Business Development Specialist</t>
        </is>
      </c>
      <c r="D9130" s="10" t="inlineStr">
        <is>
          <t>THAI BINH CENTRAL CITY DEVELOPMENT JSC</t>
        </is>
      </c>
      <c r="E9130" s="10" t="inlineStr">
        <is>
          <t>Thương lượng</t>
        </is>
      </c>
      <c r="F9130" s="10" t="inlineStr">
        <is>
          <t>Hưng Yên, Thái Bình</t>
        </is>
      </c>
      <c r="G9130" s="10" t="inlineStr">
        <is>
          <t>Nhân viên</t>
        </is>
      </c>
      <c r="H9130" s="10" t="inlineStr">
        <is>
          <t>23/01/2026</t>
        </is>
      </c>
      <c r="I9130" s="10" t="inlineStr">
        <is>
          <t>09/04/2026</t>
        </is>
      </c>
      <c r="J9130" s="10" t="inlineStr">
        <is>
          <t>17/03/2026</t>
        </is>
      </c>
      <c r="K9130" s="10" t="inlineStr">
        <is>
          <t>N/A</t>
        </is>
      </c>
      <c r="L9130" s="10" t="inlineStr">
        <is>
          <t>Business Development, Real Estate, Kinh Doanh, Korean, Sale &amp; Business development</t>
        </is>
      </c>
      <c r="M9130" s="10" t="inlineStr">
        <is>
          <t>Bonus, Healthcare Plan, Others</t>
        </is>
      </c>
      <c r="N9130" s="11">
        <f>HYPERLINK("https://www.vietnamworks.com/business-development-specialist-2005799-jv","Xem chi tiết")</f>
        <v/>
      </c>
      <c r="O9130" s="10" t="n"/>
    </row>
    <row r="9131">
      <c r="B9131" s="7" t="n">
        <v>9129</v>
      </c>
      <c r="C9131" t="inlineStr">
        <is>
          <t>Nhân Viên Kinh Doanh Dự Án Khách Hàng Chính Phủ (Lương Lên Tới 1300$/ Tháng)</t>
        </is>
      </c>
      <c r="D9131" t="inlineStr">
        <is>
          <t>Công Ty Cổ Phần Đầu Tư Thương Mại Và Phát Triển Công Nghệ FSI</t>
        </is>
      </c>
      <c r="E9131" t="inlineStr">
        <is>
          <t>$$ 500-1,300 /tháng</t>
        </is>
      </c>
      <c r="F9131" t="inlineStr">
        <is>
          <t>Hà Nội, Hồ Chí Minh</t>
        </is>
      </c>
      <c r="G9131" t="inlineStr">
        <is>
          <t>Nhân viên</t>
        </is>
      </c>
      <c r="H9131" t="inlineStr">
        <is>
          <t>23/01/2026</t>
        </is>
      </c>
      <c r="I9131" t="inlineStr">
        <is>
          <t>09/04/2026</t>
        </is>
      </c>
      <c r="J9131" t="inlineStr">
        <is>
          <t>17/03/2026</t>
        </is>
      </c>
      <c r="K9131" t="inlineStr">
        <is>
          <t>N/A</t>
        </is>
      </c>
      <c r="L9131" t="inlineStr">
        <is>
          <t>Bán Hàng Kỹ Thuật, Xúc Tiến Dự Án, Tìm Kiếm Khách Hàng, Phát Triển Khách Hàng, Triển Khai Dự Án</t>
        </is>
      </c>
      <c r="M9131" t="inlineStr">
        <is>
          <t>Bonus, Training, Others</t>
        </is>
      </c>
      <c r="N9131" s="8">
        <f>HYPERLINK("https://www.vietnamworks.com/nhan-vien-kinh-doanh-du-an-khach-hang-chinh-phu-luong-len-toi-1300-thang-2005911-jv","Xem chi tiết")</f>
        <v/>
      </c>
    </row>
    <row r="9132">
      <c r="B9132" s="9" t="n">
        <v>9130</v>
      </c>
      <c r="C9132" s="10" t="inlineStr">
        <is>
          <t>Nhân Viên Xuất Nhập Khẩu</t>
        </is>
      </c>
      <c r="D9132" s="10" t="inlineStr">
        <is>
          <t>Công ty TNHH Julie Sandlau Việt Nam</t>
        </is>
      </c>
      <c r="E9132" s="10" t="inlineStr">
        <is>
          <t>$$ 550-750 /tháng</t>
        </is>
      </c>
      <c r="F9132" s="10" t="inlineStr">
        <is>
          <t>Hà Nội</t>
        </is>
      </c>
      <c r="G9132" s="10" t="inlineStr">
        <is>
          <t>Nhân viên</t>
        </is>
      </c>
      <c r="H9132" s="10" t="inlineStr">
        <is>
          <t>23/01/2026</t>
        </is>
      </c>
      <c r="I9132" s="10" t="inlineStr">
        <is>
          <t>09/04/2026</t>
        </is>
      </c>
      <c r="J9132" s="10" t="inlineStr">
        <is>
          <t>17/03/2026</t>
        </is>
      </c>
      <c r="K9132" s="10" t="inlineStr">
        <is>
          <t>N/A</t>
        </is>
      </c>
      <c r="L9132" s="10" t="inlineStr">
        <is>
          <t>Xuất Nhập Khẩu, Thủ Tục Hải Quan, Logistics, Chứng Từ Xuất Nhập Khẩu, Tiếng Anh</t>
        </is>
      </c>
      <c r="M9132" s="10" t="inlineStr">
        <is>
          <t>Bonus, Healthcare Plan, Others</t>
        </is>
      </c>
      <c r="N9132" s="11">
        <f>HYPERLINK("https://www.vietnamworks.com/nhan-vien-xuat-nhap-khau--2005843-jv","Xem chi tiết")</f>
        <v/>
      </c>
      <c r="O9132" s="10" t="n"/>
    </row>
    <row r="9133">
      <c r="B9133" s="7" t="n">
        <v>9131</v>
      </c>
      <c r="C9133" t="inlineStr">
        <is>
          <t>Merchandiser (Garment / Textile)</t>
        </is>
      </c>
      <c r="D9133" t="inlineStr">
        <is>
          <t>Gloria Jeans Vietnam</t>
        </is>
      </c>
      <c r="E9133" t="inlineStr">
        <is>
          <t>Thương lượng</t>
        </is>
      </c>
      <c r="F9133" t="inlineStr">
        <is>
          <t>Hồ Chí Minh, Hà Nội</t>
        </is>
      </c>
      <c r="G9133" t="inlineStr">
        <is>
          <t>Nhân viên</t>
        </is>
      </c>
      <c r="H9133" t="inlineStr">
        <is>
          <t>23/01/2026</t>
        </is>
      </c>
      <c r="I9133" t="inlineStr">
        <is>
          <t>09/04/2026</t>
        </is>
      </c>
      <c r="J9133" t="inlineStr">
        <is>
          <t>17/03/2026</t>
        </is>
      </c>
      <c r="K9133" t="inlineStr">
        <is>
          <t>N/A</t>
        </is>
      </c>
      <c r="L9133" t="inlineStr">
        <is>
          <t>Material Samples, Merchandising, Order Management, Production Planning, Quality Assurance</t>
        </is>
      </c>
      <c r="M9133" t="inlineStr">
        <is>
          <t>Travel Opportunities</t>
        </is>
      </c>
      <c r="N9133" s="8">
        <f>HYPERLINK("https://www.vietnamworks.com/merchandiser-garment-textile-2005904-jv","Xem chi tiết")</f>
        <v/>
      </c>
    </row>
    <row r="9134">
      <c r="B9134" s="9" t="n">
        <v>9132</v>
      </c>
      <c r="C9134" s="10" t="inlineStr">
        <is>
          <t>Hoàng Mai, Hà Nội- Nhân Viên Điều Hành Thu Nhập Upto 20 Triệu/tháng - Có Thể Đi Làm Sau Tết</t>
        </is>
      </c>
      <c r="D9134" s="10" t="inlineStr">
        <is>
          <t>CÔNG TY TNHH ALTOUR INDOCHINA</t>
        </is>
      </c>
      <c r="E9134" s="10" t="inlineStr">
        <is>
          <t>Tới 20tr ₫/tháng</t>
        </is>
      </c>
      <c r="F9134" s="10" t="inlineStr">
        <is>
          <t>Hà Nội</t>
        </is>
      </c>
      <c r="G9134" s="10" t="inlineStr">
        <is>
          <t>Nhân viên</t>
        </is>
      </c>
      <c r="H9134" s="10" t="inlineStr">
        <is>
          <t>23/01/2026</t>
        </is>
      </c>
      <c r="I9134" s="10" t="inlineStr">
        <is>
          <t>09/04/2026</t>
        </is>
      </c>
      <c r="J9134" s="10" t="inlineStr">
        <is>
          <t>17/03/2026</t>
        </is>
      </c>
      <c r="K9134" s="10" t="inlineStr">
        <is>
          <t>N/A</t>
        </is>
      </c>
      <c r="L9134" s="10" t="inlineStr">
        <is>
          <t>Kinh Nghiệm Du Lịch, Kỹ năng giao tiếp, Quản Lý Thời Gian, Sáng Tạo, Điều Hành Tour</t>
        </is>
      </c>
      <c r="M9134" s="10" t="inlineStr">
        <is>
          <t>Others</t>
        </is>
      </c>
      <c r="N9134" s="11">
        <f>HYPERLINK("https://www.vietnamworks.com/hoang-mai-ha-noi-nhan-vien-dieu-hanh-thu-nhap-upto-20-trieu-thang-co-the-di-lam-sau-tet-2005881-jv","Xem chi tiết")</f>
        <v/>
      </c>
      <c r="O9134" s="10" t="n"/>
    </row>
    <row r="9135">
      <c r="B9135" s="7" t="n">
        <v>9133</v>
      </c>
      <c r="C9135" t="inlineStr">
        <is>
          <t>Nhân Viên Lưu Trữ Hồ Sơ</t>
        </is>
      </c>
      <c r="D9135" t="inlineStr">
        <is>
          <t>Công Ty Cổ Phần BB Group</t>
        </is>
      </c>
      <c r="E9135" t="inlineStr">
        <is>
          <t>Thương lượng</t>
        </is>
      </c>
      <c r="F9135" t="inlineStr">
        <is>
          <t>Hà Nội</t>
        </is>
      </c>
      <c r="G9135" t="inlineStr">
        <is>
          <t>Nhân viên</t>
        </is>
      </c>
      <c r="H9135" t="inlineStr">
        <is>
          <t>23/01/2026</t>
        </is>
      </c>
      <c r="I9135" t="inlineStr">
        <is>
          <t>09/04/2026</t>
        </is>
      </c>
      <c r="J9135" t="inlineStr">
        <is>
          <t>17/03/2026</t>
        </is>
      </c>
      <c r="K9135" t="inlineStr">
        <is>
          <t>N/A</t>
        </is>
      </c>
      <c r="L9135" t="inlineStr">
        <is>
          <t>Dự Toán, Tin Học Văn Phòng, Chuẩn Bị Tài Liệu, Kinh Tế Xây Dựng, Quản Lý Hồ Sơ</t>
        </is>
      </c>
      <c r="M9135" t="inlineStr">
        <is>
          <t>Bonus, Healthcare Plan, Others</t>
        </is>
      </c>
      <c r="N9135" s="8">
        <f>HYPERLINK("https://www.vietnamworks.com/nhan-vien-luu-tru-ho-so-2005811-jv","Xem chi tiết")</f>
        <v/>
      </c>
    </row>
    <row r="9136">
      <c r="B9136" s="9" t="n">
        <v>9134</v>
      </c>
      <c r="C9136" s="10" t="inlineStr">
        <is>
          <t>Tuyển Gấp: Chuyên Viên Tư Vấn Chuyển Đổi Số - Mảng Quản Trị Sản Xuất (Thu Nhập 25 - 30 Triệu VND/ Tháng)</t>
        </is>
      </c>
      <c r="D9136" s="10" t="inlineStr">
        <is>
          <t>MISA Jointstock Company</t>
        </is>
      </c>
      <c r="E9136" s="10" t="inlineStr">
        <is>
          <t>25tr-30tr ₫/tháng</t>
        </is>
      </c>
      <c r="F9136" s="10" t="inlineStr">
        <is>
          <t>Hà Nội</t>
        </is>
      </c>
      <c r="G9136" s="10" t="inlineStr">
        <is>
          <t>Nhân viên</t>
        </is>
      </c>
      <c r="H9136" s="10" t="inlineStr">
        <is>
          <t>23/01/2026</t>
        </is>
      </c>
      <c r="I9136" s="10" t="inlineStr">
        <is>
          <t>09/04/2026</t>
        </is>
      </c>
      <c r="J9136" s="10" t="inlineStr">
        <is>
          <t>17/03/2026</t>
        </is>
      </c>
      <c r="K9136" s="10" t="inlineStr">
        <is>
          <t>N/A</t>
        </is>
      </c>
      <c r="L9136" s="10" t="inlineStr">
        <is>
          <t>B2B Sale, B2B Sales Executive, Kinh Doanh, Sales Executive, Chuyển đổi số</t>
        </is>
      </c>
      <c r="M9136" s="10" t="inlineStr">
        <is>
          <t>Bonus, Healthcare Plan, Training, Laptop</t>
        </is>
      </c>
      <c r="N9136" s="11">
        <f>HYPERLINK("https://www.vietnamworks.com/tuyen-gap-chuyen-vien-tu-van-chuyen-djoi-so-mang-quan-tri-san-xuat-thu-nhap-25-30-trieu-vnd-thang-2005750-jv","Xem chi tiết")</f>
        <v/>
      </c>
      <c r="O9136" s="10" t="n"/>
    </row>
    <row r="9137">
      <c r="B9137" s="7" t="n">
        <v>9135</v>
      </c>
      <c r="C9137" t="inlineStr">
        <is>
          <t>Chuyên Viên Kiểm Soát Nội Bộ Xây Dựng</t>
        </is>
      </c>
      <c r="D9137" t="inlineStr">
        <is>
          <t>Công ty Cổ phần Tập đoàn BGI</t>
        </is>
      </c>
      <c r="E9137" t="inlineStr">
        <is>
          <t>Thương lượng</t>
        </is>
      </c>
      <c r="F9137" t="inlineStr">
        <is>
          <t>Hà Nội</t>
        </is>
      </c>
      <c r="G9137" t="inlineStr">
        <is>
          <t>Nhân viên</t>
        </is>
      </c>
      <c r="H9137" t="inlineStr">
        <is>
          <t>23/01/2026</t>
        </is>
      </c>
      <c r="I9137" t="inlineStr">
        <is>
          <t>09/04/2026</t>
        </is>
      </c>
      <c r="J9137" t="inlineStr">
        <is>
          <t>17/03/2026</t>
        </is>
      </c>
      <c r="K9137" t="inlineStr">
        <is>
          <t>N/A</t>
        </is>
      </c>
      <c r="L9137" t="inlineStr">
        <is>
          <t>Quản Lý Khối Lượng, Quyết Toán Khối Lượng, Lập Hồ Sơ Chất Lượng, Kiểm Soát Hợp Đồng, Kỹ năng giao tiêp</t>
        </is>
      </c>
      <c r="M9137" t="inlineStr">
        <is>
          <t>Bonus, Healthcare Plan, Awards</t>
        </is>
      </c>
      <c r="N9137" s="8">
        <f>HYPERLINK("https://www.vietnamworks.com/chuyen-vien-kiem-soat-noi-bo-xay-dung--2005906-jv","Xem chi tiết")</f>
        <v/>
      </c>
    </row>
    <row r="9138">
      <c r="B9138" s="9" t="n">
        <v>9136</v>
      </c>
      <c r="C9138" s="10" t="inlineStr">
        <is>
          <t>Nhân Viên Kinh Doanh (Sales Logistics) - TPHCM - Thu Nhập Đến 30 Triệu/ Tháng</t>
        </is>
      </c>
      <c r="D9138" s="10" t="inlineStr">
        <is>
          <t>Công ty TNHH Giao Nhận Vận Tải Hàng Hóa Quốc Tế Viva</t>
        </is>
      </c>
      <c r="E9138" s="10" t="inlineStr">
        <is>
          <t>Tới 30tr ₫/tháng</t>
        </is>
      </c>
      <c r="F9138" s="10" t="inlineStr">
        <is>
          <t>Hồ Chí Minh</t>
        </is>
      </c>
      <c r="G9138" s="10" t="inlineStr">
        <is>
          <t>Nhân viên</t>
        </is>
      </c>
      <c r="H9138" s="10" t="inlineStr">
        <is>
          <t>23/01/2026</t>
        </is>
      </c>
      <c r="I9138" s="10" t="inlineStr">
        <is>
          <t>09/04/2026</t>
        </is>
      </c>
      <c r="J9138" s="10" t="inlineStr">
        <is>
          <t>17/03/2026</t>
        </is>
      </c>
      <c r="K9138" s="10" t="inlineStr">
        <is>
          <t>N/A</t>
        </is>
      </c>
      <c r="L9138" s="10" t="inlineStr">
        <is>
          <t>Xuất Nhập Khẩu, Kinh Doanh Xuất Nhập Khẩu, Logistics Sales, Kinh Doanh, Tìm Kiếm Khách Hàng</t>
        </is>
      </c>
      <c r="M9138" s="10" t="inlineStr">
        <is>
          <t>Bonus, Paid Leave, Laptop</t>
        </is>
      </c>
      <c r="N9138" s="11">
        <f>HYPERLINK("https://www.vietnamworks.com/nhan-vien-kinh-doanh-sales-logistics-tphcm-thu-nhap-den-30-trieu-thang-2005908-jv","Xem chi tiết")</f>
        <v/>
      </c>
      <c r="O9138" s="10" t="n"/>
    </row>
    <row r="9139">
      <c r="B9139" s="7" t="n">
        <v>9137</v>
      </c>
      <c r="C9139" t="inlineStr">
        <is>
          <t>IQC Supervisor</t>
        </is>
      </c>
      <c r="D9139" t="inlineStr">
        <is>
          <t>SVP Vietnam Co.,Ltd</t>
        </is>
      </c>
      <c r="E9139" t="inlineStr">
        <is>
          <t>$$ 900-1,000 /tháng</t>
        </is>
      </c>
      <c r="F9139" t="inlineStr">
        <is>
          <t>Hải Dương, Hải Phòng</t>
        </is>
      </c>
      <c r="G9139" t="inlineStr">
        <is>
          <t>Nhân viên</t>
        </is>
      </c>
      <c r="H9139" t="inlineStr">
        <is>
          <t>23/01/2026</t>
        </is>
      </c>
      <c r="I9139" t="inlineStr">
        <is>
          <t>09/04/2026</t>
        </is>
      </c>
      <c r="J9139" t="inlineStr">
        <is>
          <t>17/03/2026</t>
        </is>
      </c>
      <c r="K9139" t="inlineStr">
        <is>
          <t>N/A</t>
        </is>
      </c>
      <c r="L9139" t="inlineStr">
        <is>
          <t>Đảm Bảo Chất Lượng, FQC/OQC, OQC, IQC, QC</t>
        </is>
      </c>
      <c r="M9139" t="inlineStr">
        <is>
          <t>Bonus, Training, Others</t>
        </is>
      </c>
      <c r="N9139" s="8">
        <f>HYPERLINK("https://www.vietnamworks.com/iqc-supervisor-2005817-jv","Xem chi tiết")</f>
        <v/>
      </c>
    </row>
    <row r="9140">
      <c r="B9140" s="9" t="n">
        <v>9138</v>
      </c>
      <c r="C9140" s="10" t="inlineStr">
        <is>
          <t>Nhân Viên Kế Toán</t>
        </is>
      </c>
      <c r="D9140" s="10" t="inlineStr">
        <is>
          <t>Công Ty TNHH Xây Dựng Đông Nam</t>
        </is>
      </c>
      <c r="E9140" s="10" t="inlineStr">
        <is>
          <t>Thương lượng</t>
        </is>
      </c>
      <c r="F9140" s="10" t="inlineStr">
        <is>
          <t>Bà Rịa - Vũng Tàu</t>
        </is>
      </c>
      <c r="G9140" s="10" t="inlineStr">
        <is>
          <t>Nhân viên</t>
        </is>
      </c>
      <c r="H9140" s="10" t="inlineStr">
        <is>
          <t>06/03/2026</t>
        </is>
      </c>
      <c r="I9140" s="10" t="inlineStr">
        <is>
          <t>09/04/2026</t>
        </is>
      </c>
      <c r="J9140" s="10" t="inlineStr">
        <is>
          <t>17/03/2026</t>
        </is>
      </c>
      <c r="K9140" s="10" t="inlineStr">
        <is>
          <t>N/A</t>
        </is>
      </c>
      <c r="L9140" s="10" t="inlineStr">
        <is>
          <t>Chứng Từ Hàng Xuất Nhập, Excel, Luật Kế Toán, Luật Thuế, Phần Mềm Kế Toán</t>
        </is>
      </c>
      <c r="M9140" s="10" t="inlineStr">
        <is>
          <t>Others</t>
        </is>
      </c>
      <c r="N9140" s="11">
        <f>HYPERLINK("https://www.vietnamworks.com/nhan-vien-ke-toan-2019333-jv","Xem chi tiết")</f>
        <v/>
      </c>
      <c r="O9140" s="10" t="n"/>
    </row>
    <row r="9141">
      <c r="B9141" s="7" t="n">
        <v>9139</v>
      </c>
      <c r="C9141" t="inlineStr">
        <is>
          <t>LTL School Assistant</t>
        </is>
      </c>
      <c r="D9141" t="inlineStr">
        <is>
          <t>Công ty TNHH Lam Hoài An</t>
        </is>
      </c>
      <c r="E9141" t="inlineStr">
        <is>
          <t>10tr-12tr ₫/tháng</t>
        </is>
      </c>
      <c r="F9141" t="inlineStr">
        <is>
          <t>Hồ Chí Minh</t>
        </is>
      </c>
      <c r="G9141" t="inlineStr">
        <is>
          <t>Mới Tốt Nghiệp</t>
        </is>
      </c>
      <c r="H9141" t="inlineStr">
        <is>
          <t>05/03/2026</t>
        </is>
      </c>
      <c r="I9141" t="inlineStr">
        <is>
          <t>09/04/2026</t>
        </is>
      </c>
      <c r="J9141" t="inlineStr">
        <is>
          <t>17/03/2026</t>
        </is>
      </c>
      <c r="K9141" t="inlineStr">
        <is>
          <t>N/A</t>
        </is>
      </c>
      <c r="L9141" t="inlineStr">
        <is>
          <t>Communication Skills, Event Coordination, Interpersonal Skills, Organizational skills, Assistant</t>
        </is>
      </c>
      <c r="M9141" t="inlineStr">
        <is>
          <t>Bonus, Training, Laptop, Travel Opportunities</t>
        </is>
      </c>
      <c r="N9141" s="8">
        <f>HYPERLINK("https://www.vietnamworks.com/ltl-school-assistant-2018758-jv","Xem chi tiết")</f>
        <v/>
      </c>
    </row>
    <row r="9142">
      <c r="B9142" s="9" t="n">
        <v>9140</v>
      </c>
      <c r="C9142" s="10" t="inlineStr">
        <is>
          <t>Nhân Viên Kinh Doanh/ Sales Staff (Tiếng Hàn)</t>
        </is>
      </c>
      <c r="D9142" s="10" t="inlineStr">
        <is>
          <t>CÔNG TY TNHH KOREA MIKASA VIỆT NAM</t>
        </is>
      </c>
      <c r="E9142" s="10" t="inlineStr">
        <is>
          <t>Thương lượng</t>
        </is>
      </c>
      <c r="F9142" s="10" t="inlineStr">
        <is>
          <t>Hồ Chí Minh</t>
        </is>
      </c>
      <c r="G9142" s="10" t="inlineStr">
        <is>
          <t>Nhân viên</t>
        </is>
      </c>
      <c r="H9142" s="10" t="inlineStr">
        <is>
          <t>09/03/2026</t>
        </is>
      </c>
      <c r="I9142" s="10" t="inlineStr">
        <is>
          <t>09/04/2026</t>
        </is>
      </c>
      <c r="J9142" s="10" t="inlineStr">
        <is>
          <t>17/03/2026</t>
        </is>
      </c>
      <c r="K9142" s="10" t="inlineStr">
        <is>
          <t>N/A</t>
        </is>
      </c>
      <c r="L9142" s="10" t="inlineStr">
        <is>
          <t>Tiếng Hàn, Quản Lý Tồn Kho, Quản trị Kinh doanh, Tìm Kiếm Khách Hàng, Topik 5</t>
        </is>
      </c>
      <c r="M9142" s="10" t="inlineStr">
        <is>
          <t>Bonus, Paid Leave, Others</t>
        </is>
      </c>
      <c r="N9142" s="11">
        <f>HYPERLINK("https://www.vietnamworks.com/nhan-vien-kinh-doanh-sales-staff-tieng-han-2020745-jv","Xem chi tiết")</f>
        <v/>
      </c>
      <c r="O9142" s="10" t="n"/>
    </row>
    <row r="9143">
      <c r="B9143" s="7" t="n">
        <v>9141</v>
      </c>
      <c r="C9143" t="inlineStr">
        <is>
          <t>Business Development Executive (Chuyên Viên Phát Triển Kinh Doanh) - Fintech FDI Singapore</t>
        </is>
      </c>
      <c r="D9143" t="inlineStr">
        <is>
          <t>Remi Việt Nam</t>
        </is>
      </c>
      <c r="E9143" t="inlineStr">
        <is>
          <t>Thương lượng</t>
        </is>
      </c>
      <c r="F9143" t="inlineStr">
        <is>
          <t>Hà Nội, Hồ Chí Minh</t>
        </is>
      </c>
      <c r="G9143" t="inlineStr">
        <is>
          <t>Nhân viên</t>
        </is>
      </c>
      <c r="H9143" t="inlineStr">
        <is>
          <t>09/03/2026</t>
        </is>
      </c>
      <c r="I9143" t="inlineStr">
        <is>
          <t>09/04/2026</t>
        </is>
      </c>
      <c r="J9143" t="inlineStr">
        <is>
          <t>17/03/2026</t>
        </is>
      </c>
      <c r="K9143" t="inlineStr">
        <is>
          <t>N/A</t>
        </is>
      </c>
      <c r="L9143" t="inlineStr">
        <is>
          <t>Account Management, Business Development, Communication Skills, Partnership Management, Relationship management and customer care</t>
        </is>
      </c>
      <c r="M9143" t="inlineStr">
        <is>
          <t>Bonus, Paid Leave, Training, Travel Opportunities</t>
        </is>
      </c>
      <c r="N9143" s="8">
        <f>HYPERLINK("https://www.vietnamworks.com/business-development-executive-chuyen-vien-phat-trien-kinh-doanh-fintech-fdi-singapore-2020637-jv","Xem chi tiết")</f>
        <v/>
      </c>
    </row>
    <row r="9144">
      <c r="B9144" s="9" t="n">
        <v>9142</v>
      </c>
      <c r="C9144" s="10" t="inlineStr">
        <is>
          <t>Senior Service Engineer</t>
        </is>
      </c>
      <c r="D9144" s="10" t="inlineStr">
        <is>
          <t>Văn Phòng Đại Điện Công Ty TNHH LMS Technologies Việt Nam Tại Hà Nội</t>
        </is>
      </c>
      <c r="E9144" s="10" t="inlineStr">
        <is>
          <t>$$ 1,500-1,500 /tháng</t>
        </is>
      </c>
      <c r="F9144" s="10" t="inlineStr">
        <is>
          <t>Hồ Chí Minh</t>
        </is>
      </c>
      <c r="G9144" s="10" t="inlineStr">
        <is>
          <t>Nhân viên</t>
        </is>
      </c>
      <c r="H9144" s="10" t="inlineStr">
        <is>
          <t>05/03/2026</t>
        </is>
      </c>
      <c r="I9144" s="10" t="inlineStr">
        <is>
          <t>09/04/2026</t>
        </is>
      </c>
      <c r="J9144" s="10" t="inlineStr">
        <is>
          <t>17/03/2026</t>
        </is>
      </c>
      <c r="K9144" s="10" t="inlineStr">
        <is>
          <t>N/A</t>
        </is>
      </c>
      <c r="L9144" s="10" t="inlineStr">
        <is>
          <t>Customer Service, Electronics Engineering</t>
        </is>
      </c>
      <c r="M9144" s="10" t="inlineStr">
        <is>
          <t>Bonus, Others</t>
        </is>
      </c>
      <c r="N9144" s="11">
        <f>HYPERLINK("https://www.vietnamworks.com/senior-service-engineer--2019077-jv","Xem chi tiết")</f>
        <v/>
      </c>
      <c r="O9144" s="10" t="n"/>
    </row>
    <row r="9145">
      <c r="B9145" s="7" t="n">
        <v>9143</v>
      </c>
      <c r="C9145" t="inlineStr">
        <is>
          <t>Air Cargo Supervisor</t>
        </is>
      </c>
      <c r="D9145" t="inlineStr">
        <is>
          <t>Tsl Networks Vietnam Co., Ltd.</t>
        </is>
      </c>
      <c r="E9145" t="inlineStr">
        <is>
          <t>Thương lượng</t>
        </is>
      </c>
      <c r="F9145" t="inlineStr">
        <is>
          <t>Hồ Chí Minh</t>
        </is>
      </c>
      <c r="G9145" t="inlineStr">
        <is>
          <t>Nhân viên</t>
        </is>
      </c>
      <c r="H9145" t="inlineStr">
        <is>
          <t>09/03/2026</t>
        </is>
      </c>
      <c r="I9145" t="inlineStr">
        <is>
          <t>09/04/2026</t>
        </is>
      </c>
      <c r="J9145" t="inlineStr">
        <is>
          <t>17/03/2026</t>
        </is>
      </c>
      <c r="K9145" t="inlineStr">
        <is>
          <t>N/A</t>
        </is>
      </c>
      <c r="L9145" t="inlineStr">
        <is>
          <t>Air Cargo Procedures, Air Cargo, Cargo Handling, Cargo Operation, Logistics</t>
        </is>
      </c>
      <c r="M9145" t="inlineStr">
        <is>
          <t>Bonus, Healthcare Plan, Others</t>
        </is>
      </c>
      <c r="N9145" s="8">
        <f>HYPERLINK("https://www.vietnamworks.com/air-cargo-supervisor-2020413-jv","Xem chi tiết")</f>
        <v/>
      </c>
    </row>
    <row r="9146">
      <c r="B9146" s="9" t="n">
        <v>9144</v>
      </c>
      <c r="C9146" s="10" t="inlineStr">
        <is>
          <t>Senior E-commerce Marketplace Specialist (Amazon / TikTok Shop / Walmart – US Market)</t>
        </is>
      </c>
      <c r="D9146" s="10" t="inlineStr">
        <is>
          <t>Pixel Commerce Studio</t>
        </is>
      </c>
      <c r="E9146" s="10" t="inlineStr">
        <is>
          <t>$$ 800-1,500 /tháng</t>
        </is>
      </c>
      <c r="F9146" s="10" t="inlineStr">
        <is>
          <t>Hồ Chí Minh</t>
        </is>
      </c>
      <c r="G9146" s="10" t="inlineStr">
        <is>
          <t>Nhân viên</t>
        </is>
      </c>
      <c r="H9146" s="10" t="inlineStr">
        <is>
          <t>06/03/2026</t>
        </is>
      </c>
      <c r="I9146" s="10" t="inlineStr">
        <is>
          <t>09/04/2026</t>
        </is>
      </c>
      <c r="J9146" s="10" t="inlineStr">
        <is>
          <t>17/03/2026</t>
        </is>
      </c>
      <c r="K9146" s="10" t="inlineStr">
        <is>
          <t>N/A</t>
        </is>
      </c>
      <c r="L9146" s="10" t="inlineStr">
        <is>
          <t>Amazon Web Service, English Communication, Keyword research, PPC Advertising, Product Optimization</t>
        </is>
      </c>
      <c r="M9146" s="10" t="inlineStr">
        <is>
          <t>Bonus, Training, Others</t>
        </is>
      </c>
      <c r="N9146" s="11">
        <f>HYPERLINK("https://www.vietnamworks.com/senior-e-commerce-marketplace-specialist-amazon-tiktok-shop-walmart-us-market-2019186-jv","Xem chi tiết")</f>
        <v/>
      </c>
      <c r="O9146" s="10" t="n"/>
    </row>
    <row r="9147">
      <c r="B9147" s="7" t="n">
        <v>9145</v>
      </c>
      <c r="C9147" t="inlineStr">
        <is>
          <t>[ Hot Job ] Phó Giám Đốc Kinh Doanh Logistics/xuất Nhập Khẩu (Lương Cơ Bản (30-40 Tr) + Phụ Cấp/tỷ Lệ Incentive Cao (Không Giới Hạn)</t>
        </is>
      </c>
      <c r="D9147" t="inlineStr">
        <is>
          <t>Công Ty Cổ Phần Thiên Phát Logistics Việt Nam</t>
        </is>
      </c>
      <c r="E9147" t="inlineStr">
        <is>
          <t>30tr-40tr ₫/tháng</t>
        </is>
      </c>
      <c r="F9147" t="inlineStr">
        <is>
          <t>Hà Nội</t>
        </is>
      </c>
      <c r="G9147" t="inlineStr">
        <is>
          <t>Giám Đốc và Cấp Cao Hơn</t>
        </is>
      </c>
      <c r="H9147" t="inlineStr">
        <is>
          <t>09/03/2026</t>
        </is>
      </c>
      <c r="I9147" t="inlineStr">
        <is>
          <t>09/04/2026</t>
        </is>
      </c>
      <c r="J9147" t="inlineStr">
        <is>
          <t>17/03/2026</t>
        </is>
      </c>
      <c r="K9147" t="inlineStr">
        <is>
          <t>N/A</t>
        </is>
      </c>
      <c r="L9147" t="inlineStr">
        <is>
          <t>Business Development, Communication, English, Logistics Management, Sales Management</t>
        </is>
      </c>
      <c r="M9147" t="inlineStr">
        <is>
          <t>Healthcare Plan, Team Activities, Others</t>
        </is>
      </c>
      <c r="N9147" s="8">
        <f>HYPERLINK("https://www.vietnamworks.com/hot-job-pho-giam-djoc-kinh-doanh-logisticsxuat-nhap-khau-luong-co-ban-30-40-tr-phu-capty-le-incentive-cao-khong-gioi-han-2020742-jv","Xem chi tiết")</f>
        <v/>
      </c>
    </row>
    <row r="9148">
      <c r="B9148" s="9" t="n">
        <v>9146</v>
      </c>
      <c r="C9148" s="10" t="inlineStr">
        <is>
          <t>Senior Officer, Financial Reporting</t>
        </is>
      </c>
      <c r="D9148" s="10" t="inlineStr">
        <is>
          <t>Techcombank</t>
        </is>
      </c>
      <c r="E9148" s="10" t="inlineStr">
        <is>
          <t>Thương lượng</t>
        </is>
      </c>
      <c r="F9148" s="10" t="inlineStr">
        <is>
          <t>Hà Nội</t>
        </is>
      </c>
      <c r="G9148" s="10" t="inlineStr">
        <is>
          <t>Giám Đốc và Cấp Cao Hơn</t>
        </is>
      </c>
      <c r="H9148" s="10" t="inlineStr">
        <is>
          <t>09/03/2026</t>
        </is>
      </c>
      <c r="I9148" s="10" t="inlineStr">
        <is>
          <t>09/04/2026</t>
        </is>
      </c>
      <c r="J9148" s="10" t="inlineStr">
        <is>
          <t>17/03/2026</t>
        </is>
      </c>
      <c r="K9148" s="10" t="inlineStr">
        <is>
          <t>N/A</t>
        </is>
      </c>
      <c r="L9148" s="10" t="inlineStr">
        <is>
          <t>Banking, Financial Analysis, Financial Reporting, IFRS, VAS</t>
        </is>
      </c>
      <c r="M9148" s="10" t="inlineStr">
        <is>
          <t>Others</t>
        </is>
      </c>
      <c r="N9148" s="11">
        <f>HYPERLINK("https://www.vietnamworks.com/senior-officer-financial-reporting--2020729-jv","Xem chi tiết")</f>
        <v/>
      </c>
      <c r="O9148" s="10" t="n"/>
    </row>
    <row r="9149">
      <c r="B9149" s="7" t="n">
        <v>9147</v>
      </c>
      <c r="C9149" t="inlineStr">
        <is>
          <t>Procurement And Production Planner</t>
        </is>
      </c>
      <c r="D9149" t="inlineStr">
        <is>
          <t>CÔNG TY TNHH SCHUETZ VIỆT NAM</t>
        </is>
      </c>
      <c r="E9149" t="inlineStr">
        <is>
          <t>Thương lượng</t>
        </is>
      </c>
      <c r="F9149" t="inlineStr">
        <is>
          <t>Hồ Chí Minh</t>
        </is>
      </c>
      <c r="G9149" t="inlineStr">
        <is>
          <t>Nhân viên</t>
        </is>
      </c>
      <c r="H9149" t="inlineStr">
        <is>
          <t>09/03/2026</t>
        </is>
      </c>
      <c r="I9149" t="inlineStr">
        <is>
          <t>09/04/2026</t>
        </is>
      </c>
      <c r="J9149" t="inlineStr">
        <is>
          <t>17/03/2026</t>
        </is>
      </c>
      <c r="K9149" t="inlineStr">
        <is>
          <t>N/A</t>
        </is>
      </c>
      <c r="L9149" t="inlineStr">
        <is>
          <t>Procurement, Production Planning, Demand Planning, Purchasing &amp; Sourcing Management</t>
        </is>
      </c>
      <c r="M9149" t="inlineStr">
        <is>
          <t>Bonus, Healthcare Plan, Paid Leave, Transportation</t>
        </is>
      </c>
      <c r="N9149" s="8">
        <f>HYPERLINK("https://www.vietnamworks.com/procurement-and-production-planner-2020693-jv","Xem chi tiết")</f>
        <v/>
      </c>
    </row>
    <row r="9150">
      <c r="B9150" s="9" t="n">
        <v>9148</v>
      </c>
      <c r="C9150" s="10" t="inlineStr">
        <is>
          <t>Supply Chain Executive / Chuyên Viên Chuỗi Cung Ứng</t>
        </is>
      </c>
      <c r="D9150" s="10" t="inlineStr">
        <is>
          <t>Unios Vietnam</t>
        </is>
      </c>
      <c r="E9150" s="10" t="inlineStr">
        <is>
          <t>Thương lượng</t>
        </is>
      </c>
      <c r="F9150" s="10" t="inlineStr">
        <is>
          <t>Hồ Chí Minh</t>
        </is>
      </c>
      <c r="G9150" s="10" t="inlineStr">
        <is>
          <t>Nhân viên</t>
        </is>
      </c>
      <c r="H9150" s="10" t="inlineStr">
        <is>
          <t>09/03/2026</t>
        </is>
      </c>
      <c r="I9150" s="10" t="inlineStr">
        <is>
          <t>09/04/2026</t>
        </is>
      </c>
      <c r="J9150" s="10" t="inlineStr">
        <is>
          <t>17/03/2026</t>
        </is>
      </c>
      <c r="K9150" s="10" t="inlineStr">
        <is>
          <t>N/A</t>
        </is>
      </c>
      <c r="L9150" s="10" t="inlineStr">
        <is>
          <t>Supply Chain Management, Logistics Coordination, Supplier Management, Demand Planning, Procurement</t>
        </is>
      </c>
      <c r="M9150" s="10" t="inlineStr">
        <is>
          <t>Bonus, Healthcare Plan, Laptop, Travel Opportunities, Team Activities, Others</t>
        </is>
      </c>
      <c r="N9150" s="11">
        <f>HYPERLINK("https://www.vietnamworks.com/supply-chain-executive-chuyen-vien-chuoi-cung-ung-2020518-jv","Xem chi tiết")</f>
        <v/>
      </c>
      <c r="O9150" s="10" t="n"/>
    </row>
    <row r="9151">
      <c r="B9151" s="7" t="n">
        <v>9149</v>
      </c>
      <c r="C9151" t="inlineStr">
        <is>
          <t>Trưởng Bộ Phận Logistics - Logistics Leader</t>
        </is>
      </c>
      <c r="D9151" t="inlineStr">
        <is>
          <t>Công Ty Cổ Phần Khoáng Sản Công Nghiệp Yên Bái (YBM)</t>
        </is>
      </c>
      <c r="E9151" t="inlineStr">
        <is>
          <t>18tr-25tr ₫/tháng</t>
        </is>
      </c>
      <c r="F9151" t="inlineStr">
        <is>
          <t>Hà Nội</t>
        </is>
      </c>
      <c r="G9151" t="inlineStr">
        <is>
          <t>Trưởng phòng</t>
        </is>
      </c>
      <c r="H9151" t="inlineStr">
        <is>
          <t>06/03/2026</t>
        </is>
      </c>
      <c r="I9151" t="inlineStr">
        <is>
          <t>09/04/2026</t>
        </is>
      </c>
      <c r="J9151" t="inlineStr">
        <is>
          <t>17/03/2026</t>
        </is>
      </c>
      <c r="K9151" t="inlineStr">
        <is>
          <t>N/A</t>
        </is>
      </c>
      <c r="L9151" t="inlineStr">
        <is>
          <t>Incoterm &amp; Logistic</t>
        </is>
      </c>
      <c r="M9151" t="inlineStr">
        <is>
          <t>Bonus, Healthcare Plan, Canteen, Others</t>
        </is>
      </c>
      <c r="N9151" s="8">
        <f>HYPERLINK("https://www.vietnamworks.com/truong-bo-phan-logistics-logistics-leader-2019460-jv","Xem chi tiết")</f>
        <v/>
      </c>
    </row>
    <row r="9152">
      <c r="B9152" s="9" t="n">
        <v>9150</v>
      </c>
      <c r="C9152" s="10" t="inlineStr">
        <is>
          <t>Chuyên Viên Nhân Sự Tổng Hợp</t>
        </is>
      </c>
      <c r="D9152" s="10" t="inlineStr">
        <is>
          <t>CÔNG TY TNHH THƯƠNG MẠI &amp; DỊCH VỤ KHÍ CÔNG NGHIỆP VI NA</t>
        </is>
      </c>
      <c r="E9152" s="10" t="inlineStr">
        <is>
          <t>11tr-16tr ₫/tháng</t>
        </is>
      </c>
      <c r="F9152" s="10" t="inlineStr">
        <is>
          <t>Hồ Chí Minh</t>
        </is>
      </c>
      <c r="G9152" s="10" t="inlineStr">
        <is>
          <t>Nhân viên</t>
        </is>
      </c>
      <c r="H9152" s="10" t="inlineStr">
        <is>
          <t>09/03/2026</t>
        </is>
      </c>
      <c r="I9152" s="10" t="inlineStr">
        <is>
          <t>09/04/2026</t>
        </is>
      </c>
      <c r="J9152" s="10" t="inlineStr">
        <is>
          <t>17/03/2026</t>
        </is>
      </c>
      <c r="K9152" s="10" t="inlineStr">
        <is>
          <t>N/A</t>
        </is>
      </c>
      <c r="L9152" s="10" t="inlineStr">
        <is>
          <t>Talent Acquisition, Talent Management, Compensation &amp; Benefits, Communication Skills, Problem-solving</t>
        </is>
      </c>
      <c r="M9152" s="10" t="inlineStr">
        <is>
          <t>Bonus, Healthcare Plan, Paid Leave, Training, Travel Opportunities, Others</t>
        </is>
      </c>
      <c r="N9152" s="11">
        <f>HYPERLINK("https://www.vietnamworks.com/chuyen-vien-nhan-su-tong-hop-2020748-jv","Xem chi tiết")</f>
        <v/>
      </c>
      <c r="O9152" s="10" t="n"/>
    </row>
    <row r="9153">
      <c r="B9153" s="7" t="n">
        <v>9151</v>
      </c>
      <c r="C9153" t="inlineStr">
        <is>
          <t>Nhân Viên HSE/ HSE Staff (Thu Nhập: 600 -1000$/ Tháng)</t>
        </is>
      </c>
      <c r="D9153" t="inlineStr">
        <is>
          <t>Công Ty TNHH Ferroli Asean</t>
        </is>
      </c>
      <c r="E9153" t="inlineStr">
        <is>
          <t>$$ 600-1,000 /tháng</t>
        </is>
      </c>
      <c r="F9153" t="inlineStr">
        <is>
          <t>Hà Nội</t>
        </is>
      </c>
      <c r="G9153" t="inlineStr">
        <is>
          <t>Nhân viên</t>
        </is>
      </c>
      <c r="H9153" t="inlineStr">
        <is>
          <t>09/03/2026</t>
        </is>
      </c>
      <c r="I9153" t="inlineStr">
        <is>
          <t>09/04/2026</t>
        </is>
      </c>
      <c r="J9153" t="inlineStr">
        <is>
          <t>17/03/2026</t>
        </is>
      </c>
      <c r="K9153" t="inlineStr">
        <is>
          <t>N/A</t>
        </is>
      </c>
      <c r="L9153" t="inlineStr">
        <is>
          <t>HSE Management, ISO 45001, Occupational Health and Safety (OHS), Đánh Giá Rủi Ro, Fire Safety (PCCC)</t>
        </is>
      </c>
      <c r="M9153" t="inlineStr">
        <is>
          <t>Bonus, Healthcare Plan, Paid Leave</t>
        </is>
      </c>
      <c r="N9153" s="8">
        <f>HYPERLINK("https://www.vietnamworks.com/nhan-vien-hse-hse-staff-thu-nhap-600-1000-thang--2020639-jv","Xem chi tiết")</f>
        <v/>
      </c>
    </row>
    <row r="9154">
      <c r="B9154" s="9" t="n">
        <v>9152</v>
      </c>
      <c r="C9154" s="10" t="inlineStr">
        <is>
          <t>Trưởng Phòng Hành Chính Nhân Sự</t>
        </is>
      </c>
      <c r="D9154" s="10" t="inlineStr">
        <is>
          <t>Vietnamworks' Client</t>
        </is>
      </c>
      <c r="E9154" s="10" t="inlineStr">
        <is>
          <t>$$ 500-1,000 /tháng</t>
        </is>
      </c>
      <c r="F9154" s="10" t="inlineStr">
        <is>
          <t>Đồng Nai</t>
        </is>
      </c>
      <c r="G9154" s="10" t="inlineStr">
        <is>
          <t>Trưởng phòng</t>
        </is>
      </c>
      <c r="H9154" s="10" t="inlineStr">
        <is>
          <t>09/03/2026</t>
        </is>
      </c>
      <c r="I9154" s="10" t="inlineStr">
        <is>
          <t>09/04/2026</t>
        </is>
      </c>
      <c r="J9154" s="10" t="inlineStr">
        <is>
          <t>17/03/2026</t>
        </is>
      </c>
      <c r="K9154" s="10" t="inlineStr">
        <is>
          <t>N/A</t>
        </is>
      </c>
      <c r="L9154" s="10" t="inlineStr">
        <is>
          <t>Luật Lao Động, Quản Lý Lương, Quản Lý Tài Sản, Truyền Thông Nội Bộ, Tuyển Dụng</t>
        </is>
      </c>
      <c r="M9154" s="10" t="inlineStr">
        <is>
          <t>Bonus</t>
        </is>
      </c>
      <c r="N9154" s="11">
        <f>HYPERLINK("https://www.vietnamworks.com/truong-phong-hanh-chinh-nhan-su-2020754-jv","Xem chi tiết")</f>
        <v/>
      </c>
      <c r="O9154" s="10" t="n"/>
    </row>
    <row r="9155">
      <c r="B9155" s="7" t="n">
        <v>9153</v>
      </c>
      <c r="C9155" t="inlineStr">
        <is>
          <t>Trưởng Phòng Dịch Vụ (Lĩnh Vực Ô Tô)</t>
        </is>
      </c>
      <c r="D9155" t="inlineStr">
        <is>
          <t>Công ty Cổ phần Ô tô GMG</t>
        </is>
      </c>
      <c r="E9155" t="inlineStr">
        <is>
          <t>$$ 1,000-1,500 /tháng</t>
        </is>
      </c>
      <c r="F9155" t="inlineStr">
        <is>
          <t>Hồ Chí Minh</t>
        </is>
      </c>
      <c r="G9155" t="inlineStr">
        <is>
          <t>Trưởng phòng</t>
        </is>
      </c>
      <c r="H9155" t="inlineStr">
        <is>
          <t>09/03/2026</t>
        </is>
      </c>
      <c r="I9155" t="inlineStr">
        <is>
          <t>09/04/2026</t>
        </is>
      </c>
      <c r="J9155" t="inlineStr">
        <is>
          <t>17/03/2026</t>
        </is>
      </c>
      <c r="K9155" t="inlineStr">
        <is>
          <t>N/A</t>
        </is>
      </c>
      <c r="L9155" t="inlineStr">
        <is>
          <t>Giao Tiếp Xuất Sắc, Dịch Vụ Khách Hàng, Kỹ Thuật ÔTô</t>
        </is>
      </c>
      <c r="M9155" t="inlineStr">
        <is>
          <t>Bonus, Healthcare Plan, Training</t>
        </is>
      </c>
      <c r="N9155" s="8">
        <f>HYPERLINK("https://www.vietnamworks.com/truong-phong-dich-vu-linh-vuc-o-to-2020770-jv","Xem chi tiết")</f>
        <v/>
      </c>
    </row>
    <row r="9156">
      <c r="B9156" s="9" t="n">
        <v>9154</v>
      </c>
      <c r="C9156" s="10" t="inlineStr">
        <is>
          <t>E-Commerce Platform Manager for Website</t>
        </is>
      </c>
      <c r="D9156" s="10" t="inlineStr">
        <is>
          <t>Meishang Cosmetics Vietnam (Colorkey BRAND)</t>
        </is>
      </c>
      <c r="E9156" s="10" t="inlineStr">
        <is>
          <t>Thương lượng</t>
        </is>
      </c>
      <c r="F9156" s="10" t="inlineStr">
        <is>
          <t>Hồ Chí Minh</t>
        </is>
      </c>
      <c r="G9156" s="10" t="inlineStr">
        <is>
          <t>Nhân viên</t>
        </is>
      </c>
      <c r="H9156" s="10" t="inlineStr">
        <is>
          <t>10/03/2026</t>
        </is>
      </c>
      <c r="I9156" s="10" t="inlineStr">
        <is>
          <t>09/04/2026</t>
        </is>
      </c>
      <c r="J9156" s="10" t="inlineStr">
        <is>
          <t>17/03/2026</t>
        </is>
      </c>
      <c r="K9156" s="10" t="inlineStr">
        <is>
          <t>N/A</t>
        </is>
      </c>
      <c r="L9156" s="10" t="inlineStr">
        <is>
          <t>UIUX, E-commerce platforms, Website, Cosmetic, Beauty Marketing</t>
        </is>
      </c>
      <c r="M9156" s="10" t="inlineStr">
        <is>
          <t>Others</t>
        </is>
      </c>
      <c r="N9156" s="11">
        <f>HYPERLINK("https://www.vietnamworks.com/e-commerce-platform-manager-for-website-2020780-jv","Xem chi tiết")</f>
        <v/>
      </c>
      <c r="O9156" s="10" t="n"/>
    </row>
    <row r="9157">
      <c r="B9157" s="7" t="n">
        <v>9155</v>
      </c>
      <c r="C9157" t="inlineStr">
        <is>
          <t>SharePoint Administration Manager</t>
        </is>
      </c>
      <c r="D9157" t="inlineStr">
        <is>
          <t>Rochdale Spears Co., Ltd.</t>
        </is>
      </c>
      <c r="E9157" t="inlineStr">
        <is>
          <t>Thương lượng</t>
        </is>
      </c>
      <c r="F9157" t="inlineStr">
        <is>
          <t>Hồ Chí Minh</t>
        </is>
      </c>
      <c r="G9157" t="inlineStr">
        <is>
          <t>Trưởng phòng</t>
        </is>
      </c>
      <c r="H9157" t="inlineStr">
        <is>
          <t>10/03/2026</t>
        </is>
      </c>
      <c r="I9157" t="inlineStr">
        <is>
          <t>09/04/2026</t>
        </is>
      </c>
      <c r="J9157" t="inlineStr">
        <is>
          <t>17/03/2026</t>
        </is>
      </c>
      <c r="K9157" t="inlineStr">
        <is>
          <t>N/A</t>
        </is>
      </c>
      <c r="L9157" t="inlineStr">
        <is>
          <t>SharePoint Administration, IT Management, Systems Administration, IT Infrastructure</t>
        </is>
      </c>
      <c r="M9157" t="inlineStr">
        <is>
          <t>Bonus, Transportation</t>
        </is>
      </c>
      <c r="N9157" s="8">
        <f>HYPERLINK("https://www.vietnamworks.com/sharepoint-administration-manager-2020793-jv","Xem chi tiết")</f>
        <v/>
      </c>
    </row>
    <row r="9158">
      <c r="B9158" s="9" t="n">
        <v>9156</v>
      </c>
      <c r="C9158" s="10" t="inlineStr">
        <is>
          <t>F&amp;A Officer (AP)</t>
        </is>
      </c>
      <c r="D9158" s="10" t="inlineStr">
        <is>
          <t>UPS Vietnam</t>
        </is>
      </c>
      <c r="E9158" s="10" t="inlineStr">
        <is>
          <t>Thương lượng</t>
        </is>
      </c>
      <c r="F9158" s="10" t="inlineStr">
        <is>
          <t>Hồ Chí Minh</t>
        </is>
      </c>
      <c r="G9158" s="10" t="inlineStr">
        <is>
          <t>Nhân viên</t>
        </is>
      </c>
      <c r="H9158" s="10" t="inlineStr">
        <is>
          <t>10/03/2026</t>
        </is>
      </c>
      <c r="I9158" s="10" t="inlineStr">
        <is>
          <t>09/04/2026</t>
        </is>
      </c>
      <c r="J9158" s="10" t="inlineStr">
        <is>
          <t>17/03/2026</t>
        </is>
      </c>
      <c r="K9158" s="10" t="inlineStr">
        <is>
          <t>N/A</t>
        </is>
      </c>
      <c r="L9158" s="10" t="inlineStr">
        <is>
          <t>Payment Processing, Forecasting, Detail Oriented Mindset, English Language Proficiency, Reconcile Invoice</t>
        </is>
      </c>
      <c r="M9158" s="10" t="inlineStr">
        <is>
          <t>Healthcare Plan, Team Activities, Others</t>
        </is>
      </c>
      <c r="N9158" s="11">
        <f>HYPERLINK("https://www.vietnamworks.com/f-a-officer-ap-2020797-jv","Xem chi tiết")</f>
        <v/>
      </c>
      <c r="O9158" s="10" t="n"/>
    </row>
    <row r="9159">
      <c r="B9159" s="7" t="n">
        <v>9157</v>
      </c>
      <c r="C9159" t="inlineStr">
        <is>
          <t>Nhân Viên Hành Chính Tổng Hợp</t>
        </is>
      </c>
      <c r="D9159" t="inlineStr">
        <is>
          <t>SAIGON HIFOOD</t>
        </is>
      </c>
      <c r="E9159" t="inlineStr">
        <is>
          <t>6tr-15tr ₫/tháng</t>
        </is>
      </c>
      <c r="F9159" t="inlineStr">
        <is>
          <t>Hồ Chí Minh</t>
        </is>
      </c>
      <c r="G9159" t="inlineStr">
        <is>
          <t>Nhân viên</t>
        </is>
      </c>
      <c r="H9159" t="inlineStr">
        <is>
          <t>09/03/2026</t>
        </is>
      </c>
      <c r="I9159" t="inlineStr">
        <is>
          <t>09/04/2026</t>
        </is>
      </c>
      <c r="J9159" t="inlineStr">
        <is>
          <t>17/03/2026</t>
        </is>
      </c>
      <c r="K9159" t="inlineStr">
        <is>
          <t>N/A</t>
        </is>
      </c>
      <c r="L9159" t="inlineStr">
        <is>
          <t>Kiểm Kê Hàng Hóa, Mua Bán Sản Phẩm, Quản Lý Kho, Vệ Sinh An Toàn Thực Phẩm</t>
        </is>
      </c>
      <c r="M9159" t="inlineStr">
        <is>
          <t>Bonus</t>
        </is>
      </c>
      <c r="N9159" s="8">
        <f>HYPERLINK("https://www.vietnamworks.com/nhan-vien-hanh-chinh-tong-hop-2020774-jv","Xem chi tiết")</f>
        <v/>
      </c>
    </row>
    <row r="9160">
      <c r="B9160" s="9" t="n">
        <v>9158</v>
      </c>
      <c r="C9160" s="10" t="inlineStr">
        <is>
          <t>Logistics Sales in Ha Noi</t>
        </is>
      </c>
      <c r="D9160" s="10" t="inlineStr">
        <is>
          <t>Công Ty TNHH Eusu Logistics Việt Nam</t>
        </is>
      </c>
      <c r="E9160" s="10" t="inlineStr">
        <is>
          <t>Thương lượng</t>
        </is>
      </c>
      <c r="F9160" s="10" t="inlineStr">
        <is>
          <t>Hà Nội</t>
        </is>
      </c>
      <c r="G9160" s="10" t="inlineStr">
        <is>
          <t>Nhân viên</t>
        </is>
      </c>
      <c r="H9160" s="10" t="inlineStr">
        <is>
          <t>10/03/2026</t>
        </is>
      </c>
      <c r="I9160" s="10" t="inlineStr">
        <is>
          <t>09/04/2026</t>
        </is>
      </c>
      <c r="J9160" s="10" t="inlineStr">
        <is>
          <t>17/03/2026</t>
        </is>
      </c>
      <c r="K9160" s="10" t="inlineStr">
        <is>
          <t>N/A</t>
        </is>
      </c>
      <c r="L9160" s="10" t="inlineStr">
        <is>
          <t>Freight Forwarding, Sales logistics, Sea Freight, Business Development, International Logistics</t>
        </is>
      </c>
      <c r="M9160" s="10" t="inlineStr">
        <is>
          <t>Bonus, Healthcare Plan, Team Activities</t>
        </is>
      </c>
      <c r="N9160" s="11">
        <f>HYPERLINK("https://www.vietnamworks.com/logistics-sales-in-ha-noi--2020807-jv","Xem chi tiết")</f>
        <v/>
      </c>
      <c r="O9160" s="10" t="n"/>
    </row>
    <row r="9161">
      <c r="B9161" s="7" t="n">
        <v>9159</v>
      </c>
      <c r="C9161" t="inlineStr">
        <is>
          <t>Digital Marketing Lĩnh Vực Bất Động Sản Cao Cấp</t>
        </is>
      </c>
      <c r="D9161" t="inlineStr">
        <is>
          <t>CÔNG TY TNHH TƯ VẤN ĐẦU TƯ ĐỊA ỐC NHÀ ĐẠI PHÁT</t>
        </is>
      </c>
      <c r="E9161" t="inlineStr">
        <is>
          <t>Thương lượng</t>
        </is>
      </c>
      <c r="F9161" t="inlineStr">
        <is>
          <t>Hồ Chí Minh</t>
        </is>
      </c>
      <c r="G9161" t="inlineStr">
        <is>
          <t>Nhân viên</t>
        </is>
      </c>
      <c r="H9161" t="inlineStr">
        <is>
          <t>10/03/2026</t>
        </is>
      </c>
      <c r="I9161" t="inlineStr">
        <is>
          <t>09/04/2026</t>
        </is>
      </c>
      <c r="J9161" t="inlineStr">
        <is>
          <t>17/03/2026</t>
        </is>
      </c>
      <c r="K9161" t="inlineStr">
        <is>
          <t>N/A</t>
        </is>
      </c>
      <c r="L9161" t="inlineStr">
        <is>
          <t>Bất Động Sản, Chiến lược Digital Marketing, Quản lý Marketing, Ads &amp; SEO campaign, Quảng cáo &amp; Phân tích dữ liệu</t>
        </is>
      </c>
      <c r="M9161" t="inlineStr">
        <is>
          <t>Bonus, Healthcare Plan, Paid Leave, Training, Travel Opportunities, Team Activities</t>
        </is>
      </c>
      <c r="N9161" s="8">
        <f>HYPERLINK("https://www.vietnamworks.com/digital-marketing-linh-vuc-bat-dong-san-cao-cap-2020788-jv","Xem chi tiết")</f>
        <v/>
      </c>
    </row>
    <row r="9162">
      <c r="B9162" s="9" t="n">
        <v>9160</v>
      </c>
      <c r="C9162" s="10" t="inlineStr">
        <is>
          <t>Nhân Viên Kinh Doanh Ngoại Thất Cao Cấp Kênh Đại Lý</t>
        </is>
      </c>
      <c r="D9162" s="10" t="inlineStr">
        <is>
          <t>LIXIL Vietnam Corporation</t>
        </is>
      </c>
      <c r="E9162" s="10" t="inlineStr">
        <is>
          <t>Thương lượng</t>
        </is>
      </c>
      <c r="F9162" s="10" t="inlineStr">
        <is>
          <t>Hồ Chí Minh</t>
        </is>
      </c>
      <c r="G9162" s="10" t="inlineStr">
        <is>
          <t>Nhân viên</t>
        </is>
      </c>
      <c r="H9162" s="10" t="inlineStr">
        <is>
          <t>10/03/2026</t>
        </is>
      </c>
      <c r="I9162" s="10" t="inlineStr">
        <is>
          <t>09/04/2026</t>
        </is>
      </c>
      <c r="J9162" s="10" t="inlineStr">
        <is>
          <t>17/03/2026</t>
        </is>
      </c>
      <c r="K9162" s="10" t="inlineStr">
        <is>
          <t>N/A</t>
        </is>
      </c>
      <c r="L9162" s="10" t="inlineStr">
        <is>
          <t>Kinh Doanh, Bán Hàng, B2B Sales, Ngoại Thất</t>
        </is>
      </c>
      <c r="M9162" s="10" t="inlineStr">
        <is>
          <t>Bonus, Travel Opportunities, Others</t>
        </is>
      </c>
      <c r="N9162" s="11">
        <f>HYPERLINK("https://www.vietnamworks.com/nhan-vien-kinh-doanh-ngoai-that-cao-cap-kenh-dai-ly--2020796-jv","Xem chi tiết")</f>
        <v/>
      </c>
      <c r="O9162" s="10" t="n"/>
    </row>
    <row r="9163">
      <c r="B9163" s="7" t="n">
        <v>9161</v>
      </c>
      <c r="C9163" t="inlineStr">
        <is>
          <t>Giám Đốc Kỹ Thuật Xây Dựng</t>
        </is>
      </c>
      <c r="D9163" t="inlineStr">
        <is>
          <t>Công Ty Cổ Phần Đầu Tư Và Công Nghiệp Tân Tạo</t>
        </is>
      </c>
      <c r="E9163" t="inlineStr">
        <is>
          <t>Thương lượng</t>
        </is>
      </c>
      <c r="F9163" t="inlineStr">
        <is>
          <t>Hồ Chí Minh</t>
        </is>
      </c>
      <c r="G9163" t="inlineStr">
        <is>
          <t>Giám Đốc và Cấp Cao Hơn</t>
        </is>
      </c>
      <c r="H9163" t="inlineStr">
        <is>
          <t>10/03/2026</t>
        </is>
      </c>
      <c r="I9163" t="inlineStr">
        <is>
          <t>09/04/2026</t>
        </is>
      </c>
      <c r="J9163" t="inlineStr">
        <is>
          <t>17/03/2026</t>
        </is>
      </c>
      <c r="K9163" t="inlineStr">
        <is>
          <t>N/A</t>
        </is>
      </c>
      <c r="L9163" t="inlineStr">
        <is>
          <t>Xây Dựng</t>
        </is>
      </c>
      <c r="M9163" t="inlineStr">
        <is>
          <t>Bonus, Healthcare Plan, Awards</t>
        </is>
      </c>
      <c r="N9163" s="8">
        <f>HYPERLINK("https://www.vietnamworks.com/giam-doc-ky-thuat-xay-dung--2020810-jv","Xem chi tiết")</f>
        <v/>
      </c>
    </row>
    <row r="9164">
      <c r="B9164" s="9" t="n">
        <v>9162</v>
      </c>
      <c r="C9164" s="10" t="inlineStr">
        <is>
          <t>Legal &amp; Compliance Assistant Manager</t>
        </is>
      </c>
      <c r="D9164" s="10" t="inlineStr">
        <is>
          <t>LIXIL Vietnam Corporation</t>
        </is>
      </c>
      <c r="E9164" s="10" t="inlineStr">
        <is>
          <t>Thương lượng</t>
        </is>
      </c>
      <c r="F9164" s="10" t="inlineStr">
        <is>
          <t>Hà Nội</t>
        </is>
      </c>
      <c r="G9164" s="10" t="inlineStr">
        <is>
          <t>Nhân viên</t>
        </is>
      </c>
      <c r="H9164" s="10" t="inlineStr">
        <is>
          <t>10/03/2026</t>
        </is>
      </c>
      <c r="I9164" s="10" t="inlineStr">
        <is>
          <t>09/04/2026</t>
        </is>
      </c>
      <c r="J9164" s="10" t="inlineStr">
        <is>
          <t>17/03/2026</t>
        </is>
      </c>
      <c r="K9164" s="10" t="inlineStr">
        <is>
          <t>N/A</t>
        </is>
      </c>
      <c r="L9164" s="10" t="inlineStr">
        <is>
          <t>Legal, Economic Law, Legal &amp; Law, Vietnamese Lawyer Qualification, Compliance Procedure</t>
        </is>
      </c>
      <c r="M9164" s="10" t="inlineStr">
        <is>
          <t>Bonus, Travel Opportunities, Others</t>
        </is>
      </c>
      <c r="N9164" s="11">
        <f>HYPERLINK("https://www.vietnamworks.com/legal-compliance-assistant-manager--2020794-jv","Xem chi tiết")</f>
        <v/>
      </c>
      <c r="O9164" s="10" t="n"/>
    </row>
    <row r="9165">
      <c r="B9165" s="7" t="n">
        <v>9163</v>
      </c>
      <c r="C9165" t="inlineStr">
        <is>
          <t>Kế Toán Viên</t>
        </is>
      </c>
      <c r="D9165" t="inlineStr">
        <is>
          <t>BMB&amp;A JSC.</t>
        </is>
      </c>
      <c r="E9165" t="inlineStr">
        <is>
          <t>12tr-15tr ₫/tháng</t>
        </is>
      </c>
      <c r="F9165" t="inlineStr">
        <is>
          <t>Hồ Chí Minh</t>
        </is>
      </c>
      <c r="G9165" t="inlineStr">
        <is>
          <t>Mới Tốt Nghiệp</t>
        </is>
      </c>
      <c r="H9165" t="inlineStr">
        <is>
          <t>10/03/2026</t>
        </is>
      </c>
      <c r="I9165" t="inlineStr">
        <is>
          <t>09/04/2026</t>
        </is>
      </c>
      <c r="J9165" t="inlineStr">
        <is>
          <t>17/03/2026</t>
        </is>
      </c>
      <c r="K9165" t="inlineStr">
        <is>
          <t>N/A</t>
        </is>
      </c>
      <c r="L9165" t="inlineStr">
        <is>
          <t>Bookkeeping, Kế Toán Tổng Hợp, Quản Lý Hóa Đơn, Thuế, Tính Lương</t>
        </is>
      </c>
      <c r="M9165" t="inlineStr">
        <is>
          <t>Bonus, Healthcare Plan, Training, Travel Opportunities, Others</t>
        </is>
      </c>
      <c r="N9165" s="8">
        <f>HYPERLINK("https://www.vietnamworks.com/ke-toan-vien-2020808-jv","Xem chi tiết")</f>
        <v/>
      </c>
    </row>
    <row r="9166">
      <c r="B9166" s="9" t="n">
        <v>9164</v>
      </c>
      <c r="C9166" s="10" t="inlineStr">
        <is>
          <t>Nhân Viên An Toàn Môi Trường - EHS Staff / Environment Staff</t>
        </is>
      </c>
      <c r="D9166" s="10" t="inlineStr">
        <is>
          <t>LIXIL Vietnam Corporation</t>
        </is>
      </c>
      <c r="E9166" s="10" t="inlineStr">
        <is>
          <t>Thương lượng</t>
        </is>
      </c>
      <c r="F9166" s="10" t="inlineStr">
        <is>
          <t>Hà Nội</t>
        </is>
      </c>
      <c r="G9166" s="10" t="inlineStr">
        <is>
          <t>Nhân viên</t>
        </is>
      </c>
      <c r="H9166" s="10" t="inlineStr">
        <is>
          <t>10/03/2026</t>
        </is>
      </c>
      <c r="I9166" s="10" t="inlineStr">
        <is>
          <t>09/04/2026</t>
        </is>
      </c>
      <c r="J9166" s="10" t="inlineStr">
        <is>
          <t>17/03/2026</t>
        </is>
      </c>
      <c r="K9166" s="10" t="inlineStr">
        <is>
          <t>N/A</t>
        </is>
      </c>
      <c r="L9166" s="10" t="inlineStr">
        <is>
          <t>Environment, Environmental Safety, Môi Trường, Luật Môi Trường, EHS</t>
        </is>
      </c>
      <c r="M9166" s="10" t="inlineStr">
        <is>
          <t>Bonus, Travel Opportunities, Others</t>
        </is>
      </c>
      <c r="N9166" s="11">
        <f>HYPERLINK("https://www.vietnamworks.com/nhan-vien-an-toan-moi-truong-ehs-staff-environment-staff-2020791-jv","Xem chi tiết")</f>
        <v/>
      </c>
      <c r="O9166" s="10" t="n"/>
    </row>
    <row r="9167">
      <c r="B9167" s="7" t="n">
        <v>9165</v>
      </c>
      <c r="C9167" t="inlineStr">
        <is>
          <t>Nhân Viên Hành Chính</t>
        </is>
      </c>
      <c r="D9167" t="inlineStr">
        <is>
          <t>Công Ty TNHH LITEON Việt Nam</t>
        </is>
      </c>
      <c r="E9167" t="inlineStr">
        <is>
          <t>Thương lượng</t>
        </is>
      </c>
      <c r="F9167" t="inlineStr">
        <is>
          <t>Hải Phòng, Quảng Ninh</t>
        </is>
      </c>
      <c r="G9167" t="inlineStr">
        <is>
          <t>Nhân viên</t>
        </is>
      </c>
      <c r="H9167" t="inlineStr">
        <is>
          <t>10/03/2026</t>
        </is>
      </c>
      <c r="I9167" t="inlineStr">
        <is>
          <t>09/04/2026</t>
        </is>
      </c>
      <c r="J9167" t="inlineStr">
        <is>
          <t>17/03/2026</t>
        </is>
      </c>
      <c r="K9167" t="inlineStr">
        <is>
          <t>N/A</t>
        </is>
      </c>
      <c r="L9167" t="inlineStr">
        <is>
          <t>Tin Học Văn Phòng, Hành Chính Nhân Sự, Hành Chính, CCTV, Quản Lý Vệ Sinh</t>
        </is>
      </c>
      <c r="M9167" t="inlineStr">
        <is>
          <t>Healthcare Plan, Team Activities, Canteen</t>
        </is>
      </c>
      <c r="N9167" s="8">
        <f>HYPERLINK("https://www.vietnamworks.com/nhan-vien-hanh-chinh--2020802-jv","Xem chi tiết")</f>
        <v/>
      </c>
    </row>
    <row r="9168">
      <c r="B9168" s="9" t="n">
        <v>9166</v>
      </c>
      <c r="C9168" s="10" t="inlineStr">
        <is>
          <t>Marketing Lead</t>
        </is>
      </c>
      <c r="D9168" s="10" t="inlineStr">
        <is>
          <t>Công ty TNHH Thương Mại Dịch Vụ C.A.P</t>
        </is>
      </c>
      <c r="E9168" s="10" t="inlineStr">
        <is>
          <t>15tr-20tr ₫/tháng</t>
        </is>
      </c>
      <c r="F9168" s="10" t="inlineStr">
        <is>
          <t>Hồ Chí Minh</t>
        </is>
      </c>
      <c r="G9168" s="10" t="inlineStr">
        <is>
          <t>Nhân viên</t>
        </is>
      </c>
      <c r="H9168" s="10" t="inlineStr">
        <is>
          <t>10/03/2026</t>
        </is>
      </c>
      <c r="I9168" s="10" t="inlineStr">
        <is>
          <t>09/04/2026</t>
        </is>
      </c>
      <c r="J9168" s="10" t="inlineStr">
        <is>
          <t>17/03/2026</t>
        </is>
      </c>
      <c r="K9168" s="10" t="inlineStr">
        <is>
          <t>N/A</t>
        </is>
      </c>
      <c r="L9168" s="10" t="inlineStr">
        <is>
          <t>Content Management, Marketing Strategy, Performance Marketing, Social Media Marketing, Team Management</t>
        </is>
      </c>
      <c r="M9168" s="10" t="inlineStr">
        <is>
          <t>Bonus, Paid Leave, Training, Laptop, Team Activities, Others</t>
        </is>
      </c>
      <c r="N9168" s="11">
        <f>HYPERLINK("https://www.vietnamworks.com/marketing-lead-2020782-jv","Xem chi tiết")</f>
        <v/>
      </c>
      <c r="O9168" s="10" t="n"/>
    </row>
    <row r="9169">
      <c r="B9169" s="7" t="n">
        <v>9167</v>
      </c>
      <c r="C9169" t="inlineStr">
        <is>
          <t>Project Sales Manager - Giám Đốc Kinh Doanh Dự Án</t>
        </is>
      </c>
      <c r="D9169" t="inlineStr">
        <is>
          <t>LIXIL Vietnam Corporation</t>
        </is>
      </c>
      <c r="E9169" t="inlineStr">
        <is>
          <t>Thương lượng</t>
        </is>
      </c>
      <c r="F9169" t="inlineStr">
        <is>
          <t>Hồ Chí Minh</t>
        </is>
      </c>
      <c r="G9169" t="inlineStr">
        <is>
          <t>Trưởng phòng</t>
        </is>
      </c>
      <c r="H9169" t="inlineStr">
        <is>
          <t>10/03/2026</t>
        </is>
      </c>
      <c r="I9169" t="inlineStr">
        <is>
          <t>09/04/2026</t>
        </is>
      </c>
      <c r="J9169" t="inlineStr">
        <is>
          <t>17/03/2026</t>
        </is>
      </c>
      <c r="K9169" t="inlineStr">
        <is>
          <t>N/A</t>
        </is>
      </c>
      <c r="L9169" t="inlineStr">
        <is>
          <t>Business Development, Kinh Doanh, B2B Sales, Bán Hàng, Sales Management</t>
        </is>
      </c>
      <c r="M9169" t="inlineStr">
        <is>
          <t>Bonus, Travel Opportunities, Others</t>
        </is>
      </c>
      <c r="N9169" s="8">
        <f>HYPERLINK("https://www.vietnamworks.com/project-sales-manager-giam-doc-kinh-doanh-du-an--2020798-jv","Xem chi tiết")</f>
        <v/>
      </c>
    </row>
    <row r="9170">
      <c r="B9170" s="9" t="n">
        <v>9168</v>
      </c>
      <c r="C9170" s="10" t="inlineStr">
        <is>
          <t>Payable Accountant/ Kế Toán Thanh Toán</t>
        </is>
      </c>
      <c r="D9170" s="10" t="inlineStr">
        <is>
          <t>British Vietnamese International School, HCMC (BVIS)</t>
        </is>
      </c>
      <c r="E9170" s="10" t="inlineStr">
        <is>
          <t>Thương lượng</t>
        </is>
      </c>
      <c r="F9170" s="10" t="inlineStr">
        <is>
          <t>Hồ Chí Minh</t>
        </is>
      </c>
      <c r="G9170" s="10" t="inlineStr">
        <is>
          <t>Nhân viên</t>
        </is>
      </c>
      <c r="H9170" s="10" t="inlineStr">
        <is>
          <t>10/03/2026</t>
        </is>
      </c>
      <c r="I9170" s="10" t="inlineStr">
        <is>
          <t>09/04/2026</t>
        </is>
      </c>
      <c r="J9170" s="10" t="inlineStr">
        <is>
          <t>17/03/2026</t>
        </is>
      </c>
      <c r="K9170" s="10" t="inlineStr">
        <is>
          <t>N/A</t>
        </is>
      </c>
      <c r="L9170" s="10" t="inlineStr">
        <is>
          <t>Kế Toán Tổng Hợp, Kế Toán Thanh Toán, Kế Toán, Kế Toán Nội Bộ</t>
        </is>
      </c>
      <c r="M9170" s="10" t="inlineStr">
        <is>
          <t>Bonus, Healthcare Plan, Paid Leave</t>
        </is>
      </c>
      <c r="N9170" s="11">
        <f>HYPERLINK("https://www.vietnamworks.com/payable-accountant-ke-toan-thanh-toan--2020786-jv","Xem chi tiết")</f>
        <v/>
      </c>
      <c r="O9170" s="10" t="n"/>
    </row>
    <row r="9171">
      <c r="B9171" s="7" t="n">
        <v>9169</v>
      </c>
      <c r="C9171" t="inlineStr">
        <is>
          <t>Senior Backend Developer (Python) - khối Nền tảng dữ liệu &amp; AI</t>
        </is>
      </c>
      <c r="D9171" t="inlineStr">
        <is>
          <t>CÔNG TY CỔ PHẦN VINSMART FUTURE</t>
        </is>
      </c>
      <c r="E9171" t="inlineStr">
        <is>
          <t>Thương lượng</t>
        </is>
      </c>
      <c r="F9171" t="inlineStr">
        <is>
          <t>Hà Nội, Hồ Chí Minh</t>
        </is>
      </c>
      <c r="G9171" t="inlineStr">
        <is>
          <t>Nhân viên</t>
        </is>
      </c>
      <c r="H9171" t="inlineStr">
        <is>
          <t>10/03/2026</t>
        </is>
      </c>
      <c r="I9171" t="inlineStr">
        <is>
          <t>09/04/2026</t>
        </is>
      </c>
      <c r="J9171" t="inlineStr">
        <is>
          <t>17/03/2026</t>
        </is>
      </c>
      <c r="K9171" t="inlineStr">
        <is>
          <t>N/A</t>
        </is>
      </c>
      <c r="L9171" t="inlineStr">
        <is>
          <t>Ai Agent, Django, FastAPI, Problem Solving, Python</t>
        </is>
      </c>
      <c r="M9171" t="inlineStr">
        <is>
          <t>Bonus, Healthcare Plan, Others</t>
        </is>
      </c>
      <c r="N9171" s="8">
        <f>HYPERLINK("https://www.vietnamworks.com/senior-backend-developer-python-khoi-nen-tang-du-lieu-and-ai-2020809-jv","Xem chi tiết")</f>
        <v/>
      </c>
    </row>
    <row r="9172">
      <c r="B9172" s="9" t="n">
        <v>9170</v>
      </c>
      <c r="C9172" s="10" t="inlineStr">
        <is>
          <t>AI &amp; Data Lead</t>
        </is>
      </c>
      <c r="D9172" s="10" t="inlineStr">
        <is>
          <t>ALUKO Group</t>
        </is>
      </c>
      <c r="E9172" s="10" t="inlineStr">
        <is>
          <t>Thương lượng</t>
        </is>
      </c>
      <c r="F9172" s="10" t="inlineStr">
        <is>
          <t>Hà Nội</t>
        </is>
      </c>
      <c r="G9172" s="10" t="inlineStr">
        <is>
          <t>Trưởng phòng</t>
        </is>
      </c>
      <c r="H9172" s="10" t="inlineStr">
        <is>
          <t>10/03/2026</t>
        </is>
      </c>
      <c r="I9172" s="10" t="inlineStr">
        <is>
          <t>09/04/2026</t>
        </is>
      </c>
      <c r="J9172" s="10" t="inlineStr">
        <is>
          <t>17/03/2026</t>
        </is>
      </c>
      <c r="K9172" s="10" t="inlineStr">
        <is>
          <t>N/A</t>
        </is>
      </c>
      <c r="L9172" s="10" t="inlineStr">
        <is>
          <t>Data Architecture, ICT Solutions, Project Management, Stakeholder Management, Workflow Automation</t>
        </is>
      </c>
      <c r="M9172" s="10" t="inlineStr">
        <is>
          <t>Bonus, Healthcare Plan, Paid Leave, Laptop, Transportation, Canteen</t>
        </is>
      </c>
      <c r="N9172" s="11">
        <f>HYPERLINK("https://www.vietnamworks.com/ai-and-data-lead-2020800-jv","Xem chi tiết")</f>
        <v/>
      </c>
      <c r="O9172" s="10" t="n"/>
    </row>
    <row r="9173">
      <c r="B9173" s="7" t="n">
        <v>9171</v>
      </c>
      <c r="C9173" t="inlineStr">
        <is>
          <t>Operations Finance Analyst (Cost &amp; Performance)</t>
        </is>
      </c>
      <c r="D9173" t="inlineStr">
        <is>
          <t>Công Ty TNHH Onpoint</t>
        </is>
      </c>
      <c r="E9173" t="inlineStr">
        <is>
          <t>Thương lượng</t>
        </is>
      </c>
      <c r="F9173" t="inlineStr">
        <is>
          <t>Hồ Chí Minh</t>
        </is>
      </c>
      <c r="G9173" t="inlineStr">
        <is>
          <t>Nhân viên</t>
        </is>
      </c>
      <c r="H9173" t="inlineStr">
        <is>
          <t>10/03/2026</t>
        </is>
      </c>
      <c r="I9173" t="inlineStr">
        <is>
          <t>09/04/2026</t>
        </is>
      </c>
      <c r="J9173" t="inlineStr">
        <is>
          <t>17/03/2026</t>
        </is>
      </c>
      <c r="K9173" t="inlineStr">
        <is>
          <t>N/A</t>
        </is>
      </c>
      <c r="L9173" t="inlineStr">
        <is>
          <t>Logistics Financial Analysis, Cost Analysis, Unit Economics, Performance Analysis, Supply Chain Finance</t>
        </is>
      </c>
      <c r="M9173" t="inlineStr">
        <is>
          <t>Bonus, Healthcare Plan, Paid Leave, Laptop, Others</t>
        </is>
      </c>
      <c r="N9173" s="8">
        <f>HYPERLINK("https://www.vietnamworks.com/operations-finance-analyst-cost-performance-2020812-jv","Xem chi tiết")</f>
        <v/>
      </c>
    </row>
    <row r="9174">
      <c r="B9174" s="9" t="n">
        <v>9172</v>
      </c>
      <c r="C9174" s="10" t="inlineStr">
        <is>
          <t>CSR</t>
        </is>
      </c>
      <c r="D9174" s="10" t="inlineStr">
        <is>
          <t>MDC Precision Vietnam</t>
        </is>
      </c>
      <c r="E9174" s="10" t="inlineStr">
        <is>
          <t>Thương lượng</t>
        </is>
      </c>
      <c r="F9174" s="10" t="inlineStr">
        <is>
          <t>Đồng Nai, Hồ Chí Minh</t>
        </is>
      </c>
      <c r="G9174" s="10" t="inlineStr">
        <is>
          <t>Nhân viên</t>
        </is>
      </c>
      <c r="H9174" s="10" t="inlineStr">
        <is>
          <t>10/03/2026</t>
        </is>
      </c>
      <c r="I9174" s="10" t="inlineStr">
        <is>
          <t>09/04/2026</t>
        </is>
      </c>
      <c r="J9174" s="10" t="inlineStr">
        <is>
          <t>17/03/2026</t>
        </is>
      </c>
      <c r="K9174" s="10" t="inlineStr">
        <is>
          <t>N/A</t>
        </is>
      </c>
      <c r="L9174" s="10" t="inlineStr">
        <is>
          <t>Cost Analysis, Project Planning, Quotation Preparation, SolidWorks, Technical Support</t>
        </is>
      </c>
      <c r="M9174" s="10" t="inlineStr">
        <is>
          <t>Bonus, Paid Leave, Transportation, Others</t>
        </is>
      </c>
      <c r="N9174" s="11">
        <f>HYPERLINK("https://www.vietnamworks.com/csr-2020813-jv","Xem chi tiết")</f>
        <v/>
      </c>
      <c r="O9174" s="10" t="n"/>
    </row>
    <row r="9175">
      <c r="B9175" s="7" t="n">
        <v>9173</v>
      </c>
      <c r="C9175" t="inlineStr">
        <is>
          <t>Inbound Tour Operator (Điều Hành Tour Inbound)</t>
        </is>
      </c>
      <c r="D9175" t="inlineStr">
        <is>
          <t>CÔNG TY CỔ PHẦN LUXURY INB</t>
        </is>
      </c>
      <c r="E9175" t="inlineStr">
        <is>
          <t>Thương lượng</t>
        </is>
      </c>
      <c r="F9175" t="inlineStr">
        <is>
          <t>Hồ Chí Minh</t>
        </is>
      </c>
      <c r="G9175" t="inlineStr">
        <is>
          <t>Nhân viên</t>
        </is>
      </c>
      <c r="H9175" t="inlineStr">
        <is>
          <t>10/03/2026</t>
        </is>
      </c>
      <c r="I9175" t="inlineStr">
        <is>
          <t>09/04/2026</t>
        </is>
      </c>
      <c r="J9175" t="inlineStr">
        <is>
          <t>17/03/2026</t>
        </is>
      </c>
      <c r="K9175" t="inlineStr">
        <is>
          <t>N/A</t>
        </is>
      </c>
      <c r="L9175" t="inlineStr">
        <is>
          <t>Tourism Management, Supplier Negotiation, Task Coordination, Problem-solving, Communication Skills</t>
        </is>
      </c>
      <c r="M9175" t="inlineStr">
        <is>
          <t>Training, Others</t>
        </is>
      </c>
      <c r="N9175" s="8">
        <f>HYPERLINK("https://www.vietnamworks.com/inbound-tour-operator-djieu-hanh-tour-inbound-2020815-jv","Xem chi tiết")</f>
        <v/>
      </c>
    </row>
    <row r="9176">
      <c r="B9176" s="9" t="n">
        <v>9174</v>
      </c>
      <c r="C9176" s="10" t="inlineStr">
        <is>
          <t>Digital Marketing Excutive</t>
        </is>
      </c>
      <c r="D9176" s="10" t="inlineStr">
        <is>
          <t>Công Ty TNHH Phan Khang Home</t>
        </is>
      </c>
      <c r="E9176" s="10" t="inlineStr">
        <is>
          <t>15tr-30tr ₫/tháng</t>
        </is>
      </c>
      <c r="F9176" s="10" t="inlineStr">
        <is>
          <t>Hồ Chí Minh</t>
        </is>
      </c>
      <c r="G9176" s="10" t="inlineStr">
        <is>
          <t>Nhân viên</t>
        </is>
      </c>
      <c r="H9176" s="10" t="inlineStr">
        <is>
          <t>10/03/2026</t>
        </is>
      </c>
      <c r="I9176" s="10" t="inlineStr">
        <is>
          <t>09/04/2026</t>
        </is>
      </c>
      <c r="J9176" s="10" t="inlineStr">
        <is>
          <t>17/03/2026</t>
        </is>
      </c>
      <c r="K9176" s="10" t="inlineStr">
        <is>
          <t>N/A</t>
        </is>
      </c>
      <c r="L9176" s="10" t="inlineStr">
        <is>
          <t>Google Ads, Quản Lý Chiến Dịch Quảng Cáo, SEO Content, Tối Ưu Quảng Cáo, Marketing</t>
        </is>
      </c>
      <c r="M9176" s="10" t="inlineStr">
        <is>
          <t>Bonus, Healthcare Plan, Training, Laptop, Team Activities</t>
        </is>
      </c>
      <c r="N9176" s="11">
        <f>HYPERLINK("https://www.vietnamworks.com/digital-marketing-excutive-2020816-jv","Xem chi tiết")</f>
        <v/>
      </c>
      <c r="O9176" s="10" t="n"/>
    </row>
    <row r="9177">
      <c r="B9177" s="7" t="n">
        <v>9175</v>
      </c>
      <c r="C9177" t="inlineStr">
        <is>
          <t>Trưởng Nhóm Tuân Thủ</t>
        </is>
      </c>
      <c r="D9177" t="inlineStr">
        <is>
          <t>Công Ty Cổ Phần May Sài Gòn 3</t>
        </is>
      </c>
      <c r="E9177" t="inlineStr">
        <is>
          <t>20tr-25tr ₫/tháng</t>
        </is>
      </c>
      <c r="F9177" t="inlineStr">
        <is>
          <t>Hồ Chí Minh</t>
        </is>
      </c>
      <c r="G9177" t="inlineStr">
        <is>
          <t>Trưởng phòng</t>
        </is>
      </c>
      <c r="H9177" t="inlineStr">
        <is>
          <t>10/03/2026</t>
        </is>
      </c>
      <c r="I9177" t="inlineStr">
        <is>
          <t>09/04/2026</t>
        </is>
      </c>
      <c r="J9177" t="inlineStr">
        <is>
          <t>17/03/2026</t>
        </is>
      </c>
      <c r="K9177" t="inlineStr">
        <is>
          <t>N/A</t>
        </is>
      </c>
      <c r="L9177" t="inlineStr">
        <is>
          <t>Internal Audit, ISO Standards, An Toàn Lao Động, Quản Trị Tuân Thủ, Tuân Thủ An Toàn</t>
        </is>
      </c>
      <c r="M9177" t="inlineStr">
        <is>
          <t>Healthcare Plan, Team Activities, Others</t>
        </is>
      </c>
      <c r="N9177" s="8">
        <f>HYPERLINK("https://www.vietnamworks.com/truong-nhom-tuan-thu-2020814-jv","Xem chi tiết")</f>
        <v/>
      </c>
    </row>
    <row r="9178">
      <c r="B9178" s="9" t="n">
        <v>9176</v>
      </c>
      <c r="C9178" s="10" t="inlineStr">
        <is>
          <t>Customer Service Staff Logistics Department</t>
        </is>
      </c>
      <c r="D9178" s="10" t="inlineStr">
        <is>
          <t>Olympia Tools International INC</t>
        </is>
      </c>
      <c r="E9178" s="10" t="inlineStr">
        <is>
          <t>Thương lượng</t>
        </is>
      </c>
      <c r="F9178" s="10" t="inlineStr">
        <is>
          <t>Hồ Chí Minh</t>
        </is>
      </c>
      <c r="G9178" s="10" t="inlineStr">
        <is>
          <t>Mới Tốt Nghiệp</t>
        </is>
      </c>
      <c r="H9178" s="10" t="inlineStr">
        <is>
          <t>10/03/2026</t>
        </is>
      </c>
      <c r="I9178" s="10" t="inlineStr">
        <is>
          <t>09/04/2026</t>
        </is>
      </c>
      <c r="J9178" s="10" t="inlineStr">
        <is>
          <t>17/03/2026</t>
        </is>
      </c>
      <c r="K9178" s="10" t="inlineStr">
        <is>
          <t>N/A</t>
        </is>
      </c>
      <c r="L9178" s="10" t="inlineStr">
        <is>
          <t>Channel Account Management, Logistics Control, Data Entry, Microsoft Office, Customer Service</t>
        </is>
      </c>
      <c r="M9178" s="10" t="inlineStr">
        <is>
          <t>Bonus</t>
        </is>
      </c>
      <c r="N9178" s="11">
        <f>HYPERLINK("https://www.vietnamworks.com/customer-service-staff-logistics-department-2020837-jv","Xem chi tiết")</f>
        <v/>
      </c>
      <c r="O9178" s="10" t="n"/>
    </row>
    <row r="9179">
      <c r="B9179" s="7" t="n">
        <v>9177</v>
      </c>
      <c r="C9179" t="inlineStr">
        <is>
          <t>Tuyển Dụng Trình Dược Viên Cấp Cao</t>
        </is>
      </c>
      <c r="D9179" t="inlineStr">
        <is>
          <t>Gedeon Richter Plc</t>
        </is>
      </c>
      <c r="E9179" t="inlineStr">
        <is>
          <t>Thương lượng</t>
        </is>
      </c>
      <c r="F9179" t="inlineStr">
        <is>
          <t>Hà Nội</t>
        </is>
      </c>
      <c r="G9179" t="inlineStr">
        <is>
          <t>Nhân viên</t>
        </is>
      </c>
      <c r="H9179" t="inlineStr">
        <is>
          <t>10/03/2026</t>
        </is>
      </c>
      <c r="I9179" t="inlineStr">
        <is>
          <t>09/04/2026</t>
        </is>
      </c>
      <c r="J9179" t="inlineStr">
        <is>
          <t>17/03/2026</t>
        </is>
      </c>
      <c r="K9179" t="inlineStr">
        <is>
          <t>N/A</t>
        </is>
      </c>
      <c r="L9179" t="inlineStr">
        <is>
          <t>Pharmacy, Dược, Medical Affairs, Medical Representative, ETC</t>
        </is>
      </c>
      <c r="M9179" t="inlineStr">
        <is>
          <t>Others</t>
        </is>
      </c>
      <c r="N9179" s="8">
        <f>HYPERLINK("https://www.vietnamworks.com/tuyen-dung-trinh-duoc-vien-cap-cao-2020823-jv","Xem chi tiết")</f>
        <v/>
      </c>
    </row>
    <row r="9180">
      <c r="B9180" s="9" t="n">
        <v>9178</v>
      </c>
      <c r="C9180" s="10" t="inlineStr">
        <is>
          <t>Logistics Specialist (Export)</t>
        </is>
      </c>
      <c r="D9180" s="10" t="inlineStr">
        <is>
          <t>CÔNG TY TNHH HALLMARK GLOBAL ASIA</t>
        </is>
      </c>
      <c r="E9180" s="10" t="inlineStr">
        <is>
          <t>Thương lượng</t>
        </is>
      </c>
      <c r="F9180" s="10" t="inlineStr">
        <is>
          <t>Hồ Chí Minh</t>
        </is>
      </c>
      <c r="G9180" s="10" t="inlineStr">
        <is>
          <t>Nhân viên</t>
        </is>
      </c>
      <c r="H9180" s="10" t="inlineStr">
        <is>
          <t>10/03/2026</t>
        </is>
      </c>
      <c r="I9180" s="10" t="inlineStr">
        <is>
          <t>09/04/2026</t>
        </is>
      </c>
      <c r="J9180" s="10" t="inlineStr">
        <is>
          <t>17/03/2026</t>
        </is>
      </c>
      <c r="K9180" s="10" t="inlineStr">
        <is>
          <t>N/A</t>
        </is>
      </c>
      <c r="L9180" s="10" t="inlineStr">
        <is>
          <t>Export-Import Knowledge, Shipment Management, English Language Proficiency, International Logistics</t>
        </is>
      </c>
      <c r="M9180" s="10" t="inlineStr">
        <is>
          <t>Bonus, Healthcare Plan, Paid Leave</t>
        </is>
      </c>
      <c r="N9180" s="11">
        <f>HYPERLINK("https://www.vietnamworks.com/logistics-specialist-export-2020833-jv","Xem chi tiết")</f>
        <v/>
      </c>
      <c r="O9180" s="10" t="n"/>
    </row>
    <row r="9181">
      <c r="B9181" s="7" t="n">
        <v>9179</v>
      </c>
      <c r="C9181" t="inlineStr">
        <is>
          <t>Sourcing Specialist</t>
        </is>
      </c>
      <c r="D9181" t="inlineStr">
        <is>
          <t>CÔNG TY TNHH HALLMARK GLOBAL ASIA</t>
        </is>
      </c>
      <c r="E9181" t="inlineStr">
        <is>
          <t>Thương lượng</t>
        </is>
      </c>
      <c r="F9181" t="inlineStr">
        <is>
          <t>Hồ Chí Minh</t>
        </is>
      </c>
      <c r="G9181" t="inlineStr">
        <is>
          <t>Nhân viên</t>
        </is>
      </c>
      <c r="H9181" t="inlineStr">
        <is>
          <t>10/03/2026</t>
        </is>
      </c>
      <c r="I9181" t="inlineStr">
        <is>
          <t>09/04/2026</t>
        </is>
      </c>
      <c r="J9181" t="inlineStr">
        <is>
          <t>17/03/2026</t>
        </is>
      </c>
      <c r="K9181" t="inlineStr">
        <is>
          <t>N/A</t>
        </is>
      </c>
      <c r="L9181" t="inlineStr">
        <is>
          <t>Order Management, Negotiation Skills, Problem Solving, Merchandise Sourcing, MS Excel</t>
        </is>
      </c>
      <c r="M9181" t="inlineStr">
        <is>
          <t>Bonus, Healthcare Plan, Paid Leave</t>
        </is>
      </c>
      <c r="N9181" s="8">
        <f>HYPERLINK("https://www.vietnamworks.com/sourcing-specialist--2020829-jv","Xem chi tiết")</f>
        <v/>
      </c>
    </row>
    <row r="9182">
      <c r="B9182" s="9" t="n">
        <v>9180</v>
      </c>
      <c r="C9182" s="10" t="inlineStr">
        <is>
          <t>[TP Vũng Tàu] Chuyên Gia IT</t>
        </is>
      </c>
      <c r="D9182" s="10" t="inlineStr">
        <is>
          <t>CÔNG TY CỔ PHẦN PHÁT TRIỂN NHÀ BÀ RỊA - VŨNG TÀU</t>
        </is>
      </c>
      <c r="E9182" s="10" t="inlineStr">
        <is>
          <t>Tới 450tr ₫/năm</t>
        </is>
      </c>
      <c r="F9182" s="10" t="inlineStr">
        <is>
          <t>Bà Rịa - Vũng Tàu, Hồ Chí Minh</t>
        </is>
      </c>
      <c r="G9182" s="10" t="inlineStr">
        <is>
          <t>Nhân viên</t>
        </is>
      </c>
      <c r="H9182" s="10" t="inlineStr">
        <is>
          <t>10/03/2026</t>
        </is>
      </c>
      <c r="I9182" s="10" t="inlineStr">
        <is>
          <t>09/04/2026</t>
        </is>
      </c>
      <c r="J9182" s="10" t="inlineStr">
        <is>
          <t>17/03/2026</t>
        </is>
      </c>
      <c r="K9182" s="10" t="inlineStr">
        <is>
          <t>N/A</t>
        </is>
      </c>
      <c r="L9182" s="10" t="inlineStr">
        <is>
          <t>Bảo Mật Hệ Thống, Chuyển Đổi Số, Cisco CCNA, Phân Tích Nghiệp Vụ</t>
        </is>
      </c>
      <c r="M9182" s="10" t="inlineStr">
        <is>
          <t>Bonus, Healthcare Plan, Training, Others</t>
        </is>
      </c>
      <c r="N9182" s="11">
        <f>HYPERLINK("https://www.vietnamworks.com/tp-vung-tau-chuyen-gia-it-2020821-jv","Xem chi tiết")</f>
        <v/>
      </c>
      <c r="O9182" s="10" t="n"/>
    </row>
    <row r="9183">
      <c r="B9183" s="7" t="n">
        <v>9181</v>
      </c>
      <c r="C9183" t="inlineStr">
        <is>
          <t>Product Manager – Generics Product Group</t>
        </is>
      </c>
      <c r="D9183" t="inlineStr">
        <is>
          <t>Công Ty TNHH SK Quốc Tế</t>
        </is>
      </c>
      <c r="E9183" t="inlineStr">
        <is>
          <t>Thương lượng</t>
        </is>
      </c>
      <c r="F9183" t="inlineStr">
        <is>
          <t>Hồ Chí Minh</t>
        </is>
      </c>
      <c r="G9183" t="inlineStr">
        <is>
          <t>Nhân viên</t>
        </is>
      </c>
      <c r="H9183" t="inlineStr">
        <is>
          <t>10/03/2026</t>
        </is>
      </c>
      <c r="I9183" t="inlineStr">
        <is>
          <t>09/04/2026</t>
        </is>
      </c>
      <c r="J9183" t="inlineStr">
        <is>
          <t>17/03/2026</t>
        </is>
      </c>
      <c r="K9183" t="inlineStr">
        <is>
          <t>N/A</t>
        </is>
      </c>
      <c r="L9183" t="inlineStr">
        <is>
          <t>Product Management, Market Analysis, Pharmaceutical Research, Healthcare Marketing, Marketing Strategy</t>
        </is>
      </c>
      <c r="M9183" t="inlineStr">
        <is>
          <t>Bonus, Healthcare Plan, Travel Opportunities, Team Activities, Others</t>
        </is>
      </c>
      <c r="N9183" s="8">
        <f>HYPERLINK("https://www.vietnamworks.com/product-manager-generics-product-group-2020819-jv","Xem chi tiết")</f>
        <v/>
      </c>
    </row>
    <row r="9184">
      <c r="B9184" s="9" t="n">
        <v>9182</v>
      </c>
      <c r="C9184" s="10" t="inlineStr">
        <is>
          <t>Production Procurement Officer</t>
        </is>
      </c>
      <c r="D9184" s="10" t="inlineStr">
        <is>
          <t>Công Ty TNHH Chăn Nuôi Việt Nhật - Công Ty Thành Viên Của Vinamilk</t>
        </is>
      </c>
      <c r="E9184" s="10" t="inlineStr">
        <is>
          <t>Thương lượng</t>
        </is>
      </c>
      <c r="F9184" s="10" t="inlineStr">
        <is>
          <t>Vĩnh Phúc</t>
        </is>
      </c>
      <c r="G9184" s="10" t="inlineStr">
        <is>
          <t>Nhân viên</t>
        </is>
      </c>
      <c r="H9184" s="10" t="inlineStr">
        <is>
          <t>10/03/2026</t>
        </is>
      </c>
      <c r="I9184" s="10" t="inlineStr">
        <is>
          <t>09/04/2026</t>
        </is>
      </c>
      <c r="J9184" s="10" t="inlineStr">
        <is>
          <t>17/03/2026</t>
        </is>
      </c>
      <c r="K9184" s="10" t="inlineStr">
        <is>
          <t>N/A</t>
        </is>
      </c>
      <c r="L9184" s="10" t="inlineStr">
        <is>
          <t>Mua Hàng, Procurement, Procurement &amp; Inventory Control, Project Procurement Management, Purchasing operation</t>
        </is>
      </c>
      <c r="M9184" s="10" t="inlineStr">
        <is>
          <t>Healthcare Plan, Team Activities, Canteen</t>
        </is>
      </c>
      <c r="N9184" s="11">
        <f>HYPERLINK("https://www.vietnamworks.com/production-procurement-officer--2020828-jv","Xem chi tiết")</f>
        <v/>
      </c>
      <c r="O9184" s="10" t="n"/>
    </row>
    <row r="9185">
      <c r="B9185" s="7" t="n">
        <v>9183</v>
      </c>
      <c r="C9185" t="inlineStr">
        <is>
          <t>Area Sales Manager Kênh ETC</t>
        </is>
      </c>
      <c r="D9185" t="inlineStr">
        <is>
          <t>CÔNG TY CỔ PHẦN VIE HEALTHCARE</t>
        </is>
      </c>
      <c r="E9185" t="inlineStr">
        <is>
          <t>Thương lượng</t>
        </is>
      </c>
      <c r="F9185" t="inlineStr">
        <is>
          <t>Cần Thơ</t>
        </is>
      </c>
      <c r="G9185" t="inlineStr">
        <is>
          <t>Trưởng phòng</t>
        </is>
      </c>
      <c r="H9185" t="inlineStr">
        <is>
          <t>10/03/2026</t>
        </is>
      </c>
      <c r="I9185" t="inlineStr">
        <is>
          <t>09/04/2026</t>
        </is>
      </c>
      <c r="J9185" t="inlineStr">
        <is>
          <t>17/03/2026</t>
        </is>
      </c>
      <c r="K9185" t="inlineStr">
        <is>
          <t>N/A</t>
        </is>
      </c>
      <c r="L9185" t="inlineStr">
        <is>
          <t>Lập Kế Hoạch Kinh Doanh, Kinh Doanh, Dược Phẩm, Quản Lý, ETC</t>
        </is>
      </c>
      <c r="M9185" t="inlineStr">
        <is>
          <t>Bonus, Healthcare Plan, Training</t>
        </is>
      </c>
      <c r="N9185" s="8">
        <f>HYPERLINK("https://www.vietnamworks.com/area-sales-manager-kenh-etc--2020832-jv","Xem chi tiết")</f>
        <v/>
      </c>
    </row>
    <row r="9186">
      <c r="B9186" s="9" t="n">
        <v>9184</v>
      </c>
      <c r="C9186" s="10" t="inlineStr">
        <is>
          <t>Senior HR Officer</t>
        </is>
      </c>
      <c r="D9186" s="10" t="inlineStr">
        <is>
          <t>VSIP Cần Thơ</t>
        </is>
      </c>
      <c r="E9186" s="10" t="inlineStr">
        <is>
          <t>Thương lượng</t>
        </is>
      </c>
      <c r="F9186" s="10" t="inlineStr">
        <is>
          <t>Cần Thơ</t>
        </is>
      </c>
      <c r="G9186" s="10" t="inlineStr">
        <is>
          <t>Nhân viên</t>
        </is>
      </c>
      <c r="H9186" s="10" t="inlineStr">
        <is>
          <t>10/03/2026</t>
        </is>
      </c>
      <c r="I9186" s="10" t="inlineStr">
        <is>
          <t>09/04/2026</t>
        </is>
      </c>
      <c r="J9186" s="10" t="inlineStr">
        <is>
          <t>17/03/2026</t>
        </is>
      </c>
      <c r="K9186" s="10" t="inlineStr">
        <is>
          <t>N/A</t>
        </is>
      </c>
      <c r="L9186" s="10" t="inlineStr">
        <is>
          <t>Payroll Management, Insurance Claims, HR Operations</t>
        </is>
      </c>
      <c r="M9186" s="10" t="inlineStr">
        <is>
          <t>Bonus, Healthcare Plan, Training</t>
        </is>
      </c>
      <c r="N9186" s="11">
        <f>HYPERLINK("https://www.vietnamworks.com/senior-hr-officer-2020817-jv","Xem chi tiết")</f>
        <v/>
      </c>
      <c r="O9186" s="10" t="n"/>
    </row>
    <row r="9187">
      <c r="B9187" s="7" t="n">
        <v>9185</v>
      </c>
      <c r="C9187" t="inlineStr">
        <is>
          <t>General Accountant (Vietnam Based)</t>
        </is>
      </c>
      <c r="D9187" t="inlineStr">
        <is>
          <t>CÔNG TY TNHH HALLMARK GLOBAL ASIA</t>
        </is>
      </c>
      <c r="E9187" t="inlineStr">
        <is>
          <t>Thương lượng</t>
        </is>
      </c>
      <c r="F9187" t="inlineStr">
        <is>
          <t>Hồ Chí Minh</t>
        </is>
      </c>
      <c r="G9187" t="inlineStr">
        <is>
          <t>Nhân viên</t>
        </is>
      </c>
      <c r="H9187" t="inlineStr">
        <is>
          <t>10/03/2026</t>
        </is>
      </c>
      <c r="I9187" t="inlineStr">
        <is>
          <t>09/04/2026</t>
        </is>
      </c>
      <c r="J9187" t="inlineStr">
        <is>
          <t>17/03/2026</t>
        </is>
      </c>
      <c r="K9187" t="inlineStr">
        <is>
          <t>N/A</t>
        </is>
      </c>
      <c r="L9187" t="inlineStr">
        <is>
          <t>VAS, Account Reconciliation, Financial Analysis, Account Payable, Taxation</t>
        </is>
      </c>
      <c r="M9187" t="inlineStr">
        <is>
          <t>Bonus, Healthcare Plan, Paid Leave</t>
        </is>
      </c>
      <c r="N9187" s="8">
        <f>HYPERLINK("https://www.vietnamworks.com/general-accountant-vietnam-based-2020830-jv","Xem chi tiết")</f>
        <v/>
      </c>
    </row>
    <row r="9188">
      <c r="B9188" s="9" t="n">
        <v>9186</v>
      </c>
      <c r="C9188" s="10" t="inlineStr">
        <is>
          <t>Global Sales Operations Director</t>
        </is>
      </c>
      <c r="D9188" s="10" t="inlineStr">
        <is>
          <t>VINFAST TRADING AND PRODUCTION JSC</t>
        </is>
      </c>
      <c r="E9188" s="10" t="inlineStr">
        <is>
          <t>Thương lượng</t>
        </is>
      </c>
      <c r="F9188" s="10" t="inlineStr">
        <is>
          <t>Hà Nội</t>
        </is>
      </c>
      <c r="G9188" s="10" t="inlineStr">
        <is>
          <t>Giám Đốc và Cấp Cao Hơn</t>
        </is>
      </c>
      <c r="H9188" s="10" t="inlineStr">
        <is>
          <t>10/03/2026</t>
        </is>
      </c>
      <c r="I9188" s="10" t="inlineStr">
        <is>
          <t>09/04/2026</t>
        </is>
      </c>
      <c r="J9188" s="10" t="inlineStr">
        <is>
          <t>17/03/2026</t>
        </is>
      </c>
      <c r="K9188" s="10" t="inlineStr">
        <is>
          <t>N/A</t>
        </is>
      </c>
      <c r="L9188" s="10" t="inlineStr">
        <is>
          <t>Operation, logistic, Project Management</t>
        </is>
      </c>
      <c r="M9188" s="10" t="inlineStr">
        <is>
          <t>Bonus, Healthcare Plan, Others</t>
        </is>
      </c>
      <c r="N9188" s="11">
        <f>HYPERLINK("https://www.vietnamworks.com/global-sales-operations-director-2020820-jv","Xem chi tiết")</f>
        <v/>
      </c>
      <c r="O9188" s="10" t="n"/>
    </row>
    <row r="9189">
      <c r="B9189" s="7" t="n">
        <v>9187</v>
      </c>
      <c r="C9189" t="inlineStr">
        <is>
          <t>General Accountant (Nhân Viên Kế Toán Tổng Hợp)</t>
        </is>
      </c>
      <c r="D9189" t="inlineStr">
        <is>
          <t>CÔNG TY CỔ PHẦN LUXURY INB</t>
        </is>
      </c>
      <c r="E9189" t="inlineStr">
        <is>
          <t>Thương lượng</t>
        </is>
      </c>
      <c r="F9189" t="inlineStr">
        <is>
          <t>Hồ Chí Minh</t>
        </is>
      </c>
      <c r="G9189" t="inlineStr">
        <is>
          <t>Nhân viên</t>
        </is>
      </c>
      <c r="H9189" t="inlineStr">
        <is>
          <t>10/03/2026</t>
        </is>
      </c>
      <c r="I9189" t="inlineStr">
        <is>
          <t>09/04/2026</t>
        </is>
      </c>
      <c r="J9189" t="inlineStr">
        <is>
          <t>17/03/2026</t>
        </is>
      </c>
      <c r="K9189" t="inlineStr">
        <is>
          <t>N/A</t>
        </is>
      </c>
      <c r="L9189" t="inlineStr">
        <is>
          <t>Account Receivable, Accounting Standards, Financial Statement, Reconcile Invoice, Tax Declaration</t>
        </is>
      </c>
      <c r="M9189" t="inlineStr">
        <is>
          <t>Others</t>
        </is>
      </c>
      <c r="N9189" s="8">
        <f>HYPERLINK("https://www.vietnamworks.com/general-accountant-nhan-vien-ke-toan-tong-hop-2020818-jv","Xem chi tiết")</f>
        <v/>
      </c>
    </row>
    <row r="9190">
      <c r="B9190" s="9" t="n">
        <v>9188</v>
      </c>
      <c r="C9190" s="10" t="inlineStr">
        <is>
          <t>Production Engineer Staff</t>
        </is>
      </c>
      <c r="D9190" s="10" t="inlineStr">
        <is>
          <t>Công ty TNHH Specialty Coating Systems (Việt Nam)</t>
        </is>
      </c>
      <c r="E9190" s="10" t="inlineStr">
        <is>
          <t>Thương lượng</t>
        </is>
      </c>
      <c r="F9190" s="10" t="inlineStr">
        <is>
          <t>Bắc Ninh</t>
        </is>
      </c>
      <c r="G9190" s="10" t="inlineStr">
        <is>
          <t>Nhân viên</t>
        </is>
      </c>
      <c r="H9190" s="10" t="inlineStr">
        <is>
          <t>10/03/2026</t>
        </is>
      </c>
      <c r="I9190" s="10" t="inlineStr">
        <is>
          <t>09/04/2026</t>
        </is>
      </c>
      <c r="J9190" s="10" t="inlineStr">
        <is>
          <t>17/03/2026</t>
        </is>
      </c>
      <c r="K9190" s="10" t="inlineStr">
        <is>
          <t>N/A</t>
        </is>
      </c>
      <c r="L9190" s="10" t="inlineStr">
        <is>
          <t>AutoCAD, Electronic, Machine Operation, Production Planning, Solidwork</t>
        </is>
      </c>
      <c r="M9190" s="10" t="inlineStr">
        <is>
          <t>Bonus, Healthcare Plan, Travel Opportunities</t>
        </is>
      </c>
      <c r="N9190" s="11">
        <f>HYPERLINK("https://www.vietnamworks.com/production-engineer-staff-2020836-jv","Xem chi tiết")</f>
        <v/>
      </c>
      <c r="O9190" s="10" t="n"/>
    </row>
    <row r="9191">
      <c r="B9191" s="7" t="n">
        <v>9189</v>
      </c>
      <c r="C9191" t="inlineStr">
        <is>
          <t>Chuyên Viên Kinh Doanh Kênh MT</t>
        </is>
      </c>
      <c r="D9191" t="inlineStr">
        <is>
          <t>Công Ty TNHH Chăn Nuôi Việt Nhật - Công Ty Thành Viên Của Vinamilk</t>
        </is>
      </c>
      <c r="E9191" t="inlineStr">
        <is>
          <t>$$ 600-1,000 /tháng</t>
        </is>
      </c>
      <c r="F9191" t="inlineStr">
        <is>
          <t>Hồ Chí Minh, Hà Nội</t>
        </is>
      </c>
      <c r="G9191" t="inlineStr">
        <is>
          <t>Nhân viên</t>
        </is>
      </c>
      <c r="H9191" t="inlineStr">
        <is>
          <t>10/03/2026</t>
        </is>
      </c>
      <c r="I9191" t="inlineStr">
        <is>
          <t>09/04/2026</t>
        </is>
      </c>
      <c r="J9191" t="inlineStr">
        <is>
          <t>17/03/2026</t>
        </is>
      </c>
      <c r="K9191" t="inlineStr">
        <is>
          <t>N/A</t>
        </is>
      </c>
      <c r="L9191" t="inlineStr">
        <is>
          <t>FMCG, Giám Sát Bán Hàng, Quảng Bá Sản Phẩm, Bán Hàng Thực Phẩm</t>
        </is>
      </c>
      <c r="M9191" t="inlineStr">
        <is>
          <t>Bonus, Healthcare Plan, Travel Opportunities</t>
        </is>
      </c>
      <c r="N9191" s="8">
        <f>HYPERLINK("https://www.vietnamworks.com/chuyen-vien-kinh-doanh-kenh-mt--2020831-jv","Xem chi tiết")</f>
        <v/>
      </c>
    </row>
    <row r="9192">
      <c r="B9192" s="9" t="n">
        <v>9190</v>
      </c>
      <c r="C9192" s="10" t="inlineStr">
        <is>
          <t>Chuyên Gia/Chuyên Viên Cấp Cao Chính Sách Và Phát Triển Tổ Chức</t>
        </is>
      </c>
      <c r="D9192" s="10" t="inlineStr">
        <is>
          <t>BIM Group</t>
        </is>
      </c>
      <c r="E9192" s="10" t="inlineStr">
        <is>
          <t>Thương lượng</t>
        </is>
      </c>
      <c r="F9192" s="10" t="inlineStr">
        <is>
          <t>Hà Nội</t>
        </is>
      </c>
      <c r="G9192" s="10" t="inlineStr">
        <is>
          <t>Nhân viên</t>
        </is>
      </c>
      <c r="H9192" s="10" t="inlineStr">
        <is>
          <t>10/03/2026</t>
        </is>
      </c>
      <c r="I9192" s="10" t="inlineStr">
        <is>
          <t>09/04/2026</t>
        </is>
      </c>
      <c r="J9192" s="10" t="inlineStr">
        <is>
          <t>17/03/2026</t>
        </is>
      </c>
      <c r="K9192" s="10" t="inlineStr">
        <is>
          <t>N/A</t>
        </is>
      </c>
      <c r="L9192" s="10" t="inlineStr">
        <is>
          <t>Am Hiểu Pháp Luật, Biên Tập Văn Bản, Kế Toán Phân Tích, Kỹ năng giao tiếp, Tư Duy Logic</t>
        </is>
      </c>
      <c r="M9192" s="10" t="inlineStr">
        <is>
          <t>Bonus, Healthcare Plan, Paid Leave, Training, Laptop, Travel Opportunities, Others</t>
        </is>
      </c>
      <c r="N9192" s="11">
        <f>HYPERLINK("https://www.vietnamworks.com/chuyen-giachuyen-vien-cap-cao-chinh-sach-va-phat-trien-to-chuc-2020822-jv","Xem chi tiết")</f>
        <v/>
      </c>
      <c r="O9192" s="10" t="n"/>
    </row>
    <row r="9193">
      <c r="B9193" s="7" t="n">
        <v>9191</v>
      </c>
      <c r="C9193" t="inlineStr">
        <is>
          <t>Nhân Viên Kinh Doanh Tư Vấn Bán Hàng B2B</t>
        </is>
      </c>
      <c r="D9193" t="inlineStr">
        <is>
          <t>Công Ty TNHH Valona</t>
        </is>
      </c>
      <c r="E9193" t="inlineStr">
        <is>
          <t>$$ 570-950 /tháng</t>
        </is>
      </c>
      <c r="F9193" t="inlineStr">
        <is>
          <t>Hồ Chí Minh</t>
        </is>
      </c>
      <c r="G9193" t="inlineStr">
        <is>
          <t>Nhân viên</t>
        </is>
      </c>
      <c r="H9193" t="inlineStr">
        <is>
          <t>10/03/2026</t>
        </is>
      </c>
      <c r="I9193" t="inlineStr">
        <is>
          <t>09/04/2026</t>
        </is>
      </c>
      <c r="J9193" t="inlineStr">
        <is>
          <t>17/03/2026</t>
        </is>
      </c>
      <c r="K9193" t="inlineStr">
        <is>
          <t>N/A</t>
        </is>
      </c>
      <c r="L9193" t="inlineStr">
        <is>
          <t>Sale, B2B Sale, Kinh Doanh, Khách Hàng Doanh Nghiệp</t>
        </is>
      </c>
      <c r="M9193" t="inlineStr">
        <is>
          <t>Bonus, Travel Opportunities, Transportation</t>
        </is>
      </c>
      <c r="N9193" s="8">
        <f>HYPERLINK("https://www.vietnamworks.com/nhan-vien-kinh-doanh-tu-van-ban-hang-b2b-2020826-jv","Xem chi tiết")</f>
        <v/>
      </c>
    </row>
    <row r="9194">
      <c r="B9194" s="9" t="n">
        <v>9192</v>
      </c>
      <c r="C9194" s="10" t="inlineStr">
        <is>
          <t>Area Sales Manager Kênh ETC</t>
        </is>
      </c>
      <c r="D9194" s="10" t="inlineStr">
        <is>
          <t>CÔNG TY CỔ PHẦN VIE HEALTHCARE</t>
        </is>
      </c>
      <c r="E9194" s="10" t="inlineStr">
        <is>
          <t>Thương lượng</t>
        </is>
      </c>
      <c r="F9194" s="10" t="inlineStr">
        <is>
          <t>Hà Nội</t>
        </is>
      </c>
      <c r="G9194" s="10" t="inlineStr">
        <is>
          <t>Trưởng phòng</t>
        </is>
      </c>
      <c r="H9194" s="10" t="inlineStr">
        <is>
          <t>10/03/2026</t>
        </is>
      </c>
      <c r="I9194" s="10" t="inlineStr">
        <is>
          <t>09/04/2026</t>
        </is>
      </c>
      <c r="J9194" s="10" t="inlineStr">
        <is>
          <t>17/03/2026</t>
        </is>
      </c>
      <c r="K9194" s="10" t="inlineStr">
        <is>
          <t>N/A</t>
        </is>
      </c>
      <c r="L9194" s="10" t="inlineStr">
        <is>
          <t>Lập Kế Hoạch Kinh Doanh, Kinh Doanh, Dược Phẩm, Quản Lý, ETC</t>
        </is>
      </c>
      <c r="M9194" s="10" t="inlineStr">
        <is>
          <t>Bonus, Healthcare Plan, Training</t>
        </is>
      </c>
      <c r="N9194" s="11">
        <f>HYPERLINK("https://www.vietnamworks.com/area-sales-manager-kenh-etc--2020835-jv","Xem chi tiết")</f>
        <v/>
      </c>
      <c r="O9194" s="10" t="n"/>
    </row>
    <row r="9195">
      <c r="B9195" s="7" t="n">
        <v>9193</v>
      </c>
      <c r="C9195" t="inlineStr">
        <is>
          <t>Chuyên Viên Digital Marketing</t>
        </is>
      </c>
      <c r="D9195" t="inlineStr">
        <is>
          <t>CÔNG TY CỔ PHẦN TẬP ĐOÀN KIM OANH</t>
        </is>
      </c>
      <c r="E9195" t="inlineStr">
        <is>
          <t>Thương lượng</t>
        </is>
      </c>
      <c r="F9195" t="inlineStr">
        <is>
          <t>Hồ Chí Minh</t>
        </is>
      </c>
      <c r="G9195" t="inlineStr">
        <is>
          <t>Nhân viên</t>
        </is>
      </c>
      <c r="H9195" t="inlineStr">
        <is>
          <t>10/03/2026</t>
        </is>
      </c>
      <c r="I9195" t="inlineStr">
        <is>
          <t>09/04/2026</t>
        </is>
      </c>
      <c r="J9195" t="inlineStr">
        <is>
          <t>17/03/2026</t>
        </is>
      </c>
      <c r="K9195" t="inlineStr">
        <is>
          <t>N/A</t>
        </is>
      </c>
      <c r="L9195" t="inlineStr">
        <is>
          <t>Social Media Development, SEO, Online Marketing, Google Ads, Digital Marketing</t>
        </is>
      </c>
      <c r="M9195" t="inlineStr">
        <is>
          <t>Others</t>
        </is>
      </c>
      <c r="N9195" s="8">
        <f>HYPERLINK("https://www.vietnamworks.com/chuyen-vien-digital-marketing--2020834-jv","Xem chi tiết")</f>
        <v/>
      </c>
    </row>
    <row r="9196">
      <c r="B9196" s="9" t="n">
        <v>9194</v>
      </c>
      <c r="C9196" s="10" t="inlineStr">
        <is>
          <t>Project Manager</t>
        </is>
      </c>
      <c r="D9196" s="10" t="inlineStr">
        <is>
          <t>CÔNG TY TNHH KIẾN TRÚC LOGIC</t>
        </is>
      </c>
      <c r="E9196" s="10" t="inlineStr">
        <is>
          <t>15tr-18tr ₫/tháng</t>
        </is>
      </c>
      <c r="F9196" s="10" t="inlineStr">
        <is>
          <t>Hồ Chí Minh</t>
        </is>
      </c>
      <c r="G9196" s="10" t="inlineStr">
        <is>
          <t>Nhân viên</t>
        </is>
      </c>
      <c r="H9196" s="10" t="inlineStr">
        <is>
          <t>10/03/2026</t>
        </is>
      </c>
      <c r="I9196" s="10" t="inlineStr">
        <is>
          <t>09/04/2026</t>
        </is>
      </c>
      <c r="J9196" s="10" t="inlineStr">
        <is>
          <t>17/03/2026</t>
        </is>
      </c>
      <c r="K9196" s="10" t="inlineStr">
        <is>
          <t>N/A</t>
        </is>
      </c>
      <c r="L9196" s="10" t="inlineStr">
        <is>
          <t>Quản Lý Dự Án, Kỹ Thuật, AutoCAD, MS Project, Kiến Trúc Xây Dựng</t>
        </is>
      </c>
      <c r="M9196" s="10" t="inlineStr">
        <is>
          <t>Bonus, Healthcare Plan, Awards, Others</t>
        </is>
      </c>
      <c r="N9196" s="11">
        <f>HYPERLINK("https://www.vietnamworks.com/project-manager-2020841-jv","Xem chi tiết")</f>
        <v/>
      </c>
      <c r="O9196" s="10" t="n"/>
    </row>
    <row r="9197">
      <c r="B9197" s="7" t="n">
        <v>9195</v>
      </c>
      <c r="C9197" t="inlineStr">
        <is>
          <t>Pharmacist</t>
        </is>
      </c>
      <c r="D9197" t="inlineStr">
        <is>
          <t>Family Medical Practice</t>
        </is>
      </c>
      <c r="E9197" t="inlineStr">
        <is>
          <t>Thương lượng</t>
        </is>
      </c>
      <c r="F9197" t="inlineStr">
        <is>
          <t>Hồ Chí Minh</t>
        </is>
      </c>
      <c r="G9197" t="inlineStr">
        <is>
          <t>Nhân viên</t>
        </is>
      </c>
      <c r="H9197" t="inlineStr">
        <is>
          <t>10/03/2026</t>
        </is>
      </c>
      <c r="I9197" t="inlineStr">
        <is>
          <t>09/04/2026</t>
        </is>
      </c>
      <c r="J9197" t="inlineStr">
        <is>
          <t>17/03/2026</t>
        </is>
      </c>
      <c r="K9197" t="inlineStr">
        <is>
          <t>N/A</t>
        </is>
      </c>
      <c r="L9197" t="inlineStr">
        <is>
          <t>Pharmaceutical Research, English Language Proficiency, Dược, Pharmaceutical Knowledge, Pharmacy</t>
        </is>
      </c>
      <c r="M9197" t="inlineStr">
        <is>
          <t>Bonus, Paid Leave, Awards</t>
        </is>
      </c>
      <c r="N9197" s="8">
        <f>HYPERLINK("https://www.vietnamworks.com/pharmacist-2020840-jv","Xem chi tiết")</f>
        <v/>
      </c>
    </row>
    <row r="9198">
      <c r="B9198" s="9" t="n">
        <v>9196</v>
      </c>
      <c r="C9198" s="10" t="inlineStr">
        <is>
          <t>Lễ Tân Xưởng Dịch Vụ</t>
        </is>
      </c>
      <c r="D9198" s="10" t="inlineStr">
        <is>
          <t>Pon Phu Thai Mobility Group</t>
        </is>
      </c>
      <c r="E9198" s="10" t="inlineStr">
        <is>
          <t>Thương lượng</t>
        </is>
      </c>
      <c r="F9198" s="10" t="inlineStr">
        <is>
          <t>Hồ Chí Minh</t>
        </is>
      </c>
      <c r="G9198" s="10" t="inlineStr">
        <is>
          <t>Nhân viên</t>
        </is>
      </c>
      <c r="H9198" s="10" t="inlineStr">
        <is>
          <t>10/03/2026</t>
        </is>
      </c>
      <c r="I9198" s="10" t="inlineStr">
        <is>
          <t>09/04/2026</t>
        </is>
      </c>
      <c r="J9198" s="10" t="inlineStr">
        <is>
          <t>17/03/2026</t>
        </is>
      </c>
      <c r="K9198" s="10" t="inlineStr">
        <is>
          <t>N/A</t>
        </is>
      </c>
      <c r="L9198" s="10" t="inlineStr">
        <is>
          <t>Dịch Vụ Khách Hàng, Giao Tiếp, Kinh Nghiệm Lễ Tân, Thái Độ Thân Thiện, Tin Học Văn Phòng</t>
        </is>
      </c>
      <c r="M9198" s="10" t="inlineStr">
        <is>
          <t>Healthcare Plan, Team Activities, Others</t>
        </is>
      </c>
      <c r="N9198" s="11">
        <f>HYPERLINK("https://www.vietnamworks.com/le-tan-xuong-dich-vu-2020855-jv","Xem chi tiết")</f>
        <v/>
      </c>
      <c r="O9198" s="10" t="n"/>
    </row>
    <row r="9199">
      <c r="B9199" s="7" t="n">
        <v>9197</v>
      </c>
      <c r="C9199" t="inlineStr">
        <is>
          <t>Policy Services Manager/Trưởng Phòng Quản Lý Hợp Đồng</t>
        </is>
      </c>
      <c r="D9199" t="inlineStr">
        <is>
          <t>Hanwha Life Vietnam</t>
        </is>
      </c>
      <c r="E9199" t="inlineStr">
        <is>
          <t>Thương lượng</t>
        </is>
      </c>
      <c r="F9199" t="inlineStr">
        <is>
          <t>Hồ Chí Minh</t>
        </is>
      </c>
      <c r="G9199" t="inlineStr">
        <is>
          <t>Trưởng phòng</t>
        </is>
      </c>
      <c r="H9199" t="inlineStr">
        <is>
          <t>10/03/2026</t>
        </is>
      </c>
      <c r="I9199" t="inlineStr">
        <is>
          <t>09/04/2026</t>
        </is>
      </c>
      <c r="J9199" t="inlineStr">
        <is>
          <t>17/03/2026</t>
        </is>
      </c>
      <c r="K9199" t="inlineStr">
        <is>
          <t>N/A</t>
        </is>
      </c>
      <c r="L9199" t="inlineStr">
        <is>
          <t>Operational Procedures, Project Management, Risk Management, Service Mindset, Team Management</t>
        </is>
      </c>
      <c r="M9199" t="inlineStr">
        <is>
          <t>Bonus, Healthcare Plan, Paid Leave, Others</t>
        </is>
      </c>
      <c r="N9199" s="8">
        <f>HYPERLINK("https://www.vietnamworks.com/policy-services-managertruong-phong-quan-ly-hop-djong-2020847-jv","Xem chi tiết")</f>
        <v/>
      </c>
    </row>
    <row r="9200">
      <c r="B9200" s="9" t="n">
        <v>9198</v>
      </c>
      <c r="C9200" s="10" t="inlineStr">
        <is>
          <t>Chuyên Viên Marketing</t>
        </is>
      </c>
      <c r="D9200" s="10" t="inlineStr">
        <is>
          <t>Tổng Công Ty Đầu Tư FECON</t>
        </is>
      </c>
      <c r="E9200" s="10" t="inlineStr">
        <is>
          <t>Thương lượng</t>
        </is>
      </c>
      <c r="F9200" s="10" t="inlineStr">
        <is>
          <t>Hà Nội</t>
        </is>
      </c>
      <c r="G9200" s="10" t="inlineStr">
        <is>
          <t>Nhân viên</t>
        </is>
      </c>
      <c r="H9200" s="10" t="inlineStr">
        <is>
          <t>10/03/2026</t>
        </is>
      </c>
      <c r="I9200" s="10" t="inlineStr">
        <is>
          <t>09/04/2026</t>
        </is>
      </c>
      <c r="J9200" s="10" t="inlineStr">
        <is>
          <t>17/03/2026</t>
        </is>
      </c>
      <c r="K9200" s="10" t="inlineStr">
        <is>
          <t>N/A</t>
        </is>
      </c>
      <c r="L9200" s="10" t="inlineStr">
        <is>
          <t>Bất Động Sản, Marketing, Quản Lý Nội Dung, Tiếng Anh, Truyền Thông</t>
        </is>
      </c>
      <c r="M9200" s="10" t="inlineStr">
        <is>
          <t>Bonus, Healthcare Plan, Training</t>
        </is>
      </c>
      <c r="N9200" s="11">
        <f>HYPERLINK("https://www.vietnamworks.com/chuyen-vien-marketing-2020838-jv","Xem chi tiết")</f>
        <v/>
      </c>
      <c r="O9200" s="10" t="n"/>
    </row>
    <row r="9201">
      <c r="B9201" s="7" t="n">
        <v>9199</v>
      </c>
      <c r="C9201" t="inlineStr">
        <is>
          <t>Production Administration Officer</t>
        </is>
      </c>
      <c r="D9201" t="inlineStr">
        <is>
          <t>Công Ty TNHH Chăn Nuôi Việt Nhật - Công Ty Thành Viên Của Vinamilk</t>
        </is>
      </c>
      <c r="E9201" t="inlineStr">
        <is>
          <t>$$ 600-700 /tháng</t>
        </is>
      </c>
      <c r="F9201" t="inlineStr">
        <is>
          <t>Vĩnh Phúc</t>
        </is>
      </c>
      <c r="G9201" t="inlineStr">
        <is>
          <t>Nhân viên</t>
        </is>
      </c>
      <c r="H9201" t="inlineStr">
        <is>
          <t>10/03/2026</t>
        </is>
      </c>
      <c r="I9201" t="inlineStr">
        <is>
          <t>09/04/2026</t>
        </is>
      </c>
      <c r="J9201" t="inlineStr">
        <is>
          <t>17/03/2026</t>
        </is>
      </c>
      <c r="K9201" t="inlineStr">
        <is>
          <t>N/A</t>
        </is>
      </c>
      <c r="L9201" t="inlineStr">
        <is>
          <t>HR &amp; Admin, Administrator, Hành Chính Tuyển Dụng, Hành Chính Sản Xuất, Admin tasks management</t>
        </is>
      </c>
      <c r="M9201" t="inlineStr">
        <is>
          <t>Bonus, Healthcare Plan, Others</t>
        </is>
      </c>
      <c r="N9201" s="8">
        <f>HYPERLINK("https://www.vietnamworks.com/production-administration-officer--2020839-jv","Xem chi tiết")</f>
        <v/>
      </c>
    </row>
    <row r="9202">
      <c r="B9202" s="9" t="n">
        <v>9200</v>
      </c>
      <c r="C9202" s="10" t="inlineStr">
        <is>
          <t>Bác sĩ thẩm mỹ (Da liễu - Tạo hình TM)</t>
        </is>
      </c>
      <c r="D9202" s="10" t="inlineStr">
        <is>
          <t>CÔNG TY TNHH THẨM MỸ LINH ANH SAIGON</t>
        </is>
      </c>
      <c r="E9202" s="10" t="inlineStr">
        <is>
          <t>80tr-300tr ₫/tháng</t>
        </is>
      </c>
      <c r="F9202" s="10" t="inlineStr">
        <is>
          <t>Đồng Nai, Hồ Chí Minh, Bình Dương</t>
        </is>
      </c>
      <c r="G9202" s="10" t="inlineStr">
        <is>
          <t>Nhân viên</t>
        </is>
      </c>
      <c r="H9202" s="10" t="inlineStr">
        <is>
          <t>10/03/2026</t>
        </is>
      </c>
      <c r="I9202" s="10" t="inlineStr">
        <is>
          <t>09/04/2026</t>
        </is>
      </c>
      <c r="J9202" s="10" t="inlineStr">
        <is>
          <t>17/03/2026</t>
        </is>
      </c>
      <c r="K9202" s="10" t="inlineStr">
        <is>
          <t>N/A</t>
        </is>
      </c>
      <c r="L9202" s="10" t="inlineStr">
        <is>
          <t>Customer Service Oriented</t>
        </is>
      </c>
      <c r="M9202" s="10" t="inlineStr">
        <is>
          <t>Bonus, Healthcare Plan, Training</t>
        </is>
      </c>
      <c r="N9202" s="11">
        <f>HYPERLINK("https://www.vietnamworks.com/bac-si-tham-my-da-lieu-tao-hinh-tm-2020849-jv","Xem chi tiết")</f>
        <v/>
      </c>
      <c r="O9202" s="10" t="n"/>
    </row>
    <row r="9203">
      <c r="B9203" s="7" t="n">
        <v>9201</v>
      </c>
      <c r="C9203" t="inlineStr">
        <is>
          <t>Senior Executive Merchandiser</t>
        </is>
      </c>
      <c r="D9203" t="inlineStr">
        <is>
          <t>Prym Intimates VIetnam</t>
        </is>
      </c>
      <c r="E9203" t="inlineStr">
        <is>
          <t>Thương lượng</t>
        </is>
      </c>
      <c r="F9203" t="inlineStr">
        <is>
          <t>Hưng Yên</t>
        </is>
      </c>
      <c r="G9203" t="inlineStr">
        <is>
          <t>Nhân viên</t>
        </is>
      </c>
      <c r="H9203" t="inlineStr">
        <is>
          <t>10/03/2026</t>
        </is>
      </c>
      <c r="I9203" t="inlineStr">
        <is>
          <t>09/04/2026</t>
        </is>
      </c>
      <c r="J9203" t="inlineStr">
        <is>
          <t>17/03/2026</t>
        </is>
      </c>
      <c r="K9203" t="inlineStr">
        <is>
          <t>N/A</t>
        </is>
      </c>
      <c r="L9203" t="inlineStr">
        <is>
          <t>Supply Chain Management, Operations Management, Project Management, Analytical Skills, Communication Skills</t>
        </is>
      </c>
      <c r="M9203" t="inlineStr">
        <is>
          <t>Bonus, Healthcare Plan, Training, Transportation</t>
        </is>
      </c>
      <c r="N9203" s="8">
        <f>HYPERLINK("https://www.vietnamworks.com/senior-executive-merchandiser-2020851-jv","Xem chi tiết")</f>
        <v/>
      </c>
    </row>
    <row r="9204">
      <c r="B9204" s="9" t="n">
        <v>9202</v>
      </c>
      <c r="C9204" s="10" t="inlineStr">
        <is>
          <t>Nhân Viên Kinh Doanh – Lương Từ 12 Triệu, Thu Nhập Tới 40 Triệu/tháng</t>
        </is>
      </c>
      <c r="D9204" s="10" t="inlineStr">
        <is>
          <t>Công Ty TNHH Rich Media</t>
        </is>
      </c>
      <c r="E9204" s="10" t="inlineStr">
        <is>
          <t>12tr-40tr ₫/tháng</t>
        </is>
      </c>
      <c r="F9204" s="10" t="inlineStr">
        <is>
          <t>Hà Nội</t>
        </is>
      </c>
      <c r="G9204" s="10" t="inlineStr">
        <is>
          <t>Nhân viên</t>
        </is>
      </c>
      <c r="H9204" s="10" t="inlineStr">
        <is>
          <t>10/03/2026</t>
        </is>
      </c>
      <c r="I9204" s="10" t="inlineStr">
        <is>
          <t>09/04/2026</t>
        </is>
      </c>
      <c r="J9204" s="10" t="inlineStr">
        <is>
          <t>17/03/2026</t>
        </is>
      </c>
      <c r="K9204" s="10" t="inlineStr">
        <is>
          <t>N/A</t>
        </is>
      </c>
      <c r="L9204" s="10" t="inlineStr">
        <is>
          <t>Tìm Kiếm Khách Hàng, Phát Triển Khách Hàng, Advertising Sales, Business Development, B2B Sales</t>
        </is>
      </c>
      <c r="M9204" s="10" t="inlineStr">
        <is>
          <t>Bonus, Paid Leave, Travel Opportunities</t>
        </is>
      </c>
      <c r="N9204" s="11">
        <f>HYPERLINK("https://www.vietnamworks.com/nhan-vien-kinh-doanh-luong-tu-12-trieu-thu-nhap-toi-40-trieu-thang--2020844-jv","Xem chi tiết")</f>
        <v/>
      </c>
      <c r="O9204" s="10" t="n"/>
    </row>
    <row r="9205">
      <c r="B9205" s="7" t="n">
        <v>9203</v>
      </c>
      <c r="C9205" t="inlineStr">
        <is>
          <t>Market Research Manager</t>
        </is>
      </c>
      <c r="D9205" t="inlineStr">
        <is>
          <t>VINFAST TRADING AND PRODUCTION JSC</t>
        </is>
      </c>
      <c r="E9205" t="inlineStr">
        <is>
          <t>Thương lượng</t>
        </is>
      </c>
      <c r="F9205" t="inlineStr">
        <is>
          <t>Hà Nội</t>
        </is>
      </c>
      <c r="G9205" t="inlineStr">
        <is>
          <t>Trưởng phòng</t>
        </is>
      </c>
      <c r="H9205" t="inlineStr">
        <is>
          <t>10/03/2026</t>
        </is>
      </c>
      <c r="I9205" t="inlineStr">
        <is>
          <t>09/04/2026</t>
        </is>
      </c>
      <c r="J9205" t="inlineStr">
        <is>
          <t>17/03/2026</t>
        </is>
      </c>
      <c r="K9205" t="inlineStr">
        <is>
          <t>N/A</t>
        </is>
      </c>
      <c r="L9205" t="inlineStr">
        <is>
          <t>Market Research, Test Analyst</t>
        </is>
      </c>
      <c r="M9205" t="inlineStr">
        <is>
          <t>Bonus, Healthcare Plan, Others</t>
        </is>
      </c>
      <c r="N9205" s="8">
        <f>HYPERLINK("https://www.vietnamworks.com/market-research-manager-28-2020842-jv","Xem chi tiết")</f>
        <v/>
      </c>
    </row>
    <row r="9206">
      <c r="B9206" s="9" t="n">
        <v>9204</v>
      </c>
      <c r="C9206" s="10" t="inlineStr">
        <is>
          <t>Kế Toán Tổng Hợp</t>
        </is>
      </c>
      <c r="D9206" s="10" t="inlineStr">
        <is>
          <t>Ô Tô Nam Sài Gòn (trực Thuộc Sài Gòn Ô Tô)</t>
        </is>
      </c>
      <c r="E9206" s="10" t="inlineStr">
        <is>
          <t>Thương lượng</t>
        </is>
      </c>
      <c r="F9206" s="10" t="inlineStr">
        <is>
          <t>Hồ Chí Minh</t>
        </is>
      </c>
      <c r="G9206" s="10" t="inlineStr">
        <is>
          <t>Nhân viên</t>
        </is>
      </c>
      <c r="H9206" s="10" t="inlineStr">
        <is>
          <t>10/03/2026</t>
        </is>
      </c>
      <c r="I9206" s="10" t="inlineStr">
        <is>
          <t>09/04/2026</t>
        </is>
      </c>
      <c r="J9206" s="10" t="inlineStr">
        <is>
          <t>17/03/2026</t>
        </is>
      </c>
      <c r="K9206" s="10" t="inlineStr">
        <is>
          <t>N/A</t>
        </is>
      </c>
      <c r="L9206" s="10" t="inlineStr">
        <is>
          <t>Tài Chính, Kiểm Toán, Kế Toán Tổng Hợp, Kế Toán, Báo Cáo Tài Chính</t>
        </is>
      </c>
      <c r="M9206" s="10" t="inlineStr">
        <is>
          <t>Bonus, Healthcare Plan, Training</t>
        </is>
      </c>
      <c r="N9206" s="11">
        <f>HYPERLINK("https://www.vietnamworks.com/ke-toan-tong-hop--2020858-jv","Xem chi tiết")</f>
        <v/>
      </c>
      <c r="O9206" s="10" t="n"/>
    </row>
    <row r="9207">
      <c r="B9207" s="7" t="n">
        <v>9205</v>
      </c>
      <c r="C9207" t="inlineStr">
        <is>
          <t>C&amp;B Staff</t>
        </is>
      </c>
      <c r="D9207" t="inlineStr">
        <is>
          <t>Chi nhánh Hưng Yên - Công ty Cổ phần Daikin Air Conditioning (Vietnam)</t>
        </is>
      </c>
      <c r="E9207" t="inlineStr">
        <is>
          <t>Thương lượng</t>
        </is>
      </c>
      <c r="F9207" t="inlineStr">
        <is>
          <t>Hải Dương, Hà Nội, Hưng Yên</t>
        </is>
      </c>
      <c r="G9207" t="inlineStr">
        <is>
          <t>Nhân viên</t>
        </is>
      </c>
      <c r="H9207" t="inlineStr">
        <is>
          <t>10/03/2026</t>
        </is>
      </c>
      <c r="I9207" t="inlineStr">
        <is>
          <t>09/04/2026</t>
        </is>
      </c>
      <c r="J9207" t="inlineStr">
        <is>
          <t>17/03/2026</t>
        </is>
      </c>
      <c r="K9207" t="inlineStr">
        <is>
          <t>N/A</t>
        </is>
      </c>
      <c r="L9207" t="inlineStr">
        <is>
          <t>C&amp;B, Chấm Công, HR, Nhân Sự, Tiếng Anh</t>
        </is>
      </c>
      <c r="M9207" t="inlineStr">
        <is>
          <t>Bonus, Healthcare Plan, Paid Leave, Training, Team Activities, Transportation, Others</t>
        </is>
      </c>
      <c r="N9207" s="8">
        <f>HYPERLINK("https://www.vietnamworks.com/candb-staff-2020854-jv","Xem chi tiết")</f>
        <v/>
      </c>
    </row>
    <row r="9208">
      <c r="B9208" s="9" t="n">
        <v>9206</v>
      </c>
      <c r="C9208" s="10" t="inlineStr">
        <is>
          <t>Nhân Viên Mua Hàng</t>
        </is>
      </c>
      <c r="D9208" s="10" t="inlineStr">
        <is>
          <t>Công Ty TNHH HHG Holdings</t>
        </is>
      </c>
      <c r="E9208" s="10" t="inlineStr">
        <is>
          <t>13tr-16tr ₫/tháng</t>
        </is>
      </c>
      <c r="F9208" s="10" t="inlineStr">
        <is>
          <t>Hà Nội</t>
        </is>
      </c>
      <c r="G9208" s="10" t="inlineStr">
        <is>
          <t>Nhân viên</t>
        </is>
      </c>
      <c r="H9208" s="10" t="inlineStr">
        <is>
          <t>10/03/2026</t>
        </is>
      </c>
      <c r="I9208" s="10" t="inlineStr">
        <is>
          <t>09/04/2026</t>
        </is>
      </c>
      <c r="J9208" s="10" t="inlineStr">
        <is>
          <t>17/03/2026</t>
        </is>
      </c>
      <c r="K9208" s="10" t="inlineStr">
        <is>
          <t>N/A</t>
        </is>
      </c>
      <c r="L9208" s="10" t="inlineStr">
        <is>
          <t>Quản Lý Nhà Cung Cấp, Xuất Nhập Khẩu, Chứng Từ Nhập Khẩu, Lập Kế Hoạch Mua Hàng, Thủ Tục Hải Quan</t>
        </is>
      </c>
      <c r="M9208" s="10" t="inlineStr">
        <is>
          <t>Bonus, Healthcare Plan, Paid Leave, Training, Travel Opportunities, Team Activities, Others</t>
        </is>
      </c>
      <c r="N9208" s="11">
        <f>HYPERLINK("https://www.vietnamworks.com/nhan-vien-mua-hang-2020846-jv","Xem chi tiết")</f>
        <v/>
      </c>
      <c r="O9208" s="10" t="n"/>
    </row>
    <row r="9209">
      <c r="B9209" s="7" t="n">
        <v>9207</v>
      </c>
      <c r="C9209" t="inlineStr">
        <is>
          <t>Card Operation Control &amp; Support Expert/ Chuyên Gia Kiểm Soát &amp; Hỗ Trợ Vận Hành Thẻ</t>
        </is>
      </c>
      <c r="D9209" t="inlineStr">
        <is>
          <t>FE CREDIT</t>
        </is>
      </c>
      <c r="E9209" t="inlineStr">
        <is>
          <t>Thương lượng</t>
        </is>
      </c>
      <c r="F9209" t="inlineStr">
        <is>
          <t>Hồ Chí Minh</t>
        </is>
      </c>
      <c r="G9209" t="inlineStr">
        <is>
          <t>Nhân viên</t>
        </is>
      </c>
      <c r="H9209" t="inlineStr">
        <is>
          <t>10/03/2026</t>
        </is>
      </c>
      <c r="I9209" t="inlineStr">
        <is>
          <t>09/04/2026</t>
        </is>
      </c>
      <c r="J9209" t="inlineStr">
        <is>
          <t>17/03/2026</t>
        </is>
      </c>
      <c r="K9209" t="inlineStr">
        <is>
          <t>N/A</t>
        </is>
      </c>
      <c r="L9209" t="inlineStr">
        <is>
          <t>Banking, Tài Chính, Card System, Kiểm Soát Rủi Ro, Thẻ Tín Dụng</t>
        </is>
      </c>
      <c r="M9209" t="inlineStr">
        <is>
          <t>Bonus</t>
        </is>
      </c>
      <c r="N9209" s="8">
        <f>HYPERLINK("https://www.vietnamworks.com/card-operation-control-and-support-expert-chuyen-gia-kiem-soat-and-ho-tro-van-hanh-the-2020843-jv","Xem chi tiết")</f>
        <v/>
      </c>
    </row>
    <row r="9210">
      <c r="B9210" s="9" t="n">
        <v>9208</v>
      </c>
      <c r="C9210" s="10" t="inlineStr">
        <is>
          <t>Global Network Expansion &amp; After-Sales Operations Manager</t>
        </is>
      </c>
      <c r="D9210" s="10" t="inlineStr">
        <is>
          <t>VINFAST TRADING AND PRODUCTION JSC</t>
        </is>
      </c>
      <c r="E9210" s="10" t="inlineStr">
        <is>
          <t>Thương lượng</t>
        </is>
      </c>
      <c r="F9210" s="10" t="inlineStr">
        <is>
          <t>Hà Nội</t>
        </is>
      </c>
      <c r="G9210" s="10" t="inlineStr">
        <is>
          <t>Trưởng phòng</t>
        </is>
      </c>
      <c r="H9210" s="10" t="inlineStr">
        <is>
          <t>10/03/2026</t>
        </is>
      </c>
      <c r="I9210" s="10" t="inlineStr">
        <is>
          <t>09/04/2026</t>
        </is>
      </c>
      <c r="J9210" s="10" t="inlineStr">
        <is>
          <t>17/03/2026</t>
        </is>
      </c>
      <c r="K9210" s="10" t="inlineStr">
        <is>
          <t>N/A</t>
        </is>
      </c>
      <c r="L9210" s="10" t="inlineStr">
        <is>
          <t>Automotive, After Sales Service Management, Dealer Management, Electric vehicle knowledge, Service Network Development</t>
        </is>
      </c>
      <c r="M9210" s="10" t="inlineStr">
        <is>
          <t>Bonus, Healthcare Plan, Others</t>
        </is>
      </c>
      <c r="N9210" s="11">
        <f>HYPERLINK("https://www.vietnamworks.com/global-network-expansion-after-sales-operations-manager--2020848-jv","Xem chi tiết")</f>
        <v/>
      </c>
      <c r="O9210" s="10" t="n"/>
    </row>
    <row r="9211">
      <c r="B9211" s="7" t="n">
        <v>9209</v>
      </c>
      <c r="C9211" t="inlineStr">
        <is>
          <t>Finance Clerk– Full Time (Lương Upto 13 Triệu)</t>
        </is>
      </c>
      <c r="D9211" t="inlineStr">
        <is>
          <t>CK SOLUTIONS</t>
        </is>
      </c>
      <c r="E9211" t="inlineStr">
        <is>
          <t>10tr-13tr ₫/tháng</t>
        </is>
      </c>
      <c r="F9211" t="inlineStr">
        <is>
          <t>Hà Nội</t>
        </is>
      </c>
      <c r="G9211" t="inlineStr">
        <is>
          <t>Nhân viên</t>
        </is>
      </c>
      <c r="H9211" t="inlineStr">
        <is>
          <t>10/03/2026</t>
        </is>
      </c>
      <c r="I9211" t="inlineStr">
        <is>
          <t>09/04/2026</t>
        </is>
      </c>
      <c r="J9211" t="inlineStr">
        <is>
          <t>17/03/2026</t>
        </is>
      </c>
      <c r="K9211" t="inlineStr">
        <is>
          <t>N/A</t>
        </is>
      </c>
      <c r="L9211" t="inlineStr">
        <is>
          <t>Financial Skills, Data Entry, English Fluency, Kế Toán Nhập Liệu, Detailed Attention</t>
        </is>
      </c>
      <c r="M9211" t="inlineStr">
        <is>
          <t>Bonus, Awards, Others</t>
        </is>
      </c>
      <c r="N9211" s="8">
        <f>HYPERLINK("https://www.vietnamworks.com/finance-clerk-full-time-luong-upto-13-trieu--2020852-jv","Xem chi tiết")</f>
        <v/>
      </c>
    </row>
    <row r="9212">
      <c r="B9212" s="9" t="n">
        <v>9210</v>
      </c>
      <c r="C9212" s="10" t="inlineStr">
        <is>
          <t>[Hn/hcm/đn] Chuyên Viên Kinh Doanh B2B/ Sales Engineer (Thu Nhập Upto 30M- Không Giới Hạn)</t>
        </is>
      </c>
      <c r="D9212" s="10" t="inlineStr">
        <is>
          <t>Công Ty Cổ Phần Thiết Bị Và Giải Pháp Cơ Khí AUTOMECH</t>
        </is>
      </c>
      <c r="E9212" s="10" t="inlineStr">
        <is>
          <t>Từ 15tr ₫/tháng</t>
        </is>
      </c>
      <c r="F9212" s="10" t="inlineStr">
        <is>
          <t>Hà Nội, Đà Nẵng, Hồ Chí Minh</t>
        </is>
      </c>
      <c r="G9212" s="10" t="inlineStr">
        <is>
          <t>Nhân viên</t>
        </is>
      </c>
      <c r="H9212" s="10" t="inlineStr">
        <is>
          <t>10/03/2026</t>
        </is>
      </c>
      <c r="I9212" s="10" t="inlineStr">
        <is>
          <t>09/04/2026</t>
        </is>
      </c>
      <c r="J9212" s="10" t="inlineStr">
        <is>
          <t>17/03/2026</t>
        </is>
      </c>
      <c r="K9212" s="10" t="inlineStr">
        <is>
          <t>N/A</t>
        </is>
      </c>
      <c r="L9212" s="10" t="inlineStr">
        <is>
          <t>Kinh Doanh, Cơ Khí, Tự Động Hóa, Sales B2B, Sale Engineering</t>
        </is>
      </c>
      <c r="M9212" s="10" t="inlineStr">
        <is>
          <t>Bonus, Healthcare Plan, Paid Leave, Training, Laptop, Travel Opportunities, Team Activities, Transportation, Others</t>
        </is>
      </c>
      <c r="N9212" s="11">
        <f>HYPERLINK("https://www.vietnamworks.com/hn-hcm-dn-chuyen-vien-kinh-doanh-b2b-sales-engineer-thu-nhap-upto-30m-khong-gioi-han-2020860-jv","Xem chi tiết")</f>
        <v/>
      </c>
      <c r="O9212" s="10" t="n"/>
    </row>
    <row r="9213">
      <c r="B9213" s="7" t="n">
        <v>9211</v>
      </c>
      <c r="C9213" t="inlineStr">
        <is>
          <t>Client Experience Assistant (Showroom)</t>
        </is>
      </c>
      <c r="D9213" t="inlineStr">
        <is>
          <t>MIRROR FUTURE DIAMOND</t>
        </is>
      </c>
      <c r="E9213" t="inlineStr">
        <is>
          <t>Thương lượng</t>
        </is>
      </c>
      <c r="F9213" t="inlineStr">
        <is>
          <t>Hồ Chí Minh</t>
        </is>
      </c>
      <c r="G9213" t="inlineStr">
        <is>
          <t>Nhân viên</t>
        </is>
      </c>
      <c r="H9213" t="inlineStr">
        <is>
          <t>10/03/2026</t>
        </is>
      </c>
      <c r="I9213" t="inlineStr">
        <is>
          <t>09/04/2026</t>
        </is>
      </c>
      <c r="J9213" t="inlineStr">
        <is>
          <t>17/03/2026</t>
        </is>
      </c>
      <c r="K9213" t="inlineStr">
        <is>
          <t>N/A</t>
        </is>
      </c>
      <c r="L9213" t="inlineStr">
        <is>
          <t>Customer Service, Communication Skills, Basic drink preparation, Hospitality, Positive Attitude</t>
        </is>
      </c>
      <c r="M9213" t="inlineStr">
        <is>
          <t>Bonus</t>
        </is>
      </c>
      <c r="N9213" s="8">
        <f>HYPERLINK("https://www.vietnamworks.com/client-experience-assistant-showroom-2020861-jv","Xem chi tiết")</f>
        <v/>
      </c>
    </row>
    <row r="9214">
      <c r="B9214" s="9" t="n">
        <v>9212</v>
      </c>
      <c r="C9214" s="10" t="inlineStr">
        <is>
          <t>Chuyên Viên Kiểm Soát Tuân Thủ - Khối Quản Lý Rủi Ro</t>
        </is>
      </c>
      <c r="D9214" s="10" t="inlineStr">
        <is>
          <t>Ngân Hàng TMCP Việt Nam Thương Tín (Vietbank)</t>
        </is>
      </c>
      <c r="E9214" s="10" t="inlineStr">
        <is>
          <t>Thương lượng</t>
        </is>
      </c>
      <c r="F9214" s="10" t="inlineStr">
        <is>
          <t>Hồ Chí Minh</t>
        </is>
      </c>
      <c r="G9214" s="10" t="inlineStr">
        <is>
          <t>Nhân viên</t>
        </is>
      </c>
      <c r="H9214" s="10" t="inlineStr">
        <is>
          <t>10/03/2026</t>
        </is>
      </c>
      <c r="I9214" s="10" t="inlineStr">
        <is>
          <t>09/04/2026</t>
        </is>
      </c>
      <c r="J9214" s="10" t="inlineStr">
        <is>
          <t>17/03/2026</t>
        </is>
      </c>
      <c r="K9214" s="10" t="inlineStr">
        <is>
          <t>N/A</t>
        </is>
      </c>
      <c r="L9214" s="10" t="inlineStr">
        <is>
          <t>Ngân hàng, Tài Chính, Kế Toán, Kiểm toán</t>
        </is>
      </c>
      <c r="M9214" s="10" t="inlineStr">
        <is>
          <t>Bonus, Healthcare Plan, Training</t>
        </is>
      </c>
      <c r="N9214" s="11">
        <f>HYPERLINK("https://www.vietnamworks.com/chuyen-vien-kiem-soat-tuan-thu-khoi-quan-ly-rui-ro--2020857-jv","Xem chi tiết")</f>
        <v/>
      </c>
      <c r="O9214" s="10" t="n"/>
    </row>
    <row r="9215">
      <c r="B9215" s="7" t="n">
        <v>9213</v>
      </c>
      <c r="C9215" t="inlineStr">
        <is>
          <t>Chuyên Viên Pháp Chế</t>
        </is>
      </c>
      <c r="D9215" t="inlineStr">
        <is>
          <t>CÔNG TY CỔ PHẦN ĐẦU TƯ VÀNG PHÚ QUÝ</t>
        </is>
      </c>
      <c r="E9215" t="inlineStr">
        <is>
          <t>12tr-16tr ₫/tháng</t>
        </is>
      </c>
      <c r="F9215" t="inlineStr">
        <is>
          <t>Hà Nội</t>
        </is>
      </c>
      <c r="G9215" t="inlineStr">
        <is>
          <t>Nhân viên</t>
        </is>
      </c>
      <c r="H9215" t="inlineStr">
        <is>
          <t>10/03/2026</t>
        </is>
      </c>
      <c r="I9215" t="inlineStr">
        <is>
          <t>09/04/2026</t>
        </is>
      </c>
      <c r="J9215" t="inlineStr">
        <is>
          <t>17/03/2026</t>
        </is>
      </c>
      <c r="K9215" t="inlineStr">
        <is>
          <t>N/A</t>
        </is>
      </c>
      <c r="L9215" t="inlineStr">
        <is>
          <t>Luật Doanh Nghiệp, Pháp Chế Doanh Nghiệp, Soạn Thảo Hợp Đồng, Tư Vấn Luật, Pháp Chế</t>
        </is>
      </c>
      <c r="M9215" t="inlineStr">
        <is>
          <t>Bonus, Healthcare Plan, Paid Leave, Awards, Travel Opportunities, Canteen, Others</t>
        </is>
      </c>
      <c r="N9215" s="8">
        <f>HYPERLINK("https://www.vietnamworks.com/chuyen-vien-phap-che-2020862-jv","Xem chi tiết")</f>
        <v/>
      </c>
    </row>
    <row r="9216">
      <c r="B9216" s="9" t="n">
        <v>9214</v>
      </c>
      <c r="C9216" s="10" t="inlineStr">
        <is>
          <t>Kế Toán Tổng Hợp Thu Nhập 13-16Tr</t>
        </is>
      </c>
      <c r="D9216" s="10" t="inlineStr">
        <is>
          <t>CÔNG TY CỔ PHẦN KIẾN TRÚC XÂY DỰNG FUCO VIỆT NAM</t>
        </is>
      </c>
      <c r="E9216" s="10" t="inlineStr">
        <is>
          <t>13tr-16tr ₫/tháng</t>
        </is>
      </c>
      <c r="F9216" s="10" t="inlineStr">
        <is>
          <t>Hà Nội</t>
        </is>
      </c>
      <c r="G9216" s="10" t="inlineStr">
        <is>
          <t>Nhân viên</t>
        </is>
      </c>
      <c r="H9216" s="10" t="inlineStr">
        <is>
          <t>10/03/2026</t>
        </is>
      </c>
      <c r="I9216" s="10" t="inlineStr">
        <is>
          <t>09/04/2026</t>
        </is>
      </c>
      <c r="J9216" s="10" t="inlineStr">
        <is>
          <t>17/03/2026</t>
        </is>
      </c>
      <c r="K9216" s="10" t="inlineStr">
        <is>
          <t>N/A</t>
        </is>
      </c>
      <c r="L9216" s="10" t="inlineStr">
        <is>
          <t>Quản Lý Chi Phí, Quy Định Pháp Luật Về Thuế, Accounting Standards, Lập Báo Cáo, Quản Lý Số Liệu</t>
        </is>
      </c>
      <c r="M9216" s="10" t="inlineStr">
        <is>
          <t>Bonus, Healthcare Plan, Training, Travel Opportunities, Team Activities, Others</t>
        </is>
      </c>
      <c r="N9216" s="11">
        <f>HYPERLINK("https://www.vietnamworks.com/ke-toan-tong-hop-thu-nhap-13-16tr-2020864-jv","Xem chi tiết")</f>
        <v/>
      </c>
      <c r="O9216" s="10" t="n"/>
    </row>
    <row r="9217">
      <c r="B9217" s="7" t="n">
        <v>9215</v>
      </c>
      <c r="C9217" t="inlineStr">
        <is>
          <t>iOS Developer (Junior/mid Level)</t>
        </is>
      </c>
      <c r="D9217" t="inlineStr">
        <is>
          <t>Navigos Group</t>
        </is>
      </c>
      <c r="E9217" t="inlineStr">
        <is>
          <t>$$ 800-1,100 /tháng</t>
        </is>
      </c>
      <c r="F9217" t="inlineStr">
        <is>
          <t>Hồ Chí Minh</t>
        </is>
      </c>
      <c r="G9217" t="inlineStr">
        <is>
          <t>Nhân viên</t>
        </is>
      </c>
      <c r="H9217" t="inlineStr">
        <is>
          <t>10/03/2026</t>
        </is>
      </c>
      <c r="I9217" t="inlineStr">
        <is>
          <t>09/04/2026</t>
        </is>
      </c>
      <c r="J9217" t="inlineStr">
        <is>
          <t>17/03/2026</t>
        </is>
      </c>
      <c r="K9217" t="inlineStr">
        <is>
          <t>N/A</t>
        </is>
      </c>
      <c r="L9217" t="inlineStr">
        <is>
          <t>iOS, React Native, Mobile App, Objective-C, Swift IOS Native</t>
        </is>
      </c>
      <c r="M9217" t="inlineStr">
        <is>
          <t>Healthcare Plan, Paid Leave, Training</t>
        </is>
      </c>
      <c r="N9217" s="8">
        <f>HYPERLINK("https://www.vietnamworks.com/ios-developer-junior-mid-level-2020865-jv","Xem chi tiết")</f>
        <v/>
      </c>
    </row>
    <row r="9218">
      <c r="B9218" s="9" t="n">
        <v>9216</v>
      </c>
      <c r="C9218" s="10" t="inlineStr">
        <is>
          <t>Kỹ Sư Cơ Utility</t>
        </is>
      </c>
      <c r="D9218" s="10" t="inlineStr">
        <is>
          <t>Công ty TNHH công nghiệp Vĩnh Tường miền bắc Việt Nam</t>
        </is>
      </c>
      <c r="E9218" s="10" t="inlineStr">
        <is>
          <t>$$ 700-1,000 /tháng</t>
        </is>
      </c>
      <c r="F9218" s="10" t="inlineStr">
        <is>
          <t>Hưng Yên</t>
        </is>
      </c>
      <c r="G9218" s="10" t="inlineStr">
        <is>
          <t>Nhân viên</t>
        </is>
      </c>
      <c r="H9218" s="10" t="inlineStr">
        <is>
          <t>10/03/2026</t>
        </is>
      </c>
      <c r="I9218" s="10" t="inlineStr">
        <is>
          <t>09/04/2026</t>
        </is>
      </c>
      <c r="J9218" s="10" t="inlineStr">
        <is>
          <t>17/03/2026</t>
        </is>
      </c>
      <c r="K9218" s="10" t="inlineStr">
        <is>
          <t>N/A</t>
        </is>
      </c>
      <c r="L9218" s="10" t="inlineStr">
        <is>
          <t>Tiếng Anh Đọc Viết Cơ Bản, Cơ Khí, Xây Dựng</t>
        </is>
      </c>
      <c r="M9218" s="10" t="inlineStr">
        <is>
          <t>Healthcare Plan, Training, Laptop</t>
        </is>
      </c>
      <c r="N9218" s="11">
        <f>HYPERLINK("https://www.vietnamworks.com/ky-su-co-utility-2020888-jv","Xem chi tiết")</f>
        <v/>
      </c>
      <c r="O9218" s="10" t="n"/>
    </row>
    <row r="9219">
      <c r="B9219" s="7" t="n">
        <v>9217</v>
      </c>
      <c r="C9219" t="inlineStr">
        <is>
          <t>Chuyên Viên Thu Mua</t>
        </is>
      </c>
      <c r="D9219" t="inlineStr">
        <is>
          <t>Công ty Cổ Phần Nội Thất DBhomes</t>
        </is>
      </c>
      <c r="E9219" t="inlineStr">
        <is>
          <t>$$ 500-800 /tháng</t>
        </is>
      </c>
      <c r="F9219" t="inlineStr">
        <is>
          <t>Hồ Chí Minh</t>
        </is>
      </c>
      <c r="G9219" t="inlineStr">
        <is>
          <t>Nhân viên</t>
        </is>
      </c>
      <c r="H9219" t="inlineStr">
        <is>
          <t>10/03/2026</t>
        </is>
      </c>
      <c r="I9219" t="inlineStr">
        <is>
          <t>09/04/2026</t>
        </is>
      </c>
      <c r="J9219" t="inlineStr">
        <is>
          <t>17/03/2026</t>
        </is>
      </c>
      <c r="K9219" t="inlineStr">
        <is>
          <t>N/A</t>
        </is>
      </c>
      <c r="L9219" t="inlineStr">
        <is>
          <t>Mua Hàng, Nội Thất, Mua hàng &amp; Tìm nguồn cung ứng, Thu Mua, Vật tư</t>
        </is>
      </c>
      <c r="M9219" t="inlineStr">
        <is>
          <t>Bonus, Healthcare Plan, Others</t>
        </is>
      </c>
      <c r="N9219" s="8">
        <f>HYPERLINK("https://www.vietnamworks.com/chuyen-vien-thu-mua--2020863-jv","Xem chi tiết")</f>
        <v/>
      </c>
    </row>
    <row r="9220">
      <c r="B9220" s="9" t="n">
        <v>9218</v>
      </c>
      <c r="C9220" s="10" t="inlineStr">
        <is>
          <t>Kỹ Sư Bán Hàng (Sales Engineer) - Làm Việc Thứ 2-Thứ 6</t>
        </is>
      </c>
      <c r="D9220" s="10" t="inlineStr">
        <is>
          <t>Tsubakimoto Vietnam CO., LTD.</t>
        </is>
      </c>
      <c r="E9220" s="10" t="inlineStr">
        <is>
          <t>15tr-23tr ₫/tháng</t>
        </is>
      </c>
      <c r="F9220" s="10" t="inlineStr">
        <is>
          <t>Hồ Chí Minh, Hà Nội</t>
        </is>
      </c>
      <c r="G9220" s="10" t="inlineStr">
        <is>
          <t>Nhân viên</t>
        </is>
      </c>
      <c r="H9220" s="10" t="inlineStr">
        <is>
          <t>10/03/2026</t>
        </is>
      </c>
      <c r="I9220" s="10" t="inlineStr">
        <is>
          <t>09/04/2026</t>
        </is>
      </c>
      <c r="J9220" s="10" t="inlineStr">
        <is>
          <t>17/03/2026</t>
        </is>
      </c>
      <c r="K9220" s="10" t="inlineStr">
        <is>
          <t>N/A</t>
        </is>
      </c>
      <c r="L9220" s="10" t="inlineStr">
        <is>
          <t>Service Engineering, Bán hàng, Tìm Kiếm Khách Hàng, Bán Hàng Kỹ Thuật, Mechanical Engineering</t>
        </is>
      </c>
      <c r="M9220" s="10" t="inlineStr">
        <is>
          <t>Bonus, Team Activities, Transportation</t>
        </is>
      </c>
      <c r="N9220" s="11">
        <f>HYPERLINK("https://www.vietnamworks.com/ky-su-ban-hang-sales-engineer-lam-viec-thu-2-thu-6--2020885-jv","Xem chi tiết")</f>
        <v/>
      </c>
      <c r="O9220" s="10" t="n"/>
    </row>
    <row r="9221">
      <c r="B9221" s="7" t="n">
        <v>9219</v>
      </c>
      <c r="C9221" t="inlineStr">
        <is>
          <t>Maintenance Engineering Manager</t>
        </is>
      </c>
      <c r="D9221" t="inlineStr">
        <is>
          <t>Công Ty TNHH Coats Footwear Việt Nam</t>
        </is>
      </c>
      <c r="E9221" t="inlineStr">
        <is>
          <t>Thương lượng</t>
        </is>
      </c>
      <c r="F9221" t="inlineStr">
        <is>
          <t>Đồng Nai</t>
        </is>
      </c>
      <c r="G9221" t="inlineStr">
        <is>
          <t>Trưởng phòng</t>
        </is>
      </c>
      <c r="H9221" t="inlineStr">
        <is>
          <t>10/03/2026</t>
        </is>
      </c>
      <c r="I9221" t="inlineStr">
        <is>
          <t>09/04/2026</t>
        </is>
      </c>
      <c r="J9221" t="inlineStr">
        <is>
          <t>17/03/2026</t>
        </is>
      </c>
      <c r="K9221" t="inlineStr">
        <is>
          <t>N/A</t>
        </is>
      </c>
      <c r="L9221" t="inlineStr">
        <is>
          <t>Electrical Systems, Leadership, Mechanical System, Predictive Maintenance, Reliability Engineering</t>
        </is>
      </c>
      <c r="M9221" t="inlineStr">
        <is>
          <t>Bonus, Healthcare Plan, Transportation, Others</t>
        </is>
      </c>
      <c r="N9221" s="8">
        <f>HYPERLINK("https://www.vietnamworks.com/maintenance-engineering-manager-2020879-jv","Xem chi tiết")</f>
        <v/>
      </c>
    </row>
    <row r="9222">
      <c r="B9222" s="9" t="n">
        <v>9220</v>
      </c>
      <c r="C9222" s="10" t="inlineStr">
        <is>
          <t>Trade Marketing Executive</t>
        </is>
      </c>
      <c r="D9222" s="10" t="inlineStr">
        <is>
          <t>Rich Products Vietnam</t>
        </is>
      </c>
      <c r="E9222" s="10" t="inlineStr">
        <is>
          <t>Thương lượng</t>
        </is>
      </c>
      <c r="F9222" s="10" t="inlineStr">
        <is>
          <t>Hồ Chí Minh</t>
        </is>
      </c>
      <c r="G9222" s="10" t="inlineStr">
        <is>
          <t>Nhân viên</t>
        </is>
      </c>
      <c r="H9222" s="10" t="inlineStr">
        <is>
          <t>10/03/2026</t>
        </is>
      </c>
      <c r="I9222" s="10" t="inlineStr">
        <is>
          <t>09/04/2026</t>
        </is>
      </c>
      <c r="J9222" s="10" t="inlineStr">
        <is>
          <t>17/03/2026</t>
        </is>
      </c>
      <c r="K9222" s="10" t="inlineStr">
        <is>
          <t>N/A</t>
        </is>
      </c>
      <c r="L9222" s="10" t="inlineStr">
        <is>
          <t>Trade Marketing, Sales Development, Business Development, Sales Planning, Sales Forecast</t>
        </is>
      </c>
      <c r="M9222" s="10" t="inlineStr">
        <is>
          <t>Bonus, Training, Team Activities</t>
        </is>
      </c>
      <c r="N9222" s="11">
        <f>HYPERLINK("https://www.vietnamworks.com/trade-marketing-executive--2020877-jv","Xem chi tiết")</f>
        <v/>
      </c>
      <c r="O9222" s="10" t="n"/>
    </row>
    <row r="9223">
      <c r="B9223" s="7" t="n">
        <v>9221</v>
      </c>
      <c r="C9223" t="inlineStr">
        <is>
          <t>Sales Assistant Manager</t>
        </is>
      </c>
      <c r="D9223" t="inlineStr">
        <is>
          <t>Zinc Oxide Corporation Vietnam LLC</t>
        </is>
      </c>
      <c r="E9223" t="inlineStr">
        <is>
          <t>Thương lượng</t>
        </is>
      </c>
      <c r="F9223" t="inlineStr">
        <is>
          <t>Bà Rịa - Vũng Tàu, Hồ Chí Minh</t>
        </is>
      </c>
      <c r="G9223" t="inlineStr">
        <is>
          <t>Nhân viên</t>
        </is>
      </c>
      <c r="H9223" t="inlineStr">
        <is>
          <t>10/03/2026</t>
        </is>
      </c>
      <c r="I9223" t="inlineStr">
        <is>
          <t>09/04/2026</t>
        </is>
      </c>
      <c r="J9223" t="inlineStr">
        <is>
          <t>17/03/2026</t>
        </is>
      </c>
      <c r="K9223" t="inlineStr">
        <is>
          <t>N/A</t>
        </is>
      </c>
      <c r="L9223" t="inlineStr">
        <is>
          <t>Sales Management, Business Development, International Business, Sales Strategy, B2B Sales</t>
        </is>
      </c>
      <c r="M9223" t="inlineStr">
        <is>
          <t>Bonus, Healthcare Plan, Transportation, Canteen, Vouchers, Others</t>
        </is>
      </c>
      <c r="N9223" s="8">
        <f>HYPERLINK("https://www.vietnamworks.com/sales-assistant-manager-2020889-jv","Xem chi tiết")</f>
        <v/>
      </c>
    </row>
    <row r="9224">
      <c r="B9224" s="9" t="n">
        <v>9222</v>
      </c>
      <c r="C9224" s="10" t="inlineStr">
        <is>
          <t>Digital Strategy Staff (System Management &amp; Enhancement)</t>
        </is>
      </c>
      <c r="D9224" s="10" t="inlineStr">
        <is>
          <t>Công Ty TNHH Ô Tô Mitsubishi Việt Nam</t>
        </is>
      </c>
      <c r="E9224" s="10" t="inlineStr">
        <is>
          <t>Thương lượng</t>
        </is>
      </c>
      <c r="F9224" s="10" t="inlineStr">
        <is>
          <t>Hồ Chí Minh, Hà Nội</t>
        </is>
      </c>
      <c r="G9224" s="10" t="inlineStr">
        <is>
          <t>Nhân viên</t>
        </is>
      </c>
      <c r="H9224" s="10" t="inlineStr">
        <is>
          <t>10/03/2026</t>
        </is>
      </c>
      <c r="I9224" s="10" t="inlineStr">
        <is>
          <t>09/04/2026</t>
        </is>
      </c>
      <c r="J9224" s="10" t="inlineStr">
        <is>
          <t>17/03/2026</t>
        </is>
      </c>
      <c r="K9224" s="10" t="inlineStr">
        <is>
          <t>N/A</t>
        </is>
      </c>
      <c r="L9224" s="10" t="inlineStr">
        <is>
          <t>System, Project Management, Data Analysis, Digital Product Development, System Innovation</t>
        </is>
      </c>
      <c r="M9224" s="10" t="inlineStr">
        <is>
          <t>Bonus, Healthcare Plan, Transportation</t>
        </is>
      </c>
      <c r="N9224" s="11">
        <f>HYPERLINK("https://www.vietnamworks.com/digital-strategy-staff-system-management-enhancement--2020890-jv","Xem chi tiết")</f>
        <v/>
      </c>
      <c r="O9224" s="10" t="n"/>
    </row>
    <row r="9225">
      <c r="B9225" s="7" t="n">
        <v>9223</v>
      </c>
      <c r="C9225" t="inlineStr">
        <is>
          <t>Chuyên Viên Thiết Kế Ngành BĐS - Lương Cơ Bản: 20-30 Triệu + Thưởng</t>
        </is>
      </c>
      <c r="D9225" t="inlineStr">
        <is>
          <t>Công Ty Cổ Phần Bất Động Sản BHS</t>
        </is>
      </c>
      <c r="E9225" t="inlineStr">
        <is>
          <t>20tr-30tr ₫/tháng</t>
        </is>
      </c>
      <c r="F9225" t="inlineStr">
        <is>
          <t>Hà Nội</t>
        </is>
      </c>
      <c r="G9225" t="inlineStr">
        <is>
          <t>Nhân viên</t>
        </is>
      </c>
      <c r="H9225" t="inlineStr">
        <is>
          <t>10/03/2026</t>
        </is>
      </c>
      <c r="I9225" t="inlineStr">
        <is>
          <t>09/04/2026</t>
        </is>
      </c>
      <c r="J9225" t="inlineStr">
        <is>
          <t>17/03/2026</t>
        </is>
      </c>
      <c r="K9225" t="inlineStr">
        <is>
          <t>N/A</t>
        </is>
      </c>
      <c r="L9225" t="inlineStr">
        <is>
          <t>Thiết Kế Đồ Họa, Adobe Illustrator, Adobe Photoshop, After Effects, Thiết Kế Ấn Phẩm</t>
        </is>
      </c>
      <c r="M9225" t="inlineStr">
        <is>
          <t>Bonus, Healthcare Plan, Others</t>
        </is>
      </c>
      <c r="N9225" s="8">
        <f>HYPERLINK("https://www.vietnamworks.com/chuyen-vien-thiet-ke-nganh-bds-luong-co-ban-20-30-trieu-thuong-2020883-jv","Xem chi tiết")</f>
        <v/>
      </c>
    </row>
    <row r="9226">
      <c r="B9226" s="9" t="n">
        <v>9224</v>
      </c>
      <c r="C9226" s="10" t="inlineStr">
        <is>
          <t>Trưởng Phòng Tài Chính</t>
        </is>
      </c>
      <c r="D9226" s="10" t="inlineStr">
        <is>
          <t>Vietnamworks' Client</t>
        </is>
      </c>
      <c r="E9226" s="10" t="inlineStr">
        <is>
          <t>Thương lượng</t>
        </is>
      </c>
      <c r="F9226" s="10" t="inlineStr">
        <is>
          <t>Hà Nội</t>
        </is>
      </c>
      <c r="G9226" s="10" t="inlineStr">
        <is>
          <t>Giám Đốc và Cấp Cao Hơn</t>
        </is>
      </c>
      <c r="H9226" s="10" t="inlineStr">
        <is>
          <t>10/03/2026</t>
        </is>
      </c>
      <c r="I9226" s="10" t="inlineStr">
        <is>
          <t>09/04/2026</t>
        </is>
      </c>
      <c r="J9226" s="10" t="inlineStr">
        <is>
          <t>17/03/2026</t>
        </is>
      </c>
      <c r="K9226" s="10" t="inlineStr">
        <is>
          <t>N/A</t>
        </is>
      </c>
      <c r="L9226" s="10" t="inlineStr">
        <is>
          <t>Huy Động Vốn, Kế Hoạch Ngân Sách, Kiểm Soát Dòng Tiền, Kiến Thức Thuế, Quản Lý Phân Bổ Ngân Sách</t>
        </is>
      </c>
      <c r="M9226" s="10" t="inlineStr">
        <is>
          <t>Bonus, Healthcare Plan, Paid Leave, Training, Laptop, Mobile, Travel Opportunities, Team Activities, Canteen, Others</t>
        </is>
      </c>
      <c r="N9226" s="11">
        <f>HYPERLINK("https://www.vietnamworks.com/truong-phong-tai-chinh-2020875-jv","Xem chi tiết")</f>
        <v/>
      </c>
      <c r="O9226" s="10" t="n"/>
    </row>
    <row r="9227">
      <c r="B9227" s="7" t="n">
        <v>9225</v>
      </c>
      <c r="C9227" t="inlineStr">
        <is>
          <t>Product Owner</t>
        </is>
      </c>
      <c r="D9227" t="inlineStr">
        <is>
          <t>MIRROR FUTURE DIAMOND</t>
        </is>
      </c>
      <c r="E9227" t="inlineStr">
        <is>
          <t>Thương lượng</t>
        </is>
      </c>
      <c r="F9227" t="inlineStr">
        <is>
          <t>Hồ Chí Minh</t>
        </is>
      </c>
      <c r="G9227" t="inlineStr">
        <is>
          <t>Nhân viên</t>
        </is>
      </c>
      <c r="H9227" t="inlineStr">
        <is>
          <t>10/03/2026</t>
        </is>
      </c>
      <c r="I9227" t="inlineStr">
        <is>
          <t>09/04/2026</t>
        </is>
      </c>
      <c r="J9227" t="inlineStr">
        <is>
          <t>17/03/2026</t>
        </is>
      </c>
      <c r="K9227" t="inlineStr">
        <is>
          <t>N/A</t>
        </is>
      </c>
      <c r="L9227" t="inlineStr">
        <is>
          <t>Entrepreneurial Mindset, Basic Understanding Of Tech Stack, English Communication, Jira, Product Owner</t>
        </is>
      </c>
      <c r="M9227" t="inlineStr">
        <is>
          <t>Bonus, Others</t>
        </is>
      </c>
      <c r="N9227" s="8">
        <f>HYPERLINK("https://www.vietnamworks.com/product-owner-2020866-jv","Xem chi tiết")</f>
        <v/>
      </c>
    </row>
    <row r="9228">
      <c r="B9228" s="9" t="n">
        <v>9226</v>
      </c>
      <c r="C9228" s="10" t="inlineStr">
        <is>
          <t>Kỹ Sư Thiết Kế Sản Phẩm</t>
        </is>
      </c>
      <c r="D9228" s="10" t="inlineStr">
        <is>
          <t>Công Ty Cổ Phần Cơ Khí Chính Xác Smart Việt Nam</t>
        </is>
      </c>
      <c r="E9228" s="10" t="inlineStr">
        <is>
          <t>12tr-15tr ₫/tháng</t>
        </is>
      </c>
      <c r="F9228" s="10" t="inlineStr">
        <is>
          <t>Hà Nội</t>
        </is>
      </c>
      <c r="G9228" s="10" t="inlineStr">
        <is>
          <t>Nhân viên</t>
        </is>
      </c>
      <c r="H9228" s="10" t="inlineStr">
        <is>
          <t>10/03/2026</t>
        </is>
      </c>
      <c r="I9228" s="10" t="inlineStr">
        <is>
          <t>09/04/2026</t>
        </is>
      </c>
      <c r="J9228" s="10" t="inlineStr">
        <is>
          <t>17/03/2026</t>
        </is>
      </c>
      <c r="K9228" s="10" t="inlineStr">
        <is>
          <t>N/A</t>
        </is>
      </c>
      <c r="L9228" s="10" t="inlineStr">
        <is>
          <t>Gia Công Cơ Khí, Bản Vẽ Cơ Khí, Cơ Khí, Cơ Điện Tử, Gia Công Kim Loại</t>
        </is>
      </c>
      <c r="M9228" s="10" t="inlineStr">
        <is>
          <t>Bonus, Healthcare Plan, Paid Leave, Awards, Team Activities, Transportation, Others</t>
        </is>
      </c>
      <c r="N9228" s="11">
        <f>HYPERLINK("https://www.vietnamworks.com/ky-su-thiet-ke-san-pham-2020871-jv","Xem chi tiết")</f>
        <v/>
      </c>
      <c r="O9228" s="10" t="n"/>
    </row>
    <row r="9229">
      <c r="B9229" s="7" t="n">
        <v>9227</v>
      </c>
      <c r="C9229" t="inlineStr">
        <is>
          <t>Sales Executive (Footwear)</t>
        </is>
      </c>
      <c r="D9229" t="inlineStr">
        <is>
          <t>Công Ty TNHH Coats Footwear Việt Nam</t>
        </is>
      </c>
      <c r="E9229" t="inlineStr">
        <is>
          <t>Thương lượng</t>
        </is>
      </c>
      <c r="F9229" t="inlineStr">
        <is>
          <t>Hồ Chí Minh</t>
        </is>
      </c>
      <c r="G9229" t="inlineStr">
        <is>
          <t>Nhân viên</t>
        </is>
      </c>
      <c r="H9229" t="inlineStr">
        <is>
          <t>10/03/2026</t>
        </is>
      </c>
      <c r="I9229" t="inlineStr">
        <is>
          <t>09/04/2026</t>
        </is>
      </c>
      <c r="J9229" t="inlineStr">
        <is>
          <t>17/03/2026</t>
        </is>
      </c>
      <c r="K9229" t="inlineStr">
        <is>
          <t>N/A</t>
        </is>
      </c>
      <c r="L9229" t="inlineStr">
        <is>
          <t>Footwear Industry, English/Chinese, Footwear Material\t, Sales &amp; Business Development, Sales Hunter</t>
        </is>
      </c>
      <c r="M9229" t="inlineStr">
        <is>
          <t>Bonus, Healthcare Plan, Transportation, Others</t>
        </is>
      </c>
      <c r="N9229" s="8">
        <f>HYPERLINK("https://www.vietnamworks.com/sales-executive-footwear-2020886-jv","Xem chi tiết")</f>
        <v/>
      </c>
    </row>
    <row r="9230">
      <c r="B9230" s="9" t="n">
        <v>9228</v>
      </c>
      <c r="C9230" s="10" t="inlineStr">
        <is>
          <t>Nhân Viên Phòng Đảm Bảo Chất Lượng (Tiếng Nhật / Tiếng Anh)</t>
        </is>
      </c>
      <c r="D9230" s="10" t="inlineStr">
        <is>
          <t>Công ty TNHH Hamaden Việt Nam</t>
        </is>
      </c>
      <c r="E9230" s="10" t="inlineStr">
        <is>
          <t>Thương lượng</t>
        </is>
      </c>
      <c r="F9230" s="10" t="inlineStr">
        <is>
          <t>Hải Dương, Hà Nội, Hưng Yên</t>
        </is>
      </c>
      <c r="G9230" s="10" t="inlineStr">
        <is>
          <t>Nhân viên</t>
        </is>
      </c>
      <c r="H9230" s="10" t="inlineStr">
        <is>
          <t>10/03/2026</t>
        </is>
      </c>
      <c r="I9230" s="10" t="inlineStr">
        <is>
          <t>09/04/2026</t>
        </is>
      </c>
      <c r="J9230" s="10" t="inlineStr">
        <is>
          <t>17/03/2026</t>
        </is>
      </c>
      <c r="K9230" s="10" t="inlineStr">
        <is>
          <t>N/A</t>
        </is>
      </c>
      <c r="L9230" s="10" t="inlineStr">
        <is>
          <t>Kiểm Soát Chất Lượng, Tiếng Nhật N3, Quản Lý Chất Lượng, Xử Lý Khiếu Nại, Điện Tử</t>
        </is>
      </c>
      <c r="M9230" s="10" t="inlineStr">
        <is>
          <t>Paid Leave, Transportation, Canteen</t>
        </is>
      </c>
      <c r="N9230" s="11">
        <f>HYPERLINK("https://www.vietnamworks.com/nhan-vien-phong-dam-bao-chat-luong-tieng-nhat-tieng-anh--2020892-jv","Xem chi tiết")</f>
        <v/>
      </c>
      <c r="O9230" s="10" t="n"/>
    </row>
    <row r="9231">
      <c r="B9231" s="7" t="n">
        <v>9229</v>
      </c>
      <c r="C9231" t="inlineStr">
        <is>
          <t>R&amp;D Manager Personal Care</t>
        </is>
      </c>
      <c r="D9231" t="inlineStr">
        <is>
          <t>Michael Page Vietnam</t>
        </is>
      </c>
      <c r="E9231" t="inlineStr">
        <is>
          <t>Thương lượng</t>
        </is>
      </c>
      <c r="F9231" t="inlineStr">
        <is>
          <t>Hồ Chí Minh</t>
        </is>
      </c>
      <c r="G9231" t="inlineStr">
        <is>
          <t>Trưởng phòng</t>
        </is>
      </c>
      <c r="H9231" t="inlineStr">
        <is>
          <t>10/03/2026</t>
        </is>
      </c>
      <c r="I9231" t="inlineStr">
        <is>
          <t>09/04/2026</t>
        </is>
      </c>
      <c r="J9231" t="inlineStr">
        <is>
          <t>17/03/2026</t>
        </is>
      </c>
      <c r="K9231" t="inlineStr">
        <is>
          <t>N/A</t>
        </is>
      </c>
      <c r="L9231" t="inlineStr">
        <is>
          <t>Product Development, Research, FMCG industry</t>
        </is>
      </c>
      <c r="M9231" t="inlineStr">
        <is>
          <t>Bonus, Travel Opportunities, Team Activities</t>
        </is>
      </c>
      <c r="N9231" s="8">
        <f>HYPERLINK("https://www.vietnamworks.com/r-amp-d-manager-personal-care-2020891-jv","Xem chi tiết")</f>
        <v/>
      </c>
    </row>
    <row r="9232">
      <c r="B9232" s="9" t="n">
        <v>9230</v>
      </c>
      <c r="C9232" s="10" t="inlineStr">
        <is>
          <t>Nhân Viên Thu Mua</t>
        </is>
      </c>
      <c r="D9232" s="10" t="inlineStr">
        <is>
          <t>CÔNG TY TNHH WELLSOURCE VIỆT NAM</t>
        </is>
      </c>
      <c r="E9232" s="10" t="inlineStr">
        <is>
          <t>17tr-25tr ₫/tháng</t>
        </is>
      </c>
      <c r="F9232" s="10" t="inlineStr">
        <is>
          <t>Hà Nam</t>
        </is>
      </c>
      <c r="G9232" s="10" t="inlineStr">
        <is>
          <t>Mới Tốt Nghiệp</t>
        </is>
      </c>
      <c r="H9232" s="10" t="inlineStr">
        <is>
          <t>10/03/2026</t>
        </is>
      </c>
      <c r="I9232" s="10" t="inlineStr">
        <is>
          <t>09/04/2026</t>
        </is>
      </c>
      <c r="J9232" s="10" t="inlineStr">
        <is>
          <t>17/03/2026</t>
        </is>
      </c>
      <c r="K9232" s="10" t="inlineStr">
        <is>
          <t>N/A</t>
        </is>
      </c>
      <c r="L9232" s="10" t="inlineStr">
        <is>
          <t>Lập Kế Hoạch Mua Hàng, Thương Lượng Giá Cả, Quản Lý Công Nợ, Tiếng Trung Giao Tiếp, Làm Việc Nhóm</t>
        </is>
      </c>
      <c r="M9232" s="10" t="inlineStr">
        <is>
          <t>Healthcare Plan, Team Activities, Others</t>
        </is>
      </c>
      <c r="N9232" s="11">
        <f>HYPERLINK("https://www.vietnamworks.com/nhan-vien-thu-mua-2020870-jv","Xem chi tiết")</f>
        <v/>
      </c>
      <c r="O9232" s="10" t="n"/>
    </row>
    <row r="9233">
      <c r="B9233" s="7" t="n">
        <v>9231</v>
      </c>
      <c r="C9233" t="inlineStr">
        <is>
          <t>Audit Officer</t>
        </is>
      </c>
      <c r="D9233" t="inlineStr">
        <is>
          <t>Công Ty TNHH Coats Footwear Việt Nam</t>
        </is>
      </c>
      <c r="E9233" t="inlineStr">
        <is>
          <t>Thương lượng</t>
        </is>
      </c>
      <c r="F9233" t="inlineStr">
        <is>
          <t>Đồng Nai</t>
        </is>
      </c>
      <c r="G9233" t="inlineStr">
        <is>
          <t>Nhân viên</t>
        </is>
      </c>
      <c r="H9233" t="inlineStr">
        <is>
          <t>10/03/2026</t>
        </is>
      </c>
      <c r="I9233" t="inlineStr">
        <is>
          <t>09/04/2026</t>
        </is>
      </c>
      <c r="J9233" t="inlineStr">
        <is>
          <t>17/03/2026</t>
        </is>
      </c>
      <c r="K9233" t="inlineStr">
        <is>
          <t>N/A</t>
        </is>
      </c>
      <c r="L9233" t="inlineStr">
        <is>
          <t>Audit Management, Audit Quality System, Auditing Standards, English proficiency, ISO Auditing</t>
        </is>
      </c>
      <c r="M9233" t="inlineStr">
        <is>
          <t>Bonus, Healthcare Plan, Transportation, Others</t>
        </is>
      </c>
      <c r="N9233" s="8">
        <f>HYPERLINK("https://www.vietnamworks.com/audit-officer-2020882-jv","Xem chi tiết")</f>
        <v/>
      </c>
    </row>
    <row r="9234">
      <c r="B9234" s="9" t="n">
        <v>9232</v>
      </c>
      <c r="C9234" s="10" t="inlineStr">
        <is>
          <t>Trợ Lý Quản Lý Vận Hành</t>
        </is>
      </c>
      <c r="D9234" s="10" t="inlineStr">
        <is>
          <t>Công Ty Cổ Phần TID</t>
        </is>
      </c>
      <c r="E9234" s="10" t="inlineStr">
        <is>
          <t>20tr-30tr ₫/tháng</t>
        </is>
      </c>
      <c r="F9234" s="10" t="inlineStr">
        <is>
          <t>Hà Nội</t>
        </is>
      </c>
      <c r="G9234" s="10" t="inlineStr">
        <is>
          <t>Nhân viên</t>
        </is>
      </c>
      <c r="H9234" s="10" t="inlineStr">
        <is>
          <t>10/03/2026</t>
        </is>
      </c>
      <c r="I9234" s="10" t="inlineStr">
        <is>
          <t>09/04/2026</t>
        </is>
      </c>
      <c r="J9234" s="10" t="inlineStr">
        <is>
          <t>17/03/2026</t>
        </is>
      </c>
      <c r="K9234" s="10" t="inlineStr">
        <is>
          <t>N/A</t>
        </is>
      </c>
      <c r="L9234" s="10" t="inlineStr">
        <is>
          <t>Giám Sát Vận Hành, Giải Quyết Khiếu Nại, Chăm Sóc Khách Hàng, Quản Lý Vận Hành Tòa Nhà, Tin Học Văn Phòng</t>
        </is>
      </c>
      <c r="M9234" s="10" t="inlineStr">
        <is>
          <t>Bonus, Healthcare Plan, Others</t>
        </is>
      </c>
      <c r="N9234" s="11">
        <f>HYPERLINK("https://www.vietnamworks.com/tro-ly-quan-ly-van-hanh-2020894-jv","Xem chi tiết")</f>
        <v/>
      </c>
      <c r="O9234" s="10" t="n"/>
    </row>
    <row r="9235">
      <c r="B9235" s="7" t="n">
        <v>9233</v>
      </c>
      <c r="C9235" t="inlineStr">
        <is>
          <t>Head of Distribution Operation</t>
        </is>
      </c>
      <c r="D9235" t="inlineStr">
        <is>
          <t>Michael Page Vietnam</t>
        </is>
      </c>
      <c r="E9235" t="inlineStr">
        <is>
          <t>Thương lượng</t>
        </is>
      </c>
      <c r="F9235" t="inlineStr">
        <is>
          <t>Hồ Chí Minh</t>
        </is>
      </c>
      <c r="G9235" t="inlineStr">
        <is>
          <t>Giám Đốc và Cấp Cao Hơn</t>
        </is>
      </c>
      <c r="H9235" t="inlineStr">
        <is>
          <t>10/03/2026</t>
        </is>
      </c>
      <c r="I9235" t="inlineStr">
        <is>
          <t>09/04/2026</t>
        </is>
      </c>
      <c r="J9235" t="inlineStr">
        <is>
          <t>17/03/2026</t>
        </is>
      </c>
      <c r="K9235" t="inlineStr">
        <is>
          <t>N/A</t>
        </is>
      </c>
      <c r="L9235" t="inlineStr">
        <is>
          <t>Transportation Operations</t>
        </is>
      </c>
      <c r="M9235" t="inlineStr">
        <is>
          <t>Bonus</t>
        </is>
      </c>
      <c r="N9235" s="8">
        <f>HYPERLINK("https://www.vietnamworks.com/head-of-distribution-operation-2020893-jv","Xem chi tiết")</f>
        <v/>
      </c>
    </row>
    <row r="9236">
      <c r="B9236" s="9" t="n">
        <v>9234</v>
      </c>
      <c r="C9236" s="10" t="inlineStr">
        <is>
          <t>HR Executive</t>
        </is>
      </c>
      <c r="D9236" s="10" t="inlineStr">
        <is>
          <t>CÔNG TY TNHH XUẤT NHẬP KHẨU GOLDEN BEE</t>
        </is>
      </c>
      <c r="E9236" s="10" t="inlineStr">
        <is>
          <t>Thương lượng</t>
        </is>
      </c>
      <c r="F9236" s="10" t="inlineStr">
        <is>
          <t>Hồ Chí Minh</t>
        </is>
      </c>
      <c r="G9236" s="10" t="inlineStr">
        <is>
          <t>Nhân viên</t>
        </is>
      </c>
      <c r="H9236" s="10" t="inlineStr">
        <is>
          <t>10/03/2026</t>
        </is>
      </c>
      <c r="I9236" s="10" t="inlineStr">
        <is>
          <t>09/04/2026</t>
        </is>
      </c>
      <c r="J9236" s="10" t="inlineStr">
        <is>
          <t>17/03/2026</t>
        </is>
      </c>
      <c r="K9236" s="10" t="inlineStr">
        <is>
          <t>N/A</t>
        </is>
      </c>
      <c r="L9236" s="10" t="inlineStr">
        <is>
          <t>Performance Management, HRBP, Labor Relations, Nhân Sự Tổng Hợp, Recruitment</t>
        </is>
      </c>
      <c r="M9236" s="10" t="inlineStr">
        <is>
          <t>Healthcare Plan, Team Activities</t>
        </is>
      </c>
      <c r="N9236" s="11">
        <f>HYPERLINK("https://www.vietnamworks.com/hr-executive-2020901-jv","Xem chi tiết")</f>
        <v/>
      </c>
      <c r="O9236" s="10" t="n"/>
    </row>
    <row r="9237">
      <c r="B9237" s="7" t="n">
        <v>9235</v>
      </c>
      <c r="C9237" t="inlineStr">
        <is>
          <t>Kế Toán Viên</t>
        </is>
      </c>
      <c r="D9237" t="inlineStr">
        <is>
          <t>Công Ty Cổ Phần Dịch Vụ Đầu tư FETA</t>
        </is>
      </c>
      <c r="E9237" t="inlineStr">
        <is>
          <t>Thương lượng</t>
        </is>
      </c>
      <c r="F9237" t="inlineStr">
        <is>
          <t>Hà Nội</t>
        </is>
      </c>
      <c r="G9237" t="inlineStr">
        <is>
          <t>Nhân viên</t>
        </is>
      </c>
      <c r="H9237" t="inlineStr">
        <is>
          <t>10/03/2026</t>
        </is>
      </c>
      <c r="I9237" t="inlineStr">
        <is>
          <t>09/04/2026</t>
        </is>
      </c>
      <c r="J9237" t="inlineStr">
        <is>
          <t>17/03/2026</t>
        </is>
      </c>
      <c r="K9237" t="inlineStr">
        <is>
          <t>N/A</t>
        </is>
      </c>
      <c r="L9237" t="inlineStr">
        <is>
          <t>Excel, Kế Toán Thanh Toán, Kế Toán Tổng Hợp, Lập Báo Cáo Tài Chính, Luật Thuế Doanh Nghiệp</t>
        </is>
      </c>
      <c r="M9237" t="inlineStr">
        <is>
          <t>Bonus, Healthcare Plan, Training</t>
        </is>
      </c>
      <c r="N9237" s="8">
        <f>HYPERLINK("https://www.vietnamworks.com/ke-toan-vien-2020898-jv","Xem chi tiết")</f>
        <v/>
      </c>
    </row>
    <row r="9238">
      <c r="B9238" s="9" t="n">
        <v>9236</v>
      </c>
      <c r="C9238" s="10" t="inlineStr">
        <is>
          <t>Office Admin Executive</t>
        </is>
      </c>
      <c r="D9238" s="10" t="inlineStr">
        <is>
          <t>Vietnamworks' Client</t>
        </is>
      </c>
      <c r="E9238" s="10" t="inlineStr">
        <is>
          <t>Thương lượng</t>
        </is>
      </c>
      <c r="F9238" s="10" t="inlineStr">
        <is>
          <t>Hồ Chí Minh</t>
        </is>
      </c>
      <c r="G9238" s="10" t="inlineStr">
        <is>
          <t>Mới Tốt Nghiệp</t>
        </is>
      </c>
      <c r="H9238" s="10" t="inlineStr">
        <is>
          <t>10/03/2026</t>
        </is>
      </c>
      <c r="I9238" s="10" t="inlineStr">
        <is>
          <t>09/04/2026</t>
        </is>
      </c>
      <c r="J9238" s="10" t="inlineStr">
        <is>
          <t>17/03/2026</t>
        </is>
      </c>
      <c r="K9238" s="10" t="inlineStr">
        <is>
          <t>N/A</t>
        </is>
      </c>
      <c r="L9238" s="10" t="inlineStr">
        <is>
          <t>English, Administration, Communication Skills, Reception Management, Microsoft Office</t>
        </is>
      </c>
      <c r="M9238" s="10" t="inlineStr">
        <is>
          <t>Bonus, Healthcare Plan, Others</t>
        </is>
      </c>
      <c r="N9238" s="11">
        <f>HYPERLINK("https://www.vietnamworks.com/office-admin-executive-16--2020912-jv","Xem chi tiết")</f>
        <v/>
      </c>
      <c r="O9238" s="10" t="n"/>
    </row>
    <row r="9239">
      <c r="B9239" s="7" t="n">
        <v>9237</v>
      </c>
      <c r="C9239" t="inlineStr">
        <is>
          <t>Nhân Viên Kế Toán Tổng Hợp- Làm Việc Quận 7</t>
        </is>
      </c>
      <c r="D9239" t="inlineStr">
        <is>
          <t>Công Ty TNHH Đại Tân</t>
        </is>
      </c>
      <c r="E9239" t="inlineStr">
        <is>
          <t>Thương lượng</t>
        </is>
      </c>
      <c r="F9239" t="inlineStr">
        <is>
          <t>Hồ Chí Minh</t>
        </is>
      </c>
      <c r="G9239" t="inlineStr">
        <is>
          <t>Nhân viên</t>
        </is>
      </c>
      <c r="H9239" t="inlineStr">
        <is>
          <t>10/03/2026</t>
        </is>
      </c>
      <c r="I9239" t="inlineStr">
        <is>
          <t>09/04/2026</t>
        </is>
      </c>
      <c r="J9239" t="inlineStr">
        <is>
          <t>17/03/2026</t>
        </is>
      </c>
      <c r="K9239" t="inlineStr">
        <is>
          <t>N/A</t>
        </is>
      </c>
      <c r="L9239" t="inlineStr">
        <is>
          <t>Báo Cáo Thuế, General Accountant, Accounting, Account Receivable, Accounts Payable</t>
        </is>
      </c>
      <c r="M9239" t="inlineStr">
        <is>
          <t>Bonus, Healthcare Plan, Paid Leave</t>
        </is>
      </c>
      <c r="N9239" s="8">
        <f>HYPERLINK("https://www.vietnamworks.com/nhan-vien-ke-toan-tong-hop-lam-viec-quan-7-2020909-jv","Xem chi tiết")</f>
        <v/>
      </c>
    </row>
    <row r="9240">
      <c r="B9240" s="9" t="n">
        <v>9238</v>
      </c>
      <c r="C9240" s="10" t="inlineStr">
        <is>
          <t>Giám Sát Bảo Trì</t>
        </is>
      </c>
      <c r="D9240" s="10" t="inlineStr">
        <is>
          <t>Vietnam Intersnack Cashew Co., Ltd</t>
        </is>
      </c>
      <c r="E9240" s="10" t="inlineStr">
        <is>
          <t>Thương lượng</t>
        </is>
      </c>
      <c r="F9240" s="10" t="inlineStr">
        <is>
          <t>Bình Thuận</t>
        </is>
      </c>
      <c r="G9240" s="10" t="inlineStr">
        <is>
          <t>Nhân viên</t>
        </is>
      </c>
      <c r="H9240" s="10" t="inlineStr">
        <is>
          <t>10/03/2026</t>
        </is>
      </c>
      <c r="I9240" s="10" t="inlineStr">
        <is>
          <t>09/04/2026</t>
        </is>
      </c>
      <c r="J9240" s="10" t="inlineStr">
        <is>
          <t>17/03/2026</t>
        </is>
      </c>
      <c r="K9240" s="10" t="inlineStr">
        <is>
          <t>N/A</t>
        </is>
      </c>
      <c r="L9240" s="10" t="inlineStr">
        <is>
          <t>Giám Sát Bảo Trì, Maintenance, Electrical, Bảo Trì, Mechanical</t>
        </is>
      </c>
      <c r="M9240" s="10" t="inlineStr">
        <is>
          <t>Bonus, Healthcare Plan, Training</t>
        </is>
      </c>
      <c r="N9240" s="11">
        <f>HYPERLINK("https://www.vietnamworks.com/giam-sat-bao-tri--2020913-jv","Xem chi tiết")</f>
        <v/>
      </c>
      <c r="O9240" s="10" t="n"/>
    </row>
    <row r="9241">
      <c r="B9241" s="7" t="n">
        <v>9239</v>
      </c>
      <c r="C9241" t="inlineStr">
        <is>
          <t>Customer Service Executive (Logistics)</t>
        </is>
      </c>
      <c r="D9241" t="inlineStr">
        <is>
          <t>CÔNG TY TNHH MASS WORLDWIDE LOGISTICS (VIỆT NAM) OCEAN</t>
        </is>
      </c>
      <c r="E9241" t="inlineStr">
        <is>
          <t>Thương lượng</t>
        </is>
      </c>
      <c r="F9241" t="inlineStr">
        <is>
          <t>Hồ Chí Minh</t>
        </is>
      </c>
      <c r="G9241" t="inlineStr">
        <is>
          <t>Nhân viên</t>
        </is>
      </c>
      <c r="H9241" t="inlineStr">
        <is>
          <t>10/03/2026</t>
        </is>
      </c>
      <c r="I9241" t="inlineStr">
        <is>
          <t>09/04/2026</t>
        </is>
      </c>
      <c r="J9241" t="inlineStr">
        <is>
          <t>17/03/2026</t>
        </is>
      </c>
      <c r="K9241" t="inlineStr">
        <is>
          <t>N/A</t>
        </is>
      </c>
      <c r="L9241" t="inlineStr">
        <is>
          <t>Logistics, Customer Service, Teamwork, Sales, English</t>
        </is>
      </c>
      <c r="M9241" t="inlineStr">
        <is>
          <t>Bonus, Healthcare Plan, Training, Others</t>
        </is>
      </c>
      <c r="N9241" s="8">
        <f>HYPERLINK("https://www.vietnamworks.com/customer-service-executive-logistics--2020906-jv","Xem chi tiết")</f>
        <v/>
      </c>
    </row>
    <row r="9242">
      <c r="B9242" s="9" t="n">
        <v>9240</v>
      </c>
      <c r="C9242" s="10" t="inlineStr">
        <is>
          <t>Chuyên Viên Tư Vấn Du Học Thu Nhập 20-50 Triệu/ Tháng, Có Sẵn Data + Phụ Cấp (HN, HCM)</t>
        </is>
      </c>
      <c r="D9242" s="10" t="inlineStr">
        <is>
          <t>Công Ty Cổ Phần Giáo Dục American Study</t>
        </is>
      </c>
      <c r="E9242" s="10" t="inlineStr">
        <is>
          <t>Tới 50tr ₫/tháng</t>
        </is>
      </c>
      <c r="F9242" s="10" t="inlineStr">
        <is>
          <t>Hà Nội, Hồ Chí Minh</t>
        </is>
      </c>
      <c r="G9242" s="10" t="inlineStr">
        <is>
          <t>Nhân viên</t>
        </is>
      </c>
      <c r="H9242" s="10" t="inlineStr">
        <is>
          <t>10/03/2026</t>
        </is>
      </c>
      <c r="I9242" s="10" t="inlineStr">
        <is>
          <t>09/04/2026</t>
        </is>
      </c>
      <c r="J9242" s="10" t="inlineStr">
        <is>
          <t>17/03/2026</t>
        </is>
      </c>
      <c r="K9242" s="10" t="inlineStr">
        <is>
          <t>N/A</t>
        </is>
      </c>
      <c r="L9242" s="10" t="inlineStr">
        <is>
          <t>English, Tư Vấn Du Học, Chăm Sóc Khách Hàng, Hỗ Trợ Tư Vấn Du Học, Tư Vấn</t>
        </is>
      </c>
      <c r="M9242" s="10" t="inlineStr">
        <is>
          <t>Bonus, Training, Travel Opportunities, Team Activities, Others</t>
        </is>
      </c>
      <c r="N9242" s="11">
        <f>HYPERLINK("https://www.vietnamworks.com/chuyen-vien-tu-van-du-hoc-thu-nhap-20-50-trieu-thang-co-san-data-phu-cap-hn-hcm-2020916-jv","Xem chi tiết")</f>
        <v/>
      </c>
      <c r="O9242" s="10" t="n"/>
    </row>
    <row r="9243">
      <c r="B9243" s="7" t="n">
        <v>9241</v>
      </c>
      <c r="C9243" t="inlineStr">
        <is>
          <t>Kỹ Sư (Service Engineer) - Open for Fresher</t>
        </is>
      </c>
      <c r="D9243" t="inlineStr">
        <is>
          <t>Amada Vietnam Co.,ltd</t>
        </is>
      </c>
      <c r="E9243" t="inlineStr">
        <is>
          <t>Thương lượng</t>
        </is>
      </c>
      <c r="F9243" t="inlineStr">
        <is>
          <t>Hà Nội, Bắc Ninh</t>
        </is>
      </c>
      <c r="G9243" t="inlineStr">
        <is>
          <t>Mới Tốt Nghiệp</t>
        </is>
      </c>
      <c r="H9243" t="inlineStr">
        <is>
          <t>10/03/2026</t>
        </is>
      </c>
      <c r="I9243" t="inlineStr">
        <is>
          <t>09/04/2026</t>
        </is>
      </c>
      <c r="J9243" t="inlineStr">
        <is>
          <t>17/03/2026</t>
        </is>
      </c>
      <c r="K9243" t="inlineStr">
        <is>
          <t>N/A</t>
        </is>
      </c>
      <c r="L9243" t="inlineStr">
        <is>
          <t>Bảo Hành, Sửa Chữa, Tư Vấn Kỹ Thuật, Xử Lý Sự Cố, Đọc Tài Liệu Kĩ Thuật</t>
        </is>
      </c>
      <c r="M9243" t="inlineStr">
        <is>
          <t>Healthcare Plan, Training, Others</t>
        </is>
      </c>
      <c r="N9243" s="8">
        <f>HYPERLINK("https://www.vietnamworks.com/ky-su-service-engineer-open-for-fresher-2020920-jv","Xem chi tiết")</f>
        <v/>
      </c>
    </row>
    <row r="9244">
      <c r="B9244" s="9" t="n">
        <v>9242</v>
      </c>
      <c r="C9244" s="10" t="inlineStr">
        <is>
          <t>International Sales Executive (B2B &amp; OEM)</t>
        </is>
      </c>
      <c r="D9244" s="10" t="inlineStr">
        <is>
          <t>LOTUS GROUP - LOTUS RICE</t>
        </is>
      </c>
      <c r="E9244" s="10" t="inlineStr">
        <is>
          <t>Thương lượng</t>
        </is>
      </c>
      <c r="F9244" s="10" t="inlineStr">
        <is>
          <t>Hồ Chí Minh</t>
        </is>
      </c>
      <c r="G9244" s="10" t="inlineStr">
        <is>
          <t>Nhân viên</t>
        </is>
      </c>
      <c r="H9244" s="10" t="inlineStr">
        <is>
          <t>10/03/2026</t>
        </is>
      </c>
      <c r="I9244" s="10" t="inlineStr">
        <is>
          <t>09/04/2026</t>
        </is>
      </c>
      <c r="J9244" s="10" t="inlineStr">
        <is>
          <t>17/03/2026</t>
        </is>
      </c>
      <c r="K9244" s="10" t="inlineStr">
        <is>
          <t>N/A</t>
        </is>
      </c>
      <c r="L9244" s="10" t="inlineStr">
        <is>
          <t>Dịch Vụ Khách Hàng, Nhân viên kinh doanh, Sales representative, Sales Consultant, Tư Vấn Bán Hàng</t>
        </is>
      </c>
      <c r="M9244" s="10" t="inlineStr">
        <is>
          <t>Bonus, Team Activities, Others</t>
        </is>
      </c>
      <c r="N9244" s="11">
        <f>HYPERLINK("https://www.vietnamworks.com/international-sales-executive-b2b-oem-2020915-jv","Xem chi tiết")</f>
        <v/>
      </c>
      <c r="O9244" s="10" t="n"/>
    </row>
    <row r="9245">
      <c r="B9245" s="7" t="n">
        <v>9243</v>
      </c>
      <c r="C9245" t="inlineStr">
        <is>
          <t>Quản Lý Đội Xe ( Lương Từ 15-25 Triệu/ Tháng Trở Lên)</t>
        </is>
      </c>
      <c r="D9245" t="inlineStr">
        <is>
          <t>Công ty Cổ Phần Công Nghệ Phú Thành</t>
        </is>
      </c>
      <c r="E9245" t="inlineStr">
        <is>
          <t>15tr-25tr ₫/tháng</t>
        </is>
      </c>
      <c r="F9245" t="inlineStr">
        <is>
          <t>Hà Nội</t>
        </is>
      </c>
      <c r="G9245" t="inlineStr">
        <is>
          <t>Nhân viên</t>
        </is>
      </c>
      <c r="H9245" t="inlineStr">
        <is>
          <t>10/03/2026</t>
        </is>
      </c>
      <c r="I9245" t="inlineStr">
        <is>
          <t>09/04/2026</t>
        </is>
      </c>
      <c r="J9245" t="inlineStr">
        <is>
          <t>17/03/2026</t>
        </is>
      </c>
      <c r="K9245" t="inlineStr">
        <is>
          <t>N/A</t>
        </is>
      </c>
      <c r="L9245" t="inlineStr">
        <is>
          <t>Quản Lý Xe, Giao Thông Vận Tải, Kỹ Thuật, Giám Sát Điều Hành, Giám Sát Đội Xe</t>
        </is>
      </c>
      <c r="M9245" t="inlineStr">
        <is>
          <t>Bonus, Healthcare Plan, Paid Leave, Training, Others</t>
        </is>
      </c>
      <c r="N9245" s="8">
        <f>HYPERLINK("https://www.vietnamworks.com/quan-ly-djoi-xe-luong-tu-15-25-trieu-thang-tro-len-2020911-jv","Xem chi tiết")</f>
        <v/>
      </c>
    </row>
    <row r="9246">
      <c r="B9246" s="9" t="n">
        <v>9244</v>
      </c>
      <c r="C9246" s="10" t="inlineStr">
        <is>
          <t>HR &amp; Admin Assistant Manager</t>
        </is>
      </c>
      <c r="D9246" s="10" t="inlineStr">
        <is>
          <t>Công Ty TNHH Kintetsu World Express Việt Nam</t>
        </is>
      </c>
      <c r="E9246" s="10" t="inlineStr">
        <is>
          <t>Thương lượng</t>
        </is>
      </c>
      <c r="F9246" s="10" t="inlineStr">
        <is>
          <t>Hà Nội</t>
        </is>
      </c>
      <c r="G9246" s="10" t="inlineStr">
        <is>
          <t>Trưởng phòng</t>
        </is>
      </c>
      <c r="H9246" s="10" t="inlineStr">
        <is>
          <t>10/03/2026</t>
        </is>
      </c>
      <c r="I9246" s="10" t="inlineStr">
        <is>
          <t>09/04/2026</t>
        </is>
      </c>
      <c r="J9246" s="10" t="inlineStr">
        <is>
          <t>17/03/2026</t>
        </is>
      </c>
      <c r="K9246" s="10" t="inlineStr">
        <is>
          <t>N/A</t>
        </is>
      </c>
      <c r="L9246" s="10" t="inlineStr">
        <is>
          <t>Analytical Skills, HR Knowledge, Leadership Skills, Operational Management, Process Improvement</t>
        </is>
      </c>
      <c r="M9246" s="10" t="inlineStr">
        <is>
          <t>Bonus, Healthcare Plan, Others</t>
        </is>
      </c>
      <c r="N9246" s="11">
        <f>HYPERLINK("https://www.vietnamworks.com/hr-and-admin-assistant-manager-2020919-jv","Xem chi tiết")</f>
        <v/>
      </c>
      <c r="O9246" s="10" t="n"/>
    </row>
    <row r="9247">
      <c r="B9247" s="7" t="n">
        <v>9245</v>
      </c>
      <c r="C9247" t="inlineStr">
        <is>
          <t>Trợ Lý Tổng Giám Đốc</t>
        </is>
      </c>
      <c r="D9247" t="inlineStr">
        <is>
          <t>Công Ty Cổ Phần Đầu Tư Và Công Nghiệp Tân Tạo</t>
        </is>
      </c>
      <c r="E9247" t="inlineStr">
        <is>
          <t>Thương lượng</t>
        </is>
      </c>
      <c r="F9247" t="inlineStr">
        <is>
          <t>Hồ Chí Minh</t>
        </is>
      </c>
      <c r="G9247" t="inlineStr">
        <is>
          <t>Giám Đốc và Cấp Cao Hơn</t>
        </is>
      </c>
      <c r="H9247" t="inlineStr">
        <is>
          <t>10/03/2026</t>
        </is>
      </c>
      <c r="I9247" t="inlineStr">
        <is>
          <t>09/04/2026</t>
        </is>
      </c>
      <c r="J9247" t="inlineStr">
        <is>
          <t>17/03/2026</t>
        </is>
      </c>
      <c r="K9247" t="inlineStr">
        <is>
          <t>N/A</t>
        </is>
      </c>
      <c r="L9247" t="inlineStr">
        <is>
          <t>Trợ Lý, Tiếng Anh, Nghiệp Vụ Thư Ký, Giao Tiếp, Bất Động Sản</t>
        </is>
      </c>
      <c r="M9247" t="inlineStr">
        <is>
          <t>Bonus, Healthcare Plan, Awards</t>
        </is>
      </c>
      <c r="N9247" s="8">
        <f>HYPERLINK("https://www.vietnamworks.com/tro-ly-tong-giam-doc--2020910-jv","Xem chi tiết")</f>
        <v/>
      </c>
    </row>
    <row r="9248">
      <c r="B9248" s="9" t="n">
        <v>9246</v>
      </c>
      <c r="C9248" s="10" t="inlineStr">
        <is>
          <t>Quản Lý Đơn Hàng</t>
        </is>
      </c>
      <c r="D9248" s="10" t="inlineStr">
        <is>
          <t>Công Ty TNHH Công Nghệ Index</t>
        </is>
      </c>
      <c r="E9248" s="10" t="inlineStr">
        <is>
          <t>10tr-14tr ₫/tháng</t>
        </is>
      </c>
      <c r="F9248" s="10" t="inlineStr">
        <is>
          <t>Hà Nội</t>
        </is>
      </c>
      <c r="G9248" s="10" t="inlineStr">
        <is>
          <t>Trưởng phòng</t>
        </is>
      </c>
      <c r="H9248" s="10" t="inlineStr">
        <is>
          <t>10/03/2026</t>
        </is>
      </c>
      <c r="I9248" s="10" t="inlineStr">
        <is>
          <t>09/04/2026</t>
        </is>
      </c>
      <c r="J9248" s="10" t="inlineStr">
        <is>
          <t>17/03/2026</t>
        </is>
      </c>
      <c r="K9248" s="10" t="inlineStr">
        <is>
          <t>N/A</t>
        </is>
      </c>
      <c r="L9248" s="10" t="inlineStr">
        <is>
          <t>Quản Lý Đơn Hàng, Xuất Nhập Khẩu, Kế Hoạch Giao Hàng, Lập Hồ Sơ Thanh Toán, Theo Dõi Tồn Kho</t>
        </is>
      </c>
      <c r="M9248" s="10" t="inlineStr">
        <is>
          <t>Bonus, Healthcare Plan, Training, Others</t>
        </is>
      </c>
      <c r="N9248" s="11">
        <f>HYPERLINK("https://www.vietnamworks.com/quan-ly-djon-hang-2020903-jv","Xem chi tiết")</f>
        <v/>
      </c>
      <c r="O9248" s="10" t="n"/>
    </row>
    <row r="9249">
      <c r="B9249" s="7" t="n">
        <v>9247</v>
      </c>
      <c r="C9249" t="inlineStr">
        <is>
          <t>Nhân Viên Xử Lý Hồ Sơ Du Học + Lao Động + Định Cư (Document Processing Staff)</t>
        </is>
      </c>
      <c r="D9249" t="inlineStr">
        <is>
          <t>CÔNG TY TNHH GIÁO DỤC &amp; ĐẦU TƯ CANADA WAY</t>
        </is>
      </c>
      <c r="E9249" t="inlineStr">
        <is>
          <t>8tr-10tr ₫/tháng</t>
        </is>
      </c>
      <c r="F9249" t="inlineStr">
        <is>
          <t>Hà Nội</t>
        </is>
      </c>
      <c r="G9249" t="inlineStr">
        <is>
          <t>Mới Tốt Nghiệp</t>
        </is>
      </c>
      <c r="H9249" t="inlineStr">
        <is>
          <t>10/03/2026</t>
        </is>
      </c>
      <c r="I9249" t="inlineStr">
        <is>
          <t>09/04/2026</t>
        </is>
      </c>
      <c r="J9249" t="inlineStr">
        <is>
          <t>17/03/2026</t>
        </is>
      </c>
      <c r="K9249" t="inlineStr">
        <is>
          <t>N/A</t>
        </is>
      </c>
      <c r="L9249" t="inlineStr">
        <is>
          <t>Cẩn Thận, Tiếng Anh Căn Bản</t>
        </is>
      </c>
      <c r="M9249" t="inlineStr">
        <is>
          <t>Bonus, Training, Laptop, Others</t>
        </is>
      </c>
      <c r="N9249" s="8">
        <f>HYPERLINK("https://www.vietnamworks.com/nhan-vien-xu-ly-ho-so-du-hoc-lao-djong-djinh-cu-document-processing-staff-2020917-jv","Xem chi tiết")</f>
        <v/>
      </c>
    </row>
    <row r="9250">
      <c r="B9250" s="9" t="n">
        <v>9248</v>
      </c>
      <c r="C9250" s="10" t="inlineStr">
        <is>
          <t>Senior Business Intelligence Analyst (Chuyên Viên Cao Cấp Quản Lý Vận Hành)</t>
        </is>
      </c>
      <c r="D9250" s="10" t="inlineStr">
        <is>
          <t>GSM</t>
        </is>
      </c>
      <c r="E9250" s="10" t="inlineStr">
        <is>
          <t>$$ 1,000-2,000 /tháng</t>
        </is>
      </c>
      <c r="F9250" s="10" t="inlineStr">
        <is>
          <t>Hà Nội</t>
        </is>
      </c>
      <c r="G9250" s="10" t="inlineStr">
        <is>
          <t>Nhân viên</t>
        </is>
      </c>
      <c r="H9250" s="10" t="inlineStr">
        <is>
          <t>10/03/2026</t>
        </is>
      </c>
      <c r="I9250" s="10" t="inlineStr">
        <is>
          <t>09/04/2026</t>
        </is>
      </c>
      <c r="J9250" s="10" t="inlineStr">
        <is>
          <t>17/03/2026</t>
        </is>
      </c>
      <c r="K9250" s="10" t="inlineStr">
        <is>
          <t>N/A</t>
        </is>
      </c>
      <c r="L9250" s="10" t="inlineStr">
        <is>
          <t>Phân tích dữ liệu, SQL, Business Intelligence, Business Analysis, Data Analysis</t>
        </is>
      </c>
      <c r="M9250" s="10" t="inlineStr">
        <is>
          <t>Bonus, Healthcare Plan, Training</t>
        </is>
      </c>
      <c r="N9250" s="11">
        <f>HYPERLINK("https://www.vietnamworks.com/senior-business-intelligence-analyst-chuyen-vien-cao-cap-quan-ly-van-hanh-2020905-jv","Xem chi tiết")</f>
        <v/>
      </c>
      <c r="O9250" s="10" t="n"/>
    </row>
    <row r="9251">
      <c r="B9251" s="7" t="n">
        <v>9249</v>
      </c>
      <c r="C9251" t="inlineStr">
        <is>
          <t>Trưởng Phòng Cấp Cao - Kiểm soát Tuân thủ, Rủi ro Tài chính</t>
        </is>
      </c>
      <c r="D9251" t="inlineStr">
        <is>
          <t>CÔNG TY CỔ PHẦN GREENFEED VIỆT NAM</t>
        </is>
      </c>
      <c r="E9251" t="inlineStr">
        <is>
          <t>Thương lượng</t>
        </is>
      </c>
      <c r="F9251" t="inlineStr">
        <is>
          <t>Hồ Chí Minh</t>
        </is>
      </c>
      <c r="G9251" t="inlineStr">
        <is>
          <t>Trưởng phòng</t>
        </is>
      </c>
      <c r="H9251" t="inlineStr">
        <is>
          <t>10/03/2026</t>
        </is>
      </c>
      <c r="I9251" t="inlineStr">
        <is>
          <t>09/04/2026</t>
        </is>
      </c>
      <c r="J9251" t="inlineStr">
        <is>
          <t>17/03/2026</t>
        </is>
      </c>
      <c r="K9251" t="inlineStr">
        <is>
          <t>N/A</t>
        </is>
      </c>
      <c r="L9251" t="inlineStr">
        <is>
          <t>Kiểm Soát Rủi Ro, Kiểm Soát Tuân Thủ, Kiểm toán</t>
        </is>
      </c>
      <c r="M9251" t="inlineStr">
        <is>
          <t>Bonus, Healthcare Plan, Training, Laptop</t>
        </is>
      </c>
      <c r="N9251" s="8">
        <f>HYPERLINK("https://www.vietnamworks.com/truong-phong-cap-cao-kiem-soat-tuan-thu-rui-ro-tai-chinh-2020908-jv","Xem chi tiết")</f>
        <v/>
      </c>
    </row>
    <row r="9252">
      <c r="B9252" s="9" t="n">
        <v>9250</v>
      </c>
      <c r="C9252" s="10" t="inlineStr">
        <is>
          <t>Maintenance Supervisor</t>
        </is>
      </c>
      <c r="D9252" s="10" t="inlineStr">
        <is>
          <t>Vietnam Intersnack Cashew Co., Ltd</t>
        </is>
      </c>
      <c r="E9252" s="10" t="inlineStr">
        <is>
          <t>Thương lượng</t>
        </is>
      </c>
      <c r="F9252" s="10" t="inlineStr">
        <is>
          <t>Bình Thuận</t>
        </is>
      </c>
      <c r="G9252" s="10" t="inlineStr">
        <is>
          <t>Nhân viên</t>
        </is>
      </c>
      <c r="H9252" s="10" t="inlineStr">
        <is>
          <t>10/03/2026</t>
        </is>
      </c>
      <c r="I9252" s="10" t="inlineStr">
        <is>
          <t>09/04/2026</t>
        </is>
      </c>
      <c r="J9252" s="10" t="inlineStr">
        <is>
          <t>17/03/2026</t>
        </is>
      </c>
      <c r="K9252" s="10" t="inlineStr">
        <is>
          <t>N/A</t>
        </is>
      </c>
      <c r="L9252" s="10" t="inlineStr">
        <is>
          <t>Electrical, Maintenance, Giám Sát Bảo Trì, Bảo Trì, Mechanical</t>
        </is>
      </c>
      <c r="M9252" s="10" t="inlineStr">
        <is>
          <t>Bonus, Healthcare Plan, Training</t>
        </is>
      </c>
      <c r="N9252" s="11">
        <f>HYPERLINK("https://www.vietnamworks.com/maintenance-supervisor--2020918-jv","Xem chi tiết")</f>
        <v/>
      </c>
      <c r="O9252" s="10" t="n"/>
    </row>
    <row r="9253">
      <c r="B9253" s="7" t="n">
        <v>9251</v>
      </c>
      <c r="C9253" t="inlineStr">
        <is>
          <t>Junior Operations Coordinator (LATAM) - Hybrid</t>
        </is>
      </c>
      <c r="D9253" t="inlineStr">
        <is>
          <t>NEYU</t>
        </is>
      </c>
      <c r="E9253" t="inlineStr">
        <is>
          <t>Thương lượng</t>
        </is>
      </c>
      <c r="F9253" t="inlineStr">
        <is>
          <t>Hồ Chí Minh, Hà Nội</t>
        </is>
      </c>
      <c r="G9253" t="inlineStr">
        <is>
          <t>Nhân viên</t>
        </is>
      </c>
      <c r="H9253" t="inlineStr">
        <is>
          <t>10/03/2026</t>
        </is>
      </c>
      <c r="I9253" t="inlineStr">
        <is>
          <t>09/04/2026</t>
        </is>
      </c>
      <c r="J9253" t="inlineStr">
        <is>
          <t>17/03/2026</t>
        </is>
      </c>
      <c r="K9253" t="inlineStr">
        <is>
          <t>N/A</t>
        </is>
      </c>
      <c r="L9253" t="inlineStr">
        <is>
          <t>Project Coordination, Finance Analyst, Spanish Teaching, Spanish, Fluent In Spanish</t>
        </is>
      </c>
      <c r="M9253" t="inlineStr">
        <is>
          <t>Bonus, Healthcare Plan, Travel Opportunities</t>
        </is>
      </c>
      <c r="N9253" s="8">
        <f>HYPERLINK("https://www.vietnamworks.com/junior-operations-coordinator-latam-hybrid-2020902-jv","Xem chi tiết")</f>
        <v/>
      </c>
    </row>
    <row r="9254">
      <c r="B9254" s="9" t="n">
        <v>9252</v>
      </c>
      <c r="C9254" s="10" t="inlineStr">
        <is>
          <t>Product Researcher</t>
        </is>
      </c>
      <c r="D9254" s="10" t="inlineStr">
        <is>
          <t>Công Ty TNHH Thiết Kế Thương Mại DLS</t>
        </is>
      </c>
      <c r="E9254" s="10" t="inlineStr">
        <is>
          <t>Tới 30tr ₫/tháng</t>
        </is>
      </c>
      <c r="F9254" s="10" t="inlineStr">
        <is>
          <t>Thanh Hóa, Hà Nội</t>
        </is>
      </c>
      <c r="G9254" s="10" t="inlineStr">
        <is>
          <t>Nhân viên</t>
        </is>
      </c>
      <c r="H9254" s="10" t="inlineStr">
        <is>
          <t>10/03/2026</t>
        </is>
      </c>
      <c r="I9254" s="10" t="inlineStr">
        <is>
          <t>09/04/2026</t>
        </is>
      </c>
      <c r="J9254" s="10" t="inlineStr">
        <is>
          <t>17/03/2026</t>
        </is>
      </c>
      <c r="K9254" s="10" t="inlineStr">
        <is>
          <t>N/A</t>
        </is>
      </c>
      <c r="L9254" s="10" t="inlineStr">
        <is>
          <t>Creativity, Product Research, Design Tools, E-Commerce, English</t>
        </is>
      </c>
      <c r="M9254" s="10" t="inlineStr">
        <is>
          <t>Bonus, Healthcare Plan, Training, Laptop, Travel Opportunities</t>
        </is>
      </c>
      <c r="N9254" s="11">
        <f>HYPERLINK("https://www.vietnamworks.com/product-researcher-2020921-jv","Xem chi tiết")</f>
        <v/>
      </c>
      <c r="O9254" s="10" t="n"/>
    </row>
    <row r="9255">
      <c r="B9255" s="7" t="n">
        <v>9253</v>
      </c>
      <c r="C9255" t="inlineStr">
        <is>
          <t>Nhân Viên Kế Toán Bán Hàng</t>
        </is>
      </c>
      <c r="D9255" t="inlineStr">
        <is>
          <t>CÔNG TY CỔ PHẦN GREENFEED VIỆT NAM</t>
        </is>
      </c>
      <c r="E9255" t="inlineStr">
        <is>
          <t>Thương lượng</t>
        </is>
      </c>
      <c r="F9255" t="inlineStr">
        <is>
          <t>Hồ Chí Minh</t>
        </is>
      </c>
      <c r="G9255" t="inlineStr">
        <is>
          <t>Nhân viên</t>
        </is>
      </c>
      <c r="H9255" t="inlineStr">
        <is>
          <t>10/03/2026</t>
        </is>
      </c>
      <c r="I9255" t="inlineStr">
        <is>
          <t>09/04/2026</t>
        </is>
      </c>
      <c r="J9255" t="inlineStr">
        <is>
          <t>17/03/2026</t>
        </is>
      </c>
      <c r="K9255" t="inlineStr">
        <is>
          <t>N/A</t>
        </is>
      </c>
      <c r="L9255" t="inlineStr">
        <is>
          <t>Cẩn Thận, Kế Toán Thuế, Kỹ năng giao tiếp, Lập Trình ERP, Quy Trình Mua Sắm</t>
        </is>
      </c>
      <c r="M9255" t="inlineStr">
        <is>
          <t>Bonus, Healthcare Plan, Paid Leave, Training</t>
        </is>
      </c>
      <c r="N9255" s="8">
        <f>HYPERLINK("https://www.vietnamworks.com/nhan-vien-ke-toan-ban-hang-2020896-jv","Xem chi tiết")</f>
        <v/>
      </c>
    </row>
    <row r="9256">
      <c r="B9256" s="9" t="n">
        <v>9254</v>
      </c>
      <c r="C9256" s="10" t="inlineStr">
        <is>
          <t>Nhân Viên QC (CS)</t>
        </is>
      </c>
      <c r="D9256" s="10" t="inlineStr">
        <is>
          <t>Công Ty TNHH Jaeyoung Vina</t>
        </is>
      </c>
      <c r="E9256" s="10" t="inlineStr">
        <is>
          <t>12tr-18tr ₫/tháng</t>
        </is>
      </c>
      <c r="F9256" s="10" t="inlineStr">
        <is>
          <t>Bắc Ninh</t>
        </is>
      </c>
      <c r="G9256" s="10" t="inlineStr">
        <is>
          <t>Nhân viên</t>
        </is>
      </c>
      <c r="H9256" s="10" t="inlineStr">
        <is>
          <t>10/03/2026</t>
        </is>
      </c>
      <c r="I9256" s="10" t="inlineStr">
        <is>
          <t>25/03/2026</t>
        </is>
      </c>
      <c r="J9256" s="10" t="inlineStr">
        <is>
          <t>17/03/2026</t>
        </is>
      </c>
      <c r="K9256" s="10" t="inlineStr">
        <is>
          <t>N/A</t>
        </is>
      </c>
      <c r="L9256" s="10" t="inlineStr">
        <is>
          <t>Xử Lý Tình Huống, Đàm Phán, Thiết Lập Đối Sách Cải Tiến 8D, Kĩ Năng Office, Làm Việc Nhóm</t>
        </is>
      </c>
      <c r="M9256" s="10" t="inlineStr">
        <is>
          <t>Bonus, Healthcare Plan, Awards, Others</t>
        </is>
      </c>
      <c r="N9256" s="11">
        <f>HYPERLINK("https://www.vietnamworks.com/nhan-vien-qc-cs-2020943-jv","Xem chi tiết")</f>
        <v/>
      </c>
      <c r="O9256" s="10" t="n"/>
    </row>
    <row r="9257">
      <c r="B9257" s="7" t="n">
        <v>9255</v>
      </c>
      <c r="C9257" t="inlineStr">
        <is>
          <t>Kỹ Sư Điện</t>
        </is>
      </c>
      <c r="D9257" t="inlineStr">
        <is>
          <t>Công Ty Cổ Phần Đầu Tư Và Công Nghiệp Tân Tạo</t>
        </is>
      </c>
      <c r="E9257" t="inlineStr">
        <is>
          <t>Thương lượng</t>
        </is>
      </c>
      <c r="F9257" t="inlineStr">
        <is>
          <t>Hồ Chí Minh</t>
        </is>
      </c>
      <c r="G9257" t="inlineStr">
        <is>
          <t>Nhân viên</t>
        </is>
      </c>
      <c r="H9257" t="inlineStr">
        <is>
          <t>10/03/2026</t>
        </is>
      </c>
      <c r="I9257" t="inlineStr">
        <is>
          <t>09/04/2026</t>
        </is>
      </c>
      <c r="J9257" t="inlineStr">
        <is>
          <t>17/03/2026</t>
        </is>
      </c>
      <c r="K9257" t="inlineStr">
        <is>
          <t>N/A</t>
        </is>
      </c>
      <c r="L9257" t="inlineStr">
        <is>
          <t>Điện, Kỹ Thuật Điện</t>
        </is>
      </c>
      <c r="M9257" t="inlineStr">
        <is>
          <t>Bonus, Healthcare Plan, Awards</t>
        </is>
      </c>
      <c r="N9257" s="8">
        <f>HYPERLINK("https://www.vietnamworks.com/ky-su-dien--2020935-jv","Xem chi tiết")</f>
        <v/>
      </c>
    </row>
    <row r="9258">
      <c r="B9258" s="9" t="n">
        <v>9256</v>
      </c>
      <c r="C9258" s="10" t="inlineStr">
        <is>
          <t>Safety Officer</t>
        </is>
      </c>
      <c r="D9258" s="10" t="inlineStr">
        <is>
          <t>Fujitec Vietnam Co., Ltd.</t>
        </is>
      </c>
      <c r="E9258" s="10" t="inlineStr">
        <is>
          <t>Thương lượng</t>
        </is>
      </c>
      <c r="F9258" s="10" t="inlineStr">
        <is>
          <t>Hà Nội</t>
        </is>
      </c>
      <c r="G9258" s="10" t="inlineStr">
        <is>
          <t>Nhân viên</t>
        </is>
      </c>
      <c r="H9258" s="10" t="inlineStr">
        <is>
          <t>10/03/2026</t>
        </is>
      </c>
      <c r="I9258" s="10" t="inlineStr">
        <is>
          <t>09/04/2026</t>
        </is>
      </c>
      <c r="J9258" s="10" t="inlineStr">
        <is>
          <t>17/03/2026</t>
        </is>
      </c>
      <c r="K9258" s="10" t="inlineStr">
        <is>
          <t>N/A</t>
        </is>
      </c>
      <c r="L9258" s="10" t="inlineStr">
        <is>
          <t>An Toàn Lao Động, Giao Tiếp Tiếng Anh, Tin Học Văn Phòng, Giao Tiếp, Làm Việc Nhóm</t>
        </is>
      </c>
      <c r="M9258" s="10" t="inlineStr">
        <is>
          <t>Bonus, Healthcare Plan, Paid Leave</t>
        </is>
      </c>
      <c r="N9258" s="11">
        <f>HYPERLINK("https://www.vietnamworks.com/safety-officer-2020922-jv","Xem chi tiết")</f>
        <v/>
      </c>
      <c r="O9258" s="10" t="n"/>
    </row>
    <row r="9259">
      <c r="B9259" s="7" t="n">
        <v>9257</v>
      </c>
      <c r="C9259" t="inlineStr">
        <is>
          <t>Nhân Viên Thiết Kế (TOEIC 500 Hoặc Tiếng Nhật N3)</t>
        </is>
      </c>
      <c r="D9259" t="inlineStr">
        <is>
          <t>CÔNG TY TNHH BX BUNKA VIỆT NAM</t>
        </is>
      </c>
      <c r="E9259" t="inlineStr">
        <is>
          <t>Thương lượng</t>
        </is>
      </c>
      <c r="F9259" t="inlineStr">
        <is>
          <t>Hà Nội, Hồ Chí Minh</t>
        </is>
      </c>
      <c r="G9259" t="inlineStr">
        <is>
          <t>Nhân viên</t>
        </is>
      </c>
      <c r="H9259" t="inlineStr">
        <is>
          <t>10/03/2026</t>
        </is>
      </c>
      <c r="I9259" t="inlineStr">
        <is>
          <t>09/04/2026</t>
        </is>
      </c>
      <c r="J9259" t="inlineStr">
        <is>
          <t>17/03/2026</t>
        </is>
      </c>
      <c r="K9259" t="inlineStr">
        <is>
          <t>N/A</t>
        </is>
      </c>
      <c r="L9259" t="inlineStr">
        <is>
          <t>AutoCAD, SAP2000, Etabs, 3D Modeling, Teamwork</t>
        </is>
      </c>
      <c r="M9259" t="inlineStr">
        <is>
          <t>Healthcare Plan, Transportation, Others</t>
        </is>
      </c>
      <c r="N9259" s="8">
        <f>HYPERLINK("https://www.vietnamworks.com/nhan-vien-thiet-ke-toeic-500-hoac-tieng-nhat-n3-2020936-jv","Xem chi tiết")</f>
        <v/>
      </c>
    </row>
    <row r="9260">
      <c r="B9260" s="9" t="n">
        <v>9258</v>
      </c>
      <c r="C9260" s="10" t="inlineStr">
        <is>
          <t>Nhân Viên Phát Triển Đối Tác Tài Xế</t>
        </is>
      </c>
      <c r="D9260" s="10" t="inlineStr">
        <is>
          <t>Công Ty Cổ Phần Thương Mại - Dịch Vụ Moov</t>
        </is>
      </c>
      <c r="E9260" s="10" t="inlineStr">
        <is>
          <t>Thương lượng</t>
        </is>
      </c>
      <c r="F9260" s="10" t="inlineStr">
        <is>
          <t>Hồ Chí Minh</t>
        </is>
      </c>
      <c r="G9260" s="10" t="inlineStr">
        <is>
          <t>Nhân viên</t>
        </is>
      </c>
      <c r="H9260" s="10" t="inlineStr">
        <is>
          <t>10/03/2026</t>
        </is>
      </c>
      <c r="I9260" s="10" t="inlineStr">
        <is>
          <t>09/04/2026</t>
        </is>
      </c>
      <c r="J9260" s="10" t="inlineStr">
        <is>
          <t>17/03/2026</t>
        </is>
      </c>
      <c r="K9260" s="10" t="inlineStr">
        <is>
          <t>N/A</t>
        </is>
      </c>
      <c r="L9260" s="10" t="inlineStr">
        <is>
          <t>Chăm Sóc Khách Hàng, Logistics, Phát Triển Đối Tác, Tìm Kiếm Đối Tác, Điều Phối Vận Tải</t>
        </is>
      </c>
      <c r="M9260" s="10" t="inlineStr">
        <is>
          <t>Bonus, Healthcare Plan, Paid Leave, Training, Team Activities, Others</t>
        </is>
      </c>
      <c r="N9260" s="11">
        <f>HYPERLINK("https://www.vietnamworks.com/nhan-vien-phat-trien-djoi-tac-tai-xe-2020942-jv","Xem chi tiết")</f>
        <v/>
      </c>
      <c r="O9260" s="10" t="n"/>
    </row>
    <row r="9261">
      <c r="B9261" s="7" t="n">
        <v>9259</v>
      </c>
      <c r="C9261" t="inlineStr">
        <is>
          <t>[ Hot Job ] HR Coordinator</t>
        </is>
      </c>
      <c r="D9261" t="inlineStr">
        <is>
          <t>Piaggio Vietnam Co., Ltd (Pvn)</t>
        </is>
      </c>
      <c r="E9261" t="inlineStr">
        <is>
          <t>Thương lượng</t>
        </is>
      </c>
      <c r="F9261" t="inlineStr">
        <is>
          <t>Hồ Chí Minh</t>
        </is>
      </c>
      <c r="G9261" t="inlineStr">
        <is>
          <t>Mới Tốt Nghiệp</t>
        </is>
      </c>
      <c r="H9261" t="inlineStr">
        <is>
          <t>10/03/2026</t>
        </is>
      </c>
      <c r="I9261" t="inlineStr">
        <is>
          <t>09/04/2026</t>
        </is>
      </c>
      <c r="J9261" t="inlineStr">
        <is>
          <t>17/03/2026</t>
        </is>
      </c>
      <c r="K9261" t="inlineStr">
        <is>
          <t>N/A</t>
        </is>
      </c>
      <c r="L9261" t="inlineStr">
        <is>
          <t>Accounting Standards, Budget Forecasting, Cost Controlling, Financial Analysis</t>
        </is>
      </c>
      <c r="M9261" t="inlineStr">
        <is>
          <t>Bonus, Healthcare Plan, Paid Leave, Training, Team Activities, Vouchers</t>
        </is>
      </c>
      <c r="N9261" s="8">
        <f>HYPERLINK("https://www.vietnamworks.com/hot-job-hr-coordinator-2020951-jv","Xem chi tiết")</f>
        <v/>
      </c>
    </row>
    <row r="9262">
      <c r="B9262" s="9" t="n">
        <v>9260</v>
      </c>
      <c r="C9262" s="10" t="inlineStr">
        <is>
          <t>Giám Đốc Phát Triển Đối Tác Eatery Network</t>
        </is>
      </c>
      <c r="D9262" s="10" t="inlineStr">
        <is>
          <t>CÔNG TY CỔ PHẦN ẤN TƯỢNG TRUYỀN THÔNG VIỆT</t>
        </is>
      </c>
      <c r="E9262" s="10" t="inlineStr">
        <is>
          <t>70tr-80tr ₫/tháng</t>
        </is>
      </c>
      <c r="F9262" s="10" t="inlineStr">
        <is>
          <t>Hồ Chí Minh</t>
        </is>
      </c>
      <c r="G9262" s="10" t="inlineStr">
        <is>
          <t>Giám Đốc và Cấp Cao Hơn</t>
        </is>
      </c>
      <c r="H9262" s="10" t="inlineStr">
        <is>
          <t>10/03/2026</t>
        </is>
      </c>
      <c r="I9262" s="10" t="inlineStr">
        <is>
          <t>09/04/2026</t>
        </is>
      </c>
      <c r="J9262" s="10" t="inlineStr">
        <is>
          <t>17/03/2026</t>
        </is>
      </c>
      <c r="K9262" s="10" t="inlineStr">
        <is>
          <t>N/A</t>
        </is>
      </c>
      <c r="L9262" s="10" t="inlineStr">
        <is>
          <t>Business Development, F&amp;B, Merchant Development</t>
        </is>
      </c>
      <c r="M9262" s="10" t="inlineStr">
        <is>
          <t>Others</t>
        </is>
      </c>
      <c r="N9262" s="11">
        <f>HYPERLINK("https://www.vietnamworks.com/giam-djoc-phat-trien-djoi-tac-eatery-network-2020961-jv","Xem chi tiết")</f>
        <v/>
      </c>
      <c r="O9262" s="10" t="n"/>
    </row>
    <row r="9263">
      <c r="B9263" s="7" t="n">
        <v>9261</v>
      </c>
      <c r="C9263" t="inlineStr">
        <is>
          <t>C&amp;B Operations Specialist (Up-To 20 Months Of Annual Salary)</t>
        </is>
      </c>
      <c r="D9263" t="inlineStr">
        <is>
          <t>Crossian Việt Nam</t>
        </is>
      </c>
      <c r="E9263" t="inlineStr">
        <is>
          <t>13tr-17tr ₫/tháng</t>
        </is>
      </c>
      <c r="F9263" t="inlineStr">
        <is>
          <t>Hà Nội</t>
        </is>
      </c>
      <c r="G9263" t="inlineStr">
        <is>
          <t>Nhân viên</t>
        </is>
      </c>
      <c r="H9263" t="inlineStr">
        <is>
          <t>10/03/2026</t>
        </is>
      </c>
      <c r="I9263" t="inlineStr">
        <is>
          <t>09/04/2026</t>
        </is>
      </c>
      <c r="J9263" t="inlineStr">
        <is>
          <t>17/03/2026</t>
        </is>
      </c>
      <c r="K9263" t="inlineStr">
        <is>
          <t>N/A</t>
        </is>
      </c>
      <c r="L9263" t="inlineStr">
        <is>
          <t>C&amp;B, HRIS, HR, Nhân Sự, Health Insurance</t>
        </is>
      </c>
      <c r="M9263" t="inlineStr">
        <is>
          <t>Bonus, Healthcare Plan, Others</t>
        </is>
      </c>
      <c r="N9263" s="8">
        <f>HYPERLINK("https://www.vietnamworks.com/c-b-operations-specialist-up-to-20-months-of-annual-salary-2020950-jv","Xem chi tiết")</f>
        <v/>
      </c>
    </row>
    <row r="9264">
      <c r="B9264" s="9" t="n">
        <v>9262</v>
      </c>
      <c r="C9264" s="10" t="inlineStr">
        <is>
          <t>Kỹ Sư Định Giá</t>
        </is>
      </c>
      <c r="D9264" s="10" t="inlineStr">
        <is>
          <t>CÔNG TY TNHH THƯƠNG MẠI VÀ XÂY LẮP MEIKO</t>
        </is>
      </c>
      <c r="E9264" s="10" t="inlineStr">
        <is>
          <t>Thương lượng</t>
        </is>
      </c>
      <c r="F9264" s="10" t="inlineStr">
        <is>
          <t>Hòa Bình, Hà Nội</t>
        </is>
      </c>
      <c r="G9264" s="10" t="inlineStr">
        <is>
          <t>Nhân viên</t>
        </is>
      </c>
      <c r="H9264" s="10" t="inlineStr">
        <is>
          <t>10/03/2026</t>
        </is>
      </c>
      <c r="I9264" s="10" t="inlineStr">
        <is>
          <t>09/04/2026</t>
        </is>
      </c>
      <c r="J9264" s="10" t="inlineStr">
        <is>
          <t>17/03/2026</t>
        </is>
      </c>
      <c r="K9264" s="10" t="inlineStr">
        <is>
          <t>N/A</t>
        </is>
      </c>
      <c r="L9264" s="10" t="inlineStr">
        <is>
          <t>Định Giá, Làm Dự Toán, AutoCAD, Office Support, Quantity Surveyor</t>
        </is>
      </c>
      <c r="M9264" s="10" t="inlineStr">
        <is>
          <t>Bonus, Awards, Others</t>
        </is>
      </c>
      <c r="N9264" s="11">
        <f>HYPERLINK("https://www.vietnamworks.com/ky-su-djinh-gia-2020933-jv","Xem chi tiết")</f>
        <v/>
      </c>
      <c r="O9264" s="10" t="n"/>
    </row>
    <row r="9265">
      <c r="B9265" s="7" t="n">
        <v>9263</v>
      </c>
      <c r="C9265" t="inlineStr">
        <is>
          <t>Operation Manager</t>
        </is>
      </c>
      <c r="D9265" t="inlineStr">
        <is>
          <t>Công Ty Cổ Phần Thương Mại - Dịch Vụ Moov</t>
        </is>
      </c>
      <c r="E9265" t="inlineStr">
        <is>
          <t>Thương lượng</t>
        </is>
      </c>
      <c r="F9265" t="inlineStr">
        <is>
          <t>Hồ Chí Minh</t>
        </is>
      </c>
      <c r="G9265" t="inlineStr">
        <is>
          <t>Trưởng phòng</t>
        </is>
      </c>
      <c r="H9265" t="inlineStr">
        <is>
          <t>10/03/2026</t>
        </is>
      </c>
      <c r="I9265" t="inlineStr">
        <is>
          <t>09/04/2026</t>
        </is>
      </c>
      <c r="J9265" t="inlineStr">
        <is>
          <t>17/03/2026</t>
        </is>
      </c>
      <c r="K9265" t="inlineStr">
        <is>
          <t>N/A</t>
        </is>
      </c>
      <c r="L9265" t="inlineStr">
        <is>
          <t>Agile Management, Business Administration, Operations Management, Python</t>
        </is>
      </c>
      <c r="M9265" t="inlineStr">
        <is>
          <t>Bonus, Healthcare Plan, Paid Leave, Others</t>
        </is>
      </c>
      <c r="N9265" s="8">
        <f>HYPERLINK("https://www.vietnamworks.com/operation-manager-2020956-jv","Xem chi tiết")</f>
        <v/>
      </c>
    </row>
    <row r="9266">
      <c r="B9266" s="9" t="n">
        <v>9264</v>
      </c>
      <c r="C9266" s="10" t="inlineStr">
        <is>
          <t>Nhân Viên Điều Hành Tour / Sự Kiện</t>
        </is>
      </c>
      <c r="D9266" s="10" t="inlineStr">
        <is>
          <t>Công ty cổ phần du lịch và sự kiện Dawn Việt</t>
        </is>
      </c>
      <c r="E9266" s="10" t="inlineStr">
        <is>
          <t>Thương lượng</t>
        </is>
      </c>
      <c r="F9266" s="10" t="inlineStr">
        <is>
          <t>Hà Nội</t>
        </is>
      </c>
      <c r="G9266" s="10" t="inlineStr">
        <is>
          <t>Nhân viên</t>
        </is>
      </c>
      <c r="H9266" s="10" t="inlineStr">
        <is>
          <t>10/03/2026</t>
        </is>
      </c>
      <c r="I9266" s="10" t="inlineStr">
        <is>
          <t>09/04/2026</t>
        </is>
      </c>
      <c r="J9266" s="10" t="inlineStr">
        <is>
          <t>17/03/2026</t>
        </is>
      </c>
      <c r="K9266" s="10" t="inlineStr">
        <is>
          <t>N/A</t>
        </is>
      </c>
      <c r="L9266" s="10" t="inlineStr">
        <is>
          <t>Quản Lý Tour, Xử Lý Sự Cố, Quản Lý Sự Kiện, Tour Sự Kiện, Điều Hành Sự Kiện</t>
        </is>
      </c>
      <c r="M9266" s="10" t="inlineStr">
        <is>
          <t>Bonus, Others</t>
        </is>
      </c>
      <c r="N9266" s="11">
        <f>HYPERLINK("https://www.vietnamworks.com/nhan-vien-djieu-hanh-tour-su-kien-2020954-jv","Xem chi tiết")</f>
        <v/>
      </c>
      <c r="O9266" s="10" t="n"/>
    </row>
    <row r="9267">
      <c r="B9267" s="7" t="n">
        <v>9265</v>
      </c>
      <c r="C9267" t="inlineStr">
        <is>
          <t>Trưởng Ban Pháp Chế – Tập Đoàn Detech</t>
        </is>
      </c>
      <c r="D9267" t="inlineStr">
        <is>
          <t>Công Ty Cổ Phần Cà Phê Detech</t>
        </is>
      </c>
      <c r="E9267" t="inlineStr">
        <is>
          <t>Thương lượng</t>
        </is>
      </c>
      <c r="F9267" t="inlineStr">
        <is>
          <t>Hà Nội</t>
        </is>
      </c>
      <c r="G9267" t="inlineStr">
        <is>
          <t>Trưởng phòng</t>
        </is>
      </c>
      <c r="H9267" t="inlineStr">
        <is>
          <t>10/03/2026</t>
        </is>
      </c>
      <c r="I9267" t="inlineStr">
        <is>
          <t>09/04/2026</t>
        </is>
      </c>
      <c r="J9267" t="inlineStr">
        <is>
          <t>17/03/2026</t>
        </is>
      </c>
      <c r="K9267" t="inlineStr">
        <is>
          <t>N/A</t>
        </is>
      </c>
      <c r="L9267" t="inlineStr">
        <is>
          <t>Pháp Lý Doanh Nghiệp, Quản lý pháp chế, Pháp Lý Dự Án Đầu Tư, Đầu Tư Bất Động Sản, Kiểm Soát Tuân Thủ</t>
        </is>
      </c>
      <c r="M9267" t="inlineStr">
        <is>
          <t>Bonus, Training, Team Activities</t>
        </is>
      </c>
      <c r="N9267" s="8">
        <f>HYPERLINK("https://www.vietnamworks.com/truong-ban-phap-che-tap-doan-detech-2020958-jv","Xem chi tiết")</f>
        <v/>
      </c>
    </row>
    <row r="9268">
      <c r="B9268" s="9" t="n">
        <v>9266</v>
      </c>
      <c r="C9268" s="10" t="inlineStr">
        <is>
          <t>Kỹ Sư Giám Sát Thi Công Xây Dựng &amp; Cơ Điện</t>
        </is>
      </c>
      <c r="D9268" s="10" t="inlineStr">
        <is>
          <t>CÔNG TY TNHH THƯƠNG MẠI VÀ XÂY LẮP MEIKO</t>
        </is>
      </c>
      <c r="E9268" s="10" t="inlineStr">
        <is>
          <t>Thương lượng</t>
        </is>
      </c>
      <c r="F9268" s="10" t="inlineStr">
        <is>
          <t>Hòa Bình, Hà Nội</t>
        </is>
      </c>
      <c r="G9268" s="10" t="inlineStr">
        <is>
          <t>Nhân viên</t>
        </is>
      </c>
      <c r="H9268" s="10" t="inlineStr">
        <is>
          <t>10/03/2026</t>
        </is>
      </c>
      <c r="I9268" s="10" t="inlineStr">
        <is>
          <t>09/04/2026</t>
        </is>
      </c>
      <c r="J9268" s="10" t="inlineStr">
        <is>
          <t>17/03/2026</t>
        </is>
      </c>
      <c r="K9268" s="10" t="inlineStr">
        <is>
          <t>N/A</t>
        </is>
      </c>
      <c r="L9268" s="10" t="inlineStr">
        <is>
          <t>Định Giá, Làm Dự Toán, AutoCAD, Office Support, Chăm sóc</t>
        </is>
      </c>
      <c r="M9268" s="10" t="inlineStr">
        <is>
          <t>Bonus, Awards, Others</t>
        </is>
      </c>
      <c r="N9268" s="11">
        <f>HYPERLINK("https://www.vietnamworks.com/ky-su-giam-sat-thi-cong-xay-dung-and-co-djien-2020940-jv","Xem chi tiết")</f>
        <v/>
      </c>
      <c r="O9268" s="10" t="n"/>
    </row>
    <row r="9269">
      <c r="B9269" s="7" t="n">
        <v>9267</v>
      </c>
      <c r="C9269" t="inlineStr">
        <is>
          <t>[Gấp] Kỹ Sư Cơ Điện, Cấp Thoát Nước, Điều Hòa, PCCC Công Trường (Upto 40 Tr)</t>
        </is>
      </c>
      <c r="D9269" t="inlineStr">
        <is>
          <t>Công ty cổ phần cơ điện Himep https://himep.vn/</t>
        </is>
      </c>
      <c r="E9269" t="inlineStr">
        <is>
          <t>Tới 40tr ₫/tháng</t>
        </is>
      </c>
      <c r="F9269" t="inlineStr">
        <is>
          <t>Hải Phòng, Quảng Ninh, Hà Nội</t>
        </is>
      </c>
      <c r="G9269" t="inlineStr">
        <is>
          <t>Nhân viên</t>
        </is>
      </c>
      <c r="H9269" t="inlineStr">
        <is>
          <t>10/03/2026</t>
        </is>
      </c>
      <c r="I9269" t="inlineStr">
        <is>
          <t>09/04/2026</t>
        </is>
      </c>
      <c r="J9269" t="inlineStr">
        <is>
          <t>17/03/2026</t>
        </is>
      </c>
      <c r="K9269" t="inlineStr">
        <is>
          <t>N/A</t>
        </is>
      </c>
      <c r="L9269" t="inlineStr">
        <is>
          <t>Cơ Điện, Thiết Kế Hệ Thống, Thi Công Hệ Thống Cơ Điện, Giám Sát Công Trường</t>
        </is>
      </c>
      <c r="M9269" t="inlineStr">
        <is>
          <t>Bonus, Healthcare Plan, Paid Leave, Training, Others</t>
        </is>
      </c>
      <c r="N9269" s="8">
        <f>HYPERLINK("https://www.vietnamworks.com/gap-ky-su-co-dien-cap-thoat-nuoc-dieu-hoa-pccc-cong-truong-upto-40-tr-2020939-jv","Xem chi tiết")</f>
        <v/>
      </c>
    </row>
    <row r="9270">
      <c r="B9270" s="9" t="n">
        <v>9268</v>
      </c>
      <c r="C9270" s="10" t="inlineStr">
        <is>
          <t>Data &amp; Analytics Manager</t>
        </is>
      </c>
      <c r="D9270" s="10" t="inlineStr">
        <is>
          <t>Công Ty Cổ Phần Thương Mại - Dịch Vụ Moov</t>
        </is>
      </c>
      <c r="E9270" s="10" t="inlineStr">
        <is>
          <t>Thương lượng</t>
        </is>
      </c>
      <c r="F9270" s="10" t="inlineStr">
        <is>
          <t>Hồ Chí Minh</t>
        </is>
      </c>
      <c r="G9270" s="10" t="inlineStr">
        <is>
          <t>Trưởng phòng</t>
        </is>
      </c>
      <c r="H9270" s="10" t="inlineStr">
        <is>
          <t>10/03/2026</t>
        </is>
      </c>
      <c r="I9270" s="10" t="inlineStr">
        <is>
          <t>09/04/2026</t>
        </is>
      </c>
      <c r="J9270" s="10" t="inlineStr">
        <is>
          <t>17/03/2026</t>
        </is>
      </c>
      <c r="K9270" s="10" t="inlineStr">
        <is>
          <t>N/A</t>
        </is>
      </c>
      <c r="L9270" s="10" t="inlineStr">
        <is>
          <t>Advanced SQL, Data Strategy, Fraud Detection, Predictive Analytics, Stakeholder Management</t>
        </is>
      </c>
      <c r="M9270" s="10" t="inlineStr">
        <is>
          <t>Bonus, Paid Leave, Others</t>
        </is>
      </c>
      <c r="N9270" s="11">
        <f>HYPERLINK("https://www.vietnamworks.com/data-and-analytics-manager-2020962-jv","Xem chi tiết")</f>
        <v/>
      </c>
      <c r="O9270" s="10" t="n"/>
    </row>
    <row r="9271">
      <c r="B9271" s="7" t="n">
        <v>9269</v>
      </c>
      <c r="C9271" t="inlineStr">
        <is>
          <t>Marcom Specialist - Marketing Services</t>
        </is>
      </c>
      <c r="D9271" t="inlineStr">
        <is>
          <t>Công Ty Cổ Phần Sữa Quốc Tế LOF</t>
        </is>
      </c>
      <c r="E9271" t="inlineStr">
        <is>
          <t>Thương lượng</t>
        </is>
      </c>
      <c r="F9271" t="inlineStr">
        <is>
          <t>Hồ Chí Minh</t>
        </is>
      </c>
      <c r="G9271" t="inlineStr">
        <is>
          <t>Nhân viên</t>
        </is>
      </c>
      <c r="H9271" t="inlineStr">
        <is>
          <t>10/03/2026</t>
        </is>
      </c>
      <c r="I9271" t="inlineStr">
        <is>
          <t>09/04/2026</t>
        </is>
      </c>
      <c r="J9271" t="inlineStr">
        <is>
          <t>17/03/2026</t>
        </is>
      </c>
      <c r="K9271" t="inlineStr">
        <is>
          <t>N/A</t>
        </is>
      </c>
      <c r="L9271" t="inlineStr">
        <is>
          <t>IMC Campaign, IMC Plan Development, Project Assistance, Social Media, Teamwork</t>
        </is>
      </c>
      <c r="M9271" t="inlineStr">
        <is>
          <t>Bonus, Healthcare Plan, Paid Leave, Training, Laptop</t>
        </is>
      </c>
      <c r="N9271" s="8">
        <f>HYPERLINK("https://www.vietnamworks.com/marcom-specialist-marketing-services-2020957-jv","Xem chi tiết")</f>
        <v/>
      </c>
    </row>
    <row r="9272">
      <c r="B9272" s="9" t="n">
        <v>9270</v>
      </c>
      <c r="C9272" s="10" t="inlineStr">
        <is>
          <t>[Hot Job] Chuyên Viên Thủ Tục (Mảng Bất Động Sản)</t>
        </is>
      </c>
      <c r="D9272" s="10" t="inlineStr">
        <is>
          <t>Cen Group</t>
        </is>
      </c>
      <c r="E9272" s="10" t="inlineStr">
        <is>
          <t>13tr-15tr ₫/tháng</t>
        </is>
      </c>
      <c r="F9272" s="10" t="inlineStr">
        <is>
          <t>Hà Nội</t>
        </is>
      </c>
      <c r="G9272" s="10" t="inlineStr">
        <is>
          <t>Nhân viên</t>
        </is>
      </c>
      <c r="H9272" s="10" t="inlineStr">
        <is>
          <t>10/03/2026</t>
        </is>
      </c>
      <c r="I9272" s="10" t="inlineStr">
        <is>
          <t>09/04/2026</t>
        </is>
      </c>
      <c r="J9272" s="10" t="inlineStr">
        <is>
          <t>17/03/2026</t>
        </is>
      </c>
      <c r="K9272" s="10" t="inlineStr">
        <is>
          <t>N/A</t>
        </is>
      </c>
      <c r="L9272" s="10" t="inlineStr">
        <is>
          <t>Soạn Thảo Hợp Đồng, Tin Học Văn Phòng, Theo Dõi Doanh Thu, Kiểm Soát Số Liệu, Quản Lý Giao Dịch</t>
        </is>
      </c>
      <c r="M9272" s="10" t="inlineStr">
        <is>
          <t>Bonus, Healthcare Plan, Team Activities</t>
        </is>
      </c>
      <c r="N9272" s="11">
        <f>HYPERLINK("https://www.vietnamworks.com/hot-job-chuyen-vien-thu-tuc-mang-bat-dong-san-2020955-jv","Xem chi tiết")</f>
        <v/>
      </c>
      <c r="O9272" s="10" t="n"/>
    </row>
    <row r="9273">
      <c r="B9273" s="7" t="n">
        <v>9271</v>
      </c>
      <c r="C9273" t="inlineStr">
        <is>
          <t>Nhân Viên Kinh Doanh B2B</t>
        </is>
      </c>
      <c r="D9273" t="inlineStr">
        <is>
          <t>Công Ty TNHH Công Nghệ Index</t>
        </is>
      </c>
      <c r="E9273" t="inlineStr">
        <is>
          <t>9tr-40tr ₫/tháng</t>
        </is>
      </c>
      <c r="F9273" t="inlineStr">
        <is>
          <t>Bình Dương, Hồ Chí Minh</t>
        </is>
      </c>
      <c r="G9273" t="inlineStr">
        <is>
          <t>Nhân viên</t>
        </is>
      </c>
      <c r="H9273" t="inlineStr">
        <is>
          <t>10/03/2026</t>
        </is>
      </c>
      <c r="I9273" t="inlineStr">
        <is>
          <t>09/04/2026</t>
        </is>
      </c>
      <c r="J9273" t="inlineStr">
        <is>
          <t>17/03/2026</t>
        </is>
      </c>
      <c r="K9273" t="inlineStr">
        <is>
          <t>N/A</t>
        </is>
      </c>
      <c r="L9273" t="inlineStr">
        <is>
          <t>Kinh Doanh B2B, Nghiên Cứu Thị Trường, Tin Học Văn Phòng, Đàm Phán, Giao Tiếp Tiếng Anh</t>
        </is>
      </c>
      <c r="M9273" t="inlineStr">
        <is>
          <t>Bonus, Healthcare Plan, Paid Leave, Training, Travel Opportunities, Others</t>
        </is>
      </c>
      <c r="N9273" s="8">
        <f>HYPERLINK("https://www.vietnamworks.com/nhan-vien-kinh-doanh-b2b-2020952-jv","Xem chi tiết")</f>
        <v/>
      </c>
    </row>
    <row r="9274">
      <c r="B9274" s="9" t="n">
        <v>9272</v>
      </c>
      <c r="C9274" s="10" t="inlineStr">
        <is>
          <t>Chuyên Viên Chính Chăm Sóc Khách Hàng/kiểm Soát Hợp Đồng Bán - Living Global - 4V008</t>
        </is>
      </c>
      <c r="D9274" s="10" t="inlineStr">
        <is>
          <t>Tập đoàn ROX (ROX Group)</t>
        </is>
      </c>
      <c r="E9274" s="10" t="inlineStr">
        <is>
          <t>Thương lượng</t>
        </is>
      </c>
      <c r="F9274" s="10" t="inlineStr">
        <is>
          <t>Quốc tế</t>
        </is>
      </c>
      <c r="G9274" s="10" t="inlineStr">
        <is>
          <t>Nhân viên</t>
        </is>
      </c>
      <c r="H9274" s="10" t="inlineStr">
        <is>
          <t>10/03/2026</t>
        </is>
      </c>
      <c r="I9274" s="10" t="inlineStr">
        <is>
          <t>09/04/2026</t>
        </is>
      </c>
      <c r="J9274" s="10" t="inlineStr">
        <is>
          <t>17/03/2026</t>
        </is>
      </c>
      <c r="K9274" s="10" t="inlineStr">
        <is>
          <t>N/A</t>
        </is>
      </c>
      <c r="L9274" s="10" t="inlineStr">
        <is>
          <t>Tiếng Anh thành thạo, Tiếng Nga Cơ Bản, Chăm Sóc Khách Hàng, Bất Động Sản</t>
        </is>
      </c>
      <c r="M9274" s="10" t="inlineStr">
        <is>
          <t>Bonus, Healthcare Plan, Paid Leave</t>
        </is>
      </c>
      <c r="N9274" s="11">
        <f>HYPERLINK("https://www.vietnamworks.com/chuyen-vien-chinh-cham-soc-khach-hang-kiem-soat-hop-dong-ban-living-global-4v008-2020960-jv","Xem chi tiết")</f>
        <v/>
      </c>
      <c r="O9274" s="10" t="n"/>
    </row>
    <row r="9275">
      <c r="B9275" s="7" t="n">
        <v>9273</v>
      </c>
      <c r="C9275" t="inlineStr">
        <is>
          <t>Kế Toán Trưởng</t>
        </is>
      </c>
      <c r="D9275" t="inlineStr">
        <is>
          <t>CÔNG TY TNHH PUYOUNG VIỆT NAM</t>
        </is>
      </c>
      <c r="E9275" t="inlineStr">
        <is>
          <t>Thương lượng</t>
        </is>
      </c>
      <c r="F9275" t="inlineStr">
        <is>
          <t>Hưng Yên</t>
        </is>
      </c>
      <c r="G9275" t="inlineStr">
        <is>
          <t>Trưởng phòng</t>
        </is>
      </c>
      <c r="H9275" t="inlineStr">
        <is>
          <t>10/03/2026</t>
        </is>
      </c>
      <c r="I9275" t="inlineStr">
        <is>
          <t>09/04/2026</t>
        </is>
      </c>
      <c r="J9275" t="inlineStr">
        <is>
          <t>17/03/2026</t>
        </is>
      </c>
      <c r="K9275" t="inlineStr">
        <is>
          <t>N/A</t>
        </is>
      </c>
      <c r="L9275" t="inlineStr">
        <is>
          <t>Chief Accountant, Cost Accounting, Financial Analysis, Internal Control, Tax Finalization</t>
        </is>
      </c>
      <c r="M9275" t="inlineStr">
        <is>
          <t>Bonus, Healthcare Plan, Others</t>
        </is>
      </c>
      <c r="N9275" s="8">
        <f>HYPERLINK("https://www.vietnamworks.com/ke-toan-truong-2021005-jv","Xem chi tiết")</f>
        <v/>
      </c>
    </row>
    <row r="9276">
      <c r="B9276" s="9" t="n">
        <v>9274</v>
      </c>
      <c r="C9276" s="10" t="inlineStr">
        <is>
          <t>Cộng Tác Viên Phát Triển Đối Tác Eatery</t>
        </is>
      </c>
      <c r="D9276" s="10" t="inlineStr">
        <is>
          <t>CÔNG TY CỔ PHẦN ẤN TƯỢNG TRUYỀN THÔNG VIỆT</t>
        </is>
      </c>
      <c r="E9276" s="10" t="inlineStr">
        <is>
          <t>Từ 10tr ₫/tháng</t>
        </is>
      </c>
      <c r="F9276" s="10" t="inlineStr">
        <is>
          <t>Hồ Chí Minh</t>
        </is>
      </c>
      <c r="G9276" s="10" t="inlineStr">
        <is>
          <t>Nhân viên</t>
        </is>
      </c>
      <c r="H9276" s="10" t="inlineStr">
        <is>
          <t>10/03/2026</t>
        </is>
      </c>
      <c r="I9276" s="10" t="inlineStr">
        <is>
          <t>09/04/2026</t>
        </is>
      </c>
      <c r="J9276" s="10" t="inlineStr">
        <is>
          <t>17/03/2026</t>
        </is>
      </c>
      <c r="K9276" s="10" t="inlineStr">
        <is>
          <t>N/A</t>
        </is>
      </c>
      <c r="L9276" s="10" t="inlineStr">
        <is>
          <t>Business Development, F&amp;B, Merchant Acquisition</t>
        </is>
      </c>
      <c r="M9276" s="10" t="inlineStr">
        <is>
          <t>Bonus, Others</t>
        </is>
      </c>
      <c r="N9276" s="11">
        <f>HYPERLINK("https://www.vietnamworks.com/cong-tac-vien-phat-trien-djoi-tac-eatery-2020966-jv","Xem chi tiết")</f>
        <v/>
      </c>
      <c r="O9276" s="10" t="n"/>
    </row>
    <row r="9277">
      <c r="B9277" s="7" t="n">
        <v>9275</v>
      </c>
      <c r="C9277" t="inlineStr">
        <is>
          <t>Nhân Viên Kỹ Thuật (Upto 15M)</t>
        </is>
      </c>
      <c r="D9277" t="inlineStr">
        <is>
          <t>Công Ty TNHH Nissin Manufacturing Việt Nam</t>
        </is>
      </c>
      <c r="E9277" t="inlineStr">
        <is>
          <t>Tới 15tr ₫/tháng</t>
        </is>
      </c>
      <c r="F9277" t="inlineStr">
        <is>
          <t>Phú Thọ, Hòa Bình, Hà Nội</t>
        </is>
      </c>
      <c r="G9277" t="inlineStr">
        <is>
          <t>Nhân viên</t>
        </is>
      </c>
      <c r="H9277" t="inlineStr">
        <is>
          <t>10/03/2026</t>
        </is>
      </c>
      <c r="I9277" t="inlineStr">
        <is>
          <t>09/04/2026</t>
        </is>
      </c>
      <c r="J9277" t="inlineStr">
        <is>
          <t>17/03/2026</t>
        </is>
      </c>
      <c r="K9277" t="inlineStr">
        <is>
          <t>N/A</t>
        </is>
      </c>
      <c r="L9277" t="inlineStr">
        <is>
          <t>CAD 2D, Chỉnh Sửa Bản Vẽ, Thiết Kế 3D Inventor, CNC, Gia Công Cơ Khí</t>
        </is>
      </c>
      <c r="M9277" t="inlineStr">
        <is>
          <t>Bonus, Healthcare Plan, Transportation</t>
        </is>
      </c>
      <c r="N9277" s="8">
        <f>HYPERLINK("https://www.vietnamworks.com/nhan-vien-ky-thuat-upto-15m-2020967-jv","Xem chi tiết")</f>
        <v/>
      </c>
    </row>
    <row r="9278">
      <c r="B9278" s="9" t="n">
        <v>9276</v>
      </c>
      <c r="C9278" s="10" t="inlineStr">
        <is>
          <t>Trưởng Nhóm Phát Triển Phần Mềm Hệ Thống Hải Quan &amp; FTA (Customs &amp; FTA IT System Tech Lead)</t>
        </is>
      </c>
      <c r="D9278" s="10" t="inlineStr">
        <is>
          <t>Shinhan Customs Vietnam</t>
        </is>
      </c>
      <c r="E9278" s="10" t="inlineStr">
        <is>
          <t>Thương lượng</t>
        </is>
      </c>
      <c r="F9278" s="10" t="inlineStr">
        <is>
          <t>Hà Nội</t>
        </is>
      </c>
      <c r="G9278" s="10" t="inlineStr">
        <is>
          <t>Nhân viên</t>
        </is>
      </c>
      <c r="H9278" s="10" t="inlineStr">
        <is>
          <t>10/03/2026</t>
        </is>
      </c>
      <c r="I9278" s="10" t="inlineStr">
        <is>
          <t>09/04/2026</t>
        </is>
      </c>
      <c r="J9278" s="10" t="inlineStr">
        <is>
          <t>17/03/2026</t>
        </is>
      </c>
      <c r="K9278" s="10" t="inlineStr">
        <is>
          <t>N/A</t>
        </is>
      </c>
      <c r="L9278" s="10" t="inlineStr">
        <is>
          <t>JSP, SQL, Full Stack Development, IT Development, JavaScript</t>
        </is>
      </c>
      <c r="M9278" s="10" t="inlineStr">
        <is>
          <t>Bonus, Healthcare Plan, Paid Leave, Awards, Travel Opportunities, Others</t>
        </is>
      </c>
      <c r="N9278" s="11">
        <f>HYPERLINK("https://www.vietnamworks.com/truong-nhom-phat-trien-phan-mem-he-thong-hai-quan-fta-customs-fta-it-system-tech-lead-2020982-jv","Xem chi tiết")</f>
        <v/>
      </c>
      <c r="O9278" s="10" t="n"/>
    </row>
    <row r="9279">
      <c r="B9279" s="7" t="n">
        <v>9277</v>
      </c>
      <c r="C9279" t="inlineStr">
        <is>
          <t>Nhân Viên Lễ Tân</t>
        </is>
      </c>
      <c r="D9279" t="inlineStr">
        <is>
          <t>CÔNG TY TNHH ZENVIVA</t>
        </is>
      </c>
      <c r="E9279" t="inlineStr">
        <is>
          <t>$$ 270-310 /tháng</t>
        </is>
      </c>
      <c r="F9279" t="inlineStr">
        <is>
          <t>Hồ Chí Minh</t>
        </is>
      </c>
      <c r="G9279" t="inlineStr">
        <is>
          <t>Nhân viên</t>
        </is>
      </c>
      <c r="H9279" t="inlineStr">
        <is>
          <t>10/03/2026</t>
        </is>
      </c>
      <c r="I9279" t="inlineStr">
        <is>
          <t>09/04/2026</t>
        </is>
      </c>
      <c r="J9279" t="inlineStr">
        <is>
          <t>17/03/2026</t>
        </is>
      </c>
      <c r="K9279" t="inlineStr">
        <is>
          <t>N/A</t>
        </is>
      </c>
      <c r="L9279" t="inlineStr">
        <is>
          <t>Soạn Thảo Hợp Đồng, Đón Khách, Tư Vấn Khách Hàng, Lưu Trữ Văn Thư, Chăm Sóc Khách Hàng</t>
        </is>
      </c>
      <c r="M9279" t="inlineStr">
        <is>
          <t>Healthcare Plan, Others</t>
        </is>
      </c>
      <c r="N9279" s="8">
        <f>HYPERLINK("https://www.vietnamworks.com/nhan-vien-le-tan--2020976-jv","Xem chi tiết")</f>
        <v/>
      </c>
    </row>
    <row r="9280">
      <c r="B9280" s="9" t="n">
        <v>9278</v>
      </c>
      <c r="C9280" s="10" t="inlineStr">
        <is>
          <t>Trưởng Phòng Sản Xuất</t>
        </is>
      </c>
      <c r="D9280" s="10" t="inlineStr">
        <is>
          <t>Công Ty TNHH Draho Việt Nam</t>
        </is>
      </c>
      <c r="E9280" s="10" t="inlineStr">
        <is>
          <t>Tới 35tr ₫/tháng</t>
        </is>
      </c>
      <c r="F9280" s="10" t="inlineStr">
        <is>
          <t>Hà Nội</t>
        </is>
      </c>
      <c r="G9280" s="10" t="inlineStr">
        <is>
          <t>Trưởng phòng</t>
        </is>
      </c>
      <c r="H9280" s="10" t="inlineStr">
        <is>
          <t>10/03/2026</t>
        </is>
      </c>
      <c r="I9280" s="10" t="inlineStr">
        <is>
          <t>09/04/2026</t>
        </is>
      </c>
      <c r="J9280" s="10" t="inlineStr">
        <is>
          <t>17/03/2026</t>
        </is>
      </c>
      <c r="K9280" s="10" t="inlineStr">
        <is>
          <t>N/A</t>
        </is>
      </c>
      <c r="L9280" s="10" t="inlineStr">
        <is>
          <t>Cơ Khí, Đọc Dịch Bản Vẽ, Giám Sát Sản Xuất, Quản Lý Nhân Sự, Quản Lý Sản Xuất</t>
        </is>
      </c>
      <c r="M9280" s="10" t="inlineStr">
        <is>
          <t>Healthcare Plan, Library, Laptop, Mobile, Team Activities, Canteen, Others</t>
        </is>
      </c>
      <c r="N9280" s="11">
        <f>HYPERLINK("https://www.vietnamworks.com/truong-phong-san-xuat-2021008-jv","Xem chi tiết")</f>
        <v/>
      </c>
      <c r="O9280" s="10" t="n"/>
    </row>
    <row r="9281">
      <c r="B9281" s="7" t="n">
        <v>9279</v>
      </c>
      <c r="C9281" t="inlineStr">
        <is>
          <t>Cán Bộ Tuyển Dụng</t>
        </is>
      </c>
      <c r="D9281" t="inlineStr">
        <is>
          <t>Đại Học FPT TP.HCM</t>
        </is>
      </c>
      <c r="E9281" t="inlineStr">
        <is>
          <t>Từ $ 450 /tháng</t>
        </is>
      </c>
      <c r="F9281" t="inlineStr">
        <is>
          <t>Hồ Chí Minh</t>
        </is>
      </c>
      <c r="G9281" t="inlineStr">
        <is>
          <t>Nhân viên</t>
        </is>
      </c>
      <c r="H9281" t="inlineStr">
        <is>
          <t>10/03/2026</t>
        </is>
      </c>
      <c r="I9281" t="inlineStr">
        <is>
          <t>09/04/2026</t>
        </is>
      </c>
      <c r="J9281" t="inlineStr">
        <is>
          <t>17/03/2026</t>
        </is>
      </c>
      <c r="K9281" t="inlineStr">
        <is>
          <t>N/A</t>
        </is>
      </c>
      <c r="L9281" t="inlineStr">
        <is>
          <t>Giao Tiếp Tiếng Anh, Luật Lao Động, Tuyển Dụng, Xử Lý Công Việc</t>
        </is>
      </c>
      <c r="M9281" t="inlineStr">
        <is>
          <t>Healthcare Plan, Training, Others</t>
        </is>
      </c>
      <c r="N9281" s="8">
        <f>HYPERLINK("https://www.vietnamworks.com/can-bo-tuyen-dung-2021004-jv","Xem chi tiết")</f>
        <v/>
      </c>
    </row>
    <row r="9282">
      <c r="B9282" s="9" t="n">
        <v>9280</v>
      </c>
      <c r="C9282" s="10" t="inlineStr">
        <is>
          <t>CVCC Pháp Chế – Thẩm Định Văn Bản (Ngân Hàng)</t>
        </is>
      </c>
      <c r="D9282" s="10" t="inlineStr">
        <is>
          <t>Ngân Hàng Thương Mại Cổ Phần Thịnh Vượng Và Phát Triển (PGBANK)</t>
        </is>
      </c>
      <c r="E9282" s="10" t="inlineStr">
        <is>
          <t>Thương lượng</t>
        </is>
      </c>
      <c r="F9282" s="10" t="inlineStr">
        <is>
          <t>Hà Nội</t>
        </is>
      </c>
      <c r="G9282" s="10" t="inlineStr">
        <is>
          <t>Nhân viên</t>
        </is>
      </c>
      <c r="H9282" s="10" t="inlineStr">
        <is>
          <t>10/03/2026</t>
        </is>
      </c>
      <c r="I9282" s="10" t="inlineStr">
        <is>
          <t>09/04/2026</t>
        </is>
      </c>
      <c r="J9282" s="10" t="inlineStr">
        <is>
          <t>17/03/2026</t>
        </is>
      </c>
      <c r="K9282" s="10" t="inlineStr">
        <is>
          <t>N/A</t>
        </is>
      </c>
      <c r="L9282" s="10" t="inlineStr">
        <is>
          <t>pháp chế ngân hàng, Legal, Compliance, Policy Review, Regulatory</t>
        </is>
      </c>
      <c r="M9282" s="10" t="inlineStr">
        <is>
          <t>Bonus, Healthcare Plan, Transportation</t>
        </is>
      </c>
      <c r="N9282" s="11">
        <f>HYPERLINK("https://www.vietnamworks.com/cvcc-phap-che-tham-dinh-van-ban-ngan-hang-2021002-jv","Xem chi tiết")</f>
        <v/>
      </c>
      <c r="O9282" s="10" t="n"/>
    </row>
    <row r="9283">
      <c r="B9283" s="7" t="n">
        <v>9281</v>
      </c>
      <c r="C9283" t="inlineStr">
        <is>
          <t>Country Project Sales Head</t>
        </is>
      </c>
      <c r="D9283" t="inlineStr">
        <is>
          <t>CARRIER VIETNAM AIR CONDITIONING COMPANY LIMITED</t>
        </is>
      </c>
      <c r="E9283" t="inlineStr">
        <is>
          <t>Thương lượng</t>
        </is>
      </c>
      <c r="F9283" t="inlineStr">
        <is>
          <t>Hồ Chí Minh</t>
        </is>
      </c>
      <c r="G9283" t="inlineStr">
        <is>
          <t>Trưởng phòng</t>
        </is>
      </c>
      <c r="H9283" t="inlineStr">
        <is>
          <t>10/03/2026</t>
        </is>
      </c>
      <c r="I9283" t="inlineStr">
        <is>
          <t>09/04/2026</t>
        </is>
      </c>
      <c r="J9283" t="inlineStr">
        <is>
          <t>17/03/2026</t>
        </is>
      </c>
      <c r="K9283" t="inlineStr">
        <is>
          <t>N/A</t>
        </is>
      </c>
      <c r="L9283" t="inlineStr">
        <is>
          <t>B2B Sale, Business Development, Chiller System, HVAC Solutions</t>
        </is>
      </c>
      <c r="M9283" t="inlineStr">
        <is>
          <t>Bonus, Healthcare Plan, Awards, Mobile, Transportation</t>
        </is>
      </c>
      <c r="N9283" s="8">
        <f>HYPERLINK("https://www.vietnamworks.com/country-project-sales-head-2020999-jv","Xem chi tiết")</f>
        <v/>
      </c>
    </row>
    <row r="9284">
      <c r="B9284" s="9" t="n">
        <v>9282</v>
      </c>
      <c r="C9284" s="10" t="inlineStr">
        <is>
          <t>Team Leader Kinh Doanh</t>
        </is>
      </c>
      <c r="D9284" s="10" t="inlineStr">
        <is>
          <t>Công Ty Cổ Phần Thanh Bình Phú Mỹ</t>
        </is>
      </c>
      <c r="E9284" s="10" t="inlineStr">
        <is>
          <t>Thương lượng</t>
        </is>
      </c>
      <c r="F9284" s="10" t="inlineStr">
        <is>
          <t>Hồ Chí Minh</t>
        </is>
      </c>
      <c r="G9284" s="10" t="inlineStr">
        <is>
          <t>Trưởng phòng</t>
        </is>
      </c>
      <c r="H9284" s="10" t="inlineStr">
        <is>
          <t>10/03/2026</t>
        </is>
      </c>
      <c r="I9284" s="10" t="inlineStr">
        <is>
          <t>09/04/2026</t>
        </is>
      </c>
      <c r="J9284" s="10" t="inlineStr">
        <is>
          <t>17/03/2026</t>
        </is>
      </c>
      <c r="K9284" s="10" t="inlineStr">
        <is>
          <t>N/A</t>
        </is>
      </c>
      <c r="L9284" s="10" t="inlineStr">
        <is>
          <t>Xuất Nhập Khẩu, Logistics, Chăm Sóc Khách Hàng, Phát Triển Kinh Doanh, Đàm Phán Hợp Đồng</t>
        </is>
      </c>
      <c r="M9284" s="10" t="inlineStr">
        <is>
          <t>Bonus, Healthcare Plan, Training, Team Activities, Others</t>
        </is>
      </c>
      <c r="N9284" s="11">
        <f>HYPERLINK("https://www.vietnamworks.com/team-leader-kinh-doanh-2021006-jv","Xem chi tiết")</f>
        <v/>
      </c>
      <c r="O9284" s="10" t="n"/>
    </row>
    <row r="9285">
      <c r="B9285" s="7" t="n">
        <v>9283</v>
      </c>
      <c r="C9285" t="inlineStr">
        <is>
          <t>Kế Toán Tổng Hợp</t>
        </is>
      </c>
      <c r="D9285" t="inlineStr">
        <is>
          <t>Công Ty TNHH Nhất Nhất</t>
        </is>
      </c>
      <c r="E9285" t="inlineStr">
        <is>
          <t>17tr-22tr ₫/tháng</t>
        </is>
      </c>
      <c r="F9285" t="inlineStr">
        <is>
          <t>Hà Nội</t>
        </is>
      </c>
      <c r="G9285" t="inlineStr">
        <is>
          <t>Nhân viên</t>
        </is>
      </c>
      <c r="H9285" t="inlineStr">
        <is>
          <t>10/03/2026</t>
        </is>
      </c>
      <c r="I9285" t="inlineStr">
        <is>
          <t>09/04/2026</t>
        </is>
      </c>
      <c r="J9285" t="inlineStr">
        <is>
          <t>17/03/2026</t>
        </is>
      </c>
      <c r="K9285" t="inlineStr">
        <is>
          <t>N/A</t>
        </is>
      </c>
      <c r="L9285" t="inlineStr">
        <is>
          <t>Accounting Standards, Excel, Phần Mềm Kế Toán, Power Query</t>
        </is>
      </c>
      <c r="M9285" t="inlineStr">
        <is>
          <t>Bonus, Healthcare Plan, Training, Team Activities, Others</t>
        </is>
      </c>
      <c r="N9285" s="8">
        <f>HYPERLINK("https://www.vietnamworks.com/ke-toan-tong-hop-2021009-jv","Xem chi tiết")</f>
        <v/>
      </c>
    </row>
    <row r="9286">
      <c r="B9286" s="9" t="n">
        <v>9284</v>
      </c>
      <c r="C9286" s="10" t="inlineStr">
        <is>
          <t>Phiên Dịch Tiếng Nga (kiêm Công Tác Vận Hành) - Living Global - 4V009</t>
        </is>
      </c>
      <c r="D9286" s="10" t="inlineStr">
        <is>
          <t>Tập đoàn ROX (ROX Group)</t>
        </is>
      </c>
      <c r="E9286" s="10" t="inlineStr">
        <is>
          <t>Thương lượng</t>
        </is>
      </c>
      <c r="F9286" s="10" t="inlineStr">
        <is>
          <t>Quốc tế</t>
        </is>
      </c>
      <c r="G9286" s="10" t="inlineStr">
        <is>
          <t>Nhân viên</t>
        </is>
      </c>
      <c r="H9286" s="10" t="inlineStr">
        <is>
          <t>10/03/2026</t>
        </is>
      </c>
      <c r="I9286" s="10" t="inlineStr">
        <is>
          <t>09/04/2026</t>
        </is>
      </c>
      <c r="J9286" s="10" t="inlineStr">
        <is>
          <t>17/03/2026</t>
        </is>
      </c>
      <c r="K9286" s="10" t="inlineStr">
        <is>
          <t>N/A</t>
        </is>
      </c>
      <c r="L9286" s="10" t="inlineStr">
        <is>
          <t>Tiếng Anh thành thạo, Tiếng Nga Cơ Bản, Phiên Dịch, Bất Động Sản</t>
        </is>
      </c>
      <c r="M9286" s="10" t="inlineStr">
        <is>
          <t>Bonus, Healthcare Plan, Paid Leave</t>
        </is>
      </c>
      <c r="N9286" s="11">
        <f>HYPERLINK("https://www.vietnamworks.com/phien-dich-tieng-nga-kiem-cong-tac-van-hanh-living-global-4v009-2020970-jv","Xem chi tiết")</f>
        <v/>
      </c>
      <c r="O9286" s="10" t="n"/>
    </row>
    <row r="9287">
      <c r="B9287" s="7" t="n">
        <v>9285</v>
      </c>
      <c r="C9287" t="inlineStr">
        <is>
          <t>Architect</t>
        </is>
      </c>
      <c r="D9287" t="inlineStr">
        <is>
          <t>Công ty TNHH Robert &amp; Partners</t>
        </is>
      </c>
      <c r="E9287" t="inlineStr">
        <is>
          <t>Thương lượng</t>
        </is>
      </c>
      <c r="F9287" t="inlineStr">
        <is>
          <t>Hồ Chí Minh</t>
        </is>
      </c>
      <c r="G9287" t="inlineStr">
        <is>
          <t>Nhân viên</t>
        </is>
      </c>
      <c r="H9287" t="inlineStr">
        <is>
          <t>10/03/2026</t>
        </is>
      </c>
      <c r="I9287" t="inlineStr">
        <is>
          <t>09/04/2026</t>
        </is>
      </c>
      <c r="J9287" t="inlineStr">
        <is>
          <t>17/03/2026</t>
        </is>
      </c>
      <c r="K9287" t="inlineStr">
        <is>
          <t>N/A</t>
        </is>
      </c>
      <c r="L9287" t="inlineStr">
        <is>
          <t>Thiết Kế Kiến Trúc, Sketchup, Revit, Kiến Trúc Xây Dựng, AutoCAD</t>
        </is>
      </c>
      <c r="M9287" t="inlineStr">
        <is>
          <t>Healthcare Plan, Training, Awards</t>
        </is>
      </c>
      <c r="N9287" s="8">
        <f>HYPERLINK("https://www.vietnamworks.com/architect--2020969-jv","Xem chi tiết")</f>
        <v/>
      </c>
    </row>
    <row r="9288">
      <c r="B9288" s="9" t="n">
        <v>9286</v>
      </c>
      <c r="C9288" s="10" t="inlineStr">
        <is>
          <t>International Sales Manager (Giám Đốc Kinh Doanh)</t>
        </is>
      </c>
      <c r="D9288" s="10" t="inlineStr">
        <is>
          <t>Công Ty Cổ Phần Công Nghiệp Weldcom</t>
        </is>
      </c>
      <c r="E9288" s="10" t="inlineStr">
        <is>
          <t>40tr-60tr ₫/tháng</t>
        </is>
      </c>
      <c r="F9288" s="10" t="inlineStr">
        <is>
          <t>Hà Nội, Hồ Chí Minh</t>
        </is>
      </c>
      <c r="G9288" s="10" t="inlineStr">
        <is>
          <t>Trưởng phòng</t>
        </is>
      </c>
      <c r="H9288" s="10" t="inlineStr">
        <is>
          <t>10/03/2026</t>
        </is>
      </c>
      <c r="I9288" s="10" t="inlineStr">
        <is>
          <t>09/04/2026</t>
        </is>
      </c>
      <c r="J9288" s="10" t="inlineStr">
        <is>
          <t>17/03/2026</t>
        </is>
      </c>
      <c r="K9288" s="10" t="inlineStr">
        <is>
          <t>N/A</t>
        </is>
      </c>
      <c r="L9288" s="10" t="inlineStr">
        <is>
          <t>B2B Sales, Contract Management, Incoterms, International Trade, Market Development</t>
        </is>
      </c>
      <c r="M9288" s="10" t="inlineStr">
        <is>
          <t>Healthcare Plan, Paid Leave, Training, Team Activities, Others</t>
        </is>
      </c>
      <c r="N9288" s="11">
        <f>HYPERLINK("https://www.vietnamworks.com/international-sales-manager-giam-djoc-kinh-doanh-2020993-jv","Xem chi tiết")</f>
        <v/>
      </c>
      <c r="O9288" s="10" t="n"/>
    </row>
    <row r="9289">
      <c r="B9289" s="7" t="n">
        <v>9287</v>
      </c>
      <c r="C9289" t="inlineStr">
        <is>
          <t>Kế Toán Nội Bộ</t>
        </is>
      </c>
      <c r="D9289" t="inlineStr">
        <is>
          <t>Cty TNHH Quốc Tế Anh Duy</t>
        </is>
      </c>
      <c r="E9289" t="inlineStr">
        <is>
          <t>Thương lượng</t>
        </is>
      </c>
      <c r="F9289" t="inlineStr">
        <is>
          <t>Hồ Chí Minh</t>
        </is>
      </c>
      <c r="G9289" t="inlineStr">
        <is>
          <t>Nhân viên</t>
        </is>
      </c>
      <c r="H9289" t="inlineStr">
        <is>
          <t>10/03/2026</t>
        </is>
      </c>
      <c r="I9289" t="inlineStr">
        <is>
          <t>09/04/2026</t>
        </is>
      </c>
      <c r="J9289" t="inlineStr">
        <is>
          <t>17/03/2026</t>
        </is>
      </c>
      <c r="K9289" t="inlineStr">
        <is>
          <t>N/A</t>
        </is>
      </c>
      <c r="L9289" t="inlineStr">
        <is>
          <t>Nghiệp Vụ Kế Toán, Kiểm Toán, Calculating Skills, Excel, Kế Toán Nội Bộ</t>
        </is>
      </c>
      <c r="M9289" t="inlineStr">
        <is>
          <t>Healthcare Plan, Paid Leave, Others</t>
        </is>
      </c>
      <c r="N9289" s="8">
        <f>HYPERLINK("https://www.vietnamworks.com/ke-toan-noi-bo-2020972-jv","Xem chi tiết")</f>
        <v/>
      </c>
    </row>
    <row r="9290">
      <c r="B9290" s="9" t="n">
        <v>9288</v>
      </c>
      <c r="C9290" s="10" t="inlineStr">
        <is>
          <t>Procurement Manager</t>
        </is>
      </c>
      <c r="D9290" s="10" t="inlineStr">
        <is>
          <t>Vietnamworks' Client</t>
        </is>
      </c>
      <c r="E9290" s="10" t="inlineStr">
        <is>
          <t>Thương lượng</t>
        </is>
      </c>
      <c r="F9290" s="10" t="inlineStr">
        <is>
          <t>Vĩnh Phúc</t>
        </is>
      </c>
      <c r="G9290" s="10" t="inlineStr">
        <is>
          <t>Trưởng phòng</t>
        </is>
      </c>
      <c r="H9290" s="10" t="inlineStr">
        <is>
          <t>10/03/2026</t>
        </is>
      </c>
      <c r="I9290" s="10" t="inlineStr">
        <is>
          <t>09/04/2026</t>
        </is>
      </c>
      <c r="J9290" s="10" t="inlineStr">
        <is>
          <t>17/03/2026</t>
        </is>
      </c>
      <c r="K9290" s="10" t="inlineStr">
        <is>
          <t>N/A</t>
        </is>
      </c>
      <c r="L9290" s="10" t="inlineStr">
        <is>
          <t>Procurement, Operational Management, English, Leadership, Supply Chain Operations</t>
        </is>
      </c>
      <c r="M9290" s="10" t="inlineStr">
        <is>
          <t>Bonus, Travel Opportunities, Transportation</t>
        </is>
      </c>
      <c r="N9290" s="11">
        <f>HYPERLINK("https://www.vietnamworks.com/procurement-manager-2020973-jv","Xem chi tiết")</f>
        <v/>
      </c>
      <c r="O9290" s="10" t="n"/>
    </row>
    <row r="9291">
      <c r="B9291" s="7" t="n">
        <v>9289</v>
      </c>
      <c r="C9291" t="inlineStr">
        <is>
          <t>Trưởng Phòng Môi Trường</t>
        </is>
      </c>
      <c r="D9291" t="inlineStr">
        <is>
          <t>Công Ty Cổ Phần Thanh Bình Phú Mỹ</t>
        </is>
      </c>
      <c r="E9291" t="inlineStr">
        <is>
          <t>Thương lượng</t>
        </is>
      </c>
      <c r="F9291" t="inlineStr">
        <is>
          <t>Hồ Chí Minh</t>
        </is>
      </c>
      <c r="G9291" t="inlineStr">
        <is>
          <t>Trưởng phòng</t>
        </is>
      </c>
      <c r="H9291" t="inlineStr">
        <is>
          <t>10/03/2026</t>
        </is>
      </c>
      <c r="I9291" t="inlineStr">
        <is>
          <t>09/04/2026</t>
        </is>
      </c>
      <c r="J9291" t="inlineStr">
        <is>
          <t>17/03/2026</t>
        </is>
      </c>
      <c r="K9291" t="inlineStr">
        <is>
          <t>N/A</t>
        </is>
      </c>
      <c r="L9291" t="inlineStr">
        <is>
          <t>ISO 14001, Kỹ Thuật Môi Trường, Quản Lý Môi Trường, Quản Lý Đội Nhóm, Tiếng Anh thành thạo</t>
        </is>
      </c>
      <c r="M9291" t="inlineStr">
        <is>
          <t>Bonus, Healthcare Plan, Transportation, Others</t>
        </is>
      </c>
      <c r="N9291" s="8">
        <f>HYPERLINK("https://www.vietnamworks.com/truong-phong-moi-truong-2021010-jv","Xem chi tiết")</f>
        <v/>
      </c>
    </row>
    <row r="9292">
      <c r="B9292" s="9" t="n">
        <v>9290</v>
      </c>
      <c r="C9292" s="10" t="inlineStr">
        <is>
          <t>[Hot Job] Phó Phòng Marketing (Account Marketing Manager -Lương Cứng: 18 - 25Tr + Hoa Hồng)</t>
        </is>
      </c>
      <c r="D9292" s="10" t="inlineStr">
        <is>
          <t>Cen Group</t>
        </is>
      </c>
      <c r="E9292" s="10" t="inlineStr">
        <is>
          <t>18tr-25tr ₫/tháng</t>
        </is>
      </c>
      <c r="F9292" s="10" t="inlineStr">
        <is>
          <t>Hà Nội</t>
        </is>
      </c>
      <c r="G9292" s="10" t="inlineStr">
        <is>
          <t>Trưởng phòng</t>
        </is>
      </c>
      <c r="H9292" s="10" t="inlineStr">
        <is>
          <t>10/03/2026</t>
        </is>
      </c>
      <c r="I9292" s="10" t="inlineStr">
        <is>
          <t>09/04/2026</t>
        </is>
      </c>
      <c r="J9292" s="10" t="inlineStr">
        <is>
          <t>17/03/2026</t>
        </is>
      </c>
      <c r="K9292" s="10" t="inlineStr">
        <is>
          <t>N/A</t>
        </is>
      </c>
      <c r="L9292" s="10" t="inlineStr">
        <is>
          <t>Nghiên Cứu Thị Trường, Giám Sát Truyền Thông, Quảng Cáo, Lập Báo Cáo, Triển Khai Kế Hoạch</t>
        </is>
      </c>
      <c r="M9292" s="10" t="inlineStr">
        <is>
          <t>Awards, Travel Opportunities, Others</t>
        </is>
      </c>
      <c r="N9292" s="11">
        <f>HYPERLINK("https://www.vietnamworks.com/hot-job-pho-phong-marketing-account-marketing-manager-luong-cung-18-25tr-hoa-hong-2020963-jv","Xem chi tiết")</f>
        <v/>
      </c>
      <c r="O9292" s="10" t="n"/>
    </row>
    <row r="9293">
      <c r="B9293" s="7" t="n">
        <v>9291</v>
      </c>
      <c r="C9293" t="inlineStr">
        <is>
          <t>Senior Executive, Property Management</t>
        </is>
      </c>
      <c r="D9293" t="inlineStr">
        <is>
          <t>Công ty Cổ phần Twin - Peaks</t>
        </is>
      </c>
      <c r="E9293" t="inlineStr">
        <is>
          <t>Thương lượng</t>
        </is>
      </c>
      <c r="F9293" t="inlineStr">
        <is>
          <t>Hà Nội</t>
        </is>
      </c>
      <c r="G9293" t="inlineStr">
        <is>
          <t>Nhân viên</t>
        </is>
      </c>
      <c r="H9293" t="inlineStr">
        <is>
          <t>10/03/2026</t>
        </is>
      </c>
      <c r="I9293" t="inlineStr">
        <is>
          <t>09/04/2026</t>
        </is>
      </c>
      <c r="J9293" t="inlineStr">
        <is>
          <t>17/03/2026</t>
        </is>
      </c>
      <c r="K9293" t="inlineStr">
        <is>
          <t>N/A</t>
        </is>
      </c>
      <c r="L9293" t="inlineStr">
        <is>
          <t>Asset Management, Property Management, Real Estate, Building Management, Facilities Management</t>
        </is>
      </c>
      <c r="M9293" t="inlineStr">
        <is>
          <t>Healthcare Plan, Paid Leave, Laptop</t>
        </is>
      </c>
      <c r="N9293" s="8">
        <f>HYPERLINK("https://www.vietnamworks.com/senior-executive-property-management-2020996-jv","Xem chi tiết")</f>
        <v/>
      </c>
    </row>
    <row r="9294">
      <c r="B9294" s="9" t="n">
        <v>9292</v>
      </c>
      <c r="C9294" s="10" t="inlineStr">
        <is>
          <t>Nhân Viên Hành Chính Tổng Hợp</t>
        </is>
      </c>
      <c r="D9294" s="10" t="inlineStr">
        <is>
          <t>Công Ty CP Tập Đoàn Đầu Tư Việt Phương</t>
        </is>
      </c>
      <c r="E9294" s="10" t="inlineStr">
        <is>
          <t>Thương lượng</t>
        </is>
      </c>
      <c r="F9294" s="10" t="inlineStr">
        <is>
          <t>Quốc tế</t>
        </is>
      </c>
      <c r="G9294" s="10" t="inlineStr">
        <is>
          <t>Nhân viên</t>
        </is>
      </c>
      <c r="H9294" s="10" t="inlineStr">
        <is>
          <t>10/03/2026</t>
        </is>
      </c>
      <c r="I9294" s="10" t="inlineStr">
        <is>
          <t>09/04/2026</t>
        </is>
      </c>
      <c r="J9294" s="10" t="inlineStr">
        <is>
          <t>17/03/2026</t>
        </is>
      </c>
      <c r="K9294" s="10" t="inlineStr">
        <is>
          <t>N/A</t>
        </is>
      </c>
      <c r="L9294" s="10" t="inlineStr">
        <is>
          <t>Hành Chính, Quản Trị Văn Phòng, Giao Tiếp, MS Office, Tổ Chức Thi Công</t>
        </is>
      </c>
      <c r="M9294" s="10" t="inlineStr">
        <is>
          <t>Bonus, Healthcare Plan, Paid Leave, Travel Opportunities</t>
        </is>
      </c>
      <c r="N9294" s="11">
        <f>HYPERLINK("https://www.vietnamworks.com/nhan-vien-hanh-chinh-tong-hop-2021007-jv","Xem chi tiết")</f>
        <v/>
      </c>
      <c r="O9294" s="10" t="n"/>
    </row>
    <row r="9295">
      <c r="B9295" s="7" t="n">
        <v>9293</v>
      </c>
      <c r="C9295" t="inlineStr">
        <is>
          <t>Chuyên Viên Phát Triển Kinh Doanh Dự Án Dân Dụng</t>
        </is>
      </c>
      <c r="D9295" t="inlineStr">
        <is>
          <t>Công Ty Cổ Phần DNP HOLDING</t>
        </is>
      </c>
      <c r="E9295" t="inlineStr">
        <is>
          <t>$$ 700-1,500 /tháng</t>
        </is>
      </c>
      <c r="F9295" t="inlineStr">
        <is>
          <t>Đà Nẵng, Hồ Chí Minh, Hà Nội</t>
        </is>
      </c>
      <c r="G9295" t="inlineStr">
        <is>
          <t>Nhân viên</t>
        </is>
      </c>
      <c r="H9295" t="inlineStr">
        <is>
          <t>10/03/2026</t>
        </is>
      </c>
      <c r="I9295" t="inlineStr">
        <is>
          <t>09/04/2026</t>
        </is>
      </c>
      <c r="J9295" t="inlineStr">
        <is>
          <t>17/03/2026</t>
        </is>
      </c>
      <c r="K9295" t="inlineStr">
        <is>
          <t>N/A</t>
        </is>
      </c>
      <c r="L9295" t="inlineStr">
        <is>
          <t>Kinh Doanh Dự Án, Kinh Doanh Phát Triển Dự Án, Kinh Doanh Ống Nhựa, Kinh Doanh, Chuyên Viên Kinh Doanh</t>
        </is>
      </c>
      <c r="M9295" t="inlineStr">
        <is>
          <t>Healthcare Plan, Awards</t>
        </is>
      </c>
      <c r="N9295" s="8">
        <f>HYPERLINK("https://www.vietnamworks.com/chuyen-vien-phat-trien-kinh-doanh-du-an-dan-dung-2021011-jv","Xem chi tiết")</f>
        <v/>
      </c>
    </row>
    <row r="9296">
      <c r="B9296" s="9" t="n">
        <v>9294</v>
      </c>
      <c r="C9296" s="10" t="inlineStr">
        <is>
          <t>Trưởng Phòng Quản Lý Khối Lượng (Trưởng Phòng QS)</t>
        </is>
      </c>
      <c r="D9296" s="10" t="inlineStr">
        <is>
          <t>Công Ty Cổ Phần BB Group</t>
        </is>
      </c>
      <c r="E9296" s="10" t="inlineStr">
        <is>
          <t>Thương lượng</t>
        </is>
      </c>
      <c r="F9296" s="10" t="inlineStr">
        <is>
          <t>Hà Nội</t>
        </is>
      </c>
      <c r="G9296" s="10" t="inlineStr">
        <is>
          <t>Trưởng phòng</t>
        </is>
      </c>
      <c r="H9296" s="10" t="inlineStr">
        <is>
          <t>10/03/2026</t>
        </is>
      </c>
      <c r="I9296" s="10" t="inlineStr">
        <is>
          <t>09/04/2026</t>
        </is>
      </c>
      <c r="J9296" s="10" t="inlineStr">
        <is>
          <t>17/03/2026</t>
        </is>
      </c>
      <c r="K9296" s="10" t="inlineStr">
        <is>
          <t>N/A</t>
        </is>
      </c>
      <c r="L9296" s="10" t="inlineStr">
        <is>
          <t>Quản Lý Dự Án, Quản Lý Xây Dựng, Xây Dựng</t>
        </is>
      </c>
      <c r="M9296" s="10" t="inlineStr">
        <is>
          <t>Bonus, Healthcare Plan, Paid Leave, Travel Opportunities, Canteen</t>
        </is>
      </c>
      <c r="N9296" s="11">
        <f>HYPERLINK("https://www.vietnamworks.com/truong-phong-quan-ly-khoi-luong-truong-phong-qs-2021020-jv","Xem chi tiết")</f>
        <v/>
      </c>
      <c r="O9296" s="10" t="n"/>
    </row>
    <row r="9297">
      <c r="B9297" s="7" t="n">
        <v>9295</v>
      </c>
      <c r="C9297" t="inlineStr">
        <is>
          <t>Project Manager</t>
        </is>
      </c>
      <c r="D9297" t="inlineStr">
        <is>
          <t>LF Global Tech</t>
        </is>
      </c>
      <c r="E9297" t="inlineStr">
        <is>
          <t>Thương lượng</t>
        </is>
      </c>
      <c r="F9297" t="inlineStr">
        <is>
          <t>Hồ Chí Minh</t>
        </is>
      </c>
      <c r="G9297" t="inlineStr">
        <is>
          <t>Trưởng phòng</t>
        </is>
      </c>
      <c r="H9297" t="inlineStr">
        <is>
          <t>10/03/2026</t>
        </is>
      </c>
      <c r="I9297" t="inlineStr">
        <is>
          <t>09/04/2026</t>
        </is>
      </c>
      <c r="J9297" t="inlineStr">
        <is>
          <t>17/03/2026</t>
        </is>
      </c>
      <c r="K9297" t="inlineStr">
        <is>
          <t>N/A</t>
        </is>
      </c>
      <c r="L9297" t="inlineStr">
        <is>
          <t>Analytical Skills, Azure Board, Problem Solving, Project Management, Project Planning</t>
        </is>
      </c>
      <c r="M9297" t="inlineStr">
        <is>
          <t>Bonus, Healthcare Plan, Paid Leave, Training, Team Activities, Others</t>
        </is>
      </c>
      <c r="N9297" s="8">
        <f>HYPERLINK("https://www.vietnamworks.com/project-manager-2021032-jv","Xem chi tiết")</f>
        <v/>
      </c>
    </row>
    <row r="9298">
      <c r="B9298" s="9" t="n">
        <v>9296</v>
      </c>
      <c r="C9298" s="10" t="inlineStr">
        <is>
          <t>Nhân Viên Mua Hàng</t>
        </is>
      </c>
      <c r="D9298" s="10" t="inlineStr">
        <is>
          <t>Công Ty TNHH Iko Thompson Việt Nam</t>
        </is>
      </c>
      <c r="E9298" s="10" t="inlineStr">
        <is>
          <t>Thương lượng</t>
        </is>
      </c>
      <c r="F9298" s="10" t="inlineStr">
        <is>
          <t>Hải Phòng</t>
        </is>
      </c>
      <c r="G9298" s="10" t="inlineStr">
        <is>
          <t>Nhân viên</t>
        </is>
      </c>
      <c r="H9298" s="10" t="inlineStr">
        <is>
          <t>10/03/2026</t>
        </is>
      </c>
      <c r="I9298" s="10" t="inlineStr">
        <is>
          <t>09/04/2026</t>
        </is>
      </c>
      <c r="J9298" s="10" t="inlineStr">
        <is>
          <t>17/03/2026</t>
        </is>
      </c>
      <c r="K9298" s="10" t="inlineStr">
        <is>
          <t>N/A</t>
        </is>
      </c>
      <c r="L9298" s="10" t="inlineStr">
        <is>
          <t>Thu Mua, Purchase Management, Mua Hàng, Tiếng Anh, Quản Lý Nhà Cung Cấp</t>
        </is>
      </c>
      <c r="M9298" s="10" t="inlineStr">
        <is>
          <t>Bonus, Healthcare Plan</t>
        </is>
      </c>
      <c r="N9298" s="11">
        <f>HYPERLINK("https://www.vietnamworks.com/nhan-vien-mua-hang--2021038-jv","Xem chi tiết")</f>
        <v/>
      </c>
      <c r="O9298" s="10" t="n"/>
    </row>
    <row r="9299">
      <c r="B9299" s="7" t="n">
        <v>9297</v>
      </c>
      <c r="C9299" t="inlineStr">
        <is>
          <t>[HCM/HN] Chuyên Viên Kinh Doanh B2B (Upto 1000$)</t>
        </is>
      </c>
      <c r="D9299" t="inlineStr">
        <is>
          <t>Công Ty Cổ Phần GAPIT</t>
        </is>
      </c>
      <c r="E9299" t="inlineStr">
        <is>
          <t>Tới $ 1,000 /tháng</t>
        </is>
      </c>
      <c r="F9299" t="inlineStr">
        <is>
          <t>Hà Nội, Hồ Chí Minh</t>
        </is>
      </c>
      <c r="G9299" t="inlineStr">
        <is>
          <t>Nhân viên</t>
        </is>
      </c>
      <c r="H9299" t="inlineStr">
        <is>
          <t>10/03/2026</t>
        </is>
      </c>
      <c r="I9299" t="inlineStr">
        <is>
          <t>09/04/2026</t>
        </is>
      </c>
      <c r="J9299" t="inlineStr">
        <is>
          <t>17/03/2026</t>
        </is>
      </c>
      <c r="K9299" t="inlineStr">
        <is>
          <t>N/A</t>
        </is>
      </c>
      <c r="L9299" t="inlineStr">
        <is>
          <t>Kinh Doanh B2B, Marketing Development, Client Negotiation, Project Management, Communication</t>
        </is>
      </c>
      <c r="M9299" t="inlineStr">
        <is>
          <t>Bonus, Healthcare Plan, Paid Leave, Training, Laptop, Team Activities, Others</t>
        </is>
      </c>
      <c r="N9299" s="8">
        <f>HYPERLINK("https://www.vietnamworks.com/hcmhn-chuyen-vien-kinh-doanh-b2b-upto-1000dollar-2021037-jv","Xem chi tiết")</f>
        <v/>
      </c>
    </row>
    <row r="9300">
      <c r="B9300" s="9" t="n">
        <v>9298</v>
      </c>
      <c r="C9300" s="10" t="inlineStr">
        <is>
          <t>Sales Executive Logistics</t>
        </is>
      </c>
      <c r="D9300" s="10" t="inlineStr">
        <is>
          <t>Công Ty TNHH Addicon Logistics Management (VN)</t>
        </is>
      </c>
      <c r="E9300" s="10" t="inlineStr">
        <is>
          <t>Thương lượng</t>
        </is>
      </c>
      <c r="F9300" s="10" t="inlineStr">
        <is>
          <t>Hồ Chí Minh</t>
        </is>
      </c>
      <c r="G9300" s="10" t="inlineStr">
        <is>
          <t>Nhân viên</t>
        </is>
      </c>
      <c r="H9300" s="10" t="inlineStr">
        <is>
          <t>10/03/2026</t>
        </is>
      </c>
      <c r="I9300" s="10" t="inlineStr">
        <is>
          <t>09/04/2026</t>
        </is>
      </c>
      <c r="J9300" s="10" t="inlineStr">
        <is>
          <t>17/03/2026</t>
        </is>
      </c>
      <c r="K9300" s="10" t="inlineStr">
        <is>
          <t>N/A</t>
        </is>
      </c>
      <c r="L9300" s="10" t="inlineStr">
        <is>
          <t>Logistics Sales, Business Development, Import &amp; Export, International Logistics, Freight Forwarding Sales</t>
        </is>
      </c>
      <c r="M9300" s="10" t="inlineStr">
        <is>
          <t>Bonus, Healthcare Plan, Training, Others</t>
        </is>
      </c>
      <c r="N9300" s="11">
        <f>HYPERLINK("https://www.vietnamworks.com/sales-executive-logistics-2021034-jv","Xem chi tiết")</f>
        <v/>
      </c>
      <c r="O9300" s="10" t="n"/>
    </row>
    <row r="9301">
      <c r="B9301" s="7" t="n">
        <v>9299</v>
      </c>
      <c r="C9301" t="inlineStr">
        <is>
          <t>[Urgent] BIM Modeler / Architect Kỹ Sư BIM / Kiến Trúc Sư</t>
        </is>
      </c>
      <c r="D9301" t="inlineStr">
        <is>
          <t>Obayashi Viet Nam Corporation – Hanoi Branch Office</t>
        </is>
      </c>
      <c r="E9301" t="inlineStr">
        <is>
          <t>Thương lượng</t>
        </is>
      </c>
      <c r="F9301" t="inlineStr">
        <is>
          <t>Hà Nội</t>
        </is>
      </c>
      <c r="G9301" t="inlineStr">
        <is>
          <t>Nhân viên</t>
        </is>
      </c>
      <c r="H9301" t="inlineStr">
        <is>
          <t>10/03/2026</t>
        </is>
      </c>
      <c r="I9301" t="inlineStr">
        <is>
          <t>09/04/2026</t>
        </is>
      </c>
      <c r="J9301" t="inlineStr">
        <is>
          <t>17/03/2026</t>
        </is>
      </c>
      <c r="K9301" t="inlineStr">
        <is>
          <t>N/A</t>
        </is>
      </c>
      <c r="L9301" t="inlineStr">
        <is>
          <t>BIM, Revit, Architecture Design, Architecture Drafting, English</t>
        </is>
      </c>
      <c r="M9301" t="inlineStr">
        <is>
          <t>Bonus, Healthcare Plan, Training, Awards, Others</t>
        </is>
      </c>
      <c r="N9301" s="8">
        <f>HYPERLINK("https://www.vietnamworks.com/urgent-bim-modeler-architect-ky-su-bim-kien-truc-su-2021030-jv","Xem chi tiết")</f>
        <v/>
      </c>
    </row>
    <row r="9302">
      <c r="B9302" s="9" t="n">
        <v>9300</v>
      </c>
      <c r="C9302" s="10" t="inlineStr">
        <is>
          <t>Key Account Manager (Food Industry)</t>
        </is>
      </c>
      <c r="D9302" s="10" t="inlineStr">
        <is>
          <t>Orion Food Vina Co,. Ltd - Head Office</t>
        </is>
      </c>
      <c r="E9302" s="10" t="inlineStr">
        <is>
          <t>Thương lượng</t>
        </is>
      </c>
      <c r="F9302" s="10" t="inlineStr">
        <is>
          <t>Hồ Chí Minh</t>
        </is>
      </c>
      <c r="G9302" s="10" t="inlineStr">
        <is>
          <t>Nhân viên</t>
        </is>
      </c>
      <c r="H9302" s="10" t="inlineStr">
        <is>
          <t>10/03/2026</t>
        </is>
      </c>
      <c r="I9302" s="10" t="inlineStr">
        <is>
          <t>09/04/2026</t>
        </is>
      </c>
      <c r="J9302" s="10" t="inlineStr">
        <is>
          <t>17/03/2026</t>
        </is>
      </c>
      <c r="K9302" s="10" t="inlineStr">
        <is>
          <t>N/A</t>
        </is>
      </c>
      <c r="L9302" s="10" t="inlineStr">
        <is>
          <t>Key Account Management, Phân Tích Kinh Doanh, Trưng Bày Hàng Hóa, Problem Solving, MT Channel</t>
        </is>
      </c>
      <c r="M9302" s="10" t="inlineStr">
        <is>
          <t>Bonus, Healthcare Plan, Paid Leave</t>
        </is>
      </c>
      <c r="N9302" s="11">
        <f>HYPERLINK("https://www.vietnamworks.com/key-account-manager-food-industry-2021019-jv","Xem chi tiết")</f>
        <v/>
      </c>
      <c r="O9302" s="10" t="n"/>
    </row>
    <row r="9303">
      <c r="B9303" s="7" t="n">
        <v>9301</v>
      </c>
      <c r="C9303" t="inlineStr">
        <is>
          <t>R&amp;D Specialist</t>
        </is>
      </c>
      <c r="D9303" t="inlineStr">
        <is>
          <t>Orion Food Vina Co,. Ltd - Head Office</t>
        </is>
      </c>
      <c r="E9303" t="inlineStr">
        <is>
          <t>Thương lượng</t>
        </is>
      </c>
      <c r="F9303" t="inlineStr">
        <is>
          <t>Hồ Chí Minh</t>
        </is>
      </c>
      <c r="G9303" t="inlineStr">
        <is>
          <t>Nhân viên</t>
        </is>
      </c>
      <c r="H9303" t="inlineStr">
        <is>
          <t>10/03/2026</t>
        </is>
      </c>
      <c r="I9303" t="inlineStr">
        <is>
          <t>09/04/2026</t>
        </is>
      </c>
      <c r="J9303" t="inlineStr">
        <is>
          <t>17/03/2026</t>
        </is>
      </c>
      <c r="K9303" t="inlineStr">
        <is>
          <t>N/A</t>
        </is>
      </c>
      <c r="L9303" t="inlineStr">
        <is>
          <t>Phát Triển Sản Phẩm, Nghiên Cứu Sản Phẩm, Food Technology, Công Nghệ Thực Phẩm, Research skills</t>
        </is>
      </c>
      <c r="M9303" t="inlineStr">
        <is>
          <t>Bonus, Healthcare Plan, Team Activities</t>
        </is>
      </c>
      <c r="N9303" s="8">
        <f>HYPERLINK("https://www.vietnamworks.com/r-d-specialist--2021026-jv","Xem chi tiết")</f>
        <v/>
      </c>
    </row>
    <row r="9304">
      <c r="B9304" s="9" t="n">
        <v>9302</v>
      </c>
      <c r="C9304" s="10" t="inlineStr">
        <is>
          <t>Kiến Trúc Sư Thiết Kế Concept Nội Thất &amp; Hệ Tủ</t>
        </is>
      </c>
      <c r="D9304" s="10" t="inlineStr">
        <is>
          <t>Công Ty CP Ideaz Việt Nam</t>
        </is>
      </c>
      <c r="E9304" s="10" t="inlineStr">
        <is>
          <t>18tr-25tr ₫/tháng</t>
        </is>
      </c>
      <c r="F9304" s="10" t="inlineStr">
        <is>
          <t>Hà Nội</t>
        </is>
      </c>
      <c r="G9304" s="10" t="inlineStr">
        <is>
          <t>Nhân viên</t>
        </is>
      </c>
      <c r="H9304" s="10" t="inlineStr">
        <is>
          <t>10/03/2026</t>
        </is>
      </c>
      <c r="I9304" s="10" t="inlineStr">
        <is>
          <t>09/04/2026</t>
        </is>
      </c>
      <c r="J9304" s="10" t="inlineStr">
        <is>
          <t>17/03/2026</t>
        </is>
      </c>
      <c r="K9304" s="10" t="inlineStr">
        <is>
          <t>N/A</t>
        </is>
      </c>
      <c r="L9304" s="10" t="inlineStr">
        <is>
          <t>Thiết Kế Nội Thất, AutoCAD, Sketchup, 3DSMAX, Giao Tiếp Tiếng Anh</t>
        </is>
      </c>
      <c r="M9304" s="10" t="inlineStr">
        <is>
          <t>Bonus, Healthcare Plan, Training, Travel Opportunities, Others</t>
        </is>
      </c>
      <c r="N9304" s="11">
        <f>HYPERLINK("https://www.vietnamworks.com/kien-truc-su-thiet-ke-concept-noi-that-and-he-tu-2021025-jv","Xem chi tiết")</f>
        <v/>
      </c>
      <c r="O9304" s="10" t="n"/>
    </row>
    <row r="9305">
      <c r="B9305" s="7" t="n">
        <v>9303</v>
      </c>
      <c r="C9305" t="inlineStr">
        <is>
          <t>Quản Đốc Sản Xuất May Mặc - Production Executive</t>
        </is>
      </c>
      <c r="D9305" t="inlineStr">
        <is>
          <t>Linea Aqua Vietnam Company Limited (Lavn)</t>
        </is>
      </c>
      <c r="E9305" t="inlineStr">
        <is>
          <t>Thương lượng</t>
        </is>
      </c>
      <c r="F9305" t="inlineStr">
        <is>
          <t>Hưng Yên, Hải Dương, Hà Nội</t>
        </is>
      </c>
      <c r="G9305" t="inlineStr">
        <is>
          <t>Nhân viên</t>
        </is>
      </c>
      <c r="H9305" t="inlineStr">
        <is>
          <t>10/03/2026</t>
        </is>
      </c>
      <c r="I9305" t="inlineStr">
        <is>
          <t>09/04/2026</t>
        </is>
      </c>
      <c r="J9305" t="inlineStr">
        <is>
          <t>17/03/2026</t>
        </is>
      </c>
      <c r="K9305" t="inlineStr">
        <is>
          <t>N/A</t>
        </is>
      </c>
      <c r="L9305" t="inlineStr">
        <is>
          <t>Quản Lý Sản Xuất, Garment Production, Garment, Quản Lý May Mặc, May Mặc Thời Trang</t>
        </is>
      </c>
      <c r="M9305" t="inlineStr">
        <is>
          <t>Bonus, Healthcare Plan, Transportation</t>
        </is>
      </c>
      <c r="N9305" s="8">
        <f>HYPERLINK("https://www.vietnamworks.com/quan-doc-san-xuat-may-mac-production-executive--2021035-jv","Xem chi tiết")</f>
        <v/>
      </c>
    </row>
    <row r="9306">
      <c r="B9306" s="9" t="n">
        <v>9304</v>
      </c>
      <c r="C9306" s="10" t="inlineStr">
        <is>
          <t>Chuyên Viên Giám Sát MEP</t>
        </is>
      </c>
      <c r="D9306" s="10" t="inlineStr">
        <is>
          <t>Tập Đoàn Ecopark</t>
        </is>
      </c>
      <c r="E9306" s="10" t="inlineStr">
        <is>
          <t>Thương lượng</t>
        </is>
      </c>
      <c r="F9306" s="10" t="inlineStr">
        <is>
          <t>Long An, Hồ Chí Minh, Hưng Yên</t>
        </is>
      </c>
      <c r="G9306" s="10" t="inlineStr">
        <is>
          <t>Nhân viên</t>
        </is>
      </c>
      <c r="H9306" s="10" t="inlineStr">
        <is>
          <t>10/03/2026</t>
        </is>
      </c>
      <c r="I9306" s="10" t="inlineStr">
        <is>
          <t>09/04/2026</t>
        </is>
      </c>
      <c r="J9306" s="10" t="inlineStr">
        <is>
          <t>17/03/2026</t>
        </is>
      </c>
      <c r="K9306" s="10" t="inlineStr">
        <is>
          <t>N/A</t>
        </is>
      </c>
      <c r="L9306" s="10" t="inlineStr">
        <is>
          <t>MEP, Quản Lý Dự Án, Lắp Đặt Thiết Bị, Giám Sát Xây Dựng, ME</t>
        </is>
      </c>
      <c r="M9306" s="10" t="inlineStr">
        <is>
          <t>Bonus, Healthcare Plan, Team Activities, Transportation, Others</t>
        </is>
      </c>
      <c r="N9306" s="11">
        <f>HYPERLINK("https://www.vietnamworks.com/chuyen-vien-giam-sat-mep-2021028-jv","Xem chi tiết")</f>
        <v/>
      </c>
      <c r="O9306" s="10" t="n"/>
    </row>
    <row r="9307">
      <c r="B9307" s="7" t="n">
        <v>9305</v>
      </c>
      <c r="C9307" t="inlineStr">
        <is>
          <t>Export Sales Manager - Trưởng Phòng Kinh Doanh Xuất Khẩu</t>
        </is>
      </c>
      <c r="D9307" t="inlineStr">
        <is>
          <t>Công ty TNHH MTV Lux Quartz Việt Nam</t>
        </is>
      </c>
      <c r="E9307" t="inlineStr">
        <is>
          <t>25tr-30tr ₫/tháng</t>
        </is>
      </c>
      <c r="F9307" t="inlineStr">
        <is>
          <t>Đà Nẵng</t>
        </is>
      </c>
      <c r="G9307" t="inlineStr">
        <is>
          <t>Trưởng phòng</t>
        </is>
      </c>
      <c r="H9307" t="inlineStr">
        <is>
          <t>10/03/2026</t>
        </is>
      </c>
      <c r="I9307" t="inlineStr">
        <is>
          <t>09/04/2026</t>
        </is>
      </c>
      <c r="J9307" t="inlineStr">
        <is>
          <t>17/03/2026</t>
        </is>
      </c>
      <c r="K9307" t="inlineStr">
        <is>
          <t>N/A</t>
        </is>
      </c>
      <c r="L9307" t="inlineStr">
        <is>
          <t>Export Management, Market Development, B2B, Incoterms, Kinh Doanh Quốc Tế</t>
        </is>
      </c>
      <c r="M9307" t="inlineStr">
        <is>
          <t>Bonus, Paid Leave, Travel Opportunities, Team Activities, Others</t>
        </is>
      </c>
      <c r="N9307" s="8">
        <f>HYPERLINK("https://www.vietnamworks.com/export-sales-manager-truong-phong-kinh-doanh-xuat-khau-2021040-jv","Xem chi tiết")</f>
        <v/>
      </c>
    </row>
    <row r="9308">
      <c r="B9308" s="9" t="n">
        <v>9306</v>
      </c>
      <c r="C9308" s="10" t="inlineStr">
        <is>
          <t>Hà Nội - Kiến Trúc Sư/ Thiết Kế/ Lương Upto 30 Triệu/ Tháng</t>
        </is>
      </c>
      <c r="D9308" s="10" t="inlineStr">
        <is>
          <t>CÔNG TY TNHH NỘI THẤT ANH ÐOÀN</t>
        </is>
      </c>
      <c r="E9308" s="10" t="inlineStr">
        <is>
          <t>15tr-30tr ₫/tháng</t>
        </is>
      </c>
      <c r="F9308" s="10" t="inlineStr">
        <is>
          <t>Hà Nội</t>
        </is>
      </c>
      <c r="G9308" s="10" t="inlineStr">
        <is>
          <t>Nhân viên</t>
        </is>
      </c>
      <c r="H9308" s="10" t="inlineStr">
        <is>
          <t>10/03/2026</t>
        </is>
      </c>
      <c r="I9308" s="10" t="inlineStr">
        <is>
          <t>09/04/2026</t>
        </is>
      </c>
      <c r="J9308" s="10" t="inlineStr">
        <is>
          <t>17/03/2026</t>
        </is>
      </c>
      <c r="K9308" s="10" t="inlineStr">
        <is>
          <t>N/A</t>
        </is>
      </c>
      <c r="L9308" s="10" t="inlineStr">
        <is>
          <t>Thiết Kế Nội Thất, Nội Thất, 3D Max, Phát Triển Ý Tưởng, Triển Khai Bản Vẽ</t>
        </is>
      </c>
      <c r="M9308" s="10" t="inlineStr">
        <is>
          <t>Bonus, Healthcare Plan, Training, Travel Opportunities, Team Activities, Others</t>
        </is>
      </c>
      <c r="N9308" s="11">
        <f>HYPERLINK("https://www.vietnamworks.com/ha-noi-kien-truc-su-thiet-ke-luong-upto-30-trieu-thang-2021043-jv","Xem chi tiết")</f>
        <v/>
      </c>
      <c r="O9308" s="10" t="n"/>
    </row>
    <row r="9309">
      <c r="B9309" s="7" t="n">
        <v>9307</v>
      </c>
      <c r="C9309" t="inlineStr">
        <is>
          <t>Content Supervisor, Brand Partnership</t>
        </is>
      </c>
      <c r="D9309" t="inlineStr">
        <is>
          <t>Công Ty Cổ Phần Metub Việt Nam</t>
        </is>
      </c>
      <c r="E9309" t="inlineStr">
        <is>
          <t>$$ 500-1,000 /tháng</t>
        </is>
      </c>
      <c r="F9309" t="inlineStr">
        <is>
          <t>Hồ Chí Minh</t>
        </is>
      </c>
      <c r="G9309" t="inlineStr">
        <is>
          <t>Nhân viên</t>
        </is>
      </c>
      <c r="H9309" t="inlineStr">
        <is>
          <t>10/03/2026</t>
        </is>
      </c>
      <c r="I9309" t="inlineStr">
        <is>
          <t>09/04/2026</t>
        </is>
      </c>
      <c r="J9309" t="inlineStr">
        <is>
          <t>17/03/2026</t>
        </is>
      </c>
      <c r="K9309" t="inlineStr">
        <is>
          <t>N/A</t>
        </is>
      </c>
      <c r="L9309" t="inlineStr">
        <is>
          <t>Content Strategy, Control Quality, Copywriting, Influencer Marketing, Strategic Thinking</t>
        </is>
      </c>
      <c r="M9309" t="inlineStr">
        <is>
          <t>Laptop</t>
        </is>
      </c>
      <c r="N9309" s="8">
        <f>HYPERLINK("https://www.vietnamworks.com/content-supervisor-brand-partnership-2021045-jv","Xem chi tiết")</f>
        <v/>
      </c>
    </row>
    <row r="9310">
      <c r="B9310" s="9" t="n">
        <v>9308</v>
      </c>
      <c r="C9310" s="10" t="inlineStr">
        <is>
          <t>Manufacturing Engineer (R&amp;D Department)</t>
        </is>
      </c>
      <c r="D9310" s="10" t="inlineStr">
        <is>
          <t>Công Ty Cổ Phần Cơ Khí Hồng Ký</t>
        </is>
      </c>
      <c r="E9310" s="10" t="inlineStr">
        <is>
          <t>Thương lượng</t>
        </is>
      </c>
      <c r="F9310" s="10" t="inlineStr">
        <is>
          <t>Long An</t>
        </is>
      </c>
      <c r="G9310" s="10" t="inlineStr">
        <is>
          <t>Nhân viên</t>
        </is>
      </c>
      <c r="H9310" s="10" t="inlineStr">
        <is>
          <t>10/03/2026</t>
        </is>
      </c>
      <c r="I9310" s="10" t="inlineStr">
        <is>
          <t>09/04/2026</t>
        </is>
      </c>
      <c r="J9310" s="10" t="inlineStr">
        <is>
          <t>17/03/2026</t>
        </is>
      </c>
      <c r="K9310" s="10" t="inlineStr">
        <is>
          <t>N/A</t>
        </is>
      </c>
      <c r="L9310" s="10" t="inlineStr">
        <is>
          <t>SMT, AutoCAD</t>
        </is>
      </c>
      <c r="M9310" s="10" t="inlineStr">
        <is>
          <t>Bonus, Paid Leave, Awards</t>
        </is>
      </c>
      <c r="N9310" s="11">
        <f>HYPERLINK("https://www.vietnamworks.com/manufacturing-engineer-r-d-department-2021041-jv","Xem chi tiết")</f>
        <v/>
      </c>
      <c r="O9310" s="10" t="n"/>
    </row>
    <row r="9311">
      <c r="B9311" s="7" t="n">
        <v>9309</v>
      </c>
      <c r="C9311" t="inlineStr">
        <is>
          <t>Nhân Viên An Toàn Môi Trường (ESH Staff)</t>
        </is>
      </c>
      <c r="D9311" t="inlineStr">
        <is>
          <t>Công Ty TNHH Vinatech Vina</t>
        </is>
      </c>
      <c r="E9311" t="inlineStr">
        <is>
          <t>Thương lượng</t>
        </is>
      </c>
      <c r="F9311" t="inlineStr">
        <is>
          <t>Bắc Ninh</t>
        </is>
      </c>
      <c r="G9311" t="inlineStr">
        <is>
          <t>Nhân viên</t>
        </is>
      </c>
      <c r="H9311" t="inlineStr">
        <is>
          <t>10/03/2026</t>
        </is>
      </c>
      <c r="I9311" t="inlineStr">
        <is>
          <t>09/04/2026</t>
        </is>
      </c>
      <c r="J9311" t="inlineStr">
        <is>
          <t>17/03/2026</t>
        </is>
      </c>
      <c r="K9311" t="inlineStr">
        <is>
          <t>N/A</t>
        </is>
      </c>
      <c r="L9311" t="inlineStr">
        <is>
          <t>Bảo Hộ Lao Động, Kỹ Thuật Môi Trường, Quản Lý An Toàn Lao Động, Luật Môi Trường, HSE</t>
        </is>
      </c>
      <c r="M9311" t="inlineStr">
        <is>
          <t>Bonus, Healthcare Plan, Training, Others</t>
        </is>
      </c>
      <c r="N9311" s="8">
        <f>HYPERLINK("https://www.vietnamworks.com/nhan-vien-an-toan-moi-truong-esh-staff-2021047-jv","Xem chi tiết")</f>
        <v/>
      </c>
    </row>
    <row r="9312">
      <c r="B9312" s="9" t="n">
        <v>9310</v>
      </c>
      <c r="C9312" s="10" t="inlineStr">
        <is>
          <t>Nhân Viên Quản Lý Tài Liệu (Document Controller)</t>
        </is>
      </c>
      <c r="D9312" s="10" t="inlineStr">
        <is>
          <t>Công Ty CP Tập Đoàn Đầu Tư Việt Phương</t>
        </is>
      </c>
      <c r="E9312" s="10" t="inlineStr">
        <is>
          <t>Thương lượng</t>
        </is>
      </c>
      <c r="F9312" s="10" t="inlineStr">
        <is>
          <t>Hà Nội, Quốc tế</t>
        </is>
      </c>
      <c r="G9312" s="10" t="inlineStr">
        <is>
          <t>Nhân viên</t>
        </is>
      </c>
      <c r="H9312" s="10" t="inlineStr">
        <is>
          <t>10/03/2026</t>
        </is>
      </c>
      <c r="I9312" s="10" t="inlineStr">
        <is>
          <t>09/04/2026</t>
        </is>
      </c>
      <c r="J9312" s="10" t="inlineStr">
        <is>
          <t>17/03/2026</t>
        </is>
      </c>
      <c r="K9312" s="10" t="inlineStr">
        <is>
          <t>N/A</t>
        </is>
      </c>
      <c r="L9312" s="10" t="inlineStr">
        <is>
          <t>Quản Lý Tài Sản, MS Office, Sharepoint, Aconex, Tư Duy Hệ Thống</t>
        </is>
      </c>
      <c r="M9312" s="10" t="inlineStr">
        <is>
          <t>Bonus, Healthcare Plan, Awards, Travel Opportunities</t>
        </is>
      </c>
      <c r="N9312" s="11">
        <f>HYPERLINK("https://www.vietnamworks.com/nhan-vien-quan-ly-tai-lieu-document-controller-2021013-jv","Xem chi tiết")</f>
        <v/>
      </c>
      <c r="O9312" s="10" t="n"/>
    </row>
    <row r="9313">
      <c r="B9313" s="7" t="n">
        <v>9311</v>
      </c>
      <c r="C9313" t="inlineStr">
        <is>
          <t>Logistics Optimization Specialist/senior (Working in Hai Phong)</t>
        </is>
      </c>
      <c r="D9313" t="inlineStr">
        <is>
          <t>VINFAST TRADING AND PRODUCTION JSC</t>
        </is>
      </c>
      <c r="E9313" t="inlineStr">
        <is>
          <t>Thương lượng</t>
        </is>
      </c>
      <c r="F9313" t="inlineStr">
        <is>
          <t>Hải Phòng</t>
        </is>
      </c>
      <c r="G9313" t="inlineStr">
        <is>
          <t>Nhân viên</t>
        </is>
      </c>
      <c r="H9313" t="inlineStr">
        <is>
          <t>10/03/2026</t>
        </is>
      </c>
      <c r="I9313" t="inlineStr">
        <is>
          <t>09/04/2026</t>
        </is>
      </c>
      <c r="J9313" t="inlineStr">
        <is>
          <t>17/03/2026</t>
        </is>
      </c>
      <c r="K9313" t="inlineStr">
        <is>
          <t>N/A</t>
        </is>
      </c>
      <c r="L9313" t="inlineStr">
        <is>
          <t>Logistics Optimization, Planning Management, Inventory Control, Agv Systems, Warehouse Renovation</t>
        </is>
      </c>
      <c r="M9313" t="inlineStr">
        <is>
          <t>Bonus, Healthcare Plan, Others</t>
        </is>
      </c>
      <c r="N9313" s="8">
        <f>HYPERLINK("https://www.vietnamworks.com/logistics-optimization-specialist-senior-working-in-hai-phong-2021049-jv","Xem chi tiết")</f>
        <v/>
      </c>
    </row>
    <row r="9314">
      <c r="B9314" s="9" t="n">
        <v>9312</v>
      </c>
      <c r="C9314" s="10" t="inlineStr">
        <is>
          <t>Cộng Tác Viên Tư Vấn Tuyển Sinh Golf</t>
        </is>
      </c>
      <c r="D9314" s="10" t="inlineStr">
        <is>
          <t>Công Ty Cổ Phần Evergreen Đầu Tư</t>
        </is>
      </c>
      <c r="E9314" s="10" t="inlineStr">
        <is>
          <t>Thương lượng</t>
        </is>
      </c>
      <c r="F9314" s="10" t="inlineStr">
        <is>
          <t>Hưng Yên, Hà Nội</t>
        </is>
      </c>
      <c r="G9314" s="10" t="inlineStr">
        <is>
          <t>Nhân viên</t>
        </is>
      </c>
      <c r="H9314" s="10" t="inlineStr">
        <is>
          <t>10/03/2026</t>
        </is>
      </c>
      <c r="I9314" s="10" t="inlineStr">
        <is>
          <t>09/04/2026</t>
        </is>
      </c>
      <c r="J9314" s="10" t="inlineStr">
        <is>
          <t>17/03/2026</t>
        </is>
      </c>
      <c r="K9314" s="10" t="inlineStr">
        <is>
          <t>N/A</t>
        </is>
      </c>
      <c r="L9314" s="10" t="inlineStr">
        <is>
          <t>Tiếng Anh, Công Tác Đào Tạo, Tư Vấn Tuyển Sinh, Golf, Performance Marketing</t>
        </is>
      </c>
      <c r="M9314" s="10" t="inlineStr">
        <is>
          <t>Bonus, Paid Leave, Training</t>
        </is>
      </c>
      <c r="N9314" s="11">
        <f>HYPERLINK("https://www.vietnamworks.com/cong-tac-vien-tu-van-tuyen-sinh-golf-2021051-jv","Xem chi tiết")</f>
        <v/>
      </c>
      <c r="O9314" s="10" t="n"/>
    </row>
    <row r="9315">
      <c r="B9315" s="7" t="n">
        <v>9313</v>
      </c>
      <c r="C9315" t="inlineStr">
        <is>
          <t>Chuyên Viên Mua Hàng</t>
        </is>
      </c>
      <c r="D9315" t="inlineStr">
        <is>
          <t>CÔNG TY CỔ PHẦN PHÁT TRIỂN CÔNG NGHỆ VÀ DỊCH VỤ VẠN PHÚC</t>
        </is>
      </c>
      <c r="E9315" t="inlineStr">
        <is>
          <t>Thương lượng</t>
        </is>
      </c>
      <c r="F9315" t="inlineStr">
        <is>
          <t>Hà Nội</t>
        </is>
      </c>
      <c r="G9315" t="inlineStr">
        <is>
          <t>Nhân viên</t>
        </is>
      </c>
      <c r="H9315" t="inlineStr">
        <is>
          <t>10/03/2026</t>
        </is>
      </c>
      <c r="I9315" t="inlineStr">
        <is>
          <t>09/04/2026</t>
        </is>
      </c>
      <c r="J9315" t="inlineStr">
        <is>
          <t>17/03/2026</t>
        </is>
      </c>
      <c r="K9315" t="inlineStr">
        <is>
          <t>N/A</t>
        </is>
      </c>
      <c r="L9315" t="inlineStr">
        <is>
          <t>Procurement, Tiếng Anh, Tìm Kiếm Nguồn Hàng, Tìm Kiếm Nhà Cung Cấp, Đàm Phán</t>
        </is>
      </c>
      <c r="M9315" t="inlineStr">
        <is>
          <t>Others</t>
        </is>
      </c>
      <c r="N9315" s="8">
        <f>HYPERLINK("https://www.vietnamworks.com/chuyen-vien-mua-hang-2021077-jv","Xem chi tiết")</f>
        <v/>
      </c>
    </row>
    <row r="9316">
      <c r="B9316" s="9" t="n">
        <v>9314</v>
      </c>
      <c r="C9316" s="10" t="inlineStr">
        <is>
          <t>Design Coordination</t>
        </is>
      </c>
      <c r="D9316" s="10" t="inlineStr">
        <is>
          <t>Công Ty TNHH Phát Triển Phú Mỹ Hưng</t>
        </is>
      </c>
      <c r="E9316" s="10" t="inlineStr">
        <is>
          <t>Thương lượng</t>
        </is>
      </c>
      <c r="F9316" s="10" t="inlineStr">
        <is>
          <t>Hồ Chí Minh</t>
        </is>
      </c>
      <c r="G9316" s="10" t="inlineStr">
        <is>
          <t>Nhân viên</t>
        </is>
      </c>
      <c r="H9316" s="10" t="inlineStr">
        <is>
          <t>10/03/2026</t>
        </is>
      </c>
      <c r="I9316" s="10" t="inlineStr">
        <is>
          <t>09/04/2026</t>
        </is>
      </c>
      <c r="J9316" s="10" t="inlineStr">
        <is>
          <t>17/03/2026</t>
        </is>
      </c>
      <c r="K9316" s="10" t="inlineStr">
        <is>
          <t>N/A</t>
        </is>
      </c>
      <c r="L9316" s="10" t="inlineStr">
        <is>
          <t>Kiến Trúc, Design Coordination, Architect, Thiết Kế Kiến Trúc</t>
        </is>
      </c>
      <c r="M9316" s="10" t="inlineStr">
        <is>
          <t>Healthcare Plan, Paid Leave, Training</t>
        </is>
      </c>
      <c r="N9316" s="11">
        <f>HYPERLINK("https://www.vietnamworks.com/design-coordination-2021078-jv","Xem chi tiết")</f>
        <v/>
      </c>
      <c r="O9316" s="10" t="n"/>
    </row>
    <row r="9317">
      <c r="B9317" s="7" t="n">
        <v>9315</v>
      </c>
      <c r="C9317" t="inlineStr">
        <is>
          <t>Nhân Viên Thiết Kế Jig, Đồ Gá (Không Có Kinh Nghiệm Được Đào Tạo, Thu Nhập Từ 15-30Tr)</t>
        </is>
      </c>
      <c r="D9317" t="inlineStr">
        <is>
          <t>Công Ty TNHH Cova TEC Việt Nam</t>
        </is>
      </c>
      <c r="E9317" t="inlineStr">
        <is>
          <t>15,000-30,000 ₫/tháng</t>
        </is>
      </c>
      <c r="F9317" t="inlineStr">
        <is>
          <t>Vĩnh Phúc</t>
        </is>
      </c>
      <c r="G9317" t="inlineStr">
        <is>
          <t>Nhân viên</t>
        </is>
      </c>
      <c r="H9317" t="inlineStr">
        <is>
          <t>10/03/2026</t>
        </is>
      </c>
      <c r="I9317" t="inlineStr">
        <is>
          <t>09/04/2026</t>
        </is>
      </c>
      <c r="J9317" t="inlineStr">
        <is>
          <t>17/03/2026</t>
        </is>
      </c>
      <c r="K9317" t="inlineStr">
        <is>
          <t>N/A</t>
        </is>
      </c>
      <c r="L9317" t="inlineStr">
        <is>
          <t>SolidWorks, AutoCAD, Cơ Khí, Thiết Kế Khuôn, Thiết Kế Đồ Gá JIG</t>
        </is>
      </c>
      <c r="M9317" t="inlineStr">
        <is>
          <t>Bonus, Healthcare Plan, Paid Leave</t>
        </is>
      </c>
      <c r="N9317" s="8">
        <f>HYPERLINK("https://www.vietnamworks.com/nhan-vien-thiet-ke-jig-do-ga-khong-co-kinh-nghiem-duoc-dao-tao-thu-nhap-tu-15-30tr-2021080-jv","Xem chi tiết")</f>
        <v/>
      </c>
    </row>
    <row r="9318">
      <c r="B9318" s="9" t="n">
        <v>9316</v>
      </c>
      <c r="C9318" s="10" t="inlineStr">
        <is>
          <t>Cán Bộ Truyền Thông - KNU Vietnam</t>
        </is>
      </c>
      <c r="D9318" s="10" t="inlineStr">
        <is>
          <t>Tổ Chức Giáo Dục FPT</t>
        </is>
      </c>
      <c r="E9318" s="10" t="inlineStr">
        <is>
          <t>Thương lượng</t>
        </is>
      </c>
      <c r="F9318" s="10" t="inlineStr">
        <is>
          <t>Hà Nội</t>
        </is>
      </c>
      <c r="G9318" s="10" t="inlineStr">
        <is>
          <t>Nhân viên</t>
        </is>
      </c>
      <c r="H9318" s="10" t="inlineStr">
        <is>
          <t>10/03/2026</t>
        </is>
      </c>
      <c r="I9318" s="10" t="inlineStr">
        <is>
          <t>09/04/2026</t>
        </is>
      </c>
      <c r="J9318" s="10" t="inlineStr">
        <is>
          <t>17/03/2026</t>
        </is>
      </c>
      <c r="K9318" s="10" t="inlineStr">
        <is>
          <t>N/A</t>
        </is>
      </c>
      <c r="L9318" s="10" t="inlineStr">
        <is>
          <t>communication, PR, Marketing, Planning, Production</t>
        </is>
      </c>
      <c r="M9318" s="10" t="inlineStr">
        <is>
          <t>Bonus, Healthcare Plan, Travel Opportunities</t>
        </is>
      </c>
      <c r="N9318" s="11">
        <f>HYPERLINK("https://www.vietnamworks.com/can-bo-truyen-thong-knu-vietnam-2021055-jv","Xem chi tiết")</f>
        <v/>
      </c>
      <c r="O9318" s="10" t="n"/>
    </row>
    <row r="9319">
      <c r="B9319" s="7" t="n">
        <v>9317</v>
      </c>
      <c r="C9319" t="inlineStr">
        <is>
          <t>Senior Service Technician</t>
        </is>
      </c>
      <c r="D9319" t="inlineStr">
        <is>
          <t>CARRIER VIETNAM AIR CONDITIONING COMPANY LIMITED</t>
        </is>
      </c>
      <c r="E9319" t="inlineStr">
        <is>
          <t>25tr-30tr ₫/tháng</t>
        </is>
      </c>
      <c r="F9319" t="inlineStr">
        <is>
          <t>Hà Nội</t>
        </is>
      </c>
      <c r="G9319" t="inlineStr">
        <is>
          <t>Nhân viên</t>
        </is>
      </c>
      <c r="H9319" t="inlineStr">
        <is>
          <t>10/03/2026</t>
        </is>
      </c>
      <c r="I9319" t="inlineStr">
        <is>
          <t>09/04/2026</t>
        </is>
      </c>
      <c r="J9319" t="inlineStr">
        <is>
          <t>17/03/2026</t>
        </is>
      </c>
      <c r="K9319" t="inlineStr">
        <is>
          <t>N/A</t>
        </is>
      </c>
      <c r="L9319" t="inlineStr">
        <is>
          <t>English Communication, HVAC System, Maintenance, Product Warranty, Repair Maintenance</t>
        </is>
      </c>
      <c r="M9319" t="inlineStr">
        <is>
          <t>Bonus, Healthcare Plan</t>
        </is>
      </c>
      <c r="N9319" s="8">
        <f>HYPERLINK("https://www.vietnamworks.com/senior-service-technician-2021082-jv","Xem chi tiết")</f>
        <v/>
      </c>
    </row>
    <row r="9320">
      <c r="B9320" s="9" t="n">
        <v>9318</v>
      </c>
      <c r="C9320" s="10" t="inlineStr">
        <is>
          <t>HR Admin Executive - Factory</t>
        </is>
      </c>
      <c r="D9320" s="10" t="inlineStr">
        <is>
          <t>Bel</t>
        </is>
      </c>
      <c r="E9320" s="10" t="inlineStr">
        <is>
          <t>Thương lượng</t>
        </is>
      </c>
      <c r="F9320" s="10" t="inlineStr">
        <is>
          <t>Hồ Chí Minh</t>
        </is>
      </c>
      <c r="G9320" s="10" t="inlineStr">
        <is>
          <t>Nhân viên</t>
        </is>
      </c>
      <c r="H9320" s="10" t="inlineStr">
        <is>
          <t>10/03/2026</t>
        </is>
      </c>
      <c r="I9320" s="10" t="inlineStr">
        <is>
          <t>09/04/2026</t>
        </is>
      </c>
      <c r="J9320" s="10" t="inlineStr">
        <is>
          <t>17/03/2026</t>
        </is>
      </c>
      <c r="K9320" s="10" t="inlineStr">
        <is>
          <t>N/A</t>
        </is>
      </c>
      <c r="L9320" s="10" t="inlineStr">
        <is>
          <t>Communication Skills, HR Admin, Microsoft Office, Organizational skills, Problem-solving</t>
        </is>
      </c>
      <c r="M9320" s="10" t="inlineStr">
        <is>
          <t>Bonus, Healthcare Plan, Training, Others</t>
        </is>
      </c>
      <c r="N9320" s="11">
        <f>HYPERLINK("https://www.vietnamworks.com/hr-admin-executive-factory-2021081-jv","Xem chi tiết")</f>
        <v/>
      </c>
      <c r="O9320" s="10" t="n"/>
    </row>
    <row r="9321">
      <c r="B9321" s="7" t="n">
        <v>9319</v>
      </c>
      <c r="C9321" t="inlineStr">
        <is>
          <t>Kỹ Sư Kiểm Thử</t>
        </is>
      </c>
      <c r="D9321" t="inlineStr">
        <is>
          <t>VINFAST TRADING AND PRODUCTION JSC</t>
        </is>
      </c>
      <c r="E9321" t="inlineStr">
        <is>
          <t>Thương lượng</t>
        </is>
      </c>
      <c r="F9321" t="inlineStr">
        <is>
          <t>Hà Nội</t>
        </is>
      </c>
      <c r="G9321" t="inlineStr">
        <is>
          <t>Mới Tốt Nghiệp</t>
        </is>
      </c>
      <c r="H9321" t="inlineStr">
        <is>
          <t>10/03/2026</t>
        </is>
      </c>
      <c r="I9321" t="inlineStr">
        <is>
          <t>09/04/2026</t>
        </is>
      </c>
      <c r="J9321" t="inlineStr">
        <is>
          <t>17/03/2026</t>
        </is>
      </c>
      <c r="K9321" t="inlineStr">
        <is>
          <t>N/A</t>
        </is>
      </c>
      <c r="L9321" t="inlineStr">
        <is>
          <t>Test, Mobile Testing, Embedded Testing, Robotics, System Testing</t>
        </is>
      </c>
      <c r="M9321" t="inlineStr">
        <is>
          <t>Bonus, Healthcare Plan, Others</t>
        </is>
      </c>
      <c r="N9321" s="8">
        <f>HYPERLINK("https://www.vietnamworks.com/ky-su-kiem-thu-2021058-jv","Xem chi tiết")</f>
        <v/>
      </c>
    </row>
    <row r="9322">
      <c r="B9322" s="9" t="n">
        <v>9320</v>
      </c>
      <c r="C9322" s="10" t="inlineStr">
        <is>
          <t>Chuyên Viên Kỹ Thuật Điện - Cơ Điện Tử - Tự Động Hóa - Cơ Khí - Nhiệt</t>
        </is>
      </c>
      <c r="D9322" s="10" t="inlineStr">
        <is>
          <t>CÔNG TY CỔ PHẦN PHÁT TRIỂN CÔNG NGHỆ VÀ DỊCH VỤ VẠN PHÚC</t>
        </is>
      </c>
      <c r="E9322" s="10" t="inlineStr">
        <is>
          <t>Thương lượng</t>
        </is>
      </c>
      <c r="F9322" s="10" t="inlineStr">
        <is>
          <t>Hà Nội</t>
        </is>
      </c>
      <c r="G9322" s="10" t="inlineStr">
        <is>
          <t>Nhân viên</t>
        </is>
      </c>
      <c r="H9322" s="10" t="inlineStr">
        <is>
          <t>10/03/2026</t>
        </is>
      </c>
      <c r="I9322" s="10" t="inlineStr">
        <is>
          <t>09/04/2026</t>
        </is>
      </c>
      <c r="J9322" s="10" t="inlineStr">
        <is>
          <t>17/03/2026</t>
        </is>
      </c>
      <c r="K9322" s="10" t="inlineStr">
        <is>
          <t>N/A</t>
        </is>
      </c>
      <c r="L9322" s="10" t="inlineStr">
        <is>
          <t>Bidding, Kỹ Thuật, Quản Lý Dự Án, Technical Sales, Đấu Thầu</t>
        </is>
      </c>
      <c r="M9322" s="10" t="inlineStr">
        <is>
          <t>Others</t>
        </is>
      </c>
      <c r="N9322" s="11">
        <f>HYPERLINK("https://www.vietnamworks.com/chuyen-vien-ky-thuat-dien-co-dien-tu-tu-dong-hoa-co-khi-nhiet--2021086-jv","Xem chi tiết")</f>
        <v/>
      </c>
      <c r="O9322" s="10" t="n"/>
    </row>
    <row r="9323">
      <c r="B9323" s="7" t="n">
        <v>9321</v>
      </c>
      <c r="C9323" t="inlineStr">
        <is>
          <t>Business Administration (English &amp; Mandarin)</t>
        </is>
      </c>
      <c r="D9323" t="inlineStr">
        <is>
          <t>Arup Vietnam Limited (Arup)</t>
        </is>
      </c>
      <c r="E9323" t="inlineStr">
        <is>
          <t>Thương lượng</t>
        </is>
      </c>
      <c r="F9323" t="inlineStr">
        <is>
          <t>Hồ Chí Minh</t>
        </is>
      </c>
      <c r="G9323" t="inlineStr">
        <is>
          <t>Nhân viên</t>
        </is>
      </c>
      <c r="H9323" t="inlineStr">
        <is>
          <t>10/03/2026</t>
        </is>
      </c>
      <c r="I9323" t="inlineStr">
        <is>
          <t>09/04/2026</t>
        </is>
      </c>
      <c r="J9323" t="inlineStr">
        <is>
          <t>17/03/2026</t>
        </is>
      </c>
      <c r="K9323" t="inlineStr">
        <is>
          <t>N/A</t>
        </is>
      </c>
      <c r="L9323" t="inlineStr">
        <is>
          <t>Business Administration, Channel Relationship Management, Document Management, General Communication English, Chinese Speaking</t>
        </is>
      </c>
      <c r="M9323" t="inlineStr">
        <is>
          <t>Bonus, Healthcare Plan, Paid Leave, Training, Others</t>
        </is>
      </c>
      <c r="N9323" s="8">
        <f>HYPERLINK("https://www.vietnamworks.com/business-administration-english-and-mandarin-2021089-jv","Xem chi tiết")</f>
        <v/>
      </c>
    </row>
    <row r="9324">
      <c r="B9324" s="9" t="n">
        <v>9322</v>
      </c>
      <c r="C9324" s="10" t="inlineStr">
        <is>
          <t>Giám Đốc Học Thuật</t>
        </is>
      </c>
      <c r="D9324" s="10" t="inlineStr">
        <is>
          <t>CÔNG TY CỔ PHẦN SCOTS ENGLISH AUSTRALIA</t>
        </is>
      </c>
      <c r="E9324" s="10" t="inlineStr">
        <is>
          <t>50tr-70tr ₫/tháng</t>
        </is>
      </c>
      <c r="F9324" s="10" t="inlineStr">
        <is>
          <t>Hà Nội</t>
        </is>
      </c>
      <c r="G9324" s="10" t="inlineStr">
        <is>
          <t>Trưởng phòng</t>
        </is>
      </c>
      <c r="H9324" s="10" t="inlineStr">
        <is>
          <t>10/03/2026</t>
        </is>
      </c>
      <c r="I9324" s="10" t="inlineStr">
        <is>
          <t>09/04/2026</t>
        </is>
      </c>
      <c r="J9324" s="10" t="inlineStr">
        <is>
          <t>17/03/2026</t>
        </is>
      </c>
      <c r="K9324" s="10" t="inlineStr">
        <is>
          <t>N/A</t>
        </is>
      </c>
      <c r="L9324" s="10" t="inlineStr">
        <is>
          <t>Quản Lý Học Thuật, Dạy Tiếng Anh, Giảng Dạy, Lãnh Đạo, Sư Phạm</t>
        </is>
      </c>
      <c r="M9324" s="10" t="inlineStr">
        <is>
          <t>Bonus, Healthcare Plan, Paid Leave, Training, Laptop, Others</t>
        </is>
      </c>
      <c r="N9324" s="11">
        <f>HYPERLINK("https://www.vietnamworks.com/giam-djoc-hoc-thuat-2021087-jv","Xem chi tiết")</f>
        <v/>
      </c>
      <c r="O9324" s="10" t="n"/>
    </row>
    <row r="9325">
      <c r="B9325" s="7" t="n">
        <v>9323</v>
      </c>
      <c r="C9325" t="inlineStr">
        <is>
          <t>Giám Sát Kho</t>
        </is>
      </c>
      <c r="D9325" t="inlineStr">
        <is>
          <t>La Vie Limited Liability Company</t>
        </is>
      </c>
      <c r="E9325" t="inlineStr">
        <is>
          <t>Thương lượng</t>
        </is>
      </c>
      <c r="F9325" t="inlineStr">
        <is>
          <t>Tây Ninh</t>
        </is>
      </c>
      <c r="G9325" t="inlineStr">
        <is>
          <t>Nhân viên</t>
        </is>
      </c>
      <c r="H9325" t="inlineStr">
        <is>
          <t>10/03/2026</t>
        </is>
      </c>
      <c r="I9325" t="inlineStr">
        <is>
          <t>09/04/2026</t>
        </is>
      </c>
      <c r="J9325" t="inlineStr">
        <is>
          <t>17/03/2026</t>
        </is>
      </c>
      <c r="K9325" t="inlineStr">
        <is>
          <t>N/A</t>
        </is>
      </c>
      <c r="L9325" t="inlineStr">
        <is>
          <t>Giao Tiếp, Quản Lý Kho, Quản Trị Con Người, Tiếng Anh, Tin Học Văn Phòng (Word- Excel- Powerpoint)</t>
        </is>
      </c>
      <c r="M9325" t="inlineStr">
        <is>
          <t>Bonus, Healthcare Plan, Training, Vouchers</t>
        </is>
      </c>
      <c r="N9325" s="8">
        <f>HYPERLINK("https://www.vietnamworks.com/giam-sat-kho-2021098-jv","Xem chi tiết")</f>
        <v/>
      </c>
    </row>
    <row r="9326">
      <c r="B9326" s="9" t="n">
        <v>9324</v>
      </c>
      <c r="C9326" s="10" t="inlineStr">
        <is>
          <t>Nhân Viên Hành Chính</t>
        </is>
      </c>
      <c r="D9326" s="10" t="inlineStr">
        <is>
          <t>Công Ty TNHH Megaelec</t>
        </is>
      </c>
      <c r="E9326" s="10" t="inlineStr">
        <is>
          <t>$$ 500-1,000 /tháng</t>
        </is>
      </c>
      <c r="F9326" s="10" t="inlineStr">
        <is>
          <t>Bắc Ninh</t>
        </is>
      </c>
      <c r="G9326" s="10" t="inlineStr">
        <is>
          <t>Nhân viên</t>
        </is>
      </c>
      <c r="H9326" s="10" t="inlineStr">
        <is>
          <t>10/03/2026</t>
        </is>
      </c>
      <c r="I9326" s="10" t="inlineStr">
        <is>
          <t>09/04/2026</t>
        </is>
      </c>
      <c r="J9326" s="10" t="inlineStr">
        <is>
          <t>17/03/2026</t>
        </is>
      </c>
      <c r="K9326" s="10" t="inlineStr">
        <is>
          <t>N/A</t>
        </is>
      </c>
      <c r="L9326" s="10" t="inlineStr">
        <is>
          <t>Hành Chính, Kinh Nghiệm Làm Việc Với Người Nước Ngoài, Hành Chính Nhân Sự, Tiếng Hàn, Quan Hệ Cơ Quan Nhà Nước</t>
        </is>
      </c>
      <c r="M9326" s="10" t="inlineStr">
        <is>
          <t>Paid Leave, Team Activities, Transportation</t>
        </is>
      </c>
      <c r="N9326" s="11">
        <f>HYPERLINK("https://www.vietnamworks.com/nhan-vien-hanh-chinh--2021097-jv","Xem chi tiết")</f>
        <v/>
      </c>
      <c r="O9326" s="10" t="n"/>
    </row>
    <row r="9327">
      <c r="B9327" s="7" t="n">
        <v>9325</v>
      </c>
      <c r="C9327" t="inlineStr">
        <is>
          <t>Chuyên Viên Quản Lý Chất Lượng - Phòng Tiêu Chuẩn Thẩm Định</t>
        </is>
      </c>
      <c r="D9327" t="inlineStr">
        <is>
          <t>Công Ty CP Bệnh Viện Đa Khoa Quốc Tế Vinmec</t>
        </is>
      </c>
      <c r="E9327" t="inlineStr">
        <is>
          <t>Thương lượng</t>
        </is>
      </c>
      <c r="F9327" t="inlineStr">
        <is>
          <t>Hà Nội</t>
        </is>
      </c>
      <c r="G9327" t="inlineStr">
        <is>
          <t>Nhân viên</t>
        </is>
      </c>
      <c r="H9327" t="inlineStr">
        <is>
          <t>10/03/2026</t>
        </is>
      </c>
      <c r="I9327" t="inlineStr">
        <is>
          <t>09/04/2026</t>
        </is>
      </c>
      <c r="J9327" t="inlineStr">
        <is>
          <t>17/03/2026</t>
        </is>
      </c>
      <c r="K9327" t="inlineStr">
        <is>
          <t>N/A</t>
        </is>
      </c>
      <c r="L9327" t="inlineStr">
        <is>
          <t>Quản lý chất lượng, Thẩm Định, Phân Tích Tình Huống, Tổng Hợp Thông Tin, Quản lý Chất lượng &amp; An toàn</t>
        </is>
      </c>
      <c r="M9327" t="inlineStr">
        <is>
          <t>Bonus</t>
        </is>
      </c>
      <c r="N9327" s="8">
        <f>HYPERLINK("https://www.vietnamworks.com/chuyen-vien-quan-ly-chat-luong-phong-tieu-chuan-tham-dinh-2021100-jv","Xem chi tiết")</f>
        <v/>
      </c>
    </row>
    <row r="9328">
      <c r="B9328" s="9" t="n">
        <v>9326</v>
      </c>
      <c r="C9328" s="10" t="inlineStr">
        <is>
          <t>Nhân Viên Nhân Sự</t>
        </is>
      </c>
      <c r="D9328" s="10" t="inlineStr">
        <is>
          <t>Công Ty TNHH Vinatech Vina</t>
        </is>
      </c>
      <c r="E9328" s="10" t="inlineStr">
        <is>
          <t>Thương lượng</t>
        </is>
      </c>
      <c r="F9328" s="10" t="inlineStr">
        <is>
          <t>Hưng Yên</t>
        </is>
      </c>
      <c r="G9328" s="10" t="inlineStr">
        <is>
          <t>Nhân viên</t>
        </is>
      </c>
      <c r="H9328" s="10" t="inlineStr">
        <is>
          <t>10/03/2026</t>
        </is>
      </c>
      <c r="I9328" s="10" t="inlineStr">
        <is>
          <t>09/04/2026</t>
        </is>
      </c>
      <c r="J9328" s="10" t="inlineStr">
        <is>
          <t>17/03/2026</t>
        </is>
      </c>
      <c r="K9328" s="10" t="inlineStr">
        <is>
          <t>N/A</t>
        </is>
      </c>
      <c r="L9328" s="10" t="inlineStr">
        <is>
          <t>Hồ Sơ Nhân Sự, Tuyển Dụng, Đào Tạo, Giao Tiếp Tiếng Anh, Giải quyết vấn đề</t>
        </is>
      </c>
      <c r="M9328" s="10" t="inlineStr">
        <is>
          <t>Bonus, Healthcare Plan, Training, Travel Opportunities, Others</t>
        </is>
      </c>
      <c r="N9328" s="11">
        <f>HYPERLINK("https://www.vietnamworks.com/nhan-vien-nhan-su-2021052-jv","Xem chi tiết")</f>
        <v/>
      </c>
      <c r="O9328" s="10" t="n"/>
    </row>
    <row r="9329">
      <c r="B9329" s="7" t="n">
        <v>9327</v>
      </c>
      <c r="C9329" t="inlineStr">
        <is>
          <t>Sales Manager, Data Center</t>
        </is>
      </c>
      <c r="D9329" t="inlineStr">
        <is>
          <t>CARRIER VIETNAM AIR CONDITIONING COMPANY LIMITED</t>
        </is>
      </c>
      <c r="E9329" t="inlineStr">
        <is>
          <t>70tr-90tr ₫/tháng</t>
        </is>
      </c>
      <c r="F9329" t="inlineStr">
        <is>
          <t>Hồ Chí Minh</t>
        </is>
      </c>
      <c r="G9329" t="inlineStr">
        <is>
          <t>Trưởng phòng</t>
        </is>
      </c>
      <c r="H9329" t="inlineStr">
        <is>
          <t>10/03/2026</t>
        </is>
      </c>
      <c r="I9329" t="inlineStr">
        <is>
          <t>09/04/2026</t>
        </is>
      </c>
      <c r="J9329" t="inlineStr">
        <is>
          <t>17/03/2026</t>
        </is>
      </c>
      <c r="K9329" t="inlineStr">
        <is>
          <t>N/A</t>
        </is>
      </c>
      <c r="L9329" t="inlineStr">
        <is>
          <t>Communication Skills, CRM System, Data Center Operation, Kinh Doanh B2B, Negotiation Skills</t>
        </is>
      </c>
      <c r="M9329" t="inlineStr">
        <is>
          <t>Bonus, Healthcare Plan, Transportation</t>
        </is>
      </c>
      <c r="N9329" s="8">
        <f>HYPERLINK("https://www.vietnamworks.com/sales-manager-data-center-2021070-jv","Xem chi tiết")</f>
        <v/>
      </c>
    </row>
    <row r="9330">
      <c r="B9330" s="9" t="n">
        <v>9328</v>
      </c>
      <c r="C9330" s="10" t="inlineStr">
        <is>
          <t>Material Planner</t>
        </is>
      </c>
      <c r="D9330" s="10" t="inlineStr">
        <is>
          <t>VDL ETG VIETNAM COMPANY LIMITED</t>
        </is>
      </c>
      <c r="E9330" s="10" t="inlineStr">
        <is>
          <t>Thương lượng</t>
        </is>
      </c>
      <c r="F9330" s="10" t="inlineStr">
        <is>
          <t>Hải Phòng, Quảng Ninh</t>
        </is>
      </c>
      <c r="G9330" s="10" t="inlineStr">
        <is>
          <t>Nhân viên</t>
        </is>
      </c>
      <c r="H9330" s="10" t="inlineStr">
        <is>
          <t>10/03/2026</t>
        </is>
      </c>
      <c r="I9330" s="10" t="inlineStr">
        <is>
          <t>09/04/2026</t>
        </is>
      </c>
      <c r="J9330" s="10" t="inlineStr">
        <is>
          <t>17/03/2026</t>
        </is>
      </c>
      <c r="K9330" s="10" t="inlineStr">
        <is>
          <t>N/A</t>
        </is>
      </c>
      <c r="L9330" s="10" t="inlineStr">
        <is>
          <t>Material Planning, Manage ERP Software, Excel, English, Customer Focused Design</t>
        </is>
      </c>
      <c r="M9330" s="10" t="inlineStr">
        <is>
          <t>Bonus, Paid Leave, Laptop, Team Activities, Transportation, Others</t>
        </is>
      </c>
      <c r="N9330" s="11">
        <f>HYPERLINK("https://www.vietnamworks.com/material-planner-2021053-jv","Xem chi tiết")</f>
        <v/>
      </c>
      <c r="O9330" s="10" t="n"/>
    </row>
    <row r="9331">
      <c r="B9331" s="7" t="n">
        <v>9329</v>
      </c>
      <c r="C9331" t="inlineStr">
        <is>
          <t>Nhân Viên Kinh Doanh Xuất Nhập Khẩu (Có Kinh Nghiệm)</t>
        </is>
      </c>
      <c r="D9331" t="inlineStr">
        <is>
          <t>CÔNG TY TNHH ABK SÀI GÒN</t>
        </is>
      </c>
      <c r="E9331" t="inlineStr">
        <is>
          <t>8tr-15tr ₫/tháng</t>
        </is>
      </c>
      <c r="F9331" t="inlineStr">
        <is>
          <t>Hồ Chí Minh</t>
        </is>
      </c>
      <c r="G9331" t="inlineStr">
        <is>
          <t>Nhân viên</t>
        </is>
      </c>
      <c r="H9331" t="inlineStr">
        <is>
          <t>10/03/2026</t>
        </is>
      </c>
      <c r="I9331" t="inlineStr">
        <is>
          <t>09/04/2026</t>
        </is>
      </c>
      <c r="J9331" t="inlineStr">
        <is>
          <t>17/03/2026</t>
        </is>
      </c>
      <c r="K9331" t="inlineStr">
        <is>
          <t>N/A</t>
        </is>
      </c>
      <c r="L9331" t="inlineStr">
        <is>
          <t>Kinh Doanh, Phát Triển Kinh Doanh, Sales Development, Sales Management, Xuất Nhập Khẩu</t>
        </is>
      </c>
      <c r="M9331" t="inlineStr">
        <is>
          <t>Bonus, Training, Travel Opportunities, Others</t>
        </is>
      </c>
      <c r="N9331" s="8">
        <f>HYPERLINK("https://www.vietnamworks.com/nhan-vien-kinh-doanh-xuat-nhap-khau-co-kinh-nghiem-2021109-jv","Xem chi tiết")</f>
        <v/>
      </c>
    </row>
    <row r="9332">
      <c r="B9332" s="9" t="n">
        <v>9330</v>
      </c>
      <c r="C9332" s="10" t="inlineStr">
        <is>
          <t>Deputy Head Of The Automobile Sales</t>
        </is>
      </c>
      <c r="D9332" s="10" t="inlineStr">
        <is>
          <t>Vietnam Suzuki Corporation</t>
        </is>
      </c>
      <c r="E9332" s="10" t="inlineStr">
        <is>
          <t>Thương lượng</t>
        </is>
      </c>
      <c r="F9332" s="10" t="inlineStr">
        <is>
          <t>Hồ Chí Minh</t>
        </is>
      </c>
      <c r="G9332" s="10" t="inlineStr">
        <is>
          <t>Trưởng phòng</t>
        </is>
      </c>
      <c r="H9332" s="10" t="inlineStr">
        <is>
          <t>10/03/2026</t>
        </is>
      </c>
      <c r="I9332" s="10" t="inlineStr">
        <is>
          <t>09/04/2026</t>
        </is>
      </c>
      <c r="J9332" s="10" t="inlineStr">
        <is>
          <t>17/03/2026</t>
        </is>
      </c>
      <c r="K9332" s="10" t="inlineStr">
        <is>
          <t>N/A</t>
        </is>
      </c>
      <c r="L9332" s="10" t="inlineStr">
        <is>
          <t>Automotive Sales, Communication Skills, Dealer Network, Market Development, Sales Management</t>
        </is>
      </c>
      <c r="M9332" s="10" t="inlineStr">
        <is>
          <t>Bonus, Healthcare Plan, Team Activities, Others</t>
        </is>
      </c>
      <c r="N9332" s="11">
        <f>HYPERLINK("https://www.vietnamworks.com/deputy-head-of-the-automobile-sales-2021099-jv","Xem chi tiết")</f>
        <v/>
      </c>
      <c r="O9332" s="10" t="n"/>
    </row>
    <row r="9333">
      <c r="B9333" s="7" t="n">
        <v>9331</v>
      </c>
      <c r="C9333" t="inlineStr">
        <is>
          <t>Service &amp; Training Engineer</t>
        </is>
      </c>
      <c r="D9333" t="inlineStr">
        <is>
          <t>CÔNG TY TNHH SẢN PHẨM TIÊU DÙNG TOSHIBA VIỆT NAM</t>
        </is>
      </c>
      <c r="E9333" t="inlineStr">
        <is>
          <t>Thương lượng</t>
        </is>
      </c>
      <c r="F9333" t="inlineStr">
        <is>
          <t>Hồ Chí Minh, Hà Nội</t>
        </is>
      </c>
      <c r="G9333" t="inlineStr">
        <is>
          <t>Nhân viên</t>
        </is>
      </c>
      <c r="H9333" t="inlineStr">
        <is>
          <t>10/03/2026</t>
        </is>
      </c>
      <c r="I9333" t="inlineStr">
        <is>
          <t>09/04/2026</t>
        </is>
      </c>
      <c r="J9333" t="inlineStr">
        <is>
          <t>17/03/2026</t>
        </is>
      </c>
      <c r="K9333" t="inlineStr">
        <is>
          <t>N/A</t>
        </is>
      </c>
      <c r="L9333" t="inlineStr">
        <is>
          <t>Technical Training, Troubleshooting, Data Analysis, Creative Mindset, Communication</t>
        </is>
      </c>
      <c r="M9333" t="inlineStr">
        <is>
          <t>Bonus, Healthcare Plan, Paid Leave, Team Activities, Others</t>
        </is>
      </c>
      <c r="N9333" s="8">
        <f>HYPERLINK("https://www.vietnamworks.com/service-and-training-engineer-2021061-jv","Xem chi tiết")</f>
        <v/>
      </c>
    </row>
    <row r="9334">
      <c r="B9334" s="9" t="n">
        <v>9332</v>
      </c>
      <c r="C9334" s="10" t="inlineStr">
        <is>
          <t>Sales Manager – Modern Trade (MT)</t>
        </is>
      </c>
      <c r="D9334" s="10" t="inlineStr">
        <is>
          <t>Bosch Home Appliances Vietnam</t>
        </is>
      </c>
      <c r="E9334" s="10" t="inlineStr">
        <is>
          <t>Thương lượng</t>
        </is>
      </c>
      <c r="F9334" s="10" t="inlineStr">
        <is>
          <t>Hồ Chí Minh</t>
        </is>
      </c>
      <c r="G9334" s="10" t="inlineStr">
        <is>
          <t>Trưởng phòng</t>
        </is>
      </c>
      <c r="H9334" s="10" t="inlineStr">
        <is>
          <t>10/03/2026</t>
        </is>
      </c>
      <c r="I9334" s="10" t="inlineStr">
        <is>
          <t>09/04/2026</t>
        </is>
      </c>
      <c r="J9334" s="10" t="inlineStr">
        <is>
          <t>17/03/2026</t>
        </is>
      </c>
      <c r="K9334" s="10" t="inlineStr">
        <is>
          <t>N/A</t>
        </is>
      </c>
      <c r="L9334" s="10" t="inlineStr">
        <is>
          <t>Key Account Management, Modern Trade, Modern Trade Planning, Phát Triển Kinh Doanh, Sales Development</t>
        </is>
      </c>
      <c r="M9334" s="10" t="inlineStr">
        <is>
          <t>Bonus, Others</t>
        </is>
      </c>
      <c r="N9334" s="11">
        <f>HYPERLINK("https://www.vietnamworks.com/sales-manager-modern-trade-mt-2021108-jv","Xem chi tiết")</f>
        <v/>
      </c>
      <c r="O9334" s="10" t="n"/>
    </row>
    <row r="9335">
      <c r="B9335" s="7" t="n">
        <v>9333</v>
      </c>
      <c r="C9335" t="inlineStr">
        <is>
          <t>Chuyên Viên Kế Toán</t>
        </is>
      </c>
      <c r="D9335" t="inlineStr">
        <is>
          <t>CÔNG TY CỔ PHẦN PHÁT TRIỂN CÔNG NGHỆ VÀ DỊCH VỤ VẠN PHÚC</t>
        </is>
      </c>
      <c r="E9335" t="inlineStr">
        <is>
          <t>Thương lượng</t>
        </is>
      </c>
      <c r="F9335" t="inlineStr">
        <is>
          <t>Hà Nội</t>
        </is>
      </c>
      <c r="G9335" t="inlineStr">
        <is>
          <t>Nhân viên</t>
        </is>
      </c>
      <c r="H9335" t="inlineStr">
        <is>
          <t>10/03/2026</t>
        </is>
      </c>
      <c r="I9335" t="inlineStr">
        <is>
          <t>09/04/2026</t>
        </is>
      </c>
      <c r="J9335" t="inlineStr">
        <is>
          <t>17/03/2026</t>
        </is>
      </c>
      <c r="K9335" t="inlineStr">
        <is>
          <t>N/A</t>
        </is>
      </c>
      <c r="L9335" t="inlineStr">
        <is>
          <t>Excel, Kiểm Soát Chi Phí, Lập Báo Cáo Tài Chính, Lưu Trữ Chứng Từ, Nghiệp Vụ Kế Toán</t>
        </is>
      </c>
      <c r="M9335" t="inlineStr">
        <is>
          <t>Others</t>
        </is>
      </c>
      <c r="N9335" s="8">
        <f>HYPERLINK("https://www.vietnamworks.com/chuyen-vien-ke-toan-2021088-jv","Xem chi tiết")</f>
        <v/>
      </c>
    </row>
    <row r="9336">
      <c r="B9336" s="9" t="n">
        <v>9334</v>
      </c>
      <c r="C9336" s="10" t="inlineStr">
        <is>
          <t>HR &amp; GA Executive Hưng Yên</t>
        </is>
      </c>
      <c r="D9336" s="10" t="inlineStr">
        <is>
          <t>Makino Vietnam Co., Ltd</t>
        </is>
      </c>
      <c r="E9336" s="10" t="inlineStr">
        <is>
          <t>Thương lượng</t>
        </is>
      </c>
      <c r="F9336" s="10" t="inlineStr">
        <is>
          <t>Hưng Yên</t>
        </is>
      </c>
      <c r="G9336" s="10" t="inlineStr">
        <is>
          <t>Nhân viên</t>
        </is>
      </c>
      <c r="H9336" s="10" t="inlineStr">
        <is>
          <t>10/03/2026</t>
        </is>
      </c>
      <c r="I9336" s="10" t="inlineStr">
        <is>
          <t>09/04/2026</t>
        </is>
      </c>
      <c r="J9336" s="10" t="inlineStr">
        <is>
          <t>17/03/2026</t>
        </is>
      </c>
      <c r="K9336" s="10" t="inlineStr">
        <is>
          <t>N/A</t>
        </is>
      </c>
      <c r="L9336" s="10" t="inlineStr">
        <is>
          <t>Tuyển Dụng, Đào Tạo, C&amp;B, Nhân sự - HR, GA</t>
        </is>
      </c>
      <c r="M9336" s="10" t="inlineStr">
        <is>
          <t>Bonus, Healthcare Plan, Training, Transportation, Others</t>
        </is>
      </c>
      <c r="N9336" s="11">
        <f>HYPERLINK("https://www.vietnamworks.com/hr-and-ga-executive-hung-yen-2021090-jv","Xem chi tiết")</f>
        <v/>
      </c>
      <c r="O9336" s="10" t="n"/>
    </row>
    <row r="9337">
      <c r="B9337" s="7" t="n">
        <v>9335</v>
      </c>
      <c r="C9337" t="inlineStr">
        <is>
          <t>Procurement</t>
        </is>
      </c>
      <c r="D9337" t="inlineStr">
        <is>
          <t>Công Ty TNHH Phát Triển Phú Mỹ Hưng</t>
        </is>
      </c>
      <c r="E9337" t="inlineStr">
        <is>
          <t>Thương lượng</t>
        </is>
      </c>
      <c r="F9337" t="inlineStr">
        <is>
          <t>Hồ Chí Minh</t>
        </is>
      </c>
      <c r="G9337" t="inlineStr">
        <is>
          <t>Nhân viên</t>
        </is>
      </c>
      <c r="H9337" t="inlineStr">
        <is>
          <t>10/03/2026</t>
        </is>
      </c>
      <c r="I9337" t="inlineStr">
        <is>
          <t>09/04/2026</t>
        </is>
      </c>
      <c r="J9337" t="inlineStr">
        <is>
          <t>17/03/2026</t>
        </is>
      </c>
      <c r="K9337" t="inlineStr">
        <is>
          <t>N/A</t>
        </is>
      </c>
      <c r="L9337" t="inlineStr">
        <is>
          <t>Procurement, Procurement Outsourcing, Mua Hàng, Xây Dựng, Mua hàng &amp; Tìm nguồn cung ứng</t>
        </is>
      </c>
      <c r="M9337" t="inlineStr">
        <is>
          <t>Healthcare Plan, Paid Leave, Training</t>
        </is>
      </c>
      <c r="N9337" s="8">
        <f>HYPERLINK("https://www.vietnamworks.com/procurement--2021093-jv","Xem chi tiết")</f>
        <v/>
      </c>
    </row>
    <row r="9338">
      <c r="B9338" s="9" t="n">
        <v>9336</v>
      </c>
      <c r="C9338" s="10" t="inlineStr">
        <is>
          <t>Administration Officer (Temporary 8 months)</t>
        </is>
      </c>
      <c r="D9338" s="10" t="inlineStr">
        <is>
          <t>Công Ty TNHH Trelleborg Việt Nam</t>
        </is>
      </c>
      <c r="E9338" s="10" t="inlineStr">
        <is>
          <t>Thương lượng</t>
        </is>
      </c>
      <c r="F9338" s="10" t="inlineStr">
        <is>
          <t>Bà Rịa - Vũng Tàu</t>
        </is>
      </c>
      <c r="G9338" s="10" t="inlineStr">
        <is>
          <t>Nhân viên</t>
        </is>
      </c>
      <c r="H9338" s="10" t="inlineStr">
        <is>
          <t>10/03/2026</t>
        </is>
      </c>
      <c r="I9338" s="10" t="inlineStr">
        <is>
          <t>09/04/2026</t>
        </is>
      </c>
      <c r="J9338" s="10" t="inlineStr">
        <is>
          <t>17/03/2026</t>
        </is>
      </c>
      <c r="K9338" s="10" t="inlineStr">
        <is>
          <t>N/A</t>
        </is>
      </c>
      <c r="L9338" s="10" t="inlineStr">
        <is>
          <t>Attention To Detail, Communication Skills, Customer Focused Design</t>
        </is>
      </c>
      <c r="M9338" s="10" t="inlineStr">
        <is>
          <t>Healthcare Plan, Paid Leave</t>
        </is>
      </c>
      <c r="N9338" s="11">
        <f>HYPERLINK("https://www.vietnamworks.com/administration-officer-temporary-8-months-2021092-jv","Xem chi tiết")</f>
        <v/>
      </c>
      <c r="O9338" s="10" t="n"/>
    </row>
    <row r="9339">
      <c r="B9339" s="7" t="n">
        <v>9337</v>
      </c>
      <c r="C9339" t="inlineStr">
        <is>
          <t>Senior Accountant Specialist (Asset Management)</t>
        </is>
      </c>
      <c r="D9339" t="inlineStr">
        <is>
          <t>Công Ty Cổ Phần Sữa Quốc Tế LOF</t>
        </is>
      </c>
      <c r="E9339" t="inlineStr">
        <is>
          <t>Thương lượng</t>
        </is>
      </c>
      <c r="F9339" t="inlineStr">
        <is>
          <t>Hồ Chí Minh</t>
        </is>
      </c>
      <c r="G9339" t="inlineStr">
        <is>
          <t>Nhân viên</t>
        </is>
      </c>
      <c r="H9339" t="inlineStr">
        <is>
          <t>10/03/2026</t>
        </is>
      </c>
      <c r="I9339" t="inlineStr">
        <is>
          <t>09/04/2026</t>
        </is>
      </c>
      <c r="J9339" t="inlineStr">
        <is>
          <t>17/03/2026</t>
        </is>
      </c>
      <c r="K9339" t="inlineStr">
        <is>
          <t>N/A</t>
        </is>
      </c>
      <c r="L9339" t="inlineStr">
        <is>
          <t>Asset Management, Manage ERP Software, MS Office, SAP Accounting, Teamwork</t>
        </is>
      </c>
      <c r="M9339" t="inlineStr">
        <is>
          <t>Bonus, Paid Leave, Training, Laptop, Others</t>
        </is>
      </c>
      <c r="N9339" s="8">
        <f>HYPERLINK("https://www.vietnamworks.com/senior-accountant-specialist-asset-management-2021091-jv","Xem chi tiết")</f>
        <v/>
      </c>
    </row>
    <row r="9340">
      <c r="B9340" s="9" t="n">
        <v>9338</v>
      </c>
      <c r="C9340" s="10" t="inlineStr">
        <is>
          <t>Revit Architects</t>
        </is>
      </c>
      <c r="D9340" s="10" t="inlineStr">
        <is>
          <t>Cong Ty TNHH Hamayer Vietnam</t>
        </is>
      </c>
      <c r="E9340" s="10" t="inlineStr">
        <is>
          <t>$$ 500-1,000 /tháng</t>
        </is>
      </c>
      <c r="F9340" s="10" t="inlineStr">
        <is>
          <t>Hồ Chí Minh</t>
        </is>
      </c>
      <c r="G9340" s="10" t="inlineStr">
        <is>
          <t>Nhân viên</t>
        </is>
      </c>
      <c r="H9340" s="10" t="inlineStr">
        <is>
          <t>10/03/2026</t>
        </is>
      </c>
      <c r="I9340" s="10" t="inlineStr">
        <is>
          <t>09/04/2026</t>
        </is>
      </c>
      <c r="J9340" s="10" t="inlineStr">
        <is>
          <t>17/03/2026</t>
        </is>
      </c>
      <c r="K9340" s="10" t="inlineStr">
        <is>
          <t>N/A</t>
        </is>
      </c>
      <c r="L9340" s="10" t="inlineStr">
        <is>
          <t>Architecture Drawing, Architectural Design, Architectural Technology, BIM Architecture, Revit Architect</t>
        </is>
      </c>
      <c r="M9340" s="10" t="inlineStr">
        <is>
          <t>Bonus, Paid Leave, Training</t>
        </is>
      </c>
      <c r="N9340" s="11">
        <f>HYPERLINK("https://www.vietnamworks.com/revit-architects-15-1-1-1-1--2021104-jv","Xem chi tiết")</f>
        <v/>
      </c>
      <c r="O9340" s="10" t="n"/>
    </row>
    <row r="9341">
      <c r="B9341" s="7" t="n">
        <v>9339</v>
      </c>
      <c r="C9341" t="inlineStr">
        <is>
          <t>Billing Administration Specialist</t>
        </is>
      </c>
      <c r="D9341" t="inlineStr">
        <is>
          <t>Vietnamworks' Client</t>
        </is>
      </c>
      <c r="E9341" t="inlineStr">
        <is>
          <t>$$ 500-600 /tháng</t>
        </is>
      </c>
      <c r="F9341" t="inlineStr">
        <is>
          <t>Hồ Chí Minh</t>
        </is>
      </c>
      <c r="G9341" t="inlineStr">
        <is>
          <t>Mới Tốt Nghiệp</t>
        </is>
      </c>
      <c r="H9341" t="inlineStr">
        <is>
          <t>10/03/2026</t>
        </is>
      </c>
      <c r="I9341" t="inlineStr">
        <is>
          <t>09/04/2026</t>
        </is>
      </c>
      <c r="J9341" t="inlineStr">
        <is>
          <t>17/03/2026</t>
        </is>
      </c>
      <c r="K9341" t="inlineStr">
        <is>
          <t>N/A</t>
        </is>
      </c>
      <c r="L9341" t="inlineStr">
        <is>
          <t>english skill, Computer Skills</t>
        </is>
      </c>
      <c r="M9341" t="inlineStr">
        <is>
          <t>Bonus, Training, Laptop</t>
        </is>
      </c>
      <c r="N9341" s="8">
        <f>HYPERLINK("https://www.vietnamworks.com/billing-administration-specialist--2021101-jv","Xem chi tiết")</f>
        <v/>
      </c>
    </row>
    <row r="9342">
      <c r="B9342" s="9" t="n">
        <v>9340</v>
      </c>
      <c r="C9342" s="10" t="inlineStr">
        <is>
          <t>Production Director</t>
        </is>
      </c>
      <c r="D9342" s="10" t="inlineStr">
        <is>
          <t>Công Ty Cổ Phần Vàng Bạc Đá Quý Phú Nhuận (PNJ)</t>
        </is>
      </c>
      <c r="E9342" s="10" t="inlineStr">
        <is>
          <t>Thương lượng</t>
        </is>
      </c>
      <c r="F9342" s="10" t="inlineStr">
        <is>
          <t>Hồ Chí Minh</t>
        </is>
      </c>
      <c r="G9342" s="10" t="inlineStr">
        <is>
          <t>Giám Đốc và Cấp Cao Hơn</t>
        </is>
      </c>
      <c r="H9342" s="10" t="inlineStr">
        <is>
          <t>10/03/2026</t>
        </is>
      </c>
      <c r="I9342" s="10" t="inlineStr">
        <is>
          <t>09/04/2026</t>
        </is>
      </c>
      <c r="J9342" s="10" t="inlineStr">
        <is>
          <t>17/03/2026</t>
        </is>
      </c>
      <c r="K9342" s="10" t="inlineStr">
        <is>
          <t>N/A</t>
        </is>
      </c>
      <c r="L9342" s="10" t="inlineStr">
        <is>
          <t>Cải Tiến Khuôn, Lãnh Đạo, Lập Kế Hoạch Sản Xuất, Quản Trị Sản Xuất, JCI</t>
        </is>
      </c>
      <c r="M9342" s="10" t="inlineStr">
        <is>
          <t>Bonus</t>
        </is>
      </c>
      <c r="N9342" s="11">
        <f>HYPERLINK("https://www.vietnamworks.com/production-director-2021079-jv","Xem chi tiết")</f>
        <v/>
      </c>
      <c r="O9342" s="10" t="n"/>
    </row>
    <row r="9343">
      <c r="B9343" s="7" t="n">
        <v>9341</v>
      </c>
      <c r="C9343" t="inlineStr">
        <is>
          <t>Kế Toán Nội Bộ</t>
        </is>
      </c>
      <c r="D9343" t="inlineStr">
        <is>
          <t>Công ty Cổ phần Khoáng sản Vật liệu Á CỘNG</t>
        </is>
      </c>
      <c r="E9343" t="inlineStr">
        <is>
          <t>8tr-12tr ₫/tháng</t>
        </is>
      </c>
      <c r="F9343" t="inlineStr">
        <is>
          <t>Hồ Chí Minh</t>
        </is>
      </c>
      <c r="G9343" t="inlineStr">
        <is>
          <t>Mới Tốt Nghiệp</t>
        </is>
      </c>
      <c r="H9343" t="inlineStr">
        <is>
          <t>10/03/2026</t>
        </is>
      </c>
      <c r="I9343" t="inlineStr">
        <is>
          <t>09/04/2026</t>
        </is>
      </c>
      <c r="J9343" t="inlineStr">
        <is>
          <t>17/03/2026</t>
        </is>
      </c>
      <c r="K9343" t="inlineStr">
        <is>
          <t>N/A</t>
        </is>
      </c>
      <c r="L9343" t="inlineStr">
        <is>
          <t>Kế toán &amp; Tài chính, Kế Toán Nội Bộ, MISA Accounting, Quản Lý Chứng Từ, Tư Duy Logic Và Khả Năng Giải Quyết Vấn Đề Tốt</t>
        </is>
      </c>
      <c r="M9343" t="inlineStr">
        <is>
          <t>Bonus, Training, Others</t>
        </is>
      </c>
      <c r="N9343" s="8">
        <f>HYPERLINK("https://www.vietnamworks.com/ke-toan-noi-bo-2021103-jv","Xem chi tiết")</f>
        <v/>
      </c>
    </row>
    <row r="9344">
      <c r="B9344" s="9" t="n">
        <v>9342</v>
      </c>
      <c r="C9344" s="10" t="inlineStr">
        <is>
          <t>Kế Toán (Tiếng Hàn Thành Thạo)</t>
        </is>
      </c>
      <c r="D9344" s="10" t="inlineStr">
        <is>
          <t>TKG TAEKWANG VINA</t>
        </is>
      </c>
      <c r="E9344" s="10" t="inlineStr">
        <is>
          <t>$$ 800-1,200 /tháng</t>
        </is>
      </c>
      <c r="F9344" s="10" t="inlineStr">
        <is>
          <t>Đồng Nai, Hồ Chí Minh</t>
        </is>
      </c>
      <c r="G9344" s="10" t="inlineStr">
        <is>
          <t>Nhân viên</t>
        </is>
      </c>
      <c r="H9344" s="10" t="inlineStr">
        <is>
          <t>10/03/2026</t>
        </is>
      </c>
      <c r="I9344" s="10" t="inlineStr">
        <is>
          <t>09/04/2026</t>
        </is>
      </c>
      <c r="J9344" s="10" t="inlineStr">
        <is>
          <t>17/03/2026</t>
        </is>
      </c>
      <c r="K9344" s="10" t="inlineStr">
        <is>
          <t>N/A</t>
        </is>
      </c>
      <c r="L9344" s="10" t="inlineStr">
        <is>
          <t>Phiên Dịch Tiếng Hàn, Kế Toán, Accountant, korean interpreter, Tiếng Hàn Giao Tiếp</t>
        </is>
      </c>
      <c r="M9344" s="10" t="inlineStr">
        <is>
          <t>Bonus, Training, Transportation</t>
        </is>
      </c>
      <c r="N9344" s="11">
        <f>HYPERLINK("https://www.vietnamworks.com/ke-toan-tieng-han-thanh-thao-2021113-jv","Xem chi tiết")</f>
        <v/>
      </c>
      <c r="O9344" s="10" t="n"/>
    </row>
    <row r="9345">
      <c r="B9345" s="7" t="n">
        <v>9343</v>
      </c>
      <c r="C9345" t="inlineStr">
        <is>
          <t>Nhân Viên Văn Phòng</t>
        </is>
      </c>
      <c r="D9345" t="inlineStr">
        <is>
          <t>CÔNG TY TNHH MY DECOR</t>
        </is>
      </c>
      <c r="E9345" t="inlineStr">
        <is>
          <t>Thương lượng</t>
        </is>
      </c>
      <c r="F9345" t="inlineStr">
        <is>
          <t>Hồ Chí Minh</t>
        </is>
      </c>
      <c r="G9345" t="inlineStr">
        <is>
          <t>Nhân viên</t>
        </is>
      </c>
      <c r="H9345" t="inlineStr">
        <is>
          <t>10/03/2026</t>
        </is>
      </c>
      <c r="I9345" t="inlineStr">
        <is>
          <t>09/04/2026</t>
        </is>
      </c>
      <c r="J9345" t="inlineStr">
        <is>
          <t>17/03/2026</t>
        </is>
      </c>
      <c r="K9345" t="inlineStr">
        <is>
          <t>N/A</t>
        </is>
      </c>
      <c r="L9345" t="inlineStr">
        <is>
          <t>Tin Học Văn Phòng, Báo Giá, Mua Hàng, Quản Lý Nhà Cung Cấp, Thu Mua</t>
        </is>
      </c>
      <c r="M9345" t="inlineStr">
        <is>
          <t>Bonus, Healthcare Plan, Training, Team Activities, Others</t>
        </is>
      </c>
      <c r="N9345" s="8">
        <f>HYPERLINK("https://www.vietnamworks.com/nhan-vien-van-phong-2021122-jv","Xem chi tiết")</f>
        <v/>
      </c>
    </row>
    <row r="9346">
      <c r="B9346" s="9" t="n">
        <v>9344</v>
      </c>
      <c r="C9346" s="10" t="inlineStr">
        <is>
          <t>Chuyên Viên Quản Lý Dự Án Công Nghệ Thông Tin</t>
        </is>
      </c>
      <c r="D9346" s="10" t="inlineStr">
        <is>
          <t>Tổng Công Ty Bảo Việt Nhân Thọ</t>
        </is>
      </c>
      <c r="E9346" s="10" t="inlineStr">
        <is>
          <t>Thương lượng</t>
        </is>
      </c>
      <c r="F9346" s="10" t="inlineStr">
        <is>
          <t>Hà Nội</t>
        </is>
      </c>
      <c r="G9346" s="10" t="inlineStr">
        <is>
          <t>Nhân viên</t>
        </is>
      </c>
      <c r="H9346" s="10" t="inlineStr">
        <is>
          <t>10/03/2026</t>
        </is>
      </c>
      <c r="I9346" s="10" t="inlineStr">
        <is>
          <t>09/04/2026</t>
        </is>
      </c>
      <c r="J9346" s="10" t="inlineStr">
        <is>
          <t>17/03/2026</t>
        </is>
      </c>
      <c r="K9346" s="10" t="inlineStr">
        <is>
          <t>N/A</t>
        </is>
      </c>
      <c r="L9346" s="10" t="inlineStr">
        <is>
          <t>Quản Lý Dự Án Công Nghệ, Project Management, PMP, Công Nghệ Thông Tin, Quản Lý Dự Án</t>
        </is>
      </c>
      <c r="M9346" s="10" t="inlineStr">
        <is>
          <t>Bonus, Healthcare Plan, Training</t>
        </is>
      </c>
      <c r="N9346" s="11">
        <f>HYPERLINK("https://www.vietnamworks.com/chuyen-vien-quan-ly-du-an-cong-nghe-thong-tin--2021110-jv","Xem chi tiết")</f>
        <v/>
      </c>
      <c r="O9346" s="10" t="n"/>
    </row>
    <row r="9347">
      <c r="B9347" s="7" t="n">
        <v>9345</v>
      </c>
      <c r="C9347" t="inlineStr">
        <is>
          <t>Nhân Viên Chăm Sóc Khách Hàng - Customer Care Associate</t>
        </is>
      </c>
      <c r="D9347" t="inlineStr">
        <is>
          <t>Shinhan Vietnam Finance Company Limited</t>
        </is>
      </c>
      <c r="E9347" t="inlineStr">
        <is>
          <t>$$ 200-300 /tháng</t>
        </is>
      </c>
      <c r="F9347" t="inlineStr">
        <is>
          <t>Hồ Chí Minh</t>
        </is>
      </c>
      <c r="G9347" t="inlineStr">
        <is>
          <t>Nhân viên</t>
        </is>
      </c>
      <c r="H9347" t="inlineStr">
        <is>
          <t>10/03/2026</t>
        </is>
      </c>
      <c r="I9347" t="inlineStr">
        <is>
          <t>09/04/2026</t>
        </is>
      </c>
      <c r="J9347" t="inlineStr">
        <is>
          <t>17/03/2026</t>
        </is>
      </c>
      <c r="K9347" t="inlineStr">
        <is>
          <t>N/A</t>
        </is>
      </c>
      <c r="L9347" t="inlineStr">
        <is>
          <t>Chăm Sóc Khách Hàng, Dịch Vụ Khách Hàng, Customer Care, Customer Service, Call Center System</t>
        </is>
      </c>
      <c r="M9347" t="inlineStr">
        <is>
          <t>Bonus, Healthcare Plan, Paid Leave</t>
        </is>
      </c>
      <c r="N9347" s="8">
        <f>HYPERLINK("https://www.vietnamworks.com/nhan-vien-cham-soc-khach-hang-customer-care-associate--2021112-jv","Xem chi tiết")</f>
        <v/>
      </c>
    </row>
    <row r="9348">
      <c r="B9348" s="9" t="n">
        <v>9346</v>
      </c>
      <c r="C9348" s="10" t="inlineStr">
        <is>
          <t>Nhân Viên QC / QA</t>
        </is>
      </c>
      <c r="D9348" s="10" t="inlineStr">
        <is>
          <t>MODELLEISENBAHN VIET NAM ONE MEMBER LIMITED LIABILITY COMPANY</t>
        </is>
      </c>
      <c r="E9348" s="10" t="inlineStr">
        <is>
          <t>12tr-13tr ₫/tháng</t>
        </is>
      </c>
      <c r="F9348" s="10" t="inlineStr">
        <is>
          <t>Bình Dương, Hồ Chí Minh</t>
        </is>
      </c>
      <c r="G9348" s="10" t="inlineStr">
        <is>
          <t>Mới Tốt Nghiệp</t>
        </is>
      </c>
      <c r="H9348" s="10" t="inlineStr">
        <is>
          <t>10/03/2026</t>
        </is>
      </c>
      <c r="I9348" s="10" t="inlineStr">
        <is>
          <t>09/04/2026</t>
        </is>
      </c>
      <c r="J9348" s="10" t="inlineStr">
        <is>
          <t>17/03/2026</t>
        </is>
      </c>
      <c r="K9348" s="10" t="inlineStr">
        <is>
          <t>N/A</t>
        </is>
      </c>
      <c r="L9348" s="10" t="inlineStr">
        <is>
          <t>Chế Tạo Máy, Cơ Khí, QA, Qc, Đọc Hiểu Bản Vẽ Kỹ Thuật</t>
        </is>
      </c>
      <c r="M9348" s="10" t="inlineStr">
        <is>
          <t>Bonus, Healthcare Plan, Laptop, Canteen, Others</t>
        </is>
      </c>
      <c r="N9348" s="11">
        <f>HYPERLINK("https://www.vietnamworks.com/nhan-vien-qc-qa-2021131-jv","Xem chi tiết")</f>
        <v/>
      </c>
      <c r="O9348" s="10" t="n"/>
    </row>
    <row r="9349">
      <c r="B9349" s="7" t="n">
        <v>9347</v>
      </c>
      <c r="C9349" t="inlineStr">
        <is>
          <t>Export Staff_Nhân Viên Chứng Từ</t>
        </is>
      </c>
      <c r="D9349" t="inlineStr">
        <is>
          <t>LX Pantos Vietnam</t>
        </is>
      </c>
      <c r="E9349" t="inlineStr">
        <is>
          <t>$$ 400-600 /tháng</t>
        </is>
      </c>
      <c r="F9349" t="inlineStr">
        <is>
          <t>Hải Phòng</t>
        </is>
      </c>
      <c r="G9349" t="inlineStr">
        <is>
          <t>Nhân viên</t>
        </is>
      </c>
      <c r="H9349" t="inlineStr">
        <is>
          <t>10/03/2026</t>
        </is>
      </c>
      <c r="I9349" t="inlineStr">
        <is>
          <t>09/04/2026</t>
        </is>
      </c>
      <c r="J9349" t="inlineStr">
        <is>
          <t>17/03/2026</t>
        </is>
      </c>
      <c r="K9349" t="inlineStr">
        <is>
          <t>N/A</t>
        </is>
      </c>
      <c r="L9349" t="inlineStr">
        <is>
          <t>English, Logistic, Documentation, Communications</t>
        </is>
      </c>
      <c r="M9349" t="inlineStr">
        <is>
          <t>Bonus, Healthcare Plan, Training</t>
        </is>
      </c>
      <c r="N9349" s="8">
        <f>HYPERLINK("https://www.vietnamworks.com/export-staff-nhan-vien-chung-tu-2021132-jv","Xem chi tiết")</f>
        <v/>
      </c>
    </row>
    <row r="9350">
      <c r="B9350" s="9" t="n">
        <v>9348</v>
      </c>
      <c r="C9350" s="10" t="inlineStr">
        <is>
          <t>Nhân Viên Kế Hoạch Sản Xuất</t>
        </is>
      </c>
      <c r="D9350" s="10" t="inlineStr">
        <is>
          <t>La Luot Tailor</t>
        </is>
      </c>
      <c r="E9350" s="10" t="inlineStr">
        <is>
          <t>10tr-15tr ₫/tháng</t>
        </is>
      </c>
      <c r="F9350" s="10" t="inlineStr">
        <is>
          <t>Hà Nội</t>
        </is>
      </c>
      <c r="G9350" s="10" t="inlineStr">
        <is>
          <t>Nhân viên</t>
        </is>
      </c>
      <c r="H9350" s="10" t="inlineStr">
        <is>
          <t>10/03/2026</t>
        </is>
      </c>
      <c r="I9350" s="10" t="inlineStr">
        <is>
          <t>09/04/2026</t>
        </is>
      </c>
      <c r="J9350" s="10" t="inlineStr">
        <is>
          <t>17/03/2026</t>
        </is>
      </c>
      <c r="K9350" s="10" t="inlineStr">
        <is>
          <t>N/A</t>
        </is>
      </c>
      <c r="L9350" s="10" t="inlineStr">
        <is>
          <t>Quản Lý Sản Xuất, Kế Hoạch Sản Xuất, May Mặc, Production Planning</t>
        </is>
      </c>
      <c r="M9350" s="10" t="inlineStr">
        <is>
          <t>Bonus</t>
        </is>
      </c>
      <c r="N9350" s="11">
        <f>HYPERLINK("https://www.vietnamworks.com/nhan-vien-ke-hoach-san-xuat-2021126-jv","Xem chi tiết")</f>
        <v/>
      </c>
      <c r="O9350" s="10" t="n"/>
    </row>
    <row r="9351">
      <c r="B9351" s="7" t="n">
        <v>9349</v>
      </c>
      <c r="C9351" t="inlineStr">
        <is>
          <t>Trade Marketing Manager - GT</t>
        </is>
      </c>
      <c r="D9351" t="inlineStr">
        <is>
          <t>Michael Page Vietnam</t>
        </is>
      </c>
      <c r="E9351" t="inlineStr">
        <is>
          <t>Thương lượng</t>
        </is>
      </c>
      <c r="F9351" t="inlineStr">
        <is>
          <t>Hồ Chí Minh</t>
        </is>
      </c>
      <c r="G9351" t="inlineStr">
        <is>
          <t>Trưởng phòng</t>
        </is>
      </c>
      <c r="H9351" t="inlineStr">
        <is>
          <t>10/03/2026</t>
        </is>
      </c>
      <c r="I9351" t="inlineStr">
        <is>
          <t>09/04/2026</t>
        </is>
      </c>
      <c r="J9351" t="inlineStr">
        <is>
          <t>17/03/2026</t>
        </is>
      </c>
      <c r="K9351" t="inlineStr">
        <is>
          <t>N/A</t>
        </is>
      </c>
      <c r="L9351" t="inlineStr">
        <is>
          <t>Sales Team Leadership</t>
        </is>
      </c>
      <c r="M9351" t="inlineStr">
        <is>
          <t>Bonus, Paid Leave</t>
        </is>
      </c>
      <c r="N9351" s="8">
        <f>HYPERLINK("https://www.vietnamworks.com/trade-marketing-manager-gt-1-2021125-jv","Xem chi tiết")</f>
        <v/>
      </c>
    </row>
    <row r="9352">
      <c r="B9352" s="9" t="n">
        <v>9350</v>
      </c>
      <c r="C9352" s="10" t="inlineStr">
        <is>
          <t>HR Manager</t>
        </is>
      </c>
      <c r="D9352" s="10" t="inlineStr">
        <is>
          <t>CQ TDT Asia JSC</t>
        </is>
      </c>
      <c r="E9352" s="10" t="inlineStr">
        <is>
          <t>Thương lượng</t>
        </is>
      </c>
      <c r="F9352" s="10" t="inlineStr">
        <is>
          <t>Hà Nội</t>
        </is>
      </c>
      <c r="G9352" s="10" t="inlineStr">
        <is>
          <t>Trưởng phòng</t>
        </is>
      </c>
      <c r="H9352" s="10" t="inlineStr">
        <is>
          <t>10/03/2026</t>
        </is>
      </c>
      <c r="I9352" s="10" t="inlineStr">
        <is>
          <t>09/04/2026</t>
        </is>
      </c>
      <c r="J9352" s="10" t="inlineStr">
        <is>
          <t>17/03/2026</t>
        </is>
      </c>
      <c r="K9352" s="10" t="inlineStr">
        <is>
          <t>N/A</t>
        </is>
      </c>
      <c r="L9352" s="10" t="inlineStr">
        <is>
          <t>HR Management, Recruitment, Employee Support, Chiến Lược Tuyển Dụng, Đào Tạo Nhân Sự</t>
        </is>
      </c>
      <c r="M9352" s="10" t="inlineStr">
        <is>
          <t>Bonus, Healthcare Plan, Paid Leave, Training, Laptop, Travel Opportunities, Team Activities, Others</t>
        </is>
      </c>
      <c r="N9352" s="11">
        <f>HYPERLINK("https://www.vietnamworks.com/hr-manager-2021128-jv","Xem chi tiết")</f>
        <v/>
      </c>
      <c r="O9352" s="10" t="n"/>
    </row>
    <row r="9353">
      <c r="B9353" s="7" t="n">
        <v>9351</v>
      </c>
      <c r="C9353" t="inlineStr">
        <is>
          <t>[Tuyển Gấp] Kế Toán Kiêm Admin - Đi Làm Luôn</t>
        </is>
      </c>
      <c r="D9353" t="inlineStr">
        <is>
          <t>CÔNG TY TNHH KOOLOG INTERNATIONAL</t>
        </is>
      </c>
      <c r="E9353" t="inlineStr">
        <is>
          <t>18tr-25tr ₫/tháng</t>
        </is>
      </c>
      <c r="F9353" t="inlineStr">
        <is>
          <t>Hà Nội</t>
        </is>
      </c>
      <c r="G9353" t="inlineStr">
        <is>
          <t>Nhân viên</t>
        </is>
      </c>
      <c r="H9353" t="inlineStr">
        <is>
          <t>10/03/2026</t>
        </is>
      </c>
      <c r="I9353" t="inlineStr">
        <is>
          <t>09/04/2026</t>
        </is>
      </c>
      <c r="J9353" t="inlineStr">
        <is>
          <t>17/03/2026</t>
        </is>
      </c>
      <c r="K9353" t="inlineStr">
        <is>
          <t>N/A</t>
        </is>
      </c>
      <c r="L9353" t="inlineStr">
        <is>
          <t>Tài Chính Kế Toán, Kế Toán Tổng Hợp, Kế Toán, Hành Chính, Chief Accountant Certificate</t>
        </is>
      </c>
      <c r="M9353" t="inlineStr">
        <is>
          <t>Bonus, Healthcare Plan, Others</t>
        </is>
      </c>
      <c r="N9353" s="8">
        <f>HYPERLINK("https://www.vietnamworks.com/tuyen-gap-ke-toan-kiem-admin-di-lam-luon-2021129-jv","Xem chi tiết")</f>
        <v/>
      </c>
    </row>
    <row r="9354">
      <c r="B9354" s="9" t="n">
        <v>9352</v>
      </c>
      <c r="C9354" s="10" t="inlineStr">
        <is>
          <t>Nhân Viên Đơn Hàng</t>
        </is>
      </c>
      <c r="D9354" s="10" t="inlineStr">
        <is>
          <t>Prominent Garment CO., LTD</t>
        </is>
      </c>
      <c r="E9354" s="10" t="inlineStr">
        <is>
          <t>12tr-15tr ₫/tháng</t>
        </is>
      </c>
      <c r="F9354" s="10" t="inlineStr">
        <is>
          <t>Hồ Chí Minh</t>
        </is>
      </c>
      <c r="G9354" s="10" t="inlineStr">
        <is>
          <t>Nhân viên</t>
        </is>
      </c>
      <c r="H9354" s="10" t="inlineStr">
        <is>
          <t>10/03/2026</t>
        </is>
      </c>
      <c r="I9354" s="10" t="inlineStr">
        <is>
          <t>09/04/2026</t>
        </is>
      </c>
      <c r="J9354" s="10" t="inlineStr">
        <is>
          <t>17/03/2026</t>
        </is>
      </c>
      <c r="K9354" s="10" t="inlineStr">
        <is>
          <t>N/A</t>
        </is>
      </c>
      <c r="L9354" s="10" t="inlineStr">
        <is>
          <t>Quản Lý Đơn Hàng, Tiếng Anh, Excel, May Mặc, Theo Dõi Đơn Hàng</t>
        </is>
      </c>
      <c r="M9354" s="10" t="inlineStr">
        <is>
          <t>Bonus, Healthcare Plan, Transportation</t>
        </is>
      </c>
      <c r="N9354" s="11">
        <f>HYPERLINK("https://www.vietnamworks.com/nhan-vien-djon-hang-2021130-jv","Xem chi tiết")</f>
        <v/>
      </c>
      <c r="O9354" s="10" t="n"/>
    </row>
    <row r="9355">
      <c r="B9355" s="7" t="n">
        <v>9353</v>
      </c>
      <c r="C9355" t="inlineStr">
        <is>
          <t>Kỹ Sư Thiết Kế</t>
        </is>
      </c>
      <c r="D9355" t="inlineStr">
        <is>
          <t>CÔNG TY CỔ PHẦN NƯỚC VÀ GIẢI PHÁP VIỆT NAM</t>
        </is>
      </c>
      <c r="E9355" t="inlineStr">
        <is>
          <t>15tr-20tr ₫/tháng</t>
        </is>
      </c>
      <c r="F9355" t="inlineStr">
        <is>
          <t>Hà Nội</t>
        </is>
      </c>
      <c r="G9355" t="inlineStr">
        <is>
          <t>Nhân viên</t>
        </is>
      </c>
      <c r="H9355" t="inlineStr">
        <is>
          <t>10/03/2026</t>
        </is>
      </c>
      <c r="I9355" t="inlineStr">
        <is>
          <t>09/04/2026</t>
        </is>
      </c>
      <c r="J9355" t="inlineStr">
        <is>
          <t>17/03/2026</t>
        </is>
      </c>
      <c r="K9355" t="inlineStr">
        <is>
          <t>N/A</t>
        </is>
      </c>
      <c r="L9355" t="inlineStr">
        <is>
          <t>AutoCAD, Revit, Civil 3D, Thiết Kế Cấp Thoát Nước, Thiết Kế Công Trình</t>
        </is>
      </c>
      <c r="M9355" t="inlineStr">
        <is>
          <t>Bonus, Healthcare Plan, Training, Laptop, Travel Opportunities, Canteen, Others</t>
        </is>
      </c>
      <c r="N9355" s="8">
        <f>HYPERLINK("https://www.vietnamworks.com/ky-su-thiet-ke-2021121-jv","Xem chi tiết")</f>
        <v/>
      </c>
    </row>
    <row r="9356">
      <c r="B9356" s="9" t="n">
        <v>9354</v>
      </c>
      <c r="C9356" s="10" t="inlineStr">
        <is>
          <t>Nhân Viên Kinh Doanh/ Sales (Phân Khúc Cao Cấp - Luxury Products)</t>
        </is>
      </c>
      <c r="D9356" s="10" t="inlineStr">
        <is>
          <t>CÔNG TY CỔ PHẦN CÔNG NGHỆ VÀ THƯƠNG MẠI CASAVERO</t>
        </is>
      </c>
      <c r="E9356" s="10" t="inlineStr">
        <is>
          <t>18tr-40tr ₫/tháng</t>
        </is>
      </c>
      <c r="F9356" s="10" t="inlineStr">
        <is>
          <t>Hồ Chí Minh</t>
        </is>
      </c>
      <c r="G9356" s="10" t="inlineStr">
        <is>
          <t>Mới Tốt Nghiệp</t>
        </is>
      </c>
      <c r="H9356" s="10" t="inlineStr">
        <is>
          <t>10/03/2026</t>
        </is>
      </c>
      <c r="I9356" s="10" t="inlineStr">
        <is>
          <t>09/04/2026</t>
        </is>
      </c>
      <c r="J9356" s="10" t="inlineStr">
        <is>
          <t>17/03/2026</t>
        </is>
      </c>
      <c r="K9356" s="10" t="inlineStr">
        <is>
          <t>N/A</t>
        </is>
      </c>
      <c r="L9356" s="10" t="inlineStr">
        <is>
          <t>Chăm Sóc Khách Hàng, Tư Vấn, Bán Hàng, Sales B2C, High-End Furniture</t>
        </is>
      </c>
      <c r="M9356" s="10" t="inlineStr">
        <is>
          <t>Training, Awards, Others</t>
        </is>
      </c>
      <c r="N9356" s="11">
        <f>HYPERLINK("https://www.vietnamworks.com/nhan-vien-kinh-doanh-sales-phan-khuc-cao-cap-luxury-products-2021127-jv","Xem chi tiết")</f>
        <v/>
      </c>
      <c r="O9356" s="10" t="n"/>
    </row>
    <row r="9357">
      <c r="B9357" s="7" t="n">
        <v>9355</v>
      </c>
      <c r="C9357" t="inlineStr">
        <is>
          <t>Production Quality Engineer (Exp 1-3 Years) - Upto 20M/month</t>
        </is>
      </c>
      <c r="D9357" t="inlineStr">
        <is>
          <t>Autoliv Vietnam</t>
        </is>
      </c>
      <c r="E9357" t="inlineStr">
        <is>
          <t>Tới 20tr ₫/tháng</t>
        </is>
      </c>
      <c r="F9357" t="inlineStr">
        <is>
          <t>Quảng Ninh, Hải Phòng</t>
        </is>
      </c>
      <c r="G9357" t="inlineStr">
        <is>
          <t>Nhân viên</t>
        </is>
      </c>
      <c r="H9357" t="inlineStr">
        <is>
          <t>10/03/2026</t>
        </is>
      </c>
      <c r="I9357" t="inlineStr">
        <is>
          <t>09/04/2026</t>
        </is>
      </c>
      <c r="J9357" t="inlineStr">
        <is>
          <t>17/03/2026</t>
        </is>
      </c>
      <c r="K9357" t="inlineStr">
        <is>
          <t>N/A</t>
        </is>
      </c>
      <c r="L9357" t="inlineStr">
        <is>
          <t>Manufacturing, Automotive, Continuous Improvement, Internal Audit, PFMEA</t>
        </is>
      </c>
      <c r="M9357" t="inlineStr">
        <is>
          <t>Bonus, Paid Leave, Transportation, Canteen, Others</t>
        </is>
      </c>
      <c r="N9357" s="8">
        <f>HYPERLINK("https://www.vietnamworks.com/production-quality-engineer-exp-1-3-years-upto-20mmonth-2021123-jv","Xem chi tiết")</f>
        <v/>
      </c>
    </row>
    <row r="9358">
      <c r="B9358" s="9" t="n">
        <v>9356</v>
      </c>
      <c r="C9358" s="10" t="inlineStr">
        <is>
          <t>RF Engineer</t>
        </is>
      </c>
      <c r="D9358" s="10" t="inlineStr">
        <is>
          <t>Công Ty TNHH Công Nghệ Huawei Việt Nam</t>
        </is>
      </c>
      <c r="E9358" s="10" t="inlineStr">
        <is>
          <t>Tới $ 3,000 /tháng</t>
        </is>
      </c>
      <c r="F9358" s="10" t="inlineStr">
        <is>
          <t>Cần Thơ, Hà Nội, Hồ Chí Minh</t>
        </is>
      </c>
      <c r="G9358" s="10" t="inlineStr">
        <is>
          <t>Nhân viên</t>
        </is>
      </c>
      <c r="H9358" s="10" t="inlineStr">
        <is>
          <t>10/03/2026</t>
        </is>
      </c>
      <c r="I9358" s="10" t="inlineStr">
        <is>
          <t>25/03/2026</t>
        </is>
      </c>
      <c r="J9358" s="10" t="inlineStr">
        <is>
          <t>17/03/2026</t>
        </is>
      </c>
      <c r="K9358" s="10" t="inlineStr">
        <is>
          <t>N/A</t>
        </is>
      </c>
      <c r="L9358" s="10" t="inlineStr">
        <is>
          <t>Điện Tử Viễn Thông, Viễn Thông, Radio Frequency, Radio Network Optimization, 5G</t>
        </is>
      </c>
      <c r="M9358" s="10" t="inlineStr">
        <is>
          <t>Bonus, Paid Leave, Others</t>
        </is>
      </c>
      <c r="N9358" s="11">
        <f>HYPERLINK("https://www.vietnamworks.com/rf-engineer--2021114-jv","Xem chi tiết")</f>
        <v/>
      </c>
      <c r="O9358" s="10" t="n"/>
    </row>
    <row r="9359">
      <c r="B9359" s="7" t="n">
        <v>9357</v>
      </c>
      <c r="C9359" t="inlineStr">
        <is>
          <t>Process Engineer (PE)</t>
        </is>
      </c>
      <c r="D9359" t="inlineStr">
        <is>
          <t>Công Ty TNHH sản xuất HARTING Việt Nam</t>
        </is>
      </c>
      <c r="E9359" t="inlineStr">
        <is>
          <t>Thương lượng</t>
        </is>
      </c>
      <c r="F9359" t="inlineStr">
        <is>
          <t>Hải Dương, Hải Phòng, Hưng Yên</t>
        </is>
      </c>
      <c r="G9359" t="inlineStr">
        <is>
          <t>Nhân viên</t>
        </is>
      </c>
      <c r="H9359" t="inlineStr">
        <is>
          <t>10/03/2026</t>
        </is>
      </c>
      <c r="I9359" t="inlineStr">
        <is>
          <t>09/04/2026</t>
        </is>
      </c>
      <c r="J9359" t="inlineStr">
        <is>
          <t>17/03/2026</t>
        </is>
      </c>
      <c r="K9359" t="inlineStr">
        <is>
          <t>N/A</t>
        </is>
      </c>
      <c r="L9359" t="inlineStr">
        <is>
          <t>Assembly Process, Assembly Programming, Mechanical Engineering, Production Process, SAP</t>
        </is>
      </c>
      <c r="M9359" t="inlineStr">
        <is>
          <t>Bonus</t>
        </is>
      </c>
      <c r="N9359" s="8">
        <f>HYPERLINK("https://www.vietnamworks.com/process-engineer-pe-2021135-jv","Xem chi tiết")</f>
        <v/>
      </c>
    </row>
    <row r="9360">
      <c r="B9360" s="9" t="n">
        <v>9358</v>
      </c>
      <c r="C9360" s="10" t="inlineStr">
        <is>
          <t>Trưởng Phòng Kinh Doanh Điện Mặt Trời - Thu Nhập Hấp Dẫn</t>
        </is>
      </c>
      <c r="D9360" s="10" t="inlineStr">
        <is>
          <t>Công Ty Cổ Phần Phát Triển Năng Lượng Xanh Intech Việt Nam</t>
        </is>
      </c>
      <c r="E9360" s="10" t="inlineStr">
        <is>
          <t>$$ 500-1,000 /tháng</t>
        </is>
      </c>
      <c r="F9360" s="10" t="inlineStr">
        <is>
          <t>Hà Nội, Bắc Ninh</t>
        </is>
      </c>
      <c r="G9360" s="10" t="inlineStr">
        <is>
          <t>Trưởng phòng</t>
        </is>
      </c>
      <c r="H9360" s="10" t="inlineStr">
        <is>
          <t>10/03/2026</t>
        </is>
      </c>
      <c r="I9360" s="10" t="inlineStr">
        <is>
          <t>09/04/2026</t>
        </is>
      </c>
      <c r="J9360" s="10" t="inlineStr">
        <is>
          <t>17/03/2026</t>
        </is>
      </c>
      <c r="K9360" s="10" t="inlineStr">
        <is>
          <t>N/A</t>
        </is>
      </c>
      <c r="L9360" s="10" t="inlineStr">
        <is>
          <t>Kinh Doanh, Phân Tích Thị Trường, Chiến Lược Kinh Doanh, Hoạch Định Ngân Sách, Phát Triển Đội Ngũ Kinh Doanh</t>
        </is>
      </c>
      <c r="M9360" s="10" t="inlineStr">
        <is>
          <t>Bonus, Healthcare Plan, Mobile, Travel Opportunities, Team Activities, Canteen, Others</t>
        </is>
      </c>
      <c r="N9360" s="11">
        <f>HYPERLINK("https://www.vietnamworks.com/truong-phong-kinh-doanh-djien-mat-troi-thu-nhap-hap-dan-2021124-jv","Xem chi tiết")</f>
        <v/>
      </c>
      <c r="O9360" s="10" t="n"/>
    </row>
    <row r="9361">
      <c r="B9361" s="7" t="n">
        <v>9359</v>
      </c>
      <c r="C9361" t="inlineStr">
        <is>
          <t>Sales Engineering Manager</t>
        </is>
      </c>
      <c r="D9361" t="inlineStr">
        <is>
          <t>Công ty TNHH CJ Foods Việt Nam/ CJ Foods Vietnam Company Limited</t>
        </is>
      </c>
      <c r="E9361" t="inlineStr">
        <is>
          <t>Thương lượng</t>
        </is>
      </c>
      <c r="F9361" t="inlineStr">
        <is>
          <t>Hồ Chí Minh</t>
        </is>
      </c>
      <c r="G9361" t="inlineStr">
        <is>
          <t>Trưởng phòng</t>
        </is>
      </c>
      <c r="H9361" t="inlineStr">
        <is>
          <t>10/03/2026</t>
        </is>
      </c>
      <c r="I9361" t="inlineStr">
        <is>
          <t>09/04/2026</t>
        </is>
      </c>
      <c r="J9361" t="inlineStr">
        <is>
          <t>17/03/2026</t>
        </is>
      </c>
      <c r="K9361" t="inlineStr">
        <is>
          <t>N/A</t>
        </is>
      </c>
      <c r="L9361" t="inlineStr">
        <is>
          <t>Data Analysis, Leadership, Market Development, Sales Engineering, Sales Operation</t>
        </is>
      </c>
      <c r="M9361" t="inlineStr">
        <is>
          <t>Bonus, Healthcare Plan, Training, Laptop, Travel Opportunities, Others</t>
        </is>
      </c>
      <c r="N9361" s="8">
        <f>HYPERLINK("https://www.vietnamworks.com/sales-engineering-manager-2021120-jv","Xem chi tiết")</f>
        <v/>
      </c>
    </row>
    <row r="9362">
      <c r="B9362" s="9" t="n">
        <v>9360</v>
      </c>
      <c r="C9362" s="10" t="inlineStr">
        <is>
          <t>Senior Data Engineer (AI / ADAS Data Loop) (1 Year contract)</t>
        </is>
      </c>
      <c r="D9362" s="10" t="inlineStr">
        <is>
          <t>Bosch Global Software Technologies Company Limited</t>
        </is>
      </c>
      <c r="E9362" s="10" t="inlineStr">
        <is>
          <t>Thương lượng</t>
        </is>
      </c>
      <c r="F9362" s="10" t="inlineStr">
        <is>
          <t>Hồ Chí Minh</t>
        </is>
      </c>
      <c r="G9362" s="10" t="inlineStr">
        <is>
          <t>Nhân viên</t>
        </is>
      </c>
      <c r="H9362" s="10" t="inlineStr">
        <is>
          <t>10/03/2026</t>
        </is>
      </c>
      <c r="I9362" s="10" t="inlineStr">
        <is>
          <t>09/04/2026</t>
        </is>
      </c>
      <c r="J9362" s="10" t="inlineStr">
        <is>
          <t>17/03/2026</t>
        </is>
      </c>
      <c r="K9362" s="10" t="inlineStr">
        <is>
          <t>N/A</t>
        </is>
      </c>
      <c r="L9362" s="10" t="inlineStr">
        <is>
          <t>Python, AI, Data Engineer, Pandas, PandasAI</t>
        </is>
      </c>
      <c r="M9362" s="10" t="inlineStr">
        <is>
          <t>Bonus, Healthcare Plan, Paid Leave</t>
        </is>
      </c>
      <c r="N9362" s="11">
        <f>HYPERLINK("https://www.vietnamworks.com/senior-data-engineer-ai-adas-data-loop-1-year-contract-2021116-jv","Xem chi tiết")</f>
        <v/>
      </c>
      <c r="O9362" s="10" t="n"/>
    </row>
    <row r="9363">
      <c r="B9363" s="7" t="n">
        <v>9361</v>
      </c>
      <c r="C9363" t="inlineStr">
        <is>
          <t>Nhân Viên Chứng Từ LOGISTICS (Operation Staff)</t>
        </is>
      </c>
      <c r="D9363" t="inlineStr">
        <is>
          <t>CÔNG TY TNHH KOOLOG INTERNATIONAL</t>
        </is>
      </c>
      <c r="E9363" t="inlineStr">
        <is>
          <t>12tr-15tr ₫/tháng</t>
        </is>
      </c>
      <c r="F9363" t="inlineStr">
        <is>
          <t>Hà Nội</t>
        </is>
      </c>
      <c r="G9363" t="inlineStr">
        <is>
          <t>Nhân viên</t>
        </is>
      </c>
      <c r="H9363" t="inlineStr">
        <is>
          <t>10/03/2026</t>
        </is>
      </c>
      <c r="I9363" t="inlineStr">
        <is>
          <t>09/04/2026</t>
        </is>
      </c>
      <c r="J9363" t="inlineStr">
        <is>
          <t>17/03/2026</t>
        </is>
      </c>
      <c r="K9363" t="inlineStr">
        <is>
          <t>N/A</t>
        </is>
      </c>
      <c r="L9363" t="inlineStr">
        <is>
          <t>Tiếng Trung, Xuất Nhập Khẩu, Logistics, Lập Hồ Sơ Thanh Toán, Chứng Từ Hải Quan</t>
        </is>
      </c>
      <c r="M9363" t="inlineStr">
        <is>
          <t>Bonus, Healthcare Plan, Others</t>
        </is>
      </c>
      <c r="N9363" s="8">
        <f>HYPERLINK("https://www.vietnamworks.com/nhan-vien-chung-tu-logistics-operation-staff-2021137-jv","Xem chi tiết")</f>
        <v/>
      </c>
    </row>
    <row r="9364">
      <c r="B9364" s="9" t="n">
        <v>9362</v>
      </c>
      <c r="C9364" s="10" t="inlineStr">
        <is>
          <t>Tuyển Trình Dược Viên ETC - Khu Vực Hà Nội &amp; HCM</t>
        </is>
      </c>
      <c r="D9364" s="10" t="inlineStr">
        <is>
          <t>CÔNG TY CỔ PHẦN OMNIARCH HEALTHCARE VIỆT NAM</t>
        </is>
      </c>
      <c r="E9364" s="10" t="inlineStr">
        <is>
          <t>Thương lượng</t>
        </is>
      </c>
      <c r="F9364" s="10" t="inlineStr">
        <is>
          <t>Hà Nội, Hồ Chí Minh</t>
        </is>
      </c>
      <c r="G9364" s="10" t="inlineStr">
        <is>
          <t>Nhân viên</t>
        </is>
      </c>
      <c r="H9364" s="10" t="inlineStr">
        <is>
          <t>10/03/2026</t>
        </is>
      </c>
      <c r="I9364" s="10" t="inlineStr">
        <is>
          <t>09/04/2026</t>
        </is>
      </c>
      <c r="J9364" s="10" t="inlineStr">
        <is>
          <t>17/03/2026</t>
        </is>
      </c>
      <c r="K9364" s="10" t="inlineStr">
        <is>
          <t>N/A</t>
        </is>
      </c>
      <c r="L9364" s="10" t="inlineStr">
        <is>
          <t>Chốt Sales, Giao Tiếp  Và Thuyết Phục, Lắng Nghe Nhu Cầu Khách Hàng, Phân Tích Nhu Cầu, Đọc Vị Tâm Lý</t>
        </is>
      </c>
      <c r="M9364" s="10" t="inlineStr">
        <is>
          <t>Healthcare Plan, Paid Leave, Training, Team Activities, Others</t>
        </is>
      </c>
      <c r="N9364" s="11">
        <f>HYPERLINK("https://www.vietnamworks.com/tuyen-trinh-duoc-vien-etc-khu-vuc-ha-noi-hcm-2021119-jv","Xem chi tiết")</f>
        <v/>
      </c>
      <c r="O9364" s="10" t="n"/>
    </row>
    <row r="9365">
      <c r="B9365" s="7" t="n">
        <v>9363</v>
      </c>
      <c r="C9365" t="inlineStr">
        <is>
          <t>Quản Đốc Xưởng Sản Xuất Làm Việc Tại Hải Dương</t>
        </is>
      </c>
      <c r="D9365" t="inlineStr">
        <is>
          <t>Công Ty CPTM Xây dựng Rồng Vàng Minh Ngọc</t>
        </is>
      </c>
      <c r="E9365" t="inlineStr">
        <is>
          <t>Từ 20tr ₫/tháng</t>
        </is>
      </c>
      <c r="F9365" t="inlineStr">
        <is>
          <t>Hải Dương</t>
        </is>
      </c>
      <c r="G9365" t="inlineStr">
        <is>
          <t>Giám Đốc và Cấp Cao Hơn</t>
        </is>
      </c>
      <c r="H9365" t="inlineStr">
        <is>
          <t>10/03/2026</t>
        </is>
      </c>
      <c r="I9365" t="inlineStr">
        <is>
          <t>09/04/2026</t>
        </is>
      </c>
      <c r="J9365" t="inlineStr">
        <is>
          <t>17/03/2026</t>
        </is>
      </c>
      <c r="K9365" t="inlineStr">
        <is>
          <t>N/A</t>
        </is>
      </c>
      <c r="L9365" t="inlineStr">
        <is>
          <t>Quản Lý Sản Xuất, An Toàn Vệ Sinh Thực Phẩm, Giám Sát Sản Xuất, Quản Lý Chất Lượng, Quản Lý Máy Móc</t>
        </is>
      </c>
      <c r="M9365" t="inlineStr">
        <is>
          <t>Bonus, Healthcare Plan</t>
        </is>
      </c>
      <c r="N9365" s="8">
        <f>HYPERLINK("https://www.vietnamworks.com/quan-djoc-xuong-san-xuat-lam-viec-tai-hai-duong-2021134-jv","Xem chi tiết")</f>
        <v/>
      </c>
    </row>
    <row r="9366">
      <c r="B9366" s="9" t="n">
        <v>9364</v>
      </c>
      <c r="C9366" s="10" t="inlineStr">
        <is>
          <t>Quality Engineer</t>
        </is>
      </c>
      <c r="D9366" s="10" t="inlineStr">
        <is>
          <t>Công Ty TNHH sản xuất HARTING Việt Nam</t>
        </is>
      </c>
      <c r="E9366" s="10" t="inlineStr">
        <is>
          <t>Thương lượng</t>
        </is>
      </c>
      <c r="F9366" s="10" t="inlineStr">
        <is>
          <t>Hải Dương, Hải Phòng, Hưng Yên</t>
        </is>
      </c>
      <c r="G9366" s="10" t="inlineStr">
        <is>
          <t>Nhân viên</t>
        </is>
      </c>
      <c r="H9366" s="10" t="inlineStr">
        <is>
          <t>10/03/2026</t>
        </is>
      </c>
      <c r="I9366" s="10" t="inlineStr">
        <is>
          <t>09/04/2026</t>
        </is>
      </c>
      <c r="J9366" s="10" t="inlineStr">
        <is>
          <t>17/03/2026</t>
        </is>
      </c>
      <c r="K9366" s="10" t="inlineStr">
        <is>
          <t>N/A</t>
        </is>
      </c>
      <c r="L9366" s="10" t="inlineStr">
        <is>
          <t>ISO 14001, ISO 9001, Quality Control, Quality Tools, Supplier Quality Management</t>
        </is>
      </c>
      <c r="M9366" s="10" t="inlineStr">
        <is>
          <t>Bonus</t>
        </is>
      </c>
      <c r="N9366" s="11">
        <f>HYPERLINK("https://www.vietnamworks.com/quality-engineer-2021139-jv","Xem chi tiết")</f>
        <v/>
      </c>
      <c r="O9366" s="10" t="n"/>
    </row>
    <row r="9367">
      <c r="B9367" s="7" t="n">
        <v>9365</v>
      </c>
      <c r="C9367" t="inlineStr">
        <is>
          <t>[Nhà Máy Vĩnh Phúc] Tuyển Dụng Biên Phiên Dịch Tiếng Nhật</t>
        </is>
      </c>
      <c r="D9367" t="inlineStr">
        <is>
          <t>TOTO Vietnam Co., Ltd</t>
        </is>
      </c>
      <c r="E9367" t="inlineStr">
        <is>
          <t>$$ 450-800 /tháng</t>
        </is>
      </c>
      <c r="F9367" t="inlineStr">
        <is>
          <t>Vĩnh Phúc, Hà Nội</t>
        </is>
      </c>
      <c r="G9367" t="inlineStr">
        <is>
          <t>Nhân viên</t>
        </is>
      </c>
      <c r="H9367" t="inlineStr">
        <is>
          <t>10/03/2026</t>
        </is>
      </c>
      <c r="I9367" t="inlineStr">
        <is>
          <t>09/04/2026</t>
        </is>
      </c>
      <c r="J9367" t="inlineStr">
        <is>
          <t>17/03/2026</t>
        </is>
      </c>
      <c r="K9367" t="inlineStr">
        <is>
          <t>N/A</t>
        </is>
      </c>
      <c r="L9367" t="inlineStr">
        <is>
          <t>Biên Dịch Tài Liệu, Giao Tiếp, Nghiên Cứu Sản Xuất, Phiên Dịch Tiếng Nhật, Xử Lý Tình Huống</t>
        </is>
      </c>
      <c r="M9367" t="inlineStr">
        <is>
          <t>Bonus, Paid Leave, Transportation, Others</t>
        </is>
      </c>
      <c r="N9367" s="8">
        <f>HYPERLINK("https://www.vietnamworks.com/nha-may-vinh-phuc-tuyen-dung-bien-phien-dich-tieng-nhat-2021138-jv","Xem chi tiết")</f>
        <v/>
      </c>
    </row>
    <row r="9368">
      <c r="B9368" s="9" t="n">
        <v>9366</v>
      </c>
      <c r="C9368" s="10" t="inlineStr">
        <is>
          <t>Chuyên Viên Tuyển Dụng</t>
        </is>
      </c>
      <c r="D9368" s="10" t="inlineStr">
        <is>
          <t>Công Ty TNHH Universal Scientific Industrial Việt Nam (USI Vietnam)</t>
        </is>
      </c>
      <c r="E9368" s="10" t="inlineStr">
        <is>
          <t>Thương lượng</t>
        </is>
      </c>
      <c r="F9368" s="10" t="inlineStr">
        <is>
          <t>Hải Phòng</t>
        </is>
      </c>
      <c r="G9368" s="10" t="inlineStr">
        <is>
          <t>Nhân viên</t>
        </is>
      </c>
      <c r="H9368" s="10" t="inlineStr">
        <is>
          <t>10/03/2026</t>
        </is>
      </c>
      <c r="I9368" s="10" t="inlineStr">
        <is>
          <t>09/04/2026</t>
        </is>
      </c>
      <c r="J9368" s="10" t="inlineStr">
        <is>
          <t>17/03/2026</t>
        </is>
      </c>
      <c r="K9368" s="10" t="inlineStr">
        <is>
          <t>N/A</t>
        </is>
      </c>
      <c r="L9368" s="10" t="inlineStr">
        <is>
          <t>Tuyển Dụng, Recruitment, Nhân Sự, Human Resources, HR</t>
        </is>
      </c>
      <c r="M9368" s="10" t="inlineStr">
        <is>
          <t>Bonus, Training, Laptop</t>
        </is>
      </c>
      <c r="N9368" s="11">
        <f>HYPERLINK("https://www.vietnamworks.com/chuyen-vien-tuyen-dung--2021148-jv","Xem chi tiết")</f>
        <v/>
      </c>
      <c r="O9368" s="10" t="n"/>
    </row>
    <row r="9369">
      <c r="B9369" s="7" t="n">
        <v>9367</v>
      </c>
      <c r="C9369" t="inlineStr">
        <is>
          <t>Chief Accountant</t>
        </is>
      </c>
      <c r="D9369" t="inlineStr">
        <is>
          <t>Rieckermann Vietnam Ltd., Co.</t>
        </is>
      </c>
      <c r="E9369" t="inlineStr">
        <is>
          <t>$$ 1,500-2,000 /tháng</t>
        </is>
      </c>
      <c r="F9369" t="inlineStr">
        <is>
          <t>Hồ Chí Minh</t>
        </is>
      </c>
      <c r="G9369" t="inlineStr">
        <is>
          <t>Trưởng phòng</t>
        </is>
      </c>
      <c r="H9369" t="inlineStr">
        <is>
          <t>10/03/2026</t>
        </is>
      </c>
      <c r="I9369" t="inlineStr">
        <is>
          <t>09/04/2026</t>
        </is>
      </c>
      <c r="J9369" t="inlineStr">
        <is>
          <t>17/03/2026</t>
        </is>
      </c>
      <c r="K9369" t="inlineStr">
        <is>
          <t>N/A</t>
        </is>
      </c>
      <c r="L9369" t="inlineStr">
        <is>
          <t>CPA Certificate, Kiểm Toán, VAS &amp; IFRS, ERP &amp; Accounting software, English</t>
        </is>
      </c>
      <c r="M9369" t="inlineStr">
        <is>
          <t>Bonus, Paid Leave, Team Activities, Others</t>
        </is>
      </c>
      <c r="N9369" s="8">
        <f>HYPERLINK("https://www.vietnamworks.com/chief-accountant-2021149-jv","Xem chi tiết")</f>
        <v/>
      </c>
    </row>
    <row r="9370">
      <c r="B9370" s="9" t="n">
        <v>9368</v>
      </c>
      <c r="C9370" s="10" t="inlineStr">
        <is>
          <t>Chuyên Viên Y Khoa - Dược Lâm Sàng</t>
        </is>
      </c>
      <c r="D9370" s="10" t="inlineStr">
        <is>
          <t>Công Ty Cổ Phần Dược Phẩm Vĩnh Phúc</t>
        </is>
      </c>
      <c r="E9370" s="10" t="inlineStr">
        <is>
          <t>Thương lượng</t>
        </is>
      </c>
      <c r="F9370" s="10" t="inlineStr">
        <is>
          <t>Hà Nội</t>
        </is>
      </c>
      <c r="G9370" s="10" t="inlineStr">
        <is>
          <t>Nhân viên</t>
        </is>
      </c>
      <c r="H9370" s="10" t="inlineStr">
        <is>
          <t>10/03/2026</t>
        </is>
      </c>
      <c r="I9370" s="10" t="inlineStr">
        <is>
          <t>09/04/2026</t>
        </is>
      </c>
      <c r="J9370" s="10" t="inlineStr">
        <is>
          <t>17/03/2026</t>
        </is>
      </c>
      <c r="K9370" s="10" t="inlineStr">
        <is>
          <t>N/A</t>
        </is>
      </c>
      <c r="L9370" s="10" t="inlineStr">
        <is>
          <t>Vận Hành, Kho, Nhập Liệu, AppSheet, SAP</t>
        </is>
      </c>
      <c r="M9370" s="10" t="inlineStr">
        <is>
          <t>Bonus, Healthcare Plan, Travel Opportunities</t>
        </is>
      </c>
      <c r="N9370" s="11">
        <f>HYPERLINK("https://www.vietnamworks.com/chuyen-vien-y-khoa-duoc-lam-sang--2021141-jv","Xem chi tiết")</f>
        <v/>
      </c>
      <c r="O9370" s="10" t="n"/>
    </row>
    <row r="9371">
      <c r="B9371" s="7" t="n">
        <v>9369</v>
      </c>
      <c r="C9371" t="inlineStr">
        <is>
          <t>Kỹ sư cao cấp - Quản lý hệ thống phụ trợ sản xuất (Facility - Senior engineer)</t>
        </is>
      </c>
      <c r="D9371" t="inlineStr">
        <is>
          <t>Hoya Glass Disk Vietnam</t>
        </is>
      </c>
      <c r="E9371" t="inlineStr">
        <is>
          <t>Thương lượng</t>
        </is>
      </c>
      <c r="F9371" t="inlineStr">
        <is>
          <t>Hưng Yên</t>
        </is>
      </c>
      <c r="G9371" t="inlineStr">
        <is>
          <t>Nhân viên</t>
        </is>
      </c>
      <c r="H9371" t="inlineStr">
        <is>
          <t>10/03/2026</t>
        </is>
      </c>
      <c r="I9371" t="inlineStr">
        <is>
          <t>09/04/2026</t>
        </is>
      </c>
      <c r="J9371" t="inlineStr">
        <is>
          <t>17/03/2026</t>
        </is>
      </c>
      <c r="K9371" t="inlineStr">
        <is>
          <t>N/A</t>
        </is>
      </c>
      <c r="L9371" t="inlineStr">
        <is>
          <t>Electrical Systems, Maintenance Engineering, Mechanical System, Predictive Maintenance, Problem-solving</t>
        </is>
      </c>
      <c r="M9371" t="inlineStr">
        <is>
          <t>Bonus, Healthcare Plan, Training, Team Activities, Others</t>
        </is>
      </c>
      <c r="N9371" s="8">
        <f>HYPERLINK("https://www.vietnamworks.com/ky-su-cao-cap-quan-ly-he-thong-phu-tro-san-xuat-facility-senior-engineer-2021175-jv","Xem chi tiết")</f>
        <v/>
      </c>
    </row>
    <row r="9372">
      <c r="B9372" s="9" t="n">
        <v>9370</v>
      </c>
      <c r="C9372" s="10" t="inlineStr">
        <is>
          <t>MEP Project Engineer And Drafter</t>
        </is>
      </c>
      <c r="D9372" s="10" t="inlineStr">
        <is>
          <t>SNK ASIA PACIFIC VN CO., LTD</t>
        </is>
      </c>
      <c r="E9372" s="10" t="inlineStr">
        <is>
          <t>Thương lượng</t>
        </is>
      </c>
      <c r="F9372" s="10" t="inlineStr">
        <is>
          <t>Hồ Chí Minh, Bình Dương, Đồng Nai</t>
        </is>
      </c>
      <c r="G9372" s="10" t="inlineStr">
        <is>
          <t>Nhân viên</t>
        </is>
      </c>
      <c r="H9372" s="10" t="inlineStr">
        <is>
          <t>10/03/2026</t>
        </is>
      </c>
      <c r="I9372" s="10" t="inlineStr">
        <is>
          <t>09/04/2026</t>
        </is>
      </c>
      <c r="J9372" s="10" t="inlineStr">
        <is>
          <t>17/03/2026</t>
        </is>
      </c>
      <c r="K9372" s="10" t="inlineStr">
        <is>
          <t>N/A</t>
        </is>
      </c>
      <c r="L9372" s="10" t="inlineStr">
        <is>
          <t>Electrical Systems, ACMV System, Plumbing, Fire Fighting, English Communication</t>
        </is>
      </c>
      <c r="M9372" s="10" t="inlineStr">
        <is>
          <t>Healthcare Plan, Travel Opportunities, Others</t>
        </is>
      </c>
      <c r="N9372" s="11">
        <f>HYPERLINK("https://www.vietnamworks.com/mep-project-engineer-and-drafter-2021143-jv","Xem chi tiết")</f>
        <v/>
      </c>
      <c r="O9372" s="10" t="n"/>
    </row>
    <row r="9373">
      <c r="B9373" s="7" t="n">
        <v>9371</v>
      </c>
      <c r="C9373" t="inlineStr">
        <is>
          <t>Giám Đốc Tài Chính (CFO)</t>
        </is>
      </c>
      <c r="D9373" t="inlineStr">
        <is>
          <t>Công Ty Cổ Phần Công Nghệ Sapo</t>
        </is>
      </c>
      <c r="E9373" t="inlineStr">
        <is>
          <t>Thương lượng</t>
        </is>
      </c>
      <c r="F9373" t="inlineStr">
        <is>
          <t>Hà Nội</t>
        </is>
      </c>
      <c r="G9373" t="inlineStr">
        <is>
          <t>Giám Đốc và Cấp Cao Hơn</t>
        </is>
      </c>
      <c r="H9373" t="inlineStr">
        <is>
          <t>10/03/2026</t>
        </is>
      </c>
      <c r="I9373" t="inlineStr">
        <is>
          <t>09/04/2026</t>
        </is>
      </c>
      <c r="J9373" t="inlineStr">
        <is>
          <t>17/03/2026</t>
        </is>
      </c>
      <c r="K9373" t="inlineStr">
        <is>
          <t>N/A</t>
        </is>
      </c>
      <c r="L9373" t="inlineStr">
        <is>
          <t>Financial Modeling, Kiểm Toán, Quản Lý Tài Chính, Tiếng Anh, Unit Economics</t>
        </is>
      </c>
      <c r="M9373" t="inlineStr">
        <is>
          <t>Bonus, Healthcare Plan, Team Activities, Others</t>
        </is>
      </c>
      <c r="N9373" s="8">
        <f>HYPERLINK("https://www.vietnamworks.com/giam-djoc-tai-chinh-cfo-2021167-jv","Xem chi tiết")</f>
        <v/>
      </c>
    </row>
    <row r="9374">
      <c r="B9374" s="9" t="n">
        <v>9372</v>
      </c>
      <c r="C9374" s="10" t="inlineStr">
        <is>
          <t>Chuyên Viên Pháp Chế Doanh Nghiệp _ Legal Executive</t>
        </is>
      </c>
      <c r="D9374" s="10" t="inlineStr">
        <is>
          <t>Công Ty TNHH Dịch Vụ Tư Vấn Kinh Doanh VIVA</t>
        </is>
      </c>
      <c r="E9374" s="10" t="inlineStr">
        <is>
          <t>$$ 600-1,100 /tháng</t>
        </is>
      </c>
      <c r="F9374" s="10" t="inlineStr">
        <is>
          <t>Hồ Chí Minh, Hà Nội</t>
        </is>
      </c>
      <c r="G9374" s="10" t="inlineStr">
        <is>
          <t>Nhân viên</t>
        </is>
      </c>
      <c r="H9374" s="10" t="inlineStr">
        <is>
          <t>10/03/2026</t>
        </is>
      </c>
      <c r="I9374" s="10" t="inlineStr">
        <is>
          <t>09/04/2026</t>
        </is>
      </c>
      <c r="J9374" s="10" t="inlineStr">
        <is>
          <t>17/03/2026</t>
        </is>
      </c>
      <c r="K9374" s="10" t="inlineStr">
        <is>
          <t>N/A</t>
        </is>
      </c>
      <c r="L9374" s="10" t="inlineStr">
        <is>
          <t>Luật Kinh Doanh Thương Mại, Pháp Chế Doanh Nghiệp, Legal, Legal &amp; Compliance, Văn Bản Pháp Chế</t>
        </is>
      </c>
      <c r="M9374" s="10" t="inlineStr">
        <is>
          <t>Bonus, Healthcare Plan, Awards</t>
        </is>
      </c>
      <c r="N9374" s="11">
        <f>HYPERLINK("https://www.vietnamworks.com/chuyen-vien-phap-che-doanh-nghiep-legal-executive-2021145-jv","Xem chi tiết")</f>
        <v/>
      </c>
      <c r="O9374" s="10" t="n"/>
    </row>
    <row r="9375">
      <c r="B9375" s="7" t="n">
        <v>9373</v>
      </c>
      <c r="C9375" t="inlineStr">
        <is>
          <t>Assistant Warehouse Manager (Transportation And Data Warehouse)</t>
        </is>
      </c>
      <c r="D9375" t="inlineStr">
        <is>
          <t>Công ty TNHH công nghiệp Vĩnh Tường miền bắc Việt Nam</t>
        </is>
      </c>
      <c r="E9375" t="inlineStr">
        <is>
          <t>$$ 1,000-1,500 /tháng</t>
        </is>
      </c>
      <c r="F9375" t="inlineStr">
        <is>
          <t>Hồ Chí Minh</t>
        </is>
      </c>
      <c r="G9375" t="inlineStr">
        <is>
          <t>Nhân viên</t>
        </is>
      </c>
      <c r="H9375" t="inlineStr">
        <is>
          <t>10/03/2026</t>
        </is>
      </c>
      <c r="I9375" t="inlineStr">
        <is>
          <t>09/04/2026</t>
        </is>
      </c>
      <c r="J9375" t="inlineStr">
        <is>
          <t>17/03/2026</t>
        </is>
      </c>
      <c r="K9375" t="inlineStr">
        <is>
          <t>N/A</t>
        </is>
      </c>
      <c r="L9375" t="inlineStr">
        <is>
          <t>Communication, Data Analysis, Logistics Management, Negotiation, Problem Solving</t>
        </is>
      </c>
      <c r="M9375" t="inlineStr">
        <is>
          <t>Bonus</t>
        </is>
      </c>
      <c r="N9375" s="8">
        <f>HYPERLINK("https://www.vietnamworks.com/assistant-warehouse-manager-transportation-and-data-warehouse-2021146-jv","Xem chi tiết")</f>
        <v/>
      </c>
    </row>
    <row r="9376">
      <c r="B9376" s="9" t="n">
        <v>9374</v>
      </c>
      <c r="C9376" s="10" t="inlineStr">
        <is>
          <t>Sales Coordinator</t>
        </is>
      </c>
      <c r="D9376" s="10" t="inlineStr">
        <is>
          <t>VIETNAM HOUSEWARES CORP</t>
        </is>
      </c>
      <c r="E9376" s="10" t="inlineStr">
        <is>
          <t>$$ 500-700 /tháng</t>
        </is>
      </c>
      <c r="F9376" s="10" t="inlineStr">
        <is>
          <t>Bình Dương</t>
        </is>
      </c>
      <c r="G9376" s="10" t="inlineStr">
        <is>
          <t>Nhân viên</t>
        </is>
      </c>
      <c r="H9376" s="10" t="inlineStr">
        <is>
          <t>10/03/2026</t>
        </is>
      </c>
      <c r="I9376" s="10" t="inlineStr">
        <is>
          <t>09/04/2026</t>
        </is>
      </c>
      <c r="J9376" s="10" t="inlineStr">
        <is>
          <t>17/03/2026</t>
        </is>
      </c>
      <c r="K9376" s="10" t="inlineStr">
        <is>
          <t>N/A</t>
        </is>
      </c>
      <c r="L9376" s="10" t="inlineStr">
        <is>
          <t>Sales Administration, Customer Service, Organizational skills, MS Office, Problem-solving</t>
        </is>
      </c>
      <c r="M9376" s="10" t="inlineStr">
        <is>
          <t>Awards</t>
        </is>
      </c>
      <c r="N9376" s="11">
        <f>HYPERLINK("https://www.vietnamworks.com/sales-coordinator-2021180-jv","Xem chi tiết")</f>
        <v/>
      </c>
      <c r="O9376" s="10" t="n"/>
    </row>
    <row r="9377">
      <c r="B9377" s="7" t="n">
        <v>9375</v>
      </c>
      <c r="C9377" t="inlineStr">
        <is>
          <t>Chuyên Viên Đào Tạo Và Phát Triển Văn Hóa Doanh Nghiệp (Corporate Training And Culture Development Specialist)</t>
        </is>
      </c>
      <c r="D9377" t="inlineStr">
        <is>
          <t>Tập Đoàn Việt Group</t>
        </is>
      </c>
      <c r="E9377" t="inlineStr">
        <is>
          <t>15tr-25tr ₫/tháng</t>
        </is>
      </c>
      <c r="F9377" t="inlineStr">
        <is>
          <t>Hà Nội</t>
        </is>
      </c>
      <c r="G9377" t="inlineStr">
        <is>
          <t>Nhân viên</t>
        </is>
      </c>
      <c r="H9377" t="inlineStr">
        <is>
          <t>10/03/2026</t>
        </is>
      </c>
      <c r="I9377" t="inlineStr">
        <is>
          <t>09/04/2026</t>
        </is>
      </c>
      <c r="J9377" t="inlineStr">
        <is>
          <t>17/03/2026</t>
        </is>
      </c>
      <c r="K9377" t="inlineStr">
        <is>
          <t>N/A</t>
        </is>
      </c>
      <c r="L9377" t="inlineStr">
        <is>
          <t>Giải Quyết Vấn Đề, Làm Việc Nhóm, Phát Triển Văn Hóa, Thuyết Trình, Đào Tạo</t>
        </is>
      </c>
      <c r="M9377" t="inlineStr">
        <is>
          <t>Bonus, Training, Others</t>
        </is>
      </c>
      <c r="N9377" s="8">
        <f>HYPERLINK("https://www.vietnamworks.com/chuyen-vien-djao-tao-va-phat-trien-van-hoa-doanh-nghiep-corporate-training-and-culture-development-specialist-2021168-jv","Xem chi tiết")</f>
        <v/>
      </c>
    </row>
    <row r="9378">
      <c r="B9378" s="9" t="n">
        <v>9376</v>
      </c>
      <c r="C9378" s="10" t="inlineStr">
        <is>
          <t>Kế Toán Tổng Hợp</t>
        </is>
      </c>
      <c r="D9378" s="10" t="inlineStr">
        <is>
          <t>CÔNG TY CỔ PHẦN CƠ KHÍ XÂY DỰNG AMECC</t>
        </is>
      </c>
      <c r="E9378" s="10" t="inlineStr">
        <is>
          <t>20tr-35tr ₫/tháng</t>
        </is>
      </c>
      <c r="F9378" s="10" t="inlineStr">
        <is>
          <t>Hải Phòng</t>
        </is>
      </c>
      <c r="G9378" s="10" t="inlineStr">
        <is>
          <t>Nhân viên</t>
        </is>
      </c>
      <c r="H9378" s="10" t="inlineStr">
        <is>
          <t>10/03/2026</t>
        </is>
      </c>
      <c r="I9378" s="10" t="inlineStr">
        <is>
          <t>09/04/2026</t>
        </is>
      </c>
      <c r="J9378" s="10" t="inlineStr">
        <is>
          <t>17/03/2026</t>
        </is>
      </c>
      <c r="K9378" s="10" t="inlineStr">
        <is>
          <t>N/A</t>
        </is>
      </c>
      <c r="L9378" s="10" t="inlineStr">
        <is>
          <t>Hạch Toán, Lập Báo Cáo Tài Chính, Tài Chính Kế Toán, Báo Cáo Tài Chính, Kế Toán Tổng Hợp</t>
        </is>
      </c>
      <c r="M9378" s="10" t="inlineStr">
        <is>
          <t>Healthcare Plan, Paid Leave, Team Activities, Transportation, Canteen, Others</t>
        </is>
      </c>
      <c r="N9378" s="11">
        <f>HYPERLINK("https://www.vietnamworks.com/ke-toan-tong-hop-2021178-jv","Xem chi tiết")</f>
        <v/>
      </c>
      <c r="O9378" s="10" t="n"/>
    </row>
    <row r="9379">
      <c r="B9379" s="7" t="n">
        <v>9377</v>
      </c>
      <c r="C9379" t="inlineStr">
        <is>
          <t>Plant Finance Controller</t>
        </is>
      </c>
      <c r="D9379" t="inlineStr">
        <is>
          <t>Vietnamworks' Client</t>
        </is>
      </c>
      <c r="E9379" t="inlineStr">
        <is>
          <t>$$ 500-900 /tháng</t>
        </is>
      </c>
      <c r="F9379" t="inlineStr">
        <is>
          <t>Đà Nẵng</t>
        </is>
      </c>
      <c r="G9379" t="inlineStr">
        <is>
          <t>Nhân viên</t>
        </is>
      </c>
      <c r="H9379" t="inlineStr">
        <is>
          <t>10/03/2026</t>
        </is>
      </c>
      <c r="I9379" t="inlineStr">
        <is>
          <t>09/04/2026</t>
        </is>
      </c>
      <c r="J9379" t="inlineStr">
        <is>
          <t>17/03/2026</t>
        </is>
      </c>
      <c r="K9379" t="inlineStr">
        <is>
          <t>N/A</t>
        </is>
      </c>
      <c r="L9379" t="inlineStr">
        <is>
          <t>Financial Accounting, Costing Accounting, Finance And Cost Control Skills, Finance System, Financial Control</t>
        </is>
      </c>
      <c r="M9379" t="inlineStr">
        <is>
          <t>Bonus, Transportation, Others</t>
        </is>
      </c>
      <c r="N9379" s="8">
        <f>HYPERLINK("https://www.vietnamworks.com/plant-finance-controller--2021169-jv","Xem chi tiết")</f>
        <v/>
      </c>
    </row>
    <row r="9380">
      <c r="B9380" s="9" t="n">
        <v>9378</v>
      </c>
      <c r="C9380" s="10" t="inlineStr">
        <is>
          <t>Kế Toán Thuế</t>
        </is>
      </c>
      <c r="D9380" s="10" t="inlineStr">
        <is>
          <t>Hãng Thời Trang Eva De Eva</t>
        </is>
      </c>
      <c r="E9380" s="10" t="inlineStr">
        <is>
          <t>12tr-15tr ₫/tháng</t>
        </is>
      </c>
      <c r="F9380" s="10" t="inlineStr">
        <is>
          <t>Hà Nội</t>
        </is>
      </c>
      <c r="G9380" s="10" t="inlineStr">
        <is>
          <t>Nhân viên</t>
        </is>
      </c>
      <c r="H9380" s="10" t="inlineStr">
        <is>
          <t>10/03/2026</t>
        </is>
      </c>
      <c r="I9380" s="10" t="inlineStr">
        <is>
          <t>09/04/2026</t>
        </is>
      </c>
      <c r="J9380" s="10" t="inlineStr">
        <is>
          <t>17/03/2026</t>
        </is>
      </c>
      <c r="K9380" s="10" t="inlineStr">
        <is>
          <t>N/A</t>
        </is>
      </c>
      <c r="L9380" s="10" t="inlineStr">
        <is>
          <t>Kế Toán Thu Chi, Kế Toán Thuế, Kỹ năng làm việc nhóm, Lập Báo Cáo Tài Chính, Quản Lý Công Nợ</t>
        </is>
      </c>
      <c r="M9380" s="10" t="inlineStr">
        <is>
          <t>Bonus, Healthcare Plan, Paid Leave, Others</t>
        </is>
      </c>
      <c r="N9380" s="11">
        <f>HYPERLINK("https://www.vietnamworks.com/ke-toan-thue-2021183-jv","Xem chi tiết")</f>
        <v/>
      </c>
      <c r="O9380" s="10" t="n"/>
    </row>
    <row r="9381">
      <c r="B9381" s="7" t="n">
        <v>9379</v>
      </c>
      <c r="C9381" t="inlineStr">
        <is>
          <t>Clinical Research Associate (Senior/ Junior)</t>
        </is>
      </c>
      <c r="D9381" t="inlineStr">
        <is>
          <t>TMRC Pham Ngoc Thach</t>
        </is>
      </c>
      <c r="E9381" t="inlineStr">
        <is>
          <t>Thương lượng</t>
        </is>
      </c>
      <c r="F9381" t="inlineStr">
        <is>
          <t>Hồ Chí Minh</t>
        </is>
      </c>
      <c r="G9381" t="inlineStr">
        <is>
          <t>Nhân viên</t>
        </is>
      </c>
      <c r="H9381" t="inlineStr">
        <is>
          <t>10/03/2026</t>
        </is>
      </c>
      <c r="I9381" t="inlineStr">
        <is>
          <t>09/04/2026</t>
        </is>
      </c>
      <c r="J9381" t="inlineStr">
        <is>
          <t>17/03/2026</t>
        </is>
      </c>
      <c r="K9381" t="inlineStr">
        <is>
          <t>N/A</t>
        </is>
      </c>
      <c r="L9381" t="inlineStr">
        <is>
          <t>Biomedical Sciences, Clinical Research, Good Clinical Practice (GCP), Clinical Trials, Clinical Laboratory</t>
        </is>
      </c>
      <c r="M9381" t="inlineStr">
        <is>
          <t>Healthcare Plan, Vouchers, Others</t>
        </is>
      </c>
      <c r="N9381" s="8">
        <f>HYPERLINK("https://www.vietnamworks.com/clinical-research-associate-senior-junior-2021151-jv","Xem chi tiết")</f>
        <v/>
      </c>
    </row>
    <row r="9382">
      <c r="B9382" s="9" t="n">
        <v>9380</v>
      </c>
      <c r="C9382" s="10" t="inlineStr">
        <is>
          <t>Chuyên Gia Kiểm Định Mô Hình, Phòng Quản Trị Rủi Ro Tích Hợp, Khối Quản Trị Rủi Ro</t>
        </is>
      </c>
      <c r="D9382" s="10" t="inlineStr">
        <is>
          <t>Ngân Hàng TMCP Đại Chúng Việt Nam</t>
        </is>
      </c>
      <c r="E9382" s="10" t="inlineStr">
        <is>
          <t>$$ 1,500-2,500 /tháng</t>
        </is>
      </c>
      <c r="F9382" s="10" t="inlineStr">
        <is>
          <t>Hà Nội</t>
        </is>
      </c>
      <c r="G9382" s="10" t="inlineStr">
        <is>
          <t>Trưởng phòng</t>
        </is>
      </c>
      <c r="H9382" s="10" t="inlineStr">
        <is>
          <t>10/03/2026</t>
        </is>
      </c>
      <c r="I9382" s="10" t="inlineStr">
        <is>
          <t>09/04/2026</t>
        </is>
      </c>
      <c r="J9382" s="10" t="inlineStr">
        <is>
          <t>17/03/2026</t>
        </is>
      </c>
      <c r="K9382" s="10" t="inlineStr">
        <is>
          <t>N/A</t>
        </is>
      </c>
      <c r="L9382" s="10" t="inlineStr">
        <is>
          <t>Mô Hình Rủi Ro, Basel III, Phân Tích Định Lượng, Quản Trị Rủi Ro, Risk Management</t>
        </is>
      </c>
      <c r="M9382" s="10" t="inlineStr">
        <is>
          <t>Bonus, Healthcare Plan, Canteen</t>
        </is>
      </c>
      <c r="N9382" s="11">
        <f>HYPERLINK("https://www.vietnamworks.com/chuyen-gia-kiem-dinh-mo-hinh-phong-quan-tri-rui-ro-tich-hop-khoi-quan-tri-rui-ro--2021157-jv","Xem chi tiết")</f>
        <v/>
      </c>
      <c r="O9382" s="10" t="n"/>
    </row>
    <row r="9383">
      <c r="B9383" s="7" t="n">
        <v>9381</v>
      </c>
      <c r="C9383" t="inlineStr">
        <is>
          <t>Chuyên Viên Quản Lý Cơ Sở Vật Chất Và Xây Dựng Cơ Bản</t>
        </is>
      </c>
      <c r="D9383" t="inlineStr">
        <is>
          <t>Công ty TNHH MTV Nhà xuất bản Giáo dục Việt Nam</t>
        </is>
      </c>
      <c r="E9383" t="inlineStr">
        <is>
          <t>Thương lượng</t>
        </is>
      </c>
      <c r="F9383" t="inlineStr">
        <is>
          <t>Hà Nội</t>
        </is>
      </c>
      <c r="G9383" t="inlineStr">
        <is>
          <t>Nhân viên</t>
        </is>
      </c>
      <c r="H9383" t="inlineStr">
        <is>
          <t>10/03/2026</t>
        </is>
      </c>
      <c r="I9383" t="inlineStr">
        <is>
          <t>09/04/2026</t>
        </is>
      </c>
      <c r="J9383" t="inlineStr">
        <is>
          <t>17/03/2026</t>
        </is>
      </c>
      <c r="K9383" t="inlineStr">
        <is>
          <t>N/A</t>
        </is>
      </c>
      <c r="L9383" t="inlineStr">
        <is>
          <t>Giám Sát Đầu Tư, Lập Dự Toán Gói Thầu, Quản Lý Xây Dựng, Thiết Kế Bản Vẽ, Thiết Kế Ý Tưởng</t>
        </is>
      </c>
      <c r="M9383" t="inlineStr">
        <is>
          <t>Healthcare Plan, Paid Leave, Awards, Team Activities</t>
        </is>
      </c>
      <c r="N9383" s="8">
        <f>HYPERLINK("https://www.vietnamworks.com/chuyen-vien-quan-ly-co-so-vat-chat-va-xay-dung-co-ban-2021153-jv","Xem chi tiết")</f>
        <v/>
      </c>
    </row>
    <row r="9384">
      <c r="B9384" s="9" t="n">
        <v>9382</v>
      </c>
      <c r="C9384" s="10" t="inlineStr">
        <is>
          <t>Project Manager</t>
        </is>
      </c>
      <c r="D9384" s="10" t="inlineStr">
        <is>
          <t>Rieckermann Vietnam Ltd., Co.</t>
        </is>
      </c>
      <c r="E9384" s="10" t="inlineStr">
        <is>
          <t>$$ 1,500-2,200 /tháng</t>
        </is>
      </c>
      <c r="F9384" s="10" t="inlineStr">
        <is>
          <t>Hồ Chí Minh</t>
        </is>
      </c>
      <c r="G9384" s="10" t="inlineStr">
        <is>
          <t>Trưởng phòng</t>
        </is>
      </c>
      <c r="H9384" s="10" t="inlineStr">
        <is>
          <t>10/03/2026</t>
        </is>
      </c>
      <c r="I9384" s="10" t="inlineStr">
        <is>
          <t>09/04/2026</t>
        </is>
      </c>
      <c r="J9384" s="10" t="inlineStr">
        <is>
          <t>17/03/2026</t>
        </is>
      </c>
      <c r="K9384" s="10" t="inlineStr">
        <is>
          <t>N/A</t>
        </is>
      </c>
      <c r="L9384" s="10" t="inlineStr">
        <is>
          <t>Manufacturing line setup and management, Industrial Machinery, Manufacturing Systems, Automation Techniques, Industrial project management</t>
        </is>
      </c>
      <c r="M9384" s="10" t="inlineStr">
        <is>
          <t>Bonus, Paid Leave, Team Activities, Others</t>
        </is>
      </c>
      <c r="N9384" s="11">
        <f>HYPERLINK("https://www.vietnamworks.com/project-manager-2021177-jv","Xem chi tiết")</f>
        <v/>
      </c>
      <c r="O9384" s="10" t="n"/>
    </row>
    <row r="9385">
      <c r="B9385" s="7" t="n">
        <v>9383</v>
      </c>
      <c r="C9385" t="inlineStr">
        <is>
          <t>Trưởng Bộ Phận C&amp;B (Phụ Trách Tiền Lương, Phúc Lợi, Hiệu Suất, Quan Hệ Lao Động)</t>
        </is>
      </c>
      <c r="D9385" t="inlineStr">
        <is>
          <t>Công Ty Cổ Phần Dược Phẩm Vĩnh Phúc</t>
        </is>
      </c>
      <c r="E9385" t="inlineStr">
        <is>
          <t>Thương lượng</t>
        </is>
      </c>
      <c r="F9385" t="inlineStr">
        <is>
          <t>Hà Nội, Vĩnh Phúc</t>
        </is>
      </c>
      <c r="G9385" t="inlineStr">
        <is>
          <t>Trưởng phòng</t>
        </is>
      </c>
      <c r="H9385" t="inlineStr">
        <is>
          <t>10/03/2026</t>
        </is>
      </c>
      <c r="I9385" t="inlineStr">
        <is>
          <t>09/04/2026</t>
        </is>
      </c>
      <c r="J9385" t="inlineStr">
        <is>
          <t>17/03/2026</t>
        </is>
      </c>
      <c r="K9385" t="inlineStr">
        <is>
          <t>N/A</t>
        </is>
      </c>
      <c r="L9385" t="inlineStr">
        <is>
          <t>C&amp;B, Quan Hệ Lao Động, Quản Trị Hiệu Suất, KPI, HRBP</t>
        </is>
      </c>
      <c r="M9385" t="inlineStr">
        <is>
          <t>Bonus, Healthcare Plan, Travel Opportunities</t>
        </is>
      </c>
      <c r="N9385" s="8">
        <f>HYPERLINK("https://www.vietnamworks.com/truong-bo-phan-c-b-phu-trach-tien-luong-phuc-loi-hieu-suat-quan-he-lao-dong--2021150-jv","Xem chi tiết")</f>
        <v/>
      </c>
    </row>
    <row r="9386">
      <c r="B9386" s="9" t="n">
        <v>9384</v>
      </c>
      <c r="C9386" s="10" t="inlineStr">
        <is>
          <t>Trưởng Phòng Kinh Doanh Toàn Quốc</t>
        </is>
      </c>
      <c r="D9386" s="10" t="inlineStr">
        <is>
          <t>Bảo hiểm VietinBank (VBI)</t>
        </is>
      </c>
      <c r="E9386" s="10" t="inlineStr">
        <is>
          <t>Thương lượng</t>
        </is>
      </c>
      <c r="F9386" s="10" t="inlineStr">
        <is>
          <t>Hà Nội, Hồ Chí Minh</t>
        </is>
      </c>
      <c r="G9386" s="10" t="inlineStr">
        <is>
          <t>Trưởng phòng</t>
        </is>
      </c>
      <c r="H9386" s="10" t="inlineStr">
        <is>
          <t>10/03/2026</t>
        </is>
      </c>
      <c r="I9386" s="10" t="inlineStr">
        <is>
          <t>09/04/2026</t>
        </is>
      </c>
      <c r="J9386" s="10" t="inlineStr">
        <is>
          <t>17/03/2026</t>
        </is>
      </c>
      <c r="K9386" s="10" t="inlineStr">
        <is>
          <t>N/A</t>
        </is>
      </c>
      <c r="L9386" s="10" t="inlineStr">
        <is>
          <t>Quản Lý, Bảo Hiểm, Làm Việc Nhóm, Bảo Hiểm Nhân Thọ, Tài Chính</t>
        </is>
      </c>
      <c r="M9386" s="10" t="inlineStr">
        <is>
          <t>Bonus, Healthcare Plan, Paid Leave, Training, Laptop, Travel Opportunities, Others</t>
        </is>
      </c>
      <c r="N9386" s="11">
        <f>HYPERLINK("https://www.vietnamworks.com/truong-phong-kinh-doanh-toan-quoc-2021179-jv","Xem chi tiết")</f>
        <v/>
      </c>
      <c r="O9386" s="10" t="n"/>
    </row>
    <row r="9387">
      <c r="B9387" s="7" t="n">
        <v>9385</v>
      </c>
      <c r="C9387" t="inlineStr">
        <is>
          <t>Sales Kỹ Thuật (Thiết Bị Xử Lý Nước Thải)</t>
        </is>
      </c>
      <c r="D9387" t="inlineStr">
        <is>
          <t>CÔNG TY TNHH ARK VIỆT NAM</t>
        </is>
      </c>
      <c r="E9387" t="inlineStr">
        <is>
          <t>Thương lượng</t>
        </is>
      </c>
      <c r="F9387" t="inlineStr">
        <is>
          <t>Hà Nội, Hồ Chí Minh</t>
        </is>
      </c>
      <c r="G9387" t="inlineStr">
        <is>
          <t>Nhân viên</t>
        </is>
      </c>
      <c r="H9387" t="inlineStr">
        <is>
          <t>10/03/2026</t>
        </is>
      </c>
      <c r="I9387" t="inlineStr">
        <is>
          <t>09/04/2026</t>
        </is>
      </c>
      <c r="J9387" t="inlineStr">
        <is>
          <t>17/03/2026</t>
        </is>
      </c>
      <c r="K9387" t="inlineStr">
        <is>
          <t>N/A</t>
        </is>
      </c>
      <c r="L9387" t="inlineStr">
        <is>
          <t>Xử Lý Nước Thải, Máy Ép Phun, Địa Chất Môi Trường, Sales Technical, Sales &amp; Business Development</t>
        </is>
      </c>
      <c r="M9387" t="inlineStr">
        <is>
          <t>Bonus, Healthcare Plan, Training, Canteen, Others</t>
        </is>
      </c>
      <c r="N9387" s="8">
        <f>HYPERLINK("https://www.vietnamworks.com/sales-ky-thuat-thiet-bi-xu-ly-nuoc-thai-2021188-jv","Xem chi tiết")</f>
        <v/>
      </c>
    </row>
    <row r="9388">
      <c r="B9388" s="9" t="n">
        <v>9386</v>
      </c>
      <c r="C9388" s="10" t="inlineStr">
        <is>
          <t>Senior Agency Sales</t>
        </is>
      </c>
      <c r="D9388" s="10" t="inlineStr">
        <is>
          <t>ITL FREIGHT MANAGEMENT</t>
        </is>
      </c>
      <c r="E9388" s="10" t="inlineStr">
        <is>
          <t>Thương lượng</t>
        </is>
      </c>
      <c r="F9388" s="10" t="inlineStr">
        <is>
          <t>Hồ Chí Minh</t>
        </is>
      </c>
      <c r="G9388" s="10" t="inlineStr">
        <is>
          <t>Nhân viên</t>
        </is>
      </c>
      <c r="H9388" s="10" t="inlineStr">
        <is>
          <t>10/03/2026</t>
        </is>
      </c>
      <c r="I9388" s="10" t="inlineStr">
        <is>
          <t>09/04/2026</t>
        </is>
      </c>
      <c r="J9388" s="10" t="inlineStr">
        <is>
          <t>17/03/2026</t>
        </is>
      </c>
      <c r="K9388" s="10" t="inlineStr">
        <is>
          <t>N/A</t>
        </is>
      </c>
      <c r="L9388" s="10" t="inlineStr">
        <is>
          <t>Active Sales, Customer Service, Interpersonal Communication, MS Office, Teamwork</t>
        </is>
      </c>
      <c r="M9388" s="10" t="inlineStr">
        <is>
          <t>Bonus, Training, Laptop, Mobile, Others</t>
        </is>
      </c>
      <c r="N9388" s="11">
        <f>HYPERLINK("https://www.vietnamworks.com/senior-agency-sales-2021186-jv","Xem chi tiết")</f>
        <v/>
      </c>
      <c r="O9388" s="10" t="n"/>
    </row>
    <row r="9389">
      <c r="B9389" s="7" t="n">
        <v>9387</v>
      </c>
      <c r="C9389" t="inlineStr">
        <is>
          <t>02 Nhân Viên Phát Triển Sản Phẩm R&amp;D</t>
        </is>
      </c>
      <c r="D9389" t="inlineStr">
        <is>
          <t>Foster Electric (Bac Ninh) Co. Ltd</t>
        </is>
      </c>
      <c r="E9389" t="inlineStr">
        <is>
          <t>10tr-16tr ₫/tháng</t>
        </is>
      </c>
      <c r="F9389" t="inlineStr">
        <is>
          <t>Bắc Ninh, Hà Nội</t>
        </is>
      </c>
      <c r="G9389" t="inlineStr">
        <is>
          <t>Nhân viên</t>
        </is>
      </c>
      <c r="H9389" t="inlineStr">
        <is>
          <t>10/03/2026</t>
        </is>
      </c>
      <c r="I9389" t="inlineStr">
        <is>
          <t>09/04/2026</t>
        </is>
      </c>
      <c r="J9389" t="inlineStr">
        <is>
          <t>17/03/2026</t>
        </is>
      </c>
      <c r="K9389" t="inlineStr">
        <is>
          <t>N/A</t>
        </is>
      </c>
      <c r="L9389" t="inlineStr">
        <is>
          <t>Kỹ năng giao tiếp, Kỹ Thuật, Phát Triển Sản Phẩm, Thiết Kế Sản Phẩm, Tiếng Anh</t>
        </is>
      </c>
      <c r="M9389" t="inlineStr">
        <is>
          <t>Bonus, Healthcare Plan, Paid Leave, Canteen, Others</t>
        </is>
      </c>
      <c r="N9389" s="8">
        <f>HYPERLINK("https://www.vietnamworks.com/02-nhan-vien-phat-trien-san-pham-randd-2021192-jv","Xem chi tiết")</f>
        <v/>
      </c>
    </row>
    <row r="9390">
      <c r="B9390" s="9" t="n">
        <v>9388</v>
      </c>
      <c r="C9390" s="10" t="inlineStr">
        <is>
          <t>Accounting Officer (Accounts Payable / Accounts Receivable)</t>
        </is>
      </c>
      <c r="D9390" s="10" t="inlineStr">
        <is>
          <t>Công Ty TNHH NexGenus</t>
        </is>
      </c>
      <c r="E9390" s="10" t="inlineStr">
        <is>
          <t>Thương lượng</t>
        </is>
      </c>
      <c r="F9390" s="10" t="inlineStr">
        <is>
          <t>Đà Nẵng</t>
        </is>
      </c>
      <c r="G9390" s="10" t="inlineStr">
        <is>
          <t>Nhân viên</t>
        </is>
      </c>
      <c r="H9390" s="10" t="inlineStr">
        <is>
          <t>10/03/2026</t>
        </is>
      </c>
      <c r="I9390" s="10" t="inlineStr">
        <is>
          <t>09/04/2026</t>
        </is>
      </c>
      <c r="J9390" s="10" t="inlineStr">
        <is>
          <t>17/03/2026</t>
        </is>
      </c>
      <c r="K9390" s="10" t="inlineStr">
        <is>
          <t>N/A</t>
        </is>
      </c>
      <c r="L9390" s="10" t="inlineStr">
        <is>
          <t>Accounting, Attention To Detail, Communication Skills, English Communicate, responsibility</t>
        </is>
      </c>
      <c r="M9390" s="10" t="inlineStr">
        <is>
          <t>Bonus, Healthcare Plan, Paid Leave, Training, Laptop, Travel Opportunities, Team Activities, Others</t>
        </is>
      </c>
      <c r="N9390" s="11">
        <f>HYPERLINK("https://www.vietnamworks.com/accounting-officer-accounts-payable-accounts-receivable-2021171-jv","Xem chi tiết")</f>
        <v/>
      </c>
      <c r="O9390" s="10" t="n"/>
    </row>
    <row r="9391">
      <c r="B9391" s="7" t="n">
        <v>9389</v>
      </c>
      <c r="C9391" t="inlineStr">
        <is>
          <t>Phó Giám Đốc Tư Vấn Giám Sát</t>
        </is>
      </c>
      <c r="D9391" t="inlineStr">
        <is>
          <t>CÔNG TY CỔ PHẦN TẬP ĐOÀN KIM OANH</t>
        </is>
      </c>
      <c r="E9391" t="inlineStr">
        <is>
          <t>Thương lượng</t>
        </is>
      </c>
      <c r="F9391" t="inlineStr">
        <is>
          <t>Hồ Chí Minh</t>
        </is>
      </c>
      <c r="G9391" t="inlineStr">
        <is>
          <t>Giám Đốc và Cấp Cao Hơn</t>
        </is>
      </c>
      <c r="H9391" t="inlineStr">
        <is>
          <t>10/03/2026</t>
        </is>
      </c>
      <c r="I9391" t="inlineStr">
        <is>
          <t>09/04/2026</t>
        </is>
      </c>
      <c r="J9391" t="inlineStr">
        <is>
          <t>17/03/2026</t>
        </is>
      </c>
      <c r="K9391" t="inlineStr">
        <is>
          <t>N/A</t>
        </is>
      </c>
      <c r="L9391" t="inlineStr">
        <is>
          <t>Quản Lý Dự Án, Giám Sát Thi Công, Giám Sát Xây Dựng, Hạ Tầng, Xây Dựng</t>
        </is>
      </c>
      <c r="M9391" t="inlineStr">
        <is>
          <t>Others</t>
        </is>
      </c>
      <c r="N9391" s="8">
        <f>HYPERLINK("https://www.vietnamworks.com/pho-giam-djoc-tu-van-giam-sat-2021187-jv","Xem chi tiết")</f>
        <v/>
      </c>
    </row>
    <row r="9392">
      <c r="B9392" s="9" t="n">
        <v>9390</v>
      </c>
      <c r="C9392" s="10" t="inlineStr">
        <is>
          <t>Giám Đốc Bán Hàng Kênh Dự Án</t>
        </is>
      </c>
      <c r="D9392" s="10" t="inlineStr">
        <is>
          <t>Công Ty Cổ Phần Tập Đoàn Gỗ Minh Long</t>
        </is>
      </c>
      <c r="E9392" s="10" t="inlineStr">
        <is>
          <t>$$ 1,000-3,000 /tháng</t>
        </is>
      </c>
      <c r="F9392" s="10" t="inlineStr">
        <is>
          <t>Hà Nội, Hồ Chí Minh</t>
        </is>
      </c>
      <c r="G9392" s="10" t="inlineStr">
        <is>
          <t>Giám Đốc và Cấp Cao Hơn</t>
        </is>
      </c>
      <c r="H9392" s="10" t="inlineStr">
        <is>
          <t>10/03/2026</t>
        </is>
      </c>
      <c r="I9392" s="10" t="inlineStr">
        <is>
          <t>09/04/2026</t>
        </is>
      </c>
      <c r="J9392" s="10" t="inlineStr">
        <is>
          <t>17/03/2026</t>
        </is>
      </c>
      <c r="K9392" s="10" t="inlineStr">
        <is>
          <t>N/A</t>
        </is>
      </c>
      <c r="L9392" s="10" t="inlineStr">
        <is>
          <t>Sales manager, Kinh Doanh, Nội Thất, Vật liệu xây dựng, Kiến Trúc - Xây dựng</t>
        </is>
      </c>
      <c r="M9392" s="10" t="inlineStr">
        <is>
          <t>Paid Leave, Training, Library</t>
        </is>
      </c>
      <c r="N9392" s="11">
        <f>HYPERLINK("https://www.vietnamworks.com/giam-doc-ban-hang-kenh-du-an-2021189-jv","Xem chi tiết")</f>
        <v/>
      </c>
      <c r="O9392" s="10" t="n"/>
    </row>
    <row r="9393">
      <c r="B9393" s="7" t="n">
        <v>9391</v>
      </c>
      <c r="C9393" t="inlineStr">
        <is>
          <t>Chuyên Viên Truyền Thông &amp; Sự Kiện</t>
        </is>
      </c>
      <c r="D9393" t="inlineStr">
        <is>
          <t>Công Ty Cổ Phần Dược Phẩm Vĩnh Phúc</t>
        </is>
      </c>
      <c r="E9393" t="inlineStr">
        <is>
          <t>Thương lượng</t>
        </is>
      </c>
      <c r="F9393" t="inlineStr">
        <is>
          <t>Hà Nội</t>
        </is>
      </c>
      <c r="G9393" t="inlineStr">
        <is>
          <t>Nhân viên</t>
        </is>
      </c>
      <c r="H9393" t="inlineStr">
        <is>
          <t>10/03/2026</t>
        </is>
      </c>
      <c r="I9393" t="inlineStr">
        <is>
          <t>09/04/2026</t>
        </is>
      </c>
      <c r="J9393" t="inlineStr">
        <is>
          <t>17/03/2026</t>
        </is>
      </c>
      <c r="K9393" t="inlineStr">
        <is>
          <t>N/A</t>
        </is>
      </c>
      <c r="L9393" t="inlineStr">
        <is>
          <t>Tổ Chức Sự Kiện, Kỹ Năng Viết Bài, Truyền Thông Xã Hội</t>
        </is>
      </c>
      <c r="M9393" t="inlineStr">
        <is>
          <t>Bonus, Healthcare Plan, Training, Travel Opportunities, Team Activities, Others</t>
        </is>
      </c>
      <c r="N9393" s="8">
        <f>HYPERLINK("https://www.vietnamworks.com/chuyen-vien-truyen-thong-and-su-kien-2021162-jv","Xem chi tiết")</f>
        <v/>
      </c>
    </row>
    <row r="9394">
      <c r="B9394" s="9" t="n">
        <v>9392</v>
      </c>
      <c r="C9394" s="10" t="inlineStr">
        <is>
          <t>Sales Executive (work in Da Nang)</t>
        </is>
      </c>
      <c r="D9394" s="10" t="inlineStr">
        <is>
          <t>Sebang Battery Vina</t>
        </is>
      </c>
      <c r="E9394" s="10" t="inlineStr">
        <is>
          <t>Thương lượng</t>
        </is>
      </c>
      <c r="F9394" s="10" t="inlineStr">
        <is>
          <t>Đà Nẵng</t>
        </is>
      </c>
      <c r="G9394" s="10" t="inlineStr">
        <is>
          <t>Nhân viên</t>
        </is>
      </c>
      <c r="H9394" s="10" t="inlineStr">
        <is>
          <t>10/03/2026</t>
        </is>
      </c>
      <c r="I9394" s="10" t="inlineStr">
        <is>
          <t>09/04/2026</t>
        </is>
      </c>
      <c r="J9394" s="10" t="inlineStr">
        <is>
          <t>17/03/2026</t>
        </is>
      </c>
      <c r="K9394" s="10" t="inlineStr">
        <is>
          <t>N/A</t>
        </is>
      </c>
      <c r="L9394" s="10" t="inlineStr">
        <is>
          <t>Business Planning, Communication Skills, Customer Experience Management, Market Research, Sales Contract Negotiation</t>
        </is>
      </c>
      <c r="M9394" s="10" t="inlineStr">
        <is>
          <t>Bonus</t>
        </is>
      </c>
      <c r="N9394" s="11">
        <f>HYPERLINK("https://www.vietnamworks.com/sales-executive-work-in-da-nang-2021190-jv","Xem chi tiết")</f>
        <v/>
      </c>
      <c r="O9394" s="10" t="n"/>
    </row>
    <row r="9395">
      <c r="B9395" s="7" t="n">
        <v>9393</v>
      </c>
      <c r="C9395" t="inlineStr">
        <is>
          <t>Kế Toán Tổng Hợp (Mạnh Thuế)</t>
        </is>
      </c>
      <c r="D9395" t="inlineStr">
        <is>
          <t>The Vigo</t>
        </is>
      </c>
      <c r="E9395" t="inlineStr">
        <is>
          <t>Thương lượng</t>
        </is>
      </c>
      <c r="F9395" t="inlineStr">
        <is>
          <t>Hồ Chí Minh</t>
        </is>
      </c>
      <c r="G9395" t="inlineStr">
        <is>
          <t>Nhân viên</t>
        </is>
      </c>
      <c r="H9395" t="inlineStr">
        <is>
          <t>10/03/2026</t>
        </is>
      </c>
      <c r="I9395" t="inlineStr">
        <is>
          <t>09/04/2026</t>
        </is>
      </c>
      <c r="J9395" t="inlineStr">
        <is>
          <t>17/03/2026</t>
        </is>
      </c>
      <c r="K9395" t="inlineStr">
        <is>
          <t>N/A</t>
        </is>
      </c>
      <c r="L9395" t="inlineStr">
        <is>
          <t>Kế Toán Tổng Hợp, Kế Toán, Kế Toán Thuế</t>
        </is>
      </c>
      <c r="M9395" t="inlineStr">
        <is>
          <t>Bonus, Training, Team Activities</t>
        </is>
      </c>
      <c r="N9395" s="8">
        <f>HYPERLINK("https://www.vietnamworks.com/ke-toan-tong-hop-manh-thue--2021193-jv","Xem chi tiết")</f>
        <v/>
      </c>
    </row>
    <row r="9396">
      <c r="B9396" s="9" t="n">
        <v>9394</v>
      </c>
      <c r="C9396" s="10" t="inlineStr">
        <is>
          <t>Nhân Viên Kế Toán</t>
        </is>
      </c>
      <c r="D9396" s="10" t="inlineStr">
        <is>
          <t>Công Ty CP Năng Lượng Công Nghệ Vĩnh Cửu</t>
        </is>
      </c>
      <c r="E9396" s="10" t="inlineStr">
        <is>
          <t>Thương lượng</t>
        </is>
      </c>
      <c r="F9396" s="10" t="inlineStr">
        <is>
          <t>Hồ Chí Minh</t>
        </is>
      </c>
      <c r="G9396" s="10" t="inlineStr">
        <is>
          <t>Nhân viên</t>
        </is>
      </c>
      <c r="H9396" s="10" t="inlineStr">
        <is>
          <t>10/03/2026</t>
        </is>
      </c>
      <c r="I9396" s="10" t="inlineStr">
        <is>
          <t>09/04/2026</t>
        </is>
      </c>
      <c r="J9396" s="10" t="inlineStr">
        <is>
          <t>17/03/2026</t>
        </is>
      </c>
      <c r="K9396" s="10" t="inlineStr">
        <is>
          <t>N/A</t>
        </is>
      </c>
      <c r="L9396" s="10" t="inlineStr">
        <is>
          <t>Kế Toán, Hạch Toán, Quản Lý Công Nợ, Kê Khai Thuế, Accounting</t>
        </is>
      </c>
      <c r="M9396" s="10" t="inlineStr">
        <is>
          <t>Bonus, Healthcare Plan, Training, Team Activities, Others</t>
        </is>
      </c>
      <c r="N9396" s="11">
        <f>HYPERLINK("https://www.vietnamworks.com/nhan-vien-ke-toan-2021194-jv","Xem chi tiết")</f>
        <v/>
      </c>
      <c r="O9396" s="10" t="n"/>
    </row>
    <row r="9397">
      <c r="B9397" s="7" t="n">
        <v>9395</v>
      </c>
      <c r="C9397" t="inlineStr">
        <is>
          <t>Giám Đốc Kinh Doanh Thiết Bị Tiếng Trung</t>
        </is>
      </c>
      <c r="D9397" t="inlineStr">
        <is>
          <t>CÔNG TY TNHH HORIZON CONSTRUCTION DEVELOPMENT OVERSEAS (VIỆT NAM)</t>
        </is>
      </c>
      <c r="E9397" t="inlineStr">
        <is>
          <t>Tới $ 2,000 /tháng</t>
        </is>
      </c>
      <c r="F9397" t="inlineStr">
        <is>
          <t>Hà Nội, Hồ Chí Minh</t>
        </is>
      </c>
      <c r="G9397" t="inlineStr">
        <is>
          <t>Giám Đốc và Cấp Cao Hơn</t>
        </is>
      </c>
      <c r="H9397" t="inlineStr">
        <is>
          <t>10/03/2026</t>
        </is>
      </c>
      <c r="I9397" t="inlineStr">
        <is>
          <t>25/03/2026</t>
        </is>
      </c>
      <c r="J9397" t="inlineStr">
        <is>
          <t>17/03/2026</t>
        </is>
      </c>
      <c r="K9397" t="inlineStr">
        <is>
          <t>N/A</t>
        </is>
      </c>
      <c r="L9397" t="inlineStr">
        <is>
          <t>Quản Trị Kinh Doanh, Tài Chính, Quản Lý Doanh Nghiệp, Tiếng Trung, Hỗ Trợ Kinh Doanh</t>
        </is>
      </c>
      <c r="M9397" t="inlineStr">
        <is>
          <t>Bonus, Healthcare Plan, Training</t>
        </is>
      </c>
      <c r="N9397" s="8">
        <f>HYPERLINK("https://www.vietnamworks.com/giam-djoc-kinh-doanh-thiet-bi-tieng-trung-2021219-jv","Xem chi tiết")</f>
        <v/>
      </c>
    </row>
    <row r="9398">
      <c r="B9398" s="9" t="n">
        <v>9396</v>
      </c>
      <c r="C9398" s="10" t="inlineStr">
        <is>
          <t>Investment Analyst</t>
        </is>
      </c>
      <c r="D9398" s="10" t="inlineStr">
        <is>
          <t>VPĐD KB Asset Management CO., LTD Tại Việt Nam</t>
        </is>
      </c>
      <c r="E9398" s="10" t="inlineStr">
        <is>
          <t>Thương lượng</t>
        </is>
      </c>
      <c r="F9398" s="10" t="inlineStr">
        <is>
          <t>Hồ Chí Minh</t>
        </is>
      </c>
      <c r="G9398" s="10" t="inlineStr">
        <is>
          <t>Nhân viên</t>
        </is>
      </c>
      <c r="H9398" s="10" t="inlineStr">
        <is>
          <t>10/03/2026</t>
        </is>
      </c>
      <c r="I9398" s="10" t="inlineStr">
        <is>
          <t>09/04/2026</t>
        </is>
      </c>
      <c r="J9398" s="10" t="inlineStr">
        <is>
          <t>17/03/2026</t>
        </is>
      </c>
      <c r="K9398" s="10" t="inlineStr">
        <is>
          <t>N/A</t>
        </is>
      </c>
      <c r="L9398" s="10" t="inlineStr">
        <is>
          <t>Investment Management, Research, Asset Management, Securities Investment, Investment</t>
        </is>
      </c>
      <c r="M9398" s="10" t="inlineStr">
        <is>
          <t>Bonus, Healthcare Plan, Travel Opportunities</t>
        </is>
      </c>
      <c r="N9398" s="11">
        <f>HYPERLINK("https://www.vietnamworks.com/investment-analyst--2021201-jv","Xem chi tiết")</f>
        <v/>
      </c>
      <c r="O9398" s="10" t="n"/>
    </row>
    <row r="9399">
      <c r="B9399" s="7" t="n">
        <v>9397</v>
      </c>
      <c r="C9399" t="inlineStr">
        <is>
          <t>Retail Planning &amp; Policy Senior Specialist</t>
        </is>
      </c>
      <c r="D9399" t="inlineStr">
        <is>
          <t>Công Ty Cổ Phần Vàng Bạc Đá Quý Phú Nhuận (PNJ)</t>
        </is>
      </c>
      <c r="E9399" t="inlineStr">
        <is>
          <t>Thương lượng</t>
        </is>
      </c>
      <c r="F9399" t="inlineStr">
        <is>
          <t>Hồ Chí Minh</t>
        </is>
      </c>
      <c r="G9399" t="inlineStr">
        <is>
          <t>Nhân viên</t>
        </is>
      </c>
      <c r="H9399" t="inlineStr">
        <is>
          <t>10/03/2026</t>
        </is>
      </c>
      <c r="I9399" t="inlineStr">
        <is>
          <t>09/04/2026</t>
        </is>
      </c>
      <c r="J9399" t="inlineStr">
        <is>
          <t>17/03/2026</t>
        </is>
      </c>
      <c r="K9399" t="inlineStr">
        <is>
          <t>N/A</t>
        </is>
      </c>
      <c r="L9399" t="inlineStr">
        <is>
          <t>Business Analysis, Business Planning, Market Analysis, Planning, Policy Design</t>
        </is>
      </c>
      <c r="M9399" t="inlineStr">
        <is>
          <t>Bonus, Healthcare Plan, Paid Leave, Training, Laptop, Travel Opportunities, Others</t>
        </is>
      </c>
      <c r="N9399" s="8">
        <f>HYPERLINK("https://www.vietnamworks.com/retail-planning-and-policy-senior-specialist-2021199-jv","Xem chi tiết")</f>
        <v/>
      </c>
    </row>
    <row r="9400">
      <c r="B9400" s="9" t="n">
        <v>9398</v>
      </c>
      <c r="C9400" s="10" t="inlineStr">
        <is>
          <t>Kỹ Sư Cơ Khí (Thiết Bị Môi Trường)</t>
        </is>
      </c>
      <c r="D9400" s="10" t="inlineStr">
        <is>
          <t>CÔNG TY TNHH ARK VIỆT NAM</t>
        </is>
      </c>
      <c r="E9400" s="10" t="inlineStr">
        <is>
          <t>Thương lượng</t>
        </is>
      </c>
      <c r="F9400" s="10" t="inlineStr">
        <is>
          <t>Hà Nội</t>
        </is>
      </c>
      <c r="G9400" s="10" t="inlineStr">
        <is>
          <t>Nhân viên</t>
        </is>
      </c>
      <c r="H9400" s="10" t="inlineStr">
        <is>
          <t>10/03/2026</t>
        </is>
      </c>
      <c r="I9400" s="10" t="inlineStr">
        <is>
          <t>09/04/2026</t>
        </is>
      </c>
      <c r="J9400" s="10" t="inlineStr">
        <is>
          <t>17/03/2026</t>
        </is>
      </c>
      <c r="K9400" s="10" t="inlineStr">
        <is>
          <t>N/A</t>
        </is>
      </c>
      <c r="L9400" s="10" t="inlineStr">
        <is>
          <t>SolidWorks, Đọc Hiểu Bản Vẽ Kỹ Thuật, Thiết Kế Môi Trường, Kỹ sư cơ khí, HVAC System Design</t>
        </is>
      </c>
      <c r="M9400" s="10" t="inlineStr">
        <is>
          <t>Bonus, Healthcare Plan, Canteen, Others</t>
        </is>
      </c>
      <c r="N9400" s="11">
        <f>HYPERLINK("https://www.vietnamworks.com/ky-su-co-khi-thiet-bi-moi-truong-2021195-jv","Xem chi tiết")</f>
        <v/>
      </c>
      <c r="O9400" s="10" t="n"/>
    </row>
    <row r="9401">
      <c r="B9401" s="7" t="n">
        <v>9399</v>
      </c>
      <c r="C9401" t="inlineStr">
        <is>
          <t>Nhân Viên Lưu Trữ - Điều Phối</t>
        </is>
      </c>
      <c r="D9401" t="inlineStr">
        <is>
          <t>Công Ty Cổ Phần Tập Đoàn Vinacontrol</t>
        </is>
      </c>
      <c r="E9401" t="inlineStr">
        <is>
          <t>Thương lượng</t>
        </is>
      </c>
      <c r="F9401" t="inlineStr">
        <is>
          <t>Hà Nội</t>
        </is>
      </c>
      <c r="G9401" t="inlineStr">
        <is>
          <t>Mới Tốt Nghiệp</t>
        </is>
      </c>
      <c r="H9401" t="inlineStr">
        <is>
          <t>10/03/2026</t>
        </is>
      </c>
      <c r="I9401" t="inlineStr">
        <is>
          <t>09/04/2026</t>
        </is>
      </c>
      <c r="J9401" t="inlineStr">
        <is>
          <t>17/03/2026</t>
        </is>
      </c>
      <c r="K9401" t="inlineStr">
        <is>
          <t>N/A</t>
        </is>
      </c>
      <c r="L9401" t="inlineStr">
        <is>
          <t>Lưu Trữ Hồ Sơ, Quản Lý Văn Thư, Quản Trị Văn Phòng, Tin Học Văn Phòng, Luật</t>
        </is>
      </c>
      <c r="M9401" t="inlineStr">
        <is>
          <t>Bonus, Training, Others</t>
        </is>
      </c>
      <c r="N9401" s="8">
        <f>HYPERLINK("https://www.vietnamworks.com/nhan-vien-luu-tru-djieu-phoi-2021210-jv","Xem chi tiết")</f>
        <v/>
      </c>
    </row>
    <row r="9402">
      <c r="B9402" s="9" t="n">
        <v>9400</v>
      </c>
      <c r="C9402" s="10" t="inlineStr">
        <is>
          <t>Chuyên Gia Quản Trị Rủi Ro Tích Hợp, Phòng Quản Trị Rủi Ro Tích Hợp, Khối Quản Trị Rủi Ro</t>
        </is>
      </c>
      <c r="D9402" s="10" t="inlineStr">
        <is>
          <t>Ngân Hàng TMCP Đại Chúng Việt Nam</t>
        </is>
      </c>
      <c r="E9402" s="10" t="inlineStr">
        <is>
          <t>$$ 1,000-1,500 /tháng</t>
        </is>
      </c>
      <c r="F9402" s="10" t="inlineStr">
        <is>
          <t>Hà Nội</t>
        </is>
      </c>
      <c r="G9402" s="10" t="inlineStr">
        <is>
          <t>Nhân viên</t>
        </is>
      </c>
      <c r="H9402" s="10" t="inlineStr">
        <is>
          <t>10/03/2026</t>
        </is>
      </c>
      <c r="I9402" s="10" t="inlineStr">
        <is>
          <t>09/04/2026</t>
        </is>
      </c>
      <c r="J9402" s="10" t="inlineStr">
        <is>
          <t>17/03/2026</t>
        </is>
      </c>
      <c r="K9402" s="10" t="inlineStr">
        <is>
          <t>N/A</t>
        </is>
      </c>
      <c r="L9402" s="10" t="inlineStr">
        <is>
          <t>Mô Hình Rủi Ro, Tích Hợp Dữ Liệu, Basel III</t>
        </is>
      </c>
      <c r="M9402" s="10" t="inlineStr">
        <is>
          <t>Bonus, Healthcare Plan, Canteen</t>
        </is>
      </c>
      <c r="N9402" s="11">
        <f>HYPERLINK("https://www.vietnamworks.com/chuyen-gia-quan-tri-rui-ro-tich-hop-phong-quan-tri-rui-ro-tich-hop-khoi-quan-tri-rui-ro--2021198-jv","Xem chi tiết")</f>
        <v/>
      </c>
      <c r="O9402" s="10" t="n"/>
    </row>
    <row r="9403">
      <c r="B9403" s="7" t="n">
        <v>9401</v>
      </c>
      <c r="C9403" t="inlineStr">
        <is>
          <t>Nhân Viên Lao Động Tiền Lương - C&amp;B Assistant</t>
        </is>
      </c>
      <c r="D9403" t="inlineStr">
        <is>
          <t>Công Ty TNHH Dịch Vụ Tư Vấn Kinh Doanh VIVA</t>
        </is>
      </c>
      <c r="E9403" t="inlineStr">
        <is>
          <t>$$ 600-900 /tháng</t>
        </is>
      </c>
      <c r="F9403" t="inlineStr">
        <is>
          <t>Hồ Chí Minh, Hà Nội</t>
        </is>
      </c>
      <c r="G9403" t="inlineStr">
        <is>
          <t>Nhân viên</t>
        </is>
      </c>
      <c r="H9403" t="inlineStr">
        <is>
          <t>10/03/2026</t>
        </is>
      </c>
      <c r="I9403" t="inlineStr">
        <is>
          <t>09/04/2026</t>
        </is>
      </c>
      <c r="J9403" t="inlineStr">
        <is>
          <t>17/03/2026</t>
        </is>
      </c>
      <c r="K9403" t="inlineStr">
        <is>
          <t>N/A</t>
        </is>
      </c>
      <c r="L9403" t="inlineStr">
        <is>
          <t>Bảo Hiểm Lao Động, Quản Lý Lương, Lương Và Phúc Lợi, Lập Bảng Tính Lương, Soạn Hợp Đồng Lao Động</t>
        </is>
      </c>
      <c r="M9403" t="inlineStr">
        <is>
          <t>Bonus, Healthcare Plan, Awards</t>
        </is>
      </c>
      <c r="N9403" s="8">
        <f>HYPERLINK("https://www.vietnamworks.com/nhan-vien-lao-dong-tien-luong-c-b-assistant-2021221-jv","Xem chi tiết")</f>
        <v/>
      </c>
    </row>
    <row r="9404">
      <c r="B9404" s="9" t="n">
        <v>9402</v>
      </c>
      <c r="C9404" s="10" t="inlineStr">
        <is>
          <t>Kỹ Sư Điện (Electrical Engineer)</t>
        </is>
      </c>
      <c r="D9404" s="10" t="inlineStr">
        <is>
          <t>CÔNG TY TNHH ARK VIỆT NAM</t>
        </is>
      </c>
      <c r="E9404" s="10" t="inlineStr">
        <is>
          <t>Thương lượng</t>
        </is>
      </c>
      <c r="F9404" s="10" t="inlineStr">
        <is>
          <t>Hà Nội</t>
        </is>
      </c>
      <c r="G9404" s="10" t="inlineStr">
        <is>
          <t>Nhân viên</t>
        </is>
      </c>
      <c r="H9404" s="10" t="inlineStr">
        <is>
          <t>10/03/2026</t>
        </is>
      </c>
      <c r="I9404" s="10" t="inlineStr">
        <is>
          <t>09/04/2026</t>
        </is>
      </c>
      <c r="J9404" s="10" t="inlineStr">
        <is>
          <t>17/03/2026</t>
        </is>
      </c>
      <c r="K9404" s="10" t="inlineStr">
        <is>
          <t>N/A</t>
        </is>
      </c>
      <c r="L9404" s="10" t="inlineStr">
        <is>
          <t>Thiết Kế Hệ Thống Điện, Lập Trình PLC, Thiết Kế Tủ Điện, Electrical Engineer, Kỹ sử điện</t>
        </is>
      </c>
      <c r="M9404" s="10" t="inlineStr">
        <is>
          <t>Bonus, Healthcare Plan, Canteen, Others</t>
        </is>
      </c>
      <c r="N9404" s="11">
        <f>HYPERLINK("https://www.vietnamworks.com/ky-su-djien-electrical-engineer-2021204-jv","Xem chi tiết")</f>
        <v/>
      </c>
      <c r="O9404" s="10" t="n"/>
    </row>
    <row r="9405">
      <c r="B9405" s="7" t="n">
        <v>9403</v>
      </c>
      <c r="C9405" t="inlineStr">
        <is>
          <t>Nhân Viên Kỹ Thuật Phòng Đảm Bảo Chất Lượng</t>
        </is>
      </c>
      <c r="D9405" t="inlineStr">
        <is>
          <t>Công Ty TNHH OGINO Việt Nam Từ Sơn</t>
        </is>
      </c>
      <c r="E9405" t="inlineStr">
        <is>
          <t>Thương lượng</t>
        </is>
      </c>
      <c r="F9405" t="inlineStr">
        <is>
          <t>Bắc Ninh</t>
        </is>
      </c>
      <c r="G9405" t="inlineStr">
        <is>
          <t>Nhân viên</t>
        </is>
      </c>
      <c r="H9405" t="inlineStr">
        <is>
          <t>10/03/2026</t>
        </is>
      </c>
      <c r="I9405" t="inlineStr">
        <is>
          <t>09/04/2026</t>
        </is>
      </c>
      <c r="J9405" t="inlineStr">
        <is>
          <t>17/03/2026</t>
        </is>
      </c>
      <c r="K9405" t="inlineStr">
        <is>
          <t>N/A</t>
        </is>
      </c>
      <c r="L9405" t="inlineStr">
        <is>
          <t>Kiểm Tra Chất Lượng, Đọc Bản Vẽ Sản Phẩm, Lập Chương Trình, Báo Cáo Chất Lượng, QA QC</t>
        </is>
      </c>
      <c r="M9405" t="inlineStr">
        <is>
          <t>Bonus, Training, Team Activities, Others</t>
        </is>
      </c>
      <c r="N9405" s="8">
        <f>HYPERLINK("https://www.vietnamworks.com/nhan-vien-ky-thuat-phong-djam-bao-chat-luong-2021224-jv","Xem chi tiết")</f>
        <v/>
      </c>
    </row>
    <row r="9406">
      <c r="B9406" s="9" t="n">
        <v>9404</v>
      </c>
      <c r="C9406" s="10" t="inlineStr">
        <is>
          <t>Operations/Doc Logistics Staff - Nhân Viên Chứng Từ Xuất Nhập Khẩu</t>
        </is>
      </c>
      <c r="D9406" s="10" t="inlineStr">
        <is>
          <t>CÔNG TY TNHH AIR TIGER EXPRESS LOGISTICS VIỆT NAM</t>
        </is>
      </c>
      <c r="E9406" s="10" t="inlineStr">
        <is>
          <t>Thương lượng</t>
        </is>
      </c>
      <c r="F9406" s="10" t="inlineStr">
        <is>
          <t>Hồ Chí Minh, Hải Phòng</t>
        </is>
      </c>
      <c r="G9406" s="10" t="inlineStr">
        <is>
          <t>Nhân viên</t>
        </is>
      </c>
      <c r="H9406" s="10" t="inlineStr">
        <is>
          <t>10/03/2026</t>
        </is>
      </c>
      <c r="I9406" s="10" t="inlineStr">
        <is>
          <t>09/04/2026</t>
        </is>
      </c>
      <c r="J9406" s="10" t="inlineStr">
        <is>
          <t>17/03/2026</t>
        </is>
      </c>
      <c r="K9406" s="10" t="inlineStr">
        <is>
          <t>N/A</t>
        </is>
      </c>
      <c r="L9406" s="10" t="inlineStr">
        <is>
          <t>Ams/Aci Filing Process, Logistics Management, Document Management, Customer Service, English Communication</t>
        </is>
      </c>
      <c r="M9406" s="10" t="inlineStr">
        <is>
          <t>Bonus, Healthcare Plan, Training, Others</t>
        </is>
      </c>
      <c r="N9406" s="11">
        <f>HYPERLINK("https://www.vietnamworks.com/operationsdoc-logistics-staff-nhan-vien-chung-tu-xuat-nhap-khau-2021206-jv","Xem chi tiết")</f>
        <v/>
      </c>
      <c r="O9406" s="10" t="n"/>
    </row>
    <row r="9407">
      <c r="B9407" s="7" t="n">
        <v>9405</v>
      </c>
      <c r="C9407" t="inlineStr">
        <is>
          <t>Technical Manager</t>
        </is>
      </c>
      <c r="D9407" t="inlineStr">
        <is>
          <t>VIETNAM HOUSEWARES CORP</t>
        </is>
      </c>
      <c r="E9407" t="inlineStr">
        <is>
          <t>Thương lượng</t>
        </is>
      </c>
      <c r="F9407" t="inlineStr">
        <is>
          <t>Bình Dương</t>
        </is>
      </c>
      <c r="G9407" t="inlineStr">
        <is>
          <t>Nhân viên</t>
        </is>
      </c>
      <c r="H9407" t="inlineStr">
        <is>
          <t>10/03/2026</t>
        </is>
      </c>
      <c r="I9407" t="inlineStr">
        <is>
          <t>09/04/2026</t>
        </is>
      </c>
      <c r="J9407" t="inlineStr">
        <is>
          <t>17/03/2026</t>
        </is>
      </c>
      <c r="K9407" t="inlineStr">
        <is>
          <t>N/A</t>
        </is>
      </c>
      <c r="L9407" t="inlineStr">
        <is>
          <t>Technical Engineering, Product Development, Costing, Technical Drawing, AutoCAD</t>
        </is>
      </c>
      <c r="M9407" t="inlineStr">
        <is>
          <t>Awards</t>
        </is>
      </c>
      <c r="N9407" s="8">
        <f>HYPERLINK("https://www.vietnamworks.com/technical-manager-2021226-jv","Xem chi tiết")</f>
        <v/>
      </c>
    </row>
    <row r="9408">
      <c r="B9408" s="9" t="n">
        <v>9406</v>
      </c>
      <c r="C9408" s="10" t="inlineStr">
        <is>
          <t>Kế Toán Nội Bộ (Accountant)</t>
        </is>
      </c>
      <c r="D9408" s="10" t="inlineStr">
        <is>
          <t>CÔNG TY TNHH ARK VIỆT NAM</t>
        </is>
      </c>
      <c r="E9408" s="10" t="inlineStr">
        <is>
          <t>Thương lượng</t>
        </is>
      </c>
      <c r="F9408" s="10" t="inlineStr">
        <is>
          <t>Hà Nội</t>
        </is>
      </c>
      <c r="G9408" s="10" t="inlineStr">
        <is>
          <t>Nhân viên</t>
        </is>
      </c>
      <c r="H9408" s="10" t="inlineStr">
        <is>
          <t>10/03/2026</t>
        </is>
      </c>
      <c r="I9408" s="10" t="inlineStr">
        <is>
          <t>09/04/2026</t>
        </is>
      </c>
      <c r="J9408" s="10" t="inlineStr">
        <is>
          <t>17/03/2026</t>
        </is>
      </c>
      <c r="K9408" s="10" t="inlineStr">
        <is>
          <t>N/A</t>
        </is>
      </c>
      <c r="L9408" s="10" t="inlineStr">
        <is>
          <t>Kế Toán, Tài Chính, Phần mềm kế toán, Kế Toán Nội Bộ, Accouting</t>
        </is>
      </c>
      <c r="M9408" s="10" t="inlineStr">
        <is>
          <t>Bonus, Healthcare Plan, Canteen, Others</t>
        </is>
      </c>
      <c r="N9408" s="11">
        <f>HYPERLINK("https://www.vietnamworks.com/ke-toan-noi-bo-accountant-2021197-jv","Xem chi tiết")</f>
        <v/>
      </c>
      <c r="O9408" s="10" t="n"/>
    </row>
    <row r="9409">
      <c r="B9409" s="7" t="n">
        <v>9407</v>
      </c>
      <c r="C9409" t="inlineStr">
        <is>
          <t>Phân tích viên (Kỹ thuật viên) Hóa học</t>
        </is>
      </c>
      <c r="D9409" t="inlineStr">
        <is>
          <t>Công Ty Cổ Phần Tập Đoàn Vinacontrol</t>
        </is>
      </c>
      <c r="E9409" t="inlineStr">
        <is>
          <t>Thương lượng</t>
        </is>
      </c>
      <c r="F9409" t="inlineStr">
        <is>
          <t>Hà Nội</t>
        </is>
      </c>
      <c r="G9409" t="inlineStr">
        <is>
          <t>Nhân viên</t>
        </is>
      </c>
      <c r="H9409" t="inlineStr">
        <is>
          <t>10/03/2026</t>
        </is>
      </c>
      <c r="I9409" t="inlineStr">
        <is>
          <t>09/04/2026</t>
        </is>
      </c>
      <c r="J9409" t="inlineStr">
        <is>
          <t>17/03/2026</t>
        </is>
      </c>
      <c r="K9409" t="inlineStr">
        <is>
          <t>N/A</t>
        </is>
      </c>
      <c r="L9409" t="inlineStr">
        <is>
          <t>Công Nghệ Hóa Thực Phẩm, Hóa, ISO 17025, Phân Tích Mẫu, Thí nghiệm hóa học</t>
        </is>
      </c>
      <c r="M9409" t="inlineStr">
        <is>
          <t>Bonus, Training, Others</t>
        </is>
      </c>
      <c r="N9409" s="8">
        <f>HYPERLINK("https://www.vietnamworks.com/phan-tich-vien-ky-thuat-vien-hoa-hoc-2021222-jv","Xem chi tiết")</f>
        <v/>
      </c>
    </row>
    <row r="9410">
      <c r="B9410" s="9" t="n">
        <v>9408</v>
      </c>
      <c r="C9410" s="10" t="inlineStr">
        <is>
          <t>Phân tích viên (Kỹ thuật viên) Cơ lý</t>
        </is>
      </c>
      <c r="D9410" s="10" t="inlineStr">
        <is>
          <t>Công Ty Cổ Phần Tập Đoàn Vinacontrol</t>
        </is>
      </c>
      <c r="E9410" s="10" t="inlineStr">
        <is>
          <t>Thương lượng</t>
        </is>
      </c>
      <c r="F9410" s="10" t="inlineStr">
        <is>
          <t>Hà Nội</t>
        </is>
      </c>
      <c r="G9410" s="10" t="inlineStr">
        <is>
          <t>Mới Tốt Nghiệp</t>
        </is>
      </c>
      <c r="H9410" s="10" t="inlineStr">
        <is>
          <t>10/03/2026</t>
        </is>
      </c>
      <c r="I9410" s="10" t="inlineStr">
        <is>
          <t>09/04/2026</t>
        </is>
      </c>
      <c r="J9410" s="10" t="inlineStr">
        <is>
          <t>17/03/2026</t>
        </is>
      </c>
      <c r="K9410" s="10" t="inlineStr">
        <is>
          <t>N/A</t>
        </is>
      </c>
      <c r="L9410" s="10" t="inlineStr">
        <is>
          <t>Xử lý số liệu, Cơ Khí, Cơ Điện Tử, Luyện Kim, Đảm Bảo Chất Lượng</t>
        </is>
      </c>
      <c r="M9410" s="10" t="inlineStr">
        <is>
          <t>Bonus, Training, Others</t>
        </is>
      </c>
      <c r="N9410" s="11">
        <f>HYPERLINK("https://www.vietnamworks.com/phan-tich-vien-ky-thuat-vien-co-ly-2021212-jv","Xem chi tiết")</f>
        <v/>
      </c>
      <c r="O9410" s="10" t="n"/>
    </row>
    <row r="9411">
      <c r="B9411" s="7" t="n">
        <v>9409</v>
      </c>
      <c r="C9411" t="inlineStr">
        <is>
          <t>Chuyên Viên Tư Vấn Du Học Cấp Cao (Senior Education Consultant)</t>
        </is>
      </c>
      <c r="D9411" t="inlineStr">
        <is>
          <t>CÔNG TY TNHH MỘT THÀNH VIÊN GIÁO DỤC SMARTAY</t>
        </is>
      </c>
      <c r="E9411" t="inlineStr">
        <is>
          <t>Từ 17tr ₫/tháng</t>
        </is>
      </c>
      <c r="F9411" t="inlineStr">
        <is>
          <t>Hà Nội</t>
        </is>
      </c>
      <c r="G9411" t="inlineStr">
        <is>
          <t>Nhân viên</t>
        </is>
      </c>
      <c r="H9411" t="inlineStr">
        <is>
          <t>10/03/2026</t>
        </is>
      </c>
      <c r="I9411" t="inlineStr">
        <is>
          <t>09/04/2026</t>
        </is>
      </c>
      <c r="J9411" t="inlineStr">
        <is>
          <t>17/03/2026</t>
        </is>
      </c>
      <c r="K9411" t="inlineStr">
        <is>
          <t>N/A</t>
        </is>
      </c>
      <c r="L9411" t="inlineStr">
        <is>
          <t>Education Consulting, Communication Skills, Tư Vấn Du Học, Tiếng Anh, Tư Vấn Lộ Trình Học Tập</t>
        </is>
      </c>
      <c r="M9411" t="inlineStr">
        <is>
          <t>Bonus, Healthcare Plan, Paid Leave</t>
        </is>
      </c>
      <c r="N9411" s="8">
        <f>HYPERLINK("https://www.vietnamworks.com/chuyen-vien-tu-van-du-hoc-cap-cao-senior-education-consultant-2021227-jv","Xem chi tiết")</f>
        <v/>
      </c>
    </row>
    <row r="9412">
      <c r="B9412" s="9" t="n">
        <v>9410</v>
      </c>
      <c r="C9412" s="10" t="inlineStr">
        <is>
          <t>Kế Toán Thuế _ Tax And Accoutning Assistant</t>
        </is>
      </c>
      <c r="D9412" s="10" t="inlineStr">
        <is>
          <t>Công Ty TNHH Dịch Vụ Tư Vấn Kinh Doanh VIVA</t>
        </is>
      </c>
      <c r="E9412" s="10" t="inlineStr">
        <is>
          <t>$$ 500-900 /tháng</t>
        </is>
      </c>
      <c r="F9412" s="10" t="inlineStr">
        <is>
          <t>Hồ Chí Minh, Hà Nội</t>
        </is>
      </c>
      <c r="G9412" s="10" t="inlineStr">
        <is>
          <t>Nhân viên</t>
        </is>
      </c>
      <c r="H9412" s="10" t="inlineStr">
        <is>
          <t>10/03/2026</t>
        </is>
      </c>
      <c r="I9412" s="10" t="inlineStr">
        <is>
          <t>09/04/2026</t>
        </is>
      </c>
      <c r="J9412" s="10" t="inlineStr">
        <is>
          <t>17/03/2026</t>
        </is>
      </c>
      <c r="K9412" s="10" t="inlineStr">
        <is>
          <t>N/A</t>
        </is>
      </c>
      <c r="L9412" s="10" t="inlineStr">
        <is>
          <t>Thuế GTGT, TNDN, TNCN, Báo Cáo Tài Chính, Ghi Sổ Kế Toán</t>
        </is>
      </c>
      <c r="M9412" s="10" t="inlineStr">
        <is>
          <t>Bonus, Healthcare Plan, Awards</t>
        </is>
      </c>
      <c r="N9412" s="11">
        <f>HYPERLINK("https://www.vietnamworks.com/ke-toan-thue-tax-and-accoutning-assistant-2021214-jv","Xem chi tiết")</f>
        <v/>
      </c>
      <c r="O9412" s="10" t="n"/>
    </row>
    <row r="9413">
      <c r="B9413" s="7" t="n">
        <v>9411</v>
      </c>
      <c r="C9413" t="inlineStr">
        <is>
          <t>Chuyên viên Quản Lý Chất Lượng</t>
        </is>
      </c>
      <c r="D9413" t="inlineStr">
        <is>
          <t>Công Ty Cổ Phần Tập Đoàn Vinacontrol</t>
        </is>
      </c>
      <c r="E9413" t="inlineStr">
        <is>
          <t>Thương lượng</t>
        </is>
      </c>
      <c r="F9413" t="inlineStr">
        <is>
          <t>Hà Nội</t>
        </is>
      </c>
      <c r="G9413" t="inlineStr">
        <is>
          <t>Nhân viên</t>
        </is>
      </c>
      <c r="H9413" t="inlineStr">
        <is>
          <t>10/03/2026</t>
        </is>
      </c>
      <c r="I9413" t="inlineStr">
        <is>
          <t>09/04/2026</t>
        </is>
      </c>
      <c r="J9413" t="inlineStr">
        <is>
          <t>17/03/2026</t>
        </is>
      </c>
      <c r="K9413" t="inlineStr">
        <is>
          <t>N/A</t>
        </is>
      </c>
      <c r="L9413" t="inlineStr">
        <is>
          <t>Đảm Bảo Chất Lượng, Hóa Sinh, Quality Control, Quản lý chất lượng, Vi sinh</t>
        </is>
      </c>
      <c r="M9413" t="inlineStr">
        <is>
          <t>Bonus, Training, Others</t>
        </is>
      </c>
      <c r="N9413" s="8">
        <f>HYPERLINK("https://www.vietnamworks.com/chuyen-vien-quan-ly-chat-luong-2021215-jv","Xem chi tiết")</f>
        <v/>
      </c>
    </row>
    <row r="9414">
      <c r="B9414" s="9" t="n">
        <v>9412</v>
      </c>
      <c r="C9414" s="10" t="inlineStr">
        <is>
          <t>Phân tích viên (Kỹ thuật viên) Vi sinh</t>
        </is>
      </c>
      <c r="D9414" s="10" t="inlineStr">
        <is>
          <t>Công Ty Cổ Phần Tập Đoàn Vinacontrol</t>
        </is>
      </c>
      <c r="E9414" s="10" t="inlineStr">
        <is>
          <t>Thương lượng</t>
        </is>
      </c>
      <c r="F9414" s="10" t="inlineStr">
        <is>
          <t>Hà Nội</t>
        </is>
      </c>
      <c r="G9414" s="10" t="inlineStr">
        <is>
          <t>Mới Tốt Nghiệp</t>
        </is>
      </c>
      <c r="H9414" s="10" t="inlineStr">
        <is>
          <t>10/03/2026</t>
        </is>
      </c>
      <c r="I9414" s="10" t="inlineStr">
        <is>
          <t>09/04/2026</t>
        </is>
      </c>
      <c r="J9414" s="10" t="inlineStr">
        <is>
          <t>17/03/2026</t>
        </is>
      </c>
      <c r="K9414" s="10" t="inlineStr">
        <is>
          <t>N/A</t>
        </is>
      </c>
      <c r="L9414" s="10" t="inlineStr">
        <is>
          <t>Kỹ Thuật Sinh Học, sinh học, Thí Nghiệm Sinh Học, Tiếng Anh, Xử lý số liệu</t>
        </is>
      </c>
      <c r="M9414" s="10" t="inlineStr">
        <is>
          <t>Bonus, Training, Others</t>
        </is>
      </c>
      <c r="N9414" s="11">
        <f>HYPERLINK("https://www.vietnamworks.com/phan-tich-vien-ky-thuat-vien-vi-sinh-2021211-jv","Xem chi tiết")</f>
        <v/>
      </c>
      <c r="O9414" s="10" t="n"/>
    </row>
    <row r="9415">
      <c r="B9415" s="7" t="n">
        <v>9413</v>
      </c>
      <c r="C9415" t="inlineStr">
        <is>
          <t>Trợ Lý Dự Án</t>
        </is>
      </c>
      <c r="D9415" t="inlineStr">
        <is>
          <t>Sonat Game</t>
        </is>
      </c>
      <c r="E9415" t="inlineStr">
        <is>
          <t>Tới 25tr ₫/tháng</t>
        </is>
      </c>
      <c r="F9415" t="inlineStr">
        <is>
          <t>Hà Nội</t>
        </is>
      </c>
      <c r="G9415" t="inlineStr">
        <is>
          <t>Nhân viên</t>
        </is>
      </c>
      <c r="H9415" t="inlineStr">
        <is>
          <t>10/03/2026</t>
        </is>
      </c>
      <c r="I9415" t="inlineStr">
        <is>
          <t>09/04/2026</t>
        </is>
      </c>
      <c r="J9415" t="inlineStr">
        <is>
          <t>17/03/2026</t>
        </is>
      </c>
      <c r="K9415" t="inlineStr">
        <is>
          <t>N/A</t>
        </is>
      </c>
      <c r="L9415" t="inlineStr">
        <is>
          <t>Agile Scrum, Jira, Mobile Game, Phát Triển Dự Án, Quản Lý Dự Án</t>
        </is>
      </c>
      <c r="M9415" t="inlineStr">
        <is>
          <t>Bonus, Healthcare Plan, Others</t>
        </is>
      </c>
      <c r="N9415" s="8">
        <f>HYPERLINK("https://www.vietnamworks.com/tro-ly-du-an-2021216-jv","Xem chi tiết")</f>
        <v/>
      </c>
    </row>
    <row r="9416">
      <c r="B9416" s="9" t="n">
        <v>9414</v>
      </c>
      <c r="C9416" s="10" t="inlineStr">
        <is>
          <t>Kỹ Sư Thiết Kế Kết Cấu Công Trình Công Nghiệp (Thu Nhập 15–30 Triệu, Làm Tại Văn Phòng)</t>
        </is>
      </c>
      <c r="D9416" s="10" t="inlineStr">
        <is>
          <t>Công Ty Cổ Phần Đầu Tư Xây Lắp Ac</t>
        </is>
      </c>
      <c r="E9416" s="10" t="inlineStr">
        <is>
          <t>15tr-300tr ₫/năm</t>
        </is>
      </c>
      <c r="F9416" s="10" t="inlineStr">
        <is>
          <t>Hà Nội</t>
        </is>
      </c>
      <c r="G9416" s="10" t="inlineStr">
        <is>
          <t>Nhân viên</t>
        </is>
      </c>
      <c r="H9416" s="10" t="inlineStr">
        <is>
          <t>10/03/2026</t>
        </is>
      </c>
      <c r="I9416" s="10" t="inlineStr">
        <is>
          <t>09/04/2026</t>
        </is>
      </c>
      <c r="J9416" s="10" t="inlineStr">
        <is>
          <t>17/03/2026</t>
        </is>
      </c>
      <c r="K9416" s="10" t="inlineStr">
        <is>
          <t>N/A</t>
        </is>
      </c>
      <c r="L9416" s="10" t="inlineStr">
        <is>
          <t>Chủ Trì Kết Cấu, Thiết Kế Công Trình, Dự Toán Khối Lượng, Bóc Tách Khối Lượng, Kinh nghiệm làm việc</t>
        </is>
      </c>
      <c r="M9416" s="10" t="inlineStr">
        <is>
          <t>Bonus, Healthcare Plan, Travel Opportunities, Others</t>
        </is>
      </c>
      <c r="N9416" s="11">
        <f>HYPERLINK("https://www.vietnamworks.com/ky-su-thiet-ke-ket-cau-cong-trinh-cong-nghiep-thu-nhap-15-30-trieu-lam-tai-van-phong-2021223-jv","Xem chi tiết")</f>
        <v/>
      </c>
      <c r="O9416" s="10" t="n"/>
    </row>
    <row r="9417">
      <c r="B9417" s="7" t="n">
        <v>9415</v>
      </c>
      <c r="C9417" t="inlineStr">
        <is>
          <t>Sales Executive Logistics - Nhân Viên Kinh Doanh Xuất Nhập Khẩu</t>
        </is>
      </c>
      <c r="D9417" t="inlineStr">
        <is>
          <t>CÔNG TY TNHH AIR TIGER EXPRESS LOGISTICS VIỆT NAM</t>
        </is>
      </c>
      <c r="E9417" t="inlineStr">
        <is>
          <t>Thương lượng</t>
        </is>
      </c>
      <c r="F9417" t="inlineStr">
        <is>
          <t>Hải Phòng</t>
        </is>
      </c>
      <c r="G9417" t="inlineStr">
        <is>
          <t>Nhân viên</t>
        </is>
      </c>
      <c r="H9417" t="inlineStr">
        <is>
          <t>10/03/2026</t>
        </is>
      </c>
      <c r="I9417" t="inlineStr">
        <is>
          <t>09/04/2026</t>
        </is>
      </c>
      <c r="J9417" t="inlineStr">
        <is>
          <t>17/03/2026</t>
        </is>
      </c>
      <c r="K9417" t="inlineStr">
        <is>
          <t>N/A</t>
        </is>
      </c>
      <c r="L9417" t="inlineStr">
        <is>
          <t>Business Development, Consultative Approach, Channel Relationship Management, Communication Skills, Logistics</t>
        </is>
      </c>
      <c r="M9417" t="inlineStr">
        <is>
          <t>Bonus, Training, Team Activities, Others</t>
        </is>
      </c>
      <c r="N9417" s="8">
        <f>HYPERLINK("https://www.vietnamworks.com/sales-executive-logistics-nhan-vien-kinh-doanh-xuat-nhap-khau-2021209-jv","Xem chi tiết")</f>
        <v/>
      </c>
    </row>
    <row r="9418">
      <c r="B9418" s="9" t="n">
        <v>9416</v>
      </c>
      <c r="C9418" s="10" t="inlineStr">
        <is>
          <t>Kiến Trúc Sư (Architect/ Interior Designer)</t>
        </is>
      </c>
      <c r="D9418" s="10" t="inlineStr">
        <is>
          <t>Studio8 Viet Nam</t>
        </is>
      </c>
      <c r="E9418" s="10" t="inlineStr">
        <is>
          <t>Thương lượng</t>
        </is>
      </c>
      <c r="F9418" s="10" t="inlineStr">
        <is>
          <t>Hà Nội, Hồ Chí Minh</t>
        </is>
      </c>
      <c r="G9418" s="10" t="inlineStr">
        <is>
          <t>Nhân viên</t>
        </is>
      </c>
      <c r="H9418" s="10" t="inlineStr">
        <is>
          <t>10/03/2026</t>
        </is>
      </c>
      <c r="I9418" s="10" t="inlineStr">
        <is>
          <t>09/04/2026</t>
        </is>
      </c>
      <c r="J9418" s="10" t="inlineStr">
        <is>
          <t>17/03/2026</t>
        </is>
      </c>
      <c r="K9418" s="10" t="inlineStr">
        <is>
          <t>N/A</t>
        </is>
      </c>
      <c r="L9418" s="10" t="inlineStr">
        <is>
          <t>AutoCAD, Thiết Kế Nội Thất, Sketchup, Photoshop, 3D Max</t>
        </is>
      </c>
      <c r="M9418" s="10" t="inlineStr">
        <is>
          <t>Bonus, Paid Leave, Travel Opportunities</t>
        </is>
      </c>
      <c r="N9418" s="11">
        <f>HYPERLINK("https://www.vietnamworks.com/kien-truc-su-architect-interior-designer--2021207-jv","Xem chi tiết")</f>
        <v/>
      </c>
      <c r="O9418" s="10" t="n"/>
    </row>
    <row r="9419">
      <c r="B9419" s="7" t="n">
        <v>9417</v>
      </c>
      <c r="C9419" t="inlineStr">
        <is>
          <t>Trưởng Phòng Quản Lý Thiết Kế</t>
        </is>
      </c>
      <c r="D9419" t="inlineStr">
        <is>
          <t>CÔNG TY CỔ PHẦN TẬP ĐOÀN KIM OANH</t>
        </is>
      </c>
      <c r="E9419" t="inlineStr">
        <is>
          <t>Thương lượng</t>
        </is>
      </c>
      <c r="F9419" t="inlineStr">
        <is>
          <t>Hồ Chí Minh</t>
        </is>
      </c>
      <c r="G9419" t="inlineStr">
        <is>
          <t>Giám Đốc và Cấp Cao Hơn</t>
        </is>
      </c>
      <c r="H9419" t="inlineStr">
        <is>
          <t>10/03/2026</t>
        </is>
      </c>
      <c r="I9419" t="inlineStr">
        <is>
          <t>09/04/2026</t>
        </is>
      </c>
      <c r="J9419" t="inlineStr">
        <is>
          <t>17/03/2026</t>
        </is>
      </c>
      <c r="K9419" t="inlineStr">
        <is>
          <t>N/A</t>
        </is>
      </c>
      <c r="L9419" t="inlineStr">
        <is>
          <t>Quản Lý Thiết Kế Kết Cấu, AutoCAD, BIM, Construction Drawings, MEP</t>
        </is>
      </c>
      <c r="M9419" t="inlineStr">
        <is>
          <t>Others</t>
        </is>
      </c>
      <c r="N9419" s="8">
        <f>HYPERLINK("https://www.vietnamworks.com/truong-phong-quan-ly-thiet-ke-2021218-jv","Xem chi tiết")</f>
        <v/>
      </c>
    </row>
    <row r="9420">
      <c r="B9420" s="9" t="n">
        <v>9418</v>
      </c>
      <c r="C9420" s="10" t="inlineStr">
        <is>
          <t>Kế Toán Tổng Hợp (Associate Consultant)</t>
        </is>
      </c>
      <c r="D9420" s="10" t="inlineStr">
        <is>
          <t>Công Ty TNHH Eagle One Enterprise</t>
        </is>
      </c>
      <c r="E9420" s="10" t="inlineStr">
        <is>
          <t>Thương lượng</t>
        </is>
      </c>
      <c r="F9420" s="10" t="inlineStr">
        <is>
          <t>Hà Nội, Hồ Chí Minh</t>
        </is>
      </c>
      <c r="G9420" s="10" t="inlineStr">
        <is>
          <t>Nhân viên</t>
        </is>
      </c>
      <c r="H9420" s="10" t="inlineStr">
        <is>
          <t>10/03/2026</t>
        </is>
      </c>
      <c r="I9420" s="10" t="inlineStr">
        <is>
          <t>09/04/2026</t>
        </is>
      </c>
      <c r="J9420" s="10" t="inlineStr">
        <is>
          <t>17/03/2026</t>
        </is>
      </c>
      <c r="K9420" s="10" t="inlineStr">
        <is>
          <t>N/A</t>
        </is>
      </c>
      <c r="L9420" s="10" t="inlineStr">
        <is>
          <t>Kế Toán, Kiểm Toán, Tư Vấn Tài Chính, Phân Tích Rủi Ro, Business English</t>
        </is>
      </c>
      <c r="M9420" s="10" t="inlineStr">
        <is>
          <t>Healthcare Plan, Training, Others</t>
        </is>
      </c>
      <c r="N9420" s="11">
        <f>HYPERLINK("https://www.vietnamworks.com/ke-toan-tong-hop-associate-consultant-2021200-jv","Xem chi tiết")</f>
        <v/>
      </c>
      <c r="O9420" s="10" t="n"/>
    </row>
    <row r="9421">
      <c r="B9421" s="7" t="n">
        <v>9419</v>
      </c>
      <c r="C9421" t="inlineStr">
        <is>
          <t>Vietnamese Lawyer - Shin &amp; Kim Vietnam</t>
        </is>
      </c>
      <c r="D9421" t="inlineStr">
        <is>
          <t>Shin &amp; Kim (Vietnam) Limited Liability Law Company</t>
        </is>
      </c>
      <c r="E9421" t="inlineStr">
        <is>
          <t>Thương lượng</t>
        </is>
      </c>
      <c r="F9421" t="inlineStr">
        <is>
          <t>Hồ Chí Minh</t>
        </is>
      </c>
      <c r="G9421" t="inlineStr">
        <is>
          <t>Nhân viên</t>
        </is>
      </c>
      <c r="H9421" t="inlineStr">
        <is>
          <t>10/03/2026</t>
        </is>
      </c>
      <c r="I9421" t="inlineStr">
        <is>
          <t>09/04/2026</t>
        </is>
      </c>
      <c r="J9421" t="inlineStr">
        <is>
          <t>17/03/2026</t>
        </is>
      </c>
      <c r="K9421" t="inlineStr">
        <is>
          <t>N/A</t>
        </is>
      </c>
      <c r="L9421" t="inlineStr">
        <is>
          <t>Legal Research, Documentation Compliance, Legal Due Diligence, Luật Sư, Corporate Lawyer</t>
        </is>
      </c>
      <c r="M9421" t="inlineStr">
        <is>
          <t>Bonus, Healthcare Plan, Training</t>
        </is>
      </c>
      <c r="N9421" s="8">
        <f>HYPERLINK("https://www.vietnamworks.com/vietnamese-lawyer-shin-and-kim-vietnam-2021230-jv","Xem chi tiết")</f>
        <v/>
      </c>
    </row>
    <row r="9422">
      <c r="B9422" s="9" t="n">
        <v>9420</v>
      </c>
      <c r="C9422" s="10" t="inlineStr">
        <is>
          <t>Southeast Asia Operations Director</t>
        </is>
      </c>
      <c r="D9422" s="10" t="inlineStr">
        <is>
          <t>Easyspeed Global Forwarding (Vietnam) CO., LTD.</t>
        </is>
      </c>
      <c r="E9422" s="10" t="inlineStr">
        <is>
          <t>Thương lượng</t>
        </is>
      </c>
      <c r="F9422" s="10" t="inlineStr">
        <is>
          <t>Hồ Chí Minh</t>
        </is>
      </c>
      <c r="G9422" s="10" t="inlineStr">
        <is>
          <t>Giám Đốc và Cấp Cao Hơn</t>
        </is>
      </c>
      <c r="H9422" s="10" t="inlineStr">
        <is>
          <t>10/03/2026</t>
        </is>
      </c>
      <c r="I9422" s="10" t="inlineStr">
        <is>
          <t>09/04/2026</t>
        </is>
      </c>
      <c r="J9422" s="10" t="inlineStr">
        <is>
          <t>17/03/2026</t>
        </is>
      </c>
      <c r="K9422" s="10" t="inlineStr">
        <is>
          <t>N/A</t>
        </is>
      </c>
      <c r="L9422" s="10" t="inlineStr">
        <is>
          <t>Air Freight Logistics, Customs Clearance, Global Freight, P&amp;L Management, Stakeholder Management</t>
        </is>
      </c>
      <c r="M9422" s="10" t="inlineStr">
        <is>
          <t>Bonus, Paid Leave, Laptop, Travel Opportunities, Transportation</t>
        </is>
      </c>
      <c r="N9422" s="11">
        <f>HYPERLINK("https://www.vietnamworks.com/southeast-asia-operations-director-2021234-jv","Xem chi tiết")</f>
        <v/>
      </c>
      <c r="O9422" s="10" t="n"/>
    </row>
    <row r="9423">
      <c r="B9423" s="7" t="n">
        <v>9421</v>
      </c>
      <c r="C9423" t="inlineStr">
        <is>
          <t>[Hai Phong] Automation Engineer (18,000,000 VND - 25,000,000 VND) - không yêu cầu kinh nghiệm</t>
        </is>
      </c>
      <c r="D9423" t="inlineStr">
        <is>
          <t>KEYENCE CORPORATION</t>
        </is>
      </c>
      <c r="E9423" t="inlineStr">
        <is>
          <t>18tr-25tr ₫/tháng</t>
        </is>
      </c>
      <c r="F9423" t="inlineStr">
        <is>
          <t>Hải Phòng</t>
        </is>
      </c>
      <c r="G9423" t="inlineStr">
        <is>
          <t>Mới Tốt Nghiệp</t>
        </is>
      </c>
      <c r="H9423" t="inlineStr">
        <is>
          <t>10/03/2026</t>
        </is>
      </c>
      <c r="I9423" t="inlineStr">
        <is>
          <t>09/04/2026</t>
        </is>
      </c>
      <c r="J9423" t="inlineStr">
        <is>
          <t>17/03/2026</t>
        </is>
      </c>
      <c r="K9423" t="inlineStr">
        <is>
          <t>N/A</t>
        </is>
      </c>
      <c r="L9423" t="inlineStr">
        <is>
          <t>Excellent English, Fluent Communication Skills, Positive Attitude, Bachelor’s Degree</t>
        </is>
      </c>
      <c r="M9423" t="inlineStr">
        <is>
          <t>Bonus, Healthcare Plan, Training, Laptop, Others</t>
        </is>
      </c>
      <c r="N9423" s="8">
        <f>HYPERLINK("https://www.vietnamworks.com/hai-phong-automation-engineer-18000000-vnd-25000000-vnd-khong-yeu-cau-kinh-nghiem-2021235-jv","Xem chi tiết")</f>
        <v/>
      </c>
    </row>
    <row r="9424">
      <c r="B9424" s="9" t="n">
        <v>9422</v>
      </c>
      <c r="C9424" s="10" t="inlineStr">
        <is>
          <t>Sales Engineer (18,000,000 VND - 25,000,000 VND) Ưu Tiên Ứng Viên Mới Tốt Nghiệp</t>
        </is>
      </c>
      <c r="D9424" s="10" t="inlineStr">
        <is>
          <t>KEYENCE CORPORATION</t>
        </is>
      </c>
      <c r="E9424" s="10" t="inlineStr">
        <is>
          <t>18tr-25tr ₫/tháng</t>
        </is>
      </c>
      <c r="F9424" s="10" t="inlineStr">
        <is>
          <t>Hà Nội, Hồ Chí Minh</t>
        </is>
      </c>
      <c r="G9424" s="10" t="inlineStr">
        <is>
          <t>Mới Tốt Nghiệp</t>
        </is>
      </c>
      <c r="H9424" s="10" t="inlineStr">
        <is>
          <t>10/03/2026</t>
        </is>
      </c>
      <c r="I9424" s="10" t="inlineStr">
        <is>
          <t>09/04/2026</t>
        </is>
      </c>
      <c r="J9424" s="10" t="inlineStr">
        <is>
          <t>17/03/2026</t>
        </is>
      </c>
      <c r="K9424" s="10" t="inlineStr">
        <is>
          <t>N/A</t>
        </is>
      </c>
      <c r="L9424" s="10" t="inlineStr">
        <is>
          <t>Excellent English, Fluent Communication Skills, Bachelor’s Degree, Chinese</t>
        </is>
      </c>
      <c r="M9424" s="10" t="inlineStr">
        <is>
          <t>Bonus, Healthcare Plan, Training, Laptop, Others</t>
        </is>
      </c>
      <c r="N9424" s="11">
        <f>HYPERLINK("https://www.vietnamworks.com/sales-engineer-18-000-000-vnd-25-000-000-vnd-uu-tien-ung-vien-moi-tot-nghiep-2021233-jv","Xem chi tiết")</f>
        <v/>
      </c>
      <c r="O9424" s="10" t="n"/>
    </row>
    <row r="9425">
      <c r="B9425" s="7" t="n">
        <v>9423</v>
      </c>
      <c r="C9425" t="inlineStr">
        <is>
          <t>Chuyên Gia Quan Hệ Khách Hàng Doanh Nghiệp</t>
        </is>
      </c>
      <c r="D9425" t="inlineStr">
        <is>
          <t>Techcombank</t>
        </is>
      </c>
      <c r="E9425" t="inlineStr">
        <is>
          <t>Thương lượng</t>
        </is>
      </c>
      <c r="F9425" t="inlineStr">
        <is>
          <t>Hà Nội</t>
        </is>
      </c>
      <c r="G9425" t="inlineStr">
        <is>
          <t>Nhân viên</t>
        </is>
      </c>
      <c r="H9425" t="inlineStr">
        <is>
          <t>10/03/2026</t>
        </is>
      </c>
      <c r="I9425" t="inlineStr">
        <is>
          <t>09/04/2026</t>
        </is>
      </c>
      <c r="J9425" t="inlineStr">
        <is>
          <t>17/03/2026</t>
        </is>
      </c>
      <c r="K9425" t="inlineStr">
        <is>
          <t>N/A</t>
        </is>
      </c>
      <c r="L9425" t="inlineStr">
        <is>
          <t>Khách Hàng Doanh Nghiệp, Quản Lý Quan Hệ Khách Hàng, Thống Kê Phân Tích, Tìm Hiểu Thị Trường, Tư Vấn Tài Chính</t>
        </is>
      </c>
      <c r="M9425" t="inlineStr">
        <is>
          <t>Bonus</t>
        </is>
      </c>
      <c r="N9425" s="8">
        <f>HYPERLINK("https://www.vietnamworks.com/chuyen-gia-quan-he-khach-hang-doanh-nghiep-2021247-jv","Xem chi tiết")</f>
        <v/>
      </c>
    </row>
    <row r="9426">
      <c r="B9426" s="9" t="n">
        <v>9424</v>
      </c>
      <c r="C9426" s="10" t="inlineStr">
        <is>
          <t>Accounting Manager</t>
        </is>
      </c>
      <c r="D9426" s="10" t="inlineStr">
        <is>
          <t>Công ty TNHH Seojin Auto</t>
        </is>
      </c>
      <c r="E9426" s="10" t="inlineStr">
        <is>
          <t>Thương lượng</t>
        </is>
      </c>
      <c r="F9426" s="10" t="inlineStr">
        <is>
          <t>Bắc Ninh, Hà Nội</t>
        </is>
      </c>
      <c r="G9426" s="10" t="inlineStr">
        <is>
          <t>Trưởng phòng</t>
        </is>
      </c>
      <c r="H9426" s="10" t="inlineStr">
        <is>
          <t>10/03/2026</t>
        </is>
      </c>
      <c r="I9426" s="10" t="inlineStr">
        <is>
          <t>09/04/2026</t>
        </is>
      </c>
      <c r="J9426" s="10" t="inlineStr">
        <is>
          <t>17/03/2026</t>
        </is>
      </c>
      <c r="K9426" s="10" t="inlineStr">
        <is>
          <t>N/A</t>
        </is>
      </c>
      <c r="L9426" s="10" t="inlineStr">
        <is>
          <t>Accounting Standards, Financial Analysis, Tax Report, Consolidated Return, English Communication</t>
        </is>
      </c>
      <c r="M9426" s="10" t="inlineStr">
        <is>
          <t>Bonus, Healthcare Plan, Others</t>
        </is>
      </c>
      <c r="N9426" s="11">
        <f>HYPERLINK("https://www.vietnamworks.com/accounting-manager-2021252-jv","Xem chi tiết")</f>
        <v/>
      </c>
      <c r="O9426" s="10" t="n"/>
    </row>
    <row r="9427">
      <c r="B9427" s="7" t="n">
        <v>9425</v>
      </c>
      <c r="C9427" t="inlineStr">
        <is>
          <t>Senior Project Coordinator (E-Commerce / Retails, Up-To 25 Months of Annually Salary)</t>
        </is>
      </c>
      <c r="D9427" t="inlineStr">
        <is>
          <t>Crossian Việt Nam</t>
        </is>
      </c>
      <c r="E9427" t="inlineStr">
        <is>
          <t>Thương lượng</t>
        </is>
      </c>
      <c r="F9427" t="inlineStr">
        <is>
          <t>Hà Nội</t>
        </is>
      </c>
      <c r="G9427" t="inlineStr">
        <is>
          <t>Nhân viên</t>
        </is>
      </c>
      <c r="H9427" t="inlineStr">
        <is>
          <t>10/03/2026</t>
        </is>
      </c>
      <c r="I9427" t="inlineStr">
        <is>
          <t>09/04/2026</t>
        </is>
      </c>
      <c r="J9427" t="inlineStr">
        <is>
          <t>17/03/2026</t>
        </is>
      </c>
      <c r="K9427" t="inlineStr">
        <is>
          <t>N/A</t>
        </is>
      </c>
      <c r="L9427" t="inlineStr">
        <is>
          <t>Business Administration, Project Management, Scrum Master, Project Coordination, English</t>
        </is>
      </c>
      <c r="M9427" t="inlineStr">
        <is>
          <t>Bonus, Training, Team Activities</t>
        </is>
      </c>
      <c r="N9427" s="8">
        <f>HYPERLINK("https://www.vietnamworks.com/senior-project-coordinator-e-commerce-retails-up-to-25-months-of-annually-salary-2021232-jv","Xem chi tiết")</f>
        <v/>
      </c>
    </row>
    <row r="9428">
      <c r="B9428" s="9" t="n">
        <v>9426</v>
      </c>
      <c r="C9428" s="10" t="inlineStr">
        <is>
          <t>Kế Toán Trưởng</t>
        </is>
      </c>
      <c r="D9428" s="10" t="inlineStr">
        <is>
          <t>RSI  - CÔNG TY TNHH MAY CAO CẤP VIỆT HÀO</t>
        </is>
      </c>
      <c r="E9428" s="10" t="inlineStr">
        <is>
          <t>Từ $ 1,000 /tháng</t>
        </is>
      </c>
      <c r="F9428" s="10" t="inlineStr">
        <is>
          <t>Hưng Yên</t>
        </is>
      </c>
      <c r="G9428" s="10" t="inlineStr">
        <is>
          <t>Trưởng phòng</t>
        </is>
      </c>
      <c r="H9428" s="10" t="inlineStr">
        <is>
          <t>10/03/2026</t>
        </is>
      </c>
      <c r="I9428" s="10" t="inlineStr">
        <is>
          <t>09/04/2026</t>
        </is>
      </c>
      <c r="J9428" s="10" t="inlineStr">
        <is>
          <t>17/03/2026</t>
        </is>
      </c>
      <c r="K9428" s="10" t="inlineStr">
        <is>
          <t>N/A</t>
        </is>
      </c>
      <c r="L9428" s="10" t="inlineStr">
        <is>
          <t>Báo Cáo Kế Toán, Báo Cáo Tài Chính, Hạch Toán, Lập Hồ Sơ Hoàn Thuế, Quản Lý Ngân Sách</t>
        </is>
      </c>
      <c r="M9428" s="10" t="inlineStr">
        <is>
          <t>Bonus, Healthcare Plan, Canteen, Others</t>
        </is>
      </c>
      <c r="N9428" s="11">
        <f>HYPERLINK("https://www.vietnamworks.com/ke-toan-truong-2021231-jv","Xem chi tiết")</f>
        <v/>
      </c>
      <c r="O9428" s="10" t="n"/>
    </row>
    <row r="9429">
      <c r="B9429" s="7" t="n">
        <v>9427</v>
      </c>
      <c r="C9429" t="inlineStr">
        <is>
          <t>Expert, Underwriting (Techcom Life)</t>
        </is>
      </c>
      <c r="D9429" t="inlineStr">
        <is>
          <t>Techcombank</t>
        </is>
      </c>
      <c r="E9429" t="inlineStr">
        <is>
          <t>Thương lượng</t>
        </is>
      </c>
      <c r="F9429" t="inlineStr">
        <is>
          <t>Hà Nội</t>
        </is>
      </c>
      <c r="G9429" t="inlineStr">
        <is>
          <t>Nhân viên</t>
        </is>
      </c>
      <c r="H9429" t="inlineStr">
        <is>
          <t>10/03/2026</t>
        </is>
      </c>
      <c r="I9429" t="inlineStr">
        <is>
          <t>09/04/2026</t>
        </is>
      </c>
      <c r="J9429" t="inlineStr">
        <is>
          <t>17/03/2026</t>
        </is>
      </c>
      <c r="K9429" t="inlineStr">
        <is>
          <t>N/A</t>
        </is>
      </c>
      <c r="L9429" t="inlineStr">
        <is>
          <t>Insurance Underwriting, Risk Management, Banking &amp; Finance, Medicine Knowledge, Insurance</t>
        </is>
      </c>
      <c r="M9429" t="inlineStr">
        <is>
          <t>Bonus, Healthcare Plan</t>
        </is>
      </c>
      <c r="N9429" s="8">
        <f>HYPERLINK("https://www.vietnamworks.com/expert-underwriting-techcom-life-2021243-jv","Xem chi tiết")</f>
        <v/>
      </c>
    </row>
    <row r="9430">
      <c r="B9430" s="9" t="n">
        <v>9428</v>
      </c>
      <c r="C9430" s="10" t="inlineStr">
        <is>
          <t>MCT - Line Leader( Tổ Trưởng Sản Xuất)</t>
        </is>
      </c>
      <c r="D9430" s="10" t="inlineStr">
        <is>
          <t>Công ty TNHH Elentec Việt Nam</t>
        </is>
      </c>
      <c r="E9430" s="10" t="inlineStr">
        <is>
          <t>Thương lượng</t>
        </is>
      </c>
      <c r="F9430" s="10" t="inlineStr">
        <is>
          <t>Hà Nội</t>
        </is>
      </c>
      <c r="G9430" s="10" t="inlineStr">
        <is>
          <t>Nhân viên</t>
        </is>
      </c>
      <c r="H9430" s="10" t="inlineStr">
        <is>
          <t>10/03/2026</t>
        </is>
      </c>
      <c r="I9430" s="10" t="inlineStr">
        <is>
          <t>09/04/2026</t>
        </is>
      </c>
      <c r="J9430" s="10" t="inlineStr">
        <is>
          <t>17/03/2026</t>
        </is>
      </c>
      <c r="K9430" s="10" t="inlineStr">
        <is>
          <t>N/A</t>
        </is>
      </c>
      <c r="L9430" s="10" t="inlineStr">
        <is>
          <t>Production supervision, Quality Control, manufacturing, 5S, Production Line Management</t>
        </is>
      </c>
      <c r="M9430" s="10" t="inlineStr">
        <is>
          <t>Bonus, Transportation, Canteen</t>
        </is>
      </c>
      <c r="N9430" s="11">
        <f>HYPERLINK("https://www.vietnamworks.com/mct-line-leader-to-truong-san-xuat-2021251-jv","Xem chi tiết")</f>
        <v/>
      </c>
      <c r="O9430" s="10" t="n"/>
    </row>
    <row r="9431">
      <c r="B9431" s="7" t="n">
        <v>9429</v>
      </c>
      <c r="C9431" t="inlineStr">
        <is>
          <t>Senior Enterprise Architect</t>
        </is>
      </c>
      <c r="D9431" t="inlineStr">
        <is>
          <t>Techcombank</t>
        </is>
      </c>
      <c r="E9431" t="inlineStr">
        <is>
          <t>Thương lượng</t>
        </is>
      </c>
      <c r="F9431" t="inlineStr">
        <is>
          <t>Hà Nội</t>
        </is>
      </c>
      <c r="G9431" t="inlineStr">
        <is>
          <t>Nhân viên</t>
        </is>
      </c>
      <c r="H9431" t="inlineStr">
        <is>
          <t>10/03/2026</t>
        </is>
      </c>
      <c r="I9431" t="inlineStr">
        <is>
          <t>09/04/2026</t>
        </is>
      </c>
      <c r="J9431" t="inlineStr">
        <is>
          <t>17/03/2026</t>
        </is>
      </c>
      <c r="K9431" t="inlineStr">
        <is>
          <t>N/A</t>
        </is>
      </c>
      <c r="L9431" t="inlineStr">
        <is>
          <t>Information Security, Banking System, BPM, Payment Management System, Solution Architecture</t>
        </is>
      </c>
      <c r="M9431" t="inlineStr">
        <is>
          <t>Training, Others</t>
        </is>
      </c>
      <c r="N9431" s="8">
        <f>HYPERLINK("https://www.vietnamworks.com/senior-enterprise-architect-2021244-jv","Xem chi tiết")</f>
        <v/>
      </c>
    </row>
    <row r="9432">
      <c r="B9432" s="9" t="n">
        <v>9430</v>
      </c>
      <c r="C9432" s="10" t="inlineStr">
        <is>
          <t>Chuyên Viên Cao Cấp Khách Hàng Cá Nhân (Bình Dương, Đồng Nai, Tây Ninh, Bình Phước)</t>
        </is>
      </c>
      <c r="D9432" s="10" t="inlineStr">
        <is>
          <t>Techcombank</t>
        </is>
      </c>
      <c r="E9432" s="10" t="inlineStr">
        <is>
          <t>Thương lượng</t>
        </is>
      </c>
      <c r="F9432" s="10" t="inlineStr">
        <is>
          <t>Tây Ninh, Bình Dương, Đồng Nai</t>
        </is>
      </c>
      <c r="G9432" s="10" t="inlineStr">
        <is>
          <t>Nhân viên</t>
        </is>
      </c>
      <c r="H9432" s="10" t="inlineStr">
        <is>
          <t>10/03/2026</t>
        </is>
      </c>
      <c r="I9432" s="10" t="inlineStr">
        <is>
          <t>09/04/2026</t>
        </is>
      </c>
      <c r="J9432" s="10" t="inlineStr">
        <is>
          <t>17/03/2026</t>
        </is>
      </c>
      <c r="K9432" s="10" t="inlineStr">
        <is>
          <t>N/A</t>
        </is>
      </c>
      <c r="L9432" s="10" t="inlineStr">
        <is>
          <t>Thẩm Định Tín Dụng, Quản Lý Rủi Ro Tín Dụng, Tài Chính Ngân Hàng, Bán hàng, Khách Hàng Cá Nhân</t>
        </is>
      </c>
      <c r="M9432" s="10" t="inlineStr">
        <is>
          <t>Training, Others</t>
        </is>
      </c>
      <c r="N9432" s="11">
        <f>HYPERLINK("https://www.vietnamworks.com/chuyen-vien-cao-cap-khach-hang-ca-nhan-binh-duong-djong-nai-tay-ninh-binh-phuoc-2021240-jv","Xem chi tiết")</f>
        <v/>
      </c>
      <c r="O9432" s="10" t="n"/>
    </row>
    <row r="9433">
      <c r="B9433" s="7" t="n">
        <v>9431</v>
      </c>
      <c r="C9433" t="inlineStr">
        <is>
          <t>Kế Toán Viên (1-3 Năm Kinh Nghiệm)</t>
        </is>
      </c>
      <c r="D9433" t="inlineStr">
        <is>
          <t>Công Ty TNHH Kiểm Toán Và Kế Toán TND</t>
        </is>
      </c>
      <c r="E9433" t="inlineStr">
        <is>
          <t>Tới 15tr ₫/tháng</t>
        </is>
      </c>
      <c r="F9433" t="inlineStr">
        <is>
          <t>Hồ Chí Minh</t>
        </is>
      </c>
      <c r="G9433" t="inlineStr">
        <is>
          <t>Nhân viên</t>
        </is>
      </c>
      <c r="H9433" t="inlineStr">
        <is>
          <t>10/03/2026</t>
        </is>
      </c>
      <c r="I9433" t="inlineStr">
        <is>
          <t>09/04/2026</t>
        </is>
      </c>
      <c r="J9433" t="inlineStr">
        <is>
          <t>17/03/2026</t>
        </is>
      </c>
      <c r="K9433" t="inlineStr">
        <is>
          <t>N/A</t>
        </is>
      </c>
      <c r="L9433" t="inlineStr">
        <is>
          <t>Kế Toán, Tài Chính, Kiểm Toán, Chứng Từ Hóa Đơn, Hạch Toán</t>
        </is>
      </c>
      <c r="M9433" t="inlineStr">
        <is>
          <t>Bonus, Healthcare Plan, Training</t>
        </is>
      </c>
      <c r="N9433" s="8">
        <f>HYPERLINK("https://www.vietnamworks.com/ke-toan-vien-1-3-nam-kinh-nghiem-2021250-jv","Xem chi tiết")</f>
        <v/>
      </c>
    </row>
    <row r="9434">
      <c r="B9434" s="9" t="n">
        <v>9432</v>
      </c>
      <c r="C9434" s="10" t="inlineStr">
        <is>
          <t>Expert, Collateral Management</t>
        </is>
      </c>
      <c r="D9434" s="10" t="inlineStr">
        <is>
          <t>Techcombank</t>
        </is>
      </c>
      <c r="E9434" s="10" t="inlineStr">
        <is>
          <t>Thương lượng</t>
        </is>
      </c>
      <c r="F9434" s="10" t="inlineStr">
        <is>
          <t>N/A</t>
        </is>
      </c>
      <c r="G9434" s="10" t="inlineStr">
        <is>
          <t>Nhân viên</t>
        </is>
      </c>
      <c r="H9434" s="10" t="inlineStr">
        <is>
          <t>10/03/2026</t>
        </is>
      </c>
      <c r="I9434" s="10" t="inlineStr">
        <is>
          <t>09/04/2026</t>
        </is>
      </c>
      <c r="J9434" s="10" t="inlineStr">
        <is>
          <t>17/03/2026</t>
        </is>
      </c>
      <c r="K9434" s="10" t="inlineStr">
        <is>
          <t>N/A</t>
        </is>
      </c>
      <c r="L9434" s="10" t="inlineStr">
        <is>
          <t>Risk Management, Banking, Collateral, Management, Valuation</t>
        </is>
      </c>
      <c r="M9434" s="10" t="inlineStr">
        <is>
          <t>Bonus, Training, Others</t>
        </is>
      </c>
      <c r="N9434" s="11">
        <f>HYPERLINK("https://www.vietnamworks.com/expert-collateral-management-2021239-jv","Xem chi tiết")</f>
        <v/>
      </c>
      <c r="O9434" s="10" t="n"/>
    </row>
    <row r="9435">
      <c r="B9435" s="7" t="n">
        <v>9433</v>
      </c>
      <c r="C9435" t="inlineStr">
        <is>
          <t>Expert, Solution Development</t>
        </is>
      </c>
      <c r="D9435" t="inlineStr">
        <is>
          <t>Techcombank</t>
        </is>
      </c>
      <c r="E9435" t="inlineStr">
        <is>
          <t>Thương lượng</t>
        </is>
      </c>
      <c r="F9435" t="inlineStr">
        <is>
          <t>Hà Nội</t>
        </is>
      </c>
      <c r="G9435" t="inlineStr">
        <is>
          <t>Nhân viên</t>
        </is>
      </c>
      <c r="H9435" t="inlineStr">
        <is>
          <t>10/03/2026</t>
        </is>
      </c>
      <c r="I9435" t="inlineStr">
        <is>
          <t>09/04/2026</t>
        </is>
      </c>
      <c r="J9435" t="inlineStr">
        <is>
          <t>17/03/2026</t>
        </is>
      </c>
      <c r="K9435" t="inlineStr">
        <is>
          <t>N/A</t>
        </is>
      </c>
      <c r="L9435" t="inlineStr">
        <is>
          <t>Data Analytics, Change Management, Financial Technology Solutions, Technology Integration</t>
        </is>
      </c>
      <c r="M9435" t="inlineStr">
        <is>
          <t>Bonus, Healthcare Plan</t>
        </is>
      </c>
      <c r="N9435" s="8">
        <f>HYPERLINK("https://www.vietnamworks.com/expert-solution-development-2021249-jv","Xem chi tiết")</f>
        <v/>
      </c>
    </row>
    <row r="9436">
      <c r="B9436" s="9" t="n">
        <v>9434</v>
      </c>
      <c r="C9436" s="10" t="inlineStr">
        <is>
          <t>Senior Commercial (Procurement / Purchasing) Executive | 5+ Years</t>
        </is>
      </c>
      <c r="D9436" s="10" t="inlineStr">
        <is>
          <t>Primewood Corporation (Vietnam)</t>
        </is>
      </c>
      <c r="E9436" s="10" t="inlineStr">
        <is>
          <t>Thương lượng</t>
        </is>
      </c>
      <c r="F9436" s="10" t="inlineStr">
        <is>
          <t>Bà Rịa - Vũng Tàu</t>
        </is>
      </c>
      <c r="G9436" s="10" t="inlineStr">
        <is>
          <t>Nhân viên</t>
        </is>
      </c>
      <c r="H9436" s="10" t="inlineStr">
        <is>
          <t>10/03/2026</t>
        </is>
      </c>
      <c r="I9436" s="10" t="inlineStr">
        <is>
          <t>09/04/2026</t>
        </is>
      </c>
      <c r="J9436" s="10" t="inlineStr">
        <is>
          <t>17/03/2026</t>
        </is>
      </c>
      <c r="K9436" s="10" t="inlineStr">
        <is>
          <t>N/A</t>
        </is>
      </c>
      <c r="L9436" s="10" t="inlineStr">
        <is>
          <t>Market Intelligent, Procurement, Strategic Sourcing, Supplier Management, Contract Negotiation</t>
        </is>
      </c>
      <c r="M9436" s="10" t="inlineStr">
        <is>
          <t>Bonus, Healthcare Plan, Paid Leave</t>
        </is>
      </c>
      <c r="N9436" s="11">
        <f>HYPERLINK("https://www.vietnamworks.com/senior-commercial-procurement-purchasing-executive-5-years--2021202-jv","Xem chi tiết")</f>
        <v/>
      </c>
      <c r="O9436" s="10" t="n"/>
    </row>
    <row r="9437">
      <c r="B9437" s="7" t="n">
        <v>9435</v>
      </c>
      <c r="C9437" t="inlineStr">
        <is>
          <t>Expert, Operational Service Efficiency Monitoring</t>
        </is>
      </c>
      <c r="D9437" t="inlineStr">
        <is>
          <t>Techcombank</t>
        </is>
      </c>
      <c r="E9437" t="inlineStr">
        <is>
          <t>Thương lượng</t>
        </is>
      </c>
      <c r="F9437" t="inlineStr">
        <is>
          <t>Hà Nội</t>
        </is>
      </c>
      <c r="G9437" t="inlineStr">
        <is>
          <t>Nhân viên</t>
        </is>
      </c>
      <c r="H9437" t="inlineStr">
        <is>
          <t>10/03/2026</t>
        </is>
      </c>
      <c r="I9437" t="inlineStr">
        <is>
          <t>09/04/2026</t>
        </is>
      </c>
      <c r="J9437" t="inlineStr">
        <is>
          <t>17/03/2026</t>
        </is>
      </c>
      <c r="K9437" t="inlineStr">
        <is>
          <t>N/A</t>
        </is>
      </c>
      <c r="L9437" t="inlineStr">
        <is>
          <t>BI Tools, Data Analysis, Data Modeling, SQL, Python</t>
        </is>
      </c>
      <c r="M9437" t="inlineStr">
        <is>
          <t>Bonus, Training, Others</t>
        </is>
      </c>
      <c r="N9437" s="8">
        <f>HYPERLINK("https://www.vietnamworks.com/expert-operational-service-efficiency-monitoring-2021241-jv","Xem chi tiết")</f>
        <v/>
      </c>
    </row>
    <row r="9438">
      <c r="B9438" s="9" t="n">
        <v>9436</v>
      </c>
      <c r="C9438" s="10" t="inlineStr">
        <is>
          <t>Expert, Policy Services (Techcom Life)</t>
        </is>
      </c>
      <c r="D9438" s="10" t="inlineStr">
        <is>
          <t>Techcombank</t>
        </is>
      </c>
      <c r="E9438" s="10" t="inlineStr">
        <is>
          <t>Thương lượng</t>
        </is>
      </c>
      <c r="F9438" s="10" t="inlineStr">
        <is>
          <t>Hà Nội</t>
        </is>
      </c>
      <c r="G9438" s="10" t="inlineStr">
        <is>
          <t>Nhân viên</t>
        </is>
      </c>
      <c r="H9438" s="10" t="inlineStr">
        <is>
          <t>10/03/2026</t>
        </is>
      </c>
      <c r="I9438" s="10" t="inlineStr">
        <is>
          <t>09/04/2026</t>
        </is>
      </c>
      <c r="J9438" s="10" t="inlineStr">
        <is>
          <t>17/03/2026</t>
        </is>
      </c>
      <c r="K9438" s="10" t="inlineStr">
        <is>
          <t>N/A</t>
        </is>
      </c>
      <c r="L9438" s="10" t="inlineStr">
        <is>
          <t>Insurance Business Law, Policy Enhancements, Situation Analysis, Banking &amp; Finance, Life Insurance Operation</t>
        </is>
      </c>
      <c r="M9438" s="10" t="inlineStr">
        <is>
          <t>Bonus, Healthcare Plan</t>
        </is>
      </c>
      <c r="N9438" s="11">
        <f>HYPERLINK("https://www.vietnamworks.com/expert-policy-services-techcom-life-2021248-jv","Xem chi tiết")</f>
        <v/>
      </c>
      <c r="O9438" s="10" t="n"/>
    </row>
    <row r="9439">
      <c r="B9439" s="7" t="n">
        <v>9437</v>
      </c>
      <c r="C9439" t="inlineStr">
        <is>
          <t>Giám Đốc Điều Hành Hệ Thống Cấp Nước Khu Công Nghiệp</t>
        </is>
      </c>
      <c r="D9439" t="inlineStr">
        <is>
          <t>CÔNG TY TNHH AN LÂM'S BROTHERS</t>
        </is>
      </c>
      <c r="E9439" t="inlineStr">
        <is>
          <t>Thương lượng</t>
        </is>
      </c>
      <c r="F9439" t="inlineStr">
        <is>
          <t>Hà Nội</t>
        </is>
      </c>
      <c r="G9439" t="inlineStr">
        <is>
          <t>Giám Đốc và Cấp Cao Hơn</t>
        </is>
      </c>
      <c r="H9439" t="inlineStr">
        <is>
          <t>10/03/2026</t>
        </is>
      </c>
      <c r="I9439" t="inlineStr">
        <is>
          <t>09/04/2026</t>
        </is>
      </c>
      <c r="J9439" t="inlineStr">
        <is>
          <t>17/03/2026</t>
        </is>
      </c>
      <c r="K9439" t="inlineStr">
        <is>
          <t>N/A</t>
        </is>
      </c>
      <c r="L9439" t="inlineStr">
        <is>
          <t>Quản Lý Vận Hành Kỹ Thuật, Cấp Thoát Nước, Hạ Tầng, Môi Trường, Thiết Kế Cấp Thoát Nước</t>
        </is>
      </c>
      <c r="M9439" t="inlineStr">
        <is>
          <t>Bonus, Travel Opportunities, Others</t>
        </is>
      </c>
      <c r="N9439" s="8">
        <f>HYPERLINK("https://www.vietnamworks.com/giam-doc-dieu-hanh-he-thong-cap-nuoc-khu-cong-nghiep-2021253-jv","Xem chi tiết")</f>
        <v/>
      </c>
    </row>
    <row r="9440">
      <c r="B9440" s="9" t="n">
        <v>9438</v>
      </c>
      <c r="C9440" s="10" t="inlineStr">
        <is>
          <t>Chuyên Viên Cao Cấp Quản Lý Quan Hệ Khách Hàng Ưu Tiên - PRM (Bình Dương, Đồng Nai, Bình Phước)</t>
        </is>
      </c>
      <c r="D9440" s="10" t="inlineStr">
        <is>
          <t>Techcombank</t>
        </is>
      </c>
      <c r="E9440" s="10" t="inlineStr">
        <is>
          <t>Thương lượng</t>
        </is>
      </c>
      <c r="F9440" s="10" t="inlineStr">
        <is>
          <t>Bình Dương, Đồng Nai, Bình Phước</t>
        </is>
      </c>
      <c r="G9440" s="10" t="inlineStr">
        <is>
          <t>Nhân viên</t>
        </is>
      </c>
      <c r="H9440" s="10" t="inlineStr">
        <is>
          <t>10/03/2026</t>
        </is>
      </c>
      <c r="I9440" s="10" t="inlineStr">
        <is>
          <t>09/04/2026</t>
        </is>
      </c>
      <c r="J9440" s="10" t="inlineStr">
        <is>
          <t>17/03/2026</t>
        </is>
      </c>
      <c r="K9440" s="10" t="inlineStr">
        <is>
          <t>N/A</t>
        </is>
      </c>
      <c r="L9440" s="10" t="inlineStr">
        <is>
          <t>Quản Lý Danh Mục Khách Hàng, Chăm Sóc Khách Hàng, Quản Lý Quan Hệ Khách Hàng, Kinh Doanh, Bán hàng</t>
        </is>
      </c>
      <c r="M9440" s="10" t="inlineStr">
        <is>
          <t>Bonus, Training, Others</t>
        </is>
      </c>
      <c r="N9440" s="11">
        <f>HYPERLINK("https://www.vietnamworks.com/chuyen-vien-cao-cap-quan-ly-quan-he-khach-hang-uu-tien-prm-binh-duong-dong-nai-binh-phuoc--2021237-jv","Xem chi tiết")</f>
        <v/>
      </c>
      <c r="O9440" s="10" t="n"/>
    </row>
    <row r="9441">
      <c r="B9441" s="7" t="n">
        <v>9439</v>
      </c>
      <c r="C9441" t="inlineStr">
        <is>
          <t>[ Urgent Job] Chuyên Viên Quản Lý Kỹ Thuật - Kết Cấu Công Trình</t>
        </is>
      </c>
      <c r="D9441" t="inlineStr">
        <is>
          <t>Công Ty Cổ Phần Đầu Tư Bất Động Sản Taseco</t>
        </is>
      </c>
      <c r="E9441" t="inlineStr">
        <is>
          <t>Thương lượng</t>
        </is>
      </c>
      <c r="F9441" t="inlineStr">
        <is>
          <t>Hà Nội</t>
        </is>
      </c>
      <c r="G9441" t="inlineStr">
        <is>
          <t>Nhân viên</t>
        </is>
      </c>
      <c r="H9441" t="inlineStr">
        <is>
          <t>10/03/2026</t>
        </is>
      </c>
      <c r="I9441" t="inlineStr">
        <is>
          <t>09/04/2026</t>
        </is>
      </c>
      <c r="J9441" t="inlineStr">
        <is>
          <t>17/03/2026</t>
        </is>
      </c>
      <c r="K9441" t="inlineStr">
        <is>
          <t>N/A</t>
        </is>
      </c>
      <c r="L9441" t="inlineStr">
        <is>
          <t>Kết Cấu Công Trình, Kiến Trúc, Quản Lý Dự Án, Thiết Kế Kết Cấu, Xây Dựng</t>
        </is>
      </c>
      <c r="M9441" t="inlineStr">
        <is>
          <t>Healthcare Plan, Training, Awards, Others</t>
        </is>
      </c>
      <c r="N9441" s="8">
        <f>HYPERLINK("https://www.vietnamworks.com/urgent-job-chuyen-vien-quan-ly-ky-thuat-ket-cau-cong-trinh-2021254-jv","Xem chi tiết")</f>
        <v/>
      </c>
    </row>
    <row r="9442">
      <c r="B9442" s="9" t="n">
        <v>9440</v>
      </c>
      <c r="C9442" s="10" t="inlineStr">
        <is>
          <t>Trưởng Phòng Hành Chính Nhân Sự (Khánh Hòa)</t>
        </is>
      </c>
      <c r="D9442" s="10" t="inlineStr">
        <is>
          <t>Vietnamworks' Client</t>
        </is>
      </c>
      <c r="E9442" s="10" t="inlineStr">
        <is>
          <t>Thương lượng</t>
        </is>
      </c>
      <c r="F9442" s="10" t="inlineStr">
        <is>
          <t>Khánh Hòa</t>
        </is>
      </c>
      <c r="G9442" s="10" t="inlineStr">
        <is>
          <t>Trưởng phòng</t>
        </is>
      </c>
      <c r="H9442" s="10" t="inlineStr">
        <is>
          <t>10/03/2026</t>
        </is>
      </c>
      <c r="I9442" s="10" t="inlineStr">
        <is>
          <t>09/04/2026</t>
        </is>
      </c>
      <c r="J9442" s="10" t="inlineStr">
        <is>
          <t>17/03/2026</t>
        </is>
      </c>
      <c r="K9442" s="10" t="inlineStr">
        <is>
          <t>N/A</t>
        </is>
      </c>
      <c r="L9442" s="10" t="inlineStr">
        <is>
          <t>Nhân Sự, Quản Trị Nhân Sự, Tuyển Dụng, Nhân Sự Tổng Hợp, Nhân sự - HR</t>
        </is>
      </c>
      <c r="M9442" s="10" t="inlineStr">
        <is>
          <t>Bonus</t>
        </is>
      </c>
      <c r="N9442" s="11">
        <f>HYPERLINK("https://www.vietnamworks.com/truong-phong-hanh-chinh-nhan-su-khanh-hoa--2021258-jv","Xem chi tiết")</f>
        <v/>
      </c>
      <c r="O9442" s="10" t="n"/>
    </row>
    <row r="9443">
      <c r="B9443" s="7" t="n">
        <v>9441</v>
      </c>
      <c r="C9443" t="inlineStr">
        <is>
          <t>Giáo Viên Mầm Non - Không Yêu Cầu Kinh Nghiệm - Thu Nhập Tới 13 Triệu</t>
        </is>
      </c>
      <c r="D9443" t="inlineStr">
        <is>
          <t>CÔNG TY TNHH PHÁT TRIỂN HỖ TRỢ GIÁO DỤC LAB</t>
        </is>
      </c>
      <c r="E9443" t="inlineStr">
        <is>
          <t>8tr-20tr ₫/tháng</t>
        </is>
      </c>
      <c r="F9443" t="inlineStr">
        <is>
          <t>Hồ Chí Minh</t>
        </is>
      </c>
      <c r="G9443" t="inlineStr">
        <is>
          <t>Mới Tốt Nghiệp</t>
        </is>
      </c>
      <c r="H9443" t="inlineStr">
        <is>
          <t>10/03/2026</t>
        </is>
      </c>
      <c r="I9443" t="inlineStr">
        <is>
          <t>09/04/2026</t>
        </is>
      </c>
      <c r="J9443" t="inlineStr">
        <is>
          <t>17/03/2026</t>
        </is>
      </c>
      <c r="K9443" t="inlineStr">
        <is>
          <t>N/A</t>
        </is>
      </c>
      <c r="L9443" t="inlineStr">
        <is>
          <t>Giáo Dục Mầm Non, giáo viên toán, Giáo Viên Mầm Non, Giáo Dục, Early Childhood Education</t>
        </is>
      </c>
      <c r="M9443" t="inlineStr">
        <is>
          <t>Bonus, Healthcare Plan, Training, Awards, Travel Opportunities, Canteen, Others</t>
        </is>
      </c>
      <c r="N9443" s="8">
        <f>HYPERLINK("https://www.vietnamworks.com/giao-vien-mam-non-khong-yeu-cau-kinh-nghiem-thu-nhap-toi-13-trieu-2021263-jv","Xem chi tiết")</f>
        <v/>
      </c>
    </row>
    <row r="9444">
      <c r="B9444" s="9" t="n">
        <v>9442</v>
      </c>
      <c r="C9444" s="10" t="inlineStr">
        <is>
          <t>CNC – CNC Technician (Kỹ Thuật Viên CNC)</t>
        </is>
      </c>
      <c r="D9444" s="10" t="inlineStr">
        <is>
          <t>Công ty TNHH Elentec Việt Nam</t>
        </is>
      </c>
      <c r="E9444" s="10" t="inlineStr">
        <is>
          <t>Thương lượng</t>
        </is>
      </c>
      <c r="F9444" s="10" t="inlineStr">
        <is>
          <t>Hà Nội</t>
        </is>
      </c>
      <c r="G9444" s="10" t="inlineStr">
        <is>
          <t>Nhân viên</t>
        </is>
      </c>
      <c r="H9444" s="10" t="inlineStr">
        <is>
          <t>10/03/2026</t>
        </is>
      </c>
      <c r="I9444" s="10" t="inlineStr">
        <is>
          <t>09/04/2026</t>
        </is>
      </c>
      <c r="J9444" s="10" t="inlineStr">
        <is>
          <t>17/03/2026</t>
        </is>
      </c>
      <c r="K9444" s="10" t="inlineStr">
        <is>
          <t>N/A</t>
        </is>
      </c>
      <c r="L9444" s="10" t="inlineStr">
        <is>
          <t>Cơ Khí, Kỹ Thuật Khuôn Đúc Nhựa, Maintenance, Fanuc Machines, Cơ Điện Tử</t>
        </is>
      </c>
      <c r="M9444" s="10" t="inlineStr">
        <is>
          <t>Bonus, Transportation, Canteen</t>
        </is>
      </c>
      <c r="N9444" s="11">
        <f>HYPERLINK("https://www.vietnamworks.com/cnc-cnc-technician-ky-thuat-vien-cnc-2021259-jv","Xem chi tiết")</f>
        <v/>
      </c>
      <c r="O9444" s="10" t="n"/>
    </row>
    <row r="9445">
      <c r="B9445" s="7" t="n">
        <v>9443</v>
      </c>
      <c r="C9445" t="inlineStr">
        <is>
          <t>[QA/QC] Quản Lý Chất Lượng Mảng Gia Vị Thực Phẩm - Icfood HCM</t>
        </is>
      </c>
      <c r="D9445" t="inlineStr">
        <is>
          <t>ICFOOD Việt Nam - Nhà máy gia vị</t>
        </is>
      </c>
      <c r="E9445" t="inlineStr">
        <is>
          <t>$$ 500-1,000 /tháng</t>
        </is>
      </c>
      <c r="F9445" t="inlineStr">
        <is>
          <t>Hồ Chí Minh</t>
        </is>
      </c>
      <c r="G9445" t="inlineStr">
        <is>
          <t>Nhân viên</t>
        </is>
      </c>
      <c r="H9445" t="inlineStr">
        <is>
          <t>10/03/2026</t>
        </is>
      </c>
      <c r="I9445" t="inlineStr">
        <is>
          <t>09/04/2026</t>
        </is>
      </c>
      <c r="J9445" t="inlineStr">
        <is>
          <t>17/03/2026</t>
        </is>
      </c>
      <c r="K9445" t="inlineStr">
        <is>
          <t>N/A</t>
        </is>
      </c>
      <c r="L9445" t="inlineStr">
        <is>
          <t>Công Nghệ Thực Phẩm, ISO 22000, QC, Quản Lý Chất Lượng, HACCP</t>
        </is>
      </c>
      <c r="M9445" t="inlineStr">
        <is>
          <t>Bonus, Healthcare Plan, Training</t>
        </is>
      </c>
      <c r="N9445" s="8">
        <f>HYPERLINK("https://www.vietnamworks.com/qa-qc-quan-ly-chat-luong-mang-gia-vi-thuc-pham-icfood-hcm--2021278-jv","Xem chi tiết")</f>
        <v/>
      </c>
    </row>
    <row r="9446">
      <c r="B9446" s="9" t="n">
        <v>9444</v>
      </c>
      <c r="C9446" s="10" t="inlineStr">
        <is>
          <t>Phát Triển AI - Topk (Kinh Nghiệm 3 Năm)</t>
        </is>
      </c>
      <c r="D9446" s="10" t="inlineStr">
        <is>
          <t>CÔNG TY TRÁCH NHIỆM HỮU HẠN TOP ENGINEERING VINA</t>
        </is>
      </c>
      <c r="E9446" s="10" t="inlineStr">
        <is>
          <t>Thương lượng</t>
        </is>
      </c>
      <c r="F9446" s="10" t="inlineStr">
        <is>
          <t>Vĩnh Phúc, Hà Nội</t>
        </is>
      </c>
      <c r="G9446" s="10" t="inlineStr">
        <is>
          <t>Nhân viên</t>
        </is>
      </c>
      <c r="H9446" s="10" t="inlineStr">
        <is>
          <t>10/03/2026</t>
        </is>
      </c>
      <c r="I9446" s="10" t="inlineStr">
        <is>
          <t>09/04/2026</t>
        </is>
      </c>
      <c r="J9446" s="10" t="inlineStr">
        <is>
          <t>17/03/2026</t>
        </is>
      </c>
      <c r="K9446" s="10" t="inlineStr">
        <is>
          <t>N/A</t>
        </is>
      </c>
      <c r="L9446" s="10" t="inlineStr">
        <is>
          <t>Deep Learning, Python Programming, TensorFlow, Machine Vision</t>
        </is>
      </c>
      <c r="M9446" s="10" t="inlineStr">
        <is>
          <t>Bonus, Healthcare Plan, Training</t>
        </is>
      </c>
      <c r="N9446" s="11">
        <f>HYPERLINK("https://www.vietnamworks.com/phat-trien-ai-topk-kinh-nghiem-3-nam-2021268-jv","Xem chi tiết")</f>
        <v/>
      </c>
      <c r="O9446" s="10" t="n"/>
    </row>
    <row r="9447">
      <c r="B9447" s="7" t="n">
        <v>9445</v>
      </c>
      <c r="C9447" t="inlineStr">
        <is>
          <t>Kế Toán Trưởng - Ưu Tiên Nam- Lương Upto 25Tr/Tháng</t>
        </is>
      </c>
      <c r="D9447" t="inlineStr">
        <is>
          <t>Công ty cổ phần đầu tư Newland</t>
        </is>
      </c>
      <c r="E9447" t="inlineStr">
        <is>
          <t>15tr-25tr ₫/tháng</t>
        </is>
      </c>
      <c r="F9447" t="inlineStr">
        <is>
          <t>Hải Dương, Hà Nội</t>
        </is>
      </c>
      <c r="G9447" t="inlineStr">
        <is>
          <t>Nhân viên</t>
        </is>
      </c>
      <c r="H9447" t="inlineStr">
        <is>
          <t>10/03/2026</t>
        </is>
      </c>
      <c r="I9447" t="inlineStr">
        <is>
          <t>09/04/2026</t>
        </is>
      </c>
      <c r="J9447" t="inlineStr">
        <is>
          <t>17/03/2026</t>
        </is>
      </c>
      <c r="K9447" t="inlineStr">
        <is>
          <t>N/A</t>
        </is>
      </c>
      <c r="L9447" t="inlineStr">
        <is>
          <t>Kế Toán, Phân tích dữ liệu, Phần mềm kế toán, Làm Việc Nhóm, Trách nhiệm</t>
        </is>
      </c>
      <c r="M9447" t="inlineStr">
        <is>
          <t>Bonus, Healthcare Plan, Paid Leave, Team Activities, Others</t>
        </is>
      </c>
      <c r="N9447" s="8">
        <f>HYPERLINK("https://www.vietnamworks.com/ke-toan-truong-uu-tien-nam-luong-upto-25trthang-2021261-jv","Xem chi tiết")</f>
        <v/>
      </c>
    </row>
    <row r="9448">
      <c r="B9448" s="9" t="n">
        <v>9446</v>
      </c>
      <c r="C9448" s="10" t="inlineStr">
        <is>
          <t>Procurement/ Material Staff (Delivery/ Import Planning/ Development)</t>
        </is>
      </c>
      <c r="D9448" s="10" t="inlineStr">
        <is>
          <t>LG Electronics Việt Nam Hải Phòng</t>
        </is>
      </c>
      <c r="E9448" s="10" t="inlineStr">
        <is>
          <t>Thương lượng</t>
        </is>
      </c>
      <c r="F9448" s="10" t="inlineStr">
        <is>
          <t>Hải Phòng</t>
        </is>
      </c>
      <c r="G9448" s="10" t="inlineStr">
        <is>
          <t>Nhân viên</t>
        </is>
      </c>
      <c r="H9448" s="10" t="inlineStr">
        <is>
          <t>10/03/2026</t>
        </is>
      </c>
      <c r="I9448" s="10" t="inlineStr">
        <is>
          <t>09/04/2026</t>
        </is>
      </c>
      <c r="J9448" s="10" t="inlineStr">
        <is>
          <t>17/03/2026</t>
        </is>
      </c>
      <c r="K9448" s="10" t="inlineStr">
        <is>
          <t>N/A</t>
        </is>
      </c>
      <c r="L9448" s="10" t="inlineStr">
        <is>
          <t>Logistic, Inventory, Import planning, Material, Procurement</t>
        </is>
      </c>
      <c r="M9448" s="10" t="inlineStr">
        <is>
          <t>Bonus, Paid Leave, Transportation</t>
        </is>
      </c>
      <c r="N9448" s="11">
        <f>HYPERLINK("https://www.vietnamworks.com/procurement-material-staff-delivery-import-planning-development-2021266-jv","Xem chi tiết")</f>
        <v/>
      </c>
      <c r="O9448" s="10" t="n"/>
    </row>
    <row r="9449">
      <c r="B9449" s="7" t="n">
        <v>9447</v>
      </c>
      <c r="C9449" t="inlineStr">
        <is>
          <t>Kế Toán Giá Thành</t>
        </is>
      </c>
      <c r="D9449" t="inlineStr">
        <is>
          <t>Công ty TNHH Seojin Auto</t>
        </is>
      </c>
      <c r="E9449" t="inlineStr">
        <is>
          <t>Thương lượng</t>
        </is>
      </c>
      <c r="F9449" t="inlineStr">
        <is>
          <t>Bắc Ninh, Hà Nội</t>
        </is>
      </c>
      <c r="G9449" t="inlineStr">
        <is>
          <t>Nhân viên</t>
        </is>
      </c>
      <c r="H9449" t="inlineStr">
        <is>
          <t>10/03/2026</t>
        </is>
      </c>
      <c r="I9449" t="inlineStr">
        <is>
          <t>09/04/2026</t>
        </is>
      </c>
      <c r="J9449" t="inlineStr">
        <is>
          <t>17/03/2026</t>
        </is>
      </c>
      <c r="K9449" t="inlineStr">
        <is>
          <t>N/A</t>
        </is>
      </c>
      <c r="L9449" t="inlineStr">
        <is>
          <t>Kế Toán, Tổng Hợp Phân Tích, Phần mềm kế toán, Tin Học Văn Phòng, Giao Tiếp</t>
        </is>
      </c>
      <c r="M9449" t="inlineStr">
        <is>
          <t>Bonus, Healthcare Plan, Others</t>
        </is>
      </c>
      <c r="N9449" s="8">
        <f>HYPERLINK("https://www.vietnamworks.com/ke-toan-gia-thanh-2021264-jv","Xem chi tiết")</f>
        <v/>
      </c>
    </row>
    <row r="9450">
      <c r="B9450" s="9" t="n">
        <v>9448</v>
      </c>
      <c r="C9450" s="10" t="inlineStr">
        <is>
          <t>Expert, Retail &amp; Small Business Banking Risk Policy and Strategy</t>
        </is>
      </c>
      <c r="D9450" s="10" t="inlineStr">
        <is>
          <t>Techcombank</t>
        </is>
      </c>
      <c r="E9450" s="10" t="inlineStr">
        <is>
          <t>Thương lượng</t>
        </is>
      </c>
      <c r="F9450" s="10" t="inlineStr">
        <is>
          <t>N/A</t>
        </is>
      </c>
      <c r="G9450" s="10" t="inlineStr">
        <is>
          <t>Nhân viên</t>
        </is>
      </c>
      <c r="H9450" s="10" t="inlineStr">
        <is>
          <t>10/03/2026</t>
        </is>
      </c>
      <c r="I9450" s="10" t="inlineStr">
        <is>
          <t>09/04/2026</t>
        </is>
      </c>
      <c r="J9450" s="10" t="inlineStr">
        <is>
          <t>17/03/2026</t>
        </is>
      </c>
      <c r="K9450" s="10" t="inlineStr">
        <is>
          <t>N/A</t>
        </is>
      </c>
      <c r="L9450" s="10" t="inlineStr">
        <is>
          <t>Risk Management, Credit Risk, Policy Development, Banking, Finance</t>
        </is>
      </c>
      <c r="M9450" s="10" t="inlineStr">
        <is>
          <t>Bonus, Training, Others</t>
        </is>
      </c>
      <c r="N9450" s="11">
        <f>HYPERLINK("https://www.vietnamworks.com/expert-retail-and-small-business-banking-risk-policy-and-strategy-2021269-jv","Xem chi tiết")</f>
        <v/>
      </c>
      <c r="O9450" s="10" t="n"/>
    </row>
    <row r="9451">
      <c r="B9451" s="7" t="n">
        <v>9449</v>
      </c>
      <c r="C9451" t="inlineStr">
        <is>
          <t>Nhân Viên Kho</t>
        </is>
      </c>
      <c r="D9451" t="inlineStr">
        <is>
          <t>INOAC Vietnam CO., LTD.</t>
        </is>
      </c>
      <c r="E9451" t="inlineStr">
        <is>
          <t>Thương lượng</t>
        </is>
      </c>
      <c r="F9451" t="inlineStr">
        <is>
          <t>Hà Nội</t>
        </is>
      </c>
      <c r="G9451" t="inlineStr">
        <is>
          <t>Nhân viên</t>
        </is>
      </c>
      <c r="H9451" t="inlineStr">
        <is>
          <t>10/03/2026</t>
        </is>
      </c>
      <c r="I9451" t="inlineStr">
        <is>
          <t>09/04/2026</t>
        </is>
      </c>
      <c r="J9451" t="inlineStr">
        <is>
          <t>17/03/2026</t>
        </is>
      </c>
      <c r="K9451" t="inlineStr">
        <is>
          <t>N/A</t>
        </is>
      </c>
      <c r="L9451" t="inlineStr">
        <is>
          <t>Warehouse Management, Kho Vận, Quản Lý Kho Hàng Hóa, ERP, Excel</t>
        </is>
      </c>
      <c r="M9451" t="inlineStr">
        <is>
          <t>Bonus, Training, Transportation</t>
        </is>
      </c>
      <c r="N9451" s="8">
        <f>HYPERLINK("https://www.vietnamworks.com/nhan-vien-kho--2021281-jv","Xem chi tiết")</f>
        <v/>
      </c>
    </row>
    <row r="9452">
      <c r="B9452" s="9" t="n">
        <v>9450</v>
      </c>
      <c r="C9452" s="10" t="inlineStr">
        <is>
          <t>Chỉ Huy Trưởng</t>
        </is>
      </c>
      <c r="D9452" s="10" t="inlineStr">
        <is>
          <t>CÔNG TY CỔ PHẦN XÂY DỰNG SỐ 9 - VC9</t>
        </is>
      </c>
      <c r="E9452" s="10" t="inlineStr">
        <is>
          <t>28tr-35tr ₫/tháng</t>
        </is>
      </c>
      <c r="F9452" s="10" t="inlineStr">
        <is>
          <t>Bắc Giang, Bắc Ninh</t>
        </is>
      </c>
      <c r="G9452" s="10" t="inlineStr">
        <is>
          <t>Trưởng phòng</t>
        </is>
      </c>
      <c r="H9452" s="10" t="inlineStr">
        <is>
          <t>10/03/2026</t>
        </is>
      </c>
      <c r="I9452" s="10" t="inlineStr">
        <is>
          <t>09/04/2026</t>
        </is>
      </c>
      <c r="J9452" s="10" t="inlineStr">
        <is>
          <t>17/03/2026</t>
        </is>
      </c>
      <c r="K9452" s="10" t="inlineStr">
        <is>
          <t>N/A</t>
        </is>
      </c>
      <c r="L9452" s="10" t="inlineStr">
        <is>
          <t>Autocad, Dự Toán, Kỹ năng làm việc nhóm, Office Support, Quản Lý Dự Án</t>
        </is>
      </c>
      <c r="M9452" s="10" t="inlineStr">
        <is>
          <t>Bonus, Healthcare Plan, Paid Leave, Others</t>
        </is>
      </c>
      <c r="N9452" s="11">
        <f>HYPERLINK("https://www.vietnamworks.com/chi-huy-truong-2021272-jv","Xem chi tiết")</f>
        <v/>
      </c>
      <c r="O9452" s="10" t="n"/>
    </row>
    <row r="9453">
      <c r="B9453" s="7" t="n">
        <v>9451</v>
      </c>
      <c r="C9453" t="inlineStr">
        <is>
          <t>Chuyên Viên Phân Tích Dữ Liệu Thị Trường (Data Scientist Financial Market)</t>
        </is>
      </c>
      <c r="D9453" t="inlineStr">
        <is>
          <t>CÔNG TY CỔ PHẦN TƯ VẤN ĐẦU TƯ RRVN</t>
        </is>
      </c>
      <c r="E9453" t="inlineStr">
        <is>
          <t>Thương lượng</t>
        </is>
      </c>
      <c r="F9453" t="inlineStr">
        <is>
          <t>Hồ Chí Minh</t>
        </is>
      </c>
      <c r="G9453" t="inlineStr">
        <is>
          <t>Nhân viên</t>
        </is>
      </c>
      <c r="H9453" t="inlineStr">
        <is>
          <t>10/03/2026</t>
        </is>
      </c>
      <c r="I9453" t="inlineStr">
        <is>
          <t>09/04/2026</t>
        </is>
      </c>
      <c r="J9453" t="inlineStr">
        <is>
          <t>17/03/2026</t>
        </is>
      </c>
      <c r="K9453" t="inlineStr">
        <is>
          <t>N/A</t>
        </is>
      </c>
      <c r="L9453" t="inlineStr">
        <is>
          <t>Python, Forecast Analysis, Data Analysis, Machine Learning, Data Science</t>
        </is>
      </c>
      <c r="M9453" t="inlineStr">
        <is>
          <t>Training, Others</t>
        </is>
      </c>
      <c r="N9453" s="8">
        <f>HYPERLINK("https://www.vietnamworks.com/chuyen-vien-phan-tich-du-lieu-thi-truong-data-scientist-financial-market-2021275-jv","Xem chi tiết")</f>
        <v/>
      </c>
    </row>
    <row r="9454">
      <c r="B9454" s="9" t="n">
        <v>9452</v>
      </c>
      <c r="C9454" s="10" t="inlineStr">
        <is>
          <t>Chuyên Viên Phát Triển Bán Hàng (Bất Động Sản)</t>
        </is>
      </c>
      <c r="D9454" s="10" t="inlineStr">
        <is>
          <t>Công Ty Cổ Phần Đầu Tư Bất Động Sản Taseco</t>
        </is>
      </c>
      <c r="E9454" s="10" t="inlineStr">
        <is>
          <t>20tr-30tr ₫/tháng</t>
        </is>
      </c>
      <c r="F9454" s="10" t="inlineStr">
        <is>
          <t>Hà Nội</t>
        </is>
      </c>
      <c r="G9454" s="10" t="inlineStr">
        <is>
          <t>Nhân viên</t>
        </is>
      </c>
      <c r="H9454" s="10" t="inlineStr">
        <is>
          <t>10/03/2026</t>
        </is>
      </c>
      <c r="I9454" s="10" t="inlineStr">
        <is>
          <t>09/04/2026</t>
        </is>
      </c>
      <c r="J9454" s="10" t="inlineStr">
        <is>
          <t>17/03/2026</t>
        </is>
      </c>
      <c r="K9454" s="10" t="inlineStr">
        <is>
          <t>N/A</t>
        </is>
      </c>
      <c r="L9454" s="10" t="inlineStr">
        <is>
          <t>Kinh Doanh Bất Động Sản, Luật Đất Đai, Nghiên Cứu Thị Trường, Phát Triển Sản Phẩm, Pháp Lý Bất Động Sản</t>
        </is>
      </c>
      <c r="M9454" s="10" t="inlineStr">
        <is>
          <t>Healthcare Plan, Training, Awards, Others</t>
        </is>
      </c>
      <c r="N9454" s="11">
        <f>HYPERLINK("https://www.vietnamworks.com/chuyen-vien-phat-trien-ban-hang-bat-djong-san-2021257-jv","Xem chi tiết")</f>
        <v/>
      </c>
      <c r="O9454" s="10" t="n"/>
    </row>
    <row r="9455">
      <c r="B9455" s="7" t="n">
        <v>9453</v>
      </c>
      <c r="C9455" t="inlineStr">
        <is>
          <t>Kế Toán Trưởng (Thu Nhập Upto 25Tr)</t>
        </is>
      </c>
      <c r="D9455" t="inlineStr">
        <is>
          <t>Công ty Cổ Phần Hagimex</t>
        </is>
      </c>
      <c r="E9455" t="inlineStr">
        <is>
          <t>Tới 25tr ₫/tháng</t>
        </is>
      </c>
      <c r="F9455" t="inlineStr">
        <is>
          <t>Hà Nam</t>
        </is>
      </c>
      <c r="G9455" t="inlineStr">
        <is>
          <t>Nhân viên</t>
        </is>
      </c>
      <c r="H9455" t="inlineStr">
        <is>
          <t>10/03/2026</t>
        </is>
      </c>
      <c r="I9455" t="inlineStr">
        <is>
          <t>09/04/2026</t>
        </is>
      </c>
      <c r="J9455" t="inlineStr">
        <is>
          <t>17/03/2026</t>
        </is>
      </c>
      <c r="K9455" t="inlineStr">
        <is>
          <t>N/A</t>
        </is>
      </c>
      <c r="L9455" t="inlineStr">
        <is>
          <t>Kế Toán, Kiểm Toán, Quyết Toán Thuế, Tài Chính Kế Toán, Thuế</t>
        </is>
      </c>
      <c r="M9455" t="inlineStr">
        <is>
          <t>Bonus, Healthcare Plan, Awards, Others</t>
        </is>
      </c>
      <c r="N9455" s="8">
        <f>HYPERLINK("https://www.vietnamworks.com/ke-toan-truong-thu-nhap-upto-25tr-2021273-jv","Xem chi tiết")</f>
        <v/>
      </c>
    </row>
    <row r="9456">
      <c r="B9456" s="9" t="n">
        <v>9454</v>
      </c>
      <c r="C9456" s="10" t="inlineStr">
        <is>
          <t>Trưởng BQL Tòa Nhà Phoenix Cao Bằng</t>
        </is>
      </c>
      <c r="D9456" s="10" t="inlineStr">
        <is>
          <t>Công Ty Cổ Phần BIC Việt Nam</t>
        </is>
      </c>
      <c r="E9456" s="10" t="inlineStr">
        <is>
          <t>Tới 25tr ₫/tháng</t>
        </is>
      </c>
      <c r="F9456" s="10" t="inlineStr">
        <is>
          <t>Cao Bằng</t>
        </is>
      </c>
      <c r="G9456" s="10" t="inlineStr">
        <is>
          <t>Trưởng phòng</t>
        </is>
      </c>
      <c r="H9456" s="10" t="inlineStr">
        <is>
          <t>10/03/2026</t>
        </is>
      </c>
      <c r="I9456" s="10" t="inlineStr">
        <is>
          <t>09/04/2026</t>
        </is>
      </c>
      <c r="J9456" s="10" t="inlineStr">
        <is>
          <t>17/03/2026</t>
        </is>
      </c>
      <c r="K9456" s="10" t="inlineStr">
        <is>
          <t>N/A</t>
        </is>
      </c>
      <c r="L9456" s="10" t="inlineStr">
        <is>
          <t>Quản Lý Nhân Sự, Quản Lý Vận Hành, Đàm Phán, Quản Lý Toà Nhà, Quản Lý Vận Hành Tòa Nhà</t>
        </is>
      </c>
      <c r="M9456" s="10" t="inlineStr">
        <is>
          <t>Bonus, Healthcare Plan, Paid Leave, Training, Travel Opportunities, Team Activities, Others</t>
        </is>
      </c>
      <c r="N9456" s="11">
        <f>HYPERLINK("https://www.vietnamworks.com/truong-bql-toa-nha-phoenix-cao-bang-2021271-jv","Xem chi tiết")</f>
        <v/>
      </c>
      <c r="O9456" s="10" t="n"/>
    </row>
    <row r="9457">
      <c r="B9457" s="7" t="n">
        <v>9455</v>
      </c>
      <c r="C9457" t="inlineStr">
        <is>
          <t>Nhân Viên Thanh Toán (Billing Staff)</t>
        </is>
      </c>
      <c r="D9457" t="inlineStr">
        <is>
          <t>CÔNG TY CỔ PHẦN ITL FREIGHT MANAGEMENT - CHI NHÁNH MIỀN BẮC</t>
        </is>
      </c>
      <c r="E9457" t="inlineStr">
        <is>
          <t>Thương lượng</t>
        </is>
      </c>
      <c r="F9457" t="inlineStr">
        <is>
          <t>Hà Nội</t>
        </is>
      </c>
      <c r="G9457" t="inlineStr">
        <is>
          <t>Nhân viên</t>
        </is>
      </c>
      <c r="H9457" t="inlineStr">
        <is>
          <t>10/03/2026</t>
        </is>
      </c>
      <c r="I9457" t="inlineStr">
        <is>
          <t>09/04/2026</t>
        </is>
      </c>
      <c r="J9457" t="inlineStr">
        <is>
          <t>17/03/2026</t>
        </is>
      </c>
      <c r="K9457" t="inlineStr">
        <is>
          <t>N/A</t>
        </is>
      </c>
      <c r="L9457" t="inlineStr">
        <is>
          <t>Chủ Động Học Hỏi, Kỹ năng làm việc nhóm, Xử Lý Vấn Đề Linh Hoạt</t>
        </is>
      </c>
      <c r="M9457" t="inlineStr">
        <is>
          <t>Bonus, Healthcare Plan, Paid Leave, Team Activities</t>
        </is>
      </c>
      <c r="N9457" s="8">
        <f>HYPERLINK("https://www.vietnamworks.com/nhan-vien-thanh-toan-billing-staff-2021265-jv","Xem chi tiết")</f>
        <v/>
      </c>
    </row>
    <row r="9458">
      <c r="B9458" s="9" t="n">
        <v>9456</v>
      </c>
      <c r="C9458" s="10" t="inlineStr">
        <is>
          <t>IE Engineer</t>
        </is>
      </c>
      <c r="D9458" s="10" t="inlineStr">
        <is>
          <t>Công Ty TNHH ON Semiconductor Việt Nam</t>
        </is>
      </c>
      <c r="E9458" s="10" t="inlineStr">
        <is>
          <t>Thương lượng</t>
        </is>
      </c>
      <c r="F9458" s="10" t="inlineStr">
        <is>
          <t>Đồng Nai</t>
        </is>
      </c>
      <c r="G9458" s="10" t="inlineStr">
        <is>
          <t>Nhân viên</t>
        </is>
      </c>
      <c r="H9458" s="10" t="inlineStr">
        <is>
          <t>10/03/2026</t>
        </is>
      </c>
      <c r="I9458" s="10" t="inlineStr">
        <is>
          <t>09/04/2026</t>
        </is>
      </c>
      <c r="J9458" s="10" t="inlineStr">
        <is>
          <t>17/03/2026</t>
        </is>
      </c>
      <c r="K9458" s="10" t="inlineStr">
        <is>
          <t>N/A</t>
        </is>
      </c>
      <c r="L9458" s="10" t="inlineStr">
        <is>
          <t>AutoCAD Design, Communication Skills, Data Analytics, Industrial Engineering, System Modeling</t>
        </is>
      </c>
      <c r="M9458" s="10" t="inlineStr">
        <is>
          <t>Bonus, Laptop, Transportation</t>
        </is>
      </c>
      <c r="N9458" s="11">
        <f>HYPERLINK("https://www.vietnamworks.com/ie-engineer-2021262-jv","Xem chi tiết")</f>
        <v/>
      </c>
      <c r="O9458" s="10" t="n"/>
    </row>
    <row r="9459">
      <c r="B9459" s="7" t="n">
        <v>9457</v>
      </c>
      <c r="C9459" t="inlineStr">
        <is>
          <t xml:space="preserve">Financial Analyst </t>
        </is>
      </c>
      <c r="D9459" t="inlineStr">
        <is>
          <t>Công Ty TNHH ON Semiconductor Việt Nam</t>
        </is>
      </c>
      <c r="E9459" t="inlineStr">
        <is>
          <t>Thương lượng</t>
        </is>
      </c>
      <c r="F9459" t="inlineStr">
        <is>
          <t>Đồng Nai</t>
        </is>
      </c>
      <c r="G9459" t="inlineStr">
        <is>
          <t>Nhân viên</t>
        </is>
      </c>
      <c r="H9459" t="inlineStr">
        <is>
          <t>10/03/2026</t>
        </is>
      </c>
      <c r="I9459" t="inlineStr">
        <is>
          <t>09/04/2026</t>
        </is>
      </c>
      <c r="J9459" t="inlineStr">
        <is>
          <t>17/03/2026</t>
        </is>
      </c>
      <c r="K9459" t="inlineStr">
        <is>
          <t>N/A</t>
        </is>
      </c>
      <c r="L9459" t="inlineStr">
        <is>
          <t>Costing System, Excel Proficiency, Financial Analysis, Manage ERP Software, Workload Management</t>
        </is>
      </c>
      <c r="M9459" t="inlineStr">
        <is>
          <t>Bonus, Healthcare Plan, Laptop, Transportation</t>
        </is>
      </c>
      <c r="N9459" s="8">
        <f>HYPERLINK("https://www.vietnamworks.com/financial-analyst-2021274-jv","Xem chi tiết")</f>
        <v/>
      </c>
    </row>
    <row r="9460">
      <c r="B9460" s="9" t="n">
        <v>9458</v>
      </c>
      <c r="C9460" s="10" t="inlineStr">
        <is>
          <t>Nhân Viên Văn Phòng</t>
        </is>
      </c>
      <c r="D9460" s="10" t="inlineStr">
        <is>
          <t>Công Ty TNHH Sản Xuất Glass Craft Việt Nam</t>
        </is>
      </c>
      <c r="E9460" s="10" t="inlineStr">
        <is>
          <t>10tr-15tr ₫/tháng</t>
        </is>
      </c>
      <c r="F9460" s="10" t="inlineStr">
        <is>
          <t>Hà Nam</t>
        </is>
      </c>
      <c r="G9460" s="10" t="inlineStr">
        <is>
          <t>Mới Tốt Nghiệp</t>
        </is>
      </c>
      <c r="H9460" s="10" t="inlineStr">
        <is>
          <t>10/03/2026</t>
        </is>
      </c>
      <c r="I9460" s="10" t="inlineStr">
        <is>
          <t>09/04/2026</t>
        </is>
      </c>
      <c r="J9460" s="10" t="inlineStr">
        <is>
          <t>17/03/2026</t>
        </is>
      </c>
      <c r="K9460" s="10" t="inlineStr">
        <is>
          <t>N/A</t>
        </is>
      </c>
      <c r="L9460" s="10" t="inlineStr">
        <is>
          <t>Tiếng Anh, Hành Chính Nhân Sự, Tuyển Dụng, Xử Lý Đơn Hàng, Phiên Dịch</t>
        </is>
      </c>
      <c r="M9460" s="10" t="inlineStr">
        <is>
          <t>Bonus, Healthcare Plan, Others</t>
        </is>
      </c>
      <c r="N9460" s="11">
        <f>HYPERLINK("https://www.vietnamworks.com/nhan-vien-van-phong--2021276-jv","Xem chi tiết")</f>
        <v/>
      </c>
      <c r="O9460" s="10" t="n"/>
    </row>
    <row r="9461">
      <c r="B9461" s="7" t="n">
        <v>9459</v>
      </c>
      <c r="C9461" t="inlineStr">
        <is>
          <t>Chuyên Viên Thiết Kế Đồ Họa</t>
        </is>
      </c>
      <c r="D9461" t="inlineStr">
        <is>
          <t>Công Ty Cổ Phần Đầu Tư Bất Động Sản Taseco</t>
        </is>
      </c>
      <c r="E9461" t="inlineStr">
        <is>
          <t>Thương lượng</t>
        </is>
      </c>
      <c r="F9461" t="inlineStr">
        <is>
          <t>Hà Nội</t>
        </is>
      </c>
      <c r="G9461" t="inlineStr">
        <is>
          <t>Nhân viên</t>
        </is>
      </c>
      <c r="H9461" t="inlineStr">
        <is>
          <t>10/03/2026</t>
        </is>
      </c>
      <c r="I9461" t="inlineStr">
        <is>
          <t>09/04/2026</t>
        </is>
      </c>
      <c r="J9461" t="inlineStr">
        <is>
          <t>17/03/2026</t>
        </is>
      </c>
      <c r="K9461" t="inlineStr">
        <is>
          <t>N/A</t>
        </is>
      </c>
      <c r="L9461" t="inlineStr">
        <is>
          <t>Revit, Graphic Design, Illustrator, Photoshop, Photoshop Illustrator</t>
        </is>
      </c>
      <c r="M9461" t="inlineStr">
        <is>
          <t>Healthcare Plan, Training, Awards, Others</t>
        </is>
      </c>
      <c r="N9461" s="8">
        <f>HYPERLINK("https://www.vietnamworks.com/chuyen-vien-thiet-ke-djo-hoa-2021260-jv","Xem chi tiết")</f>
        <v/>
      </c>
    </row>
    <row r="9462">
      <c r="B9462" s="9" t="n">
        <v>9460</v>
      </c>
      <c r="C9462" s="10" t="inlineStr">
        <is>
          <t>Chủ Nhiệm Sản Xuất</t>
        </is>
      </c>
      <c r="D9462" s="10" t="inlineStr">
        <is>
          <t>Công ty TNHH BOI Việt Nam</t>
        </is>
      </c>
      <c r="E9462" s="10" t="inlineStr">
        <is>
          <t>$$ 800-1,000 /tháng</t>
        </is>
      </c>
      <c r="F9462" s="10" t="inlineStr">
        <is>
          <t>Bắc Giang</t>
        </is>
      </c>
      <c r="G9462" s="10" t="inlineStr">
        <is>
          <t>Trưởng phòng</t>
        </is>
      </c>
      <c r="H9462" s="10" t="inlineStr">
        <is>
          <t>10/03/2026</t>
        </is>
      </c>
      <c r="I9462" s="10" t="inlineStr">
        <is>
          <t>09/04/2026</t>
        </is>
      </c>
      <c r="J9462" s="10" t="inlineStr">
        <is>
          <t>17/03/2026</t>
        </is>
      </c>
      <c r="K9462" s="10" t="inlineStr">
        <is>
          <t>N/A</t>
        </is>
      </c>
      <c r="L9462" s="10" t="inlineStr">
        <is>
          <t>Quản Lý Sản Xuất, Lập Kế Hoạch, Quản Lý Chất Lượng, Quản Lý Đội Nhóm, Tiếng Trung</t>
        </is>
      </c>
      <c r="M9462" s="10" t="inlineStr">
        <is>
          <t>Training, Awards, Others</t>
        </is>
      </c>
      <c r="N9462" s="11">
        <f>HYPERLINK("https://www.vietnamworks.com/chu-nhiem-san-xuat-2021285-jv","Xem chi tiết")</f>
        <v/>
      </c>
      <c r="O9462" s="10" t="n"/>
    </row>
    <row r="9463">
      <c r="B9463" s="7" t="n">
        <v>9461</v>
      </c>
      <c r="C9463" t="inlineStr">
        <is>
          <t>Kế Toán Thuế</t>
        </is>
      </c>
      <c r="D9463" t="inlineStr">
        <is>
          <t>INOAC Vietnam CO., LTD.</t>
        </is>
      </c>
      <c r="E9463" t="inlineStr">
        <is>
          <t>Thương lượng</t>
        </is>
      </c>
      <c r="F9463" t="inlineStr">
        <is>
          <t>Hà Nội</t>
        </is>
      </c>
      <c r="G9463" t="inlineStr">
        <is>
          <t>Nhân viên</t>
        </is>
      </c>
      <c r="H9463" t="inlineStr">
        <is>
          <t>10/03/2026</t>
        </is>
      </c>
      <c r="I9463" t="inlineStr">
        <is>
          <t>09/04/2026</t>
        </is>
      </c>
      <c r="J9463" t="inlineStr">
        <is>
          <t>17/03/2026</t>
        </is>
      </c>
      <c r="K9463" t="inlineStr">
        <is>
          <t>N/A</t>
        </is>
      </c>
      <c r="L9463" t="inlineStr">
        <is>
          <t>Tax Accounting, Kế Toán Thuế, Hệ Thống Thuế, TAX, Kế Toán</t>
        </is>
      </c>
      <c r="M9463" t="inlineStr">
        <is>
          <t>Bonus, Training, Transportation</t>
        </is>
      </c>
      <c r="N9463" s="8">
        <f>HYPERLINK("https://www.vietnamworks.com/ke-toan-thue--2021293-jv","Xem chi tiết")</f>
        <v/>
      </c>
    </row>
    <row r="9464">
      <c r="B9464" s="9" t="n">
        <v>9462</v>
      </c>
      <c r="C9464" s="10" t="inlineStr">
        <is>
          <t>Senior Creative Content Executive (TikTok / Facebook / Instagram)</t>
        </is>
      </c>
      <c r="D9464" s="10" t="inlineStr">
        <is>
          <t>Công Ty TNHH Vẻ Đẹp Francia</t>
        </is>
      </c>
      <c r="E9464" s="10" t="inlineStr">
        <is>
          <t>Thương lượng</t>
        </is>
      </c>
      <c r="F9464" s="10" t="inlineStr">
        <is>
          <t>Hồ Chí Minh</t>
        </is>
      </c>
      <c r="G9464" s="10" t="inlineStr">
        <is>
          <t>Nhân viên</t>
        </is>
      </c>
      <c r="H9464" s="10" t="inlineStr">
        <is>
          <t>10/03/2026</t>
        </is>
      </c>
      <c r="I9464" s="10" t="inlineStr">
        <is>
          <t>09/04/2026</t>
        </is>
      </c>
      <c r="J9464" s="10" t="inlineStr">
        <is>
          <t>17/03/2026</t>
        </is>
      </c>
      <c r="K9464" s="10" t="inlineStr">
        <is>
          <t>N/A</t>
        </is>
      </c>
      <c r="L9464" s="10" t="inlineStr">
        <is>
          <t>Concept Development, Content Production, Creative Writing, Social Media, Video Editing</t>
        </is>
      </c>
      <c r="M9464" s="10" t="inlineStr">
        <is>
          <t>Bonus, Healthcare Plan, Team Activities</t>
        </is>
      </c>
      <c r="N9464" s="11">
        <f>HYPERLINK("https://www.vietnamworks.com/senior-creative-content-executive-tiktok-facebook-instagram-2021286-jv","Xem chi tiết")</f>
        <v/>
      </c>
      <c r="O9464" s="10" t="n"/>
    </row>
    <row r="9465">
      <c r="B9465" s="7" t="n">
        <v>9463</v>
      </c>
      <c r="C9465" t="inlineStr">
        <is>
          <t>Chuyên Viên Business Analyst (BA)</t>
        </is>
      </c>
      <c r="D9465" t="inlineStr">
        <is>
          <t>Công Ty TNHH Tập Đoàn Xây Dựng Delta</t>
        </is>
      </c>
      <c r="E9465" t="inlineStr">
        <is>
          <t>Thương lượng</t>
        </is>
      </c>
      <c r="F9465" t="inlineStr">
        <is>
          <t>Hà Nội</t>
        </is>
      </c>
      <c r="G9465" t="inlineStr">
        <is>
          <t>Nhân viên</t>
        </is>
      </c>
      <c r="H9465" t="inlineStr">
        <is>
          <t>10/03/2026</t>
        </is>
      </c>
      <c r="I9465" t="inlineStr">
        <is>
          <t>09/04/2026</t>
        </is>
      </c>
      <c r="J9465" t="inlineStr">
        <is>
          <t>17/03/2026</t>
        </is>
      </c>
      <c r="K9465" t="inlineStr">
        <is>
          <t>N/A</t>
        </is>
      </c>
      <c r="L9465" t="inlineStr">
        <is>
          <t>BA, business analyst, ERP, Mô Hình Dữ Liệu, SQL</t>
        </is>
      </c>
      <c r="M9465" t="inlineStr">
        <is>
          <t>Bonus, Paid Leave, Training</t>
        </is>
      </c>
      <c r="N9465" s="8">
        <f>HYPERLINK("https://www.vietnamworks.com/chuyen-vien-business-analyst-ba-2021288-jv","Xem chi tiết")</f>
        <v/>
      </c>
    </row>
    <row r="9466">
      <c r="B9466" s="9" t="n">
        <v>9464</v>
      </c>
      <c r="C9466" s="10" t="inlineStr">
        <is>
          <t>Giám Định Viên Kế Toán – Kiểm Toán</t>
        </is>
      </c>
      <c r="D9466" s="10" t="inlineStr">
        <is>
          <t>Công Ty Cổ Phần Giám Định Northstar</t>
        </is>
      </c>
      <c r="E9466" s="10" t="inlineStr">
        <is>
          <t>12tr-17tr ₫/tháng</t>
        </is>
      </c>
      <c r="F9466" s="10" t="inlineStr">
        <is>
          <t>Hồ Chí Minh</t>
        </is>
      </c>
      <c r="G9466" s="10" t="inlineStr">
        <is>
          <t>Nhân viên</t>
        </is>
      </c>
      <c r="H9466" s="10" t="inlineStr">
        <is>
          <t>10/03/2026</t>
        </is>
      </c>
      <c r="I9466" s="10" t="inlineStr">
        <is>
          <t>09/04/2026</t>
        </is>
      </c>
      <c r="J9466" s="10" t="inlineStr">
        <is>
          <t>17/03/2026</t>
        </is>
      </c>
      <c r="K9466" s="10" t="inlineStr">
        <is>
          <t>N/A</t>
        </is>
      </c>
      <c r="L9466" s="10" t="inlineStr">
        <is>
          <t>Kế Toán, Kiểm Toán, Tài Chính, Giám Định, Giám Định Tài Chính</t>
        </is>
      </c>
      <c r="M9466" s="10" t="inlineStr">
        <is>
          <t>Bonus, Healthcare Plan, Paid Leave, Training, Travel Opportunities, Others</t>
        </is>
      </c>
      <c r="N9466" s="11">
        <f>HYPERLINK("https://www.vietnamworks.com/giam-djinh-vien-ke-toan-kiem-toan-2021295-jv","Xem chi tiết")</f>
        <v/>
      </c>
      <c r="O9466" s="10" t="n"/>
    </row>
    <row r="9467">
      <c r="B9467" s="7" t="n">
        <v>9465</v>
      </c>
      <c r="C9467" t="inlineStr">
        <is>
          <t>Associate</t>
        </is>
      </c>
      <c r="D9467" t="inlineStr">
        <is>
          <t>Công Ty Luật TNHH ANHISA</t>
        </is>
      </c>
      <c r="E9467" t="inlineStr">
        <is>
          <t>Thương lượng</t>
        </is>
      </c>
      <c r="F9467" t="inlineStr">
        <is>
          <t>Hồ Chí Minh</t>
        </is>
      </c>
      <c r="G9467" t="inlineStr">
        <is>
          <t>Nhân viên</t>
        </is>
      </c>
      <c r="H9467" t="inlineStr">
        <is>
          <t>10/03/2026</t>
        </is>
      </c>
      <c r="I9467" t="inlineStr">
        <is>
          <t>09/04/2026</t>
        </is>
      </c>
      <c r="J9467" t="inlineStr">
        <is>
          <t>17/03/2026</t>
        </is>
      </c>
      <c r="K9467" t="inlineStr">
        <is>
          <t>N/A</t>
        </is>
      </c>
      <c r="L9467" t="inlineStr">
        <is>
          <t>Legal Advise, Legal Analysis, Legal Consulting, Legal Document, Legal Research</t>
        </is>
      </c>
      <c r="M9467" t="inlineStr">
        <is>
          <t>Bonus, Healthcare Plan, Paid Leave, Others</t>
        </is>
      </c>
      <c r="N9467" s="8">
        <f>HYPERLINK("https://www.vietnamworks.com/associate-2021297-jv","Xem chi tiết")</f>
        <v/>
      </c>
    </row>
    <row r="9468">
      <c r="B9468" s="9" t="n">
        <v>9466</v>
      </c>
      <c r="C9468" s="10" t="inlineStr">
        <is>
          <t>Kỹ Thuật Viên Bảo Trì (Khánh Hòa)</t>
        </is>
      </c>
      <c r="D9468" s="10" t="inlineStr">
        <is>
          <t>Vietnamworks' Client</t>
        </is>
      </c>
      <c r="E9468" s="10" t="inlineStr">
        <is>
          <t>Thương lượng</t>
        </is>
      </c>
      <c r="F9468" s="10" t="inlineStr">
        <is>
          <t>Khánh Hòa</t>
        </is>
      </c>
      <c r="G9468" s="10" t="inlineStr">
        <is>
          <t>Nhân viên</t>
        </is>
      </c>
      <c r="H9468" s="10" t="inlineStr">
        <is>
          <t>10/03/2026</t>
        </is>
      </c>
      <c r="I9468" s="10" t="inlineStr">
        <is>
          <t>09/04/2026</t>
        </is>
      </c>
      <c r="J9468" s="10" t="inlineStr">
        <is>
          <t>17/03/2026</t>
        </is>
      </c>
      <c r="K9468" s="10" t="inlineStr">
        <is>
          <t>N/A</t>
        </is>
      </c>
      <c r="L9468" s="10" t="inlineStr">
        <is>
          <t>Kỹ Thuật, Bảo trì &amp; bảo dưỡng máy móc, Cơ Khí, Điện, Điện tử</t>
        </is>
      </c>
      <c r="M9468" s="10" t="inlineStr">
        <is>
          <t>Bonus</t>
        </is>
      </c>
      <c r="N9468" s="11">
        <f>HYPERLINK("https://www.vietnamworks.com/ky-thuat-vien-bao-tri-khanh-hoa-2021307-jv","Xem chi tiết")</f>
        <v/>
      </c>
      <c r="O9468" s="10" t="n"/>
    </row>
    <row r="9469">
      <c r="B9469" s="7" t="n">
        <v>9467</v>
      </c>
      <c r="C9469" t="inlineStr">
        <is>
          <t>Phiên Dịch Viên Tiếng Nhật (Phòng Kỹ Thuật Sản Xuất)</t>
        </is>
      </c>
      <c r="D9469" t="inlineStr">
        <is>
          <t>SEI Electronic Components (Vietnam), Ltd.</t>
        </is>
      </c>
      <c r="E9469" t="inlineStr">
        <is>
          <t>Thương lượng</t>
        </is>
      </c>
      <c r="F9469" t="inlineStr">
        <is>
          <t>Hà Nội</t>
        </is>
      </c>
      <c r="G9469" t="inlineStr">
        <is>
          <t>Nhân viên</t>
        </is>
      </c>
      <c r="H9469" t="inlineStr">
        <is>
          <t>10/03/2026</t>
        </is>
      </c>
      <c r="I9469" t="inlineStr">
        <is>
          <t>09/04/2026</t>
        </is>
      </c>
      <c r="J9469" t="inlineStr">
        <is>
          <t>17/03/2026</t>
        </is>
      </c>
      <c r="K9469" t="inlineStr">
        <is>
          <t>N/A</t>
        </is>
      </c>
      <c r="L9469" t="inlineStr">
        <is>
          <t>Tiếng Nhật N2, Phiên Dịch, Biên Phiên Dịch Sản Xuất, Japanese N2, Biên Dịch Tài Liệu</t>
        </is>
      </c>
      <c r="M9469" t="inlineStr">
        <is>
          <t>Bonus, Healthcare Plan, Transportation</t>
        </is>
      </c>
      <c r="N9469" s="8">
        <f>HYPERLINK("https://www.vietnamworks.com/phien-dich-vien-tieng-nhat-phong-ky-thuat-san-xuat--2021296-jv","Xem chi tiết")</f>
        <v/>
      </c>
    </row>
    <row r="9470">
      <c r="B9470" s="9" t="n">
        <v>9468</v>
      </c>
      <c r="C9470" s="10" t="inlineStr">
        <is>
          <t>Nhân Viên Kinh Doanh (Sales Executive) – Mảng Hóa Chất Công Nghiệp</t>
        </is>
      </c>
      <c r="D9470" s="10" t="inlineStr">
        <is>
          <t>Công Ty TNHH Utech Việt Nam</t>
        </is>
      </c>
      <c r="E9470" s="10" t="inlineStr">
        <is>
          <t>Thương lượng</t>
        </is>
      </c>
      <c r="F9470" s="10" t="inlineStr">
        <is>
          <t>Vĩnh Phúc</t>
        </is>
      </c>
      <c r="G9470" s="10" t="inlineStr">
        <is>
          <t>Nhân viên</t>
        </is>
      </c>
      <c r="H9470" s="10" t="inlineStr">
        <is>
          <t>10/03/2026</t>
        </is>
      </c>
      <c r="I9470" s="10" t="inlineStr">
        <is>
          <t>09/04/2026</t>
        </is>
      </c>
      <c r="J9470" s="10" t="inlineStr">
        <is>
          <t>17/03/2026</t>
        </is>
      </c>
      <c r="K9470" s="10" t="inlineStr">
        <is>
          <t>N/A</t>
        </is>
      </c>
      <c r="L9470" s="10" t="inlineStr">
        <is>
          <t>Bán Hàng Hóa Chất, Kinh Doanh Hóa Chất, Thương Lượng Hợp Đồng, Tìm Kiếm Khách Hàng, Tư Vấn Giải Pháp</t>
        </is>
      </c>
      <c r="M9470" s="10" t="inlineStr">
        <is>
          <t>Bonus, Paid Leave, Travel Opportunities, Transportation, Others</t>
        </is>
      </c>
      <c r="N9470" s="11">
        <f>HYPERLINK("https://www.vietnamworks.com/nhan-vien-kinh-doanh-sales-executive-mang-hoa-chat-cong-nghiep-2021300-jv","Xem chi tiết")</f>
        <v/>
      </c>
      <c r="O9470" s="10" t="n"/>
    </row>
    <row r="9471">
      <c r="B9471" s="7" t="n">
        <v>9469</v>
      </c>
      <c r="C9471" t="inlineStr">
        <is>
          <t>Senior Associate</t>
        </is>
      </c>
      <c r="D9471" t="inlineStr">
        <is>
          <t>Công Ty Luật TNHH ANHISA</t>
        </is>
      </c>
      <c r="E9471" t="inlineStr">
        <is>
          <t>Thương lượng</t>
        </is>
      </c>
      <c r="F9471" t="inlineStr">
        <is>
          <t>Hồ Chí Minh</t>
        </is>
      </c>
      <c r="G9471" t="inlineStr">
        <is>
          <t>Nhân viên</t>
        </is>
      </c>
      <c r="H9471" t="inlineStr">
        <is>
          <t>10/03/2026</t>
        </is>
      </c>
      <c r="I9471" t="inlineStr">
        <is>
          <t>09/04/2026</t>
        </is>
      </c>
      <c r="J9471" t="inlineStr">
        <is>
          <t>17/03/2026</t>
        </is>
      </c>
      <c r="K9471" t="inlineStr">
        <is>
          <t>N/A</t>
        </is>
      </c>
      <c r="L9471" t="inlineStr">
        <is>
          <t>Legal Advise, Legal Analysis, Law Firms, Legal Consulting, Legal Document</t>
        </is>
      </c>
      <c r="M9471" t="inlineStr">
        <is>
          <t>Bonus, Healthcare Plan, Paid Leave, Others</t>
        </is>
      </c>
      <c r="N9471" s="8">
        <f>HYPERLINK("https://www.vietnamworks.com/senior-associate-2021303-jv","Xem chi tiết")</f>
        <v/>
      </c>
    </row>
    <row r="9472">
      <c r="B9472" s="9" t="n">
        <v>9470</v>
      </c>
      <c r="C9472" s="10" t="inlineStr">
        <is>
          <t>Nhân Viên Mua Hàng/ Purchasing Staff</t>
        </is>
      </c>
      <c r="D9472" s="10" t="inlineStr">
        <is>
          <t>Seoul Semiconductor Vina</t>
        </is>
      </c>
      <c r="E9472" s="10" t="inlineStr">
        <is>
          <t>Thương lượng</t>
        </is>
      </c>
      <c r="F9472" s="10" t="inlineStr">
        <is>
          <t>Hà Nam, Hà Nội, Hưng Yên</t>
        </is>
      </c>
      <c r="G9472" s="10" t="inlineStr">
        <is>
          <t>Mới Tốt Nghiệp</t>
        </is>
      </c>
      <c r="H9472" s="10" t="inlineStr">
        <is>
          <t>10/03/2026</t>
        </is>
      </c>
      <c r="I9472" s="10" t="inlineStr">
        <is>
          <t>09/04/2026</t>
        </is>
      </c>
      <c r="J9472" s="10" t="inlineStr">
        <is>
          <t>17/03/2026</t>
        </is>
      </c>
      <c r="K9472" s="10" t="inlineStr">
        <is>
          <t>N/A</t>
        </is>
      </c>
      <c r="L9472" s="10" t="inlineStr">
        <is>
          <t>SAP, Mua Hàng, Thu Mua, Supplier Negotiation, Purchase Management</t>
        </is>
      </c>
      <c r="M9472" s="10" t="inlineStr">
        <is>
          <t>Bonus, Laptop, Transportation</t>
        </is>
      </c>
      <c r="N9472" s="11">
        <f>HYPERLINK("https://www.vietnamworks.com/nhan-vien-mua-hang-purchasing-staff--2021301-jv","Xem chi tiết")</f>
        <v/>
      </c>
      <c r="O9472" s="10" t="n"/>
    </row>
    <row r="9473">
      <c r="B9473" s="7" t="n">
        <v>9471</v>
      </c>
      <c r="C9473" t="inlineStr">
        <is>
          <t>HR Specialist</t>
        </is>
      </c>
      <c r="D9473" t="inlineStr">
        <is>
          <t>Education For Nature - Vietnam (ENV)</t>
        </is>
      </c>
      <c r="E9473" t="inlineStr">
        <is>
          <t>Thương lượng</t>
        </is>
      </c>
      <c r="F9473" t="inlineStr">
        <is>
          <t>Hà Nội</t>
        </is>
      </c>
      <c r="G9473" t="inlineStr">
        <is>
          <t>Nhân viên</t>
        </is>
      </c>
      <c r="H9473" t="inlineStr">
        <is>
          <t>10/03/2026</t>
        </is>
      </c>
      <c r="I9473" t="inlineStr">
        <is>
          <t>09/04/2026</t>
        </is>
      </c>
      <c r="J9473" t="inlineStr">
        <is>
          <t>17/03/2026</t>
        </is>
      </c>
      <c r="K9473" t="inlineStr">
        <is>
          <t>N/A</t>
        </is>
      </c>
      <c r="L9473" t="inlineStr">
        <is>
          <t>HR Management, Payroll Accounting, Recruitment, Training, HR Department operations</t>
        </is>
      </c>
      <c r="M9473" t="inlineStr">
        <is>
          <t>Bonus, Healthcare Plan, Paid Leave, Training, Awards, Library, Team Activities, Others</t>
        </is>
      </c>
      <c r="N9473" s="8">
        <f>HYPERLINK("https://www.vietnamworks.com/hr-specialist-2021306-jv","Xem chi tiết")</f>
        <v/>
      </c>
    </row>
    <row r="9474">
      <c r="B9474" s="9" t="n">
        <v>9472</v>
      </c>
      <c r="C9474" s="10" t="inlineStr">
        <is>
          <t>Procurement Manager - Raw Materials (FMCG)</t>
        </is>
      </c>
      <c r="D9474" s="10" t="inlineStr">
        <is>
          <t>Masan Consumer Holdings</t>
        </is>
      </c>
      <c r="E9474" s="10" t="inlineStr">
        <is>
          <t>Thương lượng</t>
        </is>
      </c>
      <c r="F9474" s="10" t="inlineStr">
        <is>
          <t>Hồ Chí Minh</t>
        </is>
      </c>
      <c r="G9474" s="10" t="inlineStr">
        <is>
          <t>Trưởng phòng</t>
        </is>
      </c>
      <c r="H9474" s="10" t="inlineStr">
        <is>
          <t>10/03/2026</t>
        </is>
      </c>
      <c r="I9474" s="10" t="inlineStr">
        <is>
          <t>09/04/2026</t>
        </is>
      </c>
      <c r="J9474" s="10" t="inlineStr">
        <is>
          <t>17/03/2026</t>
        </is>
      </c>
      <c r="K9474" s="10" t="inlineStr">
        <is>
          <t>N/A</t>
        </is>
      </c>
      <c r="L9474" s="10" t="inlineStr">
        <is>
          <t>Procurement, Raw Materials, Purchasing Control, Sourcing Management</t>
        </is>
      </c>
      <c r="M9474" s="10" t="inlineStr">
        <is>
          <t>Bonus, Laptop, Others</t>
        </is>
      </c>
      <c r="N9474" s="11">
        <f>HYPERLINK("https://www.vietnamworks.com/procurement-manager-raw-materials-fmcg-2021287-jv","Xem chi tiết")</f>
        <v/>
      </c>
      <c r="O9474" s="10" t="n"/>
    </row>
    <row r="9475">
      <c r="B9475" s="7" t="n">
        <v>9473</v>
      </c>
      <c r="C9475" t="inlineStr">
        <is>
          <t>Chuyên Viên Cao Cấp Tuyển Dụng/senior Recruitment Executive</t>
        </is>
      </c>
      <c r="D9475" t="inlineStr">
        <is>
          <t>BIM Group</t>
        </is>
      </c>
      <c r="E9475" t="inlineStr">
        <is>
          <t>Thương lượng</t>
        </is>
      </c>
      <c r="F9475" t="inlineStr">
        <is>
          <t>Hà Nội</t>
        </is>
      </c>
      <c r="G9475" t="inlineStr">
        <is>
          <t>Nhân viên</t>
        </is>
      </c>
      <c r="H9475" t="inlineStr">
        <is>
          <t>10/03/2026</t>
        </is>
      </c>
      <c r="I9475" t="inlineStr">
        <is>
          <t>09/04/2026</t>
        </is>
      </c>
      <c r="J9475" t="inlineStr">
        <is>
          <t>17/03/2026</t>
        </is>
      </c>
      <c r="K9475" t="inlineStr">
        <is>
          <t>N/A</t>
        </is>
      </c>
      <c r="L9475" t="inlineStr">
        <is>
          <t>Tuyển Dụng, Talent Acquisition, Recruitment, Employer Branding, human rescources</t>
        </is>
      </c>
      <c r="M9475" t="inlineStr">
        <is>
          <t>Bonus, Healthcare Plan, Training</t>
        </is>
      </c>
      <c r="N9475" s="8">
        <f>HYPERLINK("https://www.vietnamworks.com/chuyen-vien-cao-cap-tuyen-dung-senior-recruitment-executive--2021289-jv","Xem chi tiết")</f>
        <v/>
      </c>
    </row>
    <row r="9476">
      <c r="B9476" s="9" t="n">
        <v>9474</v>
      </c>
      <c r="C9476" s="10" t="inlineStr">
        <is>
          <t>[2026_CSANTT]_Chuyên Viên Chính Sách An Ninh Thông Tin (Kiến Trúc An Ninh Thông Tin)</t>
        </is>
      </c>
      <c r="D9476" s="10" t="inlineStr">
        <is>
          <t>Ngân Hàng TMCP Ngoại Thương Việt Nam - Vietcombank</t>
        </is>
      </c>
      <c r="E9476" s="10" t="inlineStr">
        <is>
          <t>Thương lượng</t>
        </is>
      </c>
      <c r="F9476" s="10" t="inlineStr">
        <is>
          <t>Hà Nội</t>
        </is>
      </c>
      <c r="G9476" s="10" t="inlineStr">
        <is>
          <t>Nhân viên</t>
        </is>
      </c>
      <c r="H9476" s="10" t="inlineStr">
        <is>
          <t>10/03/2026</t>
        </is>
      </c>
      <c r="I9476" s="10" t="inlineStr">
        <is>
          <t>09/04/2026</t>
        </is>
      </c>
      <c r="J9476" s="10" t="inlineStr">
        <is>
          <t>17/03/2026</t>
        </is>
      </c>
      <c r="K9476" s="10" t="inlineStr">
        <is>
          <t>N/A</t>
        </is>
      </c>
      <c r="L9476" s="10" t="inlineStr">
        <is>
          <t>An Ninh Mạng, An Toàn Thông Tin, Bảo Mật Hệ Thống, CNTT, System Security Management</t>
        </is>
      </c>
      <c r="M9476" s="10" t="inlineStr">
        <is>
          <t>Bonus</t>
        </is>
      </c>
      <c r="N9476" s="11">
        <f>HYPERLINK("https://www.vietnamworks.com/2026_csantt_chuyen-vien-chinh-sach-an-ninh-thong-tin-kien-truc-an-ninh-thong-tin-2021291-jv","Xem chi tiết")</f>
        <v/>
      </c>
      <c r="O9476" s="10" t="n"/>
    </row>
    <row r="9477">
      <c r="B9477" s="7" t="n">
        <v>9475</v>
      </c>
      <c r="C9477" t="inlineStr">
        <is>
          <t>[2026_CSANTT]_02 Chuyên Viên Chính Sách An Ninh Thông Tin (Chính Sách, Tuân Thủ)</t>
        </is>
      </c>
      <c r="D9477" t="inlineStr">
        <is>
          <t>Ngân Hàng TMCP Ngoại Thương Việt Nam - Vietcombank</t>
        </is>
      </c>
      <c r="E9477" t="inlineStr">
        <is>
          <t>Thương lượng</t>
        </is>
      </c>
      <c r="F9477" t="inlineStr">
        <is>
          <t>Hà Nội</t>
        </is>
      </c>
      <c r="G9477" t="inlineStr">
        <is>
          <t>Nhân viên</t>
        </is>
      </c>
      <c r="H9477" t="inlineStr">
        <is>
          <t>10/03/2026</t>
        </is>
      </c>
      <c r="I9477" t="inlineStr">
        <is>
          <t>09/04/2026</t>
        </is>
      </c>
      <c r="J9477" t="inlineStr">
        <is>
          <t>17/03/2026</t>
        </is>
      </c>
      <c r="K9477" t="inlineStr">
        <is>
          <t>N/A</t>
        </is>
      </c>
      <c r="L9477" t="inlineStr">
        <is>
          <t>An Ninh Mạng, An Toàn Thông Tin, Bảo Mật Hệ Thống, CNTT, System Security Management</t>
        </is>
      </c>
      <c r="M9477" t="inlineStr">
        <is>
          <t>Bonus</t>
        </is>
      </c>
      <c r="N9477" s="8">
        <f>HYPERLINK("https://www.vietnamworks.com/2026_csantt_02-chuyen-vien-chinh-sach-an-ninh-thong-tin-chinh-sach-tuan-thu-2021290-jv","Xem chi tiết")</f>
        <v/>
      </c>
    </row>
    <row r="9478">
      <c r="B9478" s="9" t="n">
        <v>9476</v>
      </c>
      <c r="C9478" s="10" t="inlineStr">
        <is>
          <t>ABM - Assistant Brand Manager_ G.G.G Skincare Brand</t>
        </is>
      </c>
      <c r="D9478" s="10" t="inlineStr">
        <is>
          <t>CÔNG TY CỔ PHẦN MỸ PHẨM B HAPPY</t>
        </is>
      </c>
      <c r="E9478" s="10" t="inlineStr">
        <is>
          <t>12tr-18tr ₫/tháng</t>
        </is>
      </c>
      <c r="F9478" s="10" t="inlineStr">
        <is>
          <t>Hồ Chí Minh</t>
        </is>
      </c>
      <c r="G9478" s="10" t="inlineStr">
        <is>
          <t>Nhân viên</t>
        </is>
      </c>
      <c r="H9478" s="10" t="inlineStr">
        <is>
          <t>10/03/2026</t>
        </is>
      </c>
      <c r="I9478" s="10" t="inlineStr">
        <is>
          <t>09/04/2026</t>
        </is>
      </c>
      <c r="J9478" s="10" t="inlineStr">
        <is>
          <t>17/03/2026</t>
        </is>
      </c>
      <c r="K9478" s="10" t="inlineStr">
        <is>
          <t>N/A</t>
        </is>
      </c>
      <c r="L9478" s="10" t="inlineStr">
        <is>
          <t>Branding, FMCG, Marketing, Mỹ Phẩm, Strategic Communication Planning</t>
        </is>
      </c>
      <c r="M9478" s="10" t="inlineStr">
        <is>
          <t>Bonus, Healthcare Plan, Awards, Vouchers, Others</t>
        </is>
      </c>
      <c r="N9478" s="11">
        <f>HYPERLINK("https://www.vietnamworks.com/abm-assistant-brand-manager-g-g-g-skincare-brand-2021298-jv","Xem chi tiết")</f>
        <v/>
      </c>
      <c r="O9478" s="10" t="n"/>
    </row>
    <row r="9479">
      <c r="B9479" s="7" t="n">
        <v>9477</v>
      </c>
      <c r="C9479" t="inlineStr">
        <is>
          <t>Chuyên Viên Xử Lý Nợ (Nợ Thế Chấp/ Tín Chấp)</t>
        </is>
      </c>
      <c r="D9479" t="inlineStr">
        <is>
          <t>Công Ty TNHH MTV Quản Lý Nợ Và Khai Thác Tài Sản Ngân Hàng TMCP Nam Á</t>
        </is>
      </c>
      <c r="E9479" t="inlineStr">
        <is>
          <t>Thương lượng</t>
        </is>
      </c>
      <c r="F9479" t="inlineStr">
        <is>
          <t>Hồ Chí Minh</t>
        </is>
      </c>
      <c r="G9479" t="inlineStr">
        <is>
          <t>Nhân viên</t>
        </is>
      </c>
      <c r="H9479" t="inlineStr">
        <is>
          <t>10/03/2026</t>
        </is>
      </c>
      <c r="I9479" t="inlineStr">
        <is>
          <t>09/04/2026</t>
        </is>
      </c>
      <c r="J9479" t="inlineStr">
        <is>
          <t>17/03/2026</t>
        </is>
      </c>
      <c r="K9479" t="inlineStr">
        <is>
          <t>N/A</t>
        </is>
      </c>
      <c r="L9479" t="inlineStr">
        <is>
          <t>Xử Lý Nợ Xấu, Thu Hồi Công Nợ, Quản Lý Các Khoản Nợ, Thế Chấp Tài Sản, Thu Hồi Nợ Xấu</t>
        </is>
      </c>
      <c r="M9479" t="inlineStr">
        <is>
          <t>Bonus, Healthcare Plan, Training</t>
        </is>
      </c>
      <c r="N9479" s="8">
        <f>HYPERLINK("https://www.vietnamworks.com/chuyen-vien-xu-ly-no-no-the-chap-tin-chap--2021308-jv","Xem chi tiết")</f>
        <v/>
      </c>
    </row>
    <row r="9480">
      <c r="B9480" s="9" t="n">
        <v>9478</v>
      </c>
      <c r="C9480" s="10" t="inlineStr">
        <is>
          <t>Kỹ Sư Quản Lý Thiết Bị Kiểm Tra Ngoại Quan</t>
        </is>
      </c>
      <c r="D9480" s="10" t="inlineStr">
        <is>
          <t>SEI Electronic Components (Vietnam), Ltd.</t>
        </is>
      </c>
      <c r="E9480" s="10" t="inlineStr">
        <is>
          <t>Thương lượng</t>
        </is>
      </c>
      <c r="F9480" s="10" t="inlineStr">
        <is>
          <t>Hà Nội</t>
        </is>
      </c>
      <c r="G9480" s="10" t="inlineStr">
        <is>
          <t>Nhân viên</t>
        </is>
      </c>
      <c r="H9480" s="10" t="inlineStr">
        <is>
          <t>10/03/2026</t>
        </is>
      </c>
      <c r="I9480" s="10" t="inlineStr">
        <is>
          <t>09/04/2026</t>
        </is>
      </c>
      <c r="J9480" s="10" t="inlineStr">
        <is>
          <t>17/03/2026</t>
        </is>
      </c>
      <c r="K9480" s="10" t="inlineStr">
        <is>
          <t>N/A</t>
        </is>
      </c>
      <c r="L9480" s="10" t="inlineStr">
        <is>
          <t>Tự Động Hóa, Cơ Khí, Cơ Điện Tử, Tiếng Anh, Máy Móc Sản Xuất</t>
        </is>
      </c>
      <c r="M9480" s="10" t="inlineStr">
        <is>
          <t>Bonus, Healthcare Plan, Transportation</t>
        </is>
      </c>
      <c r="N9480" s="11">
        <f>HYPERLINK("https://www.vietnamworks.com/ky-su-quan-ly-thiet-bi-kiem-tra-ngoai-quan-2021304-jv","Xem chi tiết")</f>
        <v/>
      </c>
      <c r="O9480" s="10" t="n"/>
    </row>
    <row r="9481">
      <c r="B9481" s="7" t="n">
        <v>9479</v>
      </c>
      <c r="C9481" t="inlineStr">
        <is>
          <t>Marketing Senior Manager (E-Commerce Focus)</t>
        </is>
      </c>
      <c r="D9481" t="inlineStr">
        <is>
          <t>Carpa Commercial Viet Nam JSC</t>
        </is>
      </c>
      <c r="E9481" t="inlineStr">
        <is>
          <t>$$ 1,500-2,500 /tháng</t>
        </is>
      </c>
      <c r="F9481" t="inlineStr">
        <is>
          <t>Hà Nội</t>
        </is>
      </c>
      <c r="G9481" t="inlineStr">
        <is>
          <t>Trưởng phòng</t>
        </is>
      </c>
      <c r="H9481" t="inlineStr">
        <is>
          <t>10/03/2026</t>
        </is>
      </c>
      <c r="I9481" t="inlineStr">
        <is>
          <t>09/04/2026</t>
        </is>
      </c>
      <c r="J9481" t="inlineStr">
        <is>
          <t>17/03/2026</t>
        </is>
      </c>
      <c r="K9481" t="inlineStr">
        <is>
          <t>N/A</t>
        </is>
      </c>
      <c r="L9481" t="inlineStr">
        <is>
          <t>Ecommerce Optimization, performance marketing, Digital Advertising, Analytical Skills, English Communication</t>
        </is>
      </c>
      <c r="M9481" t="inlineStr">
        <is>
          <t>Healthcare Plan, Paid Leave, Others</t>
        </is>
      </c>
      <c r="N9481" s="8">
        <f>HYPERLINK("https://www.vietnamworks.com/marketing-senior-manager-e-commerce-focus-2021299-jv","Xem chi tiết")</f>
        <v/>
      </c>
    </row>
    <row r="9482">
      <c r="B9482" s="9" t="n">
        <v>9480</v>
      </c>
      <c r="C9482" s="10" t="inlineStr">
        <is>
          <t>Giáo Viên Tiếng Anh Việt Nam</t>
        </is>
      </c>
      <c r="D9482" s="10" t="inlineStr">
        <is>
          <t>Hệ thống Giáo dục Vinschool</t>
        </is>
      </c>
      <c r="E9482" s="10" t="inlineStr">
        <is>
          <t>$$ 800-1,500 /tháng</t>
        </is>
      </c>
      <c r="F9482" s="10" t="inlineStr">
        <is>
          <t>Hà Nội, Hưng Yên, Hải Phòng</t>
        </is>
      </c>
      <c r="G9482" s="10" t="inlineStr">
        <is>
          <t>Nhân viên</t>
        </is>
      </c>
      <c r="H9482" s="10" t="inlineStr">
        <is>
          <t>10/03/2026</t>
        </is>
      </c>
      <c r="I9482" s="10" t="inlineStr">
        <is>
          <t>09/04/2026</t>
        </is>
      </c>
      <c r="J9482" s="10" t="inlineStr">
        <is>
          <t>17/03/2026</t>
        </is>
      </c>
      <c r="K9482" s="10" t="inlineStr">
        <is>
          <t>N/A</t>
        </is>
      </c>
      <c r="L9482" s="10" t="inlineStr">
        <is>
          <t>Tiếng Anh, Teaching, English Teaching, English, Giảng Dạy</t>
        </is>
      </c>
      <c r="M9482" s="10" t="inlineStr">
        <is>
          <t>Bonus, Healthcare Plan, Travel Opportunities</t>
        </is>
      </c>
      <c r="N9482" s="11">
        <f>HYPERLINK("https://www.vietnamworks.com/giao-vien-tieng-anh-viet-nam--2021305-jv","Xem chi tiết")</f>
        <v/>
      </c>
      <c r="O9482" s="10" t="n"/>
    </row>
    <row r="9483">
      <c r="B9483" s="7" t="n">
        <v>9481</v>
      </c>
      <c r="C9483" t="inlineStr">
        <is>
          <t>Operations Excellence Engineer</t>
        </is>
      </c>
      <c r="D9483" t="inlineStr">
        <is>
          <t>Molex Vietnam Co., Ltd.</t>
        </is>
      </c>
      <c r="E9483" t="inlineStr">
        <is>
          <t>$$ 800-1,000 /tháng</t>
        </is>
      </c>
      <c r="F9483" t="inlineStr">
        <is>
          <t>Hà Nội</t>
        </is>
      </c>
      <c r="G9483" t="inlineStr">
        <is>
          <t>Nhân viên</t>
        </is>
      </c>
      <c r="H9483" t="inlineStr">
        <is>
          <t>10/03/2026</t>
        </is>
      </c>
      <c r="I9483" t="inlineStr">
        <is>
          <t>09/04/2026</t>
        </is>
      </c>
      <c r="J9483" t="inlineStr">
        <is>
          <t>17/03/2026</t>
        </is>
      </c>
      <c r="K9483" t="inlineStr">
        <is>
          <t>N/A</t>
        </is>
      </c>
      <c r="L9483" t="inlineStr">
        <is>
          <t>Analytical Skills, Communication Skills, Lean Manufacturing, Problem Solving, Procedure Improvement</t>
        </is>
      </c>
      <c r="M9483" t="inlineStr">
        <is>
          <t>Bonus, Healthcare Plan, Paid Leave, Transportation, Others</t>
        </is>
      </c>
      <c r="N9483" s="8">
        <f>HYPERLINK("https://www.vietnamworks.com/operations-excellence-engineer-2021309-jv","Xem chi tiết")</f>
        <v/>
      </c>
    </row>
    <row r="9484">
      <c r="B9484" s="9" t="n">
        <v>9482</v>
      </c>
      <c r="C9484" s="10" t="inlineStr">
        <is>
          <t>Phó Phòng Kỹ Thuật</t>
        </is>
      </c>
      <c r="D9484" s="10" t="inlineStr">
        <is>
          <t>Công Ty TNHH Một Thành Viên Sơn Hà SSP Việt Nam</t>
        </is>
      </c>
      <c r="E9484" s="10" t="inlineStr">
        <is>
          <t>Thương lượng</t>
        </is>
      </c>
      <c r="F9484" s="10" t="inlineStr">
        <is>
          <t>Hà Nội</t>
        </is>
      </c>
      <c r="G9484" s="10" t="inlineStr">
        <is>
          <t>Trưởng phòng</t>
        </is>
      </c>
      <c r="H9484" s="10" t="inlineStr">
        <is>
          <t>10/03/2026</t>
        </is>
      </c>
      <c r="I9484" s="10" t="inlineStr">
        <is>
          <t>09/04/2026</t>
        </is>
      </c>
      <c r="J9484" s="10" t="inlineStr">
        <is>
          <t>17/03/2026</t>
        </is>
      </c>
      <c r="K9484" s="10" t="inlineStr">
        <is>
          <t>N/A</t>
        </is>
      </c>
      <c r="L9484" s="10" t="inlineStr">
        <is>
          <t>Cải Tiến Thiết Bị, Lập Kế Hoạch, Quản Lý Kỹ Thuật, Quản Lý Sản Xuất, Tối Ưu Chi Phí</t>
        </is>
      </c>
      <c r="M9484" s="10" t="inlineStr">
        <is>
          <t>Others</t>
        </is>
      </c>
      <c r="N9484" s="11">
        <f>HYPERLINK("https://www.vietnamworks.com/pho-phong-ky-thuat-2021310-jv","Xem chi tiết")</f>
        <v/>
      </c>
      <c r="O9484" s="10" t="n"/>
    </row>
    <row r="9485">
      <c r="B9485" s="7" t="n">
        <v>9483</v>
      </c>
      <c r="C9485" t="inlineStr">
        <is>
          <t>Phó Phòng Kỹ Thuật Công Đoạn SMT</t>
        </is>
      </c>
      <c r="D9485" t="inlineStr">
        <is>
          <t>SEI Electronic Components (Vietnam), Ltd.</t>
        </is>
      </c>
      <c r="E9485" t="inlineStr">
        <is>
          <t>Thương lượng</t>
        </is>
      </c>
      <c r="F9485" t="inlineStr">
        <is>
          <t>Hà Nội</t>
        </is>
      </c>
      <c r="G9485" t="inlineStr">
        <is>
          <t>Nhân viên</t>
        </is>
      </c>
      <c r="H9485" t="inlineStr">
        <is>
          <t>10/03/2026</t>
        </is>
      </c>
      <c r="I9485" t="inlineStr">
        <is>
          <t>09/04/2026</t>
        </is>
      </c>
      <c r="J9485" t="inlineStr">
        <is>
          <t>17/03/2026</t>
        </is>
      </c>
      <c r="K9485" t="inlineStr">
        <is>
          <t>N/A</t>
        </is>
      </c>
      <c r="L9485" t="inlineStr">
        <is>
          <t>SMT, Điện, Cơ Khí, Cải Tiến Chất Lượng, Kiểm Soát Chất Lượng</t>
        </is>
      </c>
      <c r="M9485" t="inlineStr">
        <is>
          <t>Bonus, Healthcare Plan, Transportation</t>
        </is>
      </c>
      <c r="N9485" s="8">
        <f>HYPERLINK("https://www.vietnamworks.com/pho-phong-ky-thuat-cong-doan-smt--2021314-jv","Xem chi tiết")</f>
        <v/>
      </c>
    </row>
    <row r="9486">
      <c r="B9486" s="9" t="n">
        <v>9484</v>
      </c>
      <c r="C9486" s="10" t="inlineStr">
        <is>
          <t>Giám Định Viên Kỹ Thuật</t>
        </is>
      </c>
      <c r="D9486" s="10" t="inlineStr">
        <is>
          <t>Công Ty Cổ Phần Giám Định Northstar</t>
        </is>
      </c>
      <c r="E9486" s="10" t="inlineStr">
        <is>
          <t>12tr-17tr ₫/tháng</t>
        </is>
      </c>
      <c r="F9486" s="10" t="inlineStr">
        <is>
          <t>Hà Nội</t>
        </is>
      </c>
      <c r="G9486" s="10" t="inlineStr">
        <is>
          <t>Nhân viên</t>
        </is>
      </c>
      <c r="H9486" s="10" t="inlineStr">
        <is>
          <t>10/03/2026</t>
        </is>
      </c>
      <c r="I9486" s="10" t="inlineStr">
        <is>
          <t>09/04/2026</t>
        </is>
      </c>
      <c r="J9486" s="10" t="inlineStr">
        <is>
          <t>17/03/2026</t>
        </is>
      </c>
      <c r="K9486" s="10" t="inlineStr">
        <is>
          <t>N/A</t>
        </is>
      </c>
      <c r="L9486" s="10" t="inlineStr">
        <is>
          <t>Auto Cad, Dự Toán, Giám Định Kỹ Thuật, Máy Móc Sản Xuất, SAP</t>
        </is>
      </c>
      <c r="M9486" s="10" t="inlineStr">
        <is>
          <t>Bonus, Healthcare Plan, Paid Leave, Training, Travel Opportunities, Others</t>
        </is>
      </c>
      <c r="N9486" s="11">
        <f>HYPERLINK("https://www.vietnamworks.com/giam-djinh-vien-ky-thuat-2021315-jv","Xem chi tiết")</f>
        <v/>
      </c>
      <c r="O9486" s="10" t="n"/>
    </row>
    <row r="9487">
      <c r="B9487" s="7" t="n">
        <v>9485</v>
      </c>
      <c r="C9487" t="inlineStr">
        <is>
          <t>Senior Talent Partner Specialist</t>
        </is>
      </c>
      <c r="D9487" t="inlineStr">
        <is>
          <t>Công Ty Cổ Phần Tập Đoàn Masterise</t>
        </is>
      </c>
      <c r="E9487" t="inlineStr">
        <is>
          <t>Thương lượng</t>
        </is>
      </c>
      <c r="F9487" t="inlineStr">
        <is>
          <t>Hà Nội</t>
        </is>
      </c>
      <c r="G9487" t="inlineStr">
        <is>
          <t>Nhân viên</t>
        </is>
      </c>
      <c r="H9487" t="inlineStr">
        <is>
          <t>10/03/2026</t>
        </is>
      </c>
      <c r="I9487" t="inlineStr">
        <is>
          <t>09/04/2026</t>
        </is>
      </c>
      <c r="J9487" t="inlineStr">
        <is>
          <t>17/03/2026</t>
        </is>
      </c>
      <c r="K9487" t="inlineStr">
        <is>
          <t>N/A</t>
        </is>
      </c>
      <c r="L9487" t="inlineStr">
        <is>
          <t>Tuyển Dụng Nhân Sự, Talent Acquisition, Bất Động Sản</t>
        </is>
      </c>
      <c r="M9487" t="inlineStr">
        <is>
          <t>Bonus, Healthcare Plan, Laptop</t>
        </is>
      </c>
      <c r="N9487" s="8">
        <f>HYPERLINK("https://www.vietnamworks.com/senior-talent-partner-specialist--2021316-jv","Xem chi tiết")</f>
        <v/>
      </c>
    </row>
    <row r="9488">
      <c r="B9488" s="9" t="n">
        <v>9486</v>
      </c>
      <c r="C9488" s="10" t="inlineStr">
        <is>
          <t>Senior Trade Analyst</t>
        </is>
      </c>
      <c r="D9488" s="10" t="inlineStr">
        <is>
          <t>Công Ty TNHH ZIM Integrated Shipping Services Ltd. Việt Nam</t>
        </is>
      </c>
      <c r="E9488" s="10" t="inlineStr">
        <is>
          <t>Thương lượng</t>
        </is>
      </c>
      <c r="F9488" s="10" t="inlineStr">
        <is>
          <t>Hồ Chí Minh</t>
        </is>
      </c>
      <c r="G9488" s="10" t="inlineStr">
        <is>
          <t>Nhân viên</t>
        </is>
      </c>
      <c r="H9488" s="10" t="inlineStr">
        <is>
          <t>10/03/2026</t>
        </is>
      </c>
      <c r="I9488" s="10" t="inlineStr">
        <is>
          <t>09/04/2026</t>
        </is>
      </c>
      <c r="J9488" s="10" t="inlineStr">
        <is>
          <t>17/03/2026</t>
        </is>
      </c>
      <c r="K9488" s="10" t="inlineStr">
        <is>
          <t>N/A</t>
        </is>
      </c>
      <c r="L9488" s="10" t="inlineStr">
        <is>
          <t>Shipping, Logistics, Trade, Commercial, Sales</t>
        </is>
      </c>
      <c r="M9488" s="10" t="inlineStr">
        <is>
          <t>Bonus, Team Activities, Others</t>
        </is>
      </c>
      <c r="N9488" s="11">
        <f>HYPERLINK("https://www.vietnamworks.com/senior-trade-analyst--2021330-jv","Xem chi tiết")</f>
        <v/>
      </c>
      <c r="O9488" s="10" t="n"/>
    </row>
    <row r="9489">
      <c r="B9489" s="7" t="n">
        <v>9487</v>
      </c>
      <c r="C9489" t="inlineStr">
        <is>
          <t>Trưởng Bộ Phận Thuế (Lương Lên Tới 30 Triệu/ Tháng)</t>
        </is>
      </c>
      <c r="D9489" t="inlineStr">
        <is>
          <t>Công Ty Cổ Phần Thương Mại Dịch Vụ Taco Việt Nam</t>
        </is>
      </c>
      <c r="E9489" t="inlineStr">
        <is>
          <t>Tới 30tr ₫/tháng</t>
        </is>
      </c>
      <c r="F9489" t="inlineStr">
        <is>
          <t>Hà Nội</t>
        </is>
      </c>
      <c r="G9489" t="inlineStr">
        <is>
          <t>Trưởng phòng</t>
        </is>
      </c>
      <c r="H9489" t="inlineStr">
        <is>
          <t>10/03/2026</t>
        </is>
      </c>
      <c r="I9489" t="inlineStr">
        <is>
          <t>09/04/2026</t>
        </is>
      </c>
      <c r="J9489" t="inlineStr">
        <is>
          <t>17/03/2026</t>
        </is>
      </c>
      <c r="K9489" t="inlineStr">
        <is>
          <t>N/A</t>
        </is>
      </c>
      <c r="L9489" t="inlineStr">
        <is>
          <t>Thuế, Báo Cáo Thuế, Hạch Toán, Kế Toán Thuế, Tài Chính Kế Toán</t>
        </is>
      </c>
      <c r="M9489" t="inlineStr">
        <is>
          <t>Bonus, Healthcare Plan, Paid Leave, Training, Laptop, Others</t>
        </is>
      </c>
      <c r="N9489" s="8">
        <f>HYPERLINK("https://www.vietnamworks.com/truong-bo-phan-thue-luong-len-toi-30-trieu-thang-2021318-jv","Xem chi tiết")</f>
        <v/>
      </c>
    </row>
    <row r="9490">
      <c r="B9490" s="9" t="n">
        <v>9488</v>
      </c>
      <c r="C9490" s="10" t="inlineStr">
        <is>
          <t>[2026_CSANTT]_Chuyên Viên Chính Sách An Ninh Thông Tin (An Ninh Ứng Dụng)</t>
        </is>
      </c>
      <c r="D9490" s="10" t="inlineStr">
        <is>
          <t>Ngân Hàng TMCP Ngoại Thương Việt Nam - Vietcombank</t>
        </is>
      </c>
      <c r="E9490" s="10" t="inlineStr">
        <is>
          <t>Thương lượng</t>
        </is>
      </c>
      <c r="F9490" s="10" t="inlineStr">
        <is>
          <t>Hà Nội</t>
        </is>
      </c>
      <c r="G9490" s="10" t="inlineStr">
        <is>
          <t>Nhân viên</t>
        </is>
      </c>
      <c r="H9490" s="10" t="inlineStr">
        <is>
          <t>10/03/2026</t>
        </is>
      </c>
      <c r="I9490" s="10" t="inlineStr">
        <is>
          <t>09/04/2026</t>
        </is>
      </c>
      <c r="J9490" s="10" t="inlineStr">
        <is>
          <t>17/03/2026</t>
        </is>
      </c>
      <c r="K9490" s="10" t="inlineStr">
        <is>
          <t>N/A</t>
        </is>
      </c>
      <c r="L9490" s="10" t="inlineStr">
        <is>
          <t>An Ninh Mạng, An Toàn Thông Tin, Bảo Mật Hệ Thống, CNTT, System Security Management</t>
        </is>
      </c>
      <c r="M9490" s="10" t="inlineStr">
        <is>
          <t>Bonus</t>
        </is>
      </c>
      <c r="N9490" s="11">
        <f>HYPERLINK("https://www.vietnamworks.com/2026_csantt_chuyen-vien-chinh-sach-an-ninh-thong-tin-an-ninh-ung-dung-2021313-jv","Xem chi tiết")</f>
        <v/>
      </c>
      <c r="O9490" s="10" t="n"/>
    </row>
    <row r="9491">
      <c r="B9491" s="7" t="n">
        <v>9489</v>
      </c>
      <c r="C9491" t="inlineStr">
        <is>
          <t>Kỹ Sư Cơ Khí</t>
        </is>
      </c>
      <c r="D9491" t="inlineStr">
        <is>
          <t>Công Ty TNHH Một Thành Viên Sơn Hà SSP Việt Nam</t>
        </is>
      </c>
      <c r="E9491" t="inlineStr">
        <is>
          <t>Thương lượng</t>
        </is>
      </c>
      <c r="F9491" t="inlineStr">
        <is>
          <t>Hà Nội</t>
        </is>
      </c>
      <c r="G9491" t="inlineStr">
        <is>
          <t>Nhân viên</t>
        </is>
      </c>
      <c r="H9491" t="inlineStr">
        <is>
          <t>10/03/2026</t>
        </is>
      </c>
      <c r="I9491" t="inlineStr">
        <is>
          <t>09/04/2026</t>
        </is>
      </c>
      <c r="J9491" t="inlineStr">
        <is>
          <t>17/03/2026</t>
        </is>
      </c>
      <c r="K9491" t="inlineStr">
        <is>
          <t>N/A</t>
        </is>
      </c>
      <c r="L9491" t="inlineStr">
        <is>
          <t>Cải Tiến Sản Phẩm, Gia Công Chế Tạo, Kỹ Thuật Sản Xuất, Thiết Kế Cơ Khí, Đọc Hiểu Bản Vẽ</t>
        </is>
      </c>
      <c r="M9491" t="inlineStr">
        <is>
          <t>Others</t>
        </is>
      </c>
      <c r="N9491" s="8">
        <f>HYPERLINK("https://www.vietnamworks.com/ky-su-co-khi-2021317-jv","Xem chi tiết")</f>
        <v/>
      </c>
    </row>
    <row r="9492">
      <c r="B9492" s="9" t="n">
        <v>9490</v>
      </c>
      <c r="C9492" s="10" t="inlineStr">
        <is>
          <t>Giám Đốc Kinh Doanh</t>
        </is>
      </c>
      <c r="D9492" s="10" t="inlineStr">
        <is>
          <t>VIỆT TIÊN LAB GROUP</t>
        </is>
      </c>
      <c r="E9492" s="10" t="inlineStr">
        <is>
          <t>Thương lượng</t>
        </is>
      </c>
      <c r="F9492" s="10" t="inlineStr">
        <is>
          <t>Hồ Chí Minh</t>
        </is>
      </c>
      <c r="G9492" s="10" t="inlineStr">
        <is>
          <t>Giám Đốc và Cấp Cao Hơn</t>
        </is>
      </c>
      <c r="H9492" s="10" t="inlineStr">
        <is>
          <t>10/03/2026</t>
        </is>
      </c>
      <c r="I9492" s="10" t="inlineStr">
        <is>
          <t>09/04/2026</t>
        </is>
      </c>
      <c r="J9492" s="10" t="inlineStr">
        <is>
          <t>17/03/2026</t>
        </is>
      </c>
      <c r="K9492" s="10" t="inlineStr">
        <is>
          <t>N/A</t>
        </is>
      </c>
      <c r="L9492" s="10" t="inlineStr">
        <is>
          <t>Duy Trì Mối Quan Hệ, Phân Tích Thị Trường, Phát Triển Đội Ngũ Kinh Doanh, Quản Lý Kinh Doanh, Xây Dựng Chiến Lược</t>
        </is>
      </c>
      <c r="M9492" s="10" t="inlineStr">
        <is>
          <t>Bonus, Healthcare Plan, Others</t>
        </is>
      </c>
      <c r="N9492" s="11">
        <f>HYPERLINK("https://www.vietnamworks.com/giam-djoc-kinh-doanh-2021338-jv","Xem chi tiết")</f>
        <v/>
      </c>
      <c r="O9492" s="10" t="n"/>
    </row>
    <row r="9493">
      <c r="B9493" s="7" t="n">
        <v>9491</v>
      </c>
      <c r="C9493" t="inlineStr">
        <is>
          <t>Nhân Viên Kinh Doanh Thang Máy</t>
        </is>
      </c>
      <c r="D9493" t="inlineStr">
        <is>
          <t>Công Ty TNHH Kỹ Thuật Thương Mại Thái Hoàng Phát</t>
        </is>
      </c>
      <c r="E9493" t="inlineStr">
        <is>
          <t>Thương lượng</t>
        </is>
      </c>
      <c r="F9493" t="inlineStr">
        <is>
          <t>Hồ Chí Minh</t>
        </is>
      </c>
      <c r="G9493" t="inlineStr">
        <is>
          <t>Nhân viên</t>
        </is>
      </c>
      <c r="H9493" t="inlineStr">
        <is>
          <t>10/03/2026</t>
        </is>
      </c>
      <c r="I9493" t="inlineStr">
        <is>
          <t>09/04/2026</t>
        </is>
      </c>
      <c r="J9493" t="inlineStr">
        <is>
          <t>17/03/2026</t>
        </is>
      </c>
      <c r="K9493" t="inlineStr">
        <is>
          <t>N/A</t>
        </is>
      </c>
      <c r="L9493" t="inlineStr">
        <is>
          <t>Kinh Doanh, Tư Vấn Thang Máy, B2B Sales, Bán Hàng Kỹ Thuật, Project sales</t>
        </is>
      </c>
      <c r="M9493" t="inlineStr">
        <is>
          <t>Bonus, Healthcare Plan, Paid Leave, Training, Others</t>
        </is>
      </c>
      <c r="N9493" s="8">
        <f>HYPERLINK("https://www.vietnamworks.com/nhan-vien-kinh-doanh-thang-may-2021335-jv","Xem chi tiết")</f>
        <v/>
      </c>
    </row>
    <row r="9494">
      <c r="B9494" s="9" t="n">
        <v>9492</v>
      </c>
      <c r="C9494" s="10" t="inlineStr">
        <is>
          <t>Quản Đốc Sản Xuất</t>
        </is>
      </c>
      <c r="D9494" s="10" t="inlineStr">
        <is>
          <t>Công Ty TNHH Một Thành Viên Sơn Hà SSP Việt Nam</t>
        </is>
      </c>
      <c r="E9494" s="10" t="inlineStr">
        <is>
          <t>Thương lượng</t>
        </is>
      </c>
      <c r="F9494" s="10" t="inlineStr">
        <is>
          <t>Hà Nội</t>
        </is>
      </c>
      <c r="G9494" s="10" t="inlineStr">
        <is>
          <t>Trưởng phòng</t>
        </is>
      </c>
      <c r="H9494" s="10" t="inlineStr">
        <is>
          <t>10/03/2026</t>
        </is>
      </c>
      <c r="I9494" s="10" t="inlineStr">
        <is>
          <t>09/04/2026</t>
        </is>
      </c>
      <c r="J9494" s="10" t="inlineStr">
        <is>
          <t>17/03/2026</t>
        </is>
      </c>
      <c r="K9494" s="10" t="inlineStr">
        <is>
          <t>N/A</t>
        </is>
      </c>
      <c r="L9494" s="10" t="inlineStr">
        <is>
          <t>Giám Sát Sản Xuất, Kiểm Soát Sản Xuất, Lập Kế Hoạch, Quản Lý Ngân Sách, Quản Lý Nhân Sự</t>
        </is>
      </c>
      <c r="M9494" s="10" t="inlineStr">
        <is>
          <t>Others</t>
        </is>
      </c>
      <c r="N9494" s="11">
        <f>HYPERLINK("https://www.vietnamworks.com/quan-djoc-san-xuat-2021324-jv","Xem chi tiết")</f>
        <v/>
      </c>
      <c r="O9494" s="10" t="n"/>
    </row>
    <row r="9495">
      <c r="B9495" s="7" t="n">
        <v>9493</v>
      </c>
      <c r="C9495" t="inlineStr">
        <is>
          <t>Quality Assurance Expert (Senior Level)</t>
        </is>
      </c>
      <c r="D9495" t="inlineStr">
        <is>
          <t>Công Ty Cổ Phần Tập Đoàn Masterise</t>
        </is>
      </c>
      <c r="E9495" t="inlineStr">
        <is>
          <t>Thương lượng</t>
        </is>
      </c>
      <c r="F9495" t="inlineStr">
        <is>
          <t>Hà Nội, Hồ Chí Minh</t>
        </is>
      </c>
      <c r="G9495" t="inlineStr">
        <is>
          <t>Nhân viên</t>
        </is>
      </c>
      <c r="H9495" t="inlineStr">
        <is>
          <t>10/03/2026</t>
        </is>
      </c>
      <c r="I9495" t="inlineStr">
        <is>
          <t>09/04/2026</t>
        </is>
      </c>
      <c r="J9495" t="inlineStr">
        <is>
          <t>17/03/2026</t>
        </is>
      </c>
      <c r="K9495" t="inlineStr">
        <is>
          <t>N/A</t>
        </is>
      </c>
      <c r="L9495" t="inlineStr">
        <is>
          <t>Construction Quality Management, ISO 9001, Root Cause Analysis, Internal Audit, QMS Management</t>
        </is>
      </c>
      <c r="M9495" t="inlineStr">
        <is>
          <t>Bonus, Laptop, Team Activities</t>
        </is>
      </c>
      <c r="N9495" s="8">
        <f>HYPERLINK("https://www.vietnamworks.com/quality-assurance-expert-senior-level--2021332-jv","Xem chi tiết")</f>
        <v/>
      </c>
    </row>
    <row r="9496">
      <c r="B9496" s="9" t="n">
        <v>9494</v>
      </c>
      <c r="C9496" s="10" t="inlineStr">
        <is>
          <t>Nhân Viên Dịch Vụ Khách Hàng</t>
        </is>
      </c>
      <c r="D9496" s="10" t="inlineStr">
        <is>
          <t>CÔNG TY CỔ PHẦN ITL FREIGHT MANAGEMENT - CHI NHÁNH MIỀN BẮC</t>
        </is>
      </c>
      <c r="E9496" s="10" t="inlineStr">
        <is>
          <t>Thương lượng</t>
        </is>
      </c>
      <c r="F9496" s="10" t="inlineStr">
        <is>
          <t>Hà Nội</t>
        </is>
      </c>
      <c r="G9496" s="10" t="inlineStr">
        <is>
          <t>Nhân viên</t>
        </is>
      </c>
      <c r="H9496" s="10" t="inlineStr">
        <is>
          <t>10/03/2026</t>
        </is>
      </c>
      <c r="I9496" s="10" t="inlineStr">
        <is>
          <t>09/04/2026</t>
        </is>
      </c>
      <c r="J9496" s="10" t="inlineStr">
        <is>
          <t>17/03/2026</t>
        </is>
      </c>
      <c r="K9496" s="10" t="inlineStr">
        <is>
          <t>N/A</t>
        </is>
      </c>
      <c r="L9496" s="10" t="inlineStr">
        <is>
          <t>Chủ Động Học Hỏi, Khả Năng Ứng Biến Linh Hoạt, Kỹ năng làm việc nhóm</t>
        </is>
      </c>
      <c r="M9496" s="10" t="inlineStr">
        <is>
          <t>Bonus, Healthcare Plan, Paid Leave, Team Activities</t>
        </is>
      </c>
      <c r="N9496" s="11">
        <f>HYPERLINK("https://www.vietnamworks.com/nhan-vien-dich-vu-khach-hang-2021320-jv","Xem chi tiết")</f>
        <v/>
      </c>
      <c r="O9496" s="10" t="n"/>
    </row>
    <row r="9497">
      <c r="B9497" s="7" t="n">
        <v>9495</v>
      </c>
      <c r="C9497" t="inlineStr">
        <is>
          <t>[HCM - Tuyển Gấp] Nhân Viên Kỹ Thuật (Lương 8 - 15 Triệu)</t>
        </is>
      </c>
      <c r="D9497" t="inlineStr">
        <is>
          <t>Công Ty Cổ Phần Gamma</t>
        </is>
      </c>
      <c r="E9497" t="inlineStr">
        <is>
          <t>8tr-15tr ₫/tháng</t>
        </is>
      </c>
      <c r="F9497" t="inlineStr">
        <is>
          <t>Hồ Chí Minh</t>
        </is>
      </c>
      <c r="G9497" t="inlineStr">
        <is>
          <t>Nhân viên</t>
        </is>
      </c>
      <c r="H9497" t="inlineStr">
        <is>
          <t>10/03/2026</t>
        </is>
      </c>
      <c r="I9497" t="inlineStr">
        <is>
          <t>25/03/2026</t>
        </is>
      </c>
      <c r="J9497" t="inlineStr">
        <is>
          <t>17/03/2026</t>
        </is>
      </c>
      <c r="K9497" t="inlineStr">
        <is>
          <t>N/A</t>
        </is>
      </c>
      <c r="L9497" t="inlineStr">
        <is>
          <t>Lập Trình AutoCAD, Bảo Trì, Thiết Bị Thông Minh, Điện Nhẹ, Điện tử</t>
        </is>
      </c>
      <c r="M9497" t="inlineStr">
        <is>
          <t>Bonus, Healthcare Plan, Training, Others</t>
        </is>
      </c>
      <c r="N9497" s="8">
        <f>HYPERLINK("https://www.vietnamworks.com/hcm-tuyen-gap-nhan-vien-ky-thuat-luong-8-15-trieu-2021319-jv","Xem chi tiết")</f>
        <v/>
      </c>
    </row>
    <row r="9498">
      <c r="B9498" s="9" t="n">
        <v>9496</v>
      </c>
      <c r="C9498" s="10" t="inlineStr">
        <is>
          <t>Procurement Manager</t>
        </is>
      </c>
      <c r="D9498" s="10" t="inlineStr">
        <is>
          <t>Universal Alloy Corporation Vietnam</t>
        </is>
      </c>
      <c r="E9498" s="10" t="inlineStr">
        <is>
          <t>Thương lượng</t>
        </is>
      </c>
      <c r="F9498" s="10" t="inlineStr">
        <is>
          <t>Đà Nẵng</t>
        </is>
      </c>
      <c r="G9498" s="10" t="inlineStr">
        <is>
          <t>Trưởng phòng</t>
        </is>
      </c>
      <c r="H9498" s="10" t="inlineStr">
        <is>
          <t>10/03/2026</t>
        </is>
      </c>
      <c r="I9498" s="10" t="inlineStr">
        <is>
          <t>09/04/2026</t>
        </is>
      </c>
      <c r="J9498" s="10" t="inlineStr">
        <is>
          <t>17/03/2026</t>
        </is>
      </c>
      <c r="K9498" s="10" t="inlineStr">
        <is>
          <t>N/A</t>
        </is>
      </c>
      <c r="L9498" s="10" t="inlineStr">
        <is>
          <t>Leadership, Negotiation Skills, Project Procurement Management, Supplier Relationship Management</t>
        </is>
      </c>
      <c r="M9498" s="10" t="inlineStr">
        <is>
          <t>Bonus, Healthcare Plan, Others</t>
        </is>
      </c>
      <c r="N9498" s="11">
        <f>HYPERLINK("https://www.vietnamworks.com/procurement-manager-2021336-jv","Xem chi tiết")</f>
        <v/>
      </c>
      <c r="O9498" s="10" t="n"/>
    </row>
    <row r="9499">
      <c r="B9499" s="7" t="n">
        <v>9497</v>
      </c>
      <c r="C9499" t="inlineStr">
        <is>
          <t>Nhân Viên Dịch Vụ Khách Hàng và Thủ Tục Xuất Khẩu</t>
        </is>
      </c>
      <c r="D9499" t="inlineStr">
        <is>
          <t>INOAC Vietnam CO., LTD.</t>
        </is>
      </c>
      <c r="E9499" t="inlineStr">
        <is>
          <t>Thương lượng</t>
        </is>
      </c>
      <c r="F9499" t="inlineStr">
        <is>
          <t>Hà Nội, Vĩnh Phúc</t>
        </is>
      </c>
      <c r="G9499" t="inlineStr">
        <is>
          <t>Nhân viên</t>
        </is>
      </c>
      <c r="H9499" t="inlineStr">
        <is>
          <t>10/03/2026</t>
        </is>
      </c>
      <c r="I9499" t="inlineStr">
        <is>
          <t>09/04/2026</t>
        </is>
      </c>
      <c r="J9499" t="inlineStr">
        <is>
          <t>17/03/2026</t>
        </is>
      </c>
      <c r="K9499" t="inlineStr">
        <is>
          <t>N/A</t>
        </is>
      </c>
      <c r="L9499" t="inlineStr">
        <is>
          <t>Customs declaration, Export, Customer Service, English, Excel</t>
        </is>
      </c>
      <c r="M9499" t="inlineStr">
        <is>
          <t>Bonus, Training, Transportation</t>
        </is>
      </c>
      <c r="N9499" s="8">
        <f>HYPERLINK("https://www.vietnamworks.com/nhan-vien-dich-vu-khach-hang-va-thu-tuc-xuat-khau-2021343-jv","Xem chi tiết")</f>
        <v/>
      </c>
    </row>
    <row r="9500">
      <c r="B9500" s="9" t="n">
        <v>9498</v>
      </c>
      <c r="C9500" s="10" t="inlineStr">
        <is>
          <t>Embedded Test Engineer (1-Year Contractor)</t>
        </is>
      </c>
      <c r="D9500" s="10" t="inlineStr">
        <is>
          <t>Bosch Global Software Technologies Company Limited</t>
        </is>
      </c>
      <c r="E9500" s="10" t="inlineStr">
        <is>
          <t>Thương lượng</t>
        </is>
      </c>
      <c r="F9500" s="10" t="inlineStr">
        <is>
          <t>Hồ Chí Minh</t>
        </is>
      </c>
      <c r="G9500" s="10" t="inlineStr">
        <is>
          <t>Nhân viên</t>
        </is>
      </c>
      <c r="H9500" s="10" t="inlineStr">
        <is>
          <t>10/03/2026</t>
        </is>
      </c>
      <c r="I9500" s="10" t="inlineStr">
        <is>
          <t>09/04/2026</t>
        </is>
      </c>
      <c r="J9500" s="10" t="inlineStr">
        <is>
          <t>17/03/2026</t>
        </is>
      </c>
      <c r="K9500" s="10" t="inlineStr">
        <is>
          <t>N/A</t>
        </is>
      </c>
      <c r="L9500" s="10" t="inlineStr">
        <is>
          <t>Embedded, Embedded Testing, Component Testing, System Testing</t>
        </is>
      </c>
      <c r="M9500" s="10" t="inlineStr">
        <is>
          <t>Bonus, Healthcare Plan, Paid Leave</t>
        </is>
      </c>
      <c r="N9500" s="11">
        <f>HYPERLINK("https://www.vietnamworks.com/embedded-test-engineer-1-year-contractor--2021342-jv","Xem chi tiết")</f>
        <v/>
      </c>
      <c r="O9500" s="10" t="n"/>
    </row>
    <row r="9501">
      <c r="B9501" s="7" t="n">
        <v>9499</v>
      </c>
      <c r="C9501" t="inlineStr">
        <is>
          <t>Chuyên Viên Cao Cấp Quản Trị Tài Chính Đầu Tư</t>
        </is>
      </c>
      <c r="D9501" t="inlineStr">
        <is>
          <t>T&amp;T Group</t>
        </is>
      </c>
      <c r="E9501" t="inlineStr">
        <is>
          <t>Thương lượng</t>
        </is>
      </c>
      <c r="F9501" t="inlineStr">
        <is>
          <t>Hà Nội</t>
        </is>
      </c>
      <c r="G9501" t="inlineStr">
        <is>
          <t>Nhân viên</t>
        </is>
      </c>
      <c r="H9501" t="inlineStr">
        <is>
          <t>10/03/2026</t>
        </is>
      </c>
      <c r="I9501" t="inlineStr">
        <is>
          <t>09/04/2026</t>
        </is>
      </c>
      <c r="J9501" t="inlineStr">
        <is>
          <t>17/03/2026</t>
        </is>
      </c>
      <c r="K9501" t="inlineStr">
        <is>
          <t>N/A</t>
        </is>
      </c>
      <c r="L9501" t="inlineStr">
        <is>
          <t>Quản Trị Tài Chính, Đầu Tư Tài Chính</t>
        </is>
      </c>
      <c r="M9501" t="inlineStr">
        <is>
          <t>Bonus, Healthcare Plan, Others</t>
        </is>
      </c>
      <c r="N9501" s="8">
        <f>HYPERLINK("https://www.vietnamworks.com/chuyen-vien-cao-cap-quan-tri-tai-chinh-dau-tu-2021333-jv","Xem chi tiết")</f>
        <v/>
      </c>
    </row>
    <row r="9502">
      <c r="B9502" s="9" t="n">
        <v>9500</v>
      </c>
      <c r="C9502" s="10" t="inlineStr">
        <is>
          <t>Giám Đốc Tài Chính/ Chief Financial Officer</t>
        </is>
      </c>
      <c r="D9502" s="10" t="inlineStr">
        <is>
          <t>Công Ty Cổ Phần Tập Đoàn Royal CAPITAL</t>
        </is>
      </c>
      <c r="E9502" s="10" t="inlineStr">
        <is>
          <t>Thương lượng</t>
        </is>
      </c>
      <c r="F9502" s="10" t="inlineStr">
        <is>
          <t>Quảng Nam</t>
        </is>
      </c>
      <c r="G9502" s="10" t="inlineStr">
        <is>
          <t>Giám Đốc và Cấp Cao Hơn</t>
        </is>
      </c>
      <c r="H9502" s="10" t="inlineStr">
        <is>
          <t>10/03/2026</t>
        </is>
      </c>
      <c r="I9502" s="10" t="inlineStr">
        <is>
          <t>09/04/2026</t>
        </is>
      </c>
      <c r="J9502" s="10" t="inlineStr">
        <is>
          <t>17/03/2026</t>
        </is>
      </c>
      <c r="K9502" s="10" t="inlineStr">
        <is>
          <t>N/A</t>
        </is>
      </c>
      <c r="L9502" s="10" t="inlineStr">
        <is>
          <t>Quản Lý Nguồn Vốn, Huy Động Dòng Tiền, Phân Tích Báo Cáo Tài Chính, Phân Tích Đầu Tư, Thẩm Định</t>
        </is>
      </c>
      <c r="M9502" s="10" t="inlineStr">
        <is>
          <t>Bonus</t>
        </is>
      </c>
      <c r="N9502" s="11">
        <f>HYPERLINK("https://www.vietnamworks.com/giam-djoc-tai-chinh-chief-financial-officer-2021344-jv","Xem chi tiết")</f>
        <v/>
      </c>
      <c r="O9502" s="10" t="n"/>
    </row>
    <row r="9503">
      <c r="B9503" s="7" t="n">
        <v>9501</v>
      </c>
      <c r="C9503" t="inlineStr">
        <is>
          <t>Giám Sát Thú Y (Quảng Ngãi)</t>
        </is>
      </c>
      <c r="D9503" t="inlineStr">
        <is>
          <t>Công Ty Cổ Phần Tập Đoàn TH</t>
        </is>
      </c>
      <c r="E9503" t="inlineStr">
        <is>
          <t>Thương lượng</t>
        </is>
      </c>
      <c r="F9503" t="inlineStr">
        <is>
          <t>Quảng Ngãi</t>
        </is>
      </c>
      <c r="G9503" t="inlineStr">
        <is>
          <t>Trưởng phòng</t>
        </is>
      </c>
      <c r="H9503" t="inlineStr">
        <is>
          <t>10/03/2026</t>
        </is>
      </c>
      <c r="I9503" t="inlineStr">
        <is>
          <t>09/04/2026</t>
        </is>
      </c>
      <c r="J9503" t="inlineStr">
        <is>
          <t>17/03/2026</t>
        </is>
      </c>
      <c r="K9503" t="inlineStr">
        <is>
          <t>N/A</t>
        </is>
      </c>
      <c r="L9503" t="inlineStr">
        <is>
          <t>Thú Y, Chăn Nuôi, Chăn Nuôi Thú Y</t>
        </is>
      </c>
      <c r="M9503" t="inlineStr">
        <is>
          <t>Bonus</t>
        </is>
      </c>
      <c r="N9503" s="8">
        <f>HYPERLINK("https://www.vietnamworks.com/giam-sat-thu-y-quang-ngai-2021352-jv","Xem chi tiết")</f>
        <v/>
      </c>
    </row>
    <row r="9504">
      <c r="B9504" s="9" t="n">
        <v>9502</v>
      </c>
      <c r="C9504" s="10" t="inlineStr">
        <is>
          <t>Nhân Viên Kỹ Thuật Thang Máy (AutoCAD)</t>
        </is>
      </c>
      <c r="D9504" s="10" t="inlineStr">
        <is>
          <t>Công Ty TNHH Kỹ Thuật Thương Mại Thái Hoàng Phát</t>
        </is>
      </c>
      <c r="E9504" s="10" t="inlineStr">
        <is>
          <t>9tr-12tr ₫/tháng</t>
        </is>
      </c>
      <c r="F9504" s="10" t="inlineStr">
        <is>
          <t>Hồ Chí Minh</t>
        </is>
      </c>
      <c r="G9504" s="10" t="inlineStr">
        <is>
          <t>Nhân viên</t>
        </is>
      </c>
      <c r="H9504" s="10" t="inlineStr">
        <is>
          <t>10/03/2026</t>
        </is>
      </c>
      <c r="I9504" s="10" t="inlineStr">
        <is>
          <t>09/04/2026</t>
        </is>
      </c>
      <c r="J9504" s="10" t="inlineStr">
        <is>
          <t>17/03/2026</t>
        </is>
      </c>
      <c r="K9504" s="10" t="inlineStr">
        <is>
          <t>N/A</t>
        </is>
      </c>
      <c r="L9504" s="10" t="inlineStr">
        <is>
          <t>AutoCAD, Technical Design, Kỹ Thuật, Thang máy, Cơ Khí</t>
        </is>
      </c>
      <c r="M9504" s="10" t="inlineStr">
        <is>
          <t>Bonus, Training, Others</t>
        </is>
      </c>
      <c r="N9504" s="11">
        <f>HYPERLINK("https://www.vietnamworks.com/nhan-vien-ky-thuat-thang-may-autocad-2021345-jv","Xem chi tiết")</f>
        <v/>
      </c>
      <c r="O9504" s="10" t="n"/>
    </row>
    <row r="9505">
      <c r="B9505" s="7" t="n">
        <v>9503</v>
      </c>
      <c r="C9505" t="inlineStr">
        <is>
          <t>Application/ Process Engineer (Wastewater, Waste Treatment, Renewable Energy)</t>
        </is>
      </c>
      <c r="D9505" t="inlineStr">
        <is>
          <t>CÔNG TY TNHH ANAERGIA VIETNAM</t>
        </is>
      </c>
      <c r="E9505" t="inlineStr">
        <is>
          <t>Thương lượng</t>
        </is>
      </c>
      <c r="F9505" t="inlineStr">
        <is>
          <t>Hồ Chí Minh</t>
        </is>
      </c>
      <c r="G9505" t="inlineStr">
        <is>
          <t>Mới Tốt Nghiệp</t>
        </is>
      </c>
      <c r="H9505" t="inlineStr">
        <is>
          <t>10/03/2026</t>
        </is>
      </c>
      <c r="I9505" t="inlineStr">
        <is>
          <t>09/04/2026</t>
        </is>
      </c>
      <c r="J9505" t="inlineStr">
        <is>
          <t>17/03/2026</t>
        </is>
      </c>
      <c r="K9505" t="inlineStr">
        <is>
          <t>N/A</t>
        </is>
      </c>
      <c r="L9505" t="inlineStr">
        <is>
          <t>Wastewater Treatment, AutoCAD, System Design, Technical Support, Renewable Energy</t>
        </is>
      </c>
      <c r="M9505" t="inlineStr">
        <is>
          <t>Bonus, Healthcare Plan, Others</t>
        </is>
      </c>
      <c r="N9505" s="8">
        <f>HYPERLINK("https://www.vietnamworks.com/application-process-engineer-wastewater-waste-treatment-renewable-energy-2021348-jv","Xem chi tiết")</f>
        <v/>
      </c>
    </row>
    <row r="9506">
      <c r="B9506" s="9" t="n">
        <v>9504</v>
      </c>
      <c r="C9506" s="10" t="inlineStr">
        <is>
          <t>Digital Transformation Manager</t>
        </is>
      </c>
      <c r="D9506" s="10" t="inlineStr">
        <is>
          <t>Rechic</t>
        </is>
      </c>
      <c r="E9506" s="10" t="inlineStr">
        <is>
          <t>$$ 2,000-2,500 /tháng</t>
        </is>
      </c>
      <c r="F9506" s="10" t="inlineStr">
        <is>
          <t>Hồ Chí Minh</t>
        </is>
      </c>
      <c r="G9506" s="10" t="inlineStr">
        <is>
          <t>Trưởng phòng</t>
        </is>
      </c>
      <c r="H9506" s="10" t="inlineStr">
        <is>
          <t>10/03/2026</t>
        </is>
      </c>
      <c r="I9506" s="10" t="inlineStr">
        <is>
          <t>09/04/2026</t>
        </is>
      </c>
      <c r="J9506" s="10" t="inlineStr">
        <is>
          <t>17/03/2026</t>
        </is>
      </c>
      <c r="K9506" s="10" t="inlineStr">
        <is>
          <t>N/A</t>
        </is>
      </c>
      <c r="L9506" s="10" t="inlineStr">
        <is>
          <t>Project Management, IT Transformation, Business Model Transformation, ERP, ODOO</t>
        </is>
      </c>
      <c r="M9506" s="10" t="inlineStr">
        <is>
          <t>Bonus, Healthcare Plan, Paid Leave</t>
        </is>
      </c>
      <c r="N9506" s="11">
        <f>HYPERLINK("https://www.vietnamworks.com/digital-transformation-manager--2021363-jv","Xem chi tiết")</f>
        <v/>
      </c>
      <c r="O9506" s="10" t="n"/>
    </row>
    <row r="9507">
      <c r="B9507" s="7" t="n">
        <v>9505</v>
      </c>
      <c r="C9507" t="inlineStr">
        <is>
          <t>Kiểm Soát Thiết Kế</t>
        </is>
      </c>
      <c r="D9507" t="inlineStr">
        <is>
          <t>Trần Hồng Quân Holdings</t>
        </is>
      </c>
      <c r="E9507" t="inlineStr">
        <is>
          <t>Thương lượng</t>
        </is>
      </c>
      <c r="F9507" t="inlineStr">
        <is>
          <t>Hà Nội</t>
        </is>
      </c>
      <c r="G9507" t="inlineStr">
        <is>
          <t>Nhân viên</t>
        </is>
      </c>
      <c r="H9507" t="inlineStr">
        <is>
          <t>10/03/2026</t>
        </is>
      </c>
      <c r="I9507" t="inlineStr">
        <is>
          <t>09/04/2026</t>
        </is>
      </c>
      <c r="J9507" t="inlineStr">
        <is>
          <t>17/03/2026</t>
        </is>
      </c>
      <c r="K9507" t="inlineStr">
        <is>
          <t>N/A</t>
        </is>
      </c>
      <c r="L9507" t="inlineStr">
        <is>
          <t>Autocad, Giải Quyết Vấn Đề, Kiến Trúc Công Trình, Lập Quy Hoạch, Xây Dựng</t>
        </is>
      </c>
      <c r="M9507" t="inlineStr">
        <is>
          <t>Bonus, Healthcare Plan, Laptop, Team Activities, Canteen, Others</t>
        </is>
      </c>
      <c r="N9507" s="8">
        <f>HYPERLINK("https://www.vietnamworks.com/kiem-soat-thiet-ke-2021353-jv","Xem chi tiết")</f>
        <v/>
      </c>
    </row>
    <row r="9508">
      <c r="B9508" s="9" t="n">
        <v>9506</v>
      </c>
      <c r="C9508" s="10" t="inlineStr">
        <is>
          <t>[Urgent] Accounting Executive - Kế Toán Viên</t>
        </is>
      </c>
      <c r="D9508" s="10" t="inlineStr">
        <is>
          <t>Korchina Logistics (Viet Nam) Co., Ltd</t>
        </is>
      </c>
      <c r="E9508" s="10" t="inlineStr">
        <is>
          <t>Thương lượng</t>
        </is>
      </c>
      <c r="F9508" s="10" t="inlineStr">
        <is>
          <t>Hồ Chí Minh</t>
        </is>
      </c>
      <c r="G9508" s="10" t="inlineStr">
        <is>
          <t>Nhân viên</t>
        </is>
      </c>
      <c r="H9508" s="10" t="inlineStr">
        <is>
          <t>10/03/2026</t>
        </is>
      </c>
      <c r="I9508" s="10" t="inlineStr">
        <is>
          <t>09/04/2026</t>
        </is>
      </c>
      <c r="J9508" s="10" t="inlineStr">
        <is>
          <t>17/03/2026</t>
        </is>
      </c>
      <c r="K9508" s="10" t="inlineStr">
        <is>
          <t>N/A</t>
        </is>
      </c>
      <c r="L9508" s="10" t="inlineStr">
        <is>
          <t>Tax Compliance, Accounting Software, Account Payable, Account Receivable, Vat Regulations</t>
        </is>
      </c>
      <c r="M9508" s="10" t="inlineStr">
        <is>
          <t>Bonus, Healthcare Plan, Team Activities</t>
        </is>
      </c>
      <c r="N9508" s="11">
        <f>HYPERLINK("https://www.vietnamworks.com/urgent-accounting-executive-ke-toan-vien--2021347-jv","Xem chi tiết")</f>
        <v/>
      </c>
      <c r="O9508" s="10" t="n"/>
    </row>
    <row r="9509">
      <c r="B9509" s="7" t="n">
        <v>9507</v>
      </c>
      <c r="C9509" t="inlineStr">
        <is>
          <t>Facade Engineer (Kỹ sư mặt dựng)</t>
        </is>
      </c>
      <c r="D9509" t="inlineStr">
        <is>
          <t>Van Aelst - Nguyen &amp; Partners Architecture Consulting Company Limited</t>
        </is>
      </c>
      <c r="E9509" t="inlineStr">
        <is>
          <t>Thương lượng</t>
        </is>
      </c>
      <c r="F9509" t="inlineStr">
        <is>
          <t>Hồ Chí Minh</t>
        </is>
      </c>
      <c r="G9509" t="inlineStr">
        <is>
          <t>Nhân viên</t>
        </is>
      </c>
      <c r="H9509" t="inlineStr">
        <is>
          <t>10/03/2026</t>
        </is>
      </c>
      <c r="I9509" t="inlineStr">
        <is>
          <t>09/04/2026</t>
        </is>
      </c>
      <c r="J9509" t="inlineStr">
        <is>
          <t>17/03/2026</t>
        </is>
      </c>
      <c r="K9509" t="inlineStr">
        <is>
          <t>N/A</t>
        </is>
      </c>
      <c r="L9509" t="inlineStr">
        <is>
          <t>Analytical Skills, Autocad, Bim Platforms, Facade Design, Structural Analysis</t>
        </is>
      </c>
      <c r="M9509" t="inlineStr">
        <is>
          <t>Others</t>
        </is>
      </c>
      <c r="N9509" s="8">
        <f>HYPERLINK("https://www.vietnamworks.com/facade-engineer-ky-su-mat-dung-2021361-jv","Xem chi tiết")</f>
        <v/>
      </c>
    </row>
    <row r="9510">
      <c r="B9510" s="9" t="n">
        <v>9508</v>
      </c>
      <c r="C9510" s="10" t="inlineStr">
        <is>
          <t>Giám Đốc Chi Nhánh-0226</t>
        </is>
      </c>
      <c r="D9510" s="10" t="inlineStr">
        <is>
          <t>Tổ chức tài chính vi mô TNHH MTV Tình Thương (TYM)</t>
        </is>
      </c>
      <c r="E9510" s="10" t="inlineStr">
        <is>
          <t>Thương lượng</t>
        </is>
      </c>
      <c r="F9510" s="10" t="inlineStr">
        <is>
          <t>Hà Nội</t>
        </is>
      </c>
      <c r="G9510" s="10" t="inlineStr">
        <is>
          <t>Giám Đốc và Cấp Cao Hơn</t>
        </is>
      </c>
      <c r="H9510" s="10" t="inlineStr">
        <is>
          <t>10/03/2026</t>
        </is>
      </c>
      <c r="I9510" s="10" t="inlineStr">
        <is>
          <t>09/04/2026</t>
        </is>
      </c>
      <c r="J9510" s="10" t="inlineStr">
        <is>
          <t>17/03/2026</t>
        </is>
      </c>
      <c r="K9510" s="10" t="inlineStr">
        <is>
          <t>N/A</t>
        </is>
      </c>
      <c r="L9510" s="10" t="inlineStr">
        <is>
          <t>Ngân hàng, Tài Chính, Phát Triển Sản Phẩm, Tín Dụng Ngân Hàng, Quản Lý</t>
        </is>
      </c>
      <c r="M9510" s="10" t="inlineStr">
        <is>
          <t>Bonus, Others</t>
        </is>
      </c>
      <c r="N9510" s="11">
        <f>HYPERLINK("https://www.vietnamworks.com/giam-djoc-chi-nhanh-0226-2021365-jv","Xem chi tiết")</f>
        <v/>
      </c>
      <c r="O9510" s="10" t="n"/>
    </row>
    <row r="9511">
      <c r="B9511" s="7" t="n">
        <v>9509</v>
      </c>
      <c r="C9511" t="inlineStr">
        <is>
          <t>Senior Sales Excutives</t>
        </is>
      </c>
      <c r="D9511" t="inlineStr">
        <is>
          <t>Indochina Kajima Development Company (ICCK)</t>
        </is>
      </c>
      <c r="E9511" t="inlineStr">
        <is>
          <t>Thương lượng</t>
        </is>
      </c>
      <c r="F9511" t="inlineStr">
        <is>
          <t>Hà Nội</t>
        </is>
      </c>
      <c r="G9511" t="inlineStr">
        <is>
          <t>Nhân viên</t>
        </is>
      </c>
      <c r="H9511" t="inlineStr">
        <is>
          <t>10/03/2026</t>
        </is>
      </c>
      <c r="I9511" t="inlineStr">
        <is>
          <t>09/04/2026</t>
        </is>
      </c>
      <c r="J9511" t="inlineStr">
        <is>
          <t>17/03/2026</t>
        </is>
      </c>
      <c r="K9511" t="inlineStr">
        <is>
          <t>N/A</t>
        </is>
      </c>
      <c r="L9511" t="inlineStr">
        <is>
          <t>Sales Training, Sales experience, Market Research, Negotiation Skills, Communication Skills</t>
        </is>
      </c>
      <c r="M9511" t="inlineStr">
        <is>
          <t>Bonus</t>
        </is>
      </c>
      <c r="N9511" s="8">
        <f>HYPERLINK("https://www.vietnamworks.com/senior-sales-excutives-2021382-jv","Xem chi tiết")</f>
        <v/>
      </c>
    </row>
    <row r="9512">
      <c r="B9512" s="9" t="n">
        <v>9510</v>
      </c>
      <c r="C9512" s="10" t="inlineStr">
        <is>
          <t>After-Sales Technical Engineer</t>
        </is>
      </c>
      <c r="D9512" s="10" t="inlineStr">
        <is>
          <t>Hangzhou IECHO Technology Co., Ltd.</t>
        </is>
      </c>
      <c r="E9512" s="10" t="inlineStr">
        <is>
          <t>$$ 700-1,000 /tháng</t>
        </is>
      </c>
      <c r="F9512" s="10" t="inlineStr">
        <is>
          <t>Hồ Chí Minh</t>
        </is>
      </c>
      <c r="G9512" s="10" t="inlineStr">
        <is>
          <t>Mới Tốt Nghiệp</t>
        </is>
      </c>
      <c r="H9512" s="10" t="inlineStr">
        <is>
          <t>10/03/2026</t>
        </is>
      </c>
      <c r="I9512" s="10" t="inlineStr">
        <is>
          <t>09/04/2026</t>
        </is>
      </c>
      <c r="J9512" s="10" t="inlineStr">
        <is>
          <t>17/03/2026</t>
        </is>
      </c>
      <c r="K9512" s="10" t="inlineStr">
        <is>
          <t>N/A</t>
        </is>
      </c>
      <c r="L9512" s="10" t="inlineStr">
        <is>
          <t>Chinese Language</t>
        </is>
      </c>
      <c r="M9512" s="10" t="inlineStr">
        <is>
          <t>Bonus</t>
        </is>
      </c>
      <c r="N9512" s="11">
        <f>HYPERLINK("https://www.vietnamworks.com/after-sales-technical-engineer-2021364-jv","Xem chi tiết")</f>
        <v/>
      </c>
      <c r="O9512" s="10" t="n"/>
    </row>
    <row r="9513">
      <c r="B9513" s="7" t="n">
        <v>9511</v>
      </c>
      <c r="C9513" t="inlineStr">
        <is>
          <t>Vice Principal (Primary &amp; Secondary)</t>
        </is>
      </c>
      <c r="D9513" t="inlineStr">
        <is>
          <t>Hệ Thống Giáo Dục Victoria School</t>
        </is>
      </c>
      <c r="E9513" t="inlineStr">
        <is>
          <t>Thương lượng</t>
        </is>
      </c>
      <c r="F9513" t="inlineStr">
        <is>
          <t>Hồ Chí Minh</t>
        </is>
      </c>
      <c r="G9513" t="inlineStr">
        <is>
          <t>Trưởng phòng</t>
        </is>
      </c>
      <c r="H9513" t="inlineStr">
        <is>
          <t>10/03/2026</t>
        </is>
      </c>
      <c r="I9513" t="inlineStr">
        <is>
          <t>09/04/2026</t>
        </is>
      </c>
      <c r="J9513" t="inlineStr">
        <is>
          <t>17/03/2026</t>
        </is>
      </c>
      <c r="K9513" t="inlineStr">
        <is>
          <t>N/A</t>
        </is>
      </c>
      <c r="L9513" t="inlineStr">
        <is>
          <t>English, Operations Management, Education Management</t>
        </is>
      </c>
      <c r="M9513" t="inlineStr">
        <is>
          <t>Healthcare Plan, Paid Leave, Training, Awards, Canteen, Vouchers, Others</t>
        </is>
      </c>
      <c r="N9513" s="8">
        <f>HYPERLINK("https://www.vietnamworks.com/vice-principal-primary-secondary-2021351-jv","Xem chi tiết")</f>
        <v/>
      </c>
    </row>
    <row r="9514">
      <c r="B9514" s="9" t="n">
        <v>9512</v>
      </c>
      <c r="C9514" s="10" t="inlineStr">
        <is>
          <t>Chuyên Viên Sự Kiện và Phát Triển Thương Hiệu</t>
        </is>
      </c>
      <c r="D9514" s="10" t="inlineStr">
        <is>
          <t>Wellspring Saigon International Bilingual School</t>
        </is>
      </c>
      <c r="E9514" s="10" t="inlineStr">
        <is>
          <t>Thương lượng</t>
        </is>
      </c>
      <c r="F9514" s="10" t="inlineStr">
        <is>
          <t>Hồ Chí Minh</t>
        </is>
      </c>
      <c r="G9514" s="10" t="inlineStr">
        <is>
          <t>Nhân viên</t>
        </is>
      </c>
      <c r="H9514" s="10" t="inlineStr">
        <is>
          <t>10/03/2026</t>
        </is>
      </c>
      <c r="I9514" s="10" t="inlineStr">
        <is>
          <t>09/04/2026</t>
        </is>
      </c>
      <c r="J9514" s="10" t="inlineStr">
        <is>
          <t>17/03/2026</t>
        </is>
      </c>
      <c r="K9514" s="10" t="inlineStr">
        <is>
          <t>N/A</t>
        </is>
      </c>
      <c r="L9514" s="10" t="inlineStr">
        <is>
          <t>Event Organizing, Event operations, Event &amp; Activation Marketing, Event Administration, Event Preparation</t>
        </is>
      </c>
      <c r="M9514" s="10" t="inlineStr">
        <is>
          <t>Bonus, Healthcare Plan, Travel Opportunities</t>
        </is>
      </c>
      <c r="N9514" s="11">
        <f>HYPERLINK("https://www.vietnamworks.com/chuyen-vien-su-kien-va-phat-trien-thuong-hieu--2021362-jv","Xem chi tiết")</f>
        <v/>
      </c>
      <c r="O9514" s="10" t="n"/>
    </row>
    <row r="9515">
      <c r="B9515" s="7" t="n">
        <v>9513</v>
      </c>
      <c r="C9515" t="inlineStr">
        <is>
          <t>Chuyên Gia Phân Tích Dữ Liệu Khách Hàng Và Đánh Giá Hiệu Quả</t>
        </is>
      </c>
      <c r="D9515" t="inlineStr">
        <is>
          <t>Công Ty Cổ Phần Chứng Khoán SSI</t>
        </is>
      </c>
      <c r="E9515" t="inlineStr">
        <is>
          <t>Thương lượng</t>
        </is>
      </c>
      <c r="F9515" t="inlineStr">
        <is>
          <t>Hà Nội</t>
        </is>
      </c>
      <c r="G9515" t="inlineStr">
        <is>
          <t>Nhân viên</t>
        </is>
      </c>
      <c r="H9515" t="inlineStr">
        <is>
          <t>10/03/2026</t>
        </is>
      </c>
      <c r="I9515" t="inlineStr">
        <is>
          <t>09/04/2026</t>
        </is>
      </c>
      <c r="J9515" t="inlineStr">
        <is>
          <t>17/03/2026</t>
        </is>
      </c>
      <c r="K9515" t="inlineStr">
        <is>
          <t>N/A</t>
        </is>
      </c>
      <c r="L9515" t="inlineStr">
        <is>
          <t>Chứng khoán, Fintech, Phân Tích Dữ Liệu, Power BI, Quản Lý Sản Phẩm</t>
        </is>
      </c>
      <c r="M9515" t="inlineStr">
        <is>
          <t>Bonus, Healthcare Plan, Training</t>
        </is>
      </c>
      <c r="N9515" s="8">
        <f>HYPERLINK("https://www.vietnamworks.com/chuyen-gia-phan-tich-du-lieu-khach-hang-va-djanh-gia-hieu-qua-2021359-jv","Xem chi tiết")</f>
        <v/>
      </c>
    </row>
    <row r="9516">
      <c r="B9516" s="9" t="n">
        <v>9514</v>
      </c>
      <c r="C9516" s="10" t="inlineStr">
        <is>
          <t>Pur Technical Officer/kỹ Thuật Viên Pur</t>
        </is>
      </c>
      <c r="D9516" s="10" t="inlineStr">
        <is>
          <t>Crystal Martin (Vietnam) Company Limited</t>
        </is>
      </c>
      <c r="E9516" s="10" t="inlineStr">
        <is>
          <t>Thương lượng</t>
        </is>
      </c>
      <c r="F9516" s="10" t="inlineStr">
        <is>
          <t>Bắc Giang, Bắc Ninh</t>
        </is>
      </c>
      <c r="G9516" s="10" t="inlineStr">
        <is>
          <t>Nhân viên</t>
        </is>
      </c>
      <c r="H9516" s="10" t="inlineStr">
        <is>
          <t>10/03/2026</t>
        </is>
      </c>
      <c r="I9516" s="10" t="inlineStr">
        <is>
          <t>09/04/2026</t>
        </is>
      </c>
      <c r="J9516" s="10" t="inlineStr">
        <is>
          <t>17/03/2026</t>
        </is>
      </c>
      <c r="K9516" s="10" t="inlineStr">
        <is>
          <t>N/A</t>
        </is>
      </c>
      <c r="L9516" s="10" t="inlineStr">
        <is>
          <t>Garment Technician, Development</t>
        </is>
      </c>
      <c r="M9516" s="10" t="inlineStr">
        <is>
          <t>Bonus, Transportation, Canteen</t>
        </is>
      </c>
      <c r="N9516" s="11">
        <f>HYPERLINK("https://www.vietnamworks.com/pur-technical-officer-ky-thuat-vien-pur-2021395-jv","Xem chi tiết")</f>
        <v/>
      </c>
      <c r="O9516" s="10" t="n"/>
    </row>
    <row r="9517">
      <c r="B9517" s="7" t="n">
        <v>9515</v>
      </c>
      <c r="C9517" t="inlineStr">
        <is>
          <t>Giám Sát Bảo Trì Trung Tâm Thức Ăn và Hệ Thống Điện (Quảng Ngãi)</t>
        </is>
      </c>
      <c r="D9517" t="inlineStr">
        <is>
          <t>Công Ty Cổ Phần Tập Đoàn TH</t>
        </is>
      </c>
      <c r="E9517" t="inlineStr">
        <is>
          <t>Thương lượng</t>
        </is>
      </c>
      <c r="F9517" t="inlineStr">
        <is>
          <t>Quảng Ngãi</t>
        </is>
      </c>
      <c r="G9517" t="inlineStr">
        <is>
          <t>Trưởng phòng</t>
        </is>
      </c>
      <c r="H9517" t="inlineStr">
        <is>
          <t>10/03/2026</t>
        </is>
      </c>
      <c r="I9517" t="inlineStr">
        <is>
          <t>09/04/2026</t>
        </is>
      </c>
      <c r="J9517" t="inlineStr">
        <is>
          <t>17/03/2026</t>
        </is>
      </c>
      <c r="K9517" t="inlineStr">
        <is>
          <t>N/A</t>
        </is>
      </c>
      <c r="L9517" t="inlineStr">
        <is>
          <t>Kế Toán, Kế Toán Trưởng, Kế Toán Tổng Hợp, Chứng chỉ Kế Toán Tổng Hợp, Kế Toán Tài Chính</t>
        </is>
      </c>
      <c r="M9517" t="inlineStr">
        <is>
          <t>Bonus</t>
        </is>
      </c>
      <c r="N9517" s="8">
        <f>HYPERLINK("https://www.vietnamworks.com/giam-sat-bao-tri-trung-tam-thuc-an-va-he-thong-dien-quang-ngai-2021390-jv","Xem chi tiết")</f>
        <v/>
      </c>
    </row>
    <row r="9518">
      <c r="B9518" s="9" t="n">
        <v>9516</v>
      </c>
      <c r="C9518" s="10" t="inlineStr">
        <is>
          <t>Site Engineer (Giám Sát Xây Dựng)</t>
        </is>
      </c>
      <c r="D9518" s="10" t="inlineStr">
        <is>
          <t>Công Ty Cổ Phần Kiến Trúc Tư Vấn Quản Lý Đông Dương</t>
        </is>
      </c>
      <c r="E9518" s="10" t="inlineStr">
        <is>
          <t>Thương lượng</t>
        </is>
      </c>
      <c r="F9518" s="10" t="inlineStr">
        <is>
          <t>Hồ Chí Minh, Hà Nội</t>
        </is>
      </c>
      <c r="G9518" s="10" t="inlineStr">
        <is>
          <t>Nhân viên</t>
        </is>
      </c>
      <c r="H9518" s="10" t="inlineStr">
        <is>
          <t>10/03/2026</t>
        </is>
      </c>
      <c r="I9518" s="10" t="inlineStr">
        <is>
          <t>09/04/2026</t>
        </is>
      </c>
      <c r="J9518" s="10" t="inlineStr">
        <is>
          <t>17/03/2026</t>
        </is>
      </c>
      <c r="K9518" s="10" t="inlineStr">
        <is>
          <t>N/A</t>
        </is>
      </c>
      <c r="L9518" s="10" t="inlineStr">
        <is>
          <t>Xây Dựng, site engineer, Civil Engineering, AutoCAD, Project Progress Management</t>
        </is>
      </c>
      <c r="M9518" s="10" t="inlineStr">
        <is>
          <t>Bonus, Healthcare Plan, Training, Others</t>
        </is>
      </c>
      <c r="N9518" s="11">
        <f>HYPERLINK("https://www.vietnamworks.com/site-engineer-giam-sat-xay-dung-2021381-jv","Xem chi tiết")</f>
        <v/>
      </c>
      <c r="O9518" s="10" t="n"/>
    </row>
    <row r="9519">
      <c r="B9519" s="7" t="n">
        <v>9517</v>
      </c>
      <c r="C9519" t="inlineStr">
        <is>
          <t>Façade Engineering Designer (Junior) - Nhân Viên Thiết Kế Kỹ Thuật Mặt Dựng (Cấp Junior)</t>
        </is>
      </c>
      <c r="D9519" t="inlineStr">
        <is>
          <t>Van Aelst - Nguyen &amp; Partners Architecture Consulting Company Limited</t>
        </is>
      </c>
      <c r="E9519" t="inlineStr">
        <is>
          <t>Thương lượng</t>
        </is>
      </c>
      <c r="F9519" t="inlineStr">
        <is>
          <t>Hồ Chí Minh</t>
        </is>
      </c>
      <c r="G9519" t="inlineStr">
        <is>
          <t>Nhân viên</t>
        </is>
      </c>
      <c r="H9519" t="inlineStr">
        <is>
          <t>10/03/2026</t>
        </is>
      </c>
      <c r="I9519" t="inlineStr">
        <is>
          <t>09/04/2026</t>
        </is>
      </c>
      <c r="J9519" t="inlineStr">
        <is>
          <t>17/03/2026</t>
        </is>
      </c>
      <c r="K9519" t="inlineStr">
        <is>
          <t>N/A</t>
        </is>
      </c>
      <c r="L9519" t="inlineStr">
        <is>
          <t>Autocad, Bim Platforms, Facade Design, Structural Analysis, Civil Engineering</t>
        </is>
      </c>
      <c r="M9519" t="inlineStr">
        <is>
          <t>Others</t>
        </is>
      </c>
      <c r="N9519" s="8">
        <f>HYPERLINK("https://www.vietnamworks.com/facade-engineering-designer-junior-nhan-vien-thiet-ke-ky-thuat-mat-dung-cap-junior-2021371-jv","Xem chi tiết")</f>
        <v/>
      </c>
    </row>
    <row r="9520">
      <c r="B9520" s="9" t="n">
        <v>9518</v>
      </c>
      <c r="C9520" s="10" t="inlineStr">
        <is>
          <t>Head of Production</t>
        </is>
      </c>
      <c r="D9520" s="10" t="inlineStr">
        <is>
          <t>Công Ty TNHH TLT Electronics Vietnam</t>
        </is>
      </c>
      <c r="E9520" s="10" t="inlineStr">
        <is>
          <t>Thương lượng</t>
        </is>
      </c>
      <c r="F9520" s="10" t="inlineStr">
        <is>
          <t>Long An, Hồ Chí Minh</t>
        </is>
      </c>
      <c r="G9520" s="10" t="inlineStr">
        <is>
          <t>Trưởng phòng</t>
        </is>
      </c>
      <c r="H9520" s="10" t="inlineStr">
        <is>
          <t>10/03/2026</t>
        </is>
      </c>
      <c r="I9520" s="10" t="inlineStr">
        <is>
          <t>09/04/2026</t>
        </is>
      </c>
      <c r="J9520" s="10" t="inlineStr">
        <is>
          <t>17/03/2026</t>
        </is>
      </c>
      <c r="K9520" s="10" t="inlineStr">
        <is>
          <t>N/A</t>
        </is>
      </c>
      <c r="L9520" s="10" t="inlineStr">
        <is>
          <t>Quản Lý Sản Xuất, Production Planning, Production Management, Production, Kế Hoạch Sản Xuất</t>
        </is>
      </c>
      <c r="M9520" s="10" t="inlineStr">
        <is>
          <t>Bonus, Laptop, Others</t>
        </is>
      </c>
      <c r="N9520" s="11">
        <f>HYPERLINK("https://www.vietnamworks.com/head-of-production--2021393-jv","Xem chi tiết")</f>
        <v/>
      </c>
      <c r="O9520" s="10" t="n"/>
    </row>
    <row r="9521">
      <c r="B9521" s="7" t="n">
        <v>9519</v>
      </c>
      <c r="C9521" t="inlineStr">
        <is>
          <t>Kế Toán Tổng Hợp</t>
        </is>
      </c>
      <c r="D9521" t="inlineStr">
        <is>
          <t>Trần Hồng Quân Holdings</t>
        </is>
      </c>
      <c r="E9521" t="inlineStr">
        <is>
          <t>$$ 690-900 /tháng</t>
        </is>
      </c>
      <c r="F9521" t="inlineStr">
        <is>
          <t>Hà Nội</t>
        </is>
      </c>
      <c r="G9521" t="inlineStr">
        <is>
          <t>Nhân viên</t>
        </is>
      </c>
      <c r="H9521" t="inlineStr">
        <is>
          <t>10/03/2026</t>
        </is>
      </c>
      <c r="I9521" t="inlineStr">
        <is>
          <t>09/04/2026</t>
        </is>
      </c>
      <c r="J9521" t="inlineStr">
        <is>
          <t>17/03/2026</t>
        </is>
      </c>
      <c r="K9521" t="inlineStr">
        <is>
          <t>N/A</t>
        </is>
      </c>
      <c r="L9521" t="inlineStr">
        <is>
          <t>Gia Công Áp Lực, Kế Toán Tổng Hợp, Luật Thuế, Phần mềm kế toán, Phân Tích Số Liệu</t>
        </is>
      </c>
      <c r="M9521" t="inlineStr">
        <is>
          <t>Bonus, Healthcare Plan, Laptop, Team Activities, Canteen, Others</t>
        </is>
      </c>
      <c r="N9521" s="8">
        <f>HYPERLINK("https://www.vietnamworks.com/ke-toan-tong-hop-2021391-jv","Xem chi tiết")</f>
        <v/>
      </c>
    </row>
    <row r="9522">
      <c r="B9522" s="9" t="n">
        <v>9520</v>
      </c>
      <c r="C9522" s="10" t="inlineStr">
        <is>
          <t>Façade Engineering Designer (Senior) - Nhân Viên Thiết Kế Kỹ Thuật Mặt Dựng (Cấp Senior)</t>
        </is>
      </c>
      <c r="D9522" s="10" t="inlineStr">
        <is>
          <t>Van Aelst - Nguyen &amp; Partners Architecture Consulting Company Limited</t>
        </is>
      </c>
      <c r="E9522" s="10" t="inlineStr">
        <is>
          <t>Thương lượng</t>
        </is>
      </c>
      <c r="F9522" s="10" t="inlineStr">
        <is>
          <t>Hồ Chí Minh</t>
        </is>
      </c>
      <c r="G9522" s="10" t="inlineStr">
        <is>
          <t>Nhân viên</t>
        </is>
      </c>
      <c r="H9522" s="10" t="inlineStr">
        <is>
          <t>10/03/2026</t>
        </is>
      </c>
      <c r="I9522" s="10" t="inlineStr">
        <is>
          <t>09/04/2026</t>
        </is>
      </c>
      <c r="J9522" s="10" t="inlineStr">
        <is>
          <t>17/03/2026</t>
        </is>
      </c>
      <c r="K9522" s="10" t="inlineStr">
        <is>
          <t>N/A</t>
        </is>
      </c>
      <c r="L9522" s="10" t="inlineStr">
        <is>
          <t>Autocad, Bim Platforms, Facade Design, Structural Analysis, Civil Engineering</t>
        </is>
      </c>
      <c r="M9522" s="10" t="inlineStr">
        <is>
          <t>Others</t>
        </is>
      </c>
      <c r="N9522" s="11">
        <f>HYPERLINK("https://www.vietnamworks.com/facade-engineering-designer-senior-nhan-vien-thiet-ke-ky-thuat-mat-dung-cap-senior-2021394-jv","Xem chi tiết")</f>
        <v/>
      </c>
      <c r="O9522" s="10" t="n"/>
    </row>
    <row r="9523">
      <c r="B9523" s="7" t="n">
        <v>9521</v>
      </c>
      <c r="C9523" t="inlineStr">
        <is>
          <t>Kiến Trúc Sư Triển Khai (15-25Tr/tháng)</t>
        </is>
      </c>
      <c r="D9523" t="inlineStr">
        <is>
          <t>Công ty CP Đầu Tư và Tư Vấn Xây Dựng ICU</t>
        </is>
      </c>
      <c r="E9523" t="inlineStr">
        <is>
          <t>15tr-25tr ₫/tháng</t>
        </is>
      </c>
      <c r="F9523" t="inlineStr">
        <is>
          <t>Hà Nội</t>
        </is>
      </c>
      <c r="G9523" t="inlineStr">
        <is>
          <t>Nhân viên</t>
        </is>
      </c>
      <c r="H9523" t="inlineStr">
        <is>
          <t>10/03/2026</t>
        </is>
      </c>
      <c r="I9523" t="inlineStr">
        <is>
          <t>09/04/2026</t>
        </is>
      </c>
      <c r="J9523" t="inlineStr">
        <is>
          <t>17/03/2026</t>
        </is>
      </c>
      <c r="K9523" t="inlineStr">
        <is>
          <t>N/A</t>
        </is>
      </c>
      <c r="L9523" t="inlineStr">
        <is>
          <t>Revit, AutoCAD, Triển Khai Kỹ Thuật, Kiến Trúc Xây Dựng, CAD Drawing</t>
        </is>
      </c>
      <c r="M9523" t="inlineStr">
        <is>
          <t>Bonus, Travel Opportunities, Others</t>
        </is>
      </c>
      <c r="N9523" s="8">
        <f>HYPERLINK("https://www.vietnamworks.com/kien-truc-su-trien-khai-15-25tr-thang-2021396-jv","Xem chi tiết")</f>
        <v/>
      </c>
    </row>
    <row r="9524">
      <c r="B9524" s="9" t="n">
        <v>9522</v>
      </c>
      <c r="C9524" s="10" t="inlineStr">
        <is>
          <t>Giám Sát Kho (Khánh Hòa)</t>
        </is>
      </c>
      <c r="D9524" s="10" t="inlineStr">
        <is>
          <t>Vietnamworks' Client</t>
        </is>
      </c>
      <c r="E9524" s="10" t="inlineStr">
        <is>
          <t>Thương lượng</t>
        </is>
      </c>
      <c r="F9524" s="10" t="inlineStr">
        <is>
          <t>Khánh Hòa</t>
        </is>
      </c>
      <c r="G9524" s="10" t="inlineStr">
        <is>
          <t>Trưởng phòng</t>
        </is>
      </c>
      <c r="H9524" s="10" t="inlineStr">
        <is>
          <t>10/03/2026</t>
        </is>
      </c>
      <c r="I9524" s="10" t="inlineStr">
        <is>
          <t>09/04/2026</t>
        </is>
      </c>
      <c r="J9524" s="10" t="inlineStr">
        <is>
          <t>17/03/2026</t>
        </is>
      </c>
      <c r="K9524" s="10" t="inlineStr">
        <is>
          <t>N/A</t>
        </is>
      </c>
      <c r="L9524" s="10" t="inlineStr">
        <is>
          <t>Giám Sát Kho, kho, Giám sát Kho Vận, Kinh Nghiệm Giám Sát Kho</t>
        </is>
      </c>
      <c r="M9524" s="10" t="inlineStr">
        <is>
          <t>Bonus</t>
        </is>
      </c>
      <c r="N9524" s="11">
        <f>HYPERLINK("https://www.vietnamworks.com/giam-sat-kho-khanh-hoa-2021398-jv","Xem chi tiết")</f>
        <v/>
      </c>
      <c r="O9524" s="10" t="n"/>
    </row>
    <row r="9525">
      <c r="B9525" s="7" t="n">
        <v>9523</v>
      </c>
      <c r="C9525" t="inlineStr">
        <is>
          <t>Finance &amp; Admin Assistant (Contracted)</t>
        </is>
      </c>
      <c r="D9525" t="inlineStr">
        <is>
          <t>United Overseas Bank (Vietnam) Limited (UOB)</t>
        </is>
      </c>
      <c r="E9525" t="inlineStr">
        <is>
          <t>Thương lượng</t>
        </is>
      </c>
      <c r="F9525" t="inlineStr">
        <is>
          <t>Hồ Chí Minh</t>
        </is>
      </c>
      <c r="G9525" t="inlineStr">
        <is>
          <t>Nhân viên</t>
        </is>
      </c>
      <c r="H9525" t="inlineStr">
        <is>
          <t>10/03/2026</t>
        </is>
      </c>
      <c r="I9525" t="inlineStr">
        <is>
          <t>09/04/2026</t>
        </is>
      </c>
      <c r="J9525" t="inlineStr">
        <is>
          <t>17/03/2026</t>
        </is>
      </c>
      <c r="K9525" t="inlineStr">
        <is>
          <t>N/A</t>
        </is>
      </c>
      <c r="L9525" t="inlineStr">
        <is>
          <t>Administrative Support, Attention To Detail, Effective Communication, Finance Development, MS Office</t>
        </is>
      </c>
      <c r="M9525" t="inlineStr">
        <is>
          <t>Bonus, Healthcare Plan, Paid Leave, Others</t>
        </is>
      </c>
      <c r="N9525" s="8">
        <f>HYPERLINK("https://www.vietnamworks.com/finance-and-admin-assistant-contracted-2021406-jv","Xem chi tiết")</f>
        <v/>
      </c>
    </row>
    <row r="9526">
      <c r="B9526" s="9" t="n">
        <v>9524</v>
      </c>
      <c r="C9526" s="10" t="inlineStr">
        <is>
          <t>Phó Phòng Nhân Sự (HR Deputy Manager – Strong in 3P &amp; KPI)</t>
        </is>
      </c>
      <c r="D9526" s="10" t="inlineStr">
        <is>
          <t>Công Ty Cổ Phần Đầu Tư Công Nghệ Hoàng Minh</t>
        </is>
      </c>
      <c r="E9526" s="10" t="inlineStr">
        <is>
          <t>16tr-30tr ₫/tháng</t>
        </is>
      </c>
      <c r="F9526" s="10" t="inlineStr">
        <is>
          <t>Hà Nội</t>
        </is>
      </c>
      <c r="G9526" s="10" t="inlineStr">
        <is>
          <t>Trưởng phòng</t>
        </is>
      </c>
      <c r="H9526" s="10" t="inlineStr">
        <is>
          <t>10/03/2026</t>
        </is>
      </c>
      <c r="I9526" s="10" t="inlineStr">
        <is>
          <t>09/04/2026</t>
        </is>
      </c>
      <c r="J9526" s="10" t="inlineStr">
        <is>
          <t>17/03/2026</t>
        </is>
      </c>
      <c r="K9526" s="10" t="inlineStr">
        <is>
          <t>N/A</t>
        </is>
      </c>
      <c r="L9526" s="10" t="inlineStr">
        <is>
          <t>Hành Chính Nhân Sự, Hoạch Định Nhân Sự, HR, Talent Development, Tuyển Dụng</t>
        </is>
      </c>
      <c r="M9526" s="10" t="inlineStr">
        <is>
          <t>Bonus, Training, Laptop, Travel Opportunities, Team Activities, Others</t>
        </is>
      </c>
      <c r="N9526" s="11">
        <f>HYPERLINK("https://www.vietnamworks.com/pho-phong-nhan-su-hr-deputy-manager-strong-in-3p-and-kpi-2021413-jv","Xem chi tiết")</f>
        <v/>
      </c>
      <c r="O9526" s="10" t="n"/>
    </row>
    <row r="9527">
      <c r="B9527" s="7" t="n">
        <v>9525</v>
      </c>
      <c r="C9527" t="inlineStr">
        <is>
          <t>Sales Manager (Chinese Speaking)</t>
        </is>
      </c>
      <c r="D9527" t="inlineStr">
        <is>
          <t>Panasonic Vietnam Co.,LTD</t>
        </is>
      </c>
      <c r="E9527" t="inlineStr">
        <is>
          <t>Thương lượng</t>
        </is>
      </c>
      <c r="F9527" t="inlineStr">
        <is>
          <t>Hà Nội</t>
        </is>
      </c>
      <c r="G9527" t="inlineStr">
        <is>
          <t>Trưởng phòng</t>
        </is>
      </c>
      <c r="H9527" t="inlineStr">
        <is>
          <t>10/03/2026</t>
        </is>
      </c>
      <c r="I9527" t="inlineStr">
        <is>
          <t>09/04/2026</t>
        </is>
      </c>
      <c r="J9527" t="inlineStr">
        <is>
          <t>17/03/2026</t>
        </is>
      </c>
      <c r="K9527" t="inlineStr">
        <is>
          <t>N/A</t>
        </is>
      </c>
      <c r="L9527" t="inlineStr">
        <is>
          <t>Tiếng Trung, Sales Management, Chinese, Business Development, B2B Sales</t>
        </is>
      </c>
      <c r="M9527" t="inlineStr">
        <is>
          <t>Bonus, Training, Transportation</t>
        </is>
      </c>
      <c r="N9527" s="8">
        <f>HYPERLINK("https://www.vietnamworks.com/sales-manager-chinese-speaking--2021397-jv","Xem chi tiết")</f>
        <v/>
      </c>
    </row>
    <row r="9528">
      <c r="B9528" s="9" t="n">
        <v>9526</v>
      </c>
      <c r="C9528" s="10" t="inlineStr">
        <is>
          <t>Brand Marketing Manager</t>
        </is>
      </c>
      <c r="D9528" s="10" t="inlineStr">
        <is>
          <t>Công Ty Cổ Phần Vàng Bạc Đá Quý Phú Nhuận (PNJ)</t>
        </is>
      </c>
      <c r="E9528" s="10" t="inlineStr">
        <is>
          <t>$$ 2,000-3,000 /tháng</t>
        </is>
      </c>
      <c r="F9528" s="10" t="inlineStr">
        <is>
          <t>Hồ Chí Minh</t>
        </is>
      </c>
      <c r="G9528" s="10" t="inlineStr">
        <is>
          <t>Trưởng phòng</t>
        </is>
      </c>
      <c r="H9528" s="10" t="inlineStr">
        <is>
          <t>10/03/2026</t>
        </is>
      </c>
      <c r="I9528" s="10" t="inlineStr">
        <is>
          <t>09/04/2026</t>
        </is>
      </c>
      <c r="J9528" s="10" t="inlineStr">
        <is>
          <t>17/03/2026</t>
        </is>
      </c>
      <c r="K9528" s="10" t="inlineStr">
        <is>
          <t>N/A</t>
        </is>
      </c>
      <c r="L9528" s="10" t="inlineStr">
        <is>
          <t>Brand Marketing, Brand Promotion, Brand Strategies, Brand Strategy Development, Branding Marketing</t>
        </is>
      </c>
      <c r="M9528" s="10" t="inlineStr">
        <is>
          <t>Bonus</t>
        </is>
      </c>
      <c r="N9528" s="11">
        <f>HYPERLINK("https://www.vietnamworks.com/brand-marketing-manager-2021400-jv","Xem chi tiết")</f>
        <v/>
      </c>
      <c r="O9528" s="10" t="n"/>
    </row>
    <row r="9529">
      <c r="B9529" s="7" t="n">
        <v>9527</v>
      </c>
      <c r="C9529" t="inlineStr">
        <is>
          <t>Country Manager - Renewable Company</t>
        </is>
      </c>
      <c r="D9529" t="inlineStr">
        <is>
          <t>Vietnamworks' Client</t>
        </is>
      </c>
      <c r="E9529" t="inlineStr">
        <is>
          <t>$$ 7,000-12,000 /tháng</t>
        </is>
      </c>
      <c r="F9529" t="inlineStr">
        <is>
          <t>Hồ Chí Minh</t>
        </is>
      </c>
      <c r="G9529" t="inlineStr">
        <is>
          <t>Trưởng phòng</t>
        </is>
      </c>
      <c r="H9529" t="inlineStr">
        <is>
          <t>10/03/2026</t>
        </is>
      </c>
      <c r="I9529" t="inlineStr">
        <is>
          <t>09/04/2026</t>
        </is>
      </c>
      <c r="J9529" t="inlineStr">
        <is>
          <t>17/03/2026</t>
        </is>
      </c>
      <c r="K9529" t="inlineStr">
        <is>
          <t>N/A</t>
        </is>
      </c>
      <c r="L9529" t="inlineStr">
        <is>
          <t>Sales Management, Business Development, Project Management, Sales Planning, Solar Energy</t>
        </is>
      </c>
      <c r="M9529" t="inlineStr">
        <is>
          <t>Bonus, Training</t>
        </is>
      </c>
      <c r="N9529" s="8">
        <f>HYPERLINK("https://www.vietnamworks.com/country-manager-renewable-company-2021420-jv","Xem chi tiết")</f>
        <v/>
      </c>
    </row>
    <row r="9530">
      <c r="B9530" s="9" t="n">
        <v>9528</v>
      </c>
      <c r="C9530" s="10" t="inlineStr">
        <is>
          <t>Trưởng Phòng Kinh Doanh Gà Màu Thương Phẩm Miền Nam - Colorbird Sales Manager ( South)</t>
        </is>
      </c>
      <c r="D9530" s="10" t="inlineStr">
        <is>
          <t>Japfa Comfeed Vietnam Ltd</t>
        </is>
      </c>
      <c r="E9530" s="10" t="inlineStr">
        <is>
          <t>Thương lượng</t>
        </is>
      </c>
      <c r="F9530" s="10" t="inlineStr">
        <is>
          <t>Hồ Chí Minh</t>
        </is>
      </c>
      <c r="G9530" s="10" t="inlineStr">
        <is>
          <t>Trưởng phòng</t>
        </is>
      </c>
      <c r="H9530" s="10" t="inlineStr">
        <is>
          <t>10/03/2026</t>
        </is>
      </c>
      <c r="I9530" s="10" t="inlineStr">
        <is>
          <t>09/04/2026</t>
        </is>
      </c>
      <c r="J9530" s="10" t="inlineStr">
        <is>
          <t>17/03/2026</t>
        </is>
      </c>
      <c r="K9530" s="10" t="inlineStr">
        <is>
          <t>N/A</t>
        </is>
      </c>
      <c r="L9530" s="10" t="inlineStr">
        <is>
          <t>Sales Management, Market Development, Team Training, Management, Veterinary Science</t>
        </is>
      </c>
      <c r="M9530" s="10" t="inlineStr">
        <is>
          <t>Healthcare Plan, Transportation</t>
        </is>
      </c>
      <c r="N9530" s="11">
        <f>HYPERLINK("https://www.vietnamworks.com/truong-phong-kinh-doanh-ga-mau-thuong-pham-mien-nam-colorbird-sales-manager-south-2021405-jv","Xem chi tiết")</f>
        <v/>
      </c>
      <c r="O9530" s="10" t="n"/>
    </row>
    <row r="9531">
      <c r="B9531" s="7" t="n">
        <v>9529</v>
      </c>
      <c r="C9531" t="inlineStr">
        <is>
          <t>Chuyên Viên Quản Lý Phản Hồi Khách Hàng (Call Center)</t>
        </is>
      </c>
      <c r="D9531" t="inlineStr">
        <is>
          <t>Công Ty Cổ Phần Tập Đoàn Masterise</t>
        </is>
      </c>
      <c r="E9531" t="inlineStr">
        <is>
          <t>$$ 700-800 /tháng</t>
        </is>
      </c>
      <c r="F9531" t="inlineStr">
        <is>
          <t>Hà Nội</t>
        </is>
      </c>
      <c r="G9531" t="inlineStr">
        <is>
          <t>Nhân viên</t>
        </is>
      </c>
      <c r="H9531" t="inlineStr">
        <is>
          <t>10/03/2026</t>
        </is>
      </c>
      <c r="I9531" t="inlineStr">
        <is>
          <t>09/04/2026</t>
        </is>
      </c>
      <c r="J9531" t="inlineStr">
        <is>
          <t>17/03/2026</t>
        </is>
      </c>
      <c r="K9531" t="inlineStr">
        <is>
          <t>N/A</t>
        </is>
      </c>
      <c r="L9531" t="inlineStr">
        <is>
          <t>Call Center, Chăm Sóc Khách Hàng</t>
        </is>
      </c>
      <c r="M9531" t="inlineStr">
        <is>
          <t>Bonus, Healthcare Plan, Laptop</t>
        </is>
      </c>
      <c r="N9531" s="8">
        <f>HYPERLINK("https://www.vietnamworks.com/chuyen-vien-quan-ly-phan-hoi-khach-hang-call-center-2021407-jv","Xem chi tiết")</f>
        <v/>
      </c>
    </row>
    <row r="9532">
      <c r="B9532" s="9" t="n">
        <v>9530</v>
      </c>
      <c r="C9532" s="10" t="inlineStr">
        <is>
          <t>Chuyên Viên/ Chuyên Viên Cao Cấp Dịch Vụ Khách Hàng (CSO)</t>
        </is>
      </c>
      <c r="D9532" s="10" t="inlineStr">
        <is>
          <t>Ngân Hàng TMCP Việt Nam Thương Tín (Vietbank)</t>
        </is>
      </c>
      <c r="E9532" s="10" t="inlineStr">
        <is>
          <t>Thương lượng</t>
        </is>
      </c>
      <c r="F9532" s="10" t="inlineStr">
        <is>
          <t>Hà Nội, Hải Phòng</t>
        </is>
      </c>
      <c r="G9532" s="10" t="inlineStr">
        <is>
          <t>Nhân viên</t>
        </is>
      </c>
      <c r="H9532" s="10" t="inlineStr">
        <is>
          <t>10/03/2026</t>
        </is>
      </c>
      <c r="I9532" s="10" t="inlineStr">
        <is>
          <t>09/04/2026</t>
        </is>
      </c>
      <c r="J9532" s="10" t="inlineStr">
        <is>
          <t>17/03/2026</t>
        </is>
      </c>
      <c r="K9532" s="10" t="inlineStr">
        <is>
          <t>N/A</t>
        </is>
      </c>
      <c r="L9532" s="10" t="inlineStr">
        <is>
          <t>Tín Dụng Ngân Hàng, Kinh Doanh, Dịch Vụ Ngân Hàng, Phát Triển Kinh Doanh</t>
        </is>
      </c>
      <c r="M9532" s="10" t="inlineStr">
        <is>
          <t>Bonus, Healthcare Plan, Training</t>
        </is>
      </c>
      <c r="N9532" s="11">
        <f>HYPERLINK("https://www.vietnamworks.com/chuyen-vien-chuyen-vien-cao-cap-dich-vu-khach-hang-cso--2021408-jv","Xem chi tiết")</f>
        <v/>
      </c>
      <c r="O9532" s="10" t="n"/>
    </row>
    <row r="9533">
      <c r="B9533" s="7" t="n">
        <v>9531</v>
      </c>
      <c r="C9533" t="inlineStr">
        <is>
          <t>Chuyên Viên Phân Tích Nghiệp Vụ</t>
        </is>
      </c>
      <c r="D9533" t="inlineStr">
        <is>
          <t>Công Ty Cổ Phần Chứng Khoán SSI</t>
        </is>
      </c>
      <c r="E9533" t="inlineStr">
        <is>
          <t>Thương lượng</t>
        </is>
      </c>
      <c r="F9533" t="inlineStr">
        <is>
          <t>Hà Nội</t>
        </is>
      </c>
      <c r="G9533" t="inlineStr">
        <is>
          <t>Nhân viên</t>
        </is>
      </c>
      <c r="H9533" t="inlineStr">
        <is>
          <t>10/03/2026</t>
        </is>
      </c>
      <c r="I9533" t="inlineStr">
        <is>
          <t>09/04/2026</t>
        </is>
      </c>
      <c r="J9533" t="inlineStr">
        <is>
          <t>17/03/2026</t>
        </is>
      </c>
      <c r="K9533" t="inlineStr">
        <is>
          <t>N/A</t>
        </is>
      </c>
      <c r="L9533" t="inlineStr">
        <is>
          <t>Chứng khoán, Tài Chính, HRM, ERP, Accounting</t>
        </is>
      </c>
      <c r="M9533" t="inlineStr">
        <is>
          <t>Bonus, Healthcare Plan, Training</t>
        </is>
      </c>
      <c r="N9533" s="8">
        <f>HYPERLINK("https://www.vietnamworks.com/chuyen-vien-phan-tich-nghiep-vu--2021404-jv","Xem chi tiết")</f>
        <v/>
      </c>
    </row>
    <row r="9534">
      <c r="B9534" s="9" t="n">
        <v>9532</v>
      </c>
      <c r="C9534" s="10" t="inlineStr">
        <is>
          <t>Kế Toán Tổng Hợp (General Accountant)</t>
        </is>
      </c>
      <c r="D9534" s="10" t="inlineStr">
        <is>
          <t>CÔNG TY TNHH XNK CDP</t>
        </is>
      </c>
      <c r="E9534" s="10" t="inlineStr">
        <is>
          <t>14tr-18tr ₫/tháng</t>
        </is>
      </c>
      <c r="F9534" s="10" t="inlineStr">
        <is>
          <t>Hà Nội</t>
        </is>
      </c>
      <c r="G9534" s="10" t="inlineStr">
        <is>
          <t>Nhân viên</t>
        </is>
      </c>
      <c r="H9534" s="10" t="inlineStr">
        <is>
          <t>10/03/2026</t>
        </is>
      </c>
      <c r="I9534" s="10" t="inlineStr">
        <is>
          <t>09/04/2026</t>
        </is>
      </c>
      <c r="J9534" s="10" t="inlineStr">
        <is>
          <t>17/03/2026</t>
        </is>
      </c>
      <c r="K9534" s="10" t="inlineStr">
        <is>
          <t>N/A</t>
        </is>
      </c>
      <c r="L9534" s="10" t="inlineStr">
        <is>
          <t>Cẩn Thận, Kế Toán, Kiểm Tra Số Liệu, Quản Lý Công Nợ, Quyết Toán Thuế</t>
        </is>
      </c>
      <c r="M9534" s="10" t="inlineStr">
        <is>
          <t>Bonus, Healthcare Plan, Training, Others</t>
        </is>
      </c>
      <c r="N9534" s="11">
        <f>HYPERLINK("https://www.vietnamworks.com/ke-toan-tong-hop-general-accountant-2021416-jv","Xem chi tiết")</f>
        <v/>
      </c>
      <c r="O9534" s="10" t="n"/>
    </row>
    <row r="9535">
      <c r="B9535" s="7" t="n">
        <v>9533</v>
      </c>
      <c r="C9535" t="inlineStr">
        <is>
          <t>Trưởng Phòng Bảo Trì (Khánh Hòa)</t>
        </is>
      </c>
      <c r="D9535" t="inlineStr">
        <is>
          <t>Vietnamworks' Client</t>
        </is>
      </c>
      <c r="E9535" t="inlineStr">
        <is>
          <t>Thương lượng</t>
        </is>
      </c>
      <c r="F9535" t="inlineStr">
        <is>
          <t>Khánh Hòa</t>
        </is>
      </c>
      <c r="G9535" t="inlineStr">
        <is>
          <t>Trưởng phòng</t>
        </is>
      </c>
      <c r="H9535" t="inlineStr">
        <is>
          <t>10/03/2026</t>
        </is>
      </c>
      <c r="I9535" t="inlineStr">
        <is>
          <t>09/04/2026</t>
        </is>
      </c>
      <c r="J9535" t="inlineStr">
        <is>
          <t>17/03/2026</t>
        </is>
      </c>
      <c r="K9535" t="inlineStr">
        <is>
          <t>N/A</t>
        </is>
      </c>
      <c r="L9535" t="inlineStr">
        <is>
          <t>Bảo Trì Bảo Dưỡng Cơ Khí, Bảo Trì, Điện, Bảo Trì Điện, Bảo Trì Điện Công Nghiệp</t>
        </is>
      </c>
      <c r="M9535" t="inlineStr">
        <is>
          <t>Bonus</t>
        </is>
      </c>
      <c r="N9535" s="8">
        <f>HYPERLINK("https://www.vietnamworks.com/truong-phong-bao-tri-khanh-hoa-2021424-jv","Xem chi tiết")</f>
        <v/>
      </c>
    </row>
    <row r="9536">
      <c r="B9536" s="9" t="n">
        <v>9534</v>
      </c>
      <c r="C9536" s="10" t="inlineStr">
        <is>
          <t>Trade Marketing Specialist</t>
        </is>
      </c>
      <c r="D9536" s="10" t="inlineStr">
        <is>
          <t>Orion Food Vina Co,. Ltd - Head Office</t>
        </is>
      </c>
      <c r="E9536" s="10" t="inlineStr">
        <is>
          <t>Thương lượng</t>
        </is>
      </c>
      <c r="F9536" s="10" t="inlineStr">
        <is>
          <t>Hồ Chí Minh</t>
        </is>
      </c>
      <c r="G9536" s="10" t="inlineStr">
        <is>
          <t>Nhân viên</t>
        </is>
      </c>
      <c r="H9536" s="10" t="inlineStr">
        <is>
          <t>10/03/2026</t>
        </is>
      </c>
      <c r="I9536" s="10" t="inlineStr">
        <is>
          <t>09/04/2026</t>
        </is>
      </c>
      <c r="J9536" s="10" t="inlineStr">
        <is>
          <t>17/03/2026</t>
        </is>
      </c>
      <c r="K9536" s="10" t="inlineStr">
        <is>
          <t>N/A</t>
        </is>
      </c>
      <c r="L9536" s="10" t="inlineStr">
        <is>
          <t>Trade Marketing, FMCG, Nghiên Cứu Thị Trường, Market Survey, Reporting</t>
        </is>
      </c>
      <c r="M9536" s="10" t="inlineStr">
        <is>
          <t>Bonus, Healthcare Plan, Paid Leave</t>
        </is>
      </c>
      <c r="N9536" s="11">
        <f>HYPERLINK("https://www.vietnamworks.com/trade-marketing-specialist--2021403-jv","Xem chi tiết")</f>
        <v/>
      </c>
      <c r="O9536" s="10" t="n"/>
    </row>
    <row r="9537">
      <c r="B9537" s="7" t="n">
        <v>9535</v>
      </c>
      <c r="C9537" t="inlineStr">
        <is>
          <t>Hydraulic Advisor</t>
        </is>
      </c>
      <c r="D9537" t="inlineStr">
        <is>
          <t>Danieli – Industrielle Beteiligung Co., Ltd</t>
        </is>
      </c>
      <c r="E9537" t="inlineStr">
        <is>
          <t>Thương lượng</t>
        </is>
      </c>
      <c r="F9537" t="inlineStr">
        <is>
          <t>Hồ Chí Minh</t>
        </is>
      </c>
      <c r="G9537" t="inlineStr">
        <is>
          <t>Nhân viên</t>
        </is>
      </c>
      <c r="H9537" t="inlineStr">
        <is>
          <t>10/03/2026</t>
        </is>
      </c>
      <c r="I9537" t="inlineStr">
        <is>
          <t>09/04/2026</t>
        </is>
      </c>
      <c r="J9537" t="inlineStr">
        <is>
          <t>17/03/2026</t>
        </is>
      </c>
      <c r="K9537" t="inlineStr">
        <is>
          <t>N/A</t>
        </is>
      </c>
      <c r="L9537" t="inlineStr">
        <is>
          <t>Hydraulic Machines, Hydraulics, Industrial Maintenance, Mechanical, Steel Structure</t>
        </is>
      </c>
      <c r="M9537" t="inlineStr">
        <is>
          <t>Bonus, Healthcare Plan, Paid Leave, Team Activities, Canteen</t>
        </is>
      </c>
      <c r="N9537" s="8">
        <f>HYPERLINK("https://www.vietnamworks.com/hydraulic-advisor-2021421-jv","Xem chi tiết")</f>
        <v/>
      </c>
    </row>
    <row r="9538">
      <c r="B9538" s="9" t="n">
        <v>9536</v>
      </c>
      <c r="C9538" s="10" t="inlineStr">
        <is>
          <t>Quản Lý Xuất Khẩu (Mảng Xi Măng)</t>
        </is>
      </c>
      <c r="D9538" s="10" t="inlineStr">
        <is>
          <t>Công Ty Cổ Phần Chuỗi Thực Phẩm TH</t>
        </is>
      </c>
      <c r="E9538" s="10" t="inlineStr">
        <is>
          <t>Thương lượng</t>
        </is>
      </c>
      <c r="F9538" s="10" t="inlineStr">
        <is>
          <t>Hà Nội</t>
        </is>
      </c>
      <c r="G9538" s="10" t="inlineStr">
        <is>
          <t>Trưởng phòng</t>
        </is>
      </c>
      <c r="H9538" s="10" t="inlineStr">
        <is>
          <t>10/03/2026</t>
        </is>
      </c>
      <c r="I9538" s="10" t="inlineStr">
        <is>
          <t>09/04/2026</t>
        </is>
      </c>
      <c r="J9538" s="10" t="inlineStr">
        <is>
          <t>17/03/2026</t>
        </is>
      </c>
      <c r="K9538" s="10" t="inlineStr">
        <is>
          <t>N/A</t>
        </is>
      </c>
      <c r="L9538" s="10" t="inlineStr">
        <is>
          <t>Giao Tiếp Tiếng Anh, Kinh Doanh, Phát Triển Thị Trường, Quản Lý Hợp Đồng, Xuất Khẩu</t>
        </is>
      </c>
      <c r="M9538" s="10" t="inlineStr">
        <is>
          <t>Bonus, Healthcare Plan, Paid Leave, Training, Others</t>
        </is>
      </c>
      <c r="N9538" s="11">
        <f>HYPERLINK("https://www.vietnamworks.com/quan-ly-xuat-khau-mang-xi-mang-2021423-jv","Xem chi tiết")</f>
        <v/>
      </c>
      <c r="O9538" s="10" t="n"/>
    </row>
    <row r="9539">
      <c r="B9539" s="7" t="n">
        <v>9537</v>
      </c>
      <c r="C9539" t="inlineStr">
        <is>
          <t>Trưởng Phòng QAC (Khánh Hòa)</t>
        </is>
      </c>
      <c r="D9539" t="inlineStr">
        <is>
          <t>Vietnamworks' Client</t>
        </is>
      </c>
      <c r="E9539" t="inlineStr">
        <is>
          <t>Thương lượng</t>
        </is>
      </c>
      <c r="F9539" t="inlineStr">
        <is>
          <t>Khánh Hòa</t>
        </is>
      </c>
      <c r="G9539" t="inlineStr">
        <is>
          <t>Trưởng phòng</t>
        </is>
      </c>
      <c r="H9539" t="inlineStr">
        <is>
          <t>10/03/2026</t>
        </is>
      </c>
      <c r="I9539" t="inlineStr">
        <is>
          <t>09/04/2026</t>
        </is>
      </c>
      <c r="J9539" t="inlineStr">
        <is>
          <t>17/03/2026</t>
        </is>
      </c>
      <c r="K9539" t="inlineStr">
        <is>
          <t>N/A</t>
        </is>
      </c>
      <c r="L9539" t="inlineStr">
        <is>
          <t>QA, Qc, ISO, Quản lý chất lượng</t>
        </is>
      </c>
      <c r="M9539" t="inlineStr">
        <is>
          <t>Bonus</t>
        </is>
      </c>
      <c r="N9539" s="8">
        <f>HYPERLINK("https://www.vietnamworks.com/truong-phong-qac-khanh-hoa-2021411-jv","Xem chi tiết")</f>
        <v/>
      </c>
    </row>
    <row r="9540">
      <c r="B9540" s="9" t="n">
        <v>9538</v>
      </c>
      <c r="C9540" s="10" t="inlineStr">
        <is>
          <t>Operations, Air Export (Freight Forwarder) - Temporary</t>
        </is>
      </c>
      <c r="D9540" s="10" t="inlineStr">
        <is>
          <t>DSV</t>
        </is>
      </c>
      <c r="E9540" s="10" t="inlineStr">
        <is>
          <t>Thương lượng</t>
        </is>
      </c>
      <c r="F9540" s="10" t="inlineStr">
        <is>
          <t>Hồ Chí Minh</t>
        </is>
      </c>
      <c r="G9540" s="10" t="inlineStr">
        <is>
          <t>Nhân viên</t>
        </is>
      </c>
      <c r="H9540" s="10" t="inlineStr">
        <is>
          <t>10/03/2026</t>
        </is>
      </c>
      <c r="I9540" s="10" t="inlineStr">
        <is>
          <t>09/04/2026</t>
        </is>
      </c>
      <c r="J9540" s="10" t="inlineStr">
        <is>
          <t>17/03/2026</t>
        </is>
      </c>
      <c r="K9540" s="10" t="inlineStr">
        <is>
          <t>N/A</t>
        </is>
      </c>
      <c r="L9540" s="10" t="inlineStr">
        <is>
          <t>Cargowise One, Freight Forwarding, Documentation Handling, Air Freight Experience</t>
        </is>
      </c>
      <c r="M9540" s="10" t="inlineStr">
        <is>
          <t>Bonus, Healthcare Plan, Travel Opportunities</t>
        </is>
      </c>
      <c r="N9540" s="11">
        <f>HYPERLINK("https://www.vietnamworks.com/operations-air-export-freight-forwarder-temporary--2021418-jv","Xem chi tiết")</f>
        <v/>
      </c>
      <c r="O9540" s="10" t="n"/>
    </row>
    <row r="9541">
      <c r="B9541" s="7" t="n">
        <v>9539</v>
      </c>
      <c r="C9541" t="inlineStr">
        <is>
          <t>Field Service Engineer</t>
        </is>
      </c>
      <c r="D9541" t="inlineStr">
        <is>
          <t>Ascenx Technologies (Vietnam)</t>
        </is>
      </c>
      <c r="E9541" t="inlineStr">
        <is>
          <t>Thương lượng</t>
        </is>
      </c>
      <c r="F9541" t="inlineStr">
        <is>
          <t>Hồ Chí Minh</t>
        </is>
      </c>
      <c r="G9541" t="inlineStr">
        <is>
          <t>Nhân viên</t>
        </is>
      </c>
      <c r="H9541" t="inlineStr">
        <is>
          <t>10/03/2026</t>
        </is>
      </c>
      <c r="I9541" t="inlineStr">
        <is>
          <t>09/04/2026</t>
        </is>
      </c>
      <c r="J9541" t="inlineStr">
        <is>
          <t>17/03/2026</t>
        </is>
      </c>
      <c r="K9541" t="inlineStr">
        <is>
          <t>N/A</t>
        </is>
      </c>
      <c r="L9541" t="inlineStr">
        <is>
          <t>Electrical Engineer, Japanese Communication, Mechanical, Mechatronics, Semiconductor</t>
        </is>
      </c>
      <c r="M9541" t="inlineStr">
        <is>
          <t>Bonus, Healthcare Plan, Training, Laptop, Travel Opportunities</t>
        </is>
      </c>
      <c r="N9541" s="8">
        <f>HYPERLINK("https://www.vietnamworks.com/field-service-engineer-2021412-jv","Xem chi tiết")</f>
        <v/>
      </c>
    </row>
    <row r="9542">
      <c r="B9542" s="9" t="n">
        <v>9540</v>
      </c>
      <c r="C9542" s="10" t="inlineStr">
        <is>
          <t>Chuyên Viên Kế Toán Thuế Tổng Hợp</t>
        </is>
      </c>
      <c r="D9542" s="10" t="inlineStr">
        <is>
          <t>Công Ty Cổ Phần Tập Đoàn Sunhouse</t>
        </is>
      </c>
      <c r="E9542" s="10" t="inlineStr">
        <is>
          <t>$$ 600-1,000 /tháng</t>
        </is>
      </c>
      <c r="F9542" s="10" t="inlineStr">
        <is>
          <t>Hà Nội</t>
        </is>
      </c>
      <c r="G9542" s="10" t="inlineStr">
        <is>
          <t>Nhân viên</t>
        </is>
      </c>
      <c r="H9542" s="10" t="inlineStr">
        <is>
          <t>10/03/2026</t>
        </is>
      </c>
      <c r="I9542" s="10" t="inlineStr">
        <is>
          <t>09/04/2026</t>
        </is>
      </c>
      <c r="J9542" s="10" t="inlineStr">
        <is>
          <t>17/03/2026</t>
        </is>
      </c>
      <c r="K9542" s="10" t="inlineStr">
        <is>
          <t>N/A</t>
        </is>
      </c>
      <c r="L9542" s="10" t="inlineStr">
        <is>
          <t>Kiểm Toán, Kế Toán Tổng Hợp, Kế Toán Thuế, Kế Toán, Báo Cáo Kế Toán Thuế</t>
        </is>
      </c>
      <c r="M9542" s="10" t="inlineStr">
        <is>
          <t>Bonus, Travel Opportunities, Transportation</t>
        </is>
      </c>
      <c r="N9542" s="11">
        <f>HYPERLINK("https://www.vietnamworks.com/chuyen-vien-ke-toan-thue-tong-hop-2021419-jv","Xem chi tiết")</f>
        <v/>
      </c>
      <c r="O9542" s="10" t="n"/>
    </row>
    <row r="9543">
      <c r="B9543" s="7" t="n">
        <v>9541</v>
      </c>
      <c r="C9543" t="inlineStr">
        <is>
          <t>Supervisor - Inventory Management</t>
        </is>
      </c>
      <c r="D9543" t="inlineStr">
        <is>
          <t>MAERSK</t>
        </is>
      </c>
      <c r="E9543" t="inlineStr">
        <is>
          <t>Thương lượng</t>
        </is>
      </c>
      <c r="F9543" t="inlineStr">
        <is>
          <t>Bình Dương</t>
        </is>
      </c>
      <c r="G9543" t="inlineStr">
        <is>
          <t>Nhân viên</t>
        </is>
      </c>
      <c r="H9543" t="inlineStr">
        <is>
          <t>10/03/2026</t>
        </is>
      </c>
      <c r="I9543" t="inlineStr">
        <is>
          <t>09/04/2026</t>
        </is>
      </c>
      <c r="J9543" t="inlineStr">
        <is>
          <t>17/03/2026</t>
        </is>
      </c>
      <c r="K9543" t="inlineStr">
        <is>
          <t>N/A</t>
        </is>
      </c>
      <c r="L9543" t="inlineStr">
        <is>
          <t>Communication, Inventory Analysis, Inventory Management, Inventory System, Logistics</t>
        </is>
      </c>
      <c r="M9543" t="inlineStr">
        <is>
          <t>Bonus</t>
        </is>
      </c>
      <c r="N9543" s="8">
        <f>HYPERLINK("https://www.vietnamworks.com/supervisor-inventory-management-2021471-jv","Xem chi tiết")</f>
        <v/>
      </c>
    </row>
    <row r="9544">
      <c r="B9544" s="9" t="n">
        <v>9542</v>
      </c>
      <c r="C9544" s="10" t="inlineStr">
        <is>
          <t>Warehouse Operations Supervisor (3PL)</t>
        </is>
      </c>
      <c r="D9544" s="10" t="inlineStr">
        <is>
          <t>MAERSK</t>
        </is>
      </c>
      <c r="E9544" s="10" t="inlineStr">
        <is>
          <t>Thương lượng</t>
        </is>
      </c>
      <c r="F9544" s="10" t="inlineStr">
        <is>
          <t>Bình Dương</t>
        </is>
      </c>
      <c r="G9544" s="10" t="inlineStr">
        <is>
          <t>Nhân viên</t>
        </is>
      </c>
      <c r="H9544" s="10" t="inlineStr">
        <is>
          <t>10/03/2026</t>
        </is>
      </c>
      <c r="I9544" s="10" t="inlineStr">
        <is>
          <t>09/04/2026</t>
        </is>
      </c>
      <c r="J9544" s="10" t="inlineStr">
        <is>
          <t>17/03/2026</t>
        </is>
      </c>
      <c r="K9544" s="10" t="inlineStr">
        <is>
          <t>N/A</t>
        </is>
      </c>
      <c r="L9544" s="10" t="inlineStr">
        <is>
          <t>Operations Processes, Outbound Management, Problem-solving, Warehouse Management, Warehouse Operations</t>
        </is>
      </c>
      <c r="M9544" s="10" t="inlineStr">
        <is>
          <t>Bonus</t>
        </is>
      </c>
      <c r="N9544" s="11">
        <f>HYPERLINK("https://www.vietnamworks.com/warehouse-operations-supervisor-3pl-2021461-jv","Xem chi tiết")</f>
        <v/>
      </c>
      <c r="O9544" s="10" t="n"/>
    </row>
    <row r="9545">
      <c r="B9545" s="7" t="n">
        <v>9543</v>
      </c>
      <c r="C9545" t="inlineStr">
        <is>
          <t>Viettel Future Changemakers - Quản Trị Viên Tập Sự - Quản Lý Sản Phẩm</t>
        </is>
      </c>
      <c r="D9545" t="inlineStr">
        <is>
          <t>Tập Đoàn Công Nghiệp - Viễn Thông Quân Đội (Viettel Group)</t>
        </is>
      </c>
      <c r="E9545" t="inlineStr">
        <is>
          <t>$$ 1,000-2,000 /tháng</t>
        </is>
      </c>
      <c r="F9545" t="inlineStr">
        <is>
          <t>Hà Nội</t>
        </is>
      </c>
      <c r="G9545" t="inlineStr">
        <is>
          <t>Nhân viên</t>
        </is>
      </c>
      <c r="H9545" t="inlineStr">
        <is>
          <t>10/03/2026</t>
        </is>
      </c>
      <c r="I9545" t="inlineStr">
        <is>
          <t>25/03/2026</t>
        </is>
      </c>
      <c r="J9545" t="inlineStr">
        <is>
          <t>17/03/2026</t>
        </is>
      </c>
      <c r="K9545" t="inlineStr">
        <is>
          <t>N/A</t>
        </is>
      </c>
      <c r="L9545" t="inlineStr">
        <is>
          <t>IT Phần Mềm, business analyst, product owner, Product Designing, Product Development</t>
        </is>
      </c>
      <c r="M9545" t="inlineStr">
        <is>
          <t>Bonus, Team Activities, Transportation</t>
        </is>
      </c>
      <c r="N9545" s="8">
        <f>HYPERLINK("https://www.vietnamworks.com/viettel-future-changemakers-quan-tri-vien-tap-su-quan-ly-san-pham--2021448-jv","Xem chi tiết")</f>
        <v/>
      </c>
    </row>
    <row r="9546">
      <c r="B9546" s="9" t="n">
        <v>9544</v>
      </c>
      <c r="C9546" s="10" t="inlineStr">
        <is>
          <t>4PL Customer Service Agent (Customs)</t>
        </is>
      </c>
      <c r="D9546" s="10" t="inlineStr">
        <is>
          <t>MAERSK</t>
        </is>
      </c>
      <c r="E9546" s="10" t="inlineStr">
        <is>
          <t>Thương lượng</t>
        </is>
      </c>
      <c r="F9546" s="10" t="inlineStr">
        <is>
          <t>Hồ Chí Minh</t>
        </is>
      </c>
      <c r="G9546" s="10" t="inlineStr">
        <is>
          <t>Nhân viên</t>
        </is>
      </c>
      <c r="H9546" s="10" t="inlineStr">
        <is>
          <t>10/03/2026</t>
        </is>
      </c>
      <c r="I9546" s="10" t="inlineStr">
        <is>
          <t>09/04/2026</t>
        </is>
      </c>
      <c r="J9546" s="10" t="inlineStr">
        <is>
          <t>17/03/2026</t>
        </is>
      </c>
      <c r="K9546" s="10" t="inlineStr">
        <is>
          <t>N/A</t>
        </is>
      </c>
      <c r="L9546" s="10" t="inlineStr">
        <is>
          <t>Communication Skills, Customer Service, Logistics, Problem-solving, Team Work</t>
        </is>
      </c>
      <c r="M9546" s="10" t="inlineStr">
        <is>
          <t>Others</t>
        </is>
      </c>
      <c r="N9546" s="11">
        <f>HYPERLINK("https://www.vietnamworks.com/4pl-customer-service-agent-customs-2021473-jv","Xem chi tiết")</f>
        <v/>
      </c>
      <c r="O9546" s="10" t="n"/>
    </row>
    <row r="9547">
      <c r="B9547" s="7" t="n">
        <v>9545</v>
      </c>
      <c r="C9547" t="inlineStr">
        <is>
          <t>Head of Branding &amp; Marketing (Ai-Embedded Growth Leader)</t>
        </is>
      </c>
      <c r="D9547" t="inlineStr">
        <is>
          <t>CÔNG TY TNHH MAISA WORLD (VIỆT NAM)</t>
        </is>
      </c>
      <c r="E9547" t="inlineStr">
        <is>
          <t>Thương lượng</t>
        </is>
      </c>
      <c r="F9547" t="inlineStr">
        <is>
          <t>Hồ Chí Minh</t>
        </is>
      </c>
      <c r="G9547" t="inlineStr">
        <is>
          <t>Trưởng phòng</t>
        </is>
      </c>
      <c r="H9547" t="inlineStr">
        <is>
          <t>10/03/2026</t>
        </is>
      </c>
      <c r="I9547" t="inlineStr">
        <is>
          <t>09/04/2026</t>
        </is>
      </c>
      <c r="J9547" t="inlineStr">
        <is>
          <t>17/03/2026</t>
        </is>
      </c>
      <c r="K9547" t="inlineStr">
        <is>
          <t>N/A</t>
        </is>
      </c>
      <c r="L9547" t="inlineStr">
        <is>
          <t>Digital Marketing, Digital Storytelling, Marketing Strategy, Project Management, Branding &amp; marketing</t>
        </is>
      </c>
      <c r="M9547" t="inlineStr">
        <is>
          <t>Bonus, Travel Opportunities, Others</t>
        </is>
      </c>
      <c r="N9547" s="8">
        <f>HYPERLINK("https://www.vietnamworks.com/head-of-branding-marketing-ai-embedded-growth-leader-2021430-jv","Xem chi tiết")</f>
        <v/>
      </c>
    </row>
    <row r="9548">
      <c r="B9548" s="9" t="n">
        <v>9546</v>
      </c>
      <c r="C9548" s="10" t="inlineStr">
        <is>
          <t>Quản Lý Bảo Trì Trang Trại (Quảng Ngãi)</t>
        </is>
      </c>
      <c r="D9548" s="10" t="inlineStr">
        <is>
          <t>Công Ty Cổ Phần Tập Đoàn TH</t>
        </is>
      </c>
      <c r="E9548" s="10" t="inlineStr">
        <is>
          <t>Thương lượng</t>
        </is>
      </c>
      <c r="F9548" s="10" t="inlineStr">
        <is>
          <t>Quảng Ngãi</t>
        </is>
      </c>
      <c r="G9548" s="10" t="inlineStr">
        <is>
          <t>Trưởng phòng</t>
        </is>
      </c>
      <c r="H9548" s="10" t="inlineStr">
        <is>
          <t>10/03/2026</t>
        </is>
      </c>
      <c r="I9548" s="10" t="inlineStr">
        <is>
          <t>09/04/2026</t>
        </is>
      </c>
      <c r="J9548" s="10" t="inlineStr">
        <is>
          <t>17/03/2026</t>
        </is>
      </c>
      <c r="K9548" s="10" t="inlineStr">
        <is>
          <t>N/A</t>
        </is>
      </c>
      <c r="L9548" s="10" t="inlineStr">
        <is>
          <t>Bảo Trì, Bảo Dưỡng, Điện tử, Điện, Quản Lý Bảo Trì</t>
        </is>
      </c>
      <c r="M9548" s="10" t="inlineStr">
        <is>
          <t>Bonus</t>
        </is>
      </c>
      <c r="N9548" s="11">
        <f>HYPERLINK("https://www.vietnamworks.com/quan-ly-bao-tri-trang-trai-quang-ngai-2021432-jv","Xem chi tiết")</f>
        <v/>
      </c>
      <c r="O9548" s="10" t="n"/>
    </row>
    <row r="9549">
      <c r="B9549" s="7" t="n">
        <v>9547</v>
      </c>
      <c r="C9549" t="inlineStr">
        <is>
          <t>Chuyên Viên Lĩnh Vực Logistic</t>
        </is>
      </c>
      <c r="D9549" t="inlineStr">
        <is>
          <t>TCT CP Đầu tư Quốc tế Viettel</t>
        </is>
      </c>
      <c r="E9549" t="inlineStr">
        <is>
          <t>Thương lượng</t>
        </is>
      </c>
      <c r="F9549" t="inlineStr">
        <is>
          <t>Hà Nội</t>
        </is>
      </c>
      <c r="G9549" t="inlineStr">
        <is>
          <t>Nhân viên</t>
        </is>
      </c>
      <c r="H9549" t="inlineStr">
        <is>
          <t>10/03/2026</t>
        </is>
      </c>
      <c r="I9549" t="inlineStr">
        <is>
          <t>25/03/2026</t>
        </is>
      </c>
      <c r="J9549" t="inlineStr">
        <is>
          <t>17/03/2026</t>
        </is>
      </c>
      <c r="K9549" t="inlineStr">
        <is>
          <t>N/A</t>
        </is>
      </c>
      <c r="L9549" t="inlineStr">
        <is>
          <t>Logistic, Quản trị Kinh doanh, Vận Tải Đường Bộ</t>
        </is>
      </c>
      <c r="M9549" t="inlineStr">
        <is>
          <t>Bonus, Healthcare Plan, Paid Leave</t>
        </is>
      </c>
      <c r="N9549" s="8">
        <f>HYPERLINK("https://www.vietnamworks.com/chuyen-vien-linh-vuc-logistic--2021442-jv","Xem chi tiết")</f>
        <v/>
      </c>
    </row>
    <row r="9550">
      <c r="B9550" s="9" t="n">
        <v>9548</v>
      </c>
      <c r="C9550" s="10" t="inlineStr">
        <is>
          <t>Project Manager</t>
        </is>
      </c>
      <c r="D9550" s="10" t="inlineStr">
        <is>
          <t>CapitaLand Development (Vietnam)</t>
        </is>
      </c>
      <c r="E9550" s="10" t="inlineStr">
        <is>
          <t>Thương lượng</t>
        </is>
      </c>
      <c r="F9550" s="10" t="inlineStr">
        <is>
          <t>Hải Phòng</t>
        </is>
      </c>
      <c r="G9550" s="10" t="inlineStr">
        <is>
          <t>Trưởng phòng</t>
        </is>
      </c>
      <c r="H9550" s="10" t="inlineStr">
        <is>
          <t>10/03/2026</t>
        </is>
      </c>
      <c r="I9550" s="10" t="inlineStr">
        <is>
          <t>09/04/2026</t>
        </is>
      </c>
      <c r="J9550" s="10" t="inlineStr">
        <is>
          <t>17/03/2026</t>
        </is>
      </c>
      <c r="K9550" s="10" t="inlineStr">
        <is>
          <t>N/A</t>
        </is>
      </c>
      <c r="L9550" s="10" t="inlineStr">
        <is>
          <t>Project Management, Technical Architecture, Construction Project</t>
        </is>
      </c>
      <c r="M9550" s="10" t="inlineStr">
        <is>
          <t>Bonus, Healthcare Plan, Training</t>
        </is>
      </c>
      <c r="N9550" s="11">
        <f>HYPERLINK("https://www.vietnamworks.com/project-manager-700-1-1--2021476-jv","Xem chi tiết")</f>
        <v/>
      </c>
      <c r="O9550" s="10" t="n"/>
    </row>
    <row r="9551">
      <c r="B9551" s="7" t="n">
        <v>9549</v>
      </c>
      <c r="C9551" t="inlineStr">
        <is>
          <t>Trưởng Phòng Sản Xuất (Khánh Hòa)</t>
        </is>
      </c>
      <c r="D9551" t="inlineStr">
        <is>
          <t>Vietnamworks' Client</t>
        </is>
      </c>
      <c r="E9551" t="inlineStr">
        <is>
          <t>Thương lượng</t>
        </is>
      </c>
      <c r="F9551" t="inlineStr">
        <is>
          <t>Khánh Hòa</t>
        </is>
      </c>
      <c r="G9551" t="inlineStr">
        <is>
          <t>Trưởng phòng</t>
        </is>
      </c>
      <c r="H9551" t="inlineStr">
        <is>
          <t>10/03/2026</t>
        </is>
      </c>
      <c r="I9551" t="inlineStr">
        <is>
          <t>09/04/2026</t>
        </is>
      </c>
      <c r="J9551" t="inlineStr">
        <is>
          <t>17/03/2026</t>
        </is>
      </c>
      <c r="K9551" t="inlineStr">
        <is>
          <t>N/A</t>
        </is>
      </c>
      <c r="L9551" t="inlineStr">
        <is>
          <t>Công Nghệ Thực Phẩm, Giám Sát Phòng Sản Xuất, Sản xuất thực phẩm, Thực phẩm</t>
        </is>
      </c>
      <c r="M9551" t="inlineStr">
        <is>
          <t>Bonus</t>
        </is>
      </c>
      <c r="N9551" s="8">
        <f>HYPERLINK("https://www.vietnamworks.com/truong-phong-san-xuat-khanh-hoa-2021426-jv","Xem chi tiết")</f>
        <v/>
      </c>
    </row>
    <row r="9552">
      <c r="B9552" s="9" t="n">
        <v>9550</v>
      </c>
      <c r="C9552" s="10" t="inlineStr">
        <is>
          <t>Chuyên Viên Chính Sách Tiền Lương (C&amp;B)</t>
        </is>
      </c>
      <c r="D9552" s="10" t="inlineStr">
        <is>
          <t>Công Ty Cổ Phần Tập Đoàn Sunhouse</t>
        </is>
      </c>
      <c r="E9552" s="10" t="inlineStr">
        <is>
          <t>$$ 500-800 /tháng</t>
        </is>
      </c>
      <c r="F9552" s="10" t="inlineStr">
        <is>
          <t>Hà Nội</t>
        </is>
      </c>
      <c r="G9552" s="10" t="inlineStr">
        <is>
          <t>Nhân viên</t>
        </is>
      </c>
      <c r="H9552" s="10" t="inlineStr">
        <is>
          <t>10/03/2026</t>
        </is>
      </c>
      <c r="I9552" s="10" t="inlineStr">
        <is>
          <t>09/04/2026</t>
        </is>
      </c>
      <c r="J9552" s="10" t="inlineStr">
        <is>
          <t>17/03/2026</t>
        </is>
      </c>
      <c r="K9552" s="10" t="inlineStr">
        <is>
          <t>N/A</t>
        </is>
      </c>
      <c r="L9552" s="10" t="inlineStr">
        <is>
          <t>HRM, HR General, HR, Excel, C&amp;B</t>
        </is>
      </c>
      <c r="M9552" s="10" t="inlineStr">
        <is>
          <t>Bonus, Travel Opportunities, Transportation</t>
        </is>
      </c>
      <c r="N9552" s="11">
        <f>HYPERLINK("https://www.vietnamworks.com/chuyen-vien-chinh-sach-tien-luong-c-b-2021436-jv","Xem chi tiết")</f>
        <v/>
      </c>
      <c r="O9552" s="10" t="n"/>
    </row>
    <row r="9553">
      <c r="B9553" s="7" t="n">
        <v>9551</v>
      </c>
      <c r="C9553" t="inlineStr">
        <is>
          <t>Chủ Trì Thiết Kế Điều Hòa Không Khí Và Thông Gió</t>
        </is>
      </c>
      <c r="D9553" t="inlineStr">
        <is>
          <t>Tân Hoàng Minh Group</t>
        </is>
      </c>
      <c r="E9553" t="inlineStr">
        <is>
          <t>35tr-42tr ₫/tháng</t>
        </is>
      </c>
      <c r="F9553" t="inlineStr">
        <is>
          <t>Hà Nội</t>
        </is>
      </c>
      <c r="G9553" t="inlineStr">
        <is>
          <t>Trưởng phòng</t>
        </is>
      </c>
      <c r="H9553" t="inlineStr">
        <is>
          <t>10/03/2026</t>
        </is>
      </c>
      <c r="I9553" t="inlineStr">
        <is>
          <t>09/04/2026</t>
        </is>
      </c>
      <c r="J9553" t="inlineStr">
        <is>
          <t>17/03/2026</t>
        </is>
      </c>
      <c r="K9553" t="inlineStr">
        <is>
          <t>N/A</t>
        </is>
      </c>
      <c r="L9553" t="inlineStr">
        <is>
          <t>Nhiệt Lạnh, Cơ Điện, Thiết Kế Kiến Trúc, Thiết Kế Điều Hòa Thông Gió</t>
        </is>
      </c>
      <c r="M9553" t="inlineStr">
        <is>
          <t>Bonus, Healthcare Plan, Training</t>
        </is>
      </c>
      <c r="N9553" s="8">
        <f>HYPERLINK("https://www.vietnamworks.com/chu-tri-thiet-ke-dieu-hoa-khong-khi-va-thong-gio-2021439-jv","Xem chi tiết")</f>
        <v/>
      </c>
    </row>
    <row r="9554">
      <c r="B9554" s="9" t="n">
        <v>9552</v>
      </c>
      <c r="C9554" s="10" t="inlineStr">
        <is>
          <t>Trưởng Phòng Tài Chính | Finance Manager</t>
        </is>
      </c>
      <c r="D9554" s="10" t="inlineStr">
        <is>
          <t>Samsung Electronics Vietnam Thai Nguyen Co., Ltd</t>
        </is>
      </c>
      <c r="E9554" s="10" t="inlineStr">
        <is>
          <t>Từ $ 1,400 /tháng</t>
        </is>
      </c>
      <c r="F9554" s="10" t="inlineStr">
        <is>
          <t>Thái Nguyên, Hà Nội, Bắc Giang</t>
        </is>
      </c>
      <c r="G9554" s="10" t="inlineStr">
        <is>
          <t>Trưởng phòng</t>
        </is>
      </c>
      <c r="H9554" s="10" t="inlineStr">
        <is>
          <t>10/03/2026</t>
        </is>
      </c>
      <c r="I9554" s="10" t="inlineStr">
        <is>
          <t>09/04/2026</t>
        </is>
      </c>
      <c r="J9554" s="10" t="inlineStr">
        <is>
          <t>17/03/2026</t>
        </is>
      </c>
      <c r="K9554" s="10" t="inlineStr">
        <is>
          <t>N/A</t>
        </is>
      </c>
      <c r="L9554" s="10" t="inlineStr">
        <is>
          <t>Finance</t>
        </is>
      </c>
      <c r="M9554" s="10" t="inlineStr">
        <is>
          <t>Bonus, Paid Leave, Others</t>
        </is>
      </c>
      <c r="N9554" s="11">
        <f>HYPERLINK("https://www.vietnamworks.com/truong-phong-tai-chinh-finance-manager--2021438-jv","Xem chi tiết")</f>
        <v/>
      </c>
      <c r="O9554" s="10" t="n"/>
    </row>
    <row r="9555">
      <c r="B9555" s="7" t="n">
        <v>9553</v>
      </c>
      <c r="C9555" t="inlineStr">
        <is>
          <t>Chuyên Viên Phát Triển Thương Hiệu</t>
        </is>
      </c>
      <c r="D9555" t="inlineStr">
        <is>
          <t>GELEX Group</t>
        </is>
      </c>
      <c r="E9555" t="inlineStr">
        <is>
          <t>Thương lượng</t>
        </is>
      </c>
      <c r="F9555" t="inlineStr">
        <is>
          <t>Hà Nội</t>
        </is>
      </c>
      <c r="G9555" t="inlineStr">
        <is>
          <t>Nhân viên</t>
        </is>
      </c>
      <c r="H9555" t="inlineStr">
        <is>
          <t>10/03/2026</t>
        </is>
      </c>
      <c r="I9555" t="inlineStr">
        <is>
          <t>09/04/2026</t>
        </is>
      </c>
      <c r="J9555" t="inlineStr">
        <is>
          <t>17/03/2026</t>
        </is>
      </c>
      <c r="K9555" t="inlineStr">
        <is>
          <t>N/A</t>
        </is>
      </c>
      <c r="L9555" t="inlineStr">
        <is>
          <t>Marketing, Branding, Truyền Thông, Phát Triển Thương Hiệu</t>
        </is>
      </c>
      <c r="M9555" t="inlineStr">
        <is>
          <t>Bonus, Healthcare Plan, Training, Others</t>
        </is>
      </c>
      <c r="N9555" s="8">
        <f>HYPERLINK("https://www.vietnamworks.com/chuyen-vien-phat-trien-thuong-hieu-2021467-jv","Xem chi tiết")</f>
        <v/>
      </c>
    </row>
    <row r="9556">
      <c r="B9556" s="9" t="n">
        <v>9554</v>
      </c>
      <c r="C9556" s="10" t="inlineStr">
        <is>
          <t>Customer Services (Freight Forwarder And Logistics)</t>
        </is>
      </c>
      <c r="D9556" s="10" t="inlineStr">
        <is>
          <t>VINA Atm Co., Ltd</t>
        </is>
      </c>
      <c r="E9556" s="10" t="inlineStr">
        <is>
          <t>10tr-15tr ₫/tháng</t>
        </is>
      </c>
      <c r="F9556" s="10" t="inlineStr">
        <is>
          <t>Hồ Chí Minh</t>
        </is>
      </c>
      <c r="G9556" s="10" t="inlineStr">
        <is>
          <t>Nhân viên</t>
        </is>
      </c>
      <c r="H9556" s="10" t="inlineStr">
        <is>
          <t>10/03/2026</t>
        </is>
      </c>
      <c r="I9556" s="10" t="inlineStr">
        <is>
          <t>09/04/2026</t>
        </is>
      </c>
      <c r="J9556" s="10" t="inlineStr">
        <is>
          <t>17/03/2026</t>
        </is>
      </c>
      <c r="K9556" s="10" t="inlineStr">
        <is>
          <t>N/A</t>
        </is>
      </c>
      <c r="L9556" s="10" t="inlineStr">
        <is>
          <t>Communication, Customer Service, Documentation, Logistics, Teamwork</t>
        </is>
      </c>
      <c r="M9556" s="10" t="inlineStr">
        <is>
          <t>Bonus, Healthcare Plan, Training, Team Activities, Others</t>
        </is>
      </c>
      <c r="N9556" s="11">
        <f>HYPERLINK("https://www.vietnamworks.com/customer-services-freight-forwarder-and-logistics-2021462-jv","Xem chi tiết")</f>
        <v/>
      </c>
      <c r="O9556" s="10" t="n"/>
    </row>
    <row r="9557">
      <c r="B9557" s="7" t="n">
        <v>9555</v>
      </c>
      <c r="C9557" t="inlineStr">
        <is>
          <t>Talent Acquisition Lead – Restaurant Chain</t>
        </is>
      </c>
      <c r="D9557" t="inlineStr">
        <is>
          <t>Ozzy Trading Company LTD. / Pho Sol</t>
        </is>
      </c>
      <c r="E9557" t="inlineStr">
        <is>
          <t>$$ 800-1,000 /tháng</t>
        </is>
      </c>
      <c r="F9557" t="inlineStr">
        <is>
          <t>Hồ Chí Minh</t>
        </is>
      </c>
      <c r="G9557" t="inlineStr">
        <is>
          <t>Nhân viên</t>
        </is>
      </c>
      <c r="H9557" t="inlineStr">
        <is>
          <t>10/03/2026</t>
        </is>
      </c>
      <c r="I9557" t="inlineStr">
        <is>
          <t>09/04/2026</t>
        </is>
      </c>
      <c r="J9557" t="inlineStr">
        <is>
          <t>17/03/2026</t>
        </is>
      </c>
      <c r="K9557" t="inlineStr">
        <is>
          <t>N/A</t>
        </is>
      </c>
      <c r="L9557" t="inlineStr">
        <is>
          <t>Talent Acquisition, Recruitment Management, Mass Hiring, Talent Sourcing, Recruitment Strategy</t>
        </is>
      </c>
      <c r="M9557" t="inlineStr">
        <is>
          <t>Paid Leave, Training, Team Activities</t>
        </is>
      </c>
      <c r="N9557" s="8">
        <f>HYPERLINK("https://www.vietnamworks.com/talent-acquisition-lead-restaurant-chain-2021470-jv","Xem chi tiết")</f>
        <v/>
      </c>
    </row>
    <row r="9558">
      <c r="B9558" s="9" t="n">
        <v>9556</v>
      </c>
      <c r="C9558" s="10" t="inlineStr">
        <is>
          <t>Thư Ký Dự Án</t>
        </is>
      </c>
      <c r="D9558" s="10" t="inlineStr">
        <is>
          <t>Công Ty Cổ Phần Kiến Trúc Tư Vấn Quản Lý Đông Dương</t>
        </is>
      </c>
      <c r="E9558" s="10" t="inlineStr">
        <is>
          <t>12tr-18tr ₫/tháng</t>
        </is>
      </c>
      <c r="F9558" s="10" t="inlineStr">
        <is>
          <t>Hồ Chí Minh, Hà Nội</t>
        </is>
      </c>
      <c r="G9558" s="10" t="inlineStr">
        <is>
          <t>Nhân viên</t>
        </is>
      </c>
      <c r="H9558" s="10" t="inlineStr">
        <is>
          <t>10/03/2026</t>
        </is>
      </c>
      <c r="I9558" s="10" t="inlineStr">
        <is>
          <t>09/04/2026</t>
        </is>
      </c>
      <c r="J9558" s="10" t="inlineStr">
        <is>
          <t>17/03/2026</t>
        </is>
      </c>
      <c r="K9558" s="10" t="inlineStr">
        <is>
          <t>N/A</t>
        </is>
      </c>
      <c r="L9558" s="10" t="inlineStr">
        <is>
          <t>Biên Dịch Tài Liệu, Quản Lý Đa Công Việc, Soạn Thảo Hồ Sơ, Tin Học Văn Phòng</t>
        </is>
      </c>
      <c r="M9558" s="10" t="inlineStr">
        <is>
          <t>Bonus, Healthcare Plan, Training, Laptop, Travel Opportunities</t>
        </is>
      </c>
      <c r="N9558" s="11">
        <f>HYPERLINK("https://www.vietnamworks.com/thu-ky-du-an-2021437-jv","Xem chi tiết")</f>
        <v/>
      </c>
      <c r="O9558" s="10" t="n"/>
    </row>
    <row r="9559">
      <c r="B9559" s="7" t="n">
        <v>9557</v>
      </c>
      <c r="C9559" t="inlineStr">
        <is>
          <t>Giám đốc Thương hiệu &amp; Marketing</t>
        </is>
      </c>
      <c r="D9559" t="inlineStr">
        <is>
          <t>CÔNG TY CỔ PHẦN VINSMART FUTURE</t>
        </is>
      </c>
      <c r="E9559" t="inlineStr">
        <is>
          <t>Thương lượng</t>
        </is>
      </c>
      <c r="F9559" t="inlineStr">
        <is>
          <t>Hà Nội</t>
        </is>
      </c>
      <c r="G9559" t="inlineStr">
        <is>
          <t>Giám Đốc và Cấp Cao Hơn</t>
        </is>
      </c>
      <c r="H9559" t="inlineStr">
        <is>
          <t>10/03/2026</t>
        </is>
      </c>
      <c r="I9559" t="inlineStr">
        <is>
          <t>09/04/2026</t>
        </is>
      </c>
      <c r="J9559" t="inlineStr">
        <is>
          <t>17/03/2026</t>
        </is>
      </c>
      <c r="K9559" t="inlineStr">
        <is>
          <t>N/A</t>
        </is>
      </c>
      <c r="L9559" t="inlineStr">
        <is>
          <t>Consumer Insight, Digital Marketing, Growth Marketing, Leadership, Marketing Strategy</t>
        </is>
      </c>
      <c r="M9559" t="inlineStr">
        <is>
          <t>Bonus, Training, Awards, Travel Opportunities</t>
        </is>
      </c>
      <c r="N9559" s="8">
        <f>HYPERLINK("https://www.vietnamworks.com/giam-djoc-thuong-hieu-and-marketing-2021474-jv","Xem chi tiết")</f>
        <v/>
      </c>
    </row>
    <row r="9560">
      <c r="B9560" s="9" t="n">
        <v>9558</v>
      </c>
      <c r="C9560" s="10" t="inlineStr">
        <is>
          <t>Chuyên viên Tư Vấn Tuyển Sinh Mầm Non - ILO Preschool Bình Dương</t>
        </is>
      </c>
      <c r="D9560" s="10" t="inlineStr">
        <is>
          <t>ILA Vietnam</t>
        </is>
      </c>
      <c r="E9560" s="10" t="inlineStr">
        <is>
          <t>$$ 350-750 /tháng</t>
        </is>
      </c>
      <c r="F9560" s="10" t="inlineStr">
        <is>
          <t>Bình Dương</t>
        </is>
      </c>
      <c r="G9560" s="10" t="inlineStr">
        <is>
          <t>Nhân viên</t>
        </is>
      </c>
      <c r="H9560" s="10" t="inlineStr">
        <is>
          <t>10/03/2026</t>
        </is>
      </c>
      <c r="I9560" s="10" t="inlineStr">
        <is>
          <t>09/04/2026</t>
        </is>
      </c>
      <c r="J9560" s="10" t="inlineStr">
        <is>
          <t>17/03/2026</t>
        </is>
      </c>
      <c r="K9560" s="10" t="inlineStr">
        <is>
          <t>N/A</t>
        </is>
      </c>
      <c r="L9560" s="10" t="inlineStr">
        <is>
          <t>Customer Service, Mentoring, Sales Experience</t>
        </is>
      </c>
      <c r="M9560" s="10" t="inlineStr">
        <is>
          <t>Bonus, Healthcare Plan, Laptop, Mobile, Vouchers</t>
        </is>
      </c>
      <c r="N9560" s="11">
        <f>HYPERLINK("https://www.vietnamworks.com/chuyen-vien-tu-van-tuyen-sinh-mam-non-ilo-preschool-binh-duong-2021452-jv","Xem chi tiết")</f>
        <v/>
      </c>
      <c r="O9560" s="10" t="n"/>
    </row>
    <row r="9561">
      <c r="B9561" s="7" t="n">
        <v>9559</v>
      </c>
      <c r="C9561" t="inlineStr">
        <is>
          <t>Service Engineer - Máy Xây Dựng</t>
        </is>
      </c>
      <c r="D9561" t="inlineStr">
        <is>
          <t>Công Ty TNHH LiuGong Machinery Việt Nam</t>
        </is>
      </c>
      <c r="E9561" t="inlineStr">
        <is>
          <t>$$ 500-1,000 /tháng</t>
        </is>
      </c>
      <c r="F9561" t="inlineStr">
        <is>
          <t>Hưng Yên</t>
        </is>
      </c>
      <c r="G9561" t="inlineStr">
        <is>
          <t>Nhân viên</t>
        </is>
      </c>
      <c r="H9561" t="inlineStr">
        <is>
          <t>10/03/2026</t>
        </is>
      </c>
      <c r="I9561" t="inlineStr">
        <is>
          <t>09/04/2026</t>
        </is>
      </c>
      <c r="J9561" t="inlineStr">
        <is>
          <t>17/03/2026</t>
        </is>
      </c>
      <c r="K9561" t="inlineStr">
        <is>
          <t>N/A</t>
        </is>
      </c>
      <c r="L9561" t="inlineStr">
        <is>
          <t>Cơ Khí, Ô Tô, Máy Xây Dựng, Lái Máy Xây Dựng, Sửa Chữa Cơ Khí</t>
        </is>
      </c>
      <c r="M9561" t="inlineStr">
        <is>
          <t>Bonus, Healthcare Plan, Training</t>
        </is>
      </c>
      <c r="N9561" s="8">
        <f>HYPERLINK("https://www.vietnamworks.com/service-engineer-may-xay-dung-2021468-jv","Xem chi tiết")</f>
        <v/>
      </c>
    </row>
    <row r="9562">
      <c r="B9562" s="9" t="n">
        <v>9560</v>
      </c>
      <c r="C9562" s="10" t="inlineStr">
        <is>
          <t>Senior Category Marketing Manager (Full Portfolio)</t>
        </is>
      </c>
      <c r="D9562" s="10" t="inlineStr">
        <is>
          <t>The Vigo</t>
        </is>
      </c>
      <c r="E9562" s="10" t="inlineStr">
        <is>
          <t>50tr-60tr ₫/tháng</t>
        </is>
      </c>
      <c r="F9562" s="10" t="inlineStr">
        <is>
          <t>Hồ Chí Minh</t>
        </is>
      </c>
      <c r="G9562" s="10" t="inlineStr">
        <is>
          <t>Trưởng phòng</t>
        </is>
      </c>
      <c r="H9562" s="10" t="inlineStr">
        <is>
          <t>10/03/2026</t>
        </is>
      </c>
      <c r="I9562" s="10" t="inlineStr">
        <is>
          <t>09/04/2026</t>
        </is>
      </c>
      <c r="J9562" s="10" t="inlineStr">
        <is>
          <t>17/03/2026</t>
        </is>
      </c>
      <c r="K9562" s="10" t="inlineStr">
        <is>
          <t>N/A</t>
        </is>
      </c>
      <c r="L9562" s="10" t="inlineStr">
        <is>
          <t>Category Development, Consumer Marketing, Integrated Marketing, Trade Marketing, Value Based Marketing</t>
        </is>
      </c>
      <c r="M9562" s="10" t="inlineStr">
        <is>
          <t>Bonus, Healthcare Plan, Paid Leave, Training, Laptop, Team Activities, Others</t>
        </is>
      </c>
      <c r="N9562" s="11">
        <f>HYPERLINK("https://www.vietnamworks.com/senior-category-marketing-manager-full-portfolio-2021469-jv","Xem chi tiết")</f>
        <v/>
      </c>
      <c r="O9562" s="10" t="n"/>
    </row>
    <row r="9563">
      <c r="B9563" s="7" t="n">
        <v>9561</v>
      </c>
      <c r="C9563" t="inlineStr">
        <is>
          <t>HR Director (Up to USD 4000)</t>
        </is>
      </c>
      <c r="D9563" t="inlineStr">
        <is>
          <t>SmartOSC</t>
        </is>
      </c>
      <c r="E9563" t="inlineStr">
        <is>
          <t>Tới $ 4,000 /tháng</t>
        </is>
      </c>
      <c r="F9563" t="inlineStr">
        <is>
          <t>Hà Nội</t>
        </is>
      </c>
      <c r="G9563" t="inlineStr">
        <is>
          <t>Giám Đốc và Cấp Cao Hơn</t>
        </is>
      </c>
      <c r="H9563" t="inlineStr">
        <is>
          <t>10/03/2026</t>
        </is>
      </c>
      <c r="I9563" t="inlineStr">
        <is>
          <t>09/04/2026</t>
        </is>
      </c>
      <c r="J9563" t="inlineStr">
        <is>
          <t>17/03/2026</t>
        </is>
      </c>
      <c r="K9563" t="inlineStr">
        <is>
          <t>N/A</t>
        </is>
      </c>
      <c r="L9563" t="inlineStr">
        <is>
          <t>English Communication, HR Policy Execution, Leadership Skills, Organization Development, Stakeholder Management</t>
        </is>
      </c>
      <c r="M9563" t="inlineStr">
        <is>
          <t>Bonus, Healthcare Plan, Training, Team Activities, Others</t>
        </is>
      </c>
      <c r="N9563" s="8">
        <f>HYPERLINK("https://www.vietnamworks.com/hr-director-up-to-usd-4000-2021479-jv","Xem chi tiết")</f>
        <v/>
      </c>
    </row>
    <row r="9564">
      <c r="B9564" s="9" t="n">
        <v>9562</v>
      </c>
      <c r="C9564" s="10" t="inlineStr">
        <is>
          <t>Signal Integrity Engineer</t>
        </is>
      </c>
      <c r="D9564" s="10" t="inlineStr">
        <is>
          <t>Công Ty TNHH Amphenol Highspeed IO Technology Việt Nam</t>
        </is>
      </c>
      <c r="E9564" s="10" t="inlineStr">
        <is>
          <t>Thương lượng</t>
        </is>
      </c>
      <c r="F9564" s="10" t="inlineStr">
        <is>
          <t>Bắc Ninh</t>
        </is>
      </c>
      <c r="G9564" s="10" t="inlineStr">
        <is>
          <t>Nhân viên</t>
        </is>
      </c>
      <c r="H9564" s="10" t="inlineStr">
        <is>
          <t>15/01/2026</t>
        </is>
      </c>
      <c r="I9564" s="10" t="inlineStr">
        <is>
          <t>26/03/2026</t>
        </is>
      </c>
      <c r="J9564" s="10" t="inlineStr">
        <is>
          <t>17/03/2026</t>
        </is>
      </c>
      <c r="K9564" s="10" t="inlineStr">
        <is>
          <t>N/A</t>
        </is>
      </c>
      <c r="L9564" s="10" t="inlineStr">
        <is>
          <t>Radio Frequency, Signal Integrity, PCB Design, Electronics, Testing</t>
        </is>
      </c>
      <c r="M9564" s="10" t="inlineStr">
        <is>
          <t>Bonus, Paid Leave, Training</t>
        </is>
      </c>
      <c r="N9564" s="11">
        <f>HYPERLINK("https://www.vietnamworks.com/signal-integrity-engineer--2003071-jv","Xem chi tiết")</f>
        <v/>
      </c>
      <c r="O9564" s="10" t="n"/>
    </row>
    <row r="9565">
      <c r="B9565" s="7" t="n">
        <v>9563</v>
      </c>
      <c r="C9565" t="inlineStr">
        <is>
          <t>Kiến Trúc Sư (Thiết Kế Revit)</t>
        </is>
      </c>
      <c r="D9565" t="inlineStr">
        <is>
          <t>Công Ty TNHH Tư Vấn Dự Án SEAS</t>
        </is>
      </c>
      <c r="E9565" t="inlineStr">
        <is>
          <t>Thương lượng</t>
        </is>
      </c>
      <c r="F9565" t="inlineStr">
        <is>
          <t>Hồ Chí Minh</t>
        </is>
      </c>
      <c r="G9565" t="inlineStr">
        <is>
          <t>Nhân viên</t>
        </is>
      </c>
      <c r="H9565" t="inlineStr">
        <is>
          <t>15/01/2026</t>
        </is>
      </c>
      <c r="I9565" t="inlineStr">
        <is>
          <t>10/04/2026</t>
        </is>
      </c>
      <c r="J9565" t="inlineStr">
        <is>
          <t>17/03/2026</t>
        </is>
      </c>
      <c r="K9565" t="inlineStr">
        <is>
          <t>N/A</t>
        </is>
      </c>
      <c r="L9565" t="inlineStr">
        <is>
          <t>AutoCAD, Khảo Sát Hiện Trường, Revit, Thiết Kế Ý Tưởng, Triển Khai Bản Vẽ</t>
        </is>
      </c>
      <c r="M9565" t="inlineStr">
        <is>
          <t>Bonus, Healthcare Plan, Paid Leave, Training, Team Activities, Others</t>
        </is>
      </c>
      <c r="N9565" s="8">
        <f>HYPERLINK("https://www.vietnamworks.com/kien-truc-su-thiet-ke-revit-2002905-jv","Xem chi tiết")</f>
        <v/>
      </c>
    </row>
    <row r="9566">
      <c r="B9566" s="9" t="n">
        <v>9564</v>
      </c>
      <c r="C9566" s="10" t="inlineStr">
        <is>
          <t>Production Planner Specialist</t>
        </is>
      </c>
      <c r="D9566" s="10" t="inlineStr">
        <is>
          <t>Công Ty TNHH TLT Electronics Vietnam</t>
        </is>
      </c>
      <c r="E9566" s="10" t="inlineStr">
        <is>
          <t>Thương lượng</t>
        </is>
      </c>
      <c r="F9566" s="10" t="inlineStr">
        <is>
          <t>Tây Ninh</t>
        </is>
      </c>
      <c r="G9566" s="10" t="inlineStr">
        <is>
          <t>Nhân viên</t>
        </is>
      </c>
      <c r="H9566" s="10" t="inlineStr">
        <is>
          <t>10/03/2026</t>
        </is>
      </c>
      <c r="I9566" s="10" t="inlineStr">
        <is>
          <t>09/04/2026</t>
        </is>
      </c>
      <c r="J9566" s="10" t="inlineStr">
        <is>
          <t>17/03/2026</t>
        </is>
      </c>
      <c r="K9566" s="10" t="inlineStr">
        <is>
          <t>N/A</t>
        </is>
      </c>
      <c r="L9566" s="10" t="inlineStr">
        <is>
          <t>Data Visualization, Inventory Management, KPIs Management, Problem-solving, Production Planning</t>
        </is>
      </c>
      <c r="M9566" s="10" t="inlineStr">
        <is>
          <t>Bonus, Healthcare Plan, Laptop, Transportation, Others</t>
        </is>
      </c>
      <c r="N9566" s="11">
        <f>HYPERLINK("https://www.vietnamworks.com/production-planner-specialist-2021491-jv","Xem chi tiết")</f>
        <v/>
      </c>
      <c r="O9566" s="10" t="n"/>
    </row>
    <row r="9567">
      <c r="B9567" s="7" t="n">
        <v>9565</v>
      </c>
      <c r="C9567" t="inlineStr">
        <is>
          <t>Back Office Manager – Finance, HR &amp; Compliance</t>
        </is>
      </c>
      <c r="D9567" t="inlineStr">
        <is>
          <t>CÔNG TY TNHH MIXTAPE VIETNAM</t>
        </is>
      </c>
      <c r="E9567" t="inlineStr">
        <is>
          <t>22tr-32tr ₫/tháng</t>
        </is>
      </c>
      <c r="F9567" t="inlineStr">
        <is>
          <t>Hồ Chí Minh</t>
        </is>
      </c>
      <c r="G9567" t="inlineStr">
        <is>
          <t>Trưởng phòng</t>
        </is>
      </c>
      <c r="H9567" t="inlineStr">
        <is>
          <t>10/03/2026</t>
        </is>
      </c>
      <c r="I9567" t="inlineStr">
        <is>
          <t>09/04/2026</t>
        </is>
      </c>
      <c r="J9567" t="inlineStr">
        <is>
          <t>17/03/2026</t>
        </is>
      </c>
      <c r="K9567" t="inlineStr">
        <is>
          <t>N/A</t>
        </is>
      </c>
      <c r="L9567" t="inlineStr">
        <is>
          <t>Attention To Detail, Compliance, Financial Management, HR Admin, Quality Standards</t>
        </is>
      </c>
      <c r="M9567" t="inlineStr">
        <is>
          <t>Paid Leave, Travel Opportunities</t>
        </is>
      </c>
      <c r="N9567" s="8">
        <f>HYPERLINK("https://www.vietnamworks.com/back-office-manager-finance-hr-and-compliance-2021492-jv","Xem chi tiết")</f>
        <v/>
      </c>
    </row>
    <row r="9568">
      <c r="B9568" s="9" t="n">
        <v>9566</v>
      </c>
      <c r="C9568" s="10" t="inlineStr">
        <is>
          <t>Planning Support Specialist</t>
        </is>
      </c>
      <c r="D9568" s="10" t="inlineStr">
        <is>
          <t>Coherent Vietnam</t>
        </is>
      </c>
      <c r="E9568" s="10" t="inlineStr">
        <is>
          <t>$$ 800-1,000 /tháng</t>
        </is>
      </c>
      <c r="F9568" s="10" t="inlineStr">
        <is>
          <t>Hồ Chí Minh</t>
        </is>
      </c>
      <c r="G9568" s="10" t="inlineStr">
        <is>
          <t>Nhân viên</t>
        </is>
      </c>
      <c r="H9568" s="10" t="inlineStr">
        <is>
          <t>10/03/2026</t>
        </is>
      </c>
      <c r="I9568" s="10" t="inlineStr">
        <is>
          <t>09/04/2026</t>
        </is>
      </c>
      <c r="J9568" s="10" t="inlineStr">
        <is>
          <t>17/03/2026</t>
        </is>
      </c>
      <c r="K9568" s="10" t="inlineStr">
        <is>
          <t>N/A</t>
        </is>
      </c>
      <c r="L9568" s="10" t="inlineStr">
        <is>
          <t>Planner, Material Planning, Production, Industrial Management, Supply Chain</t>
        </is>
      </c>
      <c r="M9568" s="10" t="inlineStr">
        <is>
          <t>Bonus, Healthcare Plan, Transportation</t>
        </is>
      </c>
      <c r="N9568" s="11">
        <f>HYPERLINK("https://www.vietnamworks.com/planning-support-specialist-2021485-jv","Xem chi tiết")</f>
        <v/>
      </c>
      <c r="O9568" s="10" t="n"/>
    </row>
    <row r="9569">
      <c r="B9569" s="7" t="n">
        <v>9567</v>
      </c>
      <c r="C9569" t="inlineStr">
        <is>
          <t>E-Commerce Senior Leader</t>
        </is>
      </c>
      <c r="D9569" t="inlineStr">
        <is>
          <t>Công ty TNHH Thương Mại JEN&amp;CO</t>
        </is>
      </c>
      <c r="E9569" t="inlineStr">
        <is>
          <t>Thương lượng</t>
        </is>
      </c>
      <c r="F9569" t="inlineStr">
        <is>
          <t>Hồ Chí Minh</t>
        </is>
      </c>
      <c r="G9569" t="inlineStr">
        <is>
          <t>Nhân viên</t>
        </is>
      </c>
      <c r="H9569" t="inlineStr">
        <is>
          <t>12/01/2026</t>
        </is>
      </c>
      <c r="I9569" t="inlineStr">
        <is>
          <t>10/04/2026</t>
        </is>
      </c>
      <c r="J9569" t="inlineStr">
        <is>
          <t>17/03/2026</t>
        </is>
      </c>
      <c r="K9569" t="inlineStr">
        <is>
          <t>N/A</t>
        </is>
      </c>
      <c r="L9569" t="inlineStr">
        <is>
          <t>E-commerce, Digital Marketing, Data Analysis, Project Management, Communication</t>
        </is>
      </c>
      <c r="M9569" t="inlineStr">
        <is>
          <t>Bonus, Healthcare Plan, Paid Leave, Others</t>
        </is>
      </c>
      <c r="N9569" s="8">
        <f>HYPERLINK("https://www.vietnamworks.com/e-commerce-senior-leader-2001461-jv","Xem chi tiết")</f>
        <v/>
      </c>
    </row>
    <row r="9570">
      <c r="B9570" s="9" t="n">
        <v>9568</v>
      </c>
      <c r="C9570" s="10" t="inlineStr">
        <is>
          <t>Purchasing Staff</t>
        </is>
      </c>
      <c r="D9570" s="10" t="inlineStr">
        <is>
          <t>Hayakawa Electronics Vietnam Co., Ltd.</t>
        </is>
      </c>
      <c r="E9570" s="10" t="inlineStr">
        <is>
          <t>Thương lượng</t>
        </is>
      </c>
      <c r="F9570" s="10" t="inlineStr">
        <is>
          <t>Bắc Ninh</t>
        </is>
      </c>
      <c r="G9570" s="10" t="inlineStr">
        <is>
          <t>Nhân viên</t>
        </is>
      </c>
      <c r="H9570" s="10" t="inlineStr">
        <is>
          <t>19/01/2026</t>
        </is>
      </c>
      <c r="I9570" s="10" t="inlineStr">
        <is>
          <t>10/04/2026</t>
        </is>
      </c>
      <c r="J9570" s="10" t="inlineStr">
        <is>
          <t>17/03/2026</t>
        </is>
      </c>
      <c r="K9570" s="10" t="inlineStr">
        <is>
          <t>N/A</t>
        </is>
      </c>
      <c r="L9570" s="10" t="inlineStr">
        <is>
          <t>Negotiation Techniques, Communication Skills, Inventory Control, Material Management</t>
        </is>
      </c>
      <c r="M9570" s="10" t="inlineStr">
        <is>
          <t>Bonus, Training, Transportation</t>
        </is>
      </c>
      <c r="N9570" s="11">
        <f>HYPERLINK("https://www.vietnamworks.com/purchasing-staff-2004029-jv","Xem chi tiết")</f>
        <v/>
      </c>
      <c r="O9570" s="10" t="n"/>
    </row>
    <row r="9571">
      <c r="B9571" s="7" t="n">
        <v>9569</v>
      </c>
      <c r="C9571" t="inlineStr">
        <is>
          <t>Sales Chemical</t>
        </is>
      </c>
      <c r="D9571" t="inlineStr">
        <is>
          <t>Megachem Vietnam Co.,ltd</t>
        </is>
      </c>
      <c r="E9571" t="inlineStr">
        <is>
          <t>$$ 500-1,000 /tháng</t>
        </is>
      </c>
      <c r="F9571" t="inlineStr">
        <is>
          <t>Hồ Chí Minh</t>
        </is>
      </c>
      <c r="G9571" t="inlineStr">
        <is>
          <t>Nhân viên</t>
        </is>
      </c>
      <c r="H9571" t="inlineStr">
        <is>
          <t>10/03/2026</t>
        </is>
      </c>
      <c r="I9571" t="inlineStr">
        <is>
          <t>09/04/2026</t>
        </is>
      </c>
      <c r="J9571" t="inlineStr">
        <is>
          <t>17/03/2026</t>
        </is>
      </c>
      <c r="K9571" t="inlineStr">
        <is>
          <t>N/A</t>
        </is>
      </c>
      <c r="L9571" t="inlineStr">
        <is>
          <t>Chemical Sales, Sales, Business Development, Kinh Doanh, Tư Vấn</t>
        </is>
      </c>
      <c r="M9571" t="inlineStr">
        <is>
          <t>Bonus, Healthcare Plan, Paid Leave</t>
        </is>
      </c>
      <c r="N9571" s="8">
        <f>HYPERLINK("https://www.vietnamworks.com/sales-chemical-3-1-1--2020806-jv","Xem chi tiết")</f>
        <v/>
      </c>
    </row>
    <row r="9572">
      <c r="B9572" s="9" t="n">
        <v>9570</v>
      </c>
      <c r="C9572" s="10" t="inlineStr">
        <is>
          <t>[Tuyển Gấp] Kỹ Sư Kiểm Thử</t>
        </is>
      </c>
      <c r="D9572" s="10" t="inlineStr">
        <is>
          <t>CÔNG TY CỔ PHẦN THIẾT BỊ CÔNG NGHIỆP GEIC</t>
        </is>
      </c>
      <c r="E9572" s="10" t="inlineStr">
        <is>
          <t>Thương lượng</t>
        </is>
      </c>
      <c r="F9572" s="10" t="inlineStr">
        <is>
          <t>Hà Nội</t>
        </is>
      </c>
      <c r="G9572" s="10" t="inlineStr">
        <is>
          <t>Nhân viên</t>
        </is>
      </c>
      <c r="H9572" s="10" t="inlineStr">
        <is>
          <t>19/01/2026</t>
        </is>
      </c>
      <c r="I9572" s="10" t="inlineStr">
        <is>
          <t>10/04/2026</t>
        </is>
      </c>
      <c r="J9572" s="10" t="inlineStr">
        <is>
          <t>17/03/2026</t>
        </is>
      </c>
      <c r="K9572" s="10" t="inlineStr">
        <is>
          <t>N/A</t>
        </is>
      </c>
      <c r="L9572" s="10" t="inlineStr">
        <is>
          <t>Hóa Học, Luật Kinh Tế, Lãnh Đạo, Kỹ năng đàm phán, Kỹ Năng Làm Việc- Quản Lý Nhóm</t>
        </is>
      </c>
      <c r="M9572" s="10" t="inlineStr">
        <is>
          <t>Bonus, Healthcare Plan</t>
        </is>
      </c>
      <c r="N9572" s="11">
        <f>HYPERLINK("https://www.vietnamworks.com/tuyen-gap-ky-su-kiem-thu-2004194-jv","Xem chi tiết")</f>
        <v/>
      </c>
      <c r="O9572" s="10" t="n"/>
    </row>
    <row r="9573">
      <c r="B9573" s="7" t="n">
        <v>9571</v>
      </c>
      <c r="C9573" t="inlineStr">
        <is>
          <t>Product Regulatory &amp; Safety Affairs (PRSA) Specialist | Open to Local &amp; International Candidates</t>
        </is>
      </c>
      <c r="D9573" t="inlineStr">
        <is>
          <t>Công Ty TNHH Nippon Paint Việt Nam (Hà Nội)</t>
        </is>
      </c>
      <c r="E9573" t="inlineStr">
        <is>
          <t>Thương lượng</t>
        </is>
      </c>
      <c r="F9573" t="inlineStr">
        <is>
          <t>Đồng Nai, Hà Nội, Hồ Chí Minh</t>
        </is>
      </c>
      <c r="G9573" t="inlineStr">
        <is>
          <t>Nhân viên</t>
        </is>
      </c>
      <c r="H9573" t="inlineStr">
        <is>
          <t>13/01/2026</t>
        </is>
      </c>
      <c r="I9573" t="inlineStr">
        <is>
          <t>10/04/2026</t>
        </is>
      </c>
      <c r="J9573" t="inlineStr">
        <is>
          <t>17/03/2026</t>
        </is>
      </c>
      <c r="K9573" t="inlineStr">
        <is>
          <t>N/A</t>
        </is>
      </c>
      <c r="L9573" t="inlineStr">
        <is>
          <t>Regulatory Affairs, Product Compliance, Regulatory Compliance, Chemical Regulation, GHS</t>
        </is>
      </c>
      <c r="M9573" t="inlineStr">
        <is>
          <t>Bonus, Healthcare Plan, Training</t>
        </is>
      </c>
      <c r="N9573" s="8">
        <f>HYPERLINK("https://www.vietnamworks.com/product-regulatory-safety-affairs-prsa-specialist-open-to-local-international-candidates-2002106-jv","Xem chi tiết")</f>
        <v/>
      </c>
    </row>
    <row r="9574">
      <c r="B9574" s="9" t="n">
        <v>9572</v>
      </c>
      <c r="C9574" s="10" t="inlineStr">
        <is>
          <t>Nhân Viên Kế Toán Kiêm Nhân Sự</t>
        </is>
      </c>
      <c r="D9574" s="10" t="inlineStr">
        <is>
          <t>Công ty TNHH Thương Mại JEN&amp;CO</t>
        </is>
      </c>
      <c r="E9574" s="10" t="inlineStr">
        <is>
          <t>Thương lượng</t>
        </is>
      </c>
      <c r="F9574" s="10" t="inlineStr">
        <is>
          <t>Hồ Chí Minh</t>
        </is>
      </c>
      <c r="G9574" s="10" t="inlineStr">
        <is>
          <t>Nhân viên</t>
        </is>
      </c>
      <c r="H9574" s="10" t="inlineStr">
        <is>
          <t>12/01/2026</t>
        </is>
      </c>
      <c r="I9574" s="10" t="inlineStr">
        <is>
          <t>10/04/2026</t>
        </is>
      </c>
      <c r="J9574" s="10" t="inlineStr">
        <is>
          <t>17/03/2026</t>
        </is>
      </c>
      <c r="K9574" s="10" t="inlineStr">
        <is>
          <t>N/A</t>
        </is>
      </c>
      <c r="L9574" s="10" t="inlineStr">
        <is>
          <t>Kế Toán, Tài Chính, Excel, Phần mềm kế toán Misa, Giao Tiếp</t>
        </is>
      </c>
      <c r="M9574" s="10" t="inlineStr">
        <is>
          <t>Bonus, Healthcare Plan, Paid Leave, Others</t>
        </is>
      </c>
      <c r="N9574" s="11">
        <f>HYPERLINK("https://www.vietnamworks.com/nhan-vien-ke-toan-kiem-nhan-su-2001473-jv","Xem chi tiết")</f>
        <v/>
      </c>
      <c r="O9574" s="10" t="n"/>
    </row>
    <row r="9575">
      <c r="B9575" s="7" t="n">
        <v>9573</v>
      </c>
      <c r="C9575" t="inlineStr">
        <is>
          <t>Quản Lý Đại Lý Bất Động Sản</t>
        </is>
      </c>
      <c r="D9575" t="inlineStr">
        <is>
          <t>Công Ty Cổ Phần Đầu Tư Và Kinh Doanh Nhà Khang Điền</t>
        </is>
      </c>
      <c r="E9575" t="inlineStr">
        <is>
          <t>Thương lượng</t>
        </is>
      </c>
      <c r="F9575" t="inlineStr">
        <is>
          <t>Hồ Chí Minh</t>
        </is>
      </c>
      <c r="G9575" t="inlineStr">
        <is>
          <t>Nhân viên</t>
        </is>
      </c>
      <c r="H9575" t="inlineStr">
        <is>
          <t>15/01/2026</t>
        </is>
      </c>
      <c r="I9575" t="inlineStr">
        <is>
          <t>10/04/2026</t>
        </is>
      </c>
      <c r="J9575" t="inlineStr">
        <is>
          <t>17/03/2026</t>
        </is>
      </c>
      <c r="K9575" t="inlineStr">
        <is>
          <t>N/A</t>
        </is>
      </c>
      <c r="L9575" t="inlineStr">
        <is>
          <t>Bất Động Sản Thương Mại, Chuyên Viên Kinh Doanh, Khảo Sát Thị Trường, Kinh Nghiệm Với Chủ Đầu Tư, Xây Dựng Hệ Thống Bán Hàng</t>
        </is>
      </c>
      <c r="M9575" t="inlineStr">
        <is>
          <t>Bonus</t>
        </is>
      </c>
      <c r="N9575" s="8">
        <f>HYPERLINK("https://www.vietnamworks.com/quan-ly-djai-ly-bat-djong-san-2002786-jv","Xem chi tiết")</f>
        <v/>
      </c>
    </row>
    <row r="9576">
      <c r="B9576" s="9" t="n">
        <v>9574</v>
      </c>
      <c r="C9576" s="10" t="inlineStr">
        <is>
          <t>Freight Forwarding Sales Executive</t>
        </is>
      </c>
      <c r="D9576" s="10" t="inlineStr">
        <is>
          <t>Công Ty TNHH KJTT Việt Nam</t>
        </is>
      </c>
      <c r="E9576" s="10" t="inlineStr">
        <is>
          <t>Thương lượng</t>
        </is>
      </c>
      <c r="F9576" s="10" t="inlineStr">
        <is>
          <t>Hồ Chí Minh, Hà Nội</t>
        </is>
      </c>
      <c r="G9576" s="10" t="inlineStr">
        <is>
          <t>Nhân viên</t>
        </is>
      </c>
      <c r="H9576" s="10" t="inlineStr">
        <is>
          <t>12/01/2026</t>
        </is>
      </c>
      <c r="I9576" s="10" t="inlineStr">
        <is>
          <t>10/04/2026</t>
        </is>
      </c>
      <c r="J9576" s="10" t="inlineStr">
        <is>
          <t>17/03/2026</t>
        </is>
      </c>
      <c r="K9576" s="10" t="inlineStr">
        <is>
          <t>N/A</t>
        </is>
      </c>
      <c r="L9576" s="10" t="inlineStr">
        <is>
          <t>Contract Negotiation, Customs Regulation, Incoterms, Market Research, Relationship Maintaining</t>
        </is>
      </c>
      <c r="M9576" s="10" t="inlineStr">
        <is>
          <t>Bonus, Healthcare Plan, Awards, Travel Opportunities</t>
        </is>
      </c>
      <c r="N9576" s="11">
        <f>HYPERLINK("https://www.vietnamworks.com/freight-forwarding-sales-executive-2001313-jv","Xem chi tiết")</f>
        <v/>
      </c>
      <c r="O9576" s="10" t="n"/>
    </row>
    <row r="9577">
      <c r="B9577" s="7" t="n">
        <v>9575</v>
      </c>
      <c r="C9577" t="inlineStr">
        <is>
          <t>Chuyên Viên Kinh Doanh Dự Án (Thu Nhập Tới 30Tr/ Tháng)</t>
        </is>
      </c>
      <c r="D9577" t="inlineStr">
        <is>
          <t>Công Ty TNHH Cọc Ống Kiến Hoa - Đất Việt</t>
        </is>
      </c>
      <c r="E9577" t="inlineStr">
        <is>
          <t>20tr-30tr ₫/tháng</t>
        </is>
      </c>
      <c r="F9577" t="inlineStr">
        <is>
          <t>Hải Dương, Hải Phòng</t>
        </is>
      </c>
      <c r="G9577" t="inlineStr">
        <is>
          <t>Nhân viên</t>
        </is>
      </c>
      <c r="H9577" t="inlineStr">
        <is>
          <t>20/01/2026</t>
        </is>
      </c>
      <c r="I9577" t="inlineStr">
        <is>
          <t>10/04/2026</t>
        </is>
      </c>
      <c r="J9577" t="inlineStr">
        <is>
          <t>17/03/2026</t>
        </is>
      </c>
      <c r="K9577" t="inlineStr">
        <is>
          <t>N/A</t>
        </is>
      </c>
      <c r="L9577" t="inlineStr">
        <is>
          <t>Bán Hàng Dự Án, Xây Dựng, Kinh Doanh, Kinh Doanh Dự Án, Bán Hàng Xây Dựng</t>
        </is>
      </c>
      <c r="M9577" t="inlineStr">
        <is>
          <t>Bonus, Healthcare Plan, Paid Leave</t>
        </is>
      </c>
      <c r="N9577" s="8">
        <f>HYPERLINK("https://www.vietnamworks.com/chuyen-vien-kinh-doanh-du-an-thu-nhap-toi-30tr-thang-2004403-jv","Xem chi tiết")</f>
        <v/>
      </c>
    </row>
    <row r="9578">
      <c r="B9578" s="9" t="n">
        <v>9576</v>
      </c>
      <c r="C9578" s="10" t="inlineStr">
        <is>
          <t>Marketing &amp; Events Specialist | Chuyên Viên Marketing &amp; Sự Kiện</t>
        </is>
      </c>
      <c r="D9578" s="10" t="inlineStr">
        <is>
          <t>CÔNG TY TNHH MIXTAPE VIETNAM</t>
        </is>
      </c>
      <c r="E9578" s="10" t="inlineStr">
        <is>
          <t>10tr-14tr ₫/tháng</t>
        </is>
      </c>
      <c r="F9578" s="10" t="inlineStr">
        <is>
          <t>Hồ Chí Minh</t>
        </is>
      </c>
      <c r="G9578" s="10" t="inlineStr">
        <is>
          <t>Nhân viên</t>
        </is>
      </c>
      <c r="H9578" s="10" t="inlineStr">
        <is>
          <t>10/03/2026</t>
        </is>
      </c>
      <c r="I9578" s="10" t="inlineStr">
        <is>
          <t>09/04/2026</t>
        </is>
      </c>
      <c r="J9578" s="10" t="inlineStr">
        <is>
          <t>17/03/2026</t>
        </is>
      </c>
      <c r="K9578" s="10" t="inlineStr">
        <is>
          <t>N/A</t>
        </is>
      </c>
      <c r="L9578" s="10" t="inlineStr">
        <is>
          <t>Communication, Content Creation, Event Planning, Graphic Design, Social Media Management</t>
        </is>
      </c>
      <c r="M9578" s="10" t="inlineStr">
        <is>
          <t>Bonus, Others</t>
        </is>
      </c>
      <c r="N9578" s="11">
        <f>HYPERLINK("https://www.vietnamworks.com/marketing-and-events-specialist-or-chuyen-vien-marketing-and-su-kien-2021494-jv","Xem chi tiết")</f>
        <v/>
      </c>
      <c r="O9578" s="10" t="n"/>
    </row>
    <row r="9579">
      <c r="B9579" s="7" t="n">
        <v>9577</v>
      </c>
      <c r="C9579" t="inlineStr">
        <is>
          <t>Brand Creative Lead (Chỉ Đạo Mỹ Thuật)</t>
        </is>
      </c>
      <c r="D9579" t="inlineStr">
        <is>
          <t>Công Ty TNHH M.O.I Cosmetics</t>
        </is>
      </c>
      <c r="E9579" t="inlineStr">
        <is>
          <t>Thương lượng</t>
        </is>
      </c>
      <c r="F9579" t="inlineStr">
        <is>
          <t>Hồ Chí Minh</t>
        </is>
      </c>
      <c r="G9579" t="inlineStr">
        <is>
          <t>Trưởng phòng</t>
        </is>
      </c>
      <c r="H9579" t="inlineStr">
        <is>
          <t>12/01/2026</t>
        </is>
      </c>
      <c r="I9579" t="inlineStr">
        <is>
          <t>10/04/2026</t>
        </is>
      </c>
      <c r="J9579" t="inlineStr">
        <is>
          <t>17/03/2026</t>
        </is>
      </c>
      <c r="K9579" t="inlineStr">
        <is>
          <t>N/A</t>
        </is>
      </c>
      <c r="L9579" t="inlineStr">
        <is>
          <t>Product Development, Project Coordination, Cosmetics, Creative Lead, Beauty Advisor</t>
        </is>
      </c>
      <c r="M9579" t="inlineStr">
        <is>
          <t>Training, Team Activities, Others</t>
        </is>
      </c>
      <c r="N9579" s="8">
        <f>HYPERLINK("https://www.vietnamworks.com/brand-creative-lead-chi-djao-my-thuat-2001433-jv","Xem chi tiết")</f>
        <v/>
      </c>
    </row>
    <row r="9580">
      <c r="B9580" s="9" t="n">
        <v>9578</v>
      </c>
      <c r="C9580" s="10" t="inlineStr">
        <is>
          <t>Chuyên Viên Quản Lý Dự Án</t>
        </is>
      </c>
      <c r="D9580" s="10" t="inlineStr">
        <is>
          <t>Công Ty Cổ Phần Kiến Trúc Tư Vấn Quản Lý Đông Dương</t>
        </is>
      </c>
      <c r="E9580" s="10" t="inlineStr">
        <is>
          <t>Thương lượng</t>
        </is>
      </c>
      <c r="F9580" s="10" t="inlineStr">
        <is>
          <t>Hồ Chí Minh</t>
        </is>
      </c>
      <c r="G9580" s="10" t="inlineStr">
        <is>
          <t>Nhân viên</t>
        </is>
      </c>
      <c r="H9580" s="10" t="inlineStr">
        <is>
          <t>10/03/2026</t>
        </is>
      </c>
      <c r="I9580" s="10" t="inlineStr">
        <is>
          <t>09/04/2026</t>
        </is>
      </c>
      <c r="J9580" s="10" t="inlineStr">
        <is>
          <t>17/03/2026</t>
        </is>
      </c>
      <c r="K9580" s="10" t="inlineStr">
        <is>
          <t>N/A</t>
        </is>
      </c>
      <c r="L9580" s="10" t="inlineStr">
        <is>
          <t>Giao Tiếp, Kinh Tế Xây Dựng, Quản Lý Dự Án, Xây Dựng Dân Dụng, Định Giá</t>
        </is>
      </c>
      <c r="M9580" s="10" t="inlineStr">
        <is>
          <t>Bonus, Healthcare Plan, Training, Laptop, Travel Opportunities</t>
        </is>
      </c>
      <c r="N9580" s="11">
        <f>HYPERLINK("https://www.vietnamworks.com/chuyen-vien-quan-ly-du-an-2021481-jv","Xem chi tiết")</f>
        <v/>
      </c>
      <c r="O9580" s="10" t="n"/>
    </row>
    <row r="9581">
      <c r="B9581" s="7" t="n">
        <v>9579</v>
      </c>
      <c r="C9581" t="inlineStr">
        <is>
          <t>Giám Sát Bán Hàng GT</t>
        </is>
      </c>
      <c r="D9581" t="inlineStr">
        <is>
          <t>Hayat Việt Nam</t>
        </is>
      </c>
      <c r="E9581" t="inlineStr">
        <is>
          <t>Thương lượng</t>
        </is>
      </c>
      <c r="F9581" t="inlineStr">
        <is>
          <t>Thái Bình, Hưng Yên</t>
        </is>
      </c>
      <c r="G9581" t="inlineStr">
        <is>
          <t>Nhân viên</t>
        </is>
      </c>
      <c r="H9581" t="inlineStr">
        <is>
          <t>10/03/2026</t>
        </is>
      </c>
      <c r="I9581" t="inlineStr">
        <is>
          <t>09/04/2026</t>
        </is>
      </c>
      <c r="J9581" t="inlineStr">
        <is>
          <t>17/03/2026</t>
        </is>
      </c>
      <c r="K9581" t="inlineStr">
        <is>
          <t>N/A</t>
        </is>
      </c>
      <c r="L9581" t="inlineStr">
        <is>
          <t>Kinh Doanh, Bán Hàng, FMCG, Phân Phối Hàng Hóa</t>
        </is>
      </c>
      <c r="M9581" t="inlineStr">
        <is>
          <t>Bonus, Healthcare Plan, Laptop</t>
        </is>
      </c>
      <c r="N9581" s="8">
        <f>HYPERLINK("https://www.vietnamworks.com/giam-sat-ban-hang-gt--2021477-jv","Xem chi tiết")</f>
        <v/>
      </c>
    </row>
    <row r="9582">
      <c r="B9582" s="9" t="n">
        <v>9580</v>
      </c>
      <c r="C9582" s="10" t="inlineStr">
        <is>
          <t>Legal Staff</t>
        </is>
      </c>
      <c r="D9582" s="10" t="inlineStr">
        <is>
          <t>Công Ty TNHH DYM Việt Nam</t>
        </is>
      </c>
      <c r="E9582" s="10" t="inlineStr">
        <is>
          <t>Thương lượng</t>
        </is>
      </c>
      <c r="F9582" s="10" t="inlineStr">
        <is>
          <t>Hồ Chí Minh</t>
        </is>
      </c>
      <c r="G9582" s="10" t="inlineStr">
        <is>
          <t>Nhân viên</t>
        </is>
      </c>
      <c r="H9582" s="10" t="inlineStr">
        <is>
          <t>20/01/2026</t>
        </is>
      </c>
      <c r="I9582" s="10" t="inlineStr">
        <is>
          <t>10/04/2026</t>
        </is>
      </c>
      <c r="J9582" s="10" t="inlineStr">
        <is>
          <t>17/03/2026</t>
        </is>
      </c>
      <c r="K9582" s="10" t="inlineStr">
        <is>
          <t>N/A</t>
        </is>
      </c>
      <c r="L9582" s="10" t="inlineStr">
        <is>
          <t>Tiếng Nhật, Legal, Tư Vấn Luật, Pháp Lý, Soạn Thảo Hợp Đồng</t>
        </is>
      </c>
      <c r="M9582" s="10" t="inlineStr">
        <is>
          <t>Bonus, Healthcare Plan, Transportation</t>
        </is>
      </c>
      <c r="N9582" s="11">
        <f>HYPERLINK("https://www.vietnamworks.com/legal-staff--2004241-jv","Xem chi tiết")</f>
        <v/>
      </c>
      <c r="O9582" s="10" t="n"/>
    </row>
    <row r="9583">
      <c r="B9583" s="7" t="n">
        <v>9581</v>
      </c>
      <c r="C9583" t="inlineStr">
        <is>
          <t>R&amp;D Software Engineer (Refrigerator)</t>
        </is>
      </c>
      <c r="D9583" t="inlineStr">
        <is>
          <t>Panasonic Appliances Vietnam</t>
        </is>
      </c>
      <c r="E9583" t="inlineStr">
        <is>
          <t>Thương lượng</t>
        </is>
      </c>
      <c r="F9583" t="inlineStr">
        <is>
          <t>Hưng Yên</t>
        </is>
      </c>
      <c r="G9583" t="inlineStr">
        <is>
          <t>Nhân viên</t>
        </is>
      </c>
      <c r="H9583" t="inlineStr">
        <is>
          <t>20/01/2026</t>
        </is>
      </c>
      <c r="I9583" t="inlineStr">
        <is>
          <t>10/04/2026</t>
        </is>
      </c>
      <c r="J9583" t="inlineStr">
        <is>
          <t>17/03/2026</t>
        </is>
      </c>
      <c r="K9583" t="inlineStr">
        <is>
          <t>N/A</t>
        </is>
      </c>
      <c r="L9583" t="inlineStr">
        <is>
          <t>C Programming Language, Software Development, Embedded Software, Electronic, Assembly</t>
        </is>
      </c>
      <c r="M9583" t="inlineStr">
        <is>
          <t>Bonus, Healthcare Plan, Transportation</t>
        </is>
      </c>
      <c r="N9583" s="8">
        <f>HYPERLINK("https://www.vietnamworks.com/r-d-software-engineer-refrigerator-2004583-jv","Xem chi tiết")</f>
        <v/>
      </c>
    </row>
    <row r="9584">
      <c r="B9584" s="9" t="n">
        <v>9582</v>
      </c>
      <c r="C9584" s="10" t="inlineStr">
        <is>
          <t>Kế Toán Tổng Hợp</t>
        </is>
      </c>
      <c r="D9584" s="10" t="inlineStr">
        <is>
          <t>CÔNG TY TNHH QUANG VINH</t>
        </is>
      </c>
      <c r="E9584" s="10" t="inlineStr">
        <is>
          <t>14tr-25tr ₫/tháng</t>
        </is>
      </c>
      <c r="F9584" s="10" t="inlineStr">
        <is>
          <t>Hồ Chí Minh</t>
        </is>
      </c>
      <c r="G9584" s="10" t="inlineStr">
        <is>
          <t>Nhân viên</t>
        </is>
      </c>
      <c r="H9584" s="10" t="inlineStr">
        <is>
          <t>21/01/2026</t>
        </is>
      </c>
      <c r="I9584" s="10" t="inlineStr">
        <is>
          <t>10/04/2026</t>
        </is>
      </c>
      <c r="J9584" s="10" t="inlineStr">
        <is>
          <t>17/03/2026</t>
        </is>
      </c>
      <c r="K9584" s="10" t="inlineStr">
        <is>
          <t>N/A</t>
        </is>
      </c>
      <c r="L9584" s="10" t="inlineStr">
        <is>
          <t>Kế Toán, Lập Báo Cáo Tài Chính, MISA Accounting Software, Tài Chính Kế Toán, Theo Dõi Công Nợ</t>
        </is>
      </c>
      <c r="M9584" s="10" t="inlineStr">
        <is>
          <t>Bonus, Healthcare Plan, Travel Opportunities, Team Activities</t>
        </is>
      </c>
      <c r="N9584" s="11">
        <f>HYPERLINK("https://www.vietnamworks.com/ke-toan-tong-hop-2005034-jv","Xem chi tiết")</f>
        <v/>
      </c>
      <c r="O9584" s="10" t="n"/>
    </row>
    <row r="9585">
      <c r="B9585" s="7" t="n">
        <v>9583</v>
      </c>
      <c r="C9585" t="inlineStr">
        <is>
          <t>Underwriting &amp; Reinsurance Executive (Accident &amp; Health)</t>
        </is>
      </c>
      <c r="D9585" t="inlineStr">
        <is>
          <t>Tokio Marine Insurance Viet Nam Company Limited</t>
        </is>
      </c>
      <c r="E9585" t="inlineStr">
        <is>
          <t>Thương lượng</t>
        </is>
      </c>
      <c r="F9585" t="inlineStr">
        <is>
          <t>Hà Nội</t>
        </is>
      </c>
      <c r="G9585" t="inlineStr">
        <is>
          <t>Nhân viên</t>
        </is>
      </c>
      <c r="H9585" t="inlineStr">
        <is>
          <t>20/01/2026</t>
        </is>
      </c>
      <c r="I9585" t="inlineStr">
        <is>
          <t>10/04/2026</t>
        </is>
      </c>
      <c r="J9585" t="inlineStr">
        <is>
          <t>17/03/2026</t>
        </is>
      </c>
      <c r="K9585" t="inlineStr">
        <is>
          <t>N/A</t>
        </is>
      </c>
      <c r="L9585" t="inlineStr">
        <is>
          <t>Governance, Insurance Underwriting, Non-life Insurance, Policy Insurance, Product Development</t>
        </is>
      </c>
      <c r="M9585" t="inlineStr">
        <is>
          <t>Bonus, Healthcare Plan, Training</t>
        </is>
      </c>
      <c r="N9585" s="8">
        <f>HYPERLINK("https://www.vietnamworks.com/underwriting-reinsurance-executive-accident-health--2004648-jv","Xem chi tiết")</f>
        <v/>
      </c>
    </row>
    <row r="9586">
      <c r="B9586" s="9" t="n">
        <v>9584</v>
      </c>
      <c r="C9586" s="10" t="inlineStr">
        <is>
          <t>Content Marketing Specialist</t>
        </is>
      </c>
      <c r="D9586" s="10" t="inlineStr">
        <is>
          <t>Meishang Cosmetics Vietnam (Colorkey BRAND)</t>
        </is>
      </c>
      <c r="E9586" s="10" t="inlineStr">
        <is>
          <t>Thương lượng</t>
        </is>
      </c>
      <c r="F9586" s="10" t="inlineStr">
        <is>
          <t>Hồ Chí Minh</t>
        </is>
      </c>
      <c r="G9586" s="10" t="inlineStr">
        <is>
          <t>Nhân viên</t>
        </is>
      </c>
      <c r="H9586" s="10" t="inlineStr">
        <is>
          <t>21/01/2026</t>
        </is>
      </c>
      <c r="I9586" s="10" t="inlineStr">
        <is>
          <t>10/04/2026</t>
        </is>
      </c>
      <c r="J9586" s="10" t="inlineStr">
        <is>
          <t>17/03/2026</t>
        </is>
      </c>
      <c r="K9586" s="10" t="inlineStr">
        <is>
          <t>N/A</t>
        </is>
      </c>
      <c r="L9586" s="10" t="inlineStr">
        <is>
          <t>Tiếng Trung, Content, Marketing, Sáng Tạo Nội Dung, Quảng Cáo</t>
        </is>
      </c>
      <c r="M9586" s="10" t="inlineStr">
        <is>
          <t>Others</t>
        </is>
      </c>
      <c r="N9586" s="11">
        <f>HYPERLINK("https://www.vietnamworks.com/content-marketing-specialist--2004709-jv","Xem chi tiết")</f>
        <v/>
      </c>
      <c r="O9586" s="10" t="n"/>
    </row>
    <row r="9587">
      <c r="B9587" s="7" t="n">
        <v>9585</v>
      </c>
      <c r="C9587" t="inlineStr">
        <is>
          <t>Admin Trucking</t>
        </is>
      </c>
      <c r="D9587" t="inlineStr">
        <is>
          <t>Công ty TNHH QTL Logistics</t>
        </is>
      </c>
      <c r="E9587" t="inlineStr">
        <is>
          <t>Thương lượng</t>
        </is>
      </c>
      <c r="F9587" t="inlineStr">
        <is>
          <t>Hồ Chí Minh</t>
        </is>
      </c>
      <c r="G9587" t="inlineStr">
        <is>
          <t>Nhân viên</t>
        </is>
      </c>
      <c r="H9587" t="inlineStr">
        <is>
          <t>21/01/2026</t>
        </is>
      </c>
      <c r="I9587" t="inlineStr">
        <is>
          <t>10/04/2026</t>
        </is>
      </c>
      <c r="J9587" t="inlineStr">
        <is>
          <t>17/03/2026</t>
        </is>
      </c>
      <c r="K9587" t="inlineStr">
        <is>
          <t>N/A</t>
        </is>
      </c>
      <c r="L9587" t="inlineStr">
        <is>
          <t>Transportation, Logistics, Trucking, Quản lý đội xe, Vận Chuyển Hàng Hóa</t>
        </is>
      </c>
      <c r="M9587" t="inlineStr">
        <is>
          <t>Bonus</t>
        </is>
      </c>
      <c r="N9587" s="8">
        <f>HYPERLINK("https://www.vietnamworks.com/admin-trucking-2004728-jv","Xem chi tiết")</f>
        <v/>
      </c>
    </row>
    <row r="9588">
      <c r="B9588" s="9" t="n">
        <v>9586</v>
      </c>
      <c r="C9588" s="10" t="inlineStr">
        <is>
          <t>[Tuyển Gấp] Chuyên Viên Hệ Thống An Toàn Thông Tin (Iso/iec 27001)</t>
        </is>
      </c>
      <c r="D9588" s="10" t="inlineStr">
        <is>
          <t>CÔNG TY CỔ PHẦN THIẾT BỊ CÔNG NGHIỆP GEIC</t>
        </is>
      </c>
      <c r="E9588" s="10" t="inlineStr">
        <is>
          <t>Thương lượng</t>
        </is>
      </c>
      <c r="F9588" s="10" t="inlineStr">
        <is>
          <t>Hà Nội</t>
        </is>
      </c>
      <c r="G9588" s="10" t="inlineStr">
        <is>
          <t>Nhân viên</t>
        </is>
      </c>
      <c r="H9588" s="10" t="inlineStr">
        <is>
          <t>20/01/2026</t>
        </is>
      </c>
      <c r="I9588" s="10" t="inlineStr">
        <is>
          <t>10/04/2026</t>
        </is>
      </c>
      <c r="J9588" s="10" t="inlineStr">
        <is>
          <t>17/03/2026</t>
        </is>
      </c>
      <c r="K9588" s="10" t="inlineStr">
        <is>
          <t>N/A</t>
        </is>
      </c>
      <c r="L9588" s="10" t="inlineStr">
        <is>
          <t>An Toàn Thông Tin, Công Nghệ Thông Tin, ISO 27001, Jira, Quản Trị Rủi Ro</t>
        </is>
      </c>
      <c r="M9588" s="10" t="inlineStr">
        <is>
          <t>Bonus, Healthcare Plan</t>
        </is>
      </c>
      <c r="N9588" s="11">
        <f>HYPERLINK("https://www.vietnamworks.com/tuyen-gap-chuyen-vien-he-thong-an-toan-thong-tin-iso-iec-27001-2004551-jv","Xem chi tiết")</f>
        <v/>
      </c>
      <c r="O9588" s="10" t="n"/>
    </row>
    <row r="9589">
      <c r="B9589" s="7" t="n">
        <v>9587</v>
      </c>
      <c r="C9589" t="inlineStr">
        <is>
          <t>Recruitment Lead</t>
        </is>
      </c>
      <c r="D9589" t="inlineStr">
        <is>
          <t>CÔNG TY CỔ PHẦN VINSPACE</t>
        </is>
      </c>
      <c r="E9589" t="inlineStr">
        <is>
          <t>Thương lượng</t>
        </is>
      </c>
      <c r="F9589" t="inlineStr">
        <is>
          <t>Hà Nội</t>
        </is>
      </c>
      <c r="G9589" t="inlineStr">
        <is>
          <t>Nhân viên</t>
        </is>
      </c>
      <c r="H9589" t="inlineStr">
        <is>
          <t>23/01/2026</t>
        </is>
      </c>
      <c r="I9589" t="inlineStr">
        <is>
          <t>10/04/2026</t>
        </is>
      </c>
      <c r="J9589" t="inlineStr">
        <is>
          <t>17/03/2026</t>
        </is>
      </c>
      <c r="K9589" t="inlineStr">
        <is>
          <t>N/A</t>
        </is>
      </c>
      <c r="L9589" t="inlineStr">
        <is>
          <t>Candidate Evaluation, Recruitment Management, Talent Sourcing, Talent Acquisition, Recruitment Platforms</t>
        </is>
      </c>
      <c r="M9589" t="inlineStr">
        <is>
          <t>Bonus, Healthcare Plan, Paid Leave, Training, Team Activities, Kindergarten, Others</t>
        </is>
      </c>
      <c r="N9589" s="8">
        <f>HYPERLINK("https://www.vietnamworks.com/recruitment-lead-2005721-jv","Xem chi tiết")</f>
        <v/>
      </c>
    </row>
    <row r="9590">
      <c r="B9590" s="9" t="n">
        <v>9588</v>
      </c>
      <c r="C9590" s="10" t="inlineStr">
        <is>
          <t>Phó Ban Kế Toán - Tuyển Gấp - Tiếng Anh tốt</t>
        </is>
      </c>
      <c r="D9590" s="10" t="inlineStr">
        <is>
          <t>Công Ty Cổ Phần Western Pacific</t>
        </is>
      </c>
      <c r="E9590" s="10" t="inlineStr">
        <is>
          <t>$$ 1,800-2,500 /tháng</t>
        </is>
      </c>
      <c r="F9590" s="10" t="inlineStr">
        <is>
          <t>Hà Nội</t>
        </is>
      </c>
      <c r="G9590" s="10" t="inlineStr">
        <is>
          <t>Trưởng phòng</t>
        </is>
      </c>
      <c r="H9590" s="10" t="inlineStr">
        <is>
          <t>22/01/2026</t>
        </is>
      </c>
      <c r="I9590" s="10" t="inlineStr">
        <is>
          <t>10/04/2026</t>
        </is>
      </c>
      <c r="J9590" s="10" t="inlineStr">
        <is>
          <t>17/03/2026</t>
        </is>
      </c>
      <c r="K9590" s="10" t="inlineStr">
        <is>
          <t>N/A</t>
        </is>
      </c>
      <c r="L9590" s="10" t="inlineStr">
        <is>
          <t>Phân Tích Tài Chính, Quản Trị Đội Ngũ, Kế Toán Trưởng, Tiếng Anh</t>
        </is>
      </c>
      <c r="M9590" s="10" t="inlineStr">
        <is>
          <t>Bonus, Healthcare Plan, Paid Leave, Training, Travel Opportunities</t>
        </is>
      </c>
      <c r="N9590" s="11">
        <f>HYPERLINK("https://www.vietnamworks.com/pho-ban-ke-toan-tuyen-gap-tieng-anh-tot-2005195-jv","Xem chi tiết")</f>
        <v/>
      </c>
      <c r="O9590" s="10" t="n"/>
    </row>
    <row r="9591">
      <c r="B9591" s="7" t="n">
        <v>9589</v>
      </c>
      <c r="C9591" t="inlineStr">
        <is>
          <t>Global Corporate Compliance (Big4,good English)</t>
        </is>
      </c>
      <c r="D9591" t="inlineStr">
        <is>
          <t>Công Ty TNHH Outcubator Việt Nam</t>
        </is>
      </c>
      <c r="E9591" t="inlineStr">
        <is>
          <t>$$ 900-1,600 /tháng</t>
        </is>
      </c>
      <c r="F9591" t="inlineStr">
        <is>
          <t>Hà Nội</t>
        </is>
      </c>
      <c r="G9591" t="inlineStr">
        <is>
          <t>Nhân viên</t>
        </is>
      </c>
      <c r="H9591" t="inlineStr">
        <is>
          <t>20/01/2026</t>
        </is>
      </c>
      <c r="I9591" t="inlineStr">
        <is>
          <t>10/04/2026</t>
        </is>
      </c>
      <c r="J9591" t="inlineStr">
        <is>
          <t>17/03/2026</t>
        </is>
      </c>
      <c r="K9591" t="inlineStr">
        <is>
          <t>N/A</t>
        </is>
      </c>
      <c r="L9591" t="inlineStr">
        <is>
          <t>Research skills, Critical Thinking, Due Diligence</t>
        </is>
      </c>
      <c r="M9591" t="inlineStr">
        <is>
          <t>Bonus, Healthcare Plan, Laptop</t>
        </is>
      </c>
      <c r="N9591" s="8">
        <f>HYPERLINK("https://www.vietnamworks.com/global-corporate-compliance-big4good-english-2004540-jv","Xem chi tiết")</f>
        <v/>
      </c>
    </row>
    <row r="9592">
      <c r="B9592" s="9" t="n">
        <v>9590</v>
      </c>
      <c r="C9592" s="10" t="inlineStr">
        <is>
          <t>Business Development Manager</t>
        </is>
      </c>
      <c r="D9592" s="10" t="inlineStr">
        <is>
          <t>CJ Logistics Vietnam Co., Ltd - Hanoi branch</t>
        </is>
      </c>
      <c r="E9592" s="10" t="inlineStr">
        <is>
          <t>Thương lượng</t>
        </is>
      </c>
      <c r="F9592" s="10" t="inlineStr">
        <is>
          <t>Hà Nội, Hải Phòng</t>
        </is>
      </c>
      <c r="G9592" s="10" t="inlineStr">
        <is>
          <t>Trưởng phòng</t>
        </is>
      </c>
      <c r="H9592" s="10" t="inlineStr">
        <is>
          <t>22/01/2026</t>
        </is>
      </c>
      <c r="I9592" s="10" t="inlineStr">
        <is>
          <t>10/04/2026</t>
        </is>
      </c>
      <c r="J9592" s="10" t="inlineStr">
        <is>
          <t>17/03/2026</t>
        </is>
      </c>
      <c r="K9592" s="10" t="inlineStr">
        <is>
          <t>N/A</t>
        </is>
      </c>
      <c r="L9592" s="10" t="inlineStr">
        <is>
          <t>Business Development, Air Freight Forwarding, Sea Freight, Transport, Logistics</t>
        </is>
      </c>
      <c r="M9592" s="10" t="inlineStr">
        <is>
          <t>Healthcare Plan, Training, Others</t>
        </is>
      </c>
      <c r="N9592" s="11">
        <f>HYPERLINK("https://www.vietnamworks.com/business-development-manager-2005247-jv","Xem chi tiết")</f>
        <v/>
      </c>
      <c r="O9592" s="10" t="n"/>
    </row>
    <row r="9593">
      <c r="B9593" s="7" t="n">
        <v>9591</v>
      </c>
      <c r="C9593" t="inlineStr">
        <is>
          <t>Kỹ Sư Điện Tự Động Hóa Và Cơ Khí</t>
        </is>
      </c>
      <c r="D9593" t="inlineStr">
        <is>
          <t>Công Ty Cổ Phần Thiết Bị Công Nghiệp Hakuta</t>
        </is>
      </c>
      <c r="E9593" t="inlineStr">
        <is>
          <t>12tr-20tr ₫/tháng</t>
        </is>
      </c>
      <c r="F9593" t="inlineStr">
        <is>
          <t>Hà Nội, Hải Phòng</t>
        </is>
      </c>
      <c r="G9593" t="inlineStr">
        <is>
          <t>Nhân viên</t>
        </is>
      </c>
      <c r="H9593" t="inlineStr">
        <is>
          <t>22/01/2026</t>
        </is>
      </c>
      <c r="I9593" t="inlineStr">
        <is>
          <t>10/04/2026</t>
        </is>
      </c>
      <c r="J9593" t="inlineStr">
        <is>
          <t>17/03/2026</t>
        </is>
      </c>
      <c r="K9593" t="inlineStr">
        <is>
          <t>N/A</t>
        </is>
      </c>
      <c r="L9593" t="inlineStr">
        <is>
          <t>Điện, Tự Động Hóa, Cơ Khí, Phân tích sự cố, PLC</t>
        </is>
      </c>
      <c r="M9593" t="inlineStr">
        <is>
          <t>Bonus, Healthcare Plan, Training, Travel Opportunities, Others</t>
        </is>
      </c>
      <c r="N9593" s="8">
        <f>HYPERLINK("https://www.vietnamworks.com/ky-su-djien-tu-djong-hoa-va-co-khi-2005320-jv","Xem chi tiết")</f>
        <v/>
      </c>
    </row>
    <row r="9594">
      <c r="B9594" s="9" t="n">
        <v>9592</v>
      </c>
      <c r="C9594" s="10" t="inlineStr">
        <is>
          <t>Giám đốc Khu Công Nghiệp</t>
        </is>
      </c>
      <c r="D9594" s="10" t="inlineStr">
        <is>
          <t>Công Ty Cổ Phần Đầu Tư Và Kinh Doanh Nhà Khang Điền</t>
        </is>
      </c>
      <c r="E9594" s="10" t="inlineStr">
        <is>
          <t>Thương lượng</t>
        </is>
      </c>
      <c r="F9594" s="10" t="inlineStr">
        <is>
          <t>Hồ Chí Minh</t>
        </is>
      </c>
      <c r="G9594" s="10" t="inlineStr">
        <is>
          <t>Giám Đốc và Cấp Cao Hơn</t>
        </is>
      </c>
      <c r="H9594" s="10" t="inlineStr">
        <is>
          <t>22/01/2026</t>
        </is>
      </c>
      <c r="I9594" s="10" t="inlineStr">
        <is>
          <t>10/04/2026</t>
        </is>
      </c>
      <c r="J9594" s="10" t="inlineStr">
        <is>
          <t>17/03/2026</t>
        </is>
      </c>
      <c r="K9594" s="10" t="inlineStr">
        <is>
          <t>N/A</t>
        </is>
      </c>
      <c r="L9594" s="10" t="inlineStr">
        <is>
          <t>Hạ Tầng Khu Đô Thị, Môi Trường Xử Lí Nước, Pháp Lý Bất Động Sản, Quản Lý Khu Công Nghiệp, Xử Lý Nước Thải</t>
        </is>
      </c>
      <c r="M9594" s="10" t="inlineStr">
        <is>
          <t>Bonus</t>
        </is>
      </c>
      <c r="N9594" s="11">
        <f>HYPERLINK("https://www.vietnamworks.com/giam-djoc-khu-cong-nghiep-2005194-jv","Xem chi tiết")</f>
        <v/>
      </c>
      <c r="O9594" s="10" t="n"/>
    </row>
    <row r="9595">
      <c r="B9595" s="7" t="n">
        <v>9593</v>
      </c>
      <c r="C9595" t="inlineStr">
        <is>
          <t>Phó Phòng Công Nghệ Thông Tin</t>
        </is>
      </c>
      <c r="D9595" t="inlineStr">
        <is>
          <t>Công Ty Cổ Phần Đầu Tư Và Kinh Doanh Nhà Khang Điền</t>
        </is>
      </c>
      <c r="E9595" t="inlineStr">
        <is>
          <t>Thương lượng</t>
        </is>
      </c>
      <c r="F9595" t="inlineStr">
        <is>
          <t>Hồ Chí Minh</t>
        </is>
      </c>
      <c r="G9595" t="inlineStr">
        <is>
          <t>Trưởng phòng</t>
        </is>
      </c>
      <c r="H9595" t="inlineStr">
        <is>
          <t>22/01/2026</t>
        </is>
      </c>
      <c r="I9595" t="inlineStr">
        <is>
          <t>10/04/2026</t>
        </is>
      </c>
      <c r="J9595" t="inlineStr">
        <is>
          <t>17/03/2026</t>
        </is>
      </c>
      <c r="K9595" t="inlineStr">
        <is>
          <t>N/A</t>
        </is>
      </c>
      <c r="L9595" t="inlineStr">
        <is>
          <t>An Ninh Bảo Mật, Hạ Tầng Mạng, Phát Triển Hệ Thống, Quản Trị Máy Chủ, Bất Động Sản</t>
        </is>
      </c>
      <c r="M9595" t="inlineStr">
        <is>
          <t>Bonus</t>
        </is>
      </c>
      <c r="N9595" s="8">
        <f>HYPERLINK("https://www.vietnamworks.com/pho-phong-cong-nghe-thong-tin-2005188-jv","Xem chi tiết")</f>
        <v/>
      </c>
    </row>
    <row r="9596">
      <c r="B9596" s="9" t="n">
        <v>9594</v>
      </c>
      <c r="C9596" s="10" t="inlineStr">
        <is>
          <t>Account Manager</t>
        </is>
      </c>
      <c r="D9596" s="10" t="inlineStr">
        <is>
          <t>IGS Group Vietnam Company Limited</t>
        </is>
      </c>
      <c r="E9596" s="10" t="inlineStr">
        <is>
          <t>Thương lượng</t>
        </is>
      </c>
      <c r="F9596" s="10" t="inlineStr">
        <is>
          <t>Hồ Chí Minh</t>
        </is>
      </c>
      <c r="G9596" s="10" t="inlineStr">
        <is>
          <t>Nhân viên</t>
        </is>
      </c>
      <c r="H9596" s="10" t="inlineStr">
        <is>
          <t>23/01/2026</t>
        </is>
      </c>
      <c r="I9596" s="10" t="inlineStr">
        <is>
          <t>10/04/2026</t>
        </is>
      </c>
      <c r="J9596" s="10" t="inlineStr">
        <is>
          <t>17/03/2026</t>
        </is>
      </c>
      <c r="K9596" s="10" t="inlineStr">
        <is>
          <t>N/A</t>
        </is>
      </c>
      <c r="L9596" s="10" t="inlineStr">
        <is>
          <t>Selling, Consultant, B2B, Account Management, Bussiness Development</t>
        </is>
      </c>
      <c r="M9596" s="10" t="inlineStr">
        <is>
          <t>Bonus, Training, Team Activities, Others</t>
        </is>
      </c>
      <c r="N9596" s="11">
        <f>HYPERLINK("https://www.vietnamworks.com/account-manager-2005745-jv","Xem chi tiết")</f>
        <v/>
      </c>
      <c r="O9596" s="10" t="n"/>
    </row>
    <row r="9597">
      <c r="B9597" s="7" t="n">
        <v>9595</v>
      </c>
      <c r="C9597" t="inlineStr">
        <is>
          <t>Senior Mechanical / Structural Engineer Space Systems</t>
        </is>
      </c>
      <c r="D9597" t="inlineStr">
        <is>
          <t>CÔNG TY CỔ PHẦN VINSPACE</t>
        </is>
      </c>
      <c r="E9597" t="inlineStr">
        <is>
          <t>Thương lượng</t>
        </is>
      </c>
      <c r="F9597" t="inlineStr">
        <is>
          <t>Hà Nội</t>
        </is>
      </c>
      <c r="G9597" t="inlineStr">
        <is>
          <t>Nhân viên</t>
        </is>
      </c>
      <c r="H9597" t="inlineStr">
        <is>
          <t>23/01/2026</t>
        </is>
      </c>
      <c r="I9597" t="inlineStr">
        <is>
          <t>10/04/2026</t>
        </is>
      </c>
      <c r="J9597" t="inlineStr">
        <is>
          <t>17/03/2026</t>
        </is>
      </c>
      <c r="K9597" t="inlineStr">
        <is>
          <t>N/A</t>
        </is>
      </c>
      <c r="L9597" t="inlineStr">
        <is>
          <t>CATIA, Mechanical Design, Mechanical Engineering, SolidWorks, Structural Design</t>
        </is>
      </c>
      <c r="M9597" t="inlineStr">
        <is>
          <t>Others</t>
        </is>
      </c>
      <c r="N9597" s="8">
        <f>HYPERLINK("https://www.vietnamworks.com/senior-mechanical-structural-engineer-space-systems-2005740-jv","Xem chi tiết")</f>
        <v/>
      </c>
    </row>
    <row r="9598">
      <c r="B9598" s="9" t="n">
        <v>9596</v>
      </c>
      <c r="C9598" s="10" t="inlineStr">
        <is>
          <t>Payroll Officer (Part-time)</t>
        </is>
      </c>
      <c r="D9598" s="10" t="inlineStr">
        <is>
          <t>Moose Toys Vietnam</t>
        </is>
      </c>
      <c r="E9598" s="10" t="inlineStr">
        <is>
          <t>Thương lượng</t>
        </is>
      </c>
      <c r="F9598" s="10" t="inlineStr">
        <is>
          <t>Hồ Chí Minh</t>
        </is>
      </c>
      <c r="G9598" s="10" t="inlineStr">
        <is>
          <t>Nhân viên</t>
        </is>
      </c>
      <c r="H9598" s="10" t="inlineStr">
        <is>
          <t>23/01/2026</t>
        </is>
      </c>
      <c r="I9598" s="10" t="inlineStr">
        <is>
          <t>10/04/2026</t>
        </is>
      </c>
      <c r="J9598" s="10" t="inlineStr">
        <is>
          <t>17/03/2026</t>
        </is>
      </c>
      <c r="K9598" s="10" t="inlineStr">
        <is>
          <t>N/A</t>
        </is>
      </c>
      <c r="L9598" s="10" t="inlineStr">
        <is>
          <t>Accounting Software, Communication, Excel Skills, Finance Development, Payroll</t>
        </is>
      </c>
      <c r="M9598" s="10" t="inlineStr">
        <is>
          <t>Others</t>
        </is>
      </c>
      <c r="N9598" s="11">
        <f>HYPERLINK("https://www.vietnamworks.com/payroll-officer-part-time-2005601-jv","Xem chi tiết")</f>
        <v/>
      </c>
      <c r="O9598" s="10" t="n"/>
    </row>
    <row r="9599">
      <c r="B9599" s="7" t="n">
        <v>9597</v>
      </c>
      <c r="C9599" t="inlineStr">
        <is>
          <t>Nhân viên lập kế hoạch sản xuất/ Production Planner</t>
        </is>
      </c>
      <c r="D9599" t="inlineStr">
        <is>
          <t>Công Ty TNHH Dainese Việt Nam</t>
        </is>
      </c>
      <c r="E9599" t="inlineStr">
        <is>
          <t>Thương lượng</t>
        </is>
      </c>
      <c r="F9599" t="inlineStr">
        <is>
          <t>Thái Nguyên</t>
        </is>
      </c>
      <c r="G9599" t="inlineStr">
        <is>
          <t>Nhân viên</t>
        </is>
      </c>
      <c r="H9599" t="inlineStr">
        <is>
          <t>21/01/2026</t>
        </is>
      </c>
      <c r="I9599" t="inlineStr">
        <is>
          <t>10/04/2026</t>
        </is>
      </c>
      <c r="J9599" t="inlineStr">
        <is>
          <t>17/03/2026</t>
        </is>
      </c>
      <c r="K9599" t="inlineStr">
        <is>
          <t>N/A</t>
        </is>
      </c>
      <c r="L9599" t="inlineStr">
        <is>
          <t>Communication Skills, Excel, Production Planning, Teamwork, Time Management</t>
        </is>
      </c>
      <c r="M9599" t="inlineStr">
        <is>
          <t>Bonus, Paid Leave, Laptop, Transportation, Canteen</t>
        </is>
      </c>
      <c r="N9599" s="8">
        <f>HYPERLINK("https://www.vietnamworks.com/nhan-vien-lap-ke-hoach-san-xuat-production-planner-2005037-jv","Xem chi tiết")</f>
        <v/>
      </c>
    </row>
    <row r="9600">
      <c r="B9600" s="9" t="n">
        <v>9598</v>
      </c>
      <c r="C9600" s="10" t="inlineStr">
        <is>
          <t>Phó Giám Đốc CTTV</t>
        </is>
      </c>
      <c r="D9600" s="10" t="inlineStr">
        <is>
          <t>Bảo hiểm VietinBank (VBI)</t>
        </is>
      </c>
      <c r="E9600" s="10" t="inlineStr">
        <is>
          <t>Thương lượng</t>
        </is>
      </c>
      <c r="F9600" s="10" t="inlineStr">
        <is>
          <t>Hồ Chí Minh, Hà Nội, Đà Nẵng</t>
        </is>
      </c>
      <c r="G9600" s="10" t="inlineStr">
        <is>
          <t>Trưởng phòng</t>
        </is>
      </c>
      <c r="H9600" s="10" t="inlineStr">
        <is>
          <t>23/01/2026</t>
        </is>
      </c>
      <c r="I9600" s="10" t="inlineStr">
        <is>
          <t>10/04/2026</t>
        </is>
      </c>
      <c r="J9600" s="10" t="inlineStr">
        <is>
          <t>17/03/2026</t>
        </is>
      </c>
      <c r="K9600" s="10" t="inlineStr">
        <is>
          <t>N/A</t>
        </is>
      </c>
      <c r="L9600" s="10" t="inlineStr">
        <is>
          <t>Kỹ năng lập kế hoạch, Kỹ năng đàm phán, Bảo Hiểm, Ngân hàng, Tài Chính</t>
        </is>
      </c>
      <c r="M9600" s="10" t="inlineStr">
        <is>
          <t>Bonus, Paid Leave, Training, Travel Opportunities, Others</t>
        </is>
      </c>
      <c r="N9600" s="11">
        <f>HYPERLINK("https://www.vietnamworks.com/pho-giam-djoc-cttv-2005654-jv","Xem chi tiết")</f>
        <v/>
      </c>
      <c r="O9600" s="10" t="n"/>
    </row>
    <row r="9601">
      <c r="B9601" s="7" t="n">
        <v>9599</v>
      </c>
      <c r="C9601" t="inlineStr">
        <is>
          <t>[Hồ Chí Minh, Hà Nội] Retail Sales Associate</t>
        </is>
      </c>
      <c r="D9601" t="inlineStr">
        <is>
          <t>PUMA</t>
        </is>
      </c>
      <c r="E9601" t="inlineStr">
        <is>
          <t>Thương lượng</t>
        </is>
      </c>
      <c r="F9601" t="inlineStr">
        <is>
          <t>Hồ Chí Minh, Hà Nội</t>
        </is>
      </c>
      <c r="G9601" t="inlineStr">
        <is>
          <t>Nhân viên</t>
        </is>
      </c>
      <c r="H9601" t="inlineStr">
        <is>
          <t>21/01/2026</t>
        </is>
      </c>
      <c r="I9601" t="inlineStr">
        <is>
          <t>10/04/2026</t>
        </is>
      </c>
      <c r="J9601" t="inlineStr">
        <is>
          <t>17/03/2026</t>
        </is>
      </c>
      <c r="K9601" t="inlineStr">
        <is>
          <t>N/A</t>
        </is>
      </c>
      <c r="L9601" t="inlineStr">
        <is>
          <t>Kinh Doanh, B2B, Retail Store Operations, Sales Planning, Customer Service Oriented</t>
        </is>
      </c>
      <c r="M9601" t="inlineStr">
        <is>
          <t>Bonus, Healthcare Plan, Paid Leave</t>
        </is>
      </c>
      <c r="N9601" s="8">
        <f>HYPERLINK("https://www.vietnamworks.com/ho-chi-minh-ha-noi-retail-sales-associate--2004755-jv","Xem chi tiết")</f>
        <v/>
      </c>
    </row>
    <row r="9602">
      <c r="B9602" s="9" t="n">
        <v>9600</v>
      </c>
      <c r="C9602" s="10" t="inlineStr">
        <is>
          <t>Trưởng Bộ Phận Kế Hoạch Sản Xuất</t>
        </is>
      </c>
      <c r="D9602" s="10" t="inlineStr">
        <is>
          <t>Công Ty Cổ Phần Tập Đoàn Sunhouse</t>
        </is>
      </c>
      <c r="E9602" s="10" t="inlineStr">
        <is>
          <t>$$ 1,000-1,500 /tháng</t>
        </is>
      </c>
      <c r="F9602" s="10" t="inlineStr">
        <is>
          <t>Hà Nội</t>
        </is>
      </c>
      <c r="G9602" s="10" t="inlineStr">
        <is>
          <t>Trưởng phòng</t>
        </is>
      </c>
      <c r="H9602" s="10" t="inlineStr">
        <is>
          <t>22/01/2026</t>
        </is>
      </c>
      <c r="I9602" s="10" t="inlineStr">
        <is>
          <t>10/04/2026</t>
        </is>
      </c>
      <c r="J9602" s="10" t="inlineStr">
        <is>
          <t>17/03/2026</t>
        </is>
      </c>
      <c r="K9602" s="10" t="inlineStr">
        <is>
          <t>N/A</t>
        </is>
      </c>
      <c r="L9602" s="10" t="inlineStr">
        <is>
          <t>Quản Lý Kế Hoạch, Production Planning, Kế Hoạch Sản Xuất, Lập Kế Hoạch Vật Tư</t>
        </is>
      </c>
      <c r="M9602" s="10" t="inlineStr">
        <is>
          <t>Bonus, Travel Opportunities, Transportation</t>
        </is>
      </c>
      <c r="N9602" s="11">
        <f>HYPERLINK("https://www.vietnamworks.com/truong-bo-phan-ke-hoach-san-xuat--2005189-jv","Xem chi tiết")</f>
        <v/>
      </c>
      <c r="O9602" s="10" t="n"/>
    </row>
    <row r="9603">
      <c r="B9603" s="7" t="n">
        <v>9601</v>
      </c>
      <c r="C9603" t="inlineStr">
        <is>
          <t>Retail Sales Advisor (Outdoor Sports) - LCB 8-12Tr + KPI</t>
        </is>
      </c>
      <c r="D9603" t="inlineStr">
        <is>
          <t>Công Ty Wetrek Retail</t>
        </is>
      </c>
      <c r="E9603" t="inlineStr">
        <is>
          <t>400-600 ₫/tháng</t>
        </is>
      </c>
      <c r="F9603" t="inlineStr">
        <is>
          <t>Hà Nội, Hồ Chí Minh</t>
        </is>
      </c>
      <c r="G9603" t="inlineStr">
        <is>
          <t>Nhân viên</t>
        </is>
      </c>
      <c r="H9603" t="inlineStr">
        <is>
          <t>06/03/2026</t>
        </is>
      </c>
      <c r="I9603" t="inlineStr">
        <is>
          <t>10/04/2026</t>
        </is>
      </c>
      <c r="J9603" t="inlineStr">
        <is>
          <t>17/03/2026</t>
        </is>
      </c>
      <c r="K9603" t="inlineStr">
        <is>
          <t>N/A</t>
        </is>
      </c>
      <c r="L9603" t="inlineStr">
        <is>
          <t>Kinh Doanh, Retail Sales, Tư Vấn Bán Hàng, Bán hàng &amp; Chăm sóc khách hàng, Sales &amp; Business Development</t>
        </is>
      </c>
      <c r="M9603" t="inlineStr">
        <is>
          <t>Healthcare Plan, Training, Team Activities</t>
        </is>
      </c>
      <c r="N9603" s="8">
        <f>HYPERLINK("https://www.vietnamworks.com/retail-sales-advisor-outdoor-sports-lcb-8-12tr-kpi-2019498-jv","Xem chi tiết")</f>
        <v/>
      </c>
    </row>
    <row r="9604">
      <c r="B9604" s="9" t="n">
        <v>9602</v>
      </c>
      <c r="C9604" s="10" t="inlineStr">
        <is>
          <t>Officer/ Executive, Customs Operations- Land transportation- North- Urgent</t>
        </is>
      </c>
      <c r="D9604" s="10" t="inlineStr">
        <is>
          <t>Công Ty TNHH Schenker Logistics Việt Nam</t>
        </is>
      </c>
      <c r="E9604" s="10" t="inlineStr">
        <is>
          <t>$$ 500-800 /tháng</t>
        </is>
      </c>
      <c r="F9604" s="10" t="inlineStr">
        <is>
          <t>Hà Nội</t>
        </is>
      </c>
      <c r="G9604" s="10" t="inlineStr">
        <is>
          <t>Nhân viên</t>
        </is>
      </c>
      <c r="H9604" s="10" t="inlineStr">
        <is>
          <t>24/01/2026</t>
        </is>
      </c>
      <c r="I9604" s="10" t="inlineStr">
        <is>
          <t>10/04/2026</t>
        </is>
      </c>
      <c r="J9604" s="10" t="inlineStr">
        <is>
          <t>17/03/2026</t>
        </is>
      </c>
      <c r="K9604" s="10" t="inlineStr">
        <is>
          <t>N/A</t>
        </is>
      </c>
      <c r="L9604" s="10" t="inlineStr">
        <is>
          <t>Customs Clearance, Hải Quan, Khai Báo Hải Quan, Thủ Tục Hải Quan, Trading and Customs Clearance</t>
        </is>
      </c>
      <c r="M9604" s="10" t="inlineStr">
        <is>
          <t>Bonus, Healthcare Plan, Others</t>
        </is>
      </c>
      <c r="N9604" s="11">
        <f>HYPERLINK("https://www.vietnamworks.com/officer-executive-customs-operations-land-transportation-north-urgent-2006040-jv","Xem chi tiết")</f>
        <v/>
      </c>
      <c r="O9604" s="10" t="n"/>
    </row>
    <row r="9605">
      <c r="B9605" s="7" t="n">
        <v>9603</v>
      </c>
      <c r="C9605" t="inlineStr">
        <is>
          <t>Hardware / Electrical Engineer</t>
        </is>
      </c>
      <c r="D9605" t="inlineStr">
        <is>
          <t>CÔNG TY CỔ PHẦN VINSPACE</t>
        </is>
      </c>
      <c r="E9605" t="inlineStr">
        <is>
          <t>Thương lượng</t>
        </is>
      </c>
      <c r="F9605" t="inlineStr">
        <is>
          <t>Hà Nội</t>
        </is>
      </c>
      <c r="G9605" t="inlineStr">
        <is>
          <t>Nhân viên</t>
        </is>
      </c>
      <c r="H9605" t="inlineStr">
        <is>
          <t>23/01/2026</t>
        </is>
      </c>
      <c r="I9605" t="inlineStr">
        <is>
          <t>10/04/2026</t>
        </is>
      </c>
      <c r="J9605" t="inlineStr">
        <is>
          <t>17/03/2026</t>
        </is>
      </c>
      <c r="K9605" t="inlineStr">
        <is>
          <t>N/A</t>
        </is>
      </c>
      <c r="L9605" t="inlineStr">
        <is>
          <t>Cadence Allegro, Circuit Design, PCB Design, Signal Integrity, Technical Documentation</t>
        </is>
      </c>
      <c r="M9605" t="inlineStr">
        <is>
          <t>Bonus, Others</t>
        </is>
      </c>
      <c r="N9605" s="8">
        <f>HYPERLINK("https://www.vietnamworks.com/hardware-electrical-engineer-2005759-jv","Xem chi tiết")</f>
        <v/>
      </c>
    </row>
    <row r="9606">
      <c r="B9606" s="9" t="n">
        <v>9604</v>
      </c>
      <c r="C9606" s="10" t="inlineStr">
        <is>
          <t>Chuyên Viên Set Up Dự Án Bệnh Viện Mới</t>
        </is>
      </c>
      <c r="D9606" s="10" t="inlineStr">
        <is>
          <t>Công Ty CP Bệnh Viện Đa Khoa Quốc Tế Vinmec</t>
        </is>
      </c>
      <c r="E9606" s="10" t="inlineStr">
        <is>
          <t>Thương lượng</t>
        </is>
      </c>
      <c r="F9606" s="10" t="inlineStr">
        <is>
          <t>Hà Nội</t>
        </is>
      </c>
      <c r="G9606" s="10" t="inlineStr">
        <is>
          <t>Nhân viên</t>
        </is>
      </c>
      <c r="H9606" s="10" t="inlineStr">
        <is>
          <t>06/03/2026</t>
        </is>
      </c>
      <c r="I9606" s="10" t="inlineStr">
        <is>
          <t>10/04/2026</t>
        </is>
      </c>
      <c r="J9606" s="10" t="inlineStr">
        <is>
          <t>17/03/2026</t>
        </is>
      </c>
      <c r="K9606" s="10" t="inlineStr">
        <is>
          <t>N/A</t>
        </is>
      </c>
      <c r="L9606" s="10" t="inlineStr">
        <is>
          <t>Kế Hoạch Xây Lắp, Kiểm Soát Chất Lượng, Quản Lý Dự Án, Thẩm Định Thiết Kế, Lập Ngân Sách</t>
        </is>
      </c>
      <c r="M9606" s="10" t="inlineStr">
        <is>
          <t>Bonus</t>
        </is>
      </c>
      <c r="N9606" s="11">
        <f>HYPERLINK("https://www.vietnamworks.com/chuyen-vien-set-up-du-an-benh-vien-moi-2019859-jv","Xem chi tiết")</f>
        <v/>
      </c>
      <c r="O9606" s="10" t="n"/>
    </row>
    <row r="9607">
      <c r="B9607" s="7" t="n">
        <v>9605</v>
      </c>
      <c r="C9607" t="inlineStr">
        <is>
          <t>Import &amp; Export Staff (1 Year contract)</t>
        </is>
      </c>
      <c r="D9607" t="inlineStr">
        <is>
          <t>Công Ty TNHH Ô Tô Isuzu Việt Nam</t>
        </is>
      </c>
      <c r="E9607" t="inlineStr">
        <is>
          <t>Thương lượng</t>
        </is>
      </c>
      <c r="F9607" t="inlineStr">
        <is>
          <t>Hồ Chí Minh</t>
        </is>
      </c>
      <c r="G9607" t="inlineStr">
        <is>
          <t>Nhân viên</t>
        </is>
      </c>
      <c r="H9607" t="inlineStr">
        <is>
          <t>09/03/2026</t>
        </is>
      </c>
      <c r="I9607" t="inlineStr">
        <is>
          <t>10/04/2026</t>
        </is>
      </c>
      <c r="J9607" t="inlineStr">
        <is>
          <t>17/03/2026</t>
        </is>
      </c>
      <c r="K9607" t="inlineStr">
        <is>
          <t>N/A</t>
        </is>
      </c>
      <c r="L9607" t="inlineStr">
        <is>
          <t>Xuất Nhập Khẩu, Logistics, Customs Procedures, Chứng Từ Xuất Nhập Khẩu, Spare Parts Management</t>
        </is>
      </c>
      <c r="M9607" t="inlineStr">
        <is>
          <t>Bonus, Healthcare Plan, Paid Leave</t>
        </is>
      </c>
      <c r="N9607" s="8">
        <f>HYPERLINK("https://www.vietnamworks.com/import-export-staff-1-year-contract--2020681-jv","Xem chi tiết")</f>
        <v/>
      </c>
    </row>
    <row r="9608">
      <c r="B9608" s="9" t="n">
        <v>9606</v>
      </c>
      <c r="C9608" s="10" t="inlineStr">
        <is>
          <t>Hardware / Electronic Engineer Space &amp; Avionics Systems</t>
        </is>
      </c>
      <c r="D9608" s="10" t="inlineStr">
        <is>
          <t>CÔNG TY CỔ PHẦN VINSPACE</t>
        </is>
      </c>
      <c r="E9608" s="10" t="inlineStr">
        <is>
          <t>Thương lượng</t>
        </is>
      </c>
      <c r="F9608" s="10" t="inlineStr">
        <is>
          <t>Hà Nội</t>
        </is>
      </c>
      <c r="G9608" s="10" t="inlineStr">
        <is>
          <t>Nhân viên</t>
        </is>
      </c>
      <c r="H9608" s="10" t="inlineStr">
        <is>
          <t>23/01/2026</t>
        </is>
      </c>
      <c r="I9608" s="10" t="inlineStr">
        <is>
          <t>10/04/2026</t>
        </is>
      </c>
      <c r="J9608" s="10" t="inlineStr">
        <is>
          <t>17/03/2026</t>
        </is>
      </c>
      <c r="K9608" s="10" t="inlineStr">
        <is>
          <t>N/A</t>
        </is>
      </c>
      <c r="L9608" s="10" t="inlineStr">
        <is>
          <t>Altium Design, Cadence Allegro, Electronics Engineering</t>
        </is>
      </c>
      <c r="M9608" s="10" t="inlineStr">
        <is>
          <t>Bonus, Training, Team Activities, Others</t>
        </is>
      </c>
      <c r="N9608" s="11">
        <f>HYPERLINK("https://www.vietnamworks.com/hardware-electronic-engineer-space-and-avionics-systems-2005763-jv","Xem chi tiết")</f>
        <v/>
      </c>
      <c r="O9608" s="10" t="n"/>
    </row>
    <row r="9609">
      <c r="B9609" s="7" t="n">
        <v>9607</v>
      </c>
      <c r="C9609" t="inlineStr">
        <is>
          <t>Embedded System Engineer</t>
        </is>
      </c>
      <c r="D9609" t="inlineStr">
        <is>
          <t>CÔNG TY CỔ PHẦN VINSPACE</t>
        </is>
      </c>
      <c r="E9609" t="inlineStr">
        <is>
          <t>Thương lượng</t>
        </is>
      </c>
      <c r="F9609" t="inlineStr">
        <is>
          <t>Hà Nội</t>
        </is>
      </c>
      <c r="G9609" t="inlineStr">
        <is>
          <t>Nhân viên</t>
        </is>
      </c>
      <c r="H9609" t="inlineStr">
        <is>
          <t>23/01/2026</t>
        </is>
      </c>
      <c r="I9609" t="inlineStr">
        <is>
          <t>10/04/2026</t>
        </is>
      </c>
      <c r="J9609" t="inlineStr">
        <is>
          <t>17/03/2026</t>
        </is>
      </c>
      <c r="K9609" t="inlineStr">
        <is>
          <t>N/A</t>
        </is>
      </c>
      <c r="L9609" t="inlineStr">
        <is>
          <t>C/C++, Electronics Engineering, Embedded Systems, FreeRTOS</t>
        </is>
      </c>
      <c r="M9609" t="inlineStr">
        <is>
          <t>Bonus, Others</t>
        </is>
      </c>
      <c r="N9609" s="8">
        <f>HYPERLINK("https://www.vietnamworks.com/embedded-system-engineer-2005752-jv","Xem chi tiết")</f>
        <v/>
      </c>
    </row>
    <row r="9610">
      <c r="B9610" s="9" t="n">
        <v>9608</v>
      </c>
      <c r="C9610" s="10" t="inlineStr">
        <is>
          <t>[Tuyển Gấp] Quản Lý Hành Chính</t>
        </is>
      </c>
      <c r="D9610" s="10" t="inlineStr">
        <is>
          <t>Công Ty Cổ Phần Dệt Bảo Minh</t>
        </is>
      </c>
      <c r="E9610" s="10" t="inlineStr">
        <is>
          <t>Thương lượng</t>
        </is>
      </c>
      <c r="F9610" s="10" t="inlineStr">
        <is>
          <t>Nam Định, Ninh Bình, Hà Nội</t>
        </is>
      </c>
      <c r="G9610" s="10" t="inlineStr">
        <is>
          <t>Nhân viên</t>
        </is>
      </c>
      <c r="H9610" s="10" t="inlineStr">
        <is>
          <t>23/01/2026</t>
        </is>
      </c>
      <c r="I9610" s="10" t="inlineStr">
        <is>
          <t>10/04/2026</t>
        </is>
      </c>
      <c r="J9610" s="10" t="inlineStr">
        <is>
          <t>17/03/2026</t>
        </is>
      </c>
      <c r="K9610" s="10" t="inlineStr">
        <is>
          <t>N/A</t>
        </is>
      </c>
      <c r="L9610" s="10" t="inlineStr">
        <is>
          <t>Dệt May, Giám Sát Sản Xuất, Kiểm Tra Chất Lượng, Quản Lý Chất Lượng, Cải Tiến Sản Phẩm</t>
        </is>
      </c>
      <c r="M9610" s="10" t="inlineStr">
        <is>
          <t>Healthcare Plan, Others</t>
        </is>
      </c>
      <c r="N9610" s="11">
        <f>HYPERLINK("https://www.vietnamworks.com/tuyen-gap-quan-ly-hanh-chinh-2005951-jv","Xem chi tiết")</f>
        <v/>
      </c>
      <c r="O9610" s="10" t="n"/>
    </row>
    <row r="9611">
      <c r="B9611" s="7" t="n">
        <v>9609</v>
      </c>
      <c r="C9611" t="inlineStr">
        <is>
          <t>Financial Accountant APAC</t>
        </is>
      </c>
      <c r="D9611" t="inlineStr">
        <is>
          <t>Scenic Cruises</t>
        </is>
      </c>
      <c r="E9611" t="inlineStr">
        <is>
          <t>Tới 35tr ₫/tháng</t>
        </is>
      </c>
      <c r="F9611" t="inlineStr">
        <is>
          <t>Hồ Chí Minh</t>
        </is>
      </c>
      <c r="G9611" t="inlineStr">
        <is>
          <t>Nhân viên</t>
        </is>
      </c>
      <c r="H9611" t="inlineStr">
        <is>
          <t>10/03/2026</t>
        </is>
      </c>
      <c r="I9611" t="inlineStr">
        <is>
          <t>10/04/2026</t>
        </is>
      </c>
      <c r="J9611" t="inlineStr">
        <is>
          <t>17/03/2026</t>
        </is>
      </c>
      <c r="K9611" t="inlineStr">
        <is>
          <t>N/A</t>
        </is>
      </c>
      <c r="L9611" t="inlineStr">
        <is>
          <t>Financial Accounting, IFRS Knowledge, Netsuite ERP, Intercompany Accounting, Bank Reconciliation</t>
        </is>
      </c>
      <c r="M9611" t="inlineStr">
        <is>
          <t>Bonus, Healthcare Plan, Paid Leave, Training, Team Activities, Others</t>
        </is>
      </c>
      <c r="N9611" s="8">
        <f>HYPERLINK("https://www.vietnamworks.com/financial-accountant-apac-2020904-jv","Xem chi tiết")</f>
        <v/>
      </c>
    </row>
    <row r="9612">
      <c r="B9612" s="9" t="n">
        <v>9610</v>
      </c>
      <c r="C9612" s="10" t="inlineStr">
        <is>
          <t>Sales Manager</t>
        </is>
      </c>
      <c r="D9612" s="10" t="inlineStr">
        <is>
          <t>Maker Sixty Four</t>
        </is>
      </c>
      <c r="E9612" s="10" t="inlineStr">
        <is>
          <t>Thương lượng</t>
        </is>
      </c>
      <c r="F9612" s="10" t="inlineStr">
        <is>
          <t>Hồ Chí Minh</t>
        </is>
      </c>
      <c r="G9612" s="10" t="inlineStr">
        <is>
          <t>Trưởng phòng</t>
        </is>
      </c>
      <c r="H9612" s="10" t="inlineStr">
        <is>
          <t>10/03/2026</t>
        </is>
      </c>
      <c r="I9612" s="10" t="inlineStr">
        <is>
          <t>10/04/2026</t>
        </is>
      </c>
      <c r="J9612" s="10" t="inlineStr">
        <is>
          <t>17/03/2026</t>
        </is>
      </c>
      <c r="K9612" s="10" t="inlineStr">
        <is>
          <t>N/A</t>
        </is>
      </c>
      <c r="L9612" s="10" t="inlineStr">
        <is>
          <t>B2B Sales, International Sales &amp; Marketing, Channel Relationship Management, Sales Strategy, Negotiation</t>
        </is>
      </c>
      <c r="M9612" s="10" t="inlineStr">
        <is>
          <t>Healthcare Plan, Paid Leave, Transportation, Others</t>
        </is>
      </c>
      <c r="N9612" s="11">
        <f>HYPERLINK("https://www.vietnamworks.com/sales-manager-2021225-jv","Xem chi tiết")</f>
        <v/>
      </c>
      <c r="O9612" s="10" t="n"/>
    </row>
    <row r="9613">
      <c r="B9613" s="7" t="n">
        <v>9611</v>
      </c>
      <c r="C9613" t="inlineStr">
        <is>
          <t>Business Development Executive (15-25M Monthly Income) (Sales B2B)</t>
        </is>
      </c>
      <c r="D9613" t="inlineStr">
        <is>
          <t>EEO Việt Nam</t>
        </is>
      </c>
      <c r="E9613" t="inlineStr">
        <is>
          <t>15tr-25tr ₫/tháng</t>
        </is>
      </c>
      <c r="F9613" t="inlineStr">
        <is>
          <t>Hồ Chí Minh</t>
        </is>
      </c>
      <c r="G9613" t="inlineStr">
        <is>
          <t>Nhân viên</t>
        </is>
      </c>
      <c r="H9613" t="inlineStr">
        <is>
          <t>23/01/2026</t>
        </is>
      </c>
      <c r="I9613" t="inlineStr">
        <is>
          <t>10/04/2026</t>
        </is>
      </c>
      <c r="J9613" t="inlineStr">
        <is>
          <t>17/03/2026</t>
        </is>
      </c>
      <c r="K9613" t="inlineStr">
        <is>
          <t>N/A</t>
        </is>
      </c>
      <c r="L9613" t="inlineStr">
        <is>
          <t>English, B2B Sales, Business Development, Communication Skills, Consulting</t>
        </is>
      </c>
      <c r="M9613" t="inlineStr">
        <is>
          <t>Bonus, Healthcare Plan, Paid Leave, Team Activities, Others</t>
        </is>
      </c>
      <c r="N9613" s="8">
        <f>HYPERLINK("https://www.vietnamworks.com/business-development-executive-15-25m-monthly-income-sales-b2b-2005748-jv","Xem chi tiết")</f>
        <v/>
      </c>
    </row>
    <row r="9614">
      <c r="B9614" s="9" t="n">
        <v>9612</v>
      </c>
      <c r="C9614" s="10" t="inlineStr">
        <is>
          <t>Trưởng Phòng Truyền Thông (Head Of Communications)</t>
        </is>
      </c>
      <c r="D9614" s="10" t="inlineStr">
        <is>
          <t>CÔNG TY TNHH THƯƠNG MẠI VÀ DỊCH VỤ OZOVN</t>
        </is>
      </c>
      <c r="E9614" s="10" t="inlineStr">
        <is>
          <t>35tr-45tr ₫/tháng</t>
        </is>
      </c>
      <c r="F9614" s="10" t="inlineStr">
        <is>
          <t>Hà Nội</t>
        </is>
      </c>
      <c r="G9614" s="10" t="inlineStr">
        <is>
          <t>Trưởng phòng</t>
        </is>
      </c>
      <c r="H9614" s="10" t="inlineStr">
        <is>
          <t>10/03/2026</t>
        </is>
      </c>
      <c r="I9614" s="10" t="inlineStr">
        <is>
          <t>10/04/2026</t>
        </is>
      </c>
      <c r="J9614" s="10" t="inlineStr">
        <is>
          <t>17/03/2026</t>
        </is>
      </c>
      <c r="K9614" s="10" t="inlineStr">
        <is>
          <t>N/A</t>
        </is>
      </c>
      <c r="L9614" s="10" t="inlineStr">
        <is>
          <t>Chiến Lược Thương Hiệu, Kỹ năng giao tiếp, Lãnh Đạo, Phân Tích Chiến Lược, Truyền Thông Trực Tuyến</t>
        </is>
      </c>
      <c r="M9614" s="10" t="inlineStr">
        <is>
          <t>Bonus, Paid Leave, Training, Team Activities, Others</t>
        </is>
      </c>
      <c r="N9614" s="11">
        <f>HYPERLINK("https://www.vietnamworks.com/truong-phong-truyen-thong-head-of-communications-2021133-jv","Xem chi tiết")</f>
        <v/>
      </c>
      <c r="O9614" s="10" t="n"/>
    </row>
    <row r="9615">
      <c r="B9615" s="7" t="n">
        <v>9613</v>
      </c>
      <c r="C9615" t="inlineStr">
        <is>
          <t>Kế Toán Trưởng (Mức Lương Lên Đến 40,000,000 VND)</t>
        </is>
      </c>
      <c r="D9615" t="inlineStr">
        <is>
          <t>Case Concepts International Group</t>
        </is>
      </c>
      <c r="E9615" t="inlineStr">
        <is>
          <t>Tới 40tr ₫/tháng</t>
        </is>
      </c>
      <c r="F9615" t="inlineStr">
        <is>
          <t>Vĩnh Long, ĐBSCL, Hồ Chí Minh</t>
        </is>
      </c>
      <c r="G9615" t="inlineStr">
        <is>
          <t>Trưởng phòng</t>
        </is>
      </c>
      <c r="H9615" t="inlineStr">
        <is>
          <t>10/03/2026</t>
        </is>
      </c>
      <c r="I9615" t="inlineStr">
        <is>
          <t>10/04/2026</t>
        </is>
      </c>
      <c r="J9615" t="inlineStr">
        <is>
          <t>17/03/2026</t>
        </is>
      </c>
      <c r="K9615" t="inlineStr">
        <is>
          <t>N/A</t>
        </is>
      </c>
      <c r="L9615" t="inlineStr">
        <is>
          <t>Accounting Management, Kế Toán Tài Chính, Kế Toán Sản Xuất, Kiểm Soát Công Nợ, Báo Cáo Tài Chính</t>
        </is>
      </c>
      <c r="M9615" t="inlineStr">
        <is>
          <t>Bonus, Healthcare Plan, Awards</t>
        </is>
      </c>
      <c r="N9615" s="8">
        <f>HYPERLINK("https://www.vietnamworks.com/ke-toan-truong-muc-luong-len-den-40-000-000-vnd-2020825-jv","Xem chi tiết")</f>
        <v/>
      </c>
    </row>
    <row r="9616">
      <c r="B9616" s="9" t="n">
        <v>9614</v>
      </c>
      <c r="C9616" s="10" t="inlineStr">
        <is>
          <t>[Expat Only] English Teacher / Part-Time (20H/week)</t>
        </is>
      </c>
      <c r="D9616" s="10" t="inlineStr">
        <is>
          <t>Scotch Australian Grammar School (AGS)</t>
        </is>
      </c>
      <c r="E9616" s="10" t="inlineStr">
        <is>
          <t>Thương lượng</t>
        </is>
      </c>
      <c r="F9616" s="10" t="inlineStr">
        <is>
          <t>Hồ Chí Minh</t>
        </is>
      </c>
      <c r="G9616" s="10" t="inlineStr">
        <is>
          <t>Nhân viên</t>
        </is>
      </c>
      <c r="H9616" s="10" t="inlineStr">
        <is>
          <t>09/03/2026</t>
        </is>
      </c>
      <c r="I9616" s="10" t="inlineStr">
        <is>
          <t>10/04/2026</t>
        </is>
      </c>
      <c r="J9616" s="10" t="inlineStr">
        <is>
          <t>17/03/2026</t>
        </is>
      </c>
      <c r="K9616" s="10" t="inlineStr">
        <is>
          <t>N/A</t>
        </is>
      </c>
      <c r="L9616" s="10" t="inlineStr">
        <is>
          <t>Class Management, Education, Teaching, Ielts 7.0, Giảng Dạy</t>
        </is>
      </c>
      <c r="M9616" s="10" t="inlineStr">
        <is>
          <t>Bonus, Healthcare Plan, Canteen</t>
        </is>
      </c>
      <c r="N9616" s="11">
        <f>HYPERLINK("https://www.vietnamworks.com/expat-only-english-teacher-part-time-20h-week--2020176-jv","Xem chi tiết")</f>
        <v/>
      </c>
      <c r="O9616" s="10" t="n"/>
    </row>
    <row r="9617">
      <c r="B9617" s="7" t="n">
        <v>9615</v>
      </c>
      <c r="C9617" t="inlineStr">
        <is>
          <t>Technical Capability Development Manager</t>
        </is>
      </c>
      <c r="D9617" t="inlineStr">
        <is>
          <t>Công Ty TNHH Tsarsi</t>
        </is>
      </c>
      <c r="E9617" t="inlineStr">
        <is>
          <t>Thương lượng</t>
        </is>
      </c>
      <c r="F9617" t="inlineStr">
        <is>
          <t>Hồ Chí Minh</t>
        </is>
      </c>
      <c r="G9617" t="inlineStr">
        <is>
          <t>Trưởng phòng</t>
        </is>
      </c>
      <c r="H9617" t="inlineStr">
        <is>
          <t>09/03/2026</t>
        </is>
      </c>
      <c r="I9617" t="inlineStr">
        <is>
          <t>10/04/2026</t>
        </is>
      </c>
      <c r="J9617" t="inlineStr">
        <is>
          <t>17/03/2026</t>
        </is>
      </c>
      <c r="K9617" t="inlineStr">
        <is>
          <t>N/A</t>
        </is>
      </c>
      <c r="L9617" t="inlineStr">
        <is>
          <t>Training Program Design, Staff Development, Construction Process, Engineering Design, Effective Communication</t>
        </is>
      </c>
      <c r="M9617" t="inlineStr">
        <is>
          <t>Healthcare Plan, Travel Opportunities, Others</t>
        </is>
      </c>
      <c r="N9617" s="8">
        <f>HYPERLINK("https://www.vietnamworks.com/technical-capability-development-manager-2020522-jv","Xem chi tiết")</f>
        <v/>
      </c>
    </row>
    <row r="9618">
      <c r="B9618" s="9" t="n">
        <v>9616</v>
      </c>
      <c r="C9618" s="10" t="inlineStr">
        <is>
          <t>Quality Inspector</t>
        </is>
      </c>
      <c r="D9618" s="10" t="inlineStr">
        <is>
          <t>Văn Phòng Đại Diện Kimball Furniture Group, LLC Tại Thành Phố Hồ Chí Minh</t>
        </is>
      </c>
      <c r="E9618" s="10" t="inlineStr">
        <is>
          <t>Thương lượng</t>
        </is>
      </c>
      <c r="F9618" s="10" t="inlineStr">
        <is>
          <t>Bình Dương, Bình Phước, Đồng Nai</t>
        </is>
      </c>
      <c r="G9618" s="10" t="inlineStr">
        <is>
          <t>Nhân viên</t>
        </is>
      </c>
      <c r="H9618" s="10" t="inlineStr">
        <is>
          <t>10/03/2026</t>
        </is>
      </c>
      <c r="I9618" s="10" t="inlineStr">
        <is>
          <t>10/04/2026</t>
        </is>
      </c>
      <c r="J9618" s="10" t="inlineStr">
        <is>
          <t>17/03/2026</t>
        </is>
      </c>
      <c r="K9618" s="10" t="inlineStr">
        <is>
          <t>N/A</t>
        </is>
      </c>
      <c r="L9618" s="10" t="inlineStr">
        <is>
          <t>Quality Inspection, Metal Casting, Plastic Molding, Kiểm Soát Chất Lượng, Kiểm Tra Chất Lượng</t>
        </is>
      </c>
      <c r="M9618" s="10" t="inlineStr">
        <is>
          <t>Bonus, Healthcare Plan, Paid Leave</t>
        </is>
      </c>
      <c r="N9618" s="11">
        <f>HYPERLINK("https://www.vietnamworks.com/quality-inspector-2021147-jv","Xem chi tiết")</f>
        <v/>
      </c>
      <c r="O9618" s="10" t="n"/>
    </row>
    <row r="9619">
      <c r="B9619" s="7" t="n">
        <v>9617</v>
      </c>
      <c r="C9619" t="inlineStr">
        <is>
          <t>Order Management Staff - Nhân Viên Quản Lý Đơn Hàng (HCM)</t>
        </is>
      </c>
      <c r="D9619" t="inlineStr">
        <is>
          <t>iMarket Viet Nam Co., Ltd</t>
        </is>
      </c>
      <c r="E9619" t="inlineStr">
        <is>
          <t>11tr-14tr ₫/tháng</t>
        </is>
      </c>
      <c r="F9619" t="inlineStr">
        <is>
          <t>Hồ Chí Minh</t>
        </is>
      </c>
      <c r="G9619" t="inlineStr">
        <is>
          <t>Mới Tốt Nghiệp</t>
        </is>
      </c>
      <c r="H9619" t="inlineStr">
        <is>
          <t>10/03/2026</t>
        </is>
      </c>
      <c r="I9619" t="inlineStr">
        <is>
          <t>10/04/2026</t>
        </is>
      </c>
      <c r="J9619" t="inlineStr">
        <is>
          <t>17/03/2026</t>
        </is>
      </c>
      <c r="K9619" t="inlineStr">
        <is>
          <t>N/A</t>
        </is>
      </c>
      <c r="L9619" t="inlineStr">
        <is>
          <t>Account Management, Business Administration, Supply Chain, Sales Administration, Good English communication</t>
        </is>
      </c>
      <c r="M9619" t="inlineStr">
        <is>
          <t>Bonus, Healthcare Plan, Paid Leave, Team Activities, Others</t>
        </is>
      </c>
      <c r="N9619" s="8">
        <f>HYPERLINK("https://www.vietnamworks.com/order-management-staff-nhan-vien-quan-ly-don-hang-hcm-2021182-jv","Xem chi tiết")</f>
        <v/>
      </c>
    </row>
    <row r="9620">
      <c r="B9620" s="9" t="n">
        <v>9618</v>
      </c>
      <c r="C9620" s="10" t="inlineStr">
        <is>
          <t>Chuyên Viên Kinh Doanh Quốc Tế - International Sales (Lương Cơ Bản Upto 25 Triệu, Ngành Mỳ)</t>
        </is>
      </c>
      <c r="D9620" s="10" t="inlineStr">
        <is>
          <t>CÔNG TY CỔ PHẦN ĐẦU TƯ A&amp;B VIỆT NAM</t>
        </is>
      </c>
      <c r="E9620" s="10" t="inlineStr">
        <is>
          <t>Tới 25tr ₫/tháng</t>
        </is>
      </c>
      <c r="F9620" s="10" t="inlineStr">
        <is>
          <t>Hà Nội, Hồ Chí Minh</t>
        </is>
      </c>
      <c r="G9620" s="10" t="inlineStr">
        <is>
          <t>Nhân viên</t>
        </is>
      </c>
      <c r="H9620" s="10" t="inlineStr">
        <is>
          <t>10/03/2026</t>
        </is>
      </c>
      <c r="I9620" s="10" t="inlineStr">
        <is>
          <t>10/04/2026</t>
        </is>
      </c>
      <c r="J9620" s="10" t="inlineStr">
        <is>
          <t>17/03/2026</t>
        </is>
      </c>
      <c r="K9620" s="10" t="inlineStr">
        <is>
          <t>N/A</t>
        </is>
      </c>
      <c r="L9620" s="10" t="inlineStr">
        <is>
          <t>Sales Export, Business Development, B2B Sales, Kinh Doanh, Kinh Nghiệm Sale Logistics</t>
        </is>
      </c>
      <c r="M9620" s="10" t="inlineStr">
        <is>
          <t>Bonus, Healthcare Plan, Training</t>
        </is>
      </c>
      <c r="N9620" s="11">
        <f>HYPERLINK("https://www.vietnamworks.com/chuyen-vien-kinh-doanh-quoc-te-international-sales-luong-co-ban-upto-25-trieu-nganh-my-2021205-jv","Xem chi tiết")</f>
        <v/>
      </c>
      <c r="O9620" s="10" t="n"/>
    </row>
    <row r="9621">
      <c r="B9621" s="7" t="n">
        <v>9619</v>
      </c>
      <c r="C9621" t="inlineStr">
        <is>
          <t>Tuyển Dụng Nhân Viên Kinh Doanh Xuất Khẩu – Thu Nhập 15 – 35 Triệu+</t>
        </is>
      </c>
      <c r="D9621" t="inlineStr">
        <is>
          <t>Công Ty TNHH Vật Liệu Nhiệt Phát Lộc</t>
        </is>
      </c>
      <c r="E9621" t="inlineStr">
        <is>
          <t>15tr-35tr ₫/tháng</t>
        </is>
      </c>
      <c r="F9621" t="inlineStr">
        <is>
          <t>Hà Nội</t>
        </is>
      </c>
      <c r="G9621" t="inlineStr">
        <is>
          <t>Nhân viên</t>
        </is>
      </c>
      <c r="H9621" t="inlineStr">
        <is>
          <t>10/03/2026</t>
        </is>
      </c>
      <c r="I9621" t="inlineStr">
        <is>
          <t>10/04/2026</t>
        </is>
      </c>
      <c r="J9621" t="inlineStr">
        <is>
          <t>17/03/2026</t>
        </is>
      </c>
      <c r="K9621" t="inlineStr">
        <is>
          <t>N/A</t>
        </is>
      </c>
      <c r="L9621" t="inlineStr">
        <is>
          <t>Kinh Doanh Quốc Tế, Phát Triển Kinh Doanh, Chăm Sóc Khách Hàng, Xuất Khẩu, Business Development</t>
        </is>
      </c>
      <c r="M9621" t="inlineStr">
        <is>
          <t>Bonus, Training, Others</t>
        </is>
      </c>
      <c r="N9621" s="8">
        <f>HYPERLINK("https://www.vietnamworks.com/tuyen-dung-nhan-vien-kinh-doanh-xuat-khau-thu-nhap-15-35-trieu-2021213-jv","Xem chi tiết")</f>
        <v/>
      </c>
    </row>
    <row r="9622">
      <c r="B9622" s="9" t="n">
        <v>9620</v>
      </c>
      <c r="C9622" s="10" t="inlineStr">
        <is>
          <t>Brand Manager (Ngành Dược)</t>
        </is>
      </c>
      <c r="D9622" s="10" t="inlineStr">
        <is>
          <t>CÔNG TY CỔ PHẦN DƯỢC AIKYA</t>
        </is>
      </c>
      <c r="E9622" s="10" t="inlineStr">
        <is>
          <t>Thương lượng</t>
        </is>
      </c>
      <c r="F9622" s="10" t="inlineStr">
        <is>
          <t>Hồ Chí Minh</t>
        </is>
      </c>
      <c r="G9622" s="10" t="inlineStr">
        <is>
          <t>Trưởng phòng</t>
        </is>
      </c>
      <c r="H9622" s="10" t="inlineStr">
        <is>
          <t>05/03/2026</t>
        </is>
      </c>
      <c r="I9622" s="10" t="inlineStr">
        <is>
          <t>10/04/2026</t>
        </is>
      </c>
      <c r="J9622" s="10" t="inlineStr">
        <is>
          <t>17/03/2026</t>
        </is>
      </c>
      <c r="K9622" s="10" t="inlineStr">
        <is>
          <t>N/A</t>
        </is>
      </c>
      <c r="L9622" s="10" t="inlineStr">
        <is>
          <t>Brand Marketing, Branding Marketing, Quản Lý Nhãn Hàng, Brand Management, Brand Promotion</t>
        </is>
      </c>
      <c r="M9622" s="10" t="inlineStr">
        <is>
          <t>Bonus, Others</t>
        </is>
      </c>
      <c r="N9622" s="11">
        <f>HYPERLINK("https://www.vietnamworks.com/brand-manager-nganh-duoc--2018818-jv","Xem chi tiết")</f>
        <v/>
      </c>
      <c r="O9622" s="10" t="n"/>
    </row>
    <row r="9623">
      <c r="B9623" s="7" t="n">
        <v>9621</v>
      </c>
      <c r="C9623" t="inlineStr">
        <is>
          <t>Nhân Viên Sales Nông Sản (Xuất Khẩu)</t>
        </is>
      </c>
      <c r="D9623" t="inlineStr">
        <is>
          <t>Công Ty Cổ Phần Tín Mai</t>
        </is>
      </c>
      <c r="E9623" t="inlineStr">
        <is>
          <t>10tr-15tr ₫/tháng</t>
        </is>
      </c>
      <c r="F9623" t="inlineStr">
        <is>
          <t>Hồ Chí Minh</t>
        </is>
      </c>
      <c r="G9623" t="inlineStr">
        <is>
          <t>Nhân viên</t>
        </is>
      </c>
      <c r="H9623" t="inlineStr">
        <is>
          <t>10/03/2026</t>
        </is>
      </c>
      <c r="I9623" t="inlineStr">
        <is>
          <t>10/04/2026</t>
        </is>
      </c>
      <c r="J9623" t="inlineStr">
        <is>
          <t>17/03/2026</t>
        </is>
      </c>
      <c r="K9623" t="inlineStr">
        <is>
          <t>N/A</t>
        </is>
      </c>
      <c r="L9623" t="inlineStr">
        <is>
          <t>B2B Sales, Export Sales, Kinh Doanh Quốc Tế, Sales xuất khẩu, Tìm Kiếm Khách Hàng</t>
        </is>
      </c>
      <c r="M9623" t="inlineStr">
        <is>
          <t>Bonus, Healthcare Plan, Awards, Travel Opportunities, Team Activities, Others</t>
        </is>
      </c>
      <c r="N9623" s="8">
        <f>HYPERLINK("https://www.vietnamworks.com/nhan-vien-sales-nong-san-xuat-khau-2021340-jv","Xem chi tiết")</f>
        <v/>
      </c>
    </row>
    <row r="9624">
      <c r="B9624" s="9" t="n">
        <v>9622</v>
      </c>
      <c r="C9624" s="10" t="inlineStr">
        <is>
          <t>Kế Toán Tổng Hợp</t>
        </is>
      </c>
      <c r="D9624" s="10" t="inlineStr">
        <is>
          <t>Vigorous Consulting Group</t>
        </is>
      </c>
      <c r="E9624" s="10" t="inlineStr">
        <is>
          <t>15tr-18tr ₫/tháng</t>
        </is>
      </c>
      <c r="F9624" s="10" t="inlineStr">
        <is>
          <t>Hồ Chí Minh</t>
        </is>
      </c>
      <c r="G9624" s="10" t="inlineStr">
        <is>
          <t>Nhân viên</t>
        </is>
      </c>
      <c r="H9624" s="10" t="inlineStr">
        <is>
          <t>10/03/2026</t>
        </is>
      </c>
      <c r="I9624" s="10" t="inlineStr">
        <is>
          <t>10/04/2026</t>
        </is>
      </c>
      <c r="J9624" s="10" t="inlineStr">
        <is>
          <t>17/03/2026</t>
        </is>
      </c>
      <c r="K9624" s="10" t="inlineStr">
        <is>
          <t>N/A</t>
        </is>
      </c>
      <c r="L9624" s="10" t="inlineStr">
        <is>
          <t>Kế Toán Tổng Hợp, Tài Chính, Kế Toán, Kiểm Toán, Kế Toán Thuế</t>
        </is>
      </c>
      <c r="M9624" s="10" t="inlineStr">
        <is>
          <t>Bonus, Healthcare Plan, Others</t>
        </is>
      </c>
      <c r="N9624" s="11">
        <f>HYPERLINK("https://www.vietnamworks.com/ke-toan-tong-hop-2021380-jv","Xem chi tiết")</f>
        <v/>
      </c>
      <c r="O9624" s="10" t="n"/>
    </row>
    <row r="9625">
      <c r="B9625" s="7" t="n">
        <v>9623</v>
      </c>
      <c r="C9625" t="inlineStr">
        <is>
          <t>[HCM] New Store Development Planning Specialist</t>
        </is>
      </c>
      <c r="D9625" t="inlineStr">
        <is>
          <t>Pizza 4P's</t>
        </is>
      </c>
      <c r="E9625" t="inlineStr">
        <is>
          <t>$$ 900-1,200 /tháng</t>
        </is>
      </c>
      <c r="F9625" t="inlineStr">
        <is>
          <t>Hồ Chí Minh</t>
        </is>
      </c>
      <c r="G9625" t="inlineStr">
        <is>
          <t>Nhân viên</t>
        </is>
      </c>
      <c r="H9625" t="inlineStr">
        <is>
          <t>11/03/2026</t>
        </is>
      </c>
      <c r="I9625" t="inlineStr">
        <is>
          <t>10/04/2026</t>
        </is>
      </c>
      <c r="J9625" t="inlineStr">
        <is>
          <t>17/03/2026</t>
        </is>
      </c>
      <c r="K9625" t="inlineStr">
        <is>
          <t>N/A</t>
        </is>
      </c>
      <c r="L9625" t="inlineStr">
        <is>
          <t>Project Managing</t>
        </is>
      </c>
      <c r="M9625" t="inlineStr">
        <is>
          <t>Bonus, Healthcare Plan, Vouchers</t>
        </is>
      </c>
      <c r="N9625" s="8">
        <f>HYPERLINK("https://www.vietnamworks.com/hcm-new-store-development-planning-specialist-2021498-jv","Xem chi tiết")</f>
        <v/>
      </c>
    </row>
    <row r="9626">
      <c r="B9626" s="9" t="n">
        <v>9624</v>
      </c>
      <c r="C9626" s="10" t="inlineStr">
        <is>
          <t xml:space="preserve">Ecommerce Operation Assistant Manager </t>
        </is>
      </c>
      <c r="D9626" s="10" t="inlineStr">
        <is>
          <t>LOTTE Mart Vietnam</t>
        </is>
      </c>
      <c r="E9626" s="10" t="inlineStr">
        <is>
          <t>10tr-14tr ₫/tháng</t>
        </is>
      </c>
      <c r="F9626" s="10" t="inlineStr">
        <is>
          <t>Hồ Chí Minh</t>
        </is>
      </c>
      <c r="G9626" s="10" t="inlineStr">
        <is>
          <t>Nhân viên</t>
        </is>
      </c>
      <c r="H9626" s="10" t="inlineStr">
        <is>
          <t>10/03/2026</t>
        </is>
      </c>
      <c r="I9626" s="10" t="inlineStr">
        <is>
          <t>10/04/2026</t>
        </is>
      </c>
      <c r="J9626" s="10" t="inlineStr">
        <is>
          <t>17/03/2026</t>
        </is>
      </c>
      <c r="K9626" s="10" t="inlineStr">
        <is>
          <t>N/A</t>
        </is>
      </c>
      <c r="L9626" s="10" t="inlineStr">
        <is>
          <t>Communication Skills, Data Analysis, E-Commerce Logistics, Operation Planning, Problem-solving</t>
        </is>
      </c>
      <c r="M9626" s="10" t="inlineStr">
        <is>
          <t>Others</t>
        </is>
      </c>
      <c r="N9626" s="11">
        <f>HYPERLINK("https://www.vietnamworks.com/ecommerce-operation-assistant-manager-2021294-jv","Xem chi tiết")</f>
        <v/>
      </c>
      <c r="O9626" s="10" t="n"/>
    </row>
    <row r="9627">
      <c r="B9627" s="7" t="n">
        <v>9625</v>
      </c>
      <c r="C9627" t="inlineStr">
        <is>
          <t>Kế Toán Tổng Hợp (Upto 35Tr + Thưởng)</t>
        </is>
      </c>
      <c r="D9627" t="inlineStr">
        <is>
          <t>Công ty Cổ phần Netma</t>
        </is>
      </c>
      <c r="E9627" t="inlineStr">
        <is>
          <t>18tr-35tr ₫/tháng</t>
        </is>
      </c>
      <c r="F9627" t="inlineStr">
        <is>
          <t>Hà Nội</t>
        </is>
      </c>
      <c r="G9627" t="inlineStr">
        <is>
          <t>Nhân viên</t>
        </is>
      </c>
      <c r="H9627" t="inlineStr">
        <is>
          <t>10/03/2026</t>
        </is>
      </c>
      <c r="I9627" t="inlineStr">
        <is>
          <t>10/04/2026</t>
        </is>
      </c>
      <c r="J9627" t="inlineStr">
        <is>
          <t>17/03/2026</t>
        </is>
      </c>
      <c r="K9627" t="inlineStr">
        <is>
          <t>N/A</t>
        </is>
      </c>
      <c r="L9627" t="inlineStr">
        <is>
          <t>Phân Tích Tài Chính, Quản Lý Dòng Tiền, Nghiệp Vụ Kế Toán, Kế Toán Tổng Hợp, Lập Báo Cáo Tài Chính</t>
        </is>
      </c>
      <c r="M9627" t="inlineStr">
        <is>
          <t>Bonus, Healthcare Plan, Paid Leave, Training, Others</t>
        </is>
      </c>
      <c r="N9627" s="8">
        <f>HYPERLINK("https://www.vietnamworks.com/ke-toan-tong-hop-upto-35tr-thuong-2021483-jv","Xem chi tiết")</f>
        <v/>
      </c>
    </row>
    <row r="9628">
      <c r="B9628" s="9" t="n">
        <v>9626</v>
      </c>
      <c r="C9628" s="10" t="inlineStr">
        <is>
          <t>Phó Giám Đốc Sản Xuất (Kem, Nước Giải Khát)</t>
        </is>
      </c>
      <c r="D9628" s="10" t="inlineStr">
        <is>
          <t>Công Ty Cổ Phần Tập Đoàn BRG</t>
        </is>
      </c>
      <c r="E9628" s="10" t="inlineStr">
        <is>
          <t>Thương lượng</t>
        </is>
      </c>
      <c r="F9628" s="10" t="inlineStr">
        <is>
          <t>Hà Nội</t>
        </is>
      </c>
      <c r="G9628" s="10" t="inlineStr">
        <is>
          <t>Giám Đốc và Cấp Cao Hơn</t>
        </is>
      </c>
      <c r="H9628" s="10" t="inlineStr">
        <is>
          <t>11/03/2026</t>
        </is>
      </c>
      <c r="I9628" s="10" t="inlineStr">
        <is>
          <t>10/04/2026</t>
        </is>
      </c>
      <c r="J9628" s="10" t="inlineStr">
        <is>
          <t>17/03/2026</t>
        </is>
      </c>
      <c r="K9628" s="10" t="inlineStr">
        <is>
          <t>N/A</t>
        </is>
      </c>
      <c r="L9628" s="10" t="inlineStr">
        <is>
          <t>Sản xuất thực phẩm, Quản Lý Sản Xuất</t>
        </is>
      </c>
      <c r="M9628" s="10" t="inlineStr">
        <is>
          <t>Bonus, Healthcare Plan, Travel Opportunities</t>
        </is>
      </c>
      <c r="N9628" s="11">
        <f>HYPERLINK("https://www.vietnamworks.com/pho-giam-doc-san-xuat-kem-nuoc-giai-khat-2021512-jv","Xem chi tiết")</f>
        <v/>
      </c>
      <c r="O9628" s="10" t="n"/>
    </row>
    <row r="9629">
      <c r="B9629" s="7" t="n">
        <v>9627</v>
      </c>
      <c r="C9629" t="inlineStr">
        <is>
          <t>Kỹ Sư MEPF</t>
        </is>
      </c>
      <c r="D9629" t="inlineStr">
        <is>
          <t>Công Ty Cổ Phần Vconic</t>
        </is>
      </c>
      <c r="E9629" t="inlineStr">
        <is>
          <t>Thương lượng</t>
        </is>
      </c>
      <c r="F9629" t="inlineStr">
        <is>
          <t>Hà Nội, Thừa Thiên Huế</t>
        </is>
      </c>
      <c r="G9629" t="inlineStr">
        <is>
          <t>Nhân viên</t>
        </is>
      </c>
      <c r="H9629" t="inlineStr">
        <is>
          <t>10/03/2026</t>
        </is>
      </c>
      <c r="I9629" t="inlineStr">
        <is>
          <t>10/04/2026</t>
        </is>
      </c>
      <c r="J9629" t="inlineStr">
        <is>
          <t>17/03/2026</t>
        </is>
      </c>
      <c r="K9629" t="inlineStr">
        <is>
          <t>N/A</t>
        </is>
      </c>
      <c r="L9629" t="inlineStr">
        <is>
          <t>MEP Design, AutoCAD Pro, BIM knowledge, Technical Analysis, Quản Lý Thiết Kế</t>
        </is>
      </c>
      <c r="M9629" t="inlineStr">
        <is>
          <t>Bonus, Healthcare Plan, Awards, Travel Opportunities, Others</t>
        </is>
      </c>
      <c r="N9629" s="8">
        <f>HYPERLINK("https://www.vietnamworks.com/ky-su-mepf-2021488-jv","Xem chi tiết")</f>
        <v/>
      </c>
    </row>
    <row r="9630">
      <c r="B9630" s="9" t="n">
        <v>9628</v>
      </c>
      <c r="C9630" s="10" t="inlineStr">
        <is>
          <t>Sales Management Assistant</t>
        </is>
      </c>
      <c r="D9630" s="10" t="inlineStr">
        <is>
          <t>3 Points Aviation Vietnam Co., Ltd</t>
        </is>
      </c>
      <c r="E9630" s="10" t="inlineStr">
        <is>
          <t>$$ 600-800 /tháng</t>
        </is>
      </c>
      <c r="F9630" s="10" t="inlineStr">
        <is>
          <t>Hà Nội</t>
        </is>
      </c>
      <c r="G9630" s="10" t="inlineStr">
        <is>
          <t>Nhân viên</t>
        </is>
      </c>
      <c r="H9630" s="10" t="inlineStr">
        <is>
          <t>11/03/2026</t>
        </is>
      </c>
      <c r="I9630" s="10" t="inlineStr">
        <is>
          <t>10/04/2026</t>
        </is>
      </c>
      <c r="J9630" s="10" t="inlineStr">
        <is>
          <t>17/03/2026</t>
        </is>
      </c>
      <c r="K9630" s="10" t="inlineStr">
        <is>
          <t>N/A</t>
        </is>
      </c>
      <c r="L9630" s="10" t="inlineStr">
        <is>
          <t>Quản Lý Kinh Doanh, Purchase Management, Sales Administration, Supply Chain Risk Management, Data Analytics</t>
        </is>
      </c>
      <c r="M9630" s="10" t="inlineStr">
        <is>
          <t>Bonus, Training, Transportation</t>
        </is>
      </c>
      <c r="N9630" s="11">
        <f>HYPERLINK("https://www.vietnamworks.com/sales-management-assistant--2021503-jv","Xem chi tiết")</f>
        <v/>
      </c>
      <c r="O9630" s="10" t="n"/>
    </row>
    <row r="9631">
      <c r="B9631" s="7" t="n">
        <v>9629</v>
      </c>
      <c r="C9631" t="inlineStr">
        <is>
          <t>Partnership Senior Executive (1 Year contract)</t>
        </is>
      </c>
      <c r="D9631" t="inlineStr">
        <is>
          <t>Panasonic Sales Vietnam</t>
        </is>
      </c>
      <c r="E9631" t="inlineStr">
        <is>
          <t>Thương lượng</t>
        </is>
      </c>
      <c r="F9631" t="inlineStr">
        <is>
          <t>Hồ Chí Minh</t>
        </is>
      </c>
      <c r="G9631" t="inlineStr">
        <is>
          <t>Nhân viên</t>
        </is>
      </c>
      <c r="H9631" t="inlineStr">
        <is>
          <t>11/03/2026</t>
        </is>
      </c>
      <c r="I9631" t="inlineStr">
        <is>
          <t>10/04/2026</t>
        </is>
      </c>
      <c r="J9631" t="inlineStr">
        <is>
          <t>17/03/2026</t>
        </is>
      </c>
      <c r="K9631" t="inlineStr">
        <is>
          <t>N/A</t>
        </is>
      </c>
      <c r="L9631" t="inlineStr">
        <is>
          <t>D2C Experience, Business Development, Ecommerce, Online Sales</t>
        </is>
      </c>
      <c r="M9631" t="inlineStr">
        <is>
          <t>Bonus, Paid Leave, Laptop</t>
        </is>
      </c>
      <c r="N9631" s="8">
        <f>HYPERLINK("https://www.vietnamworks.com/partnership-senior-executive-1-year-contract-2021513-jv","Xem chi tiết")</f>
        <v/>
      </c>
    </row>
    <row r="9632">
      <c r="B9632" s="9" t="n">
        <v>9630</v>
      </c>
      <c r="C9632" s="10" t="inlineStr">
        <is>
          <t>Nhân Viên Khai Báo Tờ Khai Hải Quan</t>
        </is>
      </c>
      <c r="D9632" s="10" t="inlineStr">
        <is>
          <t>Công Ty TNHH Vận Chuyển Hải Thiên (Việt Nam)</t>
        </is>
      </c>
      <c r="E9632" s="10" t="inlineStr">
        <is>
          <t>Thương lượng</t>
        </is>
      </c>
      <c r="F9632" s="10" t="inlineStr">
        <is>
          <t>Hồ Chí Minh</t>
        </is>
      </c>
      <c r="G9632" s="10" t="inlineStr">
        <is>
          <t>Nhân viên</t>
        </is>
      </c>
      <c r="H9632" s="10" t="inlineStr">
        <is>
          <t>10/03/2026</t>
        </is>
      </c>
      <c r="I9632" s="10" t="inlineStr">
        <is>
          <t>10/04/2026</t>
        </is>
      </c>
      <c r="J9632" s="10" t="inlineStr">
        <is>
          <t>17/03/2026</t>
        </is>
      </c>
      <c r="K9632" s="10" t="inlineStr">
        <is>
          <t>N/A</t>
        </is>
      </c>
      <c r="L9632" s="10" t="inlineStr">
        <is>
          <t>Tờ Khai Hải Quan, Quản Lý Kho Hàng Hóa, VNACCS, Chứng Từ Xuất Nhập Khẩu, Thủ Tục Hải Quan</t>
        </is>
      </c>
      <c r="M9632" s="10" t="inlineStr">
        <is>
          <t>Bonus, Healthcare Plan, Training, Awards, Team Activities, Others</t>
        </is>
      </c>
      <c r="N9632" s="11">
        <f>HYPERLINK("https://www.vietnamworks.com/nhan-vien-khai-bao-to-khai-hai-quan-2021466-jv","Xem chi tiết")</f>
        <v/>
      </c>
      <c r="O9632" s="10" t="n"/>
    </row>
    <row r="9633">
      <c r="B9633" s="7" t="n">
        <v>9631</v>
      </c>
      <c r="C9633" t="inlineStr">
        <is>
          <t>Chuyên Viên/ Nhân Viên Kinh Doanh Bảo hiểm Bệnh hiểm nghèo</t>
        </is>
      </c>
      <c r="D9633" t="inlineStr">
        <is>
          <t>Công Ty Cổ Phần Tư Vấn Global Care</t>
        </is>
      </c>
      <c r="E9633" t="inlineStr">
        <is>
          <t>$$ 500-1,000 /tháng</t>
        </is>
      </c>
      <c r="F9633" t="inlineStr">
        <is>
          <t>Hồ Chí Minh, Hà Nội</t>
        </is>
      </c>
      <c r="G9633" t="inlineStr">
        <is>
          <t>Nhân viên</t>
        </is>
      </c>
      <c r="H9633" t="inlineStr">
        <is>
          <t>10/03/2026</t>
        </is>
      </c>
      <c r="I9633" t="inlineStr">
        <is>
          <t>10/04/2026</t>
        </is>
      </c>
      <c r="J9633" t="inlineStr">
        <is>
          <t>17/03/2026</t>
        </is>
      </c>
      <c r="K9633" t="inlineStr">
        <is>
          <t>N/A</t>
        </is>
      </c>
      <c r="L9633" t="inlineStr">
        <is>
          <t>Bán Hàng, Chăm Sóc Khách Hàng, Bảo Hiểm, Kinh Doanh Bảo Hiểm, Tư Vấn Bảo Hiểm</t>
        </is>
      </c>
      <c r="M9633" t="inlineStr">
        <is>
          <t>Bonus, Healthcare Plan, Paid Leave, Training, Travel Opportunities</t>
        </is>
      </c>
      <c r="N9633" s="8">
        <f>HYPERLINK("https://www.vietnamworks.com/chuyen-vien-nhan-vien-kinh-doanh-bao-hiem-benh-hiem-ngheo-2021433-jv","Xem chi tiết")</f>
        <v/>
      </c>
    </row>
    <row r="9634">
      <c r="B9634" s="9" t="n">
        <v>9632</v>
      </c>
      <c r="C9634" s="10" t="inlineStr">
        <is>
          <t>Chuyên Viên Thanh Tra Xây Dựng (MEP)</t>
        </is>
      </c>
      <c r="D9634" s="10" t="inlineStr">
        <is>
          <t>Trung Thuy Group</t>
        </is>
      </c>
      <c r="E9634" s="10" t="inlineStr">
        <is>
          <t>$$ 30-35 /tháng</t>
        </is>
      </c>
      <c r="F9634" s="10" t="inlineStr">
        <is>
          <t>Hồ Chí Minh</t>
        </is>
      </c>
      <c r="G9634" s="10" t="inlineStr">
        <is>
          <t>Nhân viên</t>
        </is>
      </c>
      <c r="H9634" s="10" t="inlineStr">
        <is>
          <t>10/03/2026</t>
        </is>
      </c>
      <c r="I9634" s="10" t="inlineStr">
        <is>
          <t>10/04/2026</t>
        </is>
      </c>
      <c r="J9634" s="10" t="inlineStr">
        <is>
          <t>17/03/2026</t>
        </is>
      </c>
      <c r="K9634" s="10" t="inlineStr">
        <is>
          <t>N/A</t>
        </is>
      </c>
      <c r="L9634" s="10" t="inlineStr">
        <is>
          <t>MEP, Kiểm Soát Nội Bộ, Quản Lý Dự Án, Inspection, Bất Động Sản</t>
        </is>
      </c>
      <c r="M9634" s="10" t="inlineStr">
        <is>
          <t>Healthcare Plan, Canteen</t>
        </is>
      </c>
      <c r="N9634" s="11">
        <f>HYPERLINK("https://www.vietnamworks.com/chuyen-vien-thanh-tra-xay-dung-mep-2021425-jv","Xem chi tiết")</f>
        <v/>
      </c>
      <c r="O9634" s="10" t="n"/>
    </row>
    <row r="9635">
      <c r="B9635" s="7" t="n">
        <v>9633</v>
      </c>
      <c r="C9635" t="inlineStr">
        <is>
          <t>Commercial Senior Planner</t>
        </is>
      </c>
      <c r="D9635" t="inlineStr">
        <is>
          <t>Maker Sixty Four</t>
        </is>
      </c>
      <c r="E9635" t="inlineStr">
        <is>
          <t>Thương lượng</t>
        </is>
      </c>
      <c r="F9635" t="inlineStr">
        <is>
          <t>Hồ Chí Minh</t>
        </is>
      </c>
      <c r="G9635" t="inlineStr">
        <is>
          <t>Nhân viên</t>
        </is>
      </c>
      <c r="H9635" t="inlineStr">
        <is>
          <t>10/03/2026</t>
        </is>
      </c>
      <c r="I9635" t="inlineStr">
        <is>
          <t>10/04/2026</t>
        </is>
      </c>
      <c r="J9635" t="inlineStr">
        <is>
          <t>17/03/2026</t>
        </is>
      </c>
      <c r="K9635" t="inlineStr">
        <is>
          <t>N/A</t>
        </is>
      </c>
      <c r="L9635" t="inlineStr">
        <is>
          <t>Supply Planning, Forecast Management, Task Coordination, Data Analysis, Stakeholder Management</t>
        </is>
      </c>
      <c r="M9635" t="inlineStr">
        <is>
          <t>Healthcare Plan, Paid Leave, Transportation, Others</t>
        </is>
      </c>
      <c r="N9635" s="8">
        <f>HYPERLINK("https://www.vietnamworks.com/commercial-senior-planner-2021229-jv","Xem chi tiết")</f>
        <v/>
      </c>
    </row>
    <row r="9636">
      <c r="B9636" s="9" t="n">
        <v>9634</v>
      </c>
      <c r="C9636" s="10" t="inlineStr">
        <is>
          <t>Trưởng bộ phận Vận Hành Sàn Thương mại điện tử</t>
        </is>
      </c>
      <c r="D9636" s="10" t="inlineStr">
        <is>
          <t>CÔNG TY TNHH THƯƠNG MẠI VÀ DỊCH VỤ OZOVN</t>
        </is>
      </c>
      <c r="E9636" s="10" t="inlineStr">
        <is>
          <t>20tr-25tr ₫/tháng</t>
        </is>
      </c>
      <c r="F9636" s="10" t="inlineStr">
        <is>
          <t>Hà Nội</t>
        </is>
      </c>
      <c r="G9636" s="10" t="inlineStr">
        <is>
          <t>Trưởng phòng</t>
        </is>
      </c>
      <c r="H9636" s="10" t="inlineStr">
        <is>
          <t>10/03/2026</t>
        </is>
      </c>
      <c r="I9636" s="10" t="inlineStr">
        <is>
          <t>10/04/2026</t>
        </is>
      </c>
      <c r="J9636" s="10" t="inlineStr">
        <is>
          <t>17/03/2026</t>
        </is>
      </c>
      <c r="K9636" s="10" t="inlineStr">
        <is>
          <t>N/A</t>
        </is>
      </c>
      <c r="L9636" s="10" t="inlineStr">
        <is>
          <t>Kinh Doanh, Phân Tích Số Liệu, Phát Triển Chiến Lược, Quản Lý Đội Nhóm, Quảng Cáo</t>
        </is>
      </c>
      <c r="M9636" s="10" t="inlineStr">
        <is>
          <t>Bonus, Paid Leave, Team Activities, Others</t>
        </is>
      </c>
      <c r="N9636" s="11">
        <f>HYPERLINK("https://www.vietnamworks.com/truong-bo-phan-van-hanh-san-thuong-mai-djien-tu-2021255-jv","Xem chi tiết")</f>
        <v/>
      </c>
      <c r="O9636" s="10" t="n"/>
    </row>
    <row r="9637">
      <c r="B9637" s="7" t="n">
        <v>9635</v>
      </c>
      <c r="C9637" t="inlineStr">
        <is>
          <t>Chuyên Viên Chính Xử Lý Nợ</t>
        </is>
      </c>
      <c r="D9637" t="inlineStr">
        <is>
          <t>Ngân Hàng Thương Mại Cổ Phần Bảo Việt</t>
        </is>
      </c>
      <c r="E9637" t="inlineStr">
        <is>
          <t>Thương lượng</t>
        </is>
      </c>
      <c r="F9637" t="inlineStr">
        <is>
          <t>Hà Nội, Hồ Chí Minh</t>
        </is>
      </c>
      <c r="G9637" t="inlineStr">
        <is>
          <t>Nhân viên</t>
        </is>
      </c>
      <c r="H9637" t="inlineStr">
        <is>
          <t>11/03/2026</t>
        </is>
      </c>
      <c r="I9637" t="inlineStr">
        <is>
          <t>10/04/2026</t>
        </is>
      </c>
      <c r="J9637" t="inlineStr">
        <is>
          <t>17/03/2026</t>
        </is>
      </c>
      <c r="K9637" t="inlineStr">
        <is>
          <t>N/A</t>
        </is>
      </c>
      <c r="L9637" t="inlineStr">
        <is>
          <t>Xử Lý Nợ, Nghiệp Vụ Tín Dụng, Quản Lý Rủi Ro Tín Dụng, Luật Kinh Tế, Xử Lý Tình Huống</t>
        </is>
      </c>
      <c r="M9637" t="inlineStr">
        <is>
          <t>Bonus, Healthcare Plan, Travel Opportunities</t>
        </is>
      </c>
      <c r="N9637" s="8">
        <f>HYPERLINK("https://www.vietnamworks.com/chuyen-vien-chinh-xu-ly-no--2021506-jv","Xem chi tiết")</f>
        <v/>
      </c>
    </row>
    <row r="9638">
      <c r="B9638" s="9" t="n">
        <v>9636</v>
      </c>
      <c r="C9638" s="10" t="inlineStr">
        <is>
          <t>Kỹ Sư Điều Hoà Thông Gió (HVAC) - Thu Nhập Lên Tới 40 Triệu/tháng!</t>
        </is>
      </c>
      <c r="D9638" s="10" t="inlineStr">
        <is>
          <t>Công Ty Cổ Phần Thương Mại Cơ Điện Lạnh Hồng Phúc</t>
        </is>
      </c>
      <c r="E9638" s="10" t="inlineStr">
        <is>
          <t>18tr-40tr ₫/tháng</t>
        </is>
      </c>
      <c r="F9638" s="10" t="inlineStr">
        <is>
          <t>Hà Nội</t>
        </is>
      </c>
      <c r="G9638" s="10" t="inlineStr">
        <is>
          <t>Nhân viên</t>
        </is>
      </c>
      <c r="H9638" s="10" t="inlineStr">
        <is>
          <t>10/03/2026</t>
        </is>
      </c>
      <c r="I9638" s="10" t="inlineStr">
        <is>
          <t>10/04/2026</t>
        </is>
      </c>
      <c r="J9638" s="10" t="inlineStr">
        <is>
          <t>17/03/2026</t>
        </is>
      </c>
      <c r="K9638" s="10" t="inlineStr">
        <is>
          <t>N/A</t>
        </is>
      </c>
      <c r="L9638" s="10" t="inlineStr">
        <is>
          <t>Chỉ Huy Công Trình, Giám Sát Công Trình, HVAC, HVAC Design, QS</t>
        </is>
      </c>
      <c r="M9638" s="10" t="inlineStr">
        <is>
          <t>Bonus, Healthcare Plan, Training, Team Activities, Others</t>
        </is>
      </c>
      <c r="N9638" s="11">
        <f>HYPERLINK("https://www.vietnamworks.com/ky-su-dieu-hoa-thong-gio-hvac-thu-nhap-len-toi-40-trieu-thang-2021472-jv","Xem chi tiết")</f>
        <v/>
      </c>
      <c r="O9638" s="10" t="n"/>
    </row>
    <row r="9639">
      <c r="B9639" s="7" t="n">
        <v>9637</v>
      </c>
      <c r="C9639" t="inlineStr">
        <is>
          <t>Trưởng Phòng Performace</t>
        </is>
      </c>
      <c r="D9639" t="inlineStr">
        <is>
          <t>CÔNG TY TNHH THƯƠNG MẠI VÀ DỊCH VỤ OZOVN</t>
        </is>
      </c>
      <c r="E9639" t="inlineStr">
        <is>
          <t>30tr-45tr ₫/tháng</t>
        </is>
      </c>
      <c r="F9639" t="inlineStr">
        <is>
          <t>Hà Nội</t>
        </is>
      </c>
      <c r="G9639" t="inlineStr">
        <is>
          <t>Trưởng phòng</t>
        </is>
      </c>
      <c r="H9639" t="inlineStr">
        <is>
          <t>11/03/2026</t>
        </is>
      </c>
      <c r="I9639" t="inlineStr">
        <is>
          <t>10/04/2026</t>
        </is>
      </c>
      <c r="J9639" t="inlineStr">
        <is>
          <t>17/03/2026</t>
        </is>
      </c>
      <c r="K9639" t="inlineStr">
        <is>
          <t>N/A</t>
        </is>
      </c>
      <c r="L9639" t="inlineStr">
        <is>
          <t>Conversion Rate Optimization, Data Analysis, Digital Marketing, Performance Marketing, Team Management</t>
        </is>
      </c>
      <c r="M9639" t="inlineStr">
        <is>
          <t>Bonus, Paid Leave, Training, Team Activities, Others</t>
        </is>
      </c>
      <c r="N9639" s="8">
        <f>HYPERLINK("https://www.vietnamworks.com/truong-phong-performace-2021511-jv","Xem chi tiết")</f>
        <v/>
      </c>
    </row>
    <row r="9640">
      <c r="B9640" s="9" t="n">
        <v>9638</v>
      </c>
      <c r="C9640" s="10" t="inlineStr">
        <is>
          <t>Phó Giám Đốc Phòng Giao Dịch Phụ Trách Vận Hành - [BAC A BANK - Chi Nhánh Hải Phòng]</t>
        </is>
      </c>
      <c r="D9640" s="10" t="inlineStr">
        <is>
          <t>Bắc Á Bank - Https://tuyendung.baca-Bank.vn/</t>
        </is>
      </c>
      <c r="E9640" s="10" t="inlineStr">
        <is>
          <t>Thương lượng</t>
        </is>
      </c>
      <c r="F9640" s="10" t="inlineStr">
        <is>
          <t>Hải Phòng</t>
        </is>
      </c>
      <c r="G9640" s="10" t="inlineStr">
        <is>
          <t>Trưởng phòng</t>
        </is>
      </c>
      <c r="H9640" s="10" t="inlineStr">
        <is>
          <t>11/03/2026</t>
        </is>
      </c>
      <c r="I9640" s="10" t="inlineStr">
        <is>
          <t>10/04/2026</t>
        </is>
      </c>
      <c r="J9640" s="10" t="inlineStr">
        <is>
          <t>17/03/2026</t>
        </is>
      </c>
      <c r="K9640" s="10" t="inlineStr">
        <is>
          <t>N/A</t>
        </is>
      </c>
      <c r="L9640" s="10" t="inlineStr">
        <is>
          <t>Quản Lý, Kinh Tế, ngân hàng, Vận Hành, Huy Động Vốn</t>
        </is>
      </c>
      <c r="M9640" s="10" t="inlineStr">
        <is>
          <t>Bonus, Healthcare Plan, Training, Others</t>
        </is>
      </c>
      <c r="N9640" s="11">
        <f>HYPERLINK("https://www.vietnamworks.com/pho-giam-djoc-phong-giao-dich-phu-trach-van-hanh-bac-a-bank-chi-nhanh-hai-phong-2021514-jv","Xem chi tiết")</f>
        <v/>
      </c>
      <c r="O9640" s="10" t="n"/>
    </row>
    <row r="9641">
      <c r="B9641" s="7" t="n">
        <v>9639</v>
      </c>
      <c r="C9641" t="inlineStr">
        <is>
          <t>Production Supervisor Leader</t>
        </is>
      </c>
      <c r="D9641" t="inlineStr">
        <is>
          <t>Coherent Vietnam</t>
        </is>
      </c>
      <c r="E9641" t="inlineStr">
        <is>
          <t>$$ 1,500-2,000 /tháng</t>
        </is>
      </c>
      <c r="F9641" t="inlineStr">
        <is>
          <t>Hồ Chí Minh</t>
        </is>
      </c>
      <c r="G9641" t="inlineStr">
        <is>
          <t>Trưởng phòng</t>
        </is>
      </c>
      <c r="H9641" t="inlineStr">
        <is>
          <t>11/03/2026</t>
        </is>
      </c>
      <c r="I9641" t="inlineStr">
        <is>
          <t>10/04/2026</t>
        </is>
      </c>
      <c r="J9641" t="inlineStr">
        <is>
          <t>17/03/2026</t>
        </is>
      </c>
      <c r="K9641" t="inlineStr">
        <is>
          <t>N/A</t>
        </is>
      </c>
      <c r="L9641" t="inlineStr">
        <is>
          <t>Quản Lý Sản Xuất, Production Management, Problem Solving, People Management, Giám Sát Sản Xuất</t>
        </is>
      </c>
      <c r="M9641" t="inlineStr">
        <is>
          <t>Bonus, Healthcare Plan, Transportation</t>
        </is>
      </c>
      <c r="N9641" s="8">
        <f>HYPERLINK("https://www.vietnamworks.com/production-supervisor-leader-2021500-jv","Xem chi tiết")</f>
        <v/>
      </c>
    </row>
    <row r="9642">
      <c r="B9642" s="9" t="n">
        <v>9640</v>
      </c>
      <c r="C9642" s="10" t="inlineStr">
        <is>
          <t>Trưởng Bộ Phận Phát Triển Dịch Vụ</t>
        </is>
      </c>
      <c r="D9642" s="10" t="inlineStr">
        <is>
          <t>Tập Đoàn CEO</t>
        </is>
      </c>
      <c r="E9642" s="10" t="inlineStr">
        <is>
          <t>Thương lượng</t>
        </is>
      </c>
      <c r="F9642" s="10" t="inlineStr">
        <is>
          <t>Hà Nội, Quảng Ninh, Kiên Giang</t>
        </is>
      </c>
      <c r="G9642" s="10" t="inlineStr">
        <is>
          <t>Trưởng phòng</t>
        </is>
      </c>
      <c r="H9642" s="10" t="inlineStr">
        <is>
          <t>11/03/2026</t>
        </is>
      </c>
      <c r="I9642" s="10" t="inlineStr">
        <is>
          <t>10/04/2026</t>
        </is>
      </c>
      <c r="J9642" s="10" t="inlineStr">
        <is>
          <t>17/03/2026</t>
        </is>
      </c>
      <c r="K9642" s="10" t="inlineStr">
        <is>
          <t>N/A</t>
        </is>
      </c>
      <c r="L9642" s="10" t="inlineStr">
        <is>
          <t>Quản Trị Kinh Doanh, Marketing Development, Quản Lý Chuỗi Siêu Thị, Tiếng Trung Giao Tiếp, Du Lịch Khách Sạn</t>
        </is>
      </c>
      <c r="M9642" s="10" t="inlineStr">
        <is>
          <t>Paid Leave, Travel Opportunities, Canteen</t>
        </is>
      </c>
      <c r="N9642" s="11">
        <f>HYPERLINK("https://www.vietnamworks.com/truong-bo-phan-phat-trien-dich-vu-2021522-jv","Xem chi tiết")</f>
        <v/>
      </c>
      <c r="O9642" s="10" t="n"/>
    </row>
    <row r="9643">
      <c r="B9643" s="7" t="n">
        <v>9641</v>
      </c>
      <c r="C9643" t="inlineStr">
        <is>
          <t>Area Sales Executive (GT, Open for Fresh Graduates)</t>
        </is>
      </c>
      <c r="D9643" t="inlineStr">
        <is>
          <t>Panasonic Sales Vietnam</t>
        </is>
      </c>
      <c r="E9643" t="inlineStr">
        <is>
          <t>Thương lượng</t>
        </is>
      </c>
      <c r="F9643" t="inlineStr">
        <is>
          <t>Hồ Chí Minh, Đà Nẵng</t>
        </is>
      </c>
      <c r="G9643" t="inlineStr">
        <is>
          <t>Nhân viên</t>
        </is>
      </c>
      <c r="H9643" t="inlineStr">
        <is>
          <t>11/03/2026</t>
        </is>
      </c>
      <c r="I9643" t="inlineStr">
        <is>
          <t>10/04/2026</t>
        </is>
      </c>
      <c r="J9643" t="inlineStr">
        <is>
          <t>17/03/2026</t>
        </is>
      </c>
      <c r="K9643" t="inlineStr">
        <is>
          <t>N/A</t>
        </is>
      </c>
      <c r="L9643" t="inlineStr">
        <is>
          <t>Key Account Management, Trade Marketing, Modern Trade, General Trade, Sales &amp; Marketing</t>
        </is>
      </c>
      <c r="M9643" t="inlineStr">
        <is>
          <t>Bonus, Paid Leave, Laptop</t>
        </is>
      </c>
      <c r="N9643" s="8">
        <f>HYPERLINK("https://www.vietnamworks.com/area-sales-executive-gt-open-for-fresh-graduates--2021515-jv","Xem chi tiết")</f>
        <v/>
      </c>
    </row>
    <row r="9644">
      <c r="B9644" s="9" t="n">
        <v>9642</v>
      </c>
      <c r="C9644" s="10" t="inlineStr">
        <is>
          <t>Kỹ Sư Trưởng (Chief Engineer)</t>
        </is>
      </c>
      <c r="D9644" s="10" t="inlineStr">
        <is>
          <t>China Construction (S.e.a) Co.ltd</t>
        </is>
      </c>
      <c r="E9644" s="10" t="inlineStr">
        <is>
          <t>Thương lượng</t>
        </is>
      </c>
      <c r="F9644" s="10" t="inlineStr">
        <is>
          <t>Hồ Chí Minh</t>
        </is>
      </c>
      <c r="G9644" s="10" t="inlineStr">
        <is>
          <t>Trưởng phòng</t>
        </is>
      </c>
      <c r="H9644" s="10" t="inlineStr">
        <is>
          <t>11/03/2026</t>
        </is>
      </c>
      <c r="I9644" s="10" t="inlineStr">
        <is>
          <t>10/04/2026</t>
        </is>
      </c>
      <c r="J9644" s="10" t="inlineStr">
        <is>
          <t>17/03/2026</t>
        </is>
      </c>
      <c r="K9644" s="10" t="inlineStr">
        <is>
          <t>N/A</t>
        </is>
      </c>
      <c r="L9644" s="10" t="inlineStr">
        <is>
          <t>Quản Lý Dự Án, Giám Sát Công Trình, Tư Vấn Kỹ Thuật, Xây Dựng Công Nghiệp, Xây Dựng Dân Dụng</t>
        </is>
      </c>
      <c r="M9644" s="10" t="inlineStr">
        <is>
          <t>Bonus, Healthcare Plan, Awards</t>
        </is>
      </c>
      <c r="N9644" s="11">
        <f>HYPERLINK("https://www.vietnamworks.com/ky-su-truong-chief-engineer-2021532-jv","Xem chi tiết")</f>
        <v/>
      </c>
      <c r="O9644" s="10" t="n"/>
    </row>
    <row r="9645">
      <c r="B9645" s="7" t="n">
        <v>9643</v>
      </c>
      <c r="C9645" t="inlineStr">
        <is>
          <t>Chuyên Viên Kinh Tế Xây Dựng</t>
        </is>
      </c>
      <c r="D9645" t="inlineStr">
        <is>
          <t>Tập Đoàn CEO</t>
        </is>
      </c>
      <c r="E9645" t="inlineStr">
        <is>
          <t>Thương lượng</t>
        </is>
      </c>
      <c r="F9645" t="inlineStr">
        <is>
          <t>Hà Nội</t>
        </is>
      </c>
      <c r="G9645" t="inlineStr">
        <is>
          <t>Nhân viên</t>
        </is>
      </c>
      <c r="H9645" t="inlineStr">
        <is>
          <t>11/03/2026</t>
        </is>
      </c>
      <c r="I9645" t="inlineStr">
        <is>
          <t>10/04/2026</t>
        </is>
      </c>
      <c r="J9645" t="inlineStr">
        <is>
          <t>17/03/2026</t>
        </is>
      </c>
      <c r="K9645" t="inlineStr">
        <is>
          <t>N/A</t>
        </is>
      </c>
      <c r="L9645" t="inlineStr">
        <is>
          <t>Kinh Tế Xây Dựng, Bàn Giao Nghiệm Thu, Hồ Sơ Hoàn Công, Lập Hồ Sơ Dự Toán, Thanh Quyết Toán</t>
        </is>
      </c>
      <c r="M9645" t="inlineStr">
        <is>
          <t>Paid Leave, Travel Opportunities, Canteen</t>
        </is>
      </c>
      <c r="N9645" s="8">
        <f>HYPERLINK("https://www.vietnamworks.com/chuyen-vien-kinh-te-xay-dung-2021521-jv","Xem chi tiết")</f>
        <v/>
      </c>
    </row>
    <row r="9646">
      <c r="B9646" s="9" t="n">
        <v>9644</v>
      </c>
      <c r="C9646" s="10" t="inlineStr">
        <is>
          <t>Chuyên Viên Kinh Doanh Nhựa Công Nghiệp – Lương Cứng Upto 17 Triệu + Thưởng Doanh Số, Hoa Hồng</t>
        </is>
      </c>
      <c r="D9646" s="10" t="inlineStr">
        <is>
          <t>Công Ty Cổ Phần 2R Việt Nam</t>
        </is>
      </c>
      <c r="E9646" s="10" t="inlineStr">
        <is>
          <t>35tr-40tr ₫/tháng</t>
        </is>
      </c>
      <c r="F9646" s="10" t="inlineStr">
        <is>
          <t>Hà Nội</t>
        </is>
      </c>
      <c r="G9646" s="10" t="inlineStr">
        <is>
          <t>Nhân viên</t>
        </is>
      </c>
      <c r="H9646" s="10" t="inlineStr">
        <is>
          <t>11/03/2026</t>
        </is>
      </c>
      <c r="I9646" s="10" t="inlineStr">
        <is>
          <t>10/04/2026</t>
        </is>
      </c>
      <c r="J9646" s="10" t="inlineStr">
        <is>
          <t>17/03/2026</t>
        </is>
      </c>
      <c r="K9646" s="10" t="inlineStr">
        <is>
          <t>N/A</t>
        </is>
      </c>
      <c r="L9646" s="10" t="inlineStr">
        <is>
          <t>Kinh Doanh, Bán Hàng, Bán Hạt Nhựa, Nhựa Công Nghiệp, Bán Hàng Kỹ Thuật</t>
        </is>
      </c>
      <c r="M9646" s="10" t="inlineStr">
        <is>
          <t>Bonus, Healthcare Plan, Paid Leave, Training, Others</t>
        </is>
      </c>
      <c r="N9646" s="11">
        <f>HYPERLINK("https://www.vietnamworks.com/chuyen-vien-kinh-doanh-nhua-cong-nghiep-luong-cung-upto-17-trieu-thuong-doanh-so-hoa-hong-2021538-jv","Xem chi tiết")</f>
        <v/>
      </c>
      <c r="O9646" s="10" t="n"/>
    </row>
    <row r="9647">
      <c r="B9647" s="7" t="n">
        <v>9645</v>
      </c>
      <c r="C9647" t="inlineStr">
        <is>
          <t>Nhân Viên Kinh Doanh Air Coload</t>
        </is>
      </c>
      <c r="D9647" t="inlineStr">
        <is>
          <t>CÔNG TY CỔ PHẦN SMART HUB AVIATION</t>
        </is>
      </c>
      <c r="E9647" t="inlineStr">
        <is>
          <t>$$ 400-1,000 /tháng</t>
        </is>
      </c>
      <c r="F9647" t="inlineStr">
        <is>
          <t>Hà Nội, Hồ Chí Minh</t>
        </is>
      </c>
      <c r="G9647" t="inlineStr">
        <is>
          <t>Nhân viên</t>
        </is>
      </c>
      <c r="H9647" t="inlineStr">
        <is>
          <t>11/03/2026</t>
        </is>
      </c>
      <c r="I9647" t="inlineStr">
        <is>
          <t>10/04/2026</t>
        </is>
      </c>
      <c r="J9647" t="inlineStr">
        <is>
          <t>17/03/2026</t>
        </is>
      </c>
      <c r="K9647" t="inlineStr">
        <is>
          <t>N/A</t>
        </is>
      </c>
      <c r="L9647" t="inlineStr">
        <is>
          <t>Sales logistics, Logistics, Air Freight Experience, Consolidation Service, Sales growth strategies</t>
        </is>
      </c>
      <c r="M9647" t="inlineStr">
        <is>
          <t>Bonus</t>
        </is>
      </c>
      <c r="N9647" s="8">
        <f>HYPERLINK("https://www.vietnamworks.com/nhan-vien-kinh-doanh-air-coload--2021527-jv","Xem chi tiết")</f>
        <v/>
      </c>
    </row>
    <row r="9648">
      <c r="B9648" s="9" t="n">
        <v>9646</v>
      </c>
      <c r="C9648" s="10" t="inlineStr">
        <is>
          <t>Engineer, Advanced Quality Planning (AQP - QA - Expanding Plant)</t>
        </is>
      </c>
      <c r="D9648" s="10" t="inlineStr">
        <is>
          <t>Molex Vietnam Co., Ltd.</t>
        </is>
      </c>
      <c r="E9648" s="10" t="inlineStr">
        <is>
          <t>Thương lượng</t>
        </is>
      </c>
      <c r="F9648" s="10" t="inlineStr">
        <is>
          <t>Hưng Yên</t>
        </is>
      </c>
      <c r="G9648" s="10" t="inlineStr">
        <is>
          <t>Nhân viên</t>
        </is>
      </c>
      <c r="H9648" s="10" t="inlineStr">
        <is>
          <t>11/03/2026</t>
        </is>
      </c>
      <c r="I9648" s="10" t="inlineStr">
        <is>
          <t>10/04/2026</t>
        </is>
      </c>
      <c r="J9648" s="10" t="inlineStr">
        <is>
          <t>17/03/2026</t>
        </is>
      </c>
      <c r="K9648" s="10" t="inlineStr">
        <is>
          <t>N/A</t>
        </is>
      </c>
      <c r="L9648" s="10" t="inlineStr">
        <is>
          <t>N/A</t>
        </is>
      </c>
      <c r="M9648" s="10" t="inlineStr">
        <is>
          <t>Bonus, Healthcare Plan, Paid Leave, Team Activities, Transportation, Canteen, Others</t>
        </is>
      </c>
      <c r="N9648" s="11">
        <f>HYPERLINK("https://www.vietnamworks.com/engineer-advanced-quality-planning-aqp-qa-expanding-plant-2021519-jv","Xem chi tiết")</f>
        <v/>
      </c>
      <c r="O9648" s="10" t="n"/>
    </row>
    <row r="9649">
      <c r="B9649" s="7" t="n">
        <v>9647</v>
      </c>
      <c r="C9649" t="inlineStr">
        <is>
          <t>Partnership Executive</t>
        </is>
      </c>
      <c r="D9649" t="inlineStr">
        <is>
          <t>Công Ty Cổ Phần Công Nghệ Sapo</t>
        </is>
      </c>
      <c r="E9649" t="inlineStr">
        <is>
          <t>Thương lượng</t>
        </is>
      </c>
      <c r="F9649" t="inlineStr">
        <is>
          <t>Hà Nội</t>
        </is>
      </c>
      <c r="G9649" t="inlineStr">
        <is>
          <t>Nhân viên</t>
        </is>
      </c>
      <c r="H9649" t="inlineStr">
        <is>
          <t>11/03/2026</t>
        </is>
      </c>
      <c r="I9649" t="inlineStr">
        <is>
          <t>10/04/2026</t>
        </is>
      </c>
      <c r="J9649" t="inlineStr">
        <is>
          <t>17/03/2026</t>
        </is>
      </c>
      <c r="K9649" t="inlineStr">
        <is>
          <t>N/A</t>
        </is>
      </c>
      <c r="L9649" t="inlineStr">
        <is>
          <t>B2B Marketing, Communication, Event Management, Kinh Doanh B2B, Partnership Relation</t>
        </is>
      </c>
      <c r="M9649" t="inlineStr">
        <is>
          <t>Bonus, Healthcare Plan, Training, Others</t>
        </is>
      </c>
      <c r="N9649" s="8">
        <f>HYPERLINK("https://www.vietnamworks.com/partnership-executive-2021531-jv","Xem chi tiết")</f>
        <v/>
      </c>
    </row>
    <row r="9650">
      <c r="B9650" s="9" t="n">
        <v>9648</v>
      </c>
      <c r="C9650" s="10" t="inlineStr">
        <is>
          <t>Operation Executive/Nhân Viên Chứng Từ Khai Báo HQ</t>
        </is>
      </c>
      <c r="D9650" s="10" t="inlineStr">
        <is>
          <t>Công Ty Cổ Phần Giao Nhận Ygc Việt Nam ( Ygc Logistics JSC)</t>
        </is>
      </c>
      <c r="E9650" s="10" t="inlineStr">
        <is>
          <t>Thương lượng</t>
        </is>
      </c>
      <c r="F9650" s="10" t="inlineStr">
        <is>
          <t>Hà Nội</t>
        </is>
      </c>
      <c r="G9650" s="10" t="inlineStr">
        <is>
          <t>Nhân viên</t>
        </is>
      </c>
      <c r="H9650" s="10" t="inlineStr">
        <is>
          <t>11/03/2026</t>
        </is>
      </c>
      <c r="I9650" s="10" t="inlineStr">
        <is>
          <t>10/04/2026</t>
        </is>
      </c>
      <c r="J9650" s="10" t="inlineStr">
        <is>
          <t>17/03/2026</t>
        </is>
      </c>
      <c r="K9650" s="10" t="inlineStr">
        <is>
          <t>N/A</t>
        </is>
      </c>
      <c r="L9650" s="10" t="inlineStr">
        <is>
          <t>Xuất Nhập Khẩu, Chứng Từ Hải Quan, Kiểm Tra Chứng Từ, Tờ Khai Hải Quan, Tư Vấn Khách Hàng</t>
        </is>
      </c>
      <c r="M9650" s="10" t="inlineStr">
        <is>
          <t>Bonus, Healthcare Plan, Paid Leave, Training, Awards, Travel Opportunities, Others</t>
        </is>
      </c>
      <c r="N9650" s="11">
        <f>HYPERLINK("https://www.vietnamworks.com/operation-executivenhan-vien-chung-tu-khai-bao-hq-2021534-jv","Xem chi tiết")</f>
        <v/>
      </c>
      <c r="O9650" s="10" t="n"/>
    </row>
    <row r="9651">
      <c r="B9651" s="7" t="n">
        <v>9649</v>
      </c>
      <c r="C9651" t="inlineStr">
        <is>
          <t>Chuyên Viên Marketing</t>
        </is>
      </c>
      <c r="D9651" t="inlineStr">
        <is>
          <t>Hệ thống Giáo dục Vinschool</t>
        </is>
      </c>
      <c r="E9651" t="inlineStr">
        <is>
          <t>$$ 1,000-1,500 /tháng</t>
        </is>
      </c>
      <c r="F9651" t="inlineStr">
        <is>
          <t>Hà Nội</t>
        </is>
      </c>
      <c r="G9651" t="inlineStr">
        <is>
          <t>Nhân viên</t>
        </is>
      </c>
      <c r="H9651" t="inlineStr">
        <is>
          <t>11/03/2026</t>
        </is>
      </c>
      <c r="I9651" t="inlineStr">
        <is>
          <t>10/04/2026</t>
        </is>
      </c>
      <c r="J9651" t="inlineStr">
        <is>
          <t>17/03/2026</t>
        </is>
      </c>
      <c r="K9651" t="inlineStr">
        <is>
          <t>N/A</t>
        </is>
      </c>
      <c r="L9651" t="inlineStr">
        <is>
          <t>Digital Marketing, English, Facebook Ads, Google Ads, Seo</t>
        </is>
      </c>
      <c r="M9651" t="inlineStr">
        <is>
          <t>Bonus, Healthcare Plan, Paid Leave, Travel Opportunities, Canteen, Others</t>
        </is>
      </c>
      <c r="N9651" s="8">
        <f>HYPERLINK("https://www.vietnamworks.com/chuyen-vien-marketing-2021520-jv","Xem chi tiết")</f>
        <v/>
      </c>
    </row>
    <row r="9652">
      <c r="B9652" s="9" t="n">
        <v>9650</v>
      </c>
      <c r="C9652" s="10" t="inlineStr">
        <is>
          <t>Phó Phòng Kế Toán</t>
        </is>
      </c>
      <c r="D9652" s="10" t="inlineStr">
        <is>
          <t>CÔNG TY CỔ PHẦN VJS VIỆT NAM</t>
        </is>
      </c>
      <c r="E9652" s="10" t="inlineStr">
        <is>
          <t>18tr-22tr ₫/tháng</t>
        </is>
      </c>
      <c r="F9652" s="10" t="inlineStr">
        <is>
          <t>Hà Nội</t>
        </is>
      </c>
      <c r="G9652" s="10" t="inlineStr">
        <is>
          <t>Trưởng phòng</t>
        </is>
      </c>
      <c r="H9652" s="10" t="inlineStr">
        <is>
          <t>11/03/2026</t>
        </is>
      </c>
      <c r="I9652" s="10" t="inlineStr">
        <is>
          <t>10/04/2026</t>
        </is>
      </c>
      <c r="J9652" s="10" t="inlineStr">
        <is>
          <t>17/03/2026</t>
        </is>
      </c>
      <c r="K9652" s="10" t="inlineStr">
        <is>
          <t>N/A</t>
        </is>
      </c>
      <c r="L9652" s="10" t="inlineStr">
        <is>
          <t>Kế Toán, Quản Lý Tài Chính, Phần mềm kế toán, Tư Duy Hệ Thống, Accounting Procedure</t>
        </is>
      </c>
      <c r="M9652" s="10" t="inlineStr">
        <is>
          <t>Healthcare Plan, Paid Leave, Others</t>
        </is>
      </c>
      <c r="N9652" s="11">
        <f>HYPERLINK("https://www.vietnamworks.com/pho-phong-ke-toan-2021524-jv","Xem chi tiết")</f>
        <v/>
      </c>
      <c r="O9652" s="10" t="n"/>
    </row>
    <row r="9653">
      <c r="B9653" s="7" t="n">
        <v>9651</v>
      </c>
      <c r="C9653" t="inlineStr">
        <is>
          <t>Chuyên Viên Nhân Sự</t>
        </is>
      </c>
      <c r="D9653" t="inlineStr">
        <is>
          <t>Hệ thống Giáo dục Vinschool</t>
        </is>
      </c>
      <c r="E9653" t="inlineStr">
        <is>
          <t>Thương lượng</t>
        </is>
      </c>
      <c r="F9653" t="inlineStr">
        <is>
          <t>Hà Nội</t>
        </is>
      </c>
      <c r="G9653" t="inlineStr">
        <is>
          <t>Nhân viên</t>
        </is>
      </c>
      <c r="H9653" t="inlineStr">
        <is>
          <t>11/03/2026</t>
        </is>
      </c>
      <c r="I9653" t="inlineStr">
        <is>
          <t>10/04/2026</t>
        </is>
      </c>
      <c r="J9653" t="inlineStr">
        <is>
          <t>17/03/2026</t>
        </is>
      </c>
      <c r="K9653" t="inlineStr">
        <is>
          <t>N/A</t>
        </is>
      </c>
      <c r="L9653" t="inlineStr">
        <is>
          <t>Giao Tiếp, Kinh Tế, Quản Trị Nhân Lực, Thương Mại, Tiếng Anh</t>
        </is>
      </c>
      <c r="M9653" t="inlineStr">
        <is>
          <t>Bonus, Healthcare Plan, Paid Leave, Travel Opportunities, Others</t>
        </is>
      </c>
      <c r="N9653" s="8">
        <f>HYPERLINK("https://www.vietnamworks.com/chuyen-vien-nhan-su-2021540-jv","Xem chi tiết")</f>
        <v/>
      </c>
    </row>
    <row r="9654">
      <c r="B9654" s="9" t="n">
        <v>9652</v>
      </c>
      <c r="C9654" s="10" t="inlineStr">
        <is>
          <t>Trưởng Bộ Phận Hành Chính Nhân Sự (HCNS)</t>
        </is>
      </c>
      <c r="D9654" s="10" t="inlineStr">
        <is>
          <t>Công Ty TNHH NPV Express &amp; Logistics</t>
        </is>
      </c>
      <c r="E9654" s="10" t="inlineStr">
        <is>
          <t>Thương lượng</t>
        </is>
      </c>
      <c r="F9654" s="10" t="inlineStr">
        <is>
          <t>Hồ Chí Minh</t>
        </is>
      </c>
      <c r="G9654" s="10" t="inlineStr">
        <is>
          <t>Trưởng phòng</t>
        </is>
      </c>
      <c r="H9654" s="10" t="inlineStr">
        <is>
          <t>11/03/2026</t>
        </is>
      </c>
      <c r="I9654" s="10" t="inlineStr">
        <is>
          <t>10/04/2026</t>
        </is>
      </c>
      <c r="J9654" s="10" t="inlineStr">
        <is>
          <t>17/03/2026</t>
        </is>
      </c>
      <c r="K9654" s="10" t="inlineStr">
        <is>
          <t>N/A</t>
        </is>
      </c>
      <c r="L9654" s="10" t="inlineStr">
        <is>
          <t>Quản Trị Nhân Lực, Quản Trị Kinh Doanh, Gắn Kết Nhân Viên, Phát triển văn hoá doanh nghiệp, Tuyển Dụng</t>
        </is>
      </c>
      <c r="M9654" s="10" t="inlineStr">
        <is>
          <t>Healthcare Plan, Training, Laptop, Team Activities, Canteen</t>
        </is>
      </c>
      <c r="N9654" s="11">
        <f>HYPERLINK("https://www.vietnamworks.com/truong-bo-phan-hanh-chinh-nhan-su-hcns-2021525-jv","Xem chi tiết")</f>
        <v/>
      </c>
      <c r="O9654" s="10" t="n"/>
    </row>
    <row r="9655">
      <c r="B9655" s="7" t="n">
        <v>9653</v>
      </c>
      <c r="C9655" t="inlineStr">
        <is>
          <t>Chuyên Viên Quan Hệ Khách Hàng Doanh Nghiệp</t>
        </is>
      </c>
      <c r="D9655" t="inlineStr">
        <is>
          <t>Vietnam International Leasing Company (Vilc),</t>
        </is>
      </c>
      <c r="E9655" t="inlineStr">
        <is>
          <t>Từ $ 1,000 /tháng</t>
        </is>
      </c>
      <c r="F9655" t="inlineStr">
        <is>
          <t>Hồ Chí Minh</t>
        </is>
      </c>
      <c r="G9655" t="inlineStr">
        <is>
          <t>Nhân viên</t>
        </is>
      </c>
      <c r="H9655" t="inlineStr">
        <is>
          <t>11/03/2026</t>
        </is>
      </c>
      <c r="I9655" t="inlineStr">
        <is>
          <t>10/04/2026</t>
        </is>
      </c>
      <c r="J9655" t="inlineStr">
        <is>
          <t>17/03/2026</t>
        </is>
      </c>
      <c r="K9655" t="inlineStr">
        <is>
          <t>N/A</t>
        </is>
      </c>
      <c r="L9655" t="inlineStr">
        <is>
          <t>Phát Triển Khách Hàng, Bán Hàng, Quan Hệ Khách Hàng, Tài Chính Ngân Hàng, Tiếng Anh</t>
        </is>
      </c>
      <c r="M9655" t="inlineStr">
        <is>
          <t>Bonus, Healthcare Plan, Others</t>
        </is>
      </c>
      <c r="N9655" s="8">
        <f>HYPERLINK("https://www.vietnamworks.com/chuyen-vien-quan-he-khach-hang-doanh-nghiep--2021516-jv","Xem chi tiết")</f>
        <v/>
      </c>
    </row>
    <row r="9656">
      <c r="B9656" s="9" t="n">
        <v>9654</v>
      </c>
      <c r="C9656" s="10" t="inlineStr">
        <is>
          <t>Trưởng Nhóm Kế Hoạch Sản Xuất (Lương Lên Tới 20 Triệu/ Tháng)</t>
        </is>
      </c>
      <c r="D9656" s="10" t="inlineStr">
        <is>
          <t>Công Ty Cổ Phần Thương Mại Dịch Vụ Taco Việt Nam</t>
        </is>
      </c>
      <c r="E9656" s="10" t="inlineStr">
        <is>
          <t>17tr-20tr ₫/tháng</t>
        </is>
      </c>
      <c r="F9656" s="10" t="inlineStr">
        <is>
          <t>Hưng Yên</t>
        </is>
      </c>
      <c r="G9656" s="10" t="inlineStr">
        <is>
          <t>Trưởng phòng</t>
        </is>
      </c>
      <c r="H9656" s="10" t="inlineStr">
        <is>
          <t>11/03/2026</t>
        </is>
      </c>
      <c r="I9656" s="10" t="inlineStr">
        <is>
          <t>10/04/2026</t>
        </is>
      </c>
      <c r="J9656" s="10" t="inlineStr">
        <is>
          <t>17/03/2026</t>
        </is>
      </c>
      <c r="K9656" s="10" t="inlineStr">
        <is>
          <t>N/A</t>
        </is>
      </c>
      <c r="L9656" s="10" t="inlineStr">
        <is>
          <t>Giải Quyết Vấn Đề, Kỹ năng lập kế hoạch, Phân Tích Dữ Liệu</t>
        </is>
      </c>
      <c r="M9656" s="10" t="inlineStr">
        <is>
          <t>Bonus, Healthcare Plan, Training, Team Activities, Others</t>
        </is>
      </c>
      <c r="N9656" s="11">
        <f>HYPERLINK("https://www.vietnamworks.com/truong-nhom-ke-hoach-san-xuat-luong-len-toi-20-trieu-thang-2021528-jv","Xem chi tiết")</f>
        <v/>
      </c>
      <c r="O9656" s="10" t="n"/>
    </row>
    <row r="9657">
      <c r="B9657" s="7" t="n">
        <v>9655</v>
      </c>
      <c r="C9657" t="inlineStr">
        <is>
          <t>Regulatory Supervisor</t>
        </is>
      </c>
      <c r="D9657" t="inlineStr">
        <is>
          <t>Masan Consumer Holdings</t>
        </is>
      </c>
      <c r="E9657" t="inlineStr">
        <is>
          <t>Thương lượng</t>
        </is>
      </c>
      <c r="F9657" t="inlineStr">
        <is>
          <t>Hồ Chí Minh, Bình Dương</t>
        </is>
      </c>
      <c r="G9657" t="inlineStr">
        <is>
          <t>Nhân viên</t>
        </is>
      </c>
      <c r="H9657" t="inlineStr">
        <is>
          <t>11/03/2026</t>
        </is>
      </c>
      <c r="I9657" t="inlineStr">
        <is>
          <t>10/04/2026</t>
        </is>
      </c>
      <c r="J9657" t="inlineStr">
        <is>
          <t>17/03/2026</t>
        </is>
      </c>
      <c r="K9657" t="inlineStr">
        <is>
          <t>N/A</t>
        </is>
      </c>
      <c r="L9657" t="inlineStr">
        <is>
          <t>Regulatory Affairs, Food Safety Regulation, FMCG, Food Technology, Product Registration</t>
        </is>
      </c>
      <c r="M9657" t="inlineStr">
        <is>
          <t>Bonus, Laptop, Others</t>
        </is>
      </c>
      <c r="N9657" s="8">
        <f>HYPERLINK("https://www.vietnamworks.com/regulatory-supervisor--2021530-jv","Xem chi tiết")</f>
        <v/>
      </c>
    </row>
    <row r="9658">
      <c r="B9658" s="9" t="n">
        <v>9656</v>
      </c>
      <c r="C9658" s="10" t="inlineStr">
        <is>
          <t>Marketing Manager</t>
        </is>
      </c>
      <c r="D9658" s="10" t="inlineStr">
        <is>
          <t>Công Ty TNHH Davimin</t>
        </is>
      </c>
      <c r="E9658" s="10" t="inlineStr">
        <is>
          <t>Thương lượng</t>
        </is>
      </c>
      <c r="F9658" s="10" t="inlineStr">
        <is>
          <t>Hồ Chí Minh</t>
        </is>
      </c>
      <c r="G9658" s="10" t="inlineStr">
        <is>
          <t>Trưởng phòng</t>
        </is>
      </c>
      <c r="H9658" s="10" t="inlineStr">
        <is>
          <t>11/03/2026</t>
        </is>
      </c>
      <c r="I9658" s="10" t="inlineStr">
        <is>
          <t>10/04/2026</t>
        </is>
      </c>
      <c r="J9658" s="10" t="inlineStr">
        <is>
          <t>17/03/2026</t>
        </is>
      </c>
      <c r="K9658" s="10" t="inlineStr">
        <is>
          <t>N/A</t>
        </is>
      </c>
      <c r="L9658" s="10" t="inlineStr">
        <is>
          <t>Digital Marketing, Branding, PR, Event Management, Hoạch Định Chiến Lược</t>
        </is>
      </c>
      <c r="M9658" s="10" t="inlineStr">
        <is>
          <t>Bonus, Healthcare Plan, Training, Others</t>
        </is>
      </c>
      <c r="N9658" s="11">
        <f>HYPERLINK("https://www.vietnamworks.com/marketing-manager-2021529-jv","Xem chi tiết")</f>
        <v/>
      </c>
      <c r="O9658" s="10" t="n"/>
    </row>
    <row r="9659">
      <c r="B9659" s="7" t="n">
        <v>9657</v>
      </c>
      <c r="C9659" t="inlineStr">
        <is>
          <t>Phó Phòng Kế Toán (Lương 20-25 Triệu)</t>
        </is>
      </c>
      <c r="D9659" t="inlineStr">
        <is>
          <t>Công Ty Cổ Phần 2R Việt Nam</t>
        </is>
      </c>
      <c r="E9659" t="inlineStr">
        <is>
          <t>20tr-25tr ₫/tháng</t>
        </is>
      </c>
      <c r="F9659" t="inlineStr">
        <is>
          <t>Hà Nội</t>
        </is>
      </c>
      <c r="G9659" t="inlineStr">
        <is>
          <t>Trưởng phòng</t>
        </is>
      </c>
      <c r="H9659" t="inlineStr">
        <is>
          <t>11/03/2026</t>
        </is>
      </c>
      <c r="I9659" t="inlineStr">
        <is>
          <t>10/04/2026</t>
        </is>
      </c>
      <c r="J9659" t="inlineStr">
        <is>
          <t>17/03/2026</t>
        </is>
      </c>
      <c r="K9659" t="inlineStr">
        <is>
          <t>N/A</t>
        </is>
      </c>
      <c r="L9659" t="inlineStr">
        <is>
          <t>Tài Chính, Kiểm Toán, Kế Toán, Kế Toán Nội Bộ, Kế Toán Tổng Hợp</t>
        </is>
      </c>
      <c r="M9659" t="inlineStr">
        <is>
          <t>Bonus, Healthcare Plan, Paid Leave, Training, Others</t>
        </is>
      </c>
      <c r="N9659" s="8">
        <f>HYPERLINK("https://www.vietnamworks.com/pho-phong-ke-toan-luong-20-25-trieu-2021539-jv","Xem chi tiết")</f>
        <v/>
      </c>
    </row>
    <row r="9660">
      <c r="B9660" s="9" t="n">
        <v>9658</v>
      </c>
      <c r="C9660" s="10" t="inlineStr">
        <is>
          <t>[Urgent] Growth Manager (Social &amp; Content)/ Growth Planning Manager (Product Marketing)</t>
        </is>
      </c>
      <c r="D9660" s="10" t="inlineStr">
        <is>
          <t>GSM - Xanh SM</t>
        </is>
      </c>
      <c r="E9660" s="10" t="inlineStr">
        <is>
          <t>$$ 1,500-3,000 /tháng</t>
        </is>
      </c>
      <c r="F9660" s="10" t="inlineStr">
        <is>
          <t>Hà Nội</t>
        </is>
      </c>
      <c r="G9660" s="10" t="inlineStr">
        <is>
          <t>Trưởng phòng</t>
        </is>
      </c>
      <c r="H9660" s="10" t="inlineStr">
        <is>
          <t>11/03/2026</t>
        </is>
      </c>
      <c r="I9660" s="10" t="inlineStr">
        <is>
          <t>10/04/2026</t>
        </is>
      </c>
      <c r="J9660" s="10" t="inlineStr">
        <is>
          <t>17/03/2026</t>
        </is>
      </c>
      <c r="K9660" s="10" t="inlineStr">
        <is>
          <t>N/A</t>
        </is>
      </c>
      <c r="L9660" s="10" t="inlineStr">
        <is>
          <t>Growth Marketing, Growth Management, Marketing Content, Digital Product Development, Marketing Planning</t>
        </is>
      </c>
      <c r="M9660" s="10" t="inlineStr">
        <is>
          <t>Bonus, Healthcare Plan, Training</t>
        </is>
      </c>
      <c r="N9660" s="11">
        <f>HYPERLINK("https://www.vietnamworks.com/urgent-growth-manager-social-content-growth-planning-manager-product-marketing-2021535-jv","Xem chi tiết")</f>
        <v/>
      </c>
      <c r="O9660" s="10" t="n"/>
    </row>
    <row r="9661">
      <c r="B9661" s="7" t="n">
        <v>9659</v>
      </c>
      <c r="C9661" t="inlineStr">
        <is>
          <t>Sales Trader (Chuyên Viên Khách Hàng Tổ Chức)</t>
        </is>
      </c>
      <c r="D9661" t="inlineStr">
        <is>
          <t>Công Ty Chứng Khoán Yuanta Việt Nam</t>
        </is>
      </c>
      <c r="E9661" t="inlineStr">
        <is>
          <t>Thương lượng</t>
        </is>
      </c>
      <c r="F9661" t="inlineStr">
        <is>
          <t>Hồ Chí Minh</t>
        </is>
      </c>
      <c r="G9661" t="inlineStr">
        <is>
          <t>Nhân viên</t>
        </is>
      </c>
      <c r="H9661" t="inlineStr">
        <is>
          <t>11/03/2026</t>
        </is>
      </c>
      <c r="I9661" t="inlineStr">
        <is>
          <t>26/03/2026</t>
        </is>
      </c>
      <c r="J9661" t="inlineStr">
        <is>
          <t>17/03/2026</t>
        </is>
      </c>
      <c r="K9661" t="inlineStr">
        <is>
          <t>N/A</t>
        </is>
      </c>
      <c r="L9661" t="inlineStr">
        <is>
          <t>Order Taking, Channel Relationship Management, Trading Account Procedures, Market Analysis, English Fluency</t>
        </is>
      </c>
      <c r="M9661" t="inlineStr">
        <is>
          <t>Bonus, Healthcare Plan, Team Activities</t>
        </is>
      </c>
      <c r="N9661" s="8">
        <f>HYPERLINK("https://www.vietnamworks.com/sales-trader-chuyen-vien-khach-hang-to-chuc-2021533-jv","Xem chi tiết")</f>
        <v/>
      </c>
    </row>
    <row r="9662">
      <c r="B9662" s="9" t="n">
        <v>9660</v>
      </c>
      <c r="C9662" s="10" t="inlineStr">
        <is>
          <t>Chuyên Viên Tài Chính Doanh Nghiệp (Thị Trường Nợ)</t>
        </is>
      </c>
      <c r="D9662" s="10" t="inlineStr">
        <is>
          <t>Tasco Joint Stock Company</t>
        </is>
      </c>
      <c r="E9662" s="10" t="inlineStr">
        <is>
          <t>Thương lượng</t>
        </is>
      </c>
      <c r="F9662" s="10" t="inlineStr">
        <is>
          <t>Hà Nội</t>
        </is>
      </c>
      <c r="G9662" s="10" t="inlineStr">
        <is>
          <t>Nhân viên</t>
        </is>
      </c>
      <c r="H9662" s="10" t="inlineStr">
        <is>
          <t>11/03/2026</t>
        </is>
      </c>
      <c r="I9662" s="10" t="inlineStr">
        <is>
          <t>10/04/2026</t>
        </is>
      </c>
      <c r="J9662" s="10" t="inlineStr">
        <is>
          <t>17/03/2026</t>
        </is>
      </c>
      <c r="K9662" s="10" t="inlineStr">
        <is>
          <t>N/A</t>
        </is>
      </c>
      <c r="L9662" s="10" t="inlineStr">
        <is>
          <t>Huy Động Vốn, Quản Lý Dòng Tiền, Kiểm Soát Rủi Ro, Thẩm Định Tài Chính, Tiếng Anh</t>
        </is>
      </c>
      <c r="M9662" s="10" t="inlineStr">
        <is>
          <t>Bonus, Training, Team Activities</t>
        </is>
      </c>
      <c r="N9662" s="11">
        <f>HYPERLINK("https://www.vietnamworks.com/chuyen-vien-tai-chinh-doanh-nghiep-thi-truong-no--2021546-jv","Xem chi tiết")</f>
        <v/>
      </c>
      <c r="O9662" s="10" t="n"/>
    </row>
    <row r="9663">
      <c r="B9663" s="7" t="n">
        <v>9661</v>
      </c>
      <c r="C9663" t="inlineStr">
        <is>
          <t>Nhân Viên Phiên Dịch Tiếng Trung-Anh (Chinese-English Translator)</t>
        </is>
      </c>
      <c r="D9663" t="inlineStr">
        <is>
          <t>Công Ty TNHH Cese2 (Việt Nam)</t>
        </is>
      </c>
      <c r="E9663" t="inlineStr">
        <is>
          <t>25tr-40tr ₫/tháng</t>
        </is>
      </c>
      <c r="F9663" t="inlineStr">
        <is>
          <t>Đồng Nai</t>
        </is>
      </c>
      <c r="G9663" t="inlineStr">
        <is>
          <t>Nhân viên</t>
        </is>
      </c>
      <c r="H9663" t="inlineStr">
        <is>
          <t>11/03/2026</t>
        </is>
      </c>
      <c r="I9663" t="inlineStr">
        <is>
          <t>10/04/2026</t>
        </is>
      </c>
      <c r="J9663" t="inlineStr">
        <is>
          <t>17/03/2026</t>
        </is>
      </c>
      <c r="K9663" t="inlineStr">
        <is>
          <t>N/A</t>
        </is>
      </c>
      <c r="L9663" t="inlineStr">
        <is>
          <t>Biên Dịch Tiếng Trung, Kỹ năng giao tiếp, Làm Việc Nhóm, Phiên Dịch Tiếng Anh, Quản Lý Thời Gian</t>
        </is>
      </c>
      <c r="M9663" t="inlineStr">
        <is>
          <t>Healthcare Plan, Training, Others</t>
        </is>
      </c>
      <c r="N9663" s="8">
        <f>HYPERLINK("https://www.vietnamworks.com/nhan-vien-phien-dich-tieng-trung-anh-chinese-english-translator-2021543-jv","Xem chi tiết")</f>
        <v/>
      </c>
    </row>
    <row r="9664">
      <c r="B9664" s="9" t="n">
        <v>9662</v>
      </c>
      <c r="C9664" s="10" t="inlineStr">
        <is>
          <t>KS Thiết Kế Kết Cấu</t>
        </is>
      </c>
      <c r="D9664" s="10" t="inlineStr">
        <is>
          <t>Công Ty Cổ phần Xây dựng IDJ</t>
        </is>
      </c>
      <c r="E9664" s="10" t="inlineStr">
        <is>
          <t>15tr-28tr ₫/tháng</t>
        </is>
      </c>
      <c r="F9664" s="10" t="inlineStr">
        <is>
          <t>Hà Nội, Hưng Yên</t>
        </is>
      </c>
      <c r="G9664" s="10" t="inlineStr">
        <is>
          <t>Nhân viên</t>
        </is>
      </c>
      <c r="H9664" s="10" t="inlineStr">
        <is>
          <t>11/03/2026</t>
        </is>
      </c>
      <c r="I9664" s="10" t="inlineStr">
        <is>
          <t>10/04/2026</t>
        </is>
      </c>
      <c r="J9664" s="10" t="inlineStr">
        <is>
          <t>17/03/2026</t>
        </is>
      </c>
      <c r="K9664" s="10" t="inlineStr">
        <is>
          <t>N/A</t>
        </is>
      </c>
      <c r="L9664" s="10" t="inlineStr">
        <is>
          <t>AutoCAD, Etabs, Revit, Kỹ Thuật Xây Dựng, Thiết Kế Kết Cấu</t>
        </is>
      </c>
      <c r="M9664" s="10" t="inlineStr">
        <is>
          <t>Bonus, Healthcare Plan, Travel Opportunities, Others</t>
        </is>
      </c>
      <c r="N9664" s="11">
        <f>HYPERLINK("https://www.vietnamworks.com/ks-thiet-ke-ket-cau-2021559-jv","Xem chi tiết")</f>
        <v/>
      </c>
      <c r="O9664" s="10" t="n"/>
    </row>
    <row r="9665">
      <c r="B9665" s="7" t="n">
        <v>9663</v>
      </c>
      <c r="C9665" t="inlineStr">
        <is>
          <t>Kỹ Sư Thiết Kế Cơ Khí</t>
        </is>
      </c>
      <c r="D9665" t="inlineStr">
        <is>
          <t>NEWES Technology Joint Stock Company</t>
        </is>
      </c>
      <c r="E9665" t="inlineStr">
        <is>
          <t>10tr-25tr ₫/tháng</t>
        </is>
      </c>
      <c r="F9665" t="inlineStr">
        <is>
          <t>Hà Nội</t>
        </is>
      </c>
      <c r="G9665" t="inlineStr">
        <is>
          <t>Nhân viên</t>
        </is>
      </c>
      <c r="H9665" t="inlineStr">
        <is>
          <t>11/03/2026</t>
        </is>
      </c>
      <c r="I9665" t="inlineStr">
        <is>
          <t>10/04/2026</t>
        </is>
      </c>
      <c r="J9665" t="inlineStr">
        <is>
          <t>17/03/2026</t>
        </is>
      </c>
      <c r="K9665" t="inlineStr">
        <is>
          <t>N/A</t>
        </is>
      </c>
      <c r="L9665" t="inlineStr">
        <is>
          <t>SolidWorks, Inventor, Thiết Kế Máy Móc, Thiết Kế Cơ Khí, Tự Động Hóa</t>
        </is>
      </c>
      <c r="M9665" t="inlineStr">
        <is>
          <t>Bonus, Laptop, Others</t>
        </is>
      </c>
      <c r="N9665" s="8">
        <f>HYPERLINK("https://www.vietnamworks.com/ky-su-thiet-ke-co-khi-2021545-jv","Xem chi tiết")</f>
        <v/>
      </c>
    </row>
    <row r="9666">
      <c r="B9666" s="9" t="n">
        <v>9664</v>
      </c>
      <c r="C9666" s="10" t="inlineStr">
        <is>
          <t>Trưởng bộ phận Kế Hoạch MEP</t>
        </is>
      </c>
      <c r="D9666" s="10" t="inlineStr">
        <is>
          <t>CÔNG TY CỔ PHẦN CƠ ĐIỆN HỢP LỰC</t>
        </is>
      </c>
      <c r="E9666" s="10" t="inlineStr">
        <is>
          <t>17tr-25tr ₫/tháng</t>
        </is>
      </c>
      <c r="F9666" s="10" t="inlineStr">
        <is>
          <t>Hà Nội</t>
        </is>
      </c>
      <c r="G9666" s="10" t="inlineStr">
        <is>
          <t>Nhân viên</t>
        </is>
      </c>
      <c r="H9666" s="10" t="inlineStr">
        <is>
          <t>11/03/2026</t>
        </is>
      </c>
      <c r="I9666" s="10" t="inlineStr">
        <is>
          <t>10/04/2026</t>
        </is>
      </c>
      <c r="J9666" s="10" t="inlineStr">
        <is>
          <t>17/03/2026</t>
        </is>
      </c>
      <c r="K9666" s="10" t="inlineStr">
        <is>
          <t>N/A</t>
        </is>
      </c>
      <c r="L9666" s="10" t="inlineStr">
        <is>
          <t>BOQ, HVAC, MEP Design, Project Management, QS</t>
        </is>
      </c>
      <c r="M9666" s="10" t="inlineStr">
        <is>
          <t>Bonus, Healthcare Plan, Paid Leave, Training, Travel Opportunities, Others</t>
        </is>
      </c>
      <c r="N9666" s="11">
        <f>HYPERLINK("https://www.vietnamworks.com/truong-bo-phan-ke-hoach-mep-2021555-jv","Xem chi tiết")</f>
        <v/>
      </c>
      <c r="O9666" s="10" t="n"/>
    </row>
    <row r="9667">
      <c r="B9667" s="7" t="n">
        <v>9665</v>
      </c>
      <c r="C9667" t="inlineStr">
        <is>
          <t>Phó Phòng Tổ Chức Hành Chính</t>
        </is>
      </c>
      <c r="D9667" t="inlineStr">
        <is>
          <t>TRƯỜNG CAO ĐẲNG CÔNG NGHỆ BÁCH KHOA HÀ NỘI - CƠ SỞ HÀ NỘI</t>
        </is>
      </c>
      <c r="E9667" t="inlineStr">
        <is>
          <t>18tr-20tr ₫/tháng</t>
        </is>
      </c>
      <c r="F9667" t="inlineStr">
        <is>
          <t>Hà Nội</t>
        </is>
      </c>
      <c r="G9667" t="inlineStr">
        <is>
          <t>Trưởng phòng</t>
        </is>
      </c>
      <c r="H9667" t="inlineStr">
        <is>
          <t>11/03/2026</t>
        </is>
      </c>
      <c r="I9667" t="inlineStr">
        <is>
          <t>10/04/2026</t>
        </is>
      </c>
      <c r="J9667" t="inlineStr">
        <is>
          <t>17/03/2026</t>
        </is>
      </c>
      <c r="K9667" t="inlineStr">
        <is>
          <t>N/A</t>
        </is>
      </c>
      <c r="L9667" t="inlineStr">
        <is>
          <t>Giáo Dục Đào Tạo, Hành Chính Nhân Sự, Lập Kế Hoạch Tuyển Dụng, Quản Trị Nhân Lực, Tuyển Dụng</t>
        </is>
      </c>
      <c r="M9667" t="inlineStr">
        <is>
          <t>Bonus, Training, Travel Opportunities, Others</t>
        </is>
      </c>
      <c r="N9667" s="8">
        <f>HYPERLINK("https://www.vietnamworks.com/pho-phong-to-chuc-hanh-chinh-2021541-jv","Xem chi tiết")</f>
        <v/>
      </c>
    </row>
    <row r="9668">
      <c r="B9668" s="9" t="n">
        <v>9666</v>
      </c>
      <c r="C9668" s="10" t="inlineStr">
        <is>
          <t>Fresh Graduate | Market Risk (Financial Services) | HCMC Office</t>
        </is>
      </c>
      <c r="D9668" s="10" t="inlineStr">
        <is>
          <t>Ernst &amp; Young Vietnam Limited (EY Vietnam)</t>
        </is>
      </c>
      <c r="E9668" s="10" t="inlineStr">
        <is>
          <t>Thương lượng</t>
        </is>
      </c>
      <c r="F9668" s="10" t="inlineStr">
        <is>
          <t>Hồ Chí Minh</t>
        </is>
      </c>
      <c r="G9668" s="10" t="inlineStr">
        <is>
          <t>Mới Tốt Nghiệp</t>
        </is>
      </c>
      <c r="H9668" s="10" t="inlineStr">
        <is>
          <t>11/03/2026</t>
        </is>
      </c>
      <c r="I9668" s="10" t="inlineStr">
        <is>
          <t>10/04/2026</t>
        </is>
      </c>
      <c r="J9668" s="10" t="inlineStr">
        <is>
          <t>17/03/2026</t>
        </is>
      </c>
      <c r="K9668" s="10" t="inlineStr">
        <is>
          <t>N/A</t>
        </is>
      </c>
      <c r="L9668" s="10" t="inlineStr">
        <is>
          <t>Mathematics Analysis, Analytical Mindset, Data Analytics, Risk Management, Asset Liability Management</t>
        </is>
      </c>
      <c r="M9668" s="10" t="inlineStr">
        <is>
          <t>Bonus, Awards, Others</t>
        </is>
      </c>
      <c r="N9668" s="11">
        <f>HYPERLINK("https://www.vietnamworks.com/fresh-graduate-market-risk-financial-services-hcmc-office-2021547-jv","Xem chi tiết")</f>
        <v/>
      </c>
      <c r="O9668" s="10" t="n"/>
    </row>
    <row r="9669">
      <c r="B9669" s="7" t="n">
        <v>9667</v>
      </c>
      <c r="C9669" t="inlineStr">
        <is>
          <t>System Architecture</t>
        </is>
      </c>
      <c r="D9669" t="inlineStr">
        <is>
          <t>Ecarx</t>
        </is>
      </c>
      <c r="E9669" t="inlineStr">
        <is>
          <t>Thương lượng</t>
        </is>
      </c>
      <c r="F9669" t="inlineStr">
        <is>
          <t>Hà Nội</t>
        </is>
      </c>
      <c r="G9669" t="inlineStr">
        <is>
          <t>Nhân viên</t>
        </is>
      </c>
      <c r="H9669" t="inlineStr">
        <is>
          <t>11/03/2026</t>
        </is>
      </c>
      <c r="I9669" t="inlineStr">
        <is>
          <t>10/04/2026</t>
        </is>
      </c>
      <c r="J9669" t="inlineStr">
        <is>
          <t>17/03/2026</t>
        </is>
      </c>
      <c r="K9669" t="inlineStr">
        <is>
          <t>N/A</t>
        </is>
      </c>
      <c r="L9669" t="inlineStr">
        <is>
          <t>Communication Design, Communication Protocols, Communication Skills, Virtualization, Smart Cockpit Systems</t>
        </is>
      </c>
      <c r="M9669" t="inlineStr">
        <is>
          <t>Bonus</t>
        </is>
      </c>
      <c r="N9669" s="8">
        <f>HYPERLINK("https://www.vietnamworks.com/system-architecture-2021552-jv","Xem chi tiết")</f>
        <v/>
      </c>
    </row>
    <row r="9670">
      <c r="B9670" s="9" t="n">
        <v>9668</v>
      </c>
      <c r="C9670" s="10" t="inlineStr">
        <is>
          <t>Social Media Senior Specialist</t>
        </is>
      </c>
      <c r="D9670" s="10" t="inlineStr">
        <is>
          <t>CÔNG TY TNHH MTV SINOCARE VIETNAM L&amp;M</t>
        </is>
      </c>
      <c r="E9670" s="10" t="inlineStr">
        <is>
          <t>20tr-30tr ₫/tháng</t>
        </is>
      </c>
      <c r="F9670" s="10" t="inlineStr">
        <is>
          <t>Hồ Chí Minh</t>
        </is>
      </c>
      <c r="G9670" s="10" t="inlineStr">
        <is>
          <t>Nhân viên</t>
        </is>
      </c>
      <c r="H9670" s="10" t="inlineStr">
        <is>
          <t>11/03/2026</t>
        </is>
      </c>
      <c r="I9670" s="10" t="inlineStr">
        <is>
          <t>10/04/2026</t>
        </is>
      </c>
      <c r="J9670" s="10" t="inlineStr">
        <is>
          <t>17/03/2026</t>
        </is>
      </c>
      <c r="K9670" s="10" t="inlineStr">
        <is>
          <t>N/A</t>
        </is>
      </c>
      <c r="L9670" s="10" t="inlineStr">
        <is>
          <t>Communication, Copywriting, Customer Service, Digital Marketing, Social Media Management</t>
        </is>
      </c>
      <c r="M9670" s="10" t="inlineStr">
        <is>
          <t>Bonus, Healthcare Plan, Training, Others</t>
        </is>
      </c>
      <c r="N9670" s="11">
        <f>HYPERLINK("https://www.vietnamworks.com/social-media-senior-specialist-2021564-jv","Xem chi tiết")</f>
        <v/>
      </c>
      <c r="O9670" s="10" t="n"/>
    </row>
    <row r="9671">
      <c r="B9671" s="7" t="n">
        <v>9669</v>
      </c>
      <c r="C9671" t="inlineStr">
        <is>
          <t>Nhân Viên Kỹ Thuật Phát Triển Sản Phẩm (Có Xe Đưa Đón Từ Nội Thành Về Nhà Máy)</t>
        </is>
      </c>
      <c r="D9671" t="inlineStr">
        <is>
          <t>Công Ty TNHH Thủ Công Mỹ Nghệ Và Nội Thất Ngọc Sơn</t>
        </is>
      </c>
      <c r="E9671" t="inlineStr">
        <is>
          <t>Thương lượng</t>
        </is>
      </c>
      <c r="F9671" t="inlineStr">
        <is>
          <t>Hà Nội</t>
        </is>
      </c>
      <c r="G9671" t="inlineStr">
        <is>
          <t>Nhân viên</t>
        </is>
      </c>
      <c r="H9671" t="inlineStr">
        <is>
          <t>11/03/2026</t>
        </is>
      </c>
      <c r="I9671" t="inlineStr">
        <is>
          <t>10/04/2026</t>
        </is>
      </c>
      <c r="J9671" t="inlineStr">
        <is>
          <t>17/03/2026</t>
        </is>
      </c>
      <c r="K9671" t="inlineStr">
        <is>
          <t>N/A</t>
        </is>
      </c>
      <c r="L9671" t="inlineStr">
        <is>
          <t>AutoCAD, Phát Triển Sản Phẩm, Thiết Kế Máy Móc, Kiểm Tra Chất Lượng Linh Kiện, SolidWorks</t>
        </is>
      </c>
      <c r="M9671" t="inlineStr">
        <is>
          <t>Bonus, Healthcare Plan, Training</t>
        </is>
      </c>
      <c r="N9671" s="8">
        <f>HYPERLINK("https://www.vietnamworks.com/nhan-vien-ky-thuat-phat-trien-san-pham-co-xe-dua-don-tu-noi-thanh-ve-nha-may--2021553-jv","Xem chi tiết")</f>
        <v/>
      </c>
    </row>
    <row r="9672">
      <c r="B9672" s="9" t="n">
        <v>9670</v>
      </c>
      <c r="C9672" s="10" t="inlineStr">
        <is>
          <t>Regulatory Affairs Manager</t>
        </is>
      </c>
      <c r="D9672" s="10" t="inlineStr">
        <is>
          <t>Zuellig Pharma Viet Nam</t>
        </is>
      </c>
      <c r="E9672" s="10" t="inlineStr">
        <is>
          <t>Thương lượng</t>
        </is>
      </c>
      <c r="F9672" s="10" t="inlineStr">
        <is>
          <t>Hà Nội</t>
        </is>
      </c>
      <c r="G9672" s="10" t="inlineStr">
        <is>
          <t>Trưởng phòng</t>
        </is>
      </c>
      <c r="H9672" s="10" t="inlineStr">
        <is>
          <t>11/03/2026</t>
        </is>
      </c>
      <c r="I9672" s="10" t="inlineStr">
        <is>
          <t>10/04/2026</t>
        </is>
      </c>
      <c r="J9672" s="10" t="inlineStr">
        <is>
          <t>17/03/2026</t>
        </is>
      </c>
      <c r="K9672" s="10" t="inlineStr">
        <is>
          <t>N/A</t>
        </is>
      </c>
      <c r="L9672" s="10" t="inlineStr">
        <is>
          <t>Regulatory Affair, Product Registration, Pharmacy, Pharmaceutical Healthcare, English Communication</t>
        </is>
      </c>
      <c r="M9672" s="10" t="inlineStr">
        <is>
          <t>Bonus, Healthcare Plan, Paid Leave</t>
        </is>
      </c>
      <c r="N9672" s="11">
        <f>HYPERLINK("https://www.vietnamworks.com/regulatory-affairs-manager--2021544-jv","Xem chi tiết")</f>
        <v/>
      </c>
      <c r="O9672" s="10" t="n"/>
    </row>
    <row r="9673">
      <c r="B9673" s="7" t="n">
        <v>9671</v>
      </c>
      <c r="C9673" t="inlineStr">
        <is>
          <t>Giám Sát Xây Dựng</t>
        </is>
      </c>
      <c r="D9673" t="inlineStr">
        <is>
          <t>Công Ty TNHH Thủ Công Mỹ Nghệ Và Nội Thất Ngọc Sơn</t>
        </is>
      </c>
      <c r="E9673" t="inlineStr">
        <is>
          <t>Thương lượng</t>
        </is>
      </c>
      <c r="F9673" t="inlineStr">
        <is>
          <t>Hà Nội</t>
        </is>
      </c>
      <c r="G9673" t="inlineStr">
        <is>
          <t>Nhân viên</t>
        </is>
      </c>
      <c r="H9673" t="inlineStr">
        <is>
          <t>11/03/2026</t>
        </is>
      </c>
      <c r="I9673" t="inlineStr">
        <is>
          <t>10/04/2026</t>
        </is>
      </c>
      <c r="J9673" t="inlineStr">
        <is>
          <t>17/03/2026</t>
        </is>
      </c>
      <c r="K9673" t="inlineStr">
        <is>
          <t>N/A</t>
        </is>
      </c>
      <c r="L9673" t="inlineStr">
        <is>
          <t>Giám Sát Xây Dựng, Giao Tiếp, Hồ Sơ Xây Dựng, Quản Lý Chất Lượng, Thiết Kế Công Trình</t>
        </is>
      </c>
      <c r="M9673" t="inlineStr">
        <is>
          <t>Bonus, Healthcare Plan, Travel Opportunities, Transportation, Canteen</t>
        </is>
      </c>
      <c r="N9673" s="8">
        <f>HYPERLINK("https://www.vietnamworks.com/giam-sat-xay-dung-2021554-jv","Xem chi tiết")</f>
        <v/>
      </c>
    </row>
    <row r="9674">
      <c r="B9674" s="9" t="n">
        <v>9672</v>
      </c>
      <c r="C9674" s="10" t="inlineStr">
        <is>
          <t>Trưởng Nhóm Hành Chính – Quản Trị Văn Phòng</t>
        </is>
      </c>
      <c r="D9674" s="10" t="inlineStr">
        <is>
          <t>Công ty TNHH SX&amp;TM Minh Ngọc</t>
        </is>
      </c>
      <c r="E9674" s="10" t="inlineStr">
        <is>
          <t>17tr-22tr ₫/tháng</t>
        </is>
      </c>
      <c r="F9674" s="10" t="inlineStr">
        <is>
          <t>Hà Nội</t>
        </is>
      </c>
      <c r="G9674" s="10" t="inlineStr">
        <is>
          <t>Nhân viên</t>
        </is>
      </c>
      <c r="H9674" s="10" t="inlineStr">
        <is>
          <t>11/03/2026</t>
        </is>
      </c>
      <c r="I9674" s="10" t="inlineStr">
        <is>
          <t>10/04/2026</t>
        </is>
      </c>
      <c r="J9674" s="10" t="inlineStr">
        <is>
          <t>17/03/2026</t>
        </is>
      </c>
      <c r="K9674" s="10" t="inlineStr">
        <is>
          <t>N/A</t>
        </is>
      </c>
      <c r="L9674" s="10" t="inlineStr">
        <is>
          <t>Operation, Quản Trị Văn Phòng, Hành Chính Quản Trị, Hành chính văn phòng, Admin</t>
        </is>
      </c>
      <c r="M9674" s="10" t="inlineStr">
        <is>
          <t>Bonus, Healthcare Plan, Paid Leave, Training, Others</t>
        </is>
      </c>
      <c r="N9674" s="11">
        <f>HYPERLINK("https://www.vietnamworks.com/truong-nhom-hanh-chinh-quan-tri-van-phong-2021542-jv","Xem chi tiết")</f>
        <v/>
      </c>
      <c r="O9674" s="10" t="n"/>
    </row>
    <row r="9675">
      <c r="B9675" s="7" t="n">
        <v>9673</v>
      </c>
      <c r="C9675" t="inlineStr">
        <is>
          <t>CHUYÊN VIÊN KẾ HOẠCH</t>
        </is>
      </c>
      <c r="D9675" t="inlineStr">
        <is>
          <t>CÔNG TY CỔ PHẦN CƠ ĐIỆN HỢP LỰC</t>
        </is>
      </c>
      <c r="E9675" t="inlineStr">
        <is>
          <t>15tr-25tr ₫/tháng</t>
        </is>
      </c>
      <c r="F9675" t="inlineStr">
        <is>
          <t>Hà Nội</t>
        </is>
      </c>
      <c r="G9675" t="inlineStr">
        <is>
          <t>Nhân viên</t>
        </is>
      </c>
      <c r="H9675" t="inlineStr">
        <is>
          <t>11/03/2026</t>
        </is>
      </c>
      <c r="I9675" t="inlineStr">
        <is>
          <t>10/04/2026</t>
        </is>
      </c>
      <c r="J9675" t="inlineStr">
        <is>
          <t>17/03/2026</t>
        </is>
      </c>
      <c r="K9675" t="inlineStr">
        <is>
          <t>N/A</t>
        </is>
      </c>
      <c r="L9675" t="inlineStr">
        <is>
          <t>BOQ, CAD, Project Planning, QS, Thi Công Nội Thất</t>
        </is>
      </c>
      <c r="M9675" t="inlineStr">
        <is>
          <t>Bonus, Healthcare Plan, Paid Leave, Training, Travel Opportunities, Others</t>
        </is>
      </c>
      <c r="N9675" s="8">
        <f>HYPERLINK("https://www.vietnamworks.com/chuyen-vien-ke-hoach-2021561-jv","Xem chi tiết")</f>
        <v/>
      </c>
    </row>
    <row r="9676">
      <c r="B9676" s="9" t="n">
        <v>9674</v>
      </c>
      <c r="C9676" s="10" t="inlineStr">
        <is>
          <t>Nhân Viên Khai Báo Hải Quan</t>
        </is>
      </c>
      <c r="D9676" s="10" t="inlineStr">
        <is>
          <t>Công ty TNHH Dịch vụ tư vấn Thuận Phát VN</t>
        </is>
      </c>
      <c r="E9676" s="10" t="inlineStr">
        <is>
          <t>15tr-20tr ₫/tháng</t>
        </is>
      </c>
      <c r="F9676" s="10" t="inlineStr">
        <is>
          <t>Hồ Chí Minh</t>
        </is>
      </c>
      <c r="G9676" s="10" t="inlineStr">
        <is>
          <t>Nhân viên</t>
        </is>
      </c>
      <c r="H9676" s="10" t="inlineStr">
        <is>
          <t>11/03/2026</t>
        </is>
      </c>
      <c r="I9676" s="10" t="inlineStr">
        <is>
          <t>10/04/2026</t>
        </is>
      </c>
      <c r="J9676" s="10" t="inlineStr">
        <is>
          <t>17/03/2026</t>
        </is>
      </c>
      <c r="K9676" s="10" t="inlineStr">
        <is>
          <t>N/A</t>
        </is>
      </c>
      <c r="L9676" s="10" t="inlineStr">
        <is>
          <t>Khai Báo Hải Quan, Custom Clearance, Xuất Nhập Khẩu, Hải Quan, Thương Mại Quốc Tế</t>
        </is>
      </c>
      <c r="M9676" s="10" t="inlineStr">
        <is>
          <t>Bonus, Healthcare Plan, Training, Travel Opportunities, Others</t>
        </is>
      </c>
      <c r="N9676" s="11">
        <f>HYPERLINK("https://www.vietnamworks.com/nhan-vien-khai-bao-hai-quan-2021557-jv","Xem chi tiết")</f>
        <v/>
      </c>
      <c r="O9676" s="10" t="n"/>
    </row>
    <row r="9677">
      <c r="B9677" s="7" t="n">
        <v>9675</v>
      </c>
      <c r="C9677" t="inlineStr">
        <is>
          <t>Mechanical Design Leader/ Piping Leader (Ha Noi)</t>
        </is>
      </c>
      <c r="D9677" t="inlineStr">
        <is>
          <t>Organo (Vietnam) Company Limited</t>
        </is>
      </c>
      <c r="E9677" t="inlineStr">
        <is>
          <t>Thương lượng</t>
        </is>
      </c>
      <c r="F9677" t="inlineStr">
        <is>
          <t>Hà Nội</t>
        </is>
      </c>
      <c r="G9677" t="inlineStr">
        <is>
          <t>Nhân viên</t>
        </is>
      </c>
      <c r="H9677" t="inlineStr">
        <is>
          <t>11/03/2026</t>
        </is>
      </c>
      <c r="I9677" t="inlineStr">
        <is>
          <t>10/04/2026</t>
        </is>
      </c>
      <c r="J9677" t="inlineStr">
        <is>
          <t>17/03/2026</t>
        </is>
      </c>
      <c r="K9677" t="inlineStr">
        <is>
          <t>N/A</t>
        </is>
      </c>
      <c r="L9677" t="inlineStr">
        <is>
          <t>BIM, Piping Design, AutoCAD Plant 3D, Water Treatment, JIS Standards</t>
        </is>
      </c>
      <c r="M9677" t="inlineStr">
        <is>
          <t>Bonus, Healthcare Plan, Team Activities</t>
        </is>
      </c>
      <c r="N9677" s="8">
        <f>HYPERLINK("https://www.vietnamworks.com/mechanical-design-leader-piping-leader-ha-noi-2021551-jv","Xem chi tiết")</f>
        <v/>
      </c>
    </row>
    <row r="9678">
      <c r="B9678" s="9" t="n">
        <v>9676</v>
      </c>
      <c r="C9678" s="10" t="inlineStr">
        <is>
          <t>Nhân Viên Sales Thị Trường Săm Lốp Xe Đạp (Chi Nhánh Miền Nam)</t>
        </is>
      </c>
      <c r="D9678" s="10" t="inlineStr">
        <is>
          <t>INOUE Rubber Vietnam CO., LTD.</t>
        </is>
      </c>
      <c r="E9678" s="10" t="inlineStr">
        <is>
          <t>8tr-13tr ₫/tháng</t>
        </is>
      </c>
      <c r="F9678" s="10" t="inlineStr">
        <is>
          <t>Hồ Chí Minh</t>
        </is>
      </c>
      <c r="G9678" s="10" t="inlineStr">
        <is>
          <t>Nhân viên</t>
        </is>
      </c>
      <c r="H9678" s="10" t="inlineStr">
        <is>
          <t>11/03/2026</t>
        </is>
      </c>
      <c r="I9678" s="10" t="inlineStr">
        <is>
          <t>10/04/2026</t>
        </is>
      </c>
      <c r="J9678" s="10" t="inlineStr">
        <is>
          <t>17/03/2026</t>
        </is>
      </c>
      <c r="K9678" s="10" t="inlineStr">
        <is>
          <t>N/A</t>
        </is>
      </c>
      <c r="L9678" s="10" t="inlineStr">
        <is>
          <t>Tư Vấn Kỹ Thuật, Phát Triển Thị Trường, Quản Lý Đơn Hàng, Chăm Sóc Khách Hàng, Sáng Tạo Nội Dung</t>
        </is>
      </c>
      <c r="M9678" s="10" t="inlineStr">
        <is>
          <t>Training, Awards, Team Activities</t>
        </is>
      </c>
      <c r="N9678" s="11">
        <f>HYPERLINK("https://www.vietnamworks.com/nhan-vien-sales-thi-truong-sam-lop-xe-dap-chi-nhanh-mien-nam--2021578-jv","Xem chi tiết")</f>
        <v/>
      </c>
      <c r="O9678" s="10" t="n"/>
    </row>
    <row r="9679">
      <c r="B9679" s="7" t="n">
        <v>9677</v>
      </c>
      <c r="C9679" t="inlineStr">
        <is>
          <t>Quản Lý Kinh Doanh Vùng (ASM)</t>
        </is>
      </c>
      <c r="D9679" t="inlineStr">
        <is>
          <t>Công Ty TNHH Trung Sơn Alpha (Hệ Thống Nhà Thuốc Trung Sơn)</t>
        </is>
      </c>
      <c r="E9679" t="inlineStr">
        <is>
          <t>Thương lượng</t>
        </is>
      </c>
      <c r="F9679" t="inlineStr">
        <is>
          <t>Cần Thơ, An Giang</t>
        </is>
      </c>
      <c r="G9679" t="inlineStr">
        <is>
          <t>Trưởng phòng</t>
        </is>
      </c>
      <c r="H9679" t="inlineStr">
        <is>
          <t>11/03/2026</t>
        </is>
      </c>
      <c r="I9679" t="inlineStr">
        <is>
          <t>10/04/2026</t>
        </is>
      </c>
      <c r="J9679" t="inlineStr">
        <is>
          <t>17/03/2026</t>
        </is>
      </c>
      <c r="K9679" t="inlineStr">
        <is>
          <t>N/A</t>
        </is>
      </c>
      <c r="L9679" t="inlineStr">
        <is>
          <t>Quản Lý Kinh Doanh, Phân Tích Thị Trường, Giao Tiếp, Đào Tạo Nhân Sự, Phát Triển Kinh Doanh</t>
        </is>
      </c>
      <c r="M9679" t="inlineStr">
        <is>
          <t>Bonus, Paid Leave, Training</t>
        </is>
      </c>
      <c r="N9679" s="8">
        <f>HYPERLINK("https://www.vietnamworks.com/quan-ly-kinh-doanh-vung-asm-2021562-jv","Xem chi tiết")</f>
        <v/>
      </c>
    </row>
    <row r="9680">
      <c r="B9680" s="9" t="n">
        <v>9678</v>
      </c>
      <c r="C9680" s="10" t="inlineStr">
        <is>
          <t>Kế Toán Tổng Hợp Tại Hà Nội</t>
        </is>
      </c>
      <c r="D9680" s="10" t="inlineStr">
        <is>
          <t>Công Ty Cổ Phần Đầu Tư Và Công Nghệ Bắc Hà</t>
        </is>
      </c>
      <c r="E9680" s="10" t="inlineStr">
        <is>
          <t>Thương lượng</t>
        </is>
      </c>
      <c r="F9680" s="10" t="inlineStr">
        <is>
          <t>Hà Nội</t>
        </is>
      </c>
      <c r="G9680" s="10" t="inlineStr">
        <is>
          <t>Trưởng phòng</t>
        </is>
      </c>
      <c r="H9680" s="10" t="inlineStr">
        <is>
          <t>11/03/2026</t>
        </is>
      </c>
      <c r="I9680" s="10" t="inlineStr">
        <is>
          <t>10/04/2026</t>
        </is>
      </c>
      <c r="J9680" s="10" t="inlineStr">
        <is>
          <t>17/03/2026</t>
        </is>
      </c>
      <c r="K9680" s="10" t="inlineStr">
        <is>
          <t>N/A</t>
        </is>
      </c>
      <c r="L9680" s="10" t="inlineStr">
        <is>
          <t>Tài Chính Kế Toán, Báo Cáo Tài Chính, Hạch Toán Khấu Hao, Quản Lý Công Nợ, Theo Dõi Tồn Kho</t>
        </is>
      </c>
      <c r="M9680" s="10" t="inlineStr">
        <is>
          <t>Bonus, Healthcare Plan, Team Activities, Others</t>
        </is>
      </c>
      <c r="N9680" s="11">
        <f>HYPERLINK("https://www.vietnamworks.com/ke-toan-tong-hop-tai-ha-noi-2021567-jv","Xem chi tiết")</f>
        <v/>
      </c>
      <c r="O9680" s="10" t="n"/>
    </row>
    <row r="9681">
      <c r="B9681" s="7" t="n">
        <v>9679</v>
      </c>
      <c r="C9681" t="inlineStr">
        <is>
          <t>Quản Lý Tài Chính Toàn Cầu</t>
        </is>
      </c>
      <c r="D9681" t="inlineStr">
        <is>
          <t>Công Ty Phát Triển Trạm Sạc Toàn Cầu V-Green</t>
        </is>
      </c>
      <c r="E9681" t="inlineStr">
        <is>
          <t>Thương lượng</t>
        </is>
      </c>
      <c r="F9681" t="inlineStr">
        <is>
          <t>Hà Nội</t>
        </is>
      </c>
      <c r="G9681" t="inlineStr">
        <is>
          <t>Nhân viên</t>
        </is>
      </c>
      <c r="H9681" t="inlineStr">
        <is>
          <t>11/03/2026</t>
        </is>
      </c>
      <c r="I9681" t="inlineStr">
        <is>
          <t>10/04/2026</t>
        </is>
      </c>
      <c r="J9681" t="inlineStr">
        <is>
          <t>17/03/2026</t>
        </is>
      </c>
      <c r="K9681" t="inlineStr">
        <is>
          <t>N/A</t>
        </is>
      </c>
      <c r="L9681" t="inlineStr">
        <is>
          <t>Giao Tiếp, Kế Toán, Kiểm Toán, Kinh Tế, Tài Chính</t>
        </is>
      </c>
      <c r="M9681" t="inlineStr">
        <is>
          <t>Laptop</t>
        </is>
      </c>
      <c r="N9681" s="8">
        <f>HYPERLINK("https://www.vietnamworks.com/quan-ly-tai-chinh-toan-cau-2021579-jv","Xem chi tiết")</f>
        <v/>
      </c>
    </row>
    <row r="9682">
      <c r="B9682" s="9" t="n">
        <v>9680</v>
      </c>
      <c r="C9682" s="10" t="inlineStr">
        <is>
          <t>Chuyên Viên Kế Hoạch MEP</t>
        </is>
      </c>
      <c r="D9682" s="10" t="inlineStr">
        <is>
          <t>CÔNG TY CỔ PHẦN CƠ ĐIỆN HỢP LỰC</t>
        </is>
      </c>
      <c r="E9682" s="10" t="inlineStr">
        <is>
          <t>15tr-20tr ₫/tháng</t>
        </is>
      </c>
      <c r="F9682" s="10" t="inlineStr">
        <is>
          <t>Hà Nội</t>
        </is>
      </c>
      <c r="G9682" s="10" t="inlineStr">
        <is>
          <t>Nhân viên</t>
        </is>
      </c>
      <c r="H9682" s="10" t="inlineStr">
        <is>
          <t>11/03/2026</t>
        </is>
      </c>
      <c r="I9682" s="10" t="inlineStr">
        <is>
          <t>10/04/2026</t>
        </is>
      </c>
      <c r="J9682" s="10" t="inlineStr">
        <is>
          <t>17/03/2026</t>
        </is>
      </c>
      <c r="K9682" s="10" t="inlineStr">
        <is>
          <t>N/A</t>
        </is>
      </c>
      <c r="L9682" s="10" t="inlineStr">
        <is>
          <t>BOQ, HVAC, MEP Design, Project Management, QS</t>
        </is>
      </c>
      <c r="M9682" s="10" t="inlineStr">
        <is>
          <t>Bonus, Healthcare Plan, Paid Leave, Training, Travel Opportunities, Others</t>
        </is>
      </c>
      <c r="N9682" s="11">
        <f>HYPERLINK("https://www.vietnamworks.com/chuyen-vien-ke-hoach-mep-2021558-jv","Xem chi tiết")</f>
        <v/>
      </c>
      <c r="O9682" s="10" t="n"/>
    </row>
    <row r="9683">
      <c r="B9683" s="7" t="n">
        <v>9681</v>
      </c>
      <c r="C9683" t="inlineStr">
        <is>
          <t>Senior Accountant</t>
        </is>
      </c>
      <c r="D9683" t="inlineStr">
        <is>
          <t>Crossian Việt Nam</t>
        </is>
      </c>
      <c r="E9683" t="inlineStr">
        <is>
          <t>Thương lượng</t>
        </is>
      </c>
      <c r="F9683" t="inlineStr">
        <is>
          <t>Hà Nội</t>
        </is>
      </c>
      <c r="G9683" t="inlineStr">
        <is>
          <t>Nhân viên</t>
        </is>
      </c>
      <c r="H9683" t="inlineStr">
        <is>
          <t>11/03/2026</t>
        </is>
      </c>
      <c r="I9683" t="inlineStr">
        <is>
          <t>10/04/2026</t>
        </is>
      </c>
      <c r="J9683" t="inlineStr">
        <is>
          <t>17/03/2026</t>
        </is>
      </c>
      <c r="K9683" t="inlineStr">
        <is>
          <t>N/A</t>
        </is>
      </c>
      <c r="L9683" t="inlineStr">
        <is>
          <t>Finance, Kế Toán, Kế Toán Tổng Hợp, CPA, ACCA</t>
        </is>
      </c>
      <c r="M9683" t="inlineStr">
        <is>
          <t>Bonus, Training, Team Activities</t>
        </is>
      </c>
      <c r="N9683" s="8">
        <f>HYPERLINK("https://www.vietnamworks.com/senior-accountant--2021575-jv","Xem chi tiết")</f>
        <v/>
      </c>
    </row>
    <row r="9684">
      <c r="B9684" s="9" t="n">
        <v>9682</v>
      </c>
      <c r="C9684" s="10" t="inlineStr">
        <is>
          <t>Nhân Viên Tư Vấn &amp; Phát Triển Kinh Doanh (Direct Sales)</t>
        </is>
      </c>
      <c r="D9684" s="10" t="inlineStr">
        <is>
          <t>HSBC Vietnam</t>
        </is>
      </c>
      <c r="E9684" s="10" t="inlineStr">
        <is>
          <t>Thương lượng</t>
        </is>
      </c>
      <c r="F9684" s="10" t="inlineStr">
        <is>
          <t>Hà Nội, Hồ Chí Minh</t>
        </is>
      </c>
      <c r="G9684" s="10" t="inlineStr">
        <is>
          <t>Nhân viên</t>
        </is>
      </c>
      <c r="H9684" s="10" t="inlineStr">
        <is>
          <t>11/03/2026</t>
        </is>
      </c>
      <c r="I9684" s="10" t="inlineStr">
        <is>
          <t>10/04/2026</t>
        </is>
      </c>
      <c r="J9684" s="10" t="inlineStr">
        <is>
          <t>17/03/2026</t>
        </is>
      </c>
      <c r="K9684" s="10" t="inlineStr">
        <is>
          <t>N/A</t>
        </is>
      </c>
      <c r="L9684" s="10" t="inlineStr">
        <is>
          <t>Business Development, Banking, Tư Vấn, Chăm Sóc Khách Hàng, Bán hàng</t>
        </is>
      </c>
      <c r="M9684" s="10" t="inlineStr">
        <is>
          <t>Bonus, Healthcare Plan, Awards</t>
        </is>
      </c>
      <c r="N9684" s="11">
        <f>HYPERLINK("https://www.vietnamworks.com/nhan-vien-tu-van-phat-trien-kinh-doanh-direct-sales--2021572-jv","Xem chi tiết")</f>
        <v/>
      </c>
      <c r="O9684" s="10" t="n"/>
    </row>
    <row r="9685">
      <c r="B9685" s="7" t="n">
        <v>9683</v>
      </c>
      <c r="C9685" t="inlineStr">
        <is>
          <t>Chuyên Viên Kiểm Soát Chất Lượng - Contact Center</t>
        </is>
      </c>
      <c r="D9685" t="inlineStr">
        <is>
          <t>Trusting Social</t>
        </is>
      </c>
      <c r="E9685" t="inlineStr">
        <is>
          <t>Thương lượng</t>
        </is>
      </c>
      <c r="F9685" t="inlineStr">
        <is>
          <t>Hà Nội, Hồ Chí Minh</t>
        </is>
      </c>
      <c r="G9685" t="inlineStr">
        <is>
          <t>Nhân viên</t>
        </is>
      </c>
      <c r="H9685" t="inlineStr">
        <is>
          <t>11/03/2026</t>
        </is>
      </c>
      <c r="I9685" t="inlineStr">
        <is>
          <t>10/04/2026</t>
        </is>
      </c>
      <c r="J9685" t="inlineStr">
        <is>
          <t>17/03/2026</t>
        </is>
      </c>
      <c r="K9685" t="inlineStr">
        <is>
          <t>N/A</t>
        </is>
      </c>
      <c r="L9685" t="inlineStr">
        <is>
          <t>QA/ QC, Contact Center, Call Center, CSKH Online</t>
        </is>
      </c>
      <c r="M9685" t="inlineStr">
        <is>
          <t>Healthcare Plan, Canteen, Others</t>
        </is>
      </c>
      <c r="N9685" s="8">
        <f>HYPERLINK("https://www.vietnamworks.com/chuyen-vien-kiem-soat-chat-luong-contact-center-2021560-jv","Xem chi tiết")</f>
        <v/>
      </c>
    </row>
    <row r="9686">
      <c r="B9686" s="9" t="n">
        <v>9684</v>
      </c>
      <c r="C9686" s="10" t="inlineStr">
        <is>
          <t>Nhân Viên Kinh Doanh- Sale Logistics Khu Vực Hà Nội - Lương Lên Đến $1500</t>
        </is>
      </c>
      <c r="D9686" s="10" t="inlineStr">
        <is>
          <t>WYD Group Vietnam</t>
        </is>
      </c>
      <c r="E9686" s="10" t="inlineStr">
        <is>
          <t>Tới $ 1,500 /tháng</t>
        </is>
      </c>
      <c r="F9686" s="10" t="inlineStr">
        <is>
          <t>Hà Nội</t>
        </is>
      </c>
      <c r="G9686" s="10" t="inlineStr">
        <is>
          <t>Nhân viên</t>
        </is>
      </c>
      <c r="H9686" s="10" t="inlineStr">
        <is>
          <t>11/03/2026</t>
        </is>
      </c>
      <c r="I9686" s="10" t="inlineStr">
        <is>
          <t>10/04/2026</t>
        </is>
      </c>
      <c r="J9686" s="10" t="inlineStr">
        <is>
          <t>17/03/2026</t>
        </is>
      </c>
      <c r="K9686" s="10" t="inlineStr">
        <is>
          <t>N/A</t>
        </is>
      </c>
      <c r="L9686" s="10" t="inlineStr">
        <is>
          <t>Kinh Doanh, Bán Hàng, Business Development, Kinh Doanh Quốc Tế, Tư Vấn Dịch Vụ</t>
        </is>
      </c>
      <c r="M9686" s="10" t="inlineStr">
        <is>
          <t>Bonus, Travel Opportunities, Others</t>
        </is>
      </c>
      <c r="N9686" s="11">
        <f>HYPERLINK("https://www.vietnamworks.com/nhan-vien-kinh-doanh-sale-logistics-khu-vuc-ha-noi-luong-len-den-1500-2021594-jv","Xem chi tiết")</f>
        <v/>
      </c>
      <c r="O9686" s="10" t="n"/>
    </row>
    <row r="9687">
      <c r="B9687" s="7" t="n">
        <v>9685</v>
      </c>
      <c r="C9687" t="inlineStr">
        <is>
          <t>Kiến Trúc Sư</t>
        </is>
      </c>
      <c r="D9687" t="inlineStr">
        <is>
          <t>Pyra Ixi</t>
        </is>
      </c>
      <c r="E9687" t="inlineStr">
        <is>
          <t>12tr-17tr ₫/tháng</t>
        </is>
      </c>
      <c r="F9687" t="inlineStr">
        <is>
          <t>Hồ Chí Minh</t>
        </is>
      </c>
      <c r="G9687" t="inlineStr">
        <is>
          <t>Nhân viên</t>
        </is>
      </c>
      <c r="H9687" t="inlineStr">
        <is>
          <t>11/03/2026</t>
        </is>
      </c>
      <c r="I9687" t="inlineStr">
        <is>
          <t>10/04/2026</t>
        </is>
      </c>
      <c r="J9687" t="inlineStr">
        <is>
          <t>17/03/2026</t>
        </is>
      </c>
      <c r="K9687" t="inlineStr">
        <is>
          <t>N/A</t>
        </is>
      </c>
      <c r="L9687" t="inlineStr">
        <is>
          <t>Architectural Design, CAD Software, INTERNATIONAL BUILDING CODE, Communication Skill, Architectural Drawing</t>
        </is>
      </c>
      <c r="M9687" t="inlineStr">
        <is>
          <t>Bonus, Healthcare Plan</t>
        </is>
      </c>
      <c r="N9687" s="8">
        <f>HYPERLINK("https://www.vietnamworks.com/kien-truc-su-2021582-jv","Xem chi tiết")</f>
        <v/>
      </c>
    </row>
    <row r="9688">
      <c r="B9688" s="9" t="n">
        <v>9686</v>
      </c>
      <c r="C9688" s="10" t="inlineStr">
        <is>
          <t>Coating Advisor (Giám Sát Kỹ Thuật Sơn) - Hải Phòng</t>
        </is>
      </c>
      <c r="D9688" s="10" t="inlineStr">
        <is>
          <t>Jotun Paints Vietnam Company Limited</t>
        </is>
      </c>
      <c r="E9688" s="10" t="inlineStr">
        <is>
          <t>Thương lượng</t>
        </is>
      </c>
      <c r="F9688" s="10" t="inlineStr">
        <is>
          <t>Hải Phòng</t>
        </is>
      </c>
      <c r="G9688" s="10" t="inlineStr">
        <is>
          <t>Nhân viên</t>
        </is>
      </c>
      <c r="H9688" s="10" t="inlineStr">
        <is>
          <t>11/03/2026</t>
        </is>
      </c>
      <c r="I9688" s="10" t="inlineStr">
        <is>
          <t>10/04/2026</t>
        </is>
      </c>
      <c r="J9688" s="10" t="inlineStr">
        <is>
          <t>17/03/2026</t>
        </is>
      </c>
      <c r="K9688" s="10" t="inlineStr">
        <is>
          <t>N/A</t>
        </is>
      </c>
      <c r="L9688" s="10" t="inlineStr">
        <is>
          <t>Technical Support, English, Coatings Supervision, Paint Technology, Coatings</t>
        </is>
      </c>
      <c r="M9688" s="10" t="inlineStr">
        <is>
          <t>Bonus, Healthcare Plan, Training</t>
        </is>
      </c>
      <c r="N9688" s="11">
        <f>HYPERLINK("https://www.vietnamworks.com/coating-advisor-giam-sat-ky-thuat-son-hai-phong--2021574-jv","Xem chi tiết")</f>
        <v/>
      </c>
      <c r="O9688" s="10" t="n"/>
    </row>
    <row r="9689">
      <c r="B9689" s="7" t="n">
        <v>9687</v>
      </c>
      <c r="C9689" t="inlineStr">
        <is>
          <t>Marketing Communications Manager</t>
        </is>
      </c>
      <c r="D9689" t="inlineStr">
        <is>
          <t>Jotun Paints Vietnam Company Limited</t>
        </is>
      </c>
      <c r="E9689" t="inlineStr">
        <is>
          <t>Thương lượng</t>
        </is>
      </c>
      <c r="F9689" t="inlineStr">
        <is>
          <t>Hồ Chí Minh</t>
        </is>
      </c>
      <c r="G9689" t="inlineStr">
        <is>
          <t>Trưởng phòng</t>
        </is>
      </c>
      <c r="H9689" t="inlineStr">
        <is>
          <t>11/03/2026</t>
        </is>
      </c>
      <c r="I9689" t="inlineStr">
        <is>
          <t>10/04/2026</t>
        </is>
      </c>
      <c r="J9689" t="inlineStr">
        <is>
          <t>17/03/2026</t>
        </is>
      </c>
      <c r="K9689" t="inlineStr">
        <is>
          <t>N/A</t>
        </is>
      </c>
      <c r="L9689" t="inlineStr">
        <is>
          <t>Communication Strategic Planning, Digital Marketing, Strategic Planning, Agency Management, Campaign Management</t>
        </is>
      </c>
      <c r="M9689" t="inlineStr">
        <is>
          <t>Bonus, Healthcare Plan, Training, Team Activities, Others</t>
        </is>
      </c>
      <c r="N9689" s="8">
        <f>HYPERLINK("https://www.vietnamworks.com/marketing-communications-manager-2021570-jv","Xem chi tiết")</f>
        <v/>
      </c>
    </row>
    <row r="9690">
      <c r="B9690" s="9" t="n">
        <v>9688</v>
      </c>
      <c r="C9690" s="10" t="inlineStr">
        <is>
          <t>Corporate Legal Officer</t>
        </is>
      </c>
      <c r="D9690" s="10" t="inlineStr">
        <is>
          <t>Central Retail in Vietnam</t>
        </is>
      </c>
      <c r="E9690" s="10" t="inlineStr">
        <is>
          <t>$$ 700-1,500 /tháng</t>
        </is>
      </c>
      <c r="F9690" s="10" t="inlineStr">
        <is>
          <t>Hà Nội</t>
        </is>
      </c>
      <c r="G9690" s="10" t="inlineStr">
        <is>
          <t>Nhân viên</t>
        </is>
      </c>
      <c r="H9690" s="10" t="inlineStr">
        <is>
          <t>11/03/2026</t>
        </is>
      </c>
      <c r="I9690" s="10" t="inlineStr">
        <is>
          <t>10/04/2026</t>
        </is>
      </c>
      <c r="J9690" s="10" t="inlineStr">
        <is>
          <t>17/03/2026</t>
        </is>
      </c>
      <c r="K9690" s="10" t="inlineStr">
        <is>
          <t>N/A</t>
        </is>
      </c>
      <c r="L9690" s="10" t="inlineStr">
        <is>
          <t>English proficiency, Legal Research, Licensing, Legal Consulting</t>
        </is>
      </c>
      <c r="M9690" s="10" t="inlineStr">
        <is>
          <t>Bonus, Healthcare Plan, Paid Leave</t>
        </is>
      </c>
      <c r="N9690" s="11">
        <f>HYPERLINK("https://www.vietnamworks.com/corporate-legal-officer--2021599-jv","Xem chi tiết")</f>
        <v/>
      </c>
      <c r="O9690" s="10" t="n"/>
    </row>
    <row r="9691">
      <c r="B9691" s="7" t="n">
        <v>9689</v>
      </c>
      <c r="C9691" t="inlineStr">
        <is>
          <t>Trợ Lý Giám Đốc (Tiếng Anh Tốt)</t>
        </is>
      </c>
      <c r="D9691" t="inlineStr">
        <is>
          <t>Công Ty TNHH Tư vấn Thiết kế Đầu tư Xây dựng Việt Quốc</t>
        </is>
      </c>
      <c r="E9691" t="inlineStr">
        <is>
          <t>Thương lượng</t>
        </is>
      </c>
      <c r="F9691" t="inlineStr">
        <is>
          <t>Hồ Chí Minh</t>
        </is>
      </c>
      <c r="G9691" t="inlineStr">
        <is>
          <t>Nhân viên</t>
        </is>
      </c>
      <c r="H9691" t="inlineStr">
        <is>
          <t>11/03/2026</t>
        </is>
      </c>
      <c r="I9691" t="inlineStr">
        <is>
          <t>10/04/2026</t>
        </is>
      </c>
      <c r="J9691" t="inlineStr">
        <is>
          <t>17/03/2026</t>
        </is>
      </c>
      <c r="K9691" t="inlineStr">
        <is>
          <t>N/A</t>
        </is>
      </c>
      <c r="L9691" t="inlineStr">
        <is>
          <t>Trợ Lý, Kinh Tế Thương Mại, Marketing, Quản trị Kinh doanh</t>
        </is>
      </c>
      <c r="M9691" t="inlineStr">
        <is>
          <t>Bonus, Healthcare Plan, Others</t>
        </is>
      </c>
      <c r="N9691" s="8">
        <f>HYPERLINK("https://www.vietnamworks.com/tro-ly-giam-djoc-tieng-anh-tot-2021596-jv","Xem chi tiết")</f>
        <v/>
      </c>
    </row>
    <row r="9692">
      <c r="B9692" s="9" t="n">
        <v>9690</v>
      </c>
      <c r="C9692" s="10" t="inlineStr">
        <is>
          <t>Senior Accountant</t>
        </is>
      </c>
      <c r="D9692" s="10" t="inlineStr">
        <is>
          <t>Công Ty Cổ Phần Kết Cấu Thép Remark</t>
        </is>
      </c>
      <c r="E9692" s="10" t="inlineStr">
        <is>
          <t>22tr-28tr ₫/tháng</t>
        </is>
      </c>
      <c r="F9692" s="10" t="inlineStr">
        <is>
          <t>Hồ Chí Minh</t>
        </is>
      </c>
      <c r="G9692" s="10" t="inlineStr">
        <is>
          <t>Nhân viên</t>
        </is>
      </c>
      <c r="H9692" s="10" t="inlineStr">
        <is>
          <t>11/03/2026</t>
        </is>
      </c>
      <c r="I9692" s="10" t="inlineStr">
        <is>
          <t>10/04/2026</t>
        </is>
      </c>
      <c r="J9692" s="10" t="inlineStr">
        <is>
          <t>17/03/2026</t>
        </is>
      </c>
      <c r="K9692" s="10" t="inlineStr">
        <is>
          <t>N/A</t>
        </is>
      </c>
      <c r="L9692" s="10" t="inlineStr">
        <is>
          <t>Accounting Standards, Tax Compliance, Financial Strategy, Accounting Software Proficiency, Analytical Skills</t>
        </is>
      </c>
      <c r="M9692" s="10" t="inlineStr">
        <is>
          <t>Bonus, Training, Travel Opportunities, Team Activities, Others</t>
        </is>
      </c>
      <c r="N9692" s="11">
        <f>HYPERLINK("https://www.vietnamworks.com/senior-accountant-2021600-jv","Xem chi tiết")</f>
        <v/>
      </c>
      <c r="O9692" s="10" t="n"/>
    </row>
    <row r="9693">
      <c r="B9693" s="7" t="n">
        <v>9691</v>
      </c>
      <c r="C9693" t="inlineStr">
        <is>
          <t>Kế Toán Tổng Hợp Lương 15Tr-25Tr</t>
        </is>
      </c>
      <c r="D9693" t="inlineStr">
        <is>
          <t>CÔNG TY TNHH DƯỢC PHẨM ZIO PHARMA</t>
        </is>
      </c>
      <c r="E9693" t="inlineStr">
        <is>
          <t>15tr-25tr ₫/tháng</t>
        </is>
      </c>
      <c r="F9693" t="inlineStr">
        <is>
          <t>Hà Nội</t>
        </is>
      </c>
      <c r="G9693" t="inlineStr">
        <is>
          <t>Nhân viên</t>
        </is>
      </c>
      <c r="H9693" t="inlineStr">
        <is>
          <t>11/03/2026</t>
        </is>
      </c>
      <c r="I9693" t="inlineStr">
        <is>
          <t>10/04/2026</t>
        </is>
      </c>
      <c r="J9693" t="inlineStr">
        <is>
          <t>17/03/2026</t>
        </is>
      </c>
      <c r="K9693" t="inlineStr">
        <is>
          <t>N/A</t>
        </is>
      </c>
      <c r="L9693" t="inlineStr">
        <is>
          <t>Kế Toán Tài Chính, Quản Lý Kế Toán, MISA Accounting Software, Tài Chính Doanh Nghiệp, Hạch Toán</t>
        </is>
      </c>
      <c r="M9693" t="inlineStr">
        <is>
          <t>Bonus, Healthcare Plan, Others</t>
        </is>
      </c>
      <c r="N9693" s="8">
        <f>HYPERLINK("https://www.vietnamworks.com/ke-toan-tong-hop-luong-15tr-25tr-2021590-jv","Xem chi tiết")</f>
        <v/>
      </c>
    </row>
    <row r="9694">
      <c r="B9694" s="9" t="n">
        <v>9692</v>
      </c>
      <c r="C9694" s="10" t="inlineStr">
        <is>
          <t>Hà Nội+ HCM - Kỹ Sư Giám Sát Công Trường</t>
        </is>
      </c>
      <c r="D9694" s="10" t="inlineStr">
        <is>
          <t>Công Ty Cổ Phần Giải Pháp Tự Động Hóa Etek</t>
        </is>
      </c>
      <c r="E9694" s="10" t="inlineStr">
        <is>
          <t>Thương lượng</t>
        </is>
      </c>
      <c r="F9694" s="10" t="inlineStr">
        <is>
          <t>Hà Nội, Hồ Chí Minh</t>
        </is>
      </c>
      <c r="G9694" s="10" t="inlineStr">
        <is>
          <t>Nhân viên</t>
        </is>
      </c>
      <c r="H9694" s="10" t="inlineStr">
        <is>
          <t>11/03/2026</t>
        </is>
      </c>
      <c r="I9694" s="10" t="inlineStr">
        <is>
          <t>10/04/2026</t>
        </is>
      </c>
      <c r="J9694" s="10" t="inlineStr">
        <is>
          <t>17/03/2026</t>
        </is>
      </c>
      <c r="K9694" s="10" t="inlineStr">
        <is>
          <t>N/A</t>
        </is>
      </c>
      <c r="L9694" s="10" t="inlineStr">
        <is>
          <t>Giám Sát Công Trường, Xây Dựng, Điện tử, Cơ Khí, Xây Dựng Công Trình</t>
        </is>
      </c>
      <c r="M9694" s="10" t="inlineStr">
        <is>
          <t>Bonus, Healthcare Plan, Awards</t>
        </is>
      </c>
      <c r="N9694" s="11">
        <f>HYPERLINK("https://www.vietnamworks.com/ha-noi-hcm-ky-su-giam-sat-cong-truong-2021581-jv","Xem chi tiết")</f>
        <v/>
      </c>
      <c r="O9694" s="10" t="n"/>
    </row>
    <row r="9695">
      <c r="B9695" s="7" t="n">
        <v>9693</v>
      </c>
      <c r="C9695" t="inlineStr">
        <is>
          <t>Planning Staff (Production Control) / Nhân Viên Kế Hoạch</t>
        </is>
      </c>
      <c r="D9695" t="inlineStr">
        <is>
          <t>Spindex Industries (Hanoi) Co., Ltd</t>
        </is>
      </c>
      <c r="E9695" t="inlineStr">
        <is>
          <t>$$ 600-1,000 /tháng</t>
        </is>
      </c>
      <c r="F9695" t="inlineStr">
        <is>
          <t>Hà Nội</t>
        </is>
      </c>
      <c r="G9695" t="inlineStr">
        <is>
          <t>Nhân viên</t>
        </is>
      </c>
      <c r="H9695" t="inlineStr">
        <is>
          <t>11/03/2026</t>
        </is>
      </c>
      <c r="I9695" t="inlineStr">
        <is>
          <t>10/04/2026</t>
        </is>
      </c>
      <c r="J9695" t="inlineStr">
        <is>
          <t>17/03/2026</t>
        </is>
      </c>
      <c r="K9695" t="inlineStr">
        <is>
          <t>N/A</t>
        </is>
      </c>
      <c r="L9695" t="inlineStr">
        <is>
          <t>English, Plan Management, Production Control, Production Planning, Material Management</t>
        </is>
      </c>
      <c r="M9695" t="inlineStr">
        <is>
          <t>Bonus, Transportation, Others</t>
        </is>
      </c>
      <c r="N9695" s="8">
        <f>HYPERLINK("https://www.vietnamworks.com/planning-staff-production-control-nhan-vien-ke-hoach--2021589-jv","Xem chi tiết")</f>
        <v/>
      </c>
    </row>
    <row r="9696">
      <c r="B9696" s="9" t="n">
        <v>9694</v>
      </c>
      <c r="C9696" s="10" t="inlineStr">
        <is>
          <t>Senior Tax Accountant</t>
        </is>
      </c>
      <c r="D9696" s="10" t="inlineStr">
        <is>
          <t>Crossian Việt Nam</t>
        </is>
      </c>
      <c r="E9696" s="10" t="inlineStr">
        <is>
          <t>Thương lượng</t>
        </is>
      </c>
      <c r="F9696" s="10" t="inlineStr">
        <is>
          <t>Hà Nội</t>
        </is>
      </c>
      <c r="G9696" s="10" t="inlineStr">
        <is>
          <t>Nhân viên</t>
        </is>
      </c>
      <c r="H9696" s="10" t="inlineStr">
        <is>
          <t>11/03/2026</t>
        </is>
      </c>
      <c r="I9696" s="10" t="inlineStr">
        <is>
          <t>10/04/2026</t>
        </is>
      </c>
      <c r="J9696" s="10" t="inlineStr">
        <is>
          <t>17/03/2026</t>
        </is>
      </c>
      <c r="K9696" s="10" t="inlineStr">
        <is>
          <t>N/A</t>
        </is>
      </c>
      <c r="L9696" s="10" t="inlineStr">
        <is>
          <t>Finance, CPA, ACCA, Tax Accounting, Financial Accounting</t>
        </is>
      </c>
      <c r="M9696" s="10" t="inlineStr">
        <is>
          <t>Bonus, Training, Team Activities</t>
        </is>
      </c>
      <c r="N9696" s="11">
        <f>HYPERLINK("https://www.vietnamworks.com/senior-tax-accountant--2021592-jv","Xem chi tiết")</f>
        <v/>
      </c>
      <c r="O9696" s="10" t="n"/>
    </row>
    <row r="9697">
      <c r="B9697" s="7" t="n">
        <v>9695</v>
      </c>
      <c r="C9697" t="inlineStr">
        <is>
          <t>Sale Manager (Máy Xây Dựng)</t>
        </is>
      </c>
      <c r="D9697" t="inlineStr">
        <is>
          <t>Công Ty TNHH LiuGong Machinery Việt Nam</t>
        </is>
      </c>
      <c r="E9697" t="inlineStr">
        <is>
          <t>Thương lượng</t>
        </is>
      </c>
      <c r="F9697" t="inlineStr">
        <is>
          <t>Hà Nội</t>
        </is>
      </c>
      <c r="G9697" t="inlineStr">
        <is>
          <t>Trưởng phòng</t>
        </is>
      </c>
      <c r="H9697" t="inlineStr">
        <is>
          <t>11/03/2026</t>
        </is>
      </c>
      <c r="I9697" t="inlineStr">
        <is>
          <t>10/04/2026</t>
        </is>
      </c>
      <c r="J9697" t="inlineStr">
        <is>
          <t>17/03/2026</t>
        </is>
      </c>
      <c r="K9697" t="inlineStr">
        <is>
          <t>N/A</t>
        </is>
      </c>
      <c r="L9697" t="inlineStr">
        <is>
          <t>Construction Machine, Market Analysis, Sales Planning, Customer Experience Management, Sales Development</t>
        </is>
      </c>
      <c r="M9697" t="inlineStr">
        <is>
          <t>Bonus, Healthcare Plan, Training</t>
        </is>
      </c>
      <c r="N9697" s="8">
        <f>HYPERLINK("https://www.vietnamworks.com/sale-manager-may-xay-dung-2021585-jv","Xem chi tiết")</f>
        <v/>
      </c>
    </row>
    <row r="9698">
      <c r="B9698" s="9" t="n">
        <v>9696</v>
      </c>
      <c r="C9698" s="10" t="inlineStr">
        <is>
          <t>General Accountant</t>
        </is>
      </c>
      <c r="D9698" s="10" t="inlineStr">
        <is>
          <t>Crossian Việt Nam</t>
        </is>
      </c>
      <c r="E9698" s="10" t="inlineStr">
        <is>
          <t>Thương lượng</t>
        </is>
      </c>
      <c r="F9698" s="10" t="inlineStr">
        <is>
          <t>Hà Nội</t>
        </is>
      </c>
      <c r="G9698" s="10" t="inlineStr">
        <is>
          <t>Nhân viên</t>
        </is>
      </c>
      <c r="H9698" s="10" t="inlineStr">
        <is>
          <t>11/03/2026</t>
        </is>
      </c>
      <c r="I9698" s="10" t="inlineStr">
        <is>
          <t>10/04/2026</t>
        </is>
      </c>
      <c r="J9698" s="10" t="inlineStr">
        <is>
          <t>17/03/2026</t>
        </is>
      </c>
      <c r="K9698" s="10" t="inlineStr">
        <is>
          <t>N/A</t>
        </is>
      </c>
      <c r="L9698" s="10" t="inlineStr">
        <is>
          <t>Accounting, Tài Chính, Kiểm Toán, Kế Toán, Tax Accountant</t>
        </is>
      </c>
      <c r="M9698" s="10" t="inlineStr">
        <is>
          <t>Bonus, Training, Team Activities</t>
        </is>
      </c>
      <c r="N9698" s="11">
        <f>HYPERLINK("https://www.vietnamworks.com/general-accountant--2021588-jv","Xem chi tiết")</f>
        <v/>
      </c>
      <c r="O9698" s="10" t="n"/>
    </row>
    <row r="9699">
      <c r="B9699" s="7" t="n">
        <v>9697</v>
      </c>
      <c r="C9699" t="inlineStr">
        <is>
          <t>Kế Toán/ Accountant</t>
        </is>
      </c>
      <c r="D9699" t="inlineStr">
        <is>
          <t>CÔNG TY TNHH MAY XUẤT KHẨU THIÊN TÂN</t>
        </is>
      </c>
      <c r="E9699" t="inlineStr">
        <is>
          <t>Thương lượng</t>
        </is>
      </c>
      <c r="F9699" t="inlineStr">
        <is>
          <t>Hà Nội</t>
        </is>
      </c>
      <c r="G9699" t="inlineStr">
        <is>
          <t>Nhân viên</t>
        </is>
      </c>
      <c r="H9699" t="inlineStr">
        <is>
          <t>11/03/2026</t>
        </is>
      </c>
      <c r="I9699" t="inlineStr">
        <is>
          <t>10/04/2026</t>
        </is>
      </c>
      <c r="J9699" t="inlineStr">
        <is>
          <t>17/03/2026</t>
        </is>
      </c>
      <c r="K9699" t="inlineStr">
        <is>
          <t>N/A</t>
        </is>
      </c>
      <c r="L9699" t="inlineStr">
        <is>
          <t>Kế Toán, Phân Tích Tài Chính, Tài Chính, Tổ Chức Thi Công, Quản Lý Tài Chính</t>
        </is>
      </c>
      <c r="M9699" t="inlineStr">
        <is>
          <t>Bonus, Healthcare Plan, Others</t>
        </is>
      </c>
      <c r="N9699" s="8">
        <f>HYPERLINK("https://www.vietnamworks.com/ke-toan-accountant-2021583-jv","Xem chi tiết")</f>
        <v/>
      </c>
    </row>
    <row r="9700">
      <c r="B9700" s="9" t="n">
        <v>9698</v>
      </c>
      <c r="C9700" s="10" t="inlineStr">
        <is>
          <t>Trưởng Nhóm Hành Chính Nhân Sự</t>
        </is>
      </c>
      <c r="D9700" s="10" t="inlineStr">
        <is>
          <t>Công Ty TNHH AT Á Châu</t>
        </is>
      </c>
      <c r="E9700" s="10" t="inlineStr">
        <is>
          <t>18tr-25tr ₫/tháng</t>
        </is>
      </c>
      <c r="F9700" s="10" t="inlineStr">
        <is>
          <t>Hà Nội</t>
        </is>
      </c>
      <c r="G9700" s="10" t="inlineStr">
        <is>
          <t>Trưởng phòng</t>
        </is>
      </c>
      <c r="H9700" s="10" t="inlineStr">
        <is>
          <t>11/03/2026</t>
        </is>
      </c>
      <c r="I9700" s="10" t="inlineStr">
        <is>
          <t>10/04/2026</t>
        </is>
      </c>
      <c r="J9700" s="10" t="inlineStr">
        <is>
          <t>17/03/2026</t>
        </is>
      </c>
      <c r="K9700" s="10" t="inlineStr">
        <is>
          <t>N/A</t>
        </is>
      </c>
      <c r="L9700" s="10" t="inlineStr">
        <is>
          <t>Tuyển Dụng, Am hiểu Luật lao động, Quản Lý Hành Chính, Quản Lý Nhân Sự, Tổ Chức Sự Kiện</t>
        </is>
      </c>
      <c r="M9700" s="10" t="inlineStr">
        <is>
          <t>Bonus, Healthcare Plan, Awards, Travel Opportunities, Team Activities, Others</t>
        </is>
      </c>
      <c r="N9700" s="11">
        <f>HYPERLINK("https://www.vietnamworks.com/truong-nhom-hanh-chinh-nhan-su-2021593-jv","Xem chi tiết")</f>
        <v/>
      </c>
      <c r="O9700" s="10" t="n"/>
    </row>
    <row r="9701">
      <c r="B9701" s="7" t="n">
        <v>9699</v>
      </c>
      <c r="C9701" t="inlineStr">
        <is>
          <t>Senior Tax and GL Accountant - Temporary contract 6 Months</t>
        </is>
      </c>
      <c r="D9701" t="inlineStr">
        <is>
          <t>Air Liquide Viet Nam</t>
        </is>
      </c>
      <c r="E9701" t="inlineStr">
        <is>
          <t>Thương lượng</t>
        </is>
      </c>
      <c r="F9701" t="inlineStr">
        <is>
          <t>Hà Nội</t>
        </is>
      </c>
      <c r="G9701" t="inlineStr">
        <is>
          <t>Nhân viên</t>
        </is>
      </c>
      <c r="H9701" t="inlineStr">
        <is>
          <t>11/03/2026</t>
        </is>
      </c>
      <c r="I9701" t="inlineStr">
        <is>
          <t>10/04/2026</t>
        </is>
      </c>
      <c r="J9701" t="inlineStr">
        <is>
          <t>17/03/2026</t>
        </is>
      </c>
      <c r="K9701" t="inlineStr">
        <is>
          <t>N/A</t>
        </is>
      </c>
      <c r="L9701" t="inlineStr">
        <is>
          <t>Taxation</t>
        </is>
      </c>
      <c r="M9701" t="inlineStr">
        <is>
          <t>Bonus, Healthcare Plan, Awards</t>
        </is>
      </c>
      <c r="N9701" s="8">
        <f>HYPERLINK("https://www.vietnamworks.com/senior-tax-and-gl-accountant-temporary-contract-6-months-2021595-jv","Xem chi tiết")</f>
        <v/>
      </c>
    </row>
    <row r="9702">
      <c r="B9702" s="9" t="n">
        <v>9700</v>
      </c>
      <c r="C9702" s="10" t="inlineStr">
        <is>
          <t>Trưởng Phòng Hành Chính - Thu Nhập Upto 30Tr/ Tháng</t>
        </is>
      </c>
      <c r="D9702" s="10" t="inlineStr">
        <is>
          <t>Công Ty Cổ Phần Thiết Bị Và Hóa Chất Thăng Long</t>
        </is>
      </c>
      <c r="E9702" s="10" t="inlineStr">
        <is>
          <t>15tr-30tr ₫/tháng</t>
        </is>
      </c>
      <c r="F9702" s="10" t="inlineStr">
        <is>
          <t>Hà Nội</t>
        </is>
      </c>
      <c r="G9702" s="10" t="inlineStr">
        <is>
          <t>Nhân viên</t>
        </is>
      </c>
      <c r="H9702" s="10" t="inlineStr">
        <is>
          <t>11/03/2026</t>
        </is>
      </c>
      <c r="I9702" s="10" t="inlineStr">
        <is>
          <t>10/04/2026</t>
        </is>
      </c>
      <c r="J9702" s="10" t="inlineStr">
        <is>
          <t>17/03/2026</t>
        </is>
      </c>
      <c r="K9702" s="10" t="inlineStr">
        <is>
          <t>N/A</t>
        </is>
      </c>
      <c r="L9702" s="10" t="inlineStr">
        <is>
          <t>Operations Management, Quản Lý Văn Phòng, Quản Trị Doanh Nghiệp, Đối Ngoại, Hành chính văn phòng</t>
        </is>
      </c>
      <c r="M9702" s="10" t="inlineStr">
        <is>
          <t>Bonus, Healthcare Plan, Travel Opportunities</t>
        </is>
      </c>
      <c r="N9702" s="11">
        <f>HYPERLINK("https://www.vietnamworks.com/truong-phong-hanh-chinh-thu-nhap-upto-30tr-thang-2021602-jv","Xem chi tiết")</f>
        <v/>
      </c>
      <c r="O9702" s="10" t="n"/>
    </row>
    <row r="9703">
      <c r="B9703" s="7" t="n">
        <v>9701</v>
      </c>
      <c r="C9703" t="inlineStr">
        <is>
          <t>Kinh Doanh Sản Phẩm (Hp, Amp-Commscope, Oracle, Ricoh)</t>
        </is>
      </c>
      <c r="D9703" t="inlineStr">
        <is>
          <t>CÔNG TY ĐẦU TƯ VÀ PHÁT TRIỂN CÔNG NGHỆ QUỐC GIA ADG</t>
        </is>
      </c>
      <c r="E9703" t="inlineStr">
        <is>
          <t>Thương lượng</t>
        </is>
      </c>
      <c r="F9703" t="inlineStr">
        <is>
          <t>Hồ Chí Minh</t>
        </is>
      </c>
      <c r="G9703" t="inlineStr">
        <is>
          <t>Nhân viên</t>
        </is>
      </c>
      <c r="H9703" t="inlineStr">
        <is>
          <t>11/03/2026</t>
        </is>
      </c>
      <c r="I9703" t="inlineStr">
        <is>
          <t>10/04/2026</t>
        </is>
      </c>
      <c r="J9703" t="inlineStr">
        <is>
          <t>17/03/2026</t>
        </is>
      </c>
      <c r="K9703" t="inlineStr">
        <is>
          <t>N/A</t>
        </is>
      </c>
      <c r="L9703" t="inlineStr">
        <is>
          <t>Bán Hàng Kỹ Thuật, Account Management, B2B Sales, Ict Sales, Technical Sales</t>
        </is>
      </c>
      <c r="M9703" t="inlineStr">
        <is>
          <t>Bonus, Healthcare Plan, Team Activities, Others</t>
        </is>
      </c>
      <c r="N9703" s="8">
        <f>HYPERLINK("https://www.vietnamworks.com/kinh-doanh-san-pham-hp-amp-commscope-oracle-ricoh-2021584-jv","Xem chi tiết")</f>
        <v/>
      </c>
    </row>
    <row r="9704">
      <c r="B9704" s="9" t="n">
        <v>9702</v>
      </c>
      <c r="C9704" s="10" t="inlineStr">
        <is>
          <t>Branding and Marketing Executive</t>
        </is>
      </c>
      <c r="D9704" s="10" t="inlineStr">
        <is>
          <t>Công Ty TNHH LiuGong Machinery Việt Nam</t>
        </is>
      </c>
      <c r="E9704" s="10" t="inlineStr">
        <is>
          <t>Thương lượng</t>
        </is>
      </c>
      <c r="F9704" s="10" t="inlineStr">
        <is>
          <t>Hà Nội</t>
        </is>
      </c>
      <c r="G9704" s="10" t="inlineStr">
        <is>
          <t>Nhân viên</t>
        </is>
      </c>
      <c r="H9704" s="10" t="inlineStr">
        <is>
          <t>11/03/2026</t>
        </is>
      </c>
      <c r="I9704" s="10" t="inlineStr">
        <is>
          <t>10/04/2026</t>
        </is>
      </c>
      <c r="J9704" s="10" t="inlineStr">
        <is>
          <t>17/03/2026</t>
        </is>
      </c>
      <c r="K9704" s="10" t="inlineStr">
        <is>
          <t>N/A</t>
        </is>
      </c>
      <c r="L9704" s="10" t="inlineStr">
        <is>
          <t>Branding, Branding Management, Branding Marketing, Marcom, Marketing</t>
        </is>
      </c>
      <c r="M9704" s="10" t="inlineStr">
        <is>
          <t>Bonus, Healthcare Plan, Training</t>
        </is>
      </c>
      <c r="N9704" s="11">
        <f>HYPERLINK("https://www.vietnamworks.com/branding-and-marketing-executive-2021580-jv","Xem chi tiết")</f>
        <v/>
      </c>
      <c r="O9704" s="10" t="n"/>
    </row>
    <row r="9705">
      <c r="B9705" s="7" t="n">
        <v>9703</v>
      </c>
      <c r="C9705" t="inlineStr">
        <is>
          <t>Kế Toán Xuất Hàng Kiêm Công Nợ</t>
        </is>
      </c>
      <c r="D9705" t="inlineStr">
        <is>
          <t>CÔNG TY ĐẦU TƯ VÀ PHÁT TRIỂN CÔNG NGHỆ QUỐC GIA ADG</t>
        </is>
      </c>
      <c r="E9705" t="inlineStr">
        <is>
          <t>Thương lượng</t>
        </is>
      </c>
      <c r="F9705" t="inlineStr">
        <is>
          <t>Hồ Chí Minh</t>
        </is>
      </c>
      <c r="G9705" t="inlineStr">
        <is>
          <t>Nhân viên</t>
        </is>
      </c>
      <c r="H9705" t="inlineStr">
        <is>
          <t>11/03/2026</t>
        </is>
      </c>
      <c r="I9705" t="inlineStr">
        <is>
          <t>10/04/2026</t>
        </is>
      </c>
      <c r="J9705" t="inlineStr">
        <is>
          <t>17/03/2026</t>
        </is>
      </c>
      <c r="K9705" t="inlineStr">
        <is>
          <t>N/A</t>
        </is>
      </c>
      <c r="L9705" t="inlineStr">
        <is>
          <t>Kế Toán Bán Hàng, Kế Toán Kho, Thu hồi nợ, Kế Toán, Kế toán công nợ</t>
        </is>
      </c>
      <c r="M9705" t="inlineStr">
        <is>
          <t>Bonus, Healthcare Plan, Team Activities, Others</t>
        </is>
      </c>
      <c r="N9705" s="8">
        <f>HYPERLINK("https://www.vietnamworks.com/ke-toan-xuat-hang-kiem-cong-no-2021601-jv","Xem chi tiết")</f>
        <v/>
      </c>
    </row>
    <row r="9706">
      <c r="B9706" s="9" t="n">
        <v>9704</v>
      </c>
      <c r="C9706" s="10" t="inlineStr">
        <is>
          <t>Trưởng Nhóm Hỗ Trợ Kinh Doanh - Mảng Bất Động Sản (Trưởng Nhóm Sales Admin)</t>
        </is>
      </c>
      <c r="D9706" s="10" t="inlineStr">
        <is>
          <t>Công Ty Cổ Phần Tập Đoàn BRG</t>
        </is>
      </c>
      <c r="E9706" s="10" t="inlineStr">
        <is>
          <t>Thương lượng</t>
        </is>
      </c>
      <c r="F9706" s="10" t="inlineStr">
        <is>
          <t>Hồ Chí Minh, Hà Nội</t>
        </is>
      </c>
      <c r="G9706" s="10" t="inlineStr">
        <is>
          <t>Trưởng phòng</t>
        </is>
      </c>
      <c r="H9706" s="10" t="inlineStr">
        <is>
          <t>11/03/2026</t>
        </is>
      </c>
      <c r="I9706" s="10" t="inlineStr">
        <is>
          <t>10/04/2026</t>
        </is>
      </c>
      <c r="J9706" s="10" t="inlineStr">
        <is>
          <t>17/03/2026</t>
        </is>
      </c>
      <c r="K9706" s="10" t="inlineStr">
        <is>
          <t>N/A</t>
        </is>
      </c>
      <c r="L9706" s="10" t="inlineStr">
        <is>
          <t>Tiếng anh cơ bản</t>
        </is>
      </c>
      <c r="M9706" s="10" t="inlineStr">
        <is>
          <t>Bonus, Healthcare Plan, Travel Opportunities</t>
        </is>
      </c>
      <c r="N9706" s="11">
        <f>HYPERLINK("https://www.vietnamworks.com/truong-nhom-ho-tro-kinh-doanh-mang-bat-dong-san-truong-nhom-sales-admin-2021608-jv","Xem chi tiết")</f>
        <v/>
      </c>
      <c r="O9706" s="10" t="n"/>
    </row>
    <row r="9707">
      <c r="B9707" s="7" t="n">
        <v>9705</v>
      </c>
      <c r="C9707" t="inlineStr">
        <is>
          <t xml:space="preserve"> Customer Service Specialist</t>
        </is>
      </c>
      <c r="D9707" t="inlineStr">
        <is>
          <t>CÔNG TY TNHH MTV SINOCARE VIETNAM L&amp;M</t>
        </is>
      </c>
      <c r="E9707" t="inlineStr">
        <is>
          <t>10tr-15tr ₫/tháng</t>
        </is>
      </c>
      <c r="F9707" t="inlineStr">
        <is>
          <t>Hồ Chí Minh</t>
        </is>
      </c>
      <c r="G9707" t="inlineStr">
        <is>
          <t>Nhân viên</t>
        </is>
      </c>
      <c r="H9707" t="inlineStr">
        <is>
          <t>11/03/2026</t>
        </is>
      </c>
      <c r="I9707" t="inlineStr">
        <is>
          <t>10/04/2026</t>
        </is>
      </c>
      <c r="J9707" t="inlineStr">
        <is>
          <t>17/03/2026</t>
        </is>
      </c>
      <c r="K9707" t="inlineStr">
        <is>
          <t>N/A</t>
        </is>
      </c>
      <c r="L9707" t="inlineStr">
        <is>
          <t>Communication Skills, Customer Service, E-Commerce Platforms Knowledge, Empathy, Problem-solving</t>
        </is>
      </c>
      <c r="M9707" t="inlineStr">
        <is>
          <t>Bonus</t>
        </is>
      </c>
      <c r="N9707" s="8">
        <f>HYPERLINK("https://www.vietnamworks.com/customer-service-specialist-2021622-jv","Xem chi tiết")</f>
        <v/>
      </c>
    </row>
    <row r="9708">
      <c r="B9708" s="9" t="n">
        <v>9706</v>
      </c>
      <c r="C9708" s="10" t="inlineStr">
        <is>
          <t>Trưởng Phòng Điều Độ Vận Tải Tại Đà Nẵng</t>
        </is>
      </c>
      <c r="D9708" s="10" t="inlineStr">
        <is>
          <t>Công Ty Cổ Phần Vận Tải TOÀN Cầu Việt Nam (Vgt)</t>
        </is>
      </c>
      <c r="E9708" s="10" t="inlineStr">
        <is>
          <t>Thương lượng</t>
        </is>
      </c>
      <c r="F9708" s="10" t="inlineStr">
        <is>
          <t>Đà Nẵng</t>
        </is>
      </c>
      <c r="G9708" s="10" t="inlineStr">
        <is>
          <t>Trưởng phòng</t>
        </is>
      </c>
      <c r="H9708" s="10" t="inlineStr">
        <is>
          <t>11/03/2026</t>
        </is>
      </c>
      <c r="I9708" s="10" t="inlineStr">
        <is>
          <t>10/04/2026</t>
        </is>
      </c>
      <c r="J9708" s="10" t="inlineStr">
        <is>
          <t>17/03/2026</t>
        </is>
      </c>
      <c r="K9708" s="10" t="inlineStr">
        <is>
          <t>N/A</t>
        </is>
      </c>
      <c r="L9708" s="10" t="inlineStr">
        <is>
          <t>Quản lý đội xe, Vận Chuyển Hàng Hóa, Điều Hành Kho Vận, Điều Phối Vận Chuyển, Điều Phối Vận Tải</t>
        </is>
      </c>
      <c r="M9708" s="10" t="inlineStr">
        <is>
          <t>Bonus, Healthcare Plan, Paid Leave, Training, Vouchers, Others</t>
        </is>
      </c>
      <c r="N9708" s="11">
        <f>HYPERLINK("https://www.vietnamworks.com/truong-phong-djieu-djo-van-tai-tai-dja-nang-2021606-jv","Xem chi tiết")</f>
        <v/>
      </c>
      <c r="O9708" s="10" t="n"/>
    </row>
    <row r="9709">
      <c r="B9709" s="7" t="n">
        <v>9707</v>
      </c>
      <c r="C9709" t="inlineStr">
        <is>
          <t>Kỹ Sư Cơ Khí (Lương Upto 20 Triệu)</t>
        </is>
      </c>
      <c r="D9709" t="inlineStr">
        <is>
          <t>CTY CP TMDV THÉP HÒA PHÁT LONG AN</t>
        </is>
      </c>
      <c r="E9709" t="inlineStr">
        <is>
          <t>13tr-20tr ₫/tháng</t>
        </is>
      </c>
      <c r="F9709" t="inlineStr">
        <is>
          <t>Tây Ninh, Long An, Hồ Chí Minh</t>
        </is>
      </c>
      <c r="G9709" t="inlineStr">
        <is>
          <t>Nhân viên</t>
        </is>
      </c>
      <c r="H9709" t="inlineStr">
        <is>
          <t>11/03/2026</t>
        </is>
      </c>
      <c r="I9709" t="inlineStr">
        <is>
          <t>10/04/2026</t>
        </is>
      </c>
      <c r="J9709" t="inlineStr">
        <is>
          <t>17/03/2026</t>
        </is>
      </c>
      <c r="K9709" t="inlineStr">
        <is>
          <t>N/A</t>
        </is>
      </c>
      <c r="L9709" t="inlineStr">
        <is>
          <t>Cơ khí chế tạo máy, Cơ Khí Chính Xác, Cơ Điện Tử, Luyện Kim, Lập Hồ Sơ Kỹ Thuật</t>
        </is>
      </c>
      <c r="M9709" t="inlineStr">
        <is>
          <t>Bonus, Healthcare Plan, Paid Leave</t>
        </is>
      </c>
      <c r="N9709" s="8">
        <f>HYPERLINK("https://www.vietnamworks.com/ky-su-co-khi-luong-upto-20-trieu-2021604-jv","Xem chi tiết")</f>
        <v/>
      </c>
    </row>
    <row r="9710">
      <c r="B9710" s="9" t="n">
        <v>9708</v>
      </c>
      <c r="C9710" s="10" t="inlineStr">
        <is>
          <t>Drafter (Fresher/ Middle)</t>
        </is>
      </c>
      <c r="D9710" s="10" t="inlineStr">
        <is>
          <t>Simpson Strong-Tie Vietnam Company Limited</t>
        </is>
      </c>
      <c r="E9710" s="10" t="inlineStr">
        <is>
          <t>Thương lượng</t>
        </is>
      </c>
      <c r="F9710" s="10" t="inlineStr">
        <is>
          <t>Hồ Chí Minh</t>
        </is>
      </c>
      <c r="G9710" s="10" t="inlineStr">
        <is>
          <t>Mới Tốt Nghiệp</t>
        </is>
      </c>
      <c r="H9710" s="10" t="inlineStr">
        <is>
          <t>11/03/2026</t>
        </is>
      </c>
      <c r="I9710" s="10" t="inlineStr">
        <is>
          <t>10/04/2026</t>
        </is>
      </c>
      <c r="J9710" s="10" t="inlineStr">
        <is>
          <t>17/03/2026</t>
        </is>
      </c>
      <c r="K9710" s="10" t="inlineStr">
        <is>
          <t>N/A</t>
        </is>
      </c>
      <c r="L9710" s="10" t="inlineStr">
        <is>
          <t>Autodesk Inventor, Engineering Technician, Mechanical Engineering, Revit, Sketchup</t>
        </is>
      </c>
      <c r="M9710" s="10" t="inlineStr">
        <is>
          <t>Bonus, Healthcare Plan, Paid Leave, Training, Team Activities, Others</t>
        </is>
      </c>
      <c r="N9710" s="11">
        <f>HYPERLINK("https://www.vietnamworks.com/drafter-fresher-middle-2021609-jv","Xem chi tiết")</f>
        <v/>
      </c>
      <c r="O9710" s="10" t="n"/>
    </row>
    <row r="9711">
      <c r="B9711" s="7" t="n">
        <v>9709</v>
      </c>
      <c r="C9711" t="inlineStr">
        <is>
          <t>Nhân Viên Khai Báo Hải Quan</t>
        </is>
      </c>
      <c r="D9711" t="inlineStr">
        <is>
          <t>TNM SHIPPING AND LOGISTICS CO., LTD.</t>
        </is>
      </c>
      <c r="E9711" t="inlineStr">
        <is>
          <t>Thương lượng</t>
        </is>
      </c>
      <c r="F9711" t="inlineStr">
        <is>
          <t>Hồ Chí Minh</t>
        </is>
      </c>
      <c r="G9711" t="inlineStr">
        <is>
          <t>Nhân viên</t>
        </is>
      </c>
      <c r="H9711" t="inlineStr">
        <is>
          <t>11/03/2026</t>
        </is>
      </c>
      <c r="I9711" t="inlineStr">
        <is>
          <t>10/04/2026</t>
        </is>
      </c>
      <c r="J9711" t="inlineStr">
        <is>
          <t>17/03/2026</t>
        </is>
      </c>
      <c r="K9711" t="inlineStr">
        <is>
          <t>N/A</t>
        </is>
      </c>
      <c r="L9711" t="inlineStr">
        <is>
          <t>Shipping Logistics, Khai Báo Hải Quan, Logistics, Khai báo chứng từ, Chứng Từ Xuất Nhập Khẩu</t>
        </is>
      </c>
      <c r="M9711" t="inlineStr">
        <is>
          <t>Bonus, Healthcare Plan, Paid Leave, Others</t>
        </is>
      </c>
      <c r="N9711" s="8">
        <f>HYPERLINK("https://www.vietnamworks.com/nhan-vien-khai-bao-hai-quan-2021640-jv","Xem chi tiết")</f>
        <v/>
      </c>
    </row>
    <row r="9712">
      <c r="B9712" s="9" t="n">
        <v>9710</v>
      </c>
      <c r="C9712" s="10" t="inlineStr">
        <is>
          <t>Marketing Manager</t>
        </is>
      </c>
      <c r="D9712" s="10" t="inlineStr">
        <is>
          <t>Công Ty TNHH B.pure Việt Nam</t>
        </is>
      </c>
      <c r="E9712" s="10" t="inlineStr">
        <is>
          <t>30tr-40tr ₫/tháng</t>
        </is>
      </c>
      <c r="F9712" s="10" t="inlineStr">
        <is>
          <t>Hà Nội</t>
        </is>
      </c>
      <c r="G9712" s="10" t="inlineStr">
        <is>
          <t>Trưởng phòng</t>
        </is>
      </c>
      <c r="H9712" s="10" t="inlineStr">
        <is>
          <t>11/03/2026</t>
        </is>
      </c>
      <c r="I9712" s="10" t="inlineStr">
        <is>
          <t>10/04/2026</t>
        </is>
      </c>
      <c r="J9712" s="10" t="inlineStr">
        <is>
          <t>17/03/2026</t>
        </is>
      </c>
      <c r="K9712" s="10" t="inlineStr">
        <is>
          <t>N/A</t>
        </is>
      </c>
      <c r="L9712" s="10" t="inlineStr">
        <is>
          <t>Marketing Strategy, Brand Development, E-Commerce, FMCG Marketing, Market Research</t>
        </is>
      </c>
      <c r="M9712" s="10" t="inlineStr">
        <is>
          <t>Bonus, Healthcare Plan, Paid Leave, Others</t>
        </is>
      </c>
      <c r="N9712" s="11">
        <f>HYPERLINK("https://www.vietnamworks.com/marketing-manager-2021638-jv","Xem chi tiết")</f>
        <v/>
      </c>
      <c r="O9712" s="10" t="n"/>
    </row>
    <row r="9713">
      <c r="B9713" s="7" t="n">
        <v>9711</v>
      </c>
      <c r="C9713" t="inlineStr">
        <is>
          <t>Cán Bộ Phòng Bảo Vệ Động Vật Hoang Dã (Wildlife Protection Officer)</t>
        </is>
      </c>
      <c r="D9713" t="inlineStr">
        <is>
          <t>Education For Nature - Vietnam (ENV)</t>
        </is>
      </c>
      <c r="E9713" t="inlineStr">
        <is>
          <t>Thương lượng</t>
        </is>
      </c>
      <c r="F9713" t="inlineStr">
        <is>
          <t>Hà Nội</t>
        </is>
      </c>
      <c r="G9713" t="inlineStr">
        <is>
          <t>Nhân viên</t>
        </is>
      </c>
      <c r="H9713" t="inlineStr">
        <is>
          <t>11/03/2026</t>
        </is>
      </c>
      <c r="I9713" t="inlineStr">
        <is>
          <t>10/04/2026</t>
        </is>
      </c>
      <c r="J9713" t="inlineStr">
        <is>
          <t>17/03/2026</t>
        </is>
      </c>
      <c r="K9713" t="inlineStr">
        <is>
          <t>N/A</t>
        </is>
      </c>
      <c r="L9713" t="inlineStr">
        <is>
          <t>English Language Proficiency, Multitasking, Logical Thinking, Administration Tasks, Document Writing</t>
        </is>
      </c>
      <c r="M9713" t="inlineStr">
        <is>
          <t>Bonus, Healthcare Plan, Paid Leave, Training, Awards, Library, Team Activities, Others</t>
        </is>
      </c>
      <c r="N9713" s="8">
        <f>HYPERLINK("https://www.vietnamworks.com/can-bo-phong-bao-ve-djong-vat-hoang-da-wildlife-protection-officer-2021641-jv","Xem chi tiết")</f>
        <v/>
      </c>
    </row>
    <row r="9714">
      <c r="B9714" s="9" t="n">
        <v>9712</v>
      </c>
      <c r="C9714" s="10" t="inlineStr">
        <is>
          <t>Kỹ Sư MEP</t>
        </is>
      </c>
      <c r="D9714" s="10" t="inlineStr">
        <is>
          <t>Pyra Ixi</t>
        </is>
      </c>
      <c r="E9714" s="10" t="inlineStr">
        <is>
          <t>10tr-18tr ₫/tháng</t>
        </is>
      </c>
      <c r="F9714" s="10" t="inlineStr">
        <is>
          <t>Hồ Chí Minh</t>
        </is>
      </c>
      <c r="G9714" s="10" t="inlineStr">
        <is>
          <t>Nhân viên</t>
        </is>
      </c>
      <c r="H9714" s="10" t="inlineStr">
        <is>
          <t>11/03/2026</t>
        </is>
      </c>
      <c r="I9714" s="10" t="inlineStr">
        <is>
          <t>10/04/2026</t>
        </is>
      </c>
      <c r="J9714" s="10" t="inlineStr">
        <is>
          <t>17/03/2026</t>
        </is>
      </c>
      <c r="K9714" s="10" t="inlineStr">
        <is>
          <t>N/A</t>
        </is>
      </c>
      <c r="L9714" s="10" t="inlineStr">
        <is>
          <t>MEP Engineering, MEP System Design, Design, Autocad, Revit</t>
        </is>
      </c>
      <c r="M9714" s="10" t="inlineStr">
        <is>
          <t>Bonus, Healthcare Plan, Training, Team Activities, Canteen</t>
        </is>
      </c>
      <c r="N9714" s="11">
        <f>HYPERLINK("https://www.vietnamworks.com/ky-su-mep-2021637-jv","Xem chi tiết")</f>
        <v/>
      </c>
      <c r="O9714" s="10" t="n"/>
    </row>
    <row r="9715">
      <c r="B9715" s="7" t="n">
        <v>9713</v>
      </c>
      <c r="C9715" t="inlineStr">
        <is>
          <t>Nhân Viên An Toàn HSE</t>
        </is>
      </c>
      <c r="D9715" t="inlineStr">
        <is>
          <t>Công Ty Cổ Phần Cáp Điện &amp; Hệ Thống LS VINA</t>
        </is>
      </c>
      <c r="E9715" t="inlineStr">
        <is>
          <t>Thương lượng</t>
        </is>
      </c>
      <c r="F9715" t="inlineStr">
        <is>
          <t>Hải Phòng</t>
        </is>
      </c>
      <c r="G9715" t="inlineStr">
        <is>
          <t>Nhân viên</t>
        </is>
      </c>
      <c r="H9715" t="inlineStr">
        <is>
          <t>11/03/2026</t>
        </is>
      </c>
      <c r="I9715" t="inlineStr">
        <is>
          <t>10/04/2026</t>
        </is>
      </c>
      <c r="J9715" t="inlineStr">
        <is>
          <t>17/03/2026</t>
        </is>
      </c>
      <c r="K9715" t="inlineStr">
        <is>
          <t>N/A</t>
        </is>
      </c>
      <c r="L9715" t="inlineStr">
        <is>
          <t>Môi Trường, HSE, Bảo Hộ Lao Động, An Toàn Sức Khỏe Môi Trường, An Toàn Lao Động</t>
        </is>
      </c>
      <c r="M9715" t="inlineStr">
        <is>
          <t>Bonus, Healthcare Plan, Travel Opportunities</t>
        </is>
      </c>
      <c r="N9715" s="8">
        <f>HYPERLINK("https://www.vietnamworks.com/nhan-vien-an-toan-hse--2021639-jv","Xem chi tiết")</f>
        <v/>
      </c>
    </row>
    <row r="9716">
      <c r="B9716" s="9" t="n">
        <v>9714</v>
      </c>
      <c r="C9716" s="10" t="inlineStr">
        <is>
          <t>Method TEC Engineer ( Good English)</t>
        </is>
      </c>
      <c r="D9716" s="10" t="inlineStr">
        <is>
          <t>Camso Việt Nam</t>
        </is>
      </c>
      <c r="E9716" s="10" t="inlineStr">
        <is>
          <t>Thương lượng</t>
        </is>
      </c>
      <c r="F9716" s="10" t="inlineStr">
        <is>
          <t>Bình Dương</t>
        </is>
      </c>
      <c r="G9716" s="10" t="inlineStr">
        <is>
          <t>Nhân viên</t>
        </is>
      </c>
      <c r="H9716" s="10" t="inlineStr">
        <is>
          <t>11/03/2026</t>
        </is>
      </c>
      <c r="I9716" s="10" t="inlineStr">
        <is>
          <t>10/04/2026</t>
        </is>
      </c>
      <c r="J9716" s="10" t="inlineStr">
        <is>
          <t>17/03/2026</t>
        </is>
      </c>
      <c r="K9716" s="10" t="inlineStr">
        <is>
          <t>N/A</t>
        </is>
      </c>
      <c r="L9716" s="10" t="inlineStr">
        <is>
          <t>Maintenance Management, Electrical, Problem-solving, Analytical Skills, Decision Making</t>
        </is>
      </c>
      <c r="M9716" s="10" t="inlineStr">
        <is>
          <t>Bonus, Training, Transportation</t>
        </is>
      </c>
      <c r="N9716" s="11">
        <f>HYPERLINK("https://www.vietnamworks.com/method-tec-engineer-good-english-2021633-jv","Xem chi tiết")</f>
        <v/>
      </c>
      <c r="O9716" s="10" t="n"/>
    </row>
    <row r="9717">
      <c r="B9717" s="7" t="n">
        <v>9715</v>
      </c>
      <c r="C9717" t="inlineStr">
        <is>
          <t>Payroll Associate (1-Year Contractor)</t>
        </is>
      </c>
      <c r="D9717" t="inlineStr">
        <is>
          <t>NAB Innovation Centre Vietnam</t>
        </is>
      </c>
      <c r="E9717" t="inlineStr">
        <is>
          <t>Thương lượng</t>
        </is>
      </c>
      <c r="F9717" t="inlineStr">
        <is>
          <t>Hồ Chí Minh</t>
        </is>
      </c>
      <c r="G9717" t="inlineStr">
        <is>
          <t>Nhân viên</t>
        </is>
      </c>
      <c r="H9717" t="inlineStr">
        <is>
          <t>11/03/2026</t>
        </is>
      </c>
      <c r="I9717" t="inlineStr">
        <is>
          <t>10/04/2026</t>
        </is>
      </c>
      <c r="J9717" t="inlineStr">
        <is>
          <t>17/03/2026</t>
        </is>
      </c>
      <c r="K9717" t="inlineStr">
        <is>
          <t>N/A</t>
        </is>
      </c>
      <c r="L9717" t="inlineStr">
        <is>
          <t>Payroll, Payroll Service, SAP, WorkDay, Payroll Operations</t>
        </is>
      </c>
      <c r="M9717" t="inlineStr">
        <is>
          <t>Bonus, Healthcare Plan, Team Activities</t>
        </is>
      </c>
      <c r="N9717" s="8">
        <f>HYPERLINK("https://www.vietnamworks.com/payroll-associate-1-year-contractor-2021629-jv","Xem chi tiết")</f>
        <v/>
      </c>
    </row>
    <row r="9718">
      <c r="B9718" s="9" t="n">
        <v>9716</v>
      </c>
      <c r="C9718" s="10" t="inlineStr">
        <is>
          <t>Junior HR Admin (Client Service)</t>
        </is>
      </c>
      <c r="D9718" s="10" t="inlineStr">
        <is>
          <t>Dezan Shira &amp; Cộng Sự Việt Nam</t>
        </is>
      </c>
      <c r="E9718" s="10" t="inlineStr">
        <is>
          <t>Thương lượng</t>
        </is>
      </c>
      <c r="F9718" s="10" t="inlineStr">
        <is>
          <t>Hồ Chí Minh</t>
        </is>
      </c>
      <c r="G9718" s="10" t="inlineStr">
        <is>
          <t>Nhân viên</t>
        </is>
      </c>
      <c r="H9718" s="10" t="inlineStr">
        <is>
          <t>11/03/2026</t>
        </is>
      </c>
      <c r="I9718" s="10" t="inlineStr">
        <is>
          <t>10/04/2026</t>
        </is>
      </c>
      <c r="J9718" s="10" t="inlineStr">
        <is>
          <t>17/03/2026</t>
        </is>
      </c>
      <c r="K9718" s="10" t="inlineStr">
        <is>
          <t>N/A</t>
        </is>
      </c>
      <c r="L9718" s="10" t="inlineStr">
        <is>
          <t>C&amp;B, Social Insurance, HR Outsourcing, Labor Contract, Administrative Support</t>
        </is>
      </c>
      <c r="M9718" s="10" t="inlineStr">
        <is>
          <t>Bonus, Healthcare Plan, Paid Leave</t>
        </is>
      </c>
      <c r="N9718" s="11">
        <f>HYPERLINK("https://www.vietnamworks.com/junior-hr-admin-client-service-2021636-jv","Xem chi tiết")</f>
        <v/>
      </c>
      <c r="O9718" s="10" t="n"/>
    </row>
    <row r="9719">
      <c r="B9719" s="7" t="n">
        <v>9717</v>
      </c>
      <c r="C9719" t="inlineStr">
        <is>
          <t>Legal Secretary</t>
        </is>
      </c>
      <c r="D9719" t="inlineStr">
        <is>
          <t>TND Legal</t>
        </is>
      </c>
      <c r="E9719" t="inlineStr">
        <is>
          <t>Thương lượng</t>
        </is>
      </c>
      <c r="F9719" t="inlineStr">
        <is>
          <t>Hồ Chí Minh</t>
        </is>
      </c>
      <c r="G9719" t="inlineStr">
        <is>
          <t>Mới Tốt Nghiệp</t>
        </is>
      </c>
      <c r="H9719" t="inlineStr">
        <is>
          <t>11/03/2026</t>
        </is>
      </c>
      <c r="I9719" t="inlineStr">
        <is>
          <t>10/04/2026</t>
        </is>
      </c>
      <c r="J9719" t="inlineStr">
        <is>
          <t>17/03/2026</t>
        </is>
      </c>
      <c r="K9719" t="inlineStr">
        <is>
          <t>N/A</t>
        </is>
      </c>
      <c r="L9719" t="inlineStr">
        <is>
          <t>Ba In English, English Language Proficiency, Organizational skills, Administration skills, Female</t>
        </is>
      </c>
      <c r="M9719" t="inlineStr">
        <is>
          <t>Bonus, Healthcare Plan, Paid Leave</t>
        </is>
      </c>
      <c r="N9719" s="8">
        <f>HYPERLINK("https://www.vietnamworks.com/legal-secretary-2021605-jv","Xem chi tiết")</f>
        <v/>
      </c>
    </row>
    <row r="9720">
      <c r="B9720" s="9" t="n">
        <v>9718</v>
      </c>
      <c r="C9720" s="10" t="inlineStr">
        <is>
          <t>Giám Đốc Chi Nhánh Tại Đà Nẵng</t>
        </is>
      </c>
      <c r="D9720" s="10" t="inlineStr">
        <is>
          <t>Công Ty Cổ Phần Vận Tải TOÀN Cầu Việt Nam (Vgt)</t>
        </is>
      </c>
      <c r="E9720" s="10" t="inlineStr">
        <is>
          <t>Thương lượng</t>
        </is>
      </c>
      <c r="F9720" s="10" t="inlineStr">
        <is>
          <t>Đà Nẵng</t>
        </is>
      </c>
      <c r="G9720" s="10" t="inlineStr">
        <is>
          <t>Giám Đốc và Cấp Cao Hơn</t>
        </is>
      </c>
      <c r="H9720" s="10" t="inlineStr">
        <is>
          <t>11/03/2026</t>
        </is>
      </c>
      <c r="I9720" s="10" t="inlineStr">
        <is>
          <t>10/04/2026</t>
        </is>
      </c>
      <c r="J9720" s="10" t="inlineStr">
        <is>
          <t>17/03/2026</t>
        </is>
      </c>
      <c r="K9720" s="10" t="inlineStr">
        <is>
          <t>N/A</t>
        </is>
      </c>
      <c r="L9720" s="10" t="inlineStr">
        <is>
          <t>Dịch Vụ Hỗ Trợ Vận Tải, Kinh doanh thương mại, Phát Triển Khách Hàng, Quản Lý Chi Nhánh, Quản Trị Nhân Sự</t>
        </is>
      </c>
      <c r="M9720" s="10" t="inlineStr">
        <is>
          <t>Healthcare Plan, Paid Leave, Awards, Team Activities, Vouchers, Others</t>
        </is>
      </c>
      <c r="N9720" s="11">
        <f>HYPERLINK("https://www.vietnamworks.com/giam-djoc-chi-nhanh-tai-dja-nang-2021635-jv","Xem chi tiết")</f>
        <v/>
      </c>
      <c r="O9720" s="10" t="n"/>
    </row>
    <row r="9721">
      <c r="B9721" s="7" t="n">
        <v>9719</v>
      </c>
      <c r="C9721" t="inlineStr">
        <is>
          <t>Trưởng Phòng Kỹ Thuật – Cơ Khí Ô Tô</t>
        </is>
      </c>
      <c r="D9721" t="inlineStr">
        <is>
          <t>Công Ty Cổ Phần Vận Tải TOÀN Cầu Việt Nam (Vgt)</t>
        </is>
      </c>
      <c r="E9721" t="inlineStr">
        <is>
          <t>Thương lượng</t>
        </is>
      </c>
      <c r="F9721" t="inlineStr">
        <is>
          <t>Đà Nẵng</t>
        </is>
      </c>
      <c r="G9721" t="inlineStr">
        <is>
          <t>Trưởng phòng</t>
        </is>
      </c>
      <c r="H9721" t="inlineStr">
        <is>
          <t>11/03/2026</t>
        </is>
      </c>
      <c r="I9721" t="inlineStr">
        <is>
          <t>10/04/2026</t>
        </is>
      </c>
      <c r="J9721" t="inlineStr">
        <is>
          <t>17/03/2026</t>
        </is>
      </c>
      <c r="K9721" t="inlineStr">
        <is>
          <t>N/A</t>
        </is>
      </c>
      <c r="L9721" t="inlineStr">
        <is>
          <t>Bảo Dưỡng Ô Tô, Cơ Khí Chế Tạo Ôtô, Kỹ Thuật Cơ Khí, Kỹ Thuật ÔTô, Vận Tải Đường Bộ</t>
        </is>
      </c>
      <c r="M9721" t="inlineStr">
        <is>
          <t>Bonus, Healthcare Plan, Paid Leave, Awards, Team Activities, Others</t>
        </is>
      </c>
      <c r="N9721" s="8">
        <f>HYPERLINK("https://www.vietnamworks.com/truong-phong-ky-thuat-co-khi-o-to-2021624-jv","Xem chi tiết")</f>
        <v/>
      </c>
    </row>
    <row r="9722">
      <c r="B9722" s="9" t="n">
        <v>9720</v>
      </c>
      <c r="C9722" s="10" t="inlineStr">
        <is>
          <t>Storage Sales &amp; Residential Consultant</t>
        </is>
      </c>
      <c r="D9722" s="10" t="inlineStr">
        <is>
          <t>Crown Worldwide</t>
        </is>
      </c>
      <c r="E9722" s="10" t="inlineStr">
        <is>
          <t>Thương lượng</t>
        </is>
      </c>
      <c r="F9722" s="10" t="inlineStr">
        <is>
          <t>Hồ Chí Minh</t>
        </is>
      </c>
      <c r="G9722" s="10" t="inlineStr">
        <is>
          <t>Nhân viên</t>
        </is>
      </c>
      <c r="H9722" s="10" t="inlineStr">
        <is>
          <t>11/03/2026</t>
        </is>
      </c>
      <c r="I9722" s="10" t="inlineStr">
        <is>
          <t>10/04/2026</t>
        </is>
      </c>
      <c r="J9722" s="10" t="inlineStr">
        <is>
          <t>17/03/2026</t>
        </is>
      </c>
      <c r="K9722" s="10" t="inlineStr">
        <is>
          <t>N/A</t>
        </is>
      </c>
      <c r="L9722" s="10" t="inlineStr">
        <is>
          <t>Storage Solution, Residential Moving, Sales &amp; Business Development, English, Customer Service Skill</t>
        </is>
      </c>
      <c r="M9722" s="10" t="inlineStr">
        <is>
          <t>Bonus, Healthcare Plan, Training</t>
        </is>
      </c>
      <c r="N9722" s="11">
        <f>HYPERLINK("https://www.vietnamworks.com/storage-sales-residential-consultant-2021623-jv","Xem chi tiết")</f>
        <v/>
      </c>
      <c r="O9722" s="10" t="n"/>
    </row>
    <row r="9723">
      <c r="B9723" s="7" t="n">
        <v>9721</v>
      </c>
      <c r="C9723" t="inlineStr">
        <is>
          <t>Billing Assistant (Competitive Salary)</t>
        </is>
      </c>
      <c r="D9723" t="inlineStr">
        <is>
          <t>CÔNG TY TNHH RBA VIỆT NAM</t>
        </is>
      </c>
      <c r="E9723" t="inlineStr">
        <is>
          <t>Tới 15tr ₫/tháng</t>
        </is>
      </c>
      <c r="F9723" t="inlineStr">
        <is>
          <t>Hồ Chí Minh</t>
        </is>
      </c>
      <c r="G9723" t="inlineStr">
        <is>
          <t>Nhân viên</t>
        </is>
      </c>
      <c r="H9723" t="inlineStr">
        <is>
          <t>11/03/2026</t>
        </is>
      </c>
      <c r="I9723" t="inlineStr">
        <is>
          <t>10/04/2026</t>
        </is>
      </c>
      <c r="J9723" t="inlineStr">
        <is>
          <t>17/03/2026</t>
        </is>
      </c>
      <c r="K9723" t="inlineStr">
        <is>
          <t>N/A</t>
        </is>
      </c>
      <c r="L9723" t="inlineStr">
        <is>
          <t>Attention To Detail, Billing Software, Billing Tracking, Microsoft Excel, Debit Note Management</t>
        </is>
      </c>
      <c r="M9723" t="inlineStr">
        <is>
          <t>Bonus, Healthcare Plan, Paid Leave, Training, Travel Opportunities, Team Activities, Others</t>
        </is>
      </c>
      <c r="N9723" s="8">
        <f>HYPERLINK("https://www.vietnamworks.com/billing-assistant-competitive-salary-2021625-jv","Xem chi tiết")</f>
        <v/>
      </c>
    </row>
    <row r="9724">
      <c r="B9724" s="9" t="n">
        <v>9722</v>
      </c>
      <c r="C9724" s="10" t="inlineStr">
        <is>
          <t xml:space="preserve">Chuyên viên Quản Lý &amp; Vận Hành Hạ Tầng CNTT </t>
        </is>
      </c>
      <c r="D9724" s="10" t="inlineStr">
        <is>
          <t>Ngân Hàng TMCP Việt Nam Thương Tín (Vietbank)</t>
        </is>
      </c>
      <c r="E9724" s="10" t="inlineStr">
        <is>
          <t>$$ 700-1,500 /tháng</t>
        </is>
      </c>
      <c r="F9724" s="10" t="inlineStr">
        <is>
          <t>Hồ Chí Minh</t>
        </is>
      </c>
      <c r="G9724" s="10" t="inlineStr">
        <is>
          <t>Nhân viên</t>
        </is>
      </c>
      <c r="H9724" s="10" t="inlineStr">
        <is>
          <t>11/03/2026</t>
        </is>
      </c>
      <c r="I9724" s="10" t="inlineStr">
        <is>
          <t>10/04/2026</t>
        </is>
      </c>
      <c r="J9724" s="10" t="inlineStr">
        <is>
          <t>17/03/2026</t>
        </is>
      </c>
      <c r="K9724" s="10" t="inlineStr">
        <is>
          <t>N/A</t>
        </is>
      </c>
      <c r="L9724" s="10" t="inlineStr">
        <is>
          <t>Kỹ năng giao tiếp, Quản Lý Thời Gian, Quản Trị Hạ Tầng CNTT, Sao Lưu Và Phục Hồi</t>
        </is>
      </c>
      <c r="M9724" s="10" t="inlineStr">
        <is>
          <t>Bonus, Healthcare Plan, Training, Laptop</t>
        </is>
      </c>
      <c r="N9724" s="11">
        <f>HYPERLINK("https://www.vietnamworks.com/chuyen-vien-quan-ly-and-van-hanh-ha-tang-cntt-2021626-jv","Xem chi tiết")</f>
        <v/>
      </c>
      <c r="O9724" s="10" t="n"/>
    </row>
    <row r="9725">
      <c r="B9725" s="7" t="n">
        <v>9723</v>
      </c>
      <c r="C9725" t="inlineStr">
        <is>
          <t>Coating Advisor/ Central (Giám Sát Kỹ Thuật Sơn/ Miền Trung)</t>
        </is>
      </c>
      <c r="D9725" t="inlineStr">
        <is>
          <t>Jotun Paints Vietnam Company Limited</t>
        </is>
      </c>
      <c r="E9725" t="inlineStr">
        <is>
          <t>Thương lượng</t>
        </is>
      </c>
      <c r="F9725" t="inlineStr">
        <is>
          <t>Đà Nẵng</t>
        </is>
      </c>
      <c r="G9725" t="inlineStr">
        <is>
          <t>Nhân viên</t>
        </is>
      </c>
      <c r="H9725" t="inlineStr">
        <is>
          <t>11/03/2026</t>
        </is>
      </c>
      <c r="I9725" t="inlineStr">
        <is>
          <t>10/04/2026</t>
        </is>
      </c>
      <c r="J9725" t="inlineStr">
        <is>
          <t>17/03/2026</t>
        </is>
      </c>
      <c r="K9725" t="inlineStr">
        <is>
          <t>N/A</t>
        </is>
      </c>
      <c r="L9725" t="inlineStr">
        <is>
          <t>Technical Support, English, Coatings Supervision, Paint Technology, Coatings</t>
        </is>
      </c>
      <c r="M9725" t="inlineStr">
        <is>
          <t>Bonus, Healthcare Plan, Training</t>
        </is>
      </c>
      <c r="N9725" s="8">
        <f>HYPERLINK("https://www.vietnamworks.com/coating-advisor-central-giam-sat-ky-thuat-son-mien-trung--2021632-jv","Xem chi tiết")</f>
        <v/>
      </c>
    </row>
    <row r="9726">
      <c r="B9726" s="9" t="n">
        <v>9724</v>
      </c>
      <c r="C9726" s="10" t="inlineStr">
        <is>
          <t>Tax &amp; Transfer Pricing Experienced Associate (Hanoi Office)</t>
        </is>
      </c>
      <c r="D9726" s="10" t="inlineStr">
        <is>
          <t>Grant Thornton (Vietnam) Limited</t>
        </is>
      </c>
      <c r="E9726" s="10" t="inlineStr">
        <is>
          <t>Thương lượng</t>
        </is>
      </c>
      <c r="F9726" s="10" t="inlineStr">
        <is>
          <t>Hà Nội</t>
        </is>
      </c>
      <c r="G9726" s="10" t="inlineStr">
        <is>
          <t>Nhân viên</t>
        </is>
      </c>
      <c r="H9726" s="10" t="inlineStr">
        <is>
          <t>11/03/2026</t>
        </is>
      </c>
      <c r="I9726" s="10" t="inlineStr">
        <is>
          <t>10/04/2026</t>
        </is>
      </c>
      <c r="J9726" s="10" t="inlineStr">
        <is>
          <t>17/03/2026</t>
        </is>
      </c>
      <c r="K9726" s="10" t="inlineStr">
        <is>
          <t>N/A</t>
        </is>
      </c>
      <c r="L9726" s="10" t="inlineStr">
        <is>
          <t>Fluency In English, Interpersonal Skills, Project Management, Tax Knowledge, Transfer Pricing</t>
        </is>
      </c>
      <c r="M9726" s="10" t="inlineStr">
        <is>
          <t>Healthcare Plan, Training, Travel Opportunities</t>
        </is>
      </c>
      <c r="N9726" s="11">
        <f>HYPERLINK("https://www.vietnamworks.com/tax-and-transfer-pricing-experienced-associate-hanoi-office-2021646-jv","Xem chi tiết")</f>
        <v/>
      </c>
      <c r="O9726" s="10" t="n"/>
    </row>
    <row r="9727">
      <c r="B9727" s="7" t="n">
        <v>9725</v>
      </c>
      <c r="C9727" t="inlineStr">
        <is>
          <t>Kế Toán Viên - Chấp Nhận Fresher</t>
        </is>
      </c>
      <c r="D9727" t="inlineStr">
        <is>
          <t>Công Ty TNHH Bennett Wright</t>
        </is>
      </c>
      <c r="E9727" t="inlineStr">
        <is>
          <t>Tới 30tr ₫/tháng</t>
        </is>
      </c>
      <c r="F9727" t="inlineStr">
        <is>
          <t>Hồ Chí Minh</t>
        </is>
      </c>
      <c r="G9727" t="inlineStr">
        <is>
          <t>Nhân viên</t>
        </is>
      </c>
      <c r="H9727" t="inlineStr">
        <is>
          <t>11/03/2026</t>
        </is>
      </c>
      <c r="I9727" t="inlineStr">
        <is>
          <t>10/04/2026</t>
        </is>
      </c>
      <c r="J9727" t="inlineStr">
        <is>
          <t>17/03/2026</t>
        </is>
      </c>
      <c r="K9727" t="inlineStr">
        <is>
          <t>N/A</t>
        </is>
      </c>
      <c r="L9727" t="inlineStr">
        <is>
          <t>Báo Cáo Tài Chính, Chứng Từ Thanh Toán, Hạch Toán, Kế Toán Sản Xuất, Thu Hồi Công Nợ</t>
        </is>
      </c>
      <c r="M9727" t="inlineStr">
        <is>
          <t>Healthcare Plan, Awards</t>
        </is>
      </c>
      <c r="N9727" s="8">
        <f>HYPERLINK("https://www.vietnamworks.com/ke-toan-vien-chap-nhan-fresher-2021642-jv","Xem chi tiết")</f>
        <v/>
      </c>
    </row>
    <row r="9728">
      <c r="B9728" s="9" t="n">
        <v>9726</v>
      </c>
      <c r="C9728" s="10" t="inlineStr">
        <is>
          <t>Nhân Viên Kế Toán Thanh Toán</t>
        </is>
      </c>
      <c r="D9728" s="10" t="inlineStr">
        <is>
          <t>H&amp;friends GTL Vietnam Co.,ltd</t>
        </is>
      </c>
      <c r="E9728" s="10" t="inlineStr">
        <is>
          <t>Thương lượng</t>
        </is>
      </c>
      <c r="F9728" s="10" t="inlineStr">
        <is>
          <t>Hồ Chí Minh</t>
        </is>
      </c>
      <c r="G9728" s="10" t="inlineStr">
        <is>
          <t>Nhân viên</t>
        </is>
      </c>
      <c r="H9728" s="10" t="inlineStr">
        <is>
          <t>11/03/2026</t>
        </is>
      </c>
      <c r="I9728" s="10" t="inlineStr">
        <is>
          <t>10/04/2026</t>
        </is>
      </c>
      <c r="J9728" s="10" t="inlineStr">
        <is>
          <t>17/03/2026</t>
        </is>
      </c>
      <c r="K9728" s="10" t="inlineStr">
        <is>
          <t>N/A</t>
        </is>
      </c>
      <c r="L9728" s="10" t="inlineStr">
        <is>
          <t>Accounts Payable, Kế Toán Chi Phí, Kế Toán Công Nợ, Kế Toán Tổng Hợp, Theo Dõi Công Nợ</t>
        </is>
      </c>
      <c r="M9728" s="10" t="inlineStr">
        <is>
          <t>Bonus, Healthcare Plan, Training</t>
        </is>
      </c>
      <c r="N9728" s="11">
        <f>HYPERLINK("https://www.vietnamworks.com/nhan-vien-ke-toan-thanh-toan--2021657-jv","Xem chi tiết")</f>
        <v/>
      </c>
      <c r="O9728" s="10" t="n"/>
    </row>
    <row r="9729">
      <c r="B9729" s="7" t="n">
        <v>9727</v>
      </c>
      <c r="C9729" t="inlineStr">
        <is>
          <t>Nhân Viên Xuất Nhập Khẩu</t>
        </is>
      </c>
      <c r="D9729" t="inlineStr">
        <is>
          <t>CÔNG TY TNHH SUZURAN VIỆT NAM</t>
        </is>
      </c>
      <c r="E9729" t="inlineStr">
        <is>
          <t>13tr-15tr ₫/tháng</t>
        </is>
      </c>
      <c r="F9729" t="inlineStr">
        <is>
          <t>Hưng Yên</t>
        </is>
      </c>
      <c r="G9729" t="inlineStr">
        <is>
          <t>Nhân viên</t>
        </is>
      </c>
      <c r="H9729" t="inlineStr">
        <is>
          <t>11/03/2026</t>
        </is>
      </c>
      <c r="I9729" t="inlineStr">
        <is>
          <t>10/04/2026</t>
        </is>
      </c>
      <c r="J9729" t="inlineStr">
        <is>
          <t>17/03/2026</t>
        </is>
      </c>
      <c r="K9729" t="inlineStr">
        <is>
          <t>N/A</t>
        </is>
      </c>
      <c r="L9729" t="inlineStr">
        <is>
          <t>Khai Báo Hải Quan, Quản Lý Hồ Sơ, Giao Nhận Hàng Hóa, Thủ Tục Hải Quan, Xuất Nhập Khẩu</t>
        </is>
      </c>
      <c r="M9729" t="inlineStr">
        <is>
          <t>Bonus, Healthcare Plan, Paid Leave, Travel Opportunities</t>
        </is>
      </c>
      <c r="N9729" s="8">
        <f>HYPERLINK("https://www.vietnamworks.com/nhan-vien-xuat-nhap-khau-2021667-jv","Xem chi tiết")</f>
        <v/>
      </c>
    </row>
    <row r="9730">
      <c r="B9730" s="9" t="n">
        <v>9728</v>
      </c>
      <c r="C9730" s="10" t="inlineStr">
        <is>
          <t>Trưởng Phòng Sản Xuất / Chế Tạo</t>
        </is>
      </c>
      <c r="D9730" s="10" t="inlineStr">
        <is>
          <t>Công ty TNHH Seojin Auto</t>
        </is>
      </c>
      <c r="E9730" s="10" t="inlineStr">
        <is>
          <t>Thương lượng</t>
        </is>
      </c>
      <c r="F9730" s="10" t="inlineStr">
        <is>
          <t>Bắc Ninh, Hà Nội</t>
        </is>
      </c>
      <c r="G9730" s="10" t="inlineStr">
        <is>
          <t>Giám Đốc và Cấp Cao Hơn</t>
        </is>
      </c>
      <c r="H9730" s="10" t="inlineStr">
        <is>
          <t>11/03/2026</t>
        </is>
      </c>
      <c r="I9730" s="10" t="inlineStr">
        <is>
          <t>10/04/2026</t>
        </is>
      </c>
      <c r="J9730" s="10" t="inlineStr">
        <is>
          <t>17/03/2026</t>
        </is>
      </c>
      <c r="K9730" s="10" t="inlineStr">
        <is>
          <t>N/A</t>
        </is>
      </c>
      <c r="L9730" s="10" t="inlineStr">
        <is>
          <t>Quản Lý Sản Xuất, Quản Lý Nhân Sự, Cải Tiến Quy Trình Sản Xuất, Lắp Ráp Phần Cứng Máy Tính, Tiếng Anh</t>
        </is>
      </c>
      <c r="M9730" s="10" t="inlineStr">
        <is>
          <t>Bonus, Healthcare Plan, Others</t>
        </is>
      </c>
      <c r="N9730" s="11">
        <f>HYPERLINK("https://www.vietnamworks.com/truong-phong-san-xuat-che-tao-2021659-jv","Xem chi tiết")</f>
        <v/>
      </c>
      <c r="O9730" s="10" t="n"/>
    </row>
    <row r="9731">
      <c r="B9731" s="7" t="n">
        <v>9729</v>
      </c>
      <c r="C9731" t="inlineStr">
        <is>
          <t>Customer Support (Order Processing, English/chinese)</t>
        </is>
      </c>
      <c r="D9731" t="inlineStr">
        <is>
          <t>The One Digi Corp</t>
        </is>
      </c>
      <c r="E9731" t="inlineStr">
        <is>
          <t>$$ 300-500 /tháng</t>
        </is>
      </c>
      <c r="F9731" t="inlineStr">
        <is>
          <t>Hồ Chí Minh</t>
        </is>
      </c>
      <c r="G9731" t="inlineStr">
        <is>
          <t>Nhân viên</t>
        </is>
      </c>
      <c r="H9731" t="inlineStr">
        <is>
          <t>11/03/2026</t>
        </is>
      </c>
      <c r="I9731" t="inlineStr">
        <is>
          <t>10/04/2026</t>
        </is>
      </c>
      <c r="J9731" t="inlineStr">
        <is>
          <t>17/03/2026</t>
        </is>
      </c>
      <c r="K9731" t="inlineStr">
        <is>
          <t>N/A</t>
        </is>
      </c>
      <c r="L9731" t="inlineStr">
        <is>
          <t>English, Chinese, Order Processing, Customer Service Skill, Remote &amp; Hybrid Work</t>
        </is>
      </c>
      <c r="M9731" t="inlineStr">
        <is>
          <t>Healthcare Plan, Paid Leave, Laptop</t>
        </is>
      </c>
      <c r="N9731" s="8">
        <f>HYPERLINK("https://www.vietnamworks.com/customer-support-order-processing-english-chinese-2021643-jv","Xem chi tiết")</f>
        <v/>
      </c>
    </row>
    <row r="9732">
      <c r="B9732" s="9" t="n">
        <v>9730</v>
      </c>
      <c r="C9732" s="10" t="inlineStr">
        <is>
          <t>Kế Toán Ngân Quỹ Và Các Khoản Phải Thu</t>
        </is>
      </c>
      <c r="D9732" s="10" t="inlineStr">
        <is>
          <t>Công Ty TNHH Quicornac</t>
        </is>
      </c>
      <c r="E9732" s="10" t="inlineStr">
        <is>
          <t>Thương lượng</t>
        </is>
      </c>
      <c r="F9732" s="10" t="inlineStr">
        <is>
          <t>Gia Lai</t>
        </is>
      </c>
      <c r="G9732" s="10" t="inlineStr">
        <is>
          <t>Nhân viên</t>
        </is>
      </c>
      <c r="H9732" s="10" t="inlineStr">
        <is>
          <t>11/03/2026</t>
        </is>
      </c>
      <c r="I9732" s="10" t="inlineStr">
        <is>
          <t>10/04/2026</t>
        </is>
      </c>
      <c r="J9732" s="10" t="inlineStr">
        <is>
          <t>17/03/2026</t>
        </is>
      </c>
      <c r="K9732" s="10" t="inlineStr">
        <is>
          <t>N/A</t>
        </is>
      </c>
      <c r="L9732" s="10" t="inlineStr">
        <is>
          <t>Accounts receivable, Cash Flow Management, ERP, Financial Reporting, Treasury</t>
        </is>
      </c>
      <c r="M9732" s="10" t="inlineStr">
        <is>
          <t>Bonus</t>
        </is>
      </c>
      <c r="N9732" s="11">
        <f>HYPERLINK("https://www.vietnamworks.com/ke-toan-ngan-quy-va-cac-khoan-phai-thu-2021662-jv","Xem chi tiết")</f>
        <v/>
      </c>
      <c r="O9732" s="10" t="n"/>
    </row>
    <row r="9733">
      <c r="B9733" s="7" t="n">
        <v>9731</v>
      </c>
      <c r="C9733" t="inlineStr">
        <is>
          <t>EHS Officer (Environment, Health &amp; Safety)</t>
        </is>
      </c>
      <c r="D9733" t="inlineStr">
        <is>
          <t>Công Ty TNHH Quicornac</t>
        </is>
      </c>
      <c r="E9733" t="inlineStr">
        <is>
          <t>Thương lượng</t>
        </is>
      </c>
      <c r="F9733" t="inlineStr">
        <is>
          <t>Gia Lai</t>
        </is>
      </c>
      <c r="G9733" t="inlineStr">
        <is>
          <t>Nhân viên</t>
        </is>
      </c>
      <c r="H9733" t="inlineStr">
        <is>
          <t>11/03/2026</t>
        </is>
      </c>
      <c r="I9733" t="inlineStr">
        <is>
          <t>10/04/2026</t>
        </is>
      </c>
      <c r="J9733" t="inlineStr">
        <is>
          <t>17/03/2026</t>
        </is>
      </c>
      <c r="K9733" t="inlineStr">
        <is>
          <t>N/A</t>
        </is>
      </c>
      <c r="L9733" t="inlineStr">
        <is>
          <t>EHS Compliance, Kỹ Thuật Môi Trường, PCCC, Risk Assessment, Safety Inspection</t>
        </is>
      </c>
      <c r="M9733" t="inlineStr">
        <is>
          <t>Healthcare Plan, Paid Leave, Others</t>
        </is>
      </c>
      <c r="N9733" s="8">
        <f>HYPERLINK("https://www.vietnamworks.com/ehs-officer-environment-health-and-safety-2021673-jv","Xem chi tiết")</f>
        <v/>
      </c>
    </row>
    <row r="9734">
      <c r="B9734" s="9" t="n">
        <v>9732</v>
      </c>
      <c r="C9734" s="10" t="inlineStr">
        <is>
          <t>Phó Phòng Kế Toán</t>
        </is>
      </c>
      <c r="D9734" s="10" t="inlineStr">
        <is>
          <t>Stavian Group</t>
        </is>
      </c>
      <c r="E9734" s="10" t="inlineStr">
        <is>
          <t>Thương lượng</t>
        </is>
      </c>
      <c r="F9734" s="10" t="inlineStr">
        <is>
          <t>Hà Nội</t>
        </is>
      </c>
      <c r="G9734" s="10" t="inlineStr">
        <is>
          <t>Nhân viên</t>
        </is>
      </c>
      <c r="H9734" s="10" t="inlineStr">
        <is>
          <t>11/03/2026</t>
        </is>
      </c>
      <c r="I9734" s="10" t="inlineStr">
        <is>
          <t>10/04/2026</t>
        </is>
      </c>
      <c r="J9734" s="10" t="inlineStr">
        <is>
          <t>17/03/2026</t>
        </is>
      </c>
      <c r="K9734" s="10" t="inlineStr">
        <is>
          <t>N/A</t>
        </is>
      </c>
      <c r="L9734" s="10" t="inlineStr">
        <is>
          <t>Báo Cáo Tài Chính, Kế Toán Thuế, Lập Dự Toán Quản Lý, Quản Lý Kế Toán, Tổng Hợp Phân Tích</t>
        </is>
      </c>
      <c r="M9734" s="10" t="inlineStr">
        <is>
          <t>Bonus, Healthcare Plan, Others</t>
        </is>
      </c>
      <c r="N9734" s="11">
        <f>HYPERLINK("https://www.vietnamworks.com/pho-phong-ke-toan-2021650-jv","Xem chi tiết")</f>
        <v/>
      </c>
      <c r="O9734" s="10" t="n"/>
    </row>
    <row r="9735">
      <c r="B9735" s="7" t="n">
        <v>9733</v>
      </c>
      <c r="C9735" t="inlineStr">
        <is>
          <t>Phó Phòng Sản Xuất</t>
        </is>
      </c>
      <c r="D9735" t="inlineStr">
        <is>
          <t>Công Ty TNHH NMS Việt Nam</t>
        </is>
      </c>
      <c r="E9735" t="inlineStr">
        <is>
          <t>Thương lượng</t>
        </is>
      </c>
      <c r="F9735" t="inlineStr">
        <is>
          <t>Hà Nam</t>
        </is>
      </c>
      <c r="G9735" t="inlineStr">
        <is>
          <t>Trưởng phòng</t>
        </is>
      </c>
      <c r="H9735" t="inlineStr">
        <is>
          <t>11/03/2026</t>
        </is>
      </c>
      <c r="I9735" t="inlineStr">
        <is>
          <t>10/04/2026</t>
        </is>
      </c>
      <c r="J9735" t="inlineStr">
        <is>
          <t>17/03/2026</t>
        </is>
      </c>
      <c r="K9735" t="inlineStr">
        <is>
          <t>N/A</t>
        </is>
      </c>
      <c r="L9735" t="inlineStr">
        <is>
          <t>Quản Lý Sản Xuất, Phân Tích Lỗi, Triển Khai Kế Hoạch, Tiếng Nhật N3, Xử Lý Tình Huống</t>
        </is>
      </c>
      <c r="M9735" t="inlineStr">
        <is>
          <t>Bonus, Paid Leave, Travel Opportunities, Others</t>
        </is>
      </c>
      <c r="N9735" s="8">
        <f>HYPERLINK("https://www.vietnamworks.com/pho-phong-san-xuat-2021654-jv","Xem chi tiết")</f>
        <v/>
      </c>
    </row>
    <row r="9736">
      <c r="B9736" s="9" t="n">
        <v>9734</v>
      </c>
      <c r="C9736" s="10" t="inlineStr">
        <is>
          <t>Nhân Viên Cơ Điện - Làm Việc Tại Các Công Trình ( Phía Bắc)- Hà Nội</t>
        </is>
      </c>
      <c r="D9736" s="10" t="inlineStr">
        <is>
          <t>CTY TNHH KAME VIỆT NAM</t>
        </is>
      </c>
      <c r="E9736" s="10" t="inlineStr">
        <is>
          <t>10tr-15tr ₫/tháng</t>
        </is>
      </c>
      <c r="F9736" s="10" t="inlineStr">
        <is>
          <t>Hà Nội</t>
        </is>
      </c>
      <c r="G9736" s="10" t="inlineStr">
        <is>
          <t>Mới Tốt Nghiệp</t>
        </is>
      </c>
      <c r="H9736" s="10" t="inlineStr">
        <is>
          <t>11/03/2026</t>
        </is>
      </c>
      <c r="I9736" s="10" t="inlineStr">
        <is>
          <t>10/04/2026</t>
        </is>
      </c>
      <c r="J9736" s="10" t="inlineStr">
        <is>
          <t>17/03/2026</t>
        </is>
      </c>
      <c r="K9736" s="10" t="inlineStr">
        <is>
          <t>N/A</t>
        </is>
      </c>
      <c r="L9736" s="10" t="inlineStr">
        <is>
          <t>AutoCAD, Bóc Tách Khối Lượng, Thiết Kế Bản Vẽ, Cơ Điện, Sửa Chữa</t>
        </is>
      </c>
      <c r="M9736" s="10" t="inlineStr">
        <is>
          <t>Training, Others</t>
        </is>
      </c>
      <c r="N9736" s="11">
        <f>HYPERLINK("https://www.vietnamworks.com/nhan-vien-co-djien-lam-viec-tai-cac-cong-trinh-phia-bac-ha-noi-2021664-jv","Xem chi tiết")</f>
        <v/>
      </c>
      <c r="O9736" s="10" t="n"/>
    </row>
    <row r="9737">
      <c r="B9737" s="7" t="n">
        <v>9735</v>
      </c>
      <c r="C9737" t="inlineStr">
        <is>
          <t>Giám Đốc Kinh Doanh</t>
        </is>
      </c>
      <c r="D9737" t="inlineStr">
        <is>
          <t>Công Ty Cổ Phần Conmik Việt Nam</t>
        </is>
      </c>
      <c r="E9737" t="inlineStr">
        <is>
          <t>$$ 2,000-3,000 /tháng</t>
        </is>
      </c>
      <c r="F9737" t="inlineStr">
        <is>
          <t>Hà Nội, Hồ Chí Minh</t>
        </is>
      </c>
      <c r="G9737" t="inlineStr">
        <is>
          <t>Trưởng phòng</t>
        </is>
      </c>
      <c r="H9737" t="inlineStr">
        <is>
          <t>11/03/2026</t>
        </is>
      </c>
      <c r="I9737" t="inlineStr">
        <is>
          <t>10/04/2026</t>
        </is>
      </c>
      <c r="J9737" t="inlineStr">
        <is>
          <t>17/03/2026</t>
        </is>
      </c>
      <c r="K9737" t="inlineStr">
        <is>
          <t>N/A</t>
        </is>
      </c>
      <c r="L9737" t="inlineStr">
        <is>
          <t>Lập Kế Hoạch Kinh Doanh, Hàng Vật Liệu Xây Dựng, Mở Rộng Đại Lý, Phát Triển Thị Trường, Xây Dựng Mối Quan Hệ</t>
        </is>
      </c>
      <c r="M9737" t="inlineStr">
        <is>
          <t>Bonus, Training, Others</t>
        </is>
      </c>
      <c r="N9737" s="8">
        <f>HYPERLINK("https://www.vietnamworks.com/giam-djoc-kinh-doanh-2021663-jv","Xem chi tiết")</f>
        <v/>
      </c>
    </row>
    <row r="9738">
      <c r="B9738" s="9" t="n">
        <v>9736</v>
      </c>
      <c r="C9738" s="10" t="inlineStr">
        <is>
          <t>Giám Sát Bán Hàng GT - Bến Tre (Mỏ Cày) hoặc Cần Thơ (Cái Răng, Ninh Kiều)</t>
        </is>
      </c>
      <c r="D9738" s="10" t="inlineStr">
        <is>
          <t>Orion Food Vina Co,. Ltd - Head Office</t>
        </is>
      </c>
      <c r="E9738" s="10" t="inlineStr">
        <is>
          <t>Thương lượng</t>
        </is>
      </c>
      <c r="F9738" s="10" t="inlineStr">
        <is>
          <t>Bến Tre, Cần Thơ</t>
        </is>
      </c>
      <c r="G9738" s="10" t="inlineStr">
        <is>
          <t>Nhân viên</t>
        </is>
      </c>
      <c r="H9738" s="10" t="inlineStr">
        <is>
          <t>11/03/2026</t>
        </is>
      </c>
      <c r="I9738" s="10" t="inlineStr">
        <is>
          <t>10/04/2026</t>
        </is>
      </c>
      <c r="J9738" s="10" t="inlineStr">
        <is>
          <t>17/03/2026</t>
        </is>
      </c>
      <c r="K9738" s="10" t="inlineStr">
        <is>
          <t>N/A</t>
        </is>
      </c>
      <c r="L9738" s="10" t="inlineStr">
        <is>
          <t>Sales Supervisor, Giám Sát Bán Hàng, Quản Lý Đội Nhóm, FMCG, Thực phẩm</t>
        </is>
      </c>
      <c r="M9738" s="10" t="inlineStr">
        <is>
          <t>Bonus, Healthcare Plan, Team Activities</t>
        </is>
      </c>
      <c r="N9738" s="11">
        <f>HYPERLINK("https://www.vietnamworks.com/giam-sat-ban-hang-gt-ben-tre-mo-cay-hoac-can-tho-cai-rang-ninh-kieu-2021651-jv","Xem chi tiết")</f>
        <v/>
      </c>
      <c r="O9738" s="10" t="n"/>
    </row>
    <row r="9739">
      <c r="B9739" s="7" t="n">
        <v>9737</v>
      </c>
      <c r="C9739" t="inlineStr">
        <is>
          <t>Nhân Viên Kinh Doanh (Theo Dõi Và Quản Lý Đơn Hàng- Sale Admin)</t>
        </is>
      </c>
      <c r="D9739" t="inlineStr">
        <is>
          <t>CÔNG TY TNHH UNI-PACK</t>
        </is>
      </c>
      <c r="E9739" t="inlineStr">
        <is>
          <t>12tr-18tr ₫/tháng</t>
        </is>
      </c>
      <c r="F9739" t="inlineStr">
        <is>
          <t>Hưng Yên</t>
        </is>
      </c>
      <c r="G9739" t="inlineStr">
        <is>
          <t>Nhân viên</t>
        </is>
      </c>
      <c r="H9739" t="inlineStr">
        <is>
          <t>11/03/2026</t>
        </is>
      </c>
      <c r="I9739" t="inlineStr">
        <is>
          <t>10/04/2026</t>
        </is>
      </c>
      <c r="J9739" t="inlineStr">
        <is>
          <t>17/03/2026</t>
        </is>
      </c>
      <c r="K9739" t="inlineStr">
        <is>
          <t>N/A</t>
        </is>
      </c>
      <c r="L9739" t="inlineStr">
        <is>
          <t>Phát Triển Khách Hàng, Quản Lý Khách Hàng, Quản Lý Đơn Hàng, Theo Dõi Công Nợ, Theo Dõi Đơn Hàng</t>
        </is>
      </c>
      <c r="M9739" t="inlineStr">
        <is>
          <t>Bonus, Healthcare Plan, Travel Opportunities, Others</t>
        </is>
      </c>
      <c r="N9739" s="8">
        <f>HYPERLINK("https://www.vietnamworks.com/nhan-vien-kinh-doanh-theo-doi-va-quan-ly-djon-hang-sale-admin-2021655-jv","Xem chi tiết")</f>
        <v/>
      </c>
    </row>
    <row r="9740">
      <c r="B9740" s="9" t="n">
        <v>9738</v>
      </c>
      <c r="C9740" s="10" t="inlineStr">
        <is>
          <t>Senior Ecommerce Executive</t>
        </is>
      </c>
      <c r="D9740" s="10" t="inlineStr">
        <is>
          <t>Công Ty TNHH M.O.I Cosmetics</t>
        </is>
      </c>
      <c r="E9740" s="10" t="inlineStr">
        <is>
          <t>Thương lượng</t>
        </is>
      </c>
      <c r="F9740" s="10" t="inlineStr">
        <is>
          <t>Hồ Chí Minh</t>
        </is>
      </c>
      <c r="G9740" s="10" t="inlineStr">
        <is>
          <t>Nhân viên</t>
        </is>
      </c>
      <c r="H9740" s="10" t="inlineStr">
        <is>
          <t>11/03/2026</t>
        </is>
      </c>
      <c r="I9740" s="10" t="inlineStr">
        <is>
          <t>10/04/2026</t>
        </is>
      </c>
      <c r="J9740" s="10" t="inlineStr">
        <is>
          <t>17/03/2026</t>
        </is>
      </c>
      <c r="K9740" s="10" t="inlineStr">
        <is>
          <t>N/A</t>
        </is>
      </c>
      <c r="L9740" s="10" t="inlineStr">
        <is>
          <t>Data Analysis, Phân Tích Dữ Liệu, Sales Planning, Store Management, Đàm Phán</t>
        </is>
      </c>
      <c r="M9740" s="10" t="inlineStr">
        <is>
          <t>Training, Team Activities, Vouchers, Others</t>
        </is>
      </c>
      <c r="N9740" s="11">
        <f>HYPERLINK("https://www.vietnamworks.com/senior-ecommerce-executive-2021671-jv","Xem chi tiết")</f>
        <v/>
      </c>
      <c r="O9740" s="10" t="n"/>
    </row>
    <row r="9741">
      <c r="B9741" s="7" t="n">
        <v>9739</v>
      </c>
      <c r="C9741" t="inlineStr">
        <is>
          <t>Accountant / Kế Toán</t>
        </is>
      </c>
      <c r="D9741" t="inlineStr">
        <is>
          <t>Asco Vietnam Co., Ltd</t>
        </is>
      </c>
      <c r="E9741" t="inlineStr">
        <is>
          <t>Thương lượng</t>
        </is>
      </c>
      <c r="F9741" t="inlineStr">
        <is>
          <t>Hồ Chí Minh</t>
        </is>
      </c>
      <c r="G9741" t="inlineStr">
        <is>
          <t>Nhân viên</t>
        </is>
      </c>
      <c r="H9741" t="inlineStr">
        <is>
          <t>11/03/2026</t>
        </is>
      </c>
      <c r="I9741" t="inlineStr">
        <is>
          <t>10/04/2026</t>
        </is>
      </c>
      <c r="J9741" t="inlineStr">
        <is>
          <t>17/03/2026</t>
        </is>
      </c>
      <c r="K9741" t="inlineStr">
        <is>
          <t>N/A</t>
        </is>
      </c>
      <c r="L9741" t="inlineStr">
        <is>
          <t>Accounts Payable, Account Receivable, Financial Report, Accounting Standards, Accounting Transactions</t>
        </is>
      </c>
      <c r="M9741" t="inlineStr">
        <is>
          <t>Bonus, Healthcare Plan, Paid Leave</t>
        </is>
      </c>
      <c r="N9741" s="8">
        <f>HYPERLINK("https://www.vietnamworks.com/accountant-ke-toan--2021647-jv","Xem chi tiết")</f>
        <v/>
      </c>
    </row>
    <row r="9742">
      <c r="B9742" s="9" t="n">
        <v>9740</v>
      </c>
      <c r="C9742" s="10" t="inlineStr">
        <is>
          <t>Trưởng Bộ Phận Nhân Sự</t>
        </is>
      </c>
      <c r="D9742" s="10" t="inlineStr">
        <is>
          <t>TAFUCO</t>
        </is>
      </c>
      <c r="E9742" s="10" t="inlineStr">
        <is>
          <t>Thương lượng</t>
        </is>
      </c>
      <c r="F9742" s="10" t="inlineStr">
        <is>
          <t>Bà Rịa - Vũng Tàu</t>
        </is>
      </c>
      <c r="G9742" s="10" t="inlineStr">
        <is>
          <t>Trưởng phòng</t>
        </is>
      </c>
      <c r="H9742" s="10" t="inlineStr">
        <is>
          <t>11/03/2026</t>
        </is>
      </c>
      <c r="I9742" s="10" t="inlineStr">
        <is>
          <t>10/04/2026</t>
        </is>
      </c>
      <c r="J9742" s="10" t="inlineStr">
        <is>
          <t>17/03/2026</t>
        </is>
      </c>
      <c r="K9742" s="10" t="inlineStr">
        <is>
          <t>N/A</t>
        </is>
      </c>
      <c r="L9742" s="10" t="inlineStr">
        <is>
          <t>Quản Lý Nhân Sự, Luật Lao Động, Lãnh Đạo, HR, Nhân Sự</t>
        </is>
      </c>
      <c r="M9742" s="10" t="inlineStr">
        <is>
          <t>Healthcare Plan, Travel Opportunities, Others</t>
        </is>
      </c>
      <c r="N9742" s="11">
        <f>HYPERLINK("https://www.vietnamworks.com/truong-bo-phan-nhan-su-2021672-jv","Xem chi tiết")</f>
        <v/>
      </c>
      <c r="O9742" s="10" t="n"/>
    </row>
    <row r="9743">
      <c r="B9743" s="7" t="n">
        <v>9741</v>
      </c>
      <c r="C9743" t="inlineStr">
        <is>
          <t>Trưởng Nhóm Marketing</t>
        </is>
      </c>
      <c r="D9743" t="inlineStr">
        <is>
          <t>Công Ty Cổ Phần Tập Đoàn BRG</t>
        </is>
      </c>
      <c r="E9743" t="inlineStr">
        <is>
          <t>Thương lượng</t>
        </is>
      </c>
      <c r="F9743" t="inlineStr">
        <is>
          <t>Hà Nội</t>
        </is>
      </c>
      <c r="G9743" t="inlineStr">
        <is>
          <t>Nhân viên</t>
        </is>
      </c>
      <c r="H9743" t="inlineStr">
        <is>
          <t>11/03/2026</t>
        </is>
      </c>
      <c r="I9743" t="inlineStr">
        <is>
          <t>10/04/2026</t>
        </is>
      </c>
      <c r="J9743" t="inlineStr">
        <is>
          <t>17/03/2026</t>
        </is>
      </c>
      <c r="K9743" t="inlineStr">
        <is>
          <t>N/A</t>
        </is>
      </c>
      <c r="L9743" t="inlineStr">
        <is>
          <t>Marketing, Marketing Planning, Bất Động Sản, Event Management</t>
        </is>
      </c>
      <c r="M9743" t="inlineStr">
        <is>
          <t>Bonus, Healthcare Plan, Travel Opportunities</t>
        </is>
      </c>
      <c r="N9743" s="8">
        <f>HYPERLINK("https://www.vietnamworks.com/truong-nhom-marketing--2021658-jv","Xem chi tiết")</f>
        <v/>
      </c>
    </row>
    <row r="9744">
      <c r="B9744" s="9" t="n">
        <v>9742</v>
      </c>
      <c r="C9744" s="10" t="inlineStr">
        <is>
          <t>Trợ Lý Tài Chính (Finance Officer)</t>
        </is>
      </c>
      <c r="D9744" s="10" t="inlineStr">
        <is>
          <t>Công Ty TNHH Quicornac</t>
        </is>
      </c>
      <c r="E9744" s="10" t="inlineStr">
        <is>
          <t>Thương lượng</t>
        </is>
      </c>
      <c r="F9744" s="10" t="inlineStr">
        <is>
          <t>Gia Lai</t>
        </is>
      </c>
      <c r="G9744" s="10" t="inlineStr">
        <is>
          <t>Trưởng phòng</t>
        </is>
      </c>
      <c r="H9744" s="10" t="inlineStr">
        <is>
          <t>11/03/2026</t>
        </is>
      </c>
      <c r="I9744" s="10" t="inlineStr">
        <is>
          <t>10/04/2026</t>
        </is>
      </c>
      <c r="J9744" s="10" t="inlineStr">
        <is>
          <t>17/03/2026</t>
        </is>
      </c>
      <c r="K9744" s="10" t="inlineStr">
        <is>
          <t>N/A</t>
        </is>
      </c>
      <c r="L9744" s="10" t="inlineStr">
        <is>
          <t>ERP, Quản Trị Dòng Tiền, Tài Chính Doanh Nghiệp, Tax Compliance, Transfer Pricing</t>
        </is>
      </c>
      <c r="M9744" s="10" t="inlineStr">
        <is>
          <t>Bonus</t>
        </is>
      </c>
      <c r="N9744" s="11">
        <f>HYPERLINK("https://www.vietnamworks.com/tro-ly-tai-chinh-finance-officer-2021670-jv","Xem chi tiết")</f>
        <v/>
      </c>
      <c r="O9744" s="10" t="n"/>
    </row>
    <row r="9745">
      <c r="B9745" s="7" t="n">
        <v>9743</v>
      </c>
      <c r="C9745" t="inlineStr">
        <is>
          <t>Marketing Manager</t>
        </is>
      </c>
      <c r="D9745" t="inlineStr">
        <is>
          <t>Công Ty TNHH Spring Hill Education</t>
        </is>
      </c>
      <c r="E9745" t="inlineStr">
        <is>
          <t>Thương lượng</t>
        </is>
      </c>
      <c r="F9745" t="inlineStr">
        <is>
          <t>Hồ Chí Minh</t>
        </is>
      </c>
      <c r="G9745" t="inlineStr">
        <is>
          <t>Trưởng phòng</t>
        </is>
      </c>
      <c r="H9745" t="inlineStr">
        <is>
          <t>11/03/2026</t>
        </is>
      </c>
      <c r="I9745" t="inlineStr">
        <is>
          <t>10/04/2026</t>
        </is>
      </c>
      <c r="J9745" t="inlineStr">
        <is>
          <t>17/03/2026</t>
        </is>
      </c>
      <c r="K9745" t="inlineStr">
        <is>
          <t>N/A</t>
        </is>
      </c>
      <c r="L9745" t="inlineStr">
        <is>
          <t>Marketing Strategy, Client Relationships, Market Forecast, Marketing Planning, Market Research</t>
        </is>
      </c>
      <c r="M9745" t="inlineStr">
        <is>
          <t>Bonus, Healthcare Plan, Canteen</t>
        </is>
      </c>
      <c r="N9745" s="8">
        <f>HYPERLINK("https://www.vietnamworks.com/marketing-manager-475-1-1-1--2021645-jv","Xem chi tiết")</f>
        <v/>
      </c>
    </row>
    <row r="9746">
      <c r="B9746" s="9" t="n">
        <v>9744</v>
      </c>
      <c r="C9746" s="10" t="inlineStr">
        <is>
          <t>Giám Sát Bán Hàng GT - Đức Trọng (Lâm Đồng)</t>
        </is>
      </c>
      <c r="D9746" s="10" t="inlineStr">
        <is>
          <t>Orion Food Vina Co,. Ltd - Head Office</t>
        </is>
      </c>
      <c r="E9746" s="10" t="inlineStr">
        <is>
          <t>Thương lượng</t>
        </is>
      </c>
      <c r="F9746" s="10" t="inlineStr">
        <is>
          <t>Lâm Đồng</t>
        </is>
      </c>
      <c r="G9746" s="10" t="inlineStr">
        <is>
          <t>Nhân viên</t>
        </is>
      </c>
      <c r="H9746" s="10" t="inlineStr">
        <is>
          <t>11/03/2026</t>
        </is>
      </c>
      <c r="I9746" s="10" t="inlineStr">
        <is>
          <t>10/04/2026</t>
        </is>
      </c>
      <c r="J9746" s="10" t="inlineStr">
        <is>
          <t>17/03/2026</t>
        </is>
      </c>
      <c r="K9746" s="10" t="inlineStr">
        <is>
          <t>N/A</t>
        </is>
      </c>
      <c r="L9746" s="10" t="inlineStr">
        <is>
          <t>Sales Supervisor, Giám Sát Bán Hàng, Quản Lý Đội Nhóm</t>
        </is>
      </c>
      <c r="M9746" s="10" t="inlineStr">
        <is>
          <t>Bonus, Healthcare Plan, Team Activities</t>
        </is>
      </c>
      <c r="N9746" s="11">
        <f>HYPERLINK("https://www.vietnamworks.com/giam-sat-ban-hang-gt-duc-trong-lam-dong-2021675-jv","Xem chi tiết")</f>
        <v/>
      </c>
      <c r="O9746" s="10" t="n"/>
    </row>
    <row r="9747">
      <c r="B9747" s="7" t="n">
        <v>9745</v>
      </c>
      <c r="C9747" t="inlineStr">
        <is>
          <t>Sales Supervisor GT - Hồ Chí Minh (Tân Phú)</t>
        </is>
      </c>
      <c r="D9747" t="inlineStr">
        <is>
          <t>Orion Food Vina Co,. Ltd - Head Office</t>
        </is>
      </c>
      <c r="E9747" t="inlineStr">
        <is>
          <t>Thương lượng</t>
        </is>
      </c>
      <c r="F9747" t="inlineStr">
        <is>
          <t>Hồ Chí Minh</t>
        </is>
      </c>
      <c r="G9747" t="inlineStr">
        <is>
          <t>Nhân viên</t>
        </is>
      </c>
      <c r="H9747" t="inlineStr">
        <is>
          <t>11/03/2026</t>
        </is>
      </c>
      <c r="I9747" t="inlineStr">
        <is>
          <t>10/04/2026</t>
        </is>
      </c>
      <c r="J9747" t="inlineStr">
        <is>
          <t>17/03/2026</t>
        </is>
      </c>
      <c r="K9747" t="inlineStr">
        <is>
          <t>N/A</t>
        </is>
      </c>
      <c r="L9747" t="inlineStr">
        <is>
          <t>Bán hàng, Quản Lý Đội Nhóm, Chăm Sóc Khách Hàng, MS Office</t>
        </is>
      </c>
      <c r="M9747" t="inlineStr">
        <is>
          <t>Bonus, Healthcare Plan, Team Activities</t>
        </is>
      </c>
      <c r="N9747" s="8">
        <f>HYPERLINK("https://www.vietnamworks.com/sales-supervisor-gt-ho-chi-minh-tan-phu-2021676-jv","Xem chi tiết")</f>
        <v/>
      </c>
    </row>
    <row r="9748">
      <c r="B9748" s="9" t="n">
        <v>9746</v>
      </c>
      <c r="C9748" s="10" t="inlineStr">
        <is>
          <t>Senior Sales Engineer</t>
        </is>
      </c>
      <c r="D9748" s="10" t="inlineStr">
        <is>
          <t>Murata Electronics (Vietnam) Co., Ltd</t>
        </is>
      </c>
      <c r="E9748" s="10" t="inlineStr">
        <is>
          <t>20tr-30tr ₫/tháng</t>
        </is>
      </c>
      <c r="F9748" s="10" t="inlineStr">
        <is>
          <t>Hà Nội</t>
        </is>
      </c>
      <c r="G9748" s="10" t="inlineStr">
        <is>
          <t>Nhân viên</t>
        </is>
      </c>
      <c r="H9748" s="10" t="inlineStr">
        <is>
          <t>11/03/2026</t>
        </is>
      </c>
      <c r="I9748" s="10" t="inlineStr">
        <is>
          <t>10/04/2026</t>
        </is>
      </c>
      <c r="J9748" s="10" t="inlineStr">
        <is>
          <t>17/03/2026</t>
        </is>
      </c>
      <c r="K9748" s="10" t="inlineStr">
        <is>
          <t>N/A</t>
        </is>
      </c>
      <c r="L9748" s="10" t="inlineStr">
        <is>
          <t>Kinh Doanh B2B, Electronic Engineering, Market Analysis, Technical Sales, Technical Sales Support</t>
        </is>
      </c>
      <c r="M9748" s="10" t="inlineStr">
        <is>
          <t>Bonus, Healthcare Plan, Paid Leave, Training</t>
        </is>
      </c>
      <c r="N9748" s="11">
        <f>HYPERLINK("https://www.vietnamworks.com/senior-sales-engineer-2021682-jv","Xem chi tiết")</f>
        <v/>
      </c>
      <c r="O9748" s="10" t="n"/>
    </row>
    <row r="9749">
      <c r="B9749" s="7" t="n">
        <v>9747</v>
      </c>
      <c r="C9749" t="inlineStr">
        <is>
          <t>Phó Tổng Giám Đốc Phụ Trách BĐS KCN/ CCN/ Nhà Ở Cao Tầng</t>
        </is>
      </c>
      <c r="D9749" t="inlineStr">
        <is>
          <t>CÔNG TY CỔ PHẦN TẬP ĐOÀN BMK</t>
        </is>
      </c>
      <c r="E9749" t="inlineStr">
        <is>
          <t>Từ 70tr ₫/tháng</t>
        </is>
      </c>
      <c r="F9749" t="inlineStr">
        <is>
          <t>Hà Nội</t>
        </is>
      </c>
      <c r="G9749" t="inlineStr">
        <is>
          <t>Giám Đốc và Cấp Cao Hơn</t>
        </is>
      </c>
      <c r="H9749" t="inlineStr">
        <is>
          <t>11/03/2026</t>
        </is>
      </c>
      <c r="I9749" t="inlineStr">
        <is>
          <t>10/04/2026</t>
        </is>
      </c>
      <c r="J9749" t="inlineStr">
        <is>
          <t>17/03/2026</t>
        </is>
      </c>
      <c r="K9749" t="inlineStr">
        <is>
          <t>N/A</t>
        </is>
      </c>
      <c r="L9749" t="inlineStr">
        <is>
          <t>Bất Động Sản, Quản Lý Dự Án, Pháp Lý Dự Án, Thiết kế, Lãnh Đạo</t>
        </is>
      </c>
      <c r="M9749" t="inlineStr">
        <is>
          <t>Bonus, Healthcare Plan, Awards, Travel Opportunities, Team Activities</t>
        </is>
      </c>
      <c r="N9749" s="8">
        <f>HYPERLINK("https://www.vietnamworks.com/pho-tong-giam-djoc-phu-trach-bdjs-kcn-ccn-nha-o-cao-tang-2021677-jv","Xem chi tiết")</f>
        <v/>
      </c>
    </row>
    <row r="9750">
      <c r="B9750" s="9" t="n">
        <v>9748</v>
      </c>
      <c r="C9750" s="10" t="inlineStr">
        <is>
          <t>Tuyển Kế Toán Tổng Hợp (Ưu Tiên Lĩnh Vực Xây Dựng)</t>
        </is>
      </c>
      <c r="D9750" s="10" t="inlineStr">
        <is>
          <t>IDIGROUP</t>
        </is>
      </c>
      <c r="E9750" s="10" t="inlineStr">
        <is>
          <t>12tr-15tr ₫/tháng</t>
        </is>
      </c>
      <c r="F9750" s="10" t="inlineStr">
        <is>
          <t>Hà Nội</t>
        </is>
      </c>
      <c r="G9750" s="10" t="inlineStr">
        <is>
          <t>Nhân viên</t>
        </is>
      </c>
      <c r="H9750" s="10" t="inlineStr">
        <is>
          <t>11/03/2026</t>
        </is>
      </c>
      <c r="I9750" s="10" t="inlineStr">
        <is>
          <t>10/04/2026</t>
        </is>
      </c>
      <c r="J9750" s="10" t="inlineStr">
        <is>
          <t>17/03/2026</t>
        </is>
      </c>
      <c r="K9750" s="10" t="inlineStr">
        <is>
          <t>N/A</t>
        </is>
      </c>
      <c r="L9750" s="10" t="inlineStr">
        <is>
          <t>Báo Cáo Tài Chính, Kiểm Soát Chứng Từ, Lưu Trữ Hồ Sơ, Quyết Toán Thuế, Kế Toán Tổng Hợp</t>
        </is>
      </c>
      <c r="M9750" s="10" t="inlineStr">
        <is>
          <t>Bonus, Healthcare Plan, Paid Leave, Others</t>
        </is>
      </c>
      <c r="N9750" s="11">
        <f>HYPERLINK("https://www.vietnamworks.com/tuyen-ke-toan-tong-hop-uu-tien-linh-vuc-xay-dung-2021683-jv","Xem chi tiết")</f>
        <v/>
      </c>
      <c r="O9750" s="10" t="n"/>
    </row>
    <row r="9751">
      <c r="B9751" s="7" t="n">
        <v>9749</v>
      </c>
      <c r="C9751" t="inlineStr">
        <is>
          <t>Nhân Viên Kinh Doanh (Máy Móc Thiết Bị Dân Dụng, Thương Mại)</t>
        </is>
      </c>
      <c r="D9751" t="inlineStr">
        <is>
          <t>Công ty TNHH xuất nhập khẩu xây dựng X-Line Việt Nam</t>
        </is>
      </c>
      <c r="E9751" t="inlineStr">
        <is>
          <t>20tr-30tr ₫/tháng</t>
        </is>
      </c>
      <c r="F9751" t="inlineStr">
        <is>
          <t>Hà Nội</t>
        </is>
      </c>
      <c r="G9751" t="inlineStr">
        <is>
          <t>Nhân viên</t>
        </is>
      </c>
      <c r="H9751" t="inlineStr">
        <is>
          <t>11/03/2026</t>
        </is>
      </c>
      <c r="I9751" t="inlineStr">
        <is>
          <t>10/04/2026</t>
        </is>
      </c>
      <c r="J9751" t="inlineStr">
        <is>
          <t>17/03/2026</t>
        </is>
      </c>
      <c r="K9751" t="inlineStr">
        <is>
          <t>N/A</t>
        </is>
      </c>
      <c r="L9751" t="inlineStr">
        <is>
          <t>Kinh Doanh, Chăm Sóc Khách Hàng, Tìm Kiếm Khách Hàng, Giao Tiếp, Phát Triển Thị Trường</t>
        </is>
      </c>
      <c r="M9751" t="inlineStr">
        <is>
          <t>Bonus, Healthcare Plan, Training, Others</t>
        </is>
      </c>
      <c r="N9751" s="8">
        <f>HYPERLINK("https://www.vietnamworks.com/nhan-vien-kinh-doanh-may-moc-thiet-bi-dan-dung-thuong-mai-2021681-jv","Xem chi tiết")</f>
        <v/>
      </c>
    </row>
    <row r="9752">
      <c r="B9752" s="9" t="n">
        <v>9750</v>
      </c>
      <c r="C9752" s="10" t="inlineStr">
        <is>
          <t>Supervisor, Accounting</t>
        </is>
      </c>
      <c r="D9752" s="10" t="inlineStr">
        <is>
          <t>Takashimaya Vietnam</t>
        </is>
      </c>
      <c r="E9752" s="10" t="inlineStr">
        <is>
          <t>Thương lượng</t>
        </is>
      </c>
      <c r="F9752" s="10" t="inlineStr">
        <is>
          <t>Hồ Chí Minh</t>
        </is>
      </c>
      <c r="G9752" s="10" t="inlineStr">
        <is>
          <t>Nhân viên</t>
        </is>
      </c>
      <c r="H9752" s="10" t="inlineStr">
        <is>
          <t>11/03/2026</t>
        </is>
      </c>
      <c r="I9752" s="10" t="inlineStr">
        <is>
          <t>10/04/2026</t>
        </is>
      </c>
      <c r="J9752" s="10" t="inlineStr">
        <is>
          <t>17/03/2026</t>
        </is>
      </c>
      <c r="K9752" s="10" t="inlineStr">
        <is>
          <t>N/A</t>
        </is>
      </c>
      <c r="L9752" s="10" t="inlineStr">
        <is>
          <t>Accounting, Finance, Supervisory, MS Office, English</t>
        </is>
      </c>
      <c r="M9752" s="10" t="inlineStr">
        <is>
          <t>Bonus, Healthcare Plan, Others</t>
        </is>
      </c>
      <c r="N9752" s="11">
        <f>HYPERLINK("https://www.vietnamworks.com/supervisor-accounting-2021680-jv","Xem chi tiết")</f>
        <v/>
      </c>
      <c r="O9752" s="10" t="n"/>
    </row>
    <row r="9753">
      <c r="B9753" s="7" t="n">
        <v>9751</v>
      </c>
      <c r="C9753" t="inlineStr">
        <is>
          <t>Chuyên Viên Cao Cấp Tài Chính</t>
        </is>
      </c>
      <c r="D9753" t="inlineStr">
        <is>
          <t>Công Ty Cổ Phần Đầu Tư Và Kinh Doanh Nhà Khang Điền</t>
        </is>
      </c>
      <c r="E9753" t="inlineStr">
        <is>
          <t>Thương lượng</t>
        </is>
      </c>
      <c r="F9753" t="inlineStr">
        <is>
          <t>Hồ Chí Minh</t>
        </is>
      </c>
      <c r="G9753" t="inlineStr">
        <is>
          <t>Nhân viên</t>
        </is>
      </c>
      <c r="H9753" t="inlineStr">
        <is>
          <t>11/03/2026</t>
        </is>
      </c>
      <c r="I9753" t="inlineStr">
        <is>
          <t>10/04/2026</t>
        </is>
      </c>
      <c r="J9753" t="inlineStr">
        <is>
          <t>17/03/2026</t>
        </is>
      </c>
      <c r="K9753" t="inlineStr">
        <is>
          <t>N/A</t>
        </is>
      </c>
      <c r="L9753" t="inlineStr">
        <is>
          <t>Bất Động Sản, Khách Hàng Doanh Nghiệp, Ngân hàng, Tài Chính Ngân Hàng</t>
        </is>
      </c>
      <c r="M9753" t="inlineStr">
        <is>
          <t>Bonus</t>
        </is>
      </c>
      <c r="N9753" s="8">
        <f>HYPERLINK("https://www.vietnamworks.com/chuyen-vien-cao-cap-tai-chinh-2021685-jv","Xem chi tiết")</f>
        <v/>
      </c>
    </row>
    <row r="9754">
      <c r="B9754" s="9" t="n">
        <v>9752</v>
      </c>
      <c r="C9754" s="10" t="inlineStr">
        <is>
          <t>Nhân Viên Kinh Doanh</t>
        </is>
      </c>
      <c r="D9754" s="10" t="inlineStr">
        <is>
          <t>Công ty cổ phần đầu tư T&amp;C</t>
        </is>
      </c>
      <c r="E9754" s="10" t="inlineStr">
        <is>
          <t>Thương lượng</t>
        </is>
      </c>
      <c r="F9754" s="10" t="inlineStr">
        <is>
          <t>Hồ Chí Minh</t>
        </is>
      </c>
      <c r="G9754" s="10" t="inlineStr">
        <is>
          <t>Nhân viên</t>
        </is>
      </c>
      <c r="H9754" s="10" t="inlineStr">
        <is>
          <t>11/03/2026</t>
        </is>
      </c>
      <c r="I9754" s="10" t="inlineStr">
        <is>
          <t>10/04/2026</t>
        </is>
      </c>
      <c r="J9754" s="10" t="inlineStr">
        <is>
          <t>17/03/2026</t>
        </is>
      </c>
      <c r="K9754" s="10" t="inlineStr">
        <is>
          <t>N/A</t>
        </is>
      </c>
      <c r="L9754" s="10" t="inlineStr">
        <is>
          <t>B2B Sales, Bán Hàng Kỹ Thuật, Technical Sales, Thiết Bị Tự Động Hóa, Tư Vấn Kỹ Thuật</t>
        </is>
      </c>
      <c r="M9754" s="10" t="inlineStr">
        <is>
          <t>Bonus, Healthcare Plan, Others</t>
        </is>
      </c>
      <c r="N9754" s="11">
        <f>HYPERLINK("https://www.vietnamworks.com/nhan-vien-kinh-doanh-2021689-jv","Xem chi tiết")</f>
        <v/>
      </c>
      <c r="O9754" s="10" t="n"/>
    </row>
    <row r="9755">
      <c r="B9755" s="7" t="n">
        <v>9753</v>
      </c>
      <c r="C9755" t="inlineStr">
        <is>
          <t>Kỹ Sư Nhiệt Lạnh</t>
        </is>
      </c>
      <c r="D9755" t="inlineStr">
        <is>
          <t>CÔNG TY TRÁCH NHIỆM HỮU HẠN CƠ ĐIỆN LẠNH QUANG THẮNG</t>
        </is>
      </c>
      <c r="E9755" t="inlineStr">
        <is>
          <t>8tr-18tr ₫/tháng</t>
        </is>
      </c>
      <c r="F9755" t="inlineStr">
        <is>
          <t>Hải Phòng</t>
        </is>
      </c>
      <c r="G9755" t="inlineStr">
        <is>
          <t>Mới Tốt Nghiệp</t>
        </is>
      </c>
      <c r="H9755" t="inlineStr">
        <is>
          <t>11/03/2026</t>
        </is>
      </c>
      <c r="I9755" t="inlineStr">
        <is>
          <t>10/04/2026</t>
        </is>
      </c>
      <c r="J9755" t="inlineStr">
        <is>
          <t>17/03/2026</t>
        </is>
      </c>
      <c r="K9755" t="inlineStr">
        <is>
          <t>N/A</t>
        </is>
      </c>
      <c r="L9755" t="inlineStr">
        <is>
          <t>Kỹ Thuật Nhiệt, AutoCAD 3D, Cơ Điện Lạnh, Dự Toán Chi Phí, Hệ Thống Lạnh</t>
        </is>
      </c>
      <c r="M9755" t="inlineStr">
        <is>
          <t>Bonus, Healthcare Plan, Others</t>
        </is>
      </c>
      <c r="N9755" s="8">
        <f>HYPERLINK("https://www.vietnamworks.com/ky-su-nhiet-lanh-2021695-jv","Xem chi tiết")</f>
        <v/>
      </c>
    </row>
    <row r="9756">
      <c r="B9756" s="9" t="n">
        <v>9754</v>
      </c>
      <c r="C9756" s="10" t="inlineStr">
        <is>
          <t>Nhân Viên Kế Toán Không Yêu Cầu Kinh Nghiệm</t>
        </is>
      </c>
      <c r="D9756" s="10" t="inlineStr">
        <is>
          <t>Công Ty TNHH Nexia STT</t>
        </is>
      </c>
      <c r="E9756" s="10" t="inlineStr">
        <is>
          <t>Tới 9tr ₫/tháng</t>
        </is>
      </c>
      <c r="F9756" s="10" t="inlineStr">
        <is>
          <t>Hà Nội</t>
        </is>
      </c>
      <c r="G9756" s="10" t="inlineStr">
        <is>
          <t>Mới Tốt Nghiệp</t>
        </is>
      </c>
      <c r="H9756" s="10" t="inlineStr">
        <is>
          <t>11/03/2026</t>
        </is>
      </c>
      <c r="I9756" s="10" t="inlineStr">
        <is>
          <t>10/04/2026</t>
        </is>
      </c>
      <c r="J9756" s="10" t="inlineStr">
        <is>
          <t>17/03/2026</t>
        </is>
      </c>
      <c r="K9756" s="10" t="inlineStr">
        <is>
          <t>N/A</t>
        </is>
      </c>
      <c r="L9756" s="10" t="inlineStr">
        <is>
          <t>Kế Toán, Báo Cáo Tổng Hợp, Kế Toán Tài Chính, Kế Toán Xuất Hóa Đơn, Theo Dõi Công Nợ</t>
        </is>
      </c>
      <c r="M9756" s="10" t="inlineStr">
        <is>
          <t>Bonus, Healthcare Plan, Training, Others</t>
        </is>
      </c>
      <c r="N9756" s="11">
        <f>HYPERLINK("https://www.vietnamworks.com/nhan-vien-ke-toan-khong-yeu-cau-kinh-nghiem-2021698-jv","Xem chi tiết")</f>
        <v/>
      </c>
      <c r="O9756" s="10" t="n"/>
    </row>
    <row r="9757">
      <c r="B9757" s="7" t="n">
        <v>9755</v>
      </c>
      <c r="C9757" t="inlineStr">
        <is>
          <t>Chuyên Viên Phân Tích Dữ Liệu</t>
        </is>
      </c>
      <c r="D9757" t="inlineStr">
        <is>
          <t>Công Ty Cổ Phần Nhựa Tái Chế Duy Tân</t>
        </is>
      </c>
      <c r="E9757" t="inlineStr">
        <is>
          <t>$$ 800-1,000 /tháng</t>
        </is>
      </c>
      <c r="F9757" t="inlineStr">
        <is>
          <t>Long An</t>
        </is>
      </c>
      <c r="G9757" t="inlineStr">
        <is>
          <t>Nhân viên</t>
        </is>
      </c>
      <c r="H9757" t="inlineStr">
        <is>
          <t>11/03/2026</t>
        </is>
      </c>
      <c r="I9757" t="inlineStr">
        <is>
          <t>10/04/2026</t>
        </is>
      </c>
      <c r="J9757" t="inlineStr">
        <is>
          <t>17/03/2026</t>
        </is>
      </c>
      <c r="K9757" t="inlineStr">
        <is>
          <t>N/A</t>
        </is>
      </c>
      <c r="L9757" t="inlineStr">
        <is>
          <t>Phân Tích Dữ Liệu, Data Analytics, SAP, Power BI</t>
        </is>
      </c>
      <c r="M9757" t="inlineStr">
        <is>
          <t>Bonus, Training, Awards</t>
        </is>
      </c>
      <c r="N9757" s="8">
        <f>HYPERLINK("https://www.vietnamworks.com/chuyen-vien-phan-tich-du-lieu--2021684-jv","Xem chi tiết")</f>
        <v/>
      </c>
    </row>
    <row r="9758">
      <c r="B9758" s="9" t="n">
        <v>9756</v>
      </c>
      <c r="C9758" s="10" t="inlineStr">
        <is>
          <t>Digital Account Executive/Senior</t>
        </is>
      </c>
      <c r="D9758" s="10" t="inlineStr">
        <is>
          <t>Công ty TNHH Petit Gateau</t>
        </is>
      </c>
      <c r="E9758" s="10" t="inlineStr">
        <is>
          <t>10tr-20tr ₫/tháng</t>
        </is>
      </c>
      <c r="F9758" s="10" t="inlineStr">
        <is>
          <t>Hồ Chí Minh</t>
        </is>
      </c>
      <c r="G9758" s="10" t="inlineStr">
        <is>
          <t>Nhân viên</t>
        </is>
      </c>
      <c r="H9758" s="10" t="inlineStr">
        <is>
          <t>11/03/2026</t>
        </is>
      </c>
      <c r="I9758" s="10" t="inlineStr">
        <is>
          <t>10/04/2026</t>
        </is>
      </c>
      <c r="J9758" s="10" t="inlineStr">
        <is>
          <t>17/03/2026</t>
        </is>
      </c>
      <c r="K9758" s="10" t="inlineStr">
        <is>
          <t>N/A</t>
        </is>
      </c>
      <c r="L9758" s="10" t="inlineStr">
        <is>
          <t>Account Management, Digital Marketing, English Fluency, Online Advertising, Social Media Measurement</t>
        </is>
      </c>
      <c r="M9758" s="10" t="inlineStr">
        <is>
          <t>Paid Leave</t>
        </is>
      </c>
      <c r="N9758" s="11">
        <f>HYPERLINK("https://www.vietnamworks.com/digital-account-executivesenior-2021687-jv","Xem chi tiết")</f>
        <v/>
      </c>
      <c r="O9758" s="10" t="n"/>
    </row>
    <row r="9759">
      <c r="B9759" s="7" t="n">
        <v>9757</v>
      </c>
      <c r="C9759" t="inlineStr">
        <is>
          <t>Chuyên Viên Nghiên Cứu Thị Trường</t>
        </is>
      </c>
      <c r="D9759" t="inlineStr">
        <is>
          <t>CÔNG TY TNHH MỘT THÀNH VIÊN THIẾT BỊ VỆ SINH VIGLACERA</t>
        </is>
      </c>
      <c r="E9759" t="inlineStr">
        <is>
          <t>Thương lượng</t>
        </is>
      </c>
      <c r="F9759" t="inlineStr">
        <is>
          <t>Hà Nội</t>
        </is>
      </c>
      <c r="G9759" t="inlineStr">
        <is>
          <t>Nhân viên</t>
        </is>
      </c>
      <c r="H9759" t="inlineStr">
        <is>
          <t>11/03/2026</t>
        </is>
      </c>
      <c r="I9759" t="inlineStr">
        <is>
          <t>10/04/2026</t>
        </is>
      </c>
      <c r="J9759" t="inlineStr">
        <is>
          <t>17/03/2026</t>
        </is>
      </c>
      <c r="K9759" t="inlineStr">
        <is>
          <t>N/A</t>
        </is>
      </c>
      <c r="L9759" t="inlineStr">
        <is>
          <t>Khảo Sát Thị Trường, MS Excel, Nghiên Cứu Thị Trường, Phân Tích Định Lượng, Power BI</t>
        </is>
      </c>
      <c r="M9759" t="inlineStr">
        <is>
          <t>Healthcare Plan, Training, Team Activities, Canteen, Others</t>
        </is>
      </c>
      <c r="N9759" s="8">
        <f>HYPERLINK("https://www.vietnamworks.com/chuyen-vien-nghien-cuu-thi-truong-2021691-jv","Xem chi tiết")</f>
        <v/>
      </c>
    </row>
    <row r="9760">
      <c r="B9760" s="9" t="n">
        <v>9758</v>
      </c>
      <c r="C9760" s="10" t="inlineStr">
        <is>
          <t>Kỹ Sư Hiện Trường (Site Engineer)</t>
        </is>
      </c>
      <c r="D9760" s="10" t="inlineStr">
        <is>
          <t>Deep C Industrial Zones</t>
        </is>
      </c>
      <c r="E9760" s="10" t="inlineStr">
        <is>
          <t>Thương lượng</t>
        </is>
      </c>
      <c r="F9760" s="10" t="inlineStr">
        <is>
          <t>Hải Phòng</t>
        </is>
      </c>
      <c r="G9760" s="10" t="inlineStr">
        <is>
          <t>Nhân viên</t>
        </is>
      </c>
      <c r="H9760" s="10" t="inlineStr">
        <is>
          <t>11/03/2026</t>
        </is>
      </c>
      <c r="I9760" s="10" t="inlineStr">
        <is>
          <t>10/04/2026</t>
        </is>
      </c>
      <c r="J9760" s="10" t="inlineStr">
        <is>
          <t>17/03/2026</t>
        </is>
      </c>
      <c r="K9760" s="10" t="inlineStr">
        <is>
          <t>N/A</t>
        </is>
      </c>
      <c r="L9760" s="10" t="inlineStr">
        <is>
          <t>Civil engineer, Construction, Construction Supervision, Infrastructure Supervision, Industrial Construction</t>
        </is>
      </c>
      <c r="M9760" s="10" t="inlineStr">
        <is>
          <t>Bonus, Healthcare Plan, Paid Leave</t>
        </is>
      </c>
      <c r="N9760" s="11">
        <f>HYPERLINK("https://www.vietnamworks.com/ky-su-hien-truong-site-engineer--2021694-jv","Xem chi tiết")</f>
        <v/>
      </c>
      <c r="O9760" s="10" t="n"/>
    </row>
    <row r="9761">
      <c r="B9761" s="7" t="n">
        <v>9759</v>
      </c>
      <c r="C9761" t="inlineStr">
        <is>
          <t>District Manager (Nutrition) - Nha Trang</t>
        </is>
      </c>
      <c r="D9761" t="inlineStr">
        <is>
          <t>Abbott</t>
        </is>
      </c>
      <c r="E9761" t="inlineStr">
        <is>
          <t>Thương lượng</t>
        </is>
      </c>
      <c r="F9761" t="inlineStr">
        <is>
          <t>Khánh Hòa</t>
        </is>
      </c>
      <c r="G9761" t="inlineStr">
        <is>
          <t>Trưởng phòng</t>
        </is>
      </c>
      <c r="H9761" t="inlineStr">
        <is>
          <t>11/03/2026</t>
        </is>
      </c>
      <c r="I9761" t="inlineStr">
        <is>
          <t>10/04/2026</t>
        </is>
      </c>
      <c r="J9761" t="inlineStr">
        <is>
          <t>17/03/2026</t>
        </is>
      </c>
      <c r="K9761" t="inlineStr">
        <is>
          <t>N/A</t>
        </is>
      </c>
      <c r="L9761" t="inlineStr">
        <is>
          <t>Tiếng Việt, Tiếng anh cơ bản</t>
        </is>
      </c>
      <c r="M9761" t="inlineStr">
        <is>
          <t>Bonus, Healthcare Plan, Training</t>
        </is>
      </c>
      <c r="N9761" s="8">
        <f>HYPERLINK("https://www.vietnamworks.com/district-manager-nutrition-nha-trang-2021699-jv","Xem chi tiết")</f>
        <v/>
      </c>
    </row>
    <row r="9762">
      <c r="B9762" s="9" t="n">
        <v>9760</v>
      </c>
      <c r="C9762" s="10" t="inlineStr">
        <is>
          <t>Mondelēz Taste The Future Management Trainee 2026</t>
        </is>
      </c>
      <c r="D9762" s="10" t="inlineStr">
        <is>
          <t>Mondelēz Kinh Đô Việt Nam</t>
        </is>
      </c>
      <c r="E9762" s="10" t="inlineStr">
        <is>
          <t>Thương lượng</t>
        </is>
      </c>
      <c r="F9762" s="10" t="inlineStr">
        <is>
          <t>Hưng Yên, Hồ Chí Minh, Bình Dương</t>
        </is>
      </c>
      <c r="G9762" s="10" t="inlineStr">
        <is>
          <t>Thực tập sinh/Sinh viên</t>
        </is>
      </c>
      <c r="H9762" s="10" t="inlineStr">
        <is>
          <t>11/03/2026</t>
        </is>
      </c>
      <c r="I9762" s="10" t="inlineStr">
        <is>
          <t>10/04/2026</t>
        </is>
      </c>
      <c r="J9762" s="10" t="inlineStr">
        <is>
          <t>17/03/2026</t>
        </is>
      </c>
      <c r="K9762" s="10" t="inlineStr">
        <is>
          <t>N/A</t>
        </is>
      </c>
      <c r="L9762" s="10" t="inlineStr">
        <is>
          <t>Growth Mindset, Communication and negotiation skills, Leadership, Problem Solving</t>
        </is>
      </c>
      <c r="M9762" s="10" t="inlineStr">
        <is>
          <t>Bonus, Healthcare Plan, Paid Leave</t>
        </is>
      </c>
      <c r="N9762" s="11">
        <f>HYPERLINK("https://www.vietnamworks.com/mondelez-taste-the-future-management-trainee-2026-2021688-jv","Xem chi tiết")</f>
        <v/>
      </c>
      <c r="O9762" s="10" t="n"/>
    </row>
    <row r="9763">
      <c r="B9763" s="7" t="n">
        <v>9761</v>
      </c>
      <c r="C9763" t="inlineStr">
        <is>
          <t>HR Manager</t>
        </is>
      </c>
      <c r="D9763" t="inlineStr">
        <is>
          <t>Công Ty Cổ Phần The A List Việt Nam</t>
        </is>
      </c>
      <c r="E9763" t="inlineStr">
        <is>
          <t>40tr-60tr ₫/tháng</t>
        </is>
      </c>
      <c r="F9763" t="inlineStr">
        <is>
          <t>Hồ Chí Minh</t>
        </is>
      </c>
      <c r="G9763" t="inlineStr">
        <is>
          <t>Nhân viên</t>
        </is>
      </c>
      <c r="H9763" t="inlineStr">
        <is>
          <t>11/03/2026</t>
        </is>
      </c>
      <c r="I9763" t="inlineStr">
        <is>
          <t>10/04/2026</t>
        </is>
      </c>
      <c r="J9763" t="inlineStr">
        <is>
          <t>17/03/2026</t>
        </is>
      </c>
      <c r="K9763" t="inlineStr">
        <is>
          <t>N/A</t>
        </is>
      </c>
      <c r="L9763" t="inlineStr">
        <is>
          <t>Tuyển Dụng, Quản Trị Nhân Sự, Quản Lý Nhân Sự, Nhân Sự, Hành Chính Nhân Sự</t>
        </is>
      </c>
      <c r="M9763" t="inlineStr">
        <is>
          <t>Bonus, Healthcare Plan, Training</t>
        </is>
      </c>
      <c r="N9763" s="8">
        <f>HYPERLINK("https://www.vietnamworks.com/hr-manager--2021693-jv","Xem chi tiết")</f>
        <v/>
      </c>
    </row>
    <row r="9764">
      <c r="B9764" s="9" t="n">
        <v>9762</v>
      </c>
      <c r="C9764" s="10" t="inlineStr">
        <is>
          <t>Nhân Viên Kỹ Thuật Hà Nội</t>
        </is>
      </c>
      <c r="D9764" s="10" t="inlineStr">
        <is>
          <t>Công ty cổ phần đầu tư T&amp;C</t>
        </is>
      </c>
      <c r="E9764" s="10" t="inlineStr">
        <is>
          <t>Tới 15tr ₫/tháng</t>
        </is>
      </c>
      <c r="F9764" s="10" t="inlineStr">
        <is>
          <t>Hồ Chí Minh</t>
        </is>
      </c>
      <c r="G9764" s="10" t="inlineStr">
        <is>
          <t>Nhân viên</t>
        </is>
      </c>
      <c r="H9764" s="10" t="inlineStr">
        <is>
          <t>11/03/2026</t>
        </is>
      </c>
      <c r="I9764" s="10" t="inlineStr">
        <is>
          <t>10/04/2026</t>
        </is>
      </c>
      <c r="J9764" s="10" t="inlineStr">
        <is>
          <t>17/03/2026</t>
        </is>
      </c>
      <c r="K9764" s="10" t="inlineStr">
        <is>
          <t>N/A</t>
        </is>
      </c>
      <c r="L9764" s="10" t="inlineStr">
        <is>
          <t>Bảo Dưỡng Máy Móc, Bảo Trì, Sửa Chữa Cơ Khí, Sửa Chữa Thiết Bị, Tự Động Hóa</t>
        </is>
      </c>
      <c r="M9764" s="10" t="inlineStr">
        <is>
          <t>Bonus, Healthcare Plan, Others</t>
        </is>
      </c>
      <c r="N9764" s="11">
        <f>HYPERLINK("https://www.vietnamworks.com/nhan-vien-ky-thuat-ha-noi-2021686-jv","Xem chi tiết")</f>
        <v/>
      </c>
      <c r="O9764" s="10" t="n"/>
    </row>
    <row r="9765">
      <c r="B9765" s="7" t="n">
        <v>9763</v>
      </c>
      <c r="C9765" t="inlineStr">
        <is>
          <t>Workflex Receptionist (Casual)</t>
        </is>
      </c>
      <c r="D9765" t="inlineStr">
        <is>
          <t>Công Ty TNHH Lotte Property &amp; Development Việt Nam</t>
        </is>
      </c>
      <c r="E9765" t="inlineStr">
        <is>
          <t>Thương lượng</t>
        </is>
      </c>
      <c r="F9765" t="inlineStr">
        <is>
          <t>Hà Nội</t>
        </is>
      </c>
      <c r="G9765" t="inlineStr">
        <is>
          <t>Mới Tốt Nghiệp</t>
        </is>
      </c>
      <c r="H9765" t="inlineStr">
        <is>
          <t>11/03/2026</t>
        </is>
      </c>
      <c r="I9765" t="inlineStr">
        <is>
          <t>10/04/2026</t>
        </is>
      </c>
      <c r="J9765" t="inlineStr">
        <is>
          <t>17/03/2026</t>
        </is>
      </c>
      <c r="K9765" t="inlineStr">
        <is>
          <t>N/A</t>
        </is>
      </c>
      <c r="L9765" t="inlineStr">
        <is>
          <t>English Communication, Customer Service, Front Desk Management, English Speaking, Hospitality</t>
        </is>
      </c>
      <c r="M9765" t="inlineStr">
        <is>
          <t>Bonus, Awards, Others</t>
        </is>
      </c>
      <c r="N9765" s="8">
        <f>HYPERLINK("https://www.vietnamworks.com/workflex-receptionist-casual-2021701-jv","Xem chi tiết")</f>
        <v/>
      </c>
    </row>
    <row r="9766">
      <c r="B9766" s="9" t="n">
        <v>9764</v>
      </c>
      <c r="C9766" s="10" t="inlineStr">
        <is>
          <t>Sales Manager – SMT Equipment (Electronics Manufacturing) | Hanoi</t>
        </is>
      </c>
      <c r="D9766" s="10" t="inlineStr">
        <is>
          <t>JTU PTE LTD</t>
        </is>
      </c>
      <c r="E9766" s="10" t="inlineStr">
        <is>
          <t>Thương lượng</t>
        </is>
      </c>
      <c r="F9766" s="10" t="inlineStr">
        <is>
          <t>Hà Nội</t>
        </is>
      </c>
      <c r="G9766" s="10" t="inlineStr">
        <is>
          <t>Trưởng phòng</t>
        </is>
      </c>
      <c r="H9766" s="10" t="inlineStr">
        <is>
          <t>11/03/2026</t>
        </is>
      </c>
      <c r="I9766" s="10" t="inlineStr">
        <is>
          <t>10/04/2026</t>
        </is>
      </c>
      <c r="J9766" s="10" t="inlineStr">
        <is>
          <t>17/03/2026</t>
        </is>
      </c>
      <c r="K9766" s="10" t="inlineStr">
        <is>
          <t>N/A</t>
        </is>
      </c>
      <c r="L9766" s="10" t="inlineStr">
        <is>
          <t>Kinh Doanh B2B, Key Account Management, Quản Lý Bán Hàng, SMT Equipment, Technical Sales</t>
        </is>
      </c>
      <c r="M9766" s="10" t="inlineStr">
        <is>
          <t>Bonus, Training, Transportation</t>
        </is>
      </c>
      <c r="N9766" s="11">
        <f>HYPERLINK("https://www.vietnamworks.com/sales-manager-smt-equipment-electronics-manufacturing-or-hanoi-2021702-jv","Xem chi tiết")</f>
        <v/>
      </c>
      <c r="O9766" s="10" t="n"/>
    </row>
    <row r="9767">
      <c r="B9767" s="7" t="n">
        <v>9765</v>
      </c>
      <c r="C9767" t="inlineStr">
        <is>
          <t>Phó Phòng Hành Chính</t>
        </is>
      </c>
      <c r="D9767" t="inlineStr">
        <is>
          <t>Công Ty Cổ Phần Dược Phẩm Vĩnh Phúc</t>
        </is>
      </c>
      <c r="E9767" t="inlineStr">
        <is>
          <t>Thương lượng</t>
        </is>
      </c>
      <c r="F9767" t="inlineStr">
        <is>
          <t>Hà Nội, Vĩnh Phúc</t>
        </is>
      </c>
      <c r="G9767" t="inlineStr">
        <is>
          <t>Trưởng phòng</t>
        </is>
      </c>
      <c r="H9767" t="inlineStr">
        <is>
          <t>11/03/2026</t>
        </is>
      </c>
      <c r="I9767" t="inlineStr">
        <is>
          <t>10/04/2026</t>
        </is>
      </c>
      <c r="J9767" t="inlineStr">
        <is>
          <t>17/03/2026</t>
        </is>
      </c>
      <c r="K9767" t="inlineStr">
        <is>
          <t>N/A</t>
        </is>
      </c>
      <c r="L9767" t="inlineStr">
        <is>
          <t>Quản Trị Nhân Lực, Quản Lý Hành Chính, Hành Chính, Hành Chính Nhân Sự</t>
        </is>
      </c>
      <c r="M9767" t="inlineStr">
        <is>
          <t>Bonus, Healthcare Plan, Travel Opportunities</t>
        </is>
      </c>
      <c r="N9767" s="8">
        <f>HYPERLINK("https://www.vietnamworks.com/pho-phong-hanh-chinh--2021696-jv","Xem chi tiết")</f>
        <v/>
      </c>
    </row>
    <row r="9768">
      <c r="B9768" s="9" t="n">
        <v>9766</v>
      </c>
      <c r="C9768" s="10" t="inlineStr">
        <is>
          <t>Phó Tổng Giám Đốc Phụ Trách Sản Xuất</t>
        </is>
      </c>
      <c r="D9768" s="10" t="inlineStr">
        <is>
          <t>Công Ty Cổ Phần Nhựa Tiến Đức</t>
        </is>
      </c>
      <c r="E9768" s="10" t="inlineStr">
        <is>
          <t>Thương lượng</t>
        </is>
      </c>
      <c r="F9768" s="10" t="inlineStr">
        <is>
          <t>Hà Nội</t>
        </is>
      </c>
      <c r="G9768" s="10" t="inlineStr">
        <is>
          <t>Giám Đốc và Cấp Cao Hơn</t>
        </is>
      </c>
      <c r="H9768" s="10" t="inlineStr">
        <is>
          <t>11/03/2026</t>
        </is>
      </c>
      <c r="I9768" s="10" t="inlineStr">
        <is>
          <t>10/04/2026</t>
        </is>
      </c>
      <c r="J9768" s="10" t="inlineStr">
        <is>
          <t>17/03/2026</t>
        </is>
      </c>
      <c r="K9768" s="10" t="inlineStr">
        <is>
          <t>N/A</t>
        </is>
      </c>
      <c r="L9768" s="10" t="inlineStr">
        <is>
          <t>Kỹ Thuật, Quản Lý Rủi Ro, Cơ Khí, Tự Động Hóa, Điện</t>
        </is>
      </c>
      <c r="M9768" s="10" t="inlineStr">
        <is>
          <t>Bonus, Healthcare Plan, Awards, Laptop, Others</t>
        </is>
      </c>
      <c r="N9768" s="11">
        <f>HYPERLINK("https://www.vietnamworks.com/pho-tong-giam-djoc-phu-trach-san-xuat-2021710-jv","Xem chi tiết")</f>
        <v/>
      </c>
      <c r="O9768" s="10" t="n"/>
    </row>
    <row r="9769">
      <c r="B9769" s="7" t="n">
        <v>9767</v>
      </c>
      <c r="C9769" t="inlineStr">
        <is>
          <t>Chuyên Viên Phát Triển Kinh Doanh (Giáo Dục)</t>
        </is>
      </c>
      <c r="D9769" t="inlineStr">
        <is>
          <t>CÔNG TY TNHH CIAEA INTERNATIONAL COMMUNICATION</t>
        </is>
      </c>
      <c r="E9769" t="inlineStr">
        <is>
          <t>Từ $ 600 /tháng</t>
        </is>
      </c>
      <c r="F9769" t="inlineStr">
        <is>
          <t>Hồ Chí Minh</t>
        </is>
      </c>
      <c r="G9769" t="inlineStr">
        <is>
          <t>Nhân viên</t>
        </is>
      </c>
      <c r="H9769" t="inlineStr">
        <is>
          <t>11/03/2026</t>
        </is>
      </c>
      <c r="I9769" t="inlineStr">
        <is>
          <t>10/04/2026</t>
        </is>
      </c>
      <c r="J9769" t="inlineStr">
        <is>
          <t>17/03/2026</t>
        </is>
      </c>
      <c r="K9769" t="inlineStr">
        <is>
          <t>N/A</t>
        </is>
      </c>
      <c r="L9769" t="inlineStr">
        <is>
          <t>Giáo Dục, Chăm Sóc Khách Hàng, Phát Triển Kinh Doanh, Xây Dựng Mối Quan Hệ, Đàm Phán</t>
        </is>
      </c>
      <c r="M9769" t="inlineStr">
        <is>
          <t>Bonus, Training, Others</t>
        </is>
      </c>
      <c r="N9769" s="8">
        <f>HYPERLINK("https://www.vietnamworks.com/chuyen-vien-phat-trien-kinh-doanh-giao-duc-2021703-jv","Xem chi tiết")</f>
        <v/>
      </c>
    </row>
    <row r="9770">
      <c r="B9770" s="9" t="n">
        <v>9768</v>
      </c>
      <c r="C9770" s="10" t="inlineStr">
        <is>
          <t>Tax Manager</t>
        </is>
      </c>
      <c r="D9770" s="10" t="inlineStr">
        <is>
          <t>CÔNG TY CỔ PHẦN GREENFEED VIỆT NAM</t>
        </is>
      </c>
      <c r="E9770" s="10" t="inlineStr">
        <is>
          <t>Thương lượng</t>
        </is>
      </c>
      <c r="F9770" s="10" t="inlineStr">
        <is>
          <t>Hồ Chí Minh</t>
        </is>
      </c>
      <c r="G9770" s="10" t="inlineStr">
        <is>
          <t>Trưởng phòng</t>
        </is>
      </c>
      <c r="H9770" s="10" t="inlineStr">
        <is>
          <t>11/03/2026</t>
        </is>
      </c>
      <c r="I9770" s="10" t="inlineStr">
        <is>
          <t>10/04/2026</t>
        </is>
      </c>
      <c r="J9770" s="10" t="inlineStr">
        <is>
          <t>17/03/2026</t>
        </is>
      </c>
      <c r="K9770" s="10" t="inlineStr">
        <is>
          <t>N/A</t>
        </is>
      </c>
      <c r="L9770" s="10" t="inlineStr">
        <is>
          <t>Kế Toán, Kỹ năng giao tiếp, Phân Tích Dữ Liệu, Tài Chính, Quyết Định Hiệu Quả</t>
        </is>
      </c>
      <c r="M9770" s="10" t="inlineStr">
        <is>
          <t>Bonus</t>
        </is>
      </c>
      <c r="N9770" s="11">
        <f>HYPERLINK("https://www.vietnamworks.com/tax-manager-2021729-jv","Xem chi tiết")</f>
        <v/>
      </c>
      <c r="O9770" s="10" t="n"/>
    </row>
    <row r="9771">
      <c r="B9771" s="7" t="n">
        <v>9769</v>
      </c>
      <c r="C9771" t="inlineStr">
        <is>
          <t>Operations Management Specialist</t>
        </is>
      </c>
      <c r="D9771" t="inlineStr">
        <is>
          <t>Viettel Networks</t>
        </is>
      </c>
      <c r="E9771" t="inlineStr">
        <is>
          <t>$$ 1,000-3,000 /tháng</t>
        </is>
      </c>
      <c r="F9771" t="inlineStr">
        <is>
          <t>Hà Nội</t>
        </is>
      </c>
      <c r="G9771" t="inlineStr">
        <is>
          <t>Nhân viên</t>
        </is>
      </c>
      <c r="H9771" t="inlineStr">
        <is>
          <t>11/03/2026</t>
        </is>
      </c>
      <c r="I9771" t="inlineStr">
        <is>
          <t>10/04/2026</t>
        </is>
      </c>
      <c r="J9771" t="inlineStr">
        <is>
          <t>17/03/2026</t>
        </is>
      </c>
      <c r="K9771" t="inlineStr">
        <is>
          <t>N/A</t>
        </is>
      </c>
      <c r="L9771" t="inlineStr">
        <is>
          <t>Communication, Telecommunication Systems, AI/ML, Data Analytics, Network Monitoring</t>
        </is>
      </c>
      <c r="M9771" t="inlineStr">
        <is>
          <t>Bonus, Healthcare Plan, Others</t>
        </is>
      </c>
      <c r="N9771" s="8">
        <f>HYPERLINK("https://www.vietnamworks.com/operations-management-specialist--2021713-jv","Xem chi tiết")</f>
        <v/>
      </c>
    </row>
    <row r="9772">
      <c r="B9772" s="9" t="n">
        <v>9770</v>
      </c>
      <c r="C9772" s="10" t="inlineStr">
        <is>
          <t>Trưởng Phòng Hành Chính - Vin Nexus Center</t>
        </is>
      </c>
      <c r="D9772" s="10" t="inlineStr">
        <is>
          <t>Hệ thống Giáo dục Vinschool</t>
        </is>
      </c>
      <c r="E9772" s="10" t="inlineStr">
        <is>
          <t>Thương lượng</t>
        </is>
      </c>
      <c r="F9772" s="10" t="inlineStr">
        <is>
          <t>Hà Nội</t>
        </is>
      </c>
      <c r="G9772" s="10" t="inlineStr">
        <is>
          <t>Trưởng phòng</t>
        </is>
      </c>
      <c r="H9772" s="10" t="inlineStr">
        <is>
          <t>11/03/2026</t>
        </is>
      </c>
      <c r="I9772" s="10" t="inlineStr">
        <is>
          <t>10/04/2026</t>
        </is>
      </c>
      <c r="J9772" s="10" t="inlineStr">
        <is>
          <t>17/03/2026</t>
        </is>
      </c>
      <c r="K9772" s="10" t="inlineStr">
        <is>
          <t>N/A</t>
        </is>
      </c>
      <c r="L9772" s="10" t="inlineStr">
        <is>
          <t>Cung Ứng, Giao Tiếp, Mua Sắm Trực Tuyến, Quản Trị Kinh Doanh, Tiếng Anh</t>
        </is>
      </c>
      <c r="M9772" s="10" t="inlineStr">
        <is>
          <t>Bonus, Healthcare Plan, Others</t>
        </is>
      </c>
      <c r="N9772" s="11">
        <f>HYPERLINK("https://www.vietnamworks.com/truong-phong-hanh-chinh-vin-nexus-center-2021706-jv","Xem chi tiết")</f>
        <v/>
      </c>
      <c r="O9772" s="10" t="n"/>
    </row>
    <row r="9773">
      <c r="B9773" s="7" t="n">
        <v>9771</v>
      </c>
      <c r="C9773" t="inlineStr">
        <is>
          <t>Nhân Viên Kinh Doanh</t>
        </is>
      </c>
      <c r="D9773" t="inlineStr">
        <is>
          <t>CÔNG TY CỔ PHẦN NATURAL HOME VIỆT NAM</t>
        </is>
      </c>
      <c r="E9773" t="inlineStr">
        <is>
          <t>Thương lượng</t>
        </is>
      </c>
      <c r="F9773" t="inlineStr">
        <is>
          <t>Hà Nội</t>
        </is>
      </c>
      <c r="G9773" t="inlineStr">
        <is>
          <t>Nhân viên</t>
        </is>
      </c>
      <c r="H9773" t="inlineStr">
        <is>
          <t>11/03/2026</t>
        </is>
      </c>
      <c r="I9773" t="inlineStr">
        <is>
          <t>10/04/2026</t>
        </is>
      </c>
      <c r="J9773" t="inlineStr">
        <is>
          <t>17/03/2026</t>
        </is>
      </c>
      <c r="K9773" t="inlineStr">
        <is>
          <t>N/A</t>
        </is>
      </c>
      <c r="L9773" t="inlineStr">
        <is>
          <t>Báo Giá, Chăm Sóc Khách Hàng, Soạn Thảo Hợp Đồng, Tìm Kiếm Khách Hàng, Đàm Phán</t>
        </is>
      </c>
      <c r="M9773" t="inlineStr">
        <is>
          <t>Bonus, Healthcare Plan, Training, Awards, Travel Opportunities, Transportation, Canteen, Others</t>
        </is>
      </c>
      <c r="N9773" s="8">
        <f>HYPERLINK("https://www.vietnamworks.com/nhan-vien-kinh-doanh-2021728-jv","Xem chi tiết")</f>
        <v/>
      </c>
    </row>
    <row r="9774">
      <c r="B9774" s="9" t="n">
        <v>9772</v>
      </c>
      <c r="C9774" s="10" t="inlineStr">
        <is>
          <t>Kỹ Sư Thiết Kế Xây Dựng</t>
        </is>
      </c>
      <c r="D9774" s="10" t="inlineStr">
        <is>
          <t>Công ty Cổ phần Sản xuất và Kinh doanh VinMetal</t>
        </is>
      </c>
      <c r="E9774" s="10" t="inlineStr">
        <is>
          <t>Thương lượng</t>
        </is>
      </c>
      <c r="F9774" s="10" t="inlineStr">
        <is>
          <t>Hà Nội</t>
        </is>
      </c>
      <c r="G9774" s="10" t="inlineStr">
        <is>
          <t>Nhân viên</t>
        </is>
      </c>
      <c r="H9774" s="10" t="inlineStr">
        <is>
          <t>11/03/2026</t>
        </is>
      </c>
      <c r="I9774" s="10" t="inlineStr">
        <is>
          <t>10/04/2026</t>
        </is>
      </c>
      <c r="J9774" s="10" t="inlineStr">
        <is>
          <t>17/03/2026</t>
        </is>
      </c>
      <c r="K9774" s="10" t="inlineStr">
        <is>
          <t>N/A</t>
        </is>
      </c>
      <c r="L9774" s="10" t="inlineStr">
        <is>
          <t>Design Drawing, Kết Cấu Thép, Xây Dựng, Thiết Kế Dầm Thép Tổ Hợp, Shopdrawing</t>
        </is>
      </c>
      <c r="M9774" s="10" t="inlineStr">
        <is>
          <t>Bonus, Healthcare Plan, Training</t>
        </is>
      </c>
      <c r="N9774" s="11">
        <f>HYPERLINK("https://www.vietnamworks.com/ky-su-thiet-ke-xay-dung--2021723-jv","Xem chi tiết")</f>
        <v/>
      </c>
      <c r="O9774" s="10" t="n"/>
    </row>
    <row r="9775">
      <c r="B9775" s="7" t="n">
        <v>9773</v>
      </c>
      <c r="C9775" t="inlineStr">
        <is>
          <t>Nhân Viên Chăm Sóc Khách Hàng (Nghỉ Thứ 7, Chủ Nhật)</t>
        </is>
      </c>
      <c r="D9775" t="inlineStr">
        <is>
          <t>Công Ty Cổ Phần Công Nghệ GenBlock</t>
        </is>
      </c>
      <c r="E9775" t="inlineStr">
        <is>
          <t>Tới 15tr ₫/tháng</t>
        </is>
      </c>
      <c r="F9775" t="inlineStr">
        <is>
          <t>Hà Nội</t>
        </is>
      </c>
      <c r="G9775" t="inlineStr">
        <is>
          <t>Mới Tốt Nghiệp</t>
        </is>
      </c>
      <c r="H9775" t="inlineStr">
        <is>
          <t>11/03/2026</t>
        </is>
      </c>
      <c r="I9775" t="inlineStr">
        <is>
          <t>10/04/2026</t>
        </is>
      </c>
      <c r="J9775" t="inlineStr">
        <is>
          <t>17/03/2026</t>
        </is>
      </c>
      <c r="K9775" t="inlineStr">
        <is>
          <t>N/A</t>
        </is>
      </c>
      <c r="L9775" t="inlineStr">
        <is>
          <t>Chỉnh Sửa Hình Ảnh, Chăm Sóc Khách Hàng, Customer Service, Giao Tiếp, Tư Vấn Khách Hàng</t>
        </is>
      </c>
      <c r="M9775" t="inlineStr">
        <is>
          <t>Bonus, Paid Leave, Others</t>
        </is>
      </c>
      <c r="N9775" s="8">
        <f>HYPERLINK("https://www.vietnamworks.com/nhan-vien-cham-soc-khach-hang-nghi-thu-7-chu-nhat-2021725-jv","Xem chi tiết")</f>
        <v/>
      </c>
    </row>
    <row r="9776">
      <c r="B9776" s="9" t="n">
        <v>9774</v>
      </c>
      <c r="C9776" s="10" t="inlineStr">
        <is>
          <t>Sales Logistics (Experienced)</t>
        </is>
      </c>
      <c r="D9776" s="10" t="inlineStr">
        <is>
          <t>Konet Express Co., Ltd</t>
        </is>
      </c>
      <c r="E9776" s="10" t="inlineStr">
        <is>
          <t>Thương lượng</t>
        </is>
      </c>
      <c r="F9776" s="10" t="inlineStr">
        <is>
          <t>Hà Nội</t>
        </is>
      </c>
      <c r="G9776" s="10" t="inlineStr">
        <is>
          <t>Nhân viên</t>
        </is>
      </c>
      <c r="H9776" s="10" t="inlineStr">
        <is>
          <t>11/03/2026</t>
        </is>
      </c>
      <c r="I9776" s="10" t="inlineStr">
        <is>
          <t>10/04/2026</t>
        </is>
      </c>
      <c r="J9776" s="10" t="inlineStr">
        <is>
          <t>17/03/2026</t>
        </is>
      </c>
      <c r="K9776" s="10" t="inlineStr">
        <is>
          <t>N/A</t>
        </is>
      </c>
      <c r="L9776" s="10" t="inlineStr">
        <is>
          <t>Shipping Logistics, Client Acquisition, Negotiation, Sales Logistics, Sales &amp; Account Management</t>
        </is>
      </c>
      <c r="M9776" s="10" t="inlineStr">
        <is>
          <t>Bonus, Healthcare Plan, Awards, Others</t>
        </is>
      </c>
      <c r="N9776" s="11">
        <f>HYPERLINK("https://www.vietnamworks.com/sales-logistics-experienced-2021724-jv","Xem chi tiết")</f>
        <v/>
      </c>
      <c r="O9776" s="10" t="n"/>
    </row>
    <row r="9777">
      <c r="B9777" s="7" t="n">
        <v>9775</v>
      </c>
      <c r="C9777" t="inlineStr">
        <is>
          <t>Account Manager</t>
        </is>
      </c>
      <c r="D9777" t="inlineStr">
        <is>
          <t>Michael Page Vietnam</t>
        </is>
      </c>
      <c r="E9777" t="inlineStr">
        <is>
          <t>Thương lượng</t>
        </is>
      </c>
      <c r="F9777" t="inlineStr">
        <is>
          <t>Hồ Chí Minh</t>
        </is>
      </c>
      <c r="G9777" t="inlineStr">
        <is>
          <t>Trưởng phòng</t>
        </is>
      </c>
      <c r="H9777" t="inlineStr">
        <is>
          <t>11/03/2026</t>
        </is>
      </c>
      <c r="I9777" t="inlineStr">
        <is>
          <t>10/04/2026</t>
        </is>
      </c>
      <c r="J9777" t="inlineStr">
        <is>
          <t>17/03/2026</t>
        </is>
      </c>
      <c r="K9777" t="inlineStr">
        <is>
          <t>N/A</t>
        </is>
      </c>
      <c r="L9777" t="inlineStr">
        <is>
          <t>Account Management, Consultant, Team Management</t>
        </is>
      </c>
      <c r="M9777" t="inlineStr">
        <is>
          <t>Bonus, Healthcare Plan, Paid Leave</t>
        </is>
      </c>
      <c r="N9777" s="8">
        <f>HYPERLINK("https://www.vietnamworks.com/account-manager-667-2021726-jv","Xem chi tiết")</f>
        <v/>
      </c>
    </row>
    <row r="9778">
      <c r="B9778" s="9" t="n">
        <v>9776</v>
      </c>
      <c r="C9778" s="10" t="inlineStr">
        <is>
          <t>Nhân Viên Bảo Dưỡng Thiết Bị</t>
        </is>
      </c>
      <c r="D9778" s="10" t="inlineStr">
        <is>
          <t>Công Ty TNHH Sản Phẩm Kết Nối SWCC Showa Việt Nam</t>
        </is>
      </c>
      <c r="E9778" s="10" t="inlineStr">
        <is>
          <t>Thương lượng</t>
        </is>
      </c>
      <c r="F9778" s="10" t="inlineStr">
        <is>
          <t>Hưng Yên</t>
        </is>
      </c>
      <c r="G9778" s="10" t="inlineStr">
        <is>
          <t>Nhân viên</t>
        </is>
      </c>
      <c r="H9778" s="10" t="inlineStr">
        <is>
          <t>11/03/2026</t>
        </is>
      </c>
      <c r="I9778" s="10" t="inlineStr">
        <is>
          <t>10/04/2026</t>
        </is>
      </c>
      <c r="J9778" s="10" t="inlineStr">
        <is>
          <t>17/03/2026</t>
        </is>
      </c>
      <c r="K9778" s="10" t="inlineStr">
        <is>
          <t>N/A</t>
        </is>
      </c>
      <c r="L9778" s="10" t="inlineStr">
        <is>
          <t>Kỹ Thuật Điện Tử, Bảo Trì, Bảo Dưỡng Máy Móc, Bảo Dưỡng, Producing Wire Harness</t>
        </is>
      </c>
      <c r="M9778" s="10" t="inlineStr">
        <is>
          <t>Bonus, Paid Leave, Travel Opportunities</t>
        </is>
      </c>
      <c r="N9778" s="11">
        <f>HYPERLINK("https://www.vietnamworks.com/nhan-vien-bao-duong-thiet-bi--2021704-jv","Xem chi tiết")</f>
        <v/>
      </c>
      <c r="O9778" s="10" t="n"/>
    </row>
    <row r="9779">
      <c r="B9779" s="7" t="n">
        <v>9777</v>
      </c>
      <c r="C9779" t="inlineStr">
        <is>
          <t>Kế Toán Tổng Hợp</t>
        </is>
      </c>
      <c r="D9779" t="inlineStr">
        <is>
          <t>Công Ty TNHH Đông Dương Sài Gòn</t>
        </is>
      </c>
      <c r="E9779" t="inlineStr">
        <is>
          <t>Tới 20tr ₫/tháng</t>
        </is>
      </c>
      <c r="F9779" t="inlineStr">
        <is>
          <t>Long An, Hồ Chí Minh</t>
        </is>
      </c>
      <c r="G9779" t="inlineStr">
        <is>
          <t>Nhân viên</t>
        </is>
      </c>
      <c r="H9779" t="inlineStr">
        <is>
          <t>11/03/2026</t>
        </is>
      </c>
      <c r="I9779" t="inlineStr">
        <is>
          <t>21/03/2026</t>
        </is>
      </c>
      <c r="J9779" t="inlineStr">
        <is>
          <t>17/03/2026</t>
        </is>
      </c>
      <c r="K9779" t="inlineStr">
        <is>
          <t>N/A</t>
        </is>
      </c>
      <c r="L9779" t="inlineStr">
        <is>
          <t>Kế Toán Tổng Hợp, Kiểm Soát Chứng Từ, Phần mềm kế toán</t>
        </is>
      </c>
      <c r="M9779" t="inlineStr">
        <is>
          <t>Bonus, Healthcare Plan, Others</t>
        </is>
      </c>
      <c r="N9779" s="8">
        <f>HYPERLINK("https://www.vietnamworks.com/ke-toan-tong-hop-2021727-jv","Xem chi tiết")</f>
        <v/>
      </c>
    </row>
    <row r="9780">
      <c r="B9780" s="9" t="n">
        <v>9778</v>
      </c>
      <c r="C9780" s="10" t="inlineStr">
        <is>
          <t>Chăm Sóc Khách Hàng - Mảng IT (Tiếng Nhật N1/n2 - Không Yêu Cầu Kinh Nghiệm - Lương Tới 30M)</t>
        </is>
      </c>
      <c r="D9780" s="10" t="inlineStr">
        <is>
          <t>ITECHWX COMPANY LIMITED</t>
        </is>
      </c>
      <c r="E9780" s="10" t="inlineStr">
        <is>
          <t>Tới 30tr ₫/tháng</t>
        </is>
      </c>
      <c r="F9780" s="10" t="inlineStr">
        <is>
          <t>Hồ Chí Minh</t>
        </is>
      </c>
      <c r="G9780" s="10" t="inlineStr">
        <is>
          <t>Mới Tốt Nghiệp</t>
        </is>
      </c>
      <c r="H9780" s="10" t="inlineStr">
        <is>
          <t>11/03/2026</t>
        </is>
      </c>
      <c r="I9780" s="10" t="inlineStr">
        <is>
          <t>10/04/2026</t>
        </is>
      </c>
      <c r="J9780" s="10" t="inlineStr">
        <is>
          <t>17/03/2026</t>
        </is>
      </c>
      <c r="K9780" s="10" t="inlineStr">
        <is>
          <t>N/A</t>
        </is>
      </c>
      <c r="L9780" s="10" t="inlineStr">
        <is>
          <t>Dịch Vụ Khách Hàng, Tiếng Nhật, Hỗ trợ khách hàng, Tiếng Anh</t>
        </is>
      </c>
      <c r="M9780" s="10" t="inlineStr">
        <is>
          <t>Healthcare Plan, Paid Leave, Training, Team Activities, Others</t>
        </is>
      </c>
      <c r="N9780" s="11">
        <f>HYPERLINK("https://www.vietnamworks.com/cham-soc-khach-hang-mang-it-tieng-nhat-n1n2-khong-yeu-cau-kinh-nghiem-luong-toi-30m-2021707-jv","Xem chi tiết")</f>
        <v/>
      </c>
      <c r="O9780" s="10" t="n"/>
    </row>
    <row r="9781">
      <c r="B9781" s="7" t="n">
        <v>9779</v>
      </c>
      <c r="C9781" t="inlineStr">
        <is>
          <t>Tech Support (N1-N2 Japanese - Open to Fresher - Offer Up to 30M)</t>
        </is>
      </c>
      <c r="D9781" t="inlineStr">
        <is>
          <t>ITECHWX COMPANY LIMITED</t>
        </is>
      </c>
      <c r="E9781" t="inlineStr">
        <is>
          <t>Tới 30tr ₫/tháng</t>
        </is>
      </c>
      <c r="F9781" t="inlineStr">
        <is>
          <t>Hồ Chí Minh</t>
        </is>
      </c>
      <c r="G9781" t="inlineStr">
        <is>
          <t>Mới Tốt Nghiệp</t>
        </is>
      </c>
      <c r="H9781" t="inlineStr">
        <is>
          <t>11/03/2026</t>
        </is>
      </c>
      <c r="I9781" t="inlineStr">
        <is>
          <t>10/04/2026</t>
        </is>
      </c>
      <c r="J9781" t="inlineStr">
        <is>
          <t>17/03/2026</t>
        </is>
      </c>
      <c r="K9781" t="inlineStr">
        <is>
          <t>N/A</t>
        </is>
      </c>
      <c r="L9781" t="inlineStr">
        <is>
          <t>Basic English, Customer Service Mindset, Japanese proficiency, Technical Support</t>
        </is>
      </c>
      <c r="M9781" t="inlineStr">
        <is>
          <t>Healthcare Plan, Paid Leave, Training, Laptop, Team Activities</t>
        </is>
      </c>
      <c r="N9781" s="8">
        <f>HYPERLINK("https://www.vietnamworks.com/tech-support-n1-n2-japanese-open-to-fresher-offer-up-to-30m-2021709-jv","Xem chi tiết")</f>
        <v/>
      </c>
    </row>
    <row r="9782">
      <c r="B9782" s="9" t="n">
        <v>9780</v>
      </c>
      <c r="C9782" s="10" t="inlineStr">
        <is>
          <t>Administration Officer</t>
        </is>
      </c>
      <c r="D9782" s="10" t="inlineStr">
        <is>
          <t>KIRBY SOUTHEAST ASIA CO., LTD</t>
        </is>
      </c>
      <c r="E9782" s="10" t="inlineStr">
        <is>
          <t>Thương lượng</t>
        </is>
      </c>
      <c r="F9782" s="10" t="inlineStr">
        <is>
          <t>Đồng Nai</t>
        </is>
      </c>
      <c r="G9782" s="10" t="inlineStr">
        <is>
          <t>Nhân viên</t>
        </is>
      </c>
      <c r="H9782" s="10" t="inlineStr">
        <is>
          <t>11/03/2026</t>
        </is>
      </c>
      <c r="I9782" s="10" t="inlineStr">
        <is>
          <t>10/04/2026</t>
        </is>
      </c>
      <c r="J9782" s="10" t="inlineStr">
        <is>
          <t>17/03/2026</t>
        </is>
      </c>
      <c r="K9782" s="10" t="inlineStr">
        <is>
          <t>N/A</t>
        </is>
      </c>
      <c r="L9782" s="10" t="inlineStr">
        <is>
          <t>Office Administration, Hành Chính, Administration, manufacturing</t>
        </is>
      </c>
      <c r="M9782" s="10" t="inlineStr">
        <is>
          <t>Bonus, Healthcare Plan, Training</t>
        </is>
      </c>
      <c r="N9782" s="11">
        <f>HYPERLINK("https://www.vietnamworks.com/administration-officer--2021721-jv","Xem chi tiết")</f>
        <v/>
      </c>
      <c r="O9782" s="10" t="n"/>
    </row>
    <row r="9783">
      <c r="B9783" s="7" t="n">
        <v>9781</v>
      </c>
      <c r="C9783" t="inlineStr">
        <is>
          <t>Quality Process Engineer (Working in Bình Phước)</t>
        </is>
      </c>
      <c r="D9783" t="inlineStr">
        <is>
          <t>Hayat Việt Nam</t>
        </is>
      </c>
      <c r="E9783" t="inlineStr">
        <is>
          <t>Thương lượng</t>
        </is>
      </c>
      <c r="F9783" t="inlineStr">
        <is>
          <t>Bình Phước</t>
        </is>
      </c>
      <c r="G9783" t="inlineStr">
        <is>
          <t>Nhân viên</t>
        </is>
      </c>
      <c r="H9783" t="inlineStr">
        <is>
          <t>11/03/2026</t>
        </is>
      </c>
      <c r="I9783" t="inlineStr">
        <is>
          <t>10/04/2026</t>
        </is>
      </c>
      <c r="J9783" t="inlineStr">
        <is>
          <t>17/03/2026</t>
        </is>
      </c>
      <c r="K9783" t="inlineStr">
        <is>
          <t>N/A</t>
        </is>
      </c>
      <c r="L9783" t="inlineStr">
        <is>
          <t>Quality Control, Quality Assurance, QA, Process Quality Assurance, Production</t>
        </is>
      </c>
      <c r="M9783" t="inlineStr">
        <is>
          <t>Bonus, Healthcare Plan, Laptop</t>
        </is>
      </c>
      <c r="N9783" s="8">
        <f>HYPERLINK("https://www.vietnamworks.com/quality-process-engineer-working-in-binh-phuoc-2021731-jv","Xem chi tiết")</f>
        <v/>
      </c>
    </row>
    <row r="9784">
      <c r="B9784" s="9" t="n">
        <v>9782</v>
      </c>
      <c r="C9784" s="10" t="inlineStr">
        <is>
          <t>Senior HRBP Executive</t>
        </is>
      </c>
      <c r="D9784" s="10" t="inlineStr">
        <is>
          <t>Stavian Group</t>
        </is>
      </c>
      <c r="E9784" s="10" t="inlineStr">
        <is>
          <t>Thương lượng</t>
        </is>
      </c>
      <c r="F9784" s="10" t="inlineStr">
        <is>
          <t>Hà Nội</t>
        </is>
      </c>
      <c r="G9784" s="10" t="inlineStr">
        <is>
          <t>Nhân viên</t>
        </is>
      </c>
      <c r="H9784" s="10" t="inlineStr">
        <is>
          <t>11/03/2026</t>
        </is>
      </c>
      <c r="I9784" s="10" t="inlineStr">
        <is>
          <t>10/04/2026</t>
        </is>
      </c>
      <c r="J9784" s="10" t="inlineStr">
        <is>
          <t>17/03/2026</t>
        </is>
      </c>
      <c r="K9784" s="10" t="inlineStr">
        <is>
          <t>N/A</t>
        </is>
      </c>
      <c r="L9784" s="10" t="inlineStr">
        <is>
          <t>Communication Skills, Employee Relation, English, HR General, HRBP</t>
        </is>
      </c>
      <c r="M9784" s="10" t="inlineStr">
        <is>
          <t>Bonus, Training, Library, Team Activities, Vouchers, Others</t>
        </is>
      </c>
      <c r="N9784" s="11">
        <f>HYPERLINK("https://www.vietnamworks.com/senior-hrbp-executive-2021730-jv","Xem chi tiết")</f>
        <v/>
      </c>
      <c r="O9784" s="10" t="n"/>
    </row>
    <row r="9785">
      <c r="B9785" s="7" t="n">
        <v>9783</v>
      </c>
      <c r="C9785" t="inlineStr">
        <is>
          <t>Chuyên Viên Giải Phóng Mặt Bằng</t>
        </is>
      </c>
      <c r="D9785" t="inlineStr">
        <is>
          <t>Công Ty Cổ Phần Đầu Tư Bất Động Sản Toàn Cầu (GP. INVEST)</t>
        </is>
      </c>
      <c r="E9785" t="inlineStr">
        <is>
          <t>Thương lượng</t>
        </is>
      </c>
      <c r="F9785" t="inlineStr">
        <is>
          <t>Phú Thọ, Hà Nội</t>
        </is>
      </c>
      <c r="G9785" t="inlineStr">
        <is>
          <t>Nhân viên</t>
        </is>
      </c>
      <c r="H9785" t="inlineStr">
        <is>
          <t>11/03/2026</t>
        </is>
      </c>
      <c r="I9785" t="inlineStr">
        <is>
          <t>10/04/2026</t>
        </is>
      </c>
      <c r="J9785" t="inlineStr">
        <is>
          <t>17/03/2026</t>
        </is>
      </c>
      <c r="K9785" t="inlineStr">
        <is>
          <t>N/A</t>
        </is>
      </c>
      <c r="L9785" t="inlineStr">
        <is>
          <t>Bồi Thường Mặt Bằng, Giải Phóng Mặt Bằng, Khảo Sát Thực Tế, Luật Đất Đai, Quản Lý Đất Đai</t>
        </is>
      </c>
      <c r="M9785" t="inlineStr">
        <is>
          <t>Bonus, Healthcare Plan, Training, Team Activities, Vouchers, Others</t>
        </is>
      </c>
      <c r="N9785" s="8">
        <f>HYPERLINK("https://www.vietnamworks.com/chuyen-vien-giai-phong-mat-bang-2021733-jv","Xem chi tiết")</f>
        <v/>
      </c>
    </row>
    <row r="9786">
      <c r="B9786" s="9" t="n">
        <v>9784</v>
      </c>
      <c r="C9786" s="10" t="inlineStr">
        <is>
          <t>Marketing Tracking &amp; Analytics Specialist (GTM, GA4, UTM)</t>
        </is>
      </c>
      <c r="D9786" s="10" t="inlineStr">
        <is>
          <t>Công Ty TNHH A G Steel Manufacture</t>
        </is>
      </c>
      <c r="E9786" s="10" t="inlineStr">
        <is>
          <t>Thương lượng</t>
        </is>
      </c>
      <c r="F9786" s="10" t="inlineStr">
        <is>
          <t>Hồ Chí Minh</t>
        </is>
      </c>
      <c r="G9786" s="10" t="inlineStr">
        <is>
          <t>Nhân viên</t>
        </is>
      </c>
      <c r="H9786" s="10" t="inlineStr">
        <is>
          <t>11/03/2026</t>
        </is>
      </c>
      <c r="I9786" s="10" t="inlineStr">
        <is>
          <t>10/04/2026</t>
        </is>
      </c>
      <c r="J9786" s="10" t="inlineStr">
        <is>
          <t>17/03/2026</t>
        </is>
      </c>
      <c r="K9786" s="10" t="inlineStr">
        <is>
          <t>N/A</t>
        </is>
      </c>
      <c r="L9786" s="10" t="inlineStr">
        <is>
          <t>Conversion Tracking, Google Analytics, Google Tag Management, Troubleshooting, Utm Tracking</t>
        </is>
      </c>
      <c r="M9786" s="10" t="inlineStr">
        <is>
          <t>Bonus, Laptop, Team Activities</t>
        </is>
      </c>
      <c r="N9786" s="11">
        <f>HYPERLINK("https://www.vietnamworks.com/marketing-tracking-and-analytics-specialist-gtm-ga4-utm-2021747-jv","Xem chi tiết")</f>
        <v/>
      </c>
      <c r="O9786" s="10" t="n"/>
    </row>
    <row r="9787">
      <c r="B9787" s="7" t="n">
        <v>9785</v>
      </c>
      <c r="C9787" t="inlineStr">
        <is>
          <t>Forwarding Document Staff</t>
        </is>
      </c>
      <c r="D9787" t="inlineStr">
        <is>
          <t>Công Ty TNHH Clasquin Việt Nam</t>
        </is>
      </c>
      <c r="E9787" t="inlineStr">
        <is>
          <t>12tr-18tr ₫/tháng</t>
        </is>
      </c>
      <c r="F9787" t="inlineStr">
        <is>
          <t>Hồ Chí Minh</t>
        </is>
      </c>
      <c r="G9787" t="inlineStr">
        <is>
          <t>Nhân viên</t>
        </is>
      </c>
      <c r="H9787" t="inlineStr">
        <is>
          <t>11/03/2026</t>
        </is>
      </c>
      <c r="I9787" t="inlineStr">
        <is>
          <t>10/04/2026</t>
        </is>
      </c>
      <c r="J9787" t="inlineStr">
        <is>
          <t>17/03/2026</t>
        </is>
      </c>
      <c r="K9787" t="inlineStr">
        <is>
          <t>N/A</t>
        </is>
      </c>
      <c r="L9787" t="inlineStr">
        <is>
          <t>Logistics Training, Import-Export Documents, Quick Learning, Logistics Industry Knowledge, Logistics Operation</t>
        </is>
      </c>
      <c r="M9787" t="inlineStr">
        <is>
          <t>Bonus, Healthcare Plan, Training, Team Activities</t>
        </is>
      </c>
      <c r="N9787" s="8">
        <f>HYPERLINK("https://www.vietnamworks.com/forwarding-document-staff-2021751-jv","Xem chi tiết")</f>
        <v/>
      </c>
    </row>
    <row r="9788">
      <c r="B9788" s="9" t="n">
        <v>9786</v>
      </c>
      <c r="C9788" s="10" t="inlineStr">
        <is>
          <t>Chuyên Viên Tài Chính Kế Toán</t>
        </is>
      </c>
      <c r="D9788" s="10" t="inlineStr">
        <is>
          <t>TORRECID VIETNAM</t>
        </is>
      </c>
      <c r="E9788" s="10" t="inlineStr">
        <is>
          <t>Thương lượng</t>
        </is>
      </c>
      <c r="F9788" s="10" t="inlineStr">
        <is>
          <t>Đồng Nai</t>
        </is>
      </c>
      <c r="G9788" s="10" t="inlineStr">
        <is>
          <t>Nhân viên</t>
        </is>
      </c>
      <c r="H9788" s="10" t="inlineStr">
        <is>
          <t>11/03/2026</t>
        </is>
      </c>
      <c r="I9788" s="10" t="inlineStr">
        <is>
          <t>10/04/2026</t>
        </is>
      </c>
      <c r="J9788" s="10" t="inlineStr">
        <is>
          <t>17/03/2026</t>
        </is>
      </c>
      <c r="K9788" s="10" t="inlineStr">
        <is>
          <t>N/A</t>
        </is>
      </c>
      <c r="L9788" s="10" t="inlineStr">
        <is>
          <t>Tài Chính Kế Toán, Tài Chính, Kế Toán, English, Tài Chính Doanh Nghiệp</t>
        </is>
      </c>
      <c r="M9788" s="10" t="inlineStr">
        <is>
          <t>Healthcare Plan, Paid Leave, Others</t>
        </is>
      </c>
      <c r="N9788" s="11">
        <f>HYPERLINK("https://www.vietnamworks.com/chuyen-vien-tai-chinh-ke-toan--2021748-jv","Xem chi tiết")</f>
        <v/>
      </c>
      <c r="O9788" s="10" t="n"/>
    </row>
    <row r="9789">
      <c r="B9789" s="7" t="n">
        <v>9787</v>
      </c>
      <c r="C9789" t="inlineStr">
        <is>
          <t>Nhân Viên Truyền Thông Nội Bộ</t>
        </is>
      </c>
      <c r="D9789" t="inlineStr">
        <is>
          <t>Công ty Cổ phần Xây dựng An Phong</t>
        </is>
      </c>
      <c r="E9789" t="inlineStr">
        <is>
          <t>Thương lượng</t>
        </is>
      </c>
      <c r="F9789" t="inlineStr">
        <is>
          <t>Hồ Chí Minh</t>
        </is>
      </c>
      <c r="G9789" t="inlineStr">
        <is>
          <t>Nhân viên</t>
        </is>
      </c>
      <c r="H9789" t="inlineStr">
        <is>
          <t>11/03/2026</t>
        </is>
      </c>
      <c r="I9789" t="inlineStr">
        <is>
          <t>10/04/2026</t>
        </is>
      </c>
      <c r="J9789" t="inlineStr">
        <is>
          <t>17/03/2026</t>
        </is>
      </c>
      <c r="K9789" t="inlineStr">
        <is>
          <t>N/A</t>
        </is>
      </c>
      <c r="L9789" t="inlineStr">
        <is>
          <t>Truyền Thông, Marketing Development, Tổ chức sự kiện, Photoshop, kỹ năng tự học</t>
        </is>
      </c>
      <c r="M9789" t="inlineStr">
        <is>
          <t>Bonus, Library, Mobile</t>
        </is>
      </c>
      <c r="N9789" s="8">
        <f>HYPERLINK("https://www.vietnamworks.com/nhan-vien-truyen-thong-noi-bo-2021750-jv","Xem chi tiết")</f>
        <v/>
      </c>
    </row>
    <row r="9790">
      <c r="B9790" s="9" t="n">
        <v>9788</v>
      </c>
      <c r="C9790" s="10" t="inlineStr">
        <is>
          <t>Nhân Viên Kinh Doanh (Sales Executive)</t>
        </is>
      </c>
      <c r="D9790" s="10" t="inlineStr">
        <is>
          <t>Công ty Cổ phần Khoa học công nghệ T&amp;T</t>
        </is>
      </c>
      <c r="E9790" s="10" t="inlineStr">
        <is>
          <t>15tr-25tr ₫/tháng</t>
        </is>
      </c>
      <c r="F9790" s="10" t="inlineStr">
        <is>
          <t>Hồ Chí Minh, Hà Nội</t>
        </is>
      </c>
      <c r="G9790" s="10" t="inlineStr">
        <is>
          <t>Nhân viên</t>
        </is>
      </c>
      <c r="H9790" s="10" t="inlineStr">
        <is>
          <t>11/03/2026</t>
        </is>
      </c>
      <c r="I9790" s="10" t="inlineStr">
        <is>
          <t>10/04/2026</t>
        </is>
      </c>
      <c r="J9790" s="10" t="inlineStr">
        <is>
          <t>17/03/2026</t>
        </is>
      </c>
      <c r="K9790" s="10" t="inlineStr">
        <is>
          <t>N/A</t>
        </is>
      </c>
      <c r="L9790" s="10" t="inlineStr">
        <is>
          <t>Bán Hàng, Kinh Doanh Hóa Chất, Chemical Sales, Sinh Học Phân Tử, Hóa Sinh</t>
        </is>
      </c>
      <c r="M9790" s="10" t="inlineStr">
        <is>
          <t>Bonus, Training, Travel Opportunities</t>
        </is>
      </c>
      <c r="N9790" s="11">
        <f>HYPERLINK("https://www.vietnamworks.com/nhan-vien-kinh-doanh-sales-executive--2021756-jv","Xem chi tiết")</f>
        <v/>
      </c>
      <c r="O9790" s="10" t="n"/>
    </row>
    <row r="9791">
      <c r="B9791" s="7" t="n">
        <v>9789</v>
      </c>
      <c r="C9791" t="inlineStr">
        <is>
          <t>Nhân Viên Kế Toán (Nghỉ Thứ 7, Chủ Nhật)</t>
        </is>
      </c>
      <c r="D9791" t="inlineStr">
        <is>
          <t>Công Ty Cổ Phần Công Nghệ GenBlock</t>
        </is>
      </c>
      <c r="E9791" t="inlineStr">
        <is>
          <t>Tới 12tr ₫/tháng</t>
        </is>
      </c>
      <c r="F9791" t="inlineStr">
        <is>
          <t>Hà Nội</t>
        </is>
      </c>
      <c r="G9791" t="inlineStr">
        <is>
          <t>Nhân viên</t>
        </is>
      </c>
      <c r="H9791" t="inlineStr">
        <is>
          <t>11/03/2026</t>
        </is>
      </c>
      <c r="I9791" t="inlineStr">
        <is>
          <t>10/04/2026</t>
        </is>
      </c>
      <c r="J9791" t="inlineStr">
        <is>
          <t>17/03/2026</t>
        </is>
      </c>
      <c r="K9791" t="inlineStr">
        <is>
          <t>N/A</t>
        </is>
      </c>
      <c r="L9791" t="inlineStr">
        <is>
          <t>Affiliate Marketing, Báo Cáo Tài Chính, Bút Toán, Hoàn Thiện Bảng Chấm Công, Misa</t>
        </is>
      </c>
      <c r="M9791" t="inlineStr">
        <is>
          <t>Bonus, Paid Leave, Others</t>
        </is>
      </c>
      <c r="N9791" s="8">
        <f>HYPERLINK("https://www.vietnamworks.com/nhan-vien-ke-toan-nghi-thu-7-chu-nhat--2021735-jv","Xem chi tiết")</f>
        <v/>
      </c>
    </row>
    <row r="9792">
      <c r="B9792" s="9" t="n">
        <v>9790</v>
      </c>
      <c r="C9792" s="10" t="inlineStr">
        <is>
          <t>Logistics &amp; Warehouse Senior Executive</t>
        </is>
      </c>
      <c r="D9792" s="10" t="inlineStr">
        <is>
          <t>LIXIL Vietnam Corporation</t>
        </is>
      </c>
      <c r="E9792" s="10" t="inlineStr">
        <is>
          <t>Thương lượng</t>
        </is>
      </c>
      <c r="F9792" s="10" t="inlineStr">
        <is>
          <t>Hà Nội</t>
        </is>
      </c>
      <c r="G9792" s="10" t="inlineStr">
        <is>
          <t>Nhân viên</t>
        </is>
      </c>
      <c r="H9792" s="10" t="inlineStr">
        <is>
          <t>11/03/2026</t>
        </is>
      </c>
      <c r="I9792" s="10" t="inlineStr">
        <is>
          <t>10/04/2026</t>
        </is>
      </c>
      <c r="J9792" s="10" t="inlineStr">
        <is>
          <t>17/03/2026</t>
        </is>
      </c>
      <c r="K9792" s="10" t="inlineStr">
        <is>
          <t>N/A</t>
        </is>
      </c>
      <c r="L9792" s="10" t="inlineStr">
        <is>
          <t>Logistics, Warehouse, Shipping Operations, freight forwarding experience</t>
        </is>
      </c>
      <c r="M9792" s="10" t="inlineStr">
        <is>
          <t>Bonus, Travel Opportunities, Others</t>
        </is>
      </c>
      <c r="N9792" s="11">
        <f>HYPERLINK("https://www.vietnamworks.com/logistics-warehouse-senior-executive--2021734-jv","Xem chi tiết")</f>
        <v/>
      </c>
      <c r="O9792" s="10" t="n"/>
    </row>
    <row r="9793">
      <c r="B9793" s="7" t="n">
        <v>9791</v>
      </c>
      <c r="C9793" t="inlineStr">
        <is>
          <t>Accounting Executive</t>
        </is>
      </c>
      <c r="D9793" t="inlineStr">
        <is>
          <t>Olam Global Agri Việt Nam</t>
        </is>
      </c>
      <c r="E9793" t="inlineStr">
        <is>
          <t>10tr-14tr ₫/tháng</t>
        </is>
      </c>
      <c r="F9793" t="inlineStr">
        <is>
          <t>Hồ Chí Minh</t>
        </is>
      </c>
      <c r="G9793" t="inlineStr">
        <is>
          <t>Nhân viên</t>
        </is>
      </c>
      <c r="H9793" t="inlineStr">
        <is>
          <t>11/03/2026</t>
        </is>
      </c>
      <c r="I9793" t="inlineStr">
        <is>
          <t>10/04/2026</t>
        </is>
      </c>
      <c r="J9793" t="inlineStr">
        <is>
          <t>17/03/2026</t>
        </is>
      </c>
      <c r="K9793" t="inlineStr">
        <is>
          <t>N/A</t>
        </is>
      </c>
      <c r="L9793" t="inlineStr">
        <is>
          <t>Accounting, Cash Flow Forecasting, Communication, Google Spreadsheet, SAP systems</t>
        </is>
      </c>
      <c r="M9793" t="inlineStr">
        <is>
          <t>Others</t>
        </is>
      </c>
      <c r="N9793" s="8">
        <f>HYPERLINK("https://www.vietnamworks.com/accounting-executive-2021739-jv","Xem chi tiết")</f>
        <v/>
      </c>
    </row>
    <row r="9794">
      <c r="B9794" s="9" t="n">
        <v>9792</v>
      </c>
      <c r="C9794" s="10" t="inlineStr">
        <is>
          <t>Phó Trưởng phòng Khảo thí và Đảm bảo chất lượng</t>
        </is>
      </c>
      <c r="D9794" s="10" t="inlineStr">
        <is>
          <t>Trường Đại Học Đại Nam</t>
        </is>
      </c>
      <c r="E9794" s="10" t="inlineStr">
        <is>
          <t>Thương lượng</t>
        </is>
      </c>
      <c r="F9794" s="10" t="inlineStr">
        <is>
          <t>Hà Nội</t>
        </is>
      </c>
      <c r="G9794" s="10" t="inlineStr">
        <is>
          <t>Nhân viên</t>
        </is>
      </c>
      <c r="H9794" s="10" t="inlineStr">
        <is>
          <t>11/03/2026</t>
        </is>
      </c>
      <c r="I9794" s="10" t="inlineStr">
        <is>
          <t>10/04/2026</t>
        </is>
      </c>
      <c r="J9794" s="10" t="inlineStr">
        <is>
          <t>17/03/2026</t>
        </is>
      </c>
      <c r="K9794" s="10" t="inlineStr">
        <is>
          <t>N/A</t>
        </is>
      </c>
      <c r="L9794" s="10" t="inlineStr">
        <is>
          <t>Kỹ Năng Quản Lý, Phân Tích Dữ Liệu, Quản Lý Giáo Dục, Quản Trị Giáo Dục, Sàng Lọc và Đánh Giá</t>
        </is>
      </c>
      <c r="M9794" s="10" t="inlineStr">
        <is>
          <t>Bonus, Healthcare Plan, Travel Opportunities</t>
        </is>
      </c>
      <c r="N9794" s="11">
        <f>HYPERLINK("https://www.vietnamworks.com/pho-truong-phong-khao-thi-va-djam-bao-chat-luong-2021746-jv","Xem chi tiết")</f>
        <v/>
      </c>
      <c r="O9794" s="10" t="n"/>
    </row>
    <row r="9795">
      <c r="B9795" s="7" t="n">
        <v>9793</v>
      </c>
      <c r="C9795" t="inlineStr">
        <is>
          <t>Kỹ Sư Kỹ Thuật Cơ Khí / Điện / Tự Động Hóa</t>
        </is>
      </c>
      <c r="D9795" t="inlineStr">
        <is>
          <t>Công Ty TNHH Thiết Bị Công Nghiệp Matec Hà Nội</t>
        </is>
      </c>
      <c r="E9795" t="inlineStr">
        <is>
          <t>15tr-25tr ₫/tháng</t>
        </is>
      </c>
      <c r="F9795" t="inlineStr">
        <is>
          <t>Hà Nội</t>
        </is>
      </c>
      <c r="G9795" t="inlineStr">
        <is>
          <t>Nhân viên</t>
        </is>
      </c>
      <c r="H9795" t="inlineStr">
        <is>
          <t>11/03/2026</t>
        </is>
      </c>
      <c r="I9795" t="inlineStr">
        <is>
          <t>10/04/2026</t>
        </is>
      </c>
      <c r="J9795" t="inlineStr">
        <is>
          <t>17/03/2026</t>
        </is>
      </c>
      <c r="K9795" t="inlineStr">
        <is>
          <t>N/A</t>
        </is>
      </c>
      <c r="L9795" t="inlineStr">
        <is>
          <t>Cơ Khí, Điện Tử, Tự Động Hóa, Tư Vấn Kỹ Thuật, Auto Cad</t>
        </is>
      </c>
      <c r="M9795" t="inlineStr">
        <is>
          <t>Bonus, Healthcare Plan, Others</t>
        </is>
      </c>
      <c r="N9795" s="8">
        <f>HYPERLINK("https://www.vietnamworks.com/ky-su-ky-thuat-co-khi-dien-tu-dong-hoa-2021744-jv","Xem chi tiết")</f>
        <v/>
      </c>
    </row>
    <row r="9796">
      <c r="B9796" s="9" t="n">
        <v>9794</v>
      </c>
      <c r="C9796" s="10" t="inlineStr">
        <is>
          <t>Giám Đốc Nhà Máy (Production Director) Dự Án Nhựa Gia Dụng</t>
        </is>
      </c>
      <c r="D9796" s="10" t="inlineStr">
        <is>
          <t>Stavian Group</t>
        </is>
      </c>
      <c r="E9796" s="10" t="inlineStr">
        <is>
          <t>Thương lượng</t>
        </is>
      </c>
      <c r="F9796" s="10" t="inlineStr">
        <is>
          <t>Hưng Yên</t>
        </is>
      </c>
      <c r="G9796" s="10" t="inlineStr">
        <is>
          <t>Giám Đốc và Cấp Cao Hơn</t>
        </is>
      </c>
      <c r="H9796" s="10" t="inlineStr">
        <is>
          <t>11/03/2026</t>
        </is>
      </c>
      <c r="I9796" s="10" t="inlineStr">
        <is>
          <t>10/04/2026</t>
        </is>
      </c>
      <c r="J9796" s="10" t="inlineStr">
        <is>
          <t>17/03/2026</t>
        </is>
      </c>
      <c r="K9796" s="10" t="inlineStr">
        <is>
          <t>N/A</t>
        </is>
      </c>
      <c r="L9796" s="10" t="inlineStr">
        <is>
          <t>Factory Setup, Lãnh Đạo, Nhựa Gia Dụng, Quản Lý Sản Xuất, Quản Trị Vận Hành</t>
        </is>
      </c>
      <c r="M9796" s="10" t="inlineStr">
        <is>
          <t>Bonus, Healthcare Plan, Training, Others</t>
        </is>
      </c>
      <c r="N9796" s="11">
        <f>HYPERLINK("https://www.vietnamworks.com/giam-djoc-nha-may-production-director-du-an-nhua-gia-dung-2021740-jv","Xem chi tiết")</f>
        <v/>
      </c>
      <c r="O9796" s="10" t="n"/>
    </row>
    <row r="9797">
      <c r="B9797" s="7" t="n">
        <v>9795</v>
      </c>
      <c r="C9797" t="inlineStr">
        <is>
          <t>HR Executive (12-Month contract)</t>
        </is>
      </c>
      <c r="D9797" t="inlineStr">
        <is>
          <t>MSIG Insurance (Vietnam) Co., Ltd.</t>
        </is>
      </c>
      <c r="E9797" t="inlineStr">
        <is>
          <t>Thương lượng</t>
        </is>
      </c>
      <c r="F9797" t="inlineStr">
        <is>
          <t>Hà Nội</t>
        </is>
      </c>
      <c r="G9797" t="inlineStr">
        <is>
          <t>Nhân viên</t>
        </is>
      </c>
      <c r="H9797" t="inlineStr">
        <is>
          <t>11/03/2026</t>
        </is>
      </c>
      <c r="I9797" t="inlineStr">
        <is>
          <t>10/04/2026</t>
        </is>
      </c>
      <c r="J9797" t="inlineStr">
        <is>
          <t>17/03/2026</t>
        </is>
      </c>
      <c r="K9797" t="inlineStr">
        <is>
          <t>N/A</t>
        </is>
      </c>
      <c r="L9797" t="inlineStr">
        <is>
          <t>Human Resources, Recruitment, Training, General HR Management, Tuyển Dụng</t>
        </is>
      </c>
      <c r="M9797" t="inlineStr">
        <is>
          <t>Paid Leave, Travel Opportunities, Others</t>
        </is>
      </c>
      <c r="N9797" s="8">
        <f>HYPERLINK("https://www.vietnamworks.com/hr-executive-12-month-contract--2021738-jv","Xem chi tiết")</f>
        <v/>
      </c>
    </row>
    <row r="9798">
      <c r="B9798" s="9" t="n">
        <v>9796</v>
      </c>
      <c r="C9798" s="10" t="inlineStr">
        <is>
          <t>Giảng Viên Đại Học Các Chuyên ngành</t>
        </is>
      </c>
      <c r="D9798" s="10" t="inlineStr">
        <is>
          <t>Trường Đại Học Đại Nam</t>
        </is>
      </c>
      <c r="E9798" s="10" t="inlineStr">
        <is>
          <t>Thương lượng</t>
        </is>
      </c>
      <c r="F9798" s="10" t="inlineStr">
        <is>
          <t>Hà Nội</t>
        </is>
      </c>
      <c r="G9798" s="10" t="inlineStr">
        <is>
          <t>Nhân viên</t>
        </is>
      </c>
      <c r="H9798" s="10" t="inlineStr">
        <is>
          <t>11/03/2026</t>
        </is>
      </c>
      <c r="I9798" s="10" t="inlineStr">
        <is>
          <t>10/04/2026</t>
        </is>
      </c>
      <c r="J9798" s="10" t="inlineStr">
        <is>
          <t>17/03/2026</t>
        </is>
      </c>
      <c r="K9798" s="10" t="inlineStr">
        <is>
          <t>N/A</t>
        </is>
      </c>
      <c r="L9798" s="10" t="inlineStr">
        <is>
          <t>Giảng Dạy, Giáo Dục Đào Tạo, Học Vị Tiến Sĩ, Nghiên Cứu Khoa Học, Tư Duy Sáng Tạo</t>
        </is>
      </c>
      <c r="M9798" s="10" t="inlineStr">
        <is>
          <t>Bonus, Healthcare Plan, Library, Travel Opportunities</t>
        </is>
      </c>
      <c r="N9798" s="11">
        <f>HYPERLINK("https://www.vietnamworks.com/giang-vien-djai-hoc-cac-chuyen-nganh-2021736-jv","Xem chi tiết")</f>
        <v/>
      </c>
      <c r="O9798" s="10" t="n"/>
    </row>
    <row r="9799">
      <c r="B9799" s="7" t="n">
        <v>9797</v>
      </c>
      <c r="C9799" t="inlineStr">
        <is>
          <t>Owner Representative</t>
        </is>
      </c>
      <c r="D9799" t="inlineStr">
        <is>
          <t>Công Ty Cổ Phần Tập Đoàn Masterise</t>
        </is>
      </c>
      <c r="E9799" t="inlineStr">
        <is>
          <t>Thương lượng</t>
        </is>
      </c>
      <c r="F9799" t="inlineStr">
        <is>
          <t>Hồ Chí Minh</t>
        </is>
      </c>
      <c r="G9799" t="inlineStr">
        <is>
          <t>Nhân viên</t>
        </is>
      </c>
      <c r="H9799" t="inlineStr">
        <is>
          <t>11/03/2026</t>
        </is>
      </c>
      <c r="I9799" t="inlineStr">
        <is>
          <t>10/04/2026</t>
        </is>
      </c>
      <c r="J9799" t="inlineStr">
        <is>
          <t>17/03/2026</t>
        </is>
      </c>
      <c r="K9799" t="inlineStr">
        <is>
          <t>N/A</t>
        </is>
      </c>
      <c r="L9799" t="inlineStr">
        <is>
          <t>Báo Cáo, Giám Sát Công Việc, Kỹ năng giao tiếp, Quản Lý Ngân Sách, Quản Lý Vận Hành</t>
        </is>
      </c>
      <c r="M9799" t="inlineStr">
        <is>
          <t>Bonus, Healthcare Plan, Laptop</t>
        </is>
      </c>
      <c r="N9799" s="8">
        <f>HYPERLINK("https://www.vietnamworks.com/owner-representative-2021711-jv","Xem chi tiết")</f>
        <v/>
      </c>
    </row>
    <row r="9800">
      <c r="B9800" s="9" t="n">
        <v>9798</v>
      </c>
      <c r="C9800" s="10" t="inlineStr">
        <is>
          <t>Chuyên Viên Phái Sinh Hàng Hoá</t>
        </is>
      </c>
      <c r="D9800" s="10" t="inlineStr">
        <is>
          <t>Stavian Group</t>
        </is>
      </c>
      <c r="E9800" s="10" t="inlineStr">
        <is>
          <t>Thương lượng</t>
        </is>
      </c>
      <c r="F9800" s="10" t="inlineStr">
        <is>
          <t>Hà Nội</t>
        </is>
      </c>
      <c r="G9800" s="10" t="inlineStr">
        <is>
          <t>Nhân viên</t>
        </is>
      </c>
      <c r="H9800" s="10" t="inlineStr">
        <is>
          <t>11/03/2026</t>
        </is>
      </c>
      <c r="I9800" s="10" t="inlineStr">
        <is>
          <t>10/04/2026</t>
        </is>
      </c>
      <c r="J9800" s="10" t="inlineStr">
        <is>
          <t>17/03/2026</t>
        </is>
      </c>
      <c r="K9800" s="10" t="inlineStr">
        <is>
          <t>N/A</t>
        </is>
      </c>
      <c r="L9800" s="10" t="inlineStr">
        <is>
          <t>Chiến Lược Bán Lẻ, Hedging, Nghiệp Vụ Phái Sinh, Phân Tích Số Liệu, Phân Tích Thị Trường</t>
        </is>
      </c>
      <c r="M9800" s="10" t="inlineStr">
        <is>
          <t>Healthcare Plan, Training, Team Activities, Others</t>
        </is>
      </c>
      <c r="N9800" s="11">
        <f>HYPERLINK("https://www.vietnamworks.com/chuyen-vien-phai-sinh-hang-hoa-2021715-jv","Xem chi tiết")</f>
        <v/>
      </c>
      <c r="O9800" s="10" t="n"/>
    </row>
    <row r="9801">
      <c r="B9801" s="7" t="n">
        <v>9799</v>
      </c>
      <c r="C9801" t="inlineStr">
        <is>
          <t>Tổng Vụ Tiếng Nhật</t>
        </is>
      </c>
      <c r="D9801" t="inlineStr">
        <is>
          <t>CÔNG TY TNHH BHG VIỆT NAM &amp; LƯU DANH</t>
        </is>
      </c>
      <c r="E9801" t="inlineStr">
        <is>
          <t>$$ 1,000-1,400 /tháng</t>
        </is>
      </c>
      <c r="F9801" t="inlineStr">
        <is>
          <t>Bình Phước</t>
        </is>
      </c>
      <c r="G9801" t="inlineStr">
        <is>
          <t>Nhân viên</t>
        </is>
      </c>
      <c r="H9801" t="inlineStr">
        <is>
          <t>11/03/2026</t>
        </is>
      </c>
      <c r="I9801" t="inlineStr">
        <is>
          <t>10/04/2026</t>
        </is>
      </c>
      <c r="J9801" t="inlineStr">
        <is>
          <t>17/03/2026</t>
        </is>
      </c>
      <c r="K9801" t="inlineStr">
        <is>
          <t>N/A</t>
        </is>
      </c>
      <c r="L9801" t="inlineStr">
        <is>
          <t>Accounting knowledge, independent work, Japanese proficiency, Proactive Review, Responsibility</t>
        </is>
      </c>
      <c r="M9801" t="inlineStr">
        <is>
          <t>Paid Leave, Others</t>
        </is>
      </c>
      <c r="N9801" s="8">
        <f>HYPERLINK("https://www.vietnamworks.com/tong-vu-tieng-nhat-2021761-jv","Xem chi tiết")</f>
        <v/>
      </c>
    </row>
    <row r="9802">
      <c r="B9802" s="9" t="n">
        <v>9800</v>
      </c>
      <c r="C9802" s="10" t="inlineStr">
        <is>
          <t>Merchandiser Footwear Sourcing</t>
        </is>
      </c>
      <c r="D9802" s="10" t="inlineStr">
        <is>
          <t>Vigo Overseas Ltd.</t>
        </is>
      </c>
      <c r="E9802" s="10" t="inlineStr">
        <is>
          <t>19tr-25tr ₫/tháng</t>
        </is>
      </c>
      <c r="F9802" s="10" t="inlineStr">
        <is>
          <t>Hồ Chí Minh</t>
        </is>
      </c>
      <c r="G9802" s="10" t="inlineStr">
        <is>
          <t>Nhân viên</t>
        </is>
      </c>
      <c r="H9802" s="10" t="inlineStr">
        <is>
          <t>11/03/2026</t>
        </is>
      </c>
      <c r="I9802" s="10" t="inlineStr">
        <is>
          <t>10/04/2026</t>
        </is>
      </c>
      <c r="J9802" s="10" t="inlineStr">
        <is>
          <t>17/03/2026</t>
        </is>
      </c>
      <c r="K9802" s="10" t="inlineStr">
        <is>
          <t>N/A</t>
        </is>
      </c>
      <c r="L9802" s="10" t="inlineStr">
        <is>
          <t>Footwear Sourcing, Negotiation, Product Development, Supplier Management</t>
        </is>
      </c>
      <c r="M9802" s="10" t="inlineStr">
        <is>
          <t>Others</t>
        </is>
      </c>
      <c r="N9802" s="11">
        <f>HYPERLINK("https://www.vietnamworks.com/merchandiser-footwear-sourcing-2021765-jv","Xem chi tiết")</f>
        <v/>
      </c>
      <c r="O9802" s="10" t="n"/>
    </row>
    <row r="9803">
      <c r="B9803" s="7" t="n">
        <v>9801</v>
      </c>
      <c r="C9803" t="inlineStr">
        <is>
          <t>Nhân Viên Sales Admin</t>
        </is>
      </c>
      <c r="D9803" t="inlineStr">
        <is>
          <t>Công ty Cổ phần Khoa học công nghệ T&amp;T</t>
        </is>
      </c>
      <c r="E9803" t="inlineStr">
        <is>
          <t>10tr-15tr ₫/tháng</t>
        </is>
      </c>
      <c r="F9803" t="inlineStr">
        <is>
          <t>Hồ Chí Minh, Hà Nội</t>
        </is>
      </c>
      <c r="G9803" t="inlineStr">
        <is>
          <t>Nhân viên</t>
        </is>
      </c>
      <c r="H9803" t="inlineStr">
        <is>
          <t>11/03/2026</t>
        </is>
      </c>
      <c r="I9803" t="inlineStr">
        <is>
          <t>10/04/2026</t>
        </is>
      </c>
      <c r="J9803" t="inlineStr">
        <is>
          <t>17/03/2026</t>
        </is>
      </c>
      <c r="K9803" t="inlineStr">
        <is>
          <t>N/A</t>
        </is>
      </c>
      <c r="L9803" t="inlineStr">
        <is>
          <t>Sales Administration, Hỗ Trợ Kinh Doanh, Chăm Sóc Khách Hàng, Kinh Doanh, Sales Support</t>
        </is>
      </c>
      <c r="M9803" t="inlineStr">
        <is>
          <t>Bonus, Training, Travel Opportunities</t>
        </is>
      </c>
      <c r="N9803" s="8">
        <f>HYPERLINK("https://www.vietnamworks.com/nhan-vien-sales-admin--2021758-jv","Xem chi tiết")</f>
        <v/>
      </c>
    </row>
    <row r="9804">
      <c r="B9804" s="9" t="n">
        <v>9802</v>
      </c>
      <c r="C9804" s="10" t="inlineStr">
        <is>
          <t>Security Engineer (An Ninh Hệ Thống)</t>
        </is>
      </c>
      <c r="D9804" s="10" t="inlineStr">
        <is>
          <t>Công Ty Cổ Phần Kết Cấu Thép ATAD</t>
        </is>
      </c>
      <c r="E9804" s="10" t="inlineStr">
        <is>
          <t>25tr-30tr ₫/tháng</t>
        </is>
      </c>
      <c r="F9804" s="10" t="inlineStr">
        <is>
          <t>Hồ Chí Minh</t>
        </is>
      </c>
      <c r="G9804" s="10" t="inlineStr">
        <is>
          <t>Nhân viên</t>
        </is>
      </c>
      <c r="H9804" s="10" t="inlineStr">
        <is>
          <t>11/03/2026</t>
        </is>
      </c>
      <c r="I9804" s="10" t="inlineStr">
        <is>
          <t>10/04/2026</t>
        </is>
      </c>
      <c r="J9804" s="10" t="inlineStr">
        <is>
          <t>17/03/2026</t>
        </is>
      </c>
      <c r="K9804" s="10" t="inlineStr">
        <is>
          <t>N/A</t>
        </is>
      </c>
      <c r="L9804" s="10" t="inlineStr">
        <is>
          <t>Công Nghệ Thông Tin, Mạng máy tính, An Toàn Thông Tin, An Ninh Thông Tin, Network Security</t>
        </is>
      </c>
      <c r="M9804" s="10" t="inlineStr">
        <is>
          <t>Bonus, Paid Leave, Others</t>
        </is>
      </c>
      <c r="N9804" s="11">
        <f>HYPERLINK("https://www.vietnamworks.com/security-engineer-an-ninh-he-thong-2021743-jv","Xem chi tiết")</f>
        <v/>
      </c>
      <c r="O9804" s="10" t="n"/>
    </row>
    <row r="9805">
      <c r="B9805" s="7" t="n">
        <v>9803</v>
      </c>
      <c r="C9805" t="inlineStr">
        <is>
          <t>Chuyên Viên Thiết Kế Kỹ Thuật Cơ Khí</t>
        </is>
      </c>
      <c r="D9805" t="inlineStr">
        <is>
          <t>Hayat Việt Nam</t>
        </is>
      </c>
      <c r="E9805" t="inlineStr">
        <is>
          <t>Thương lượng</t>
        </is>
      </c>
      <c r="F9805" t="inlineStr">
        <is>
          <t>Bình Phước</t>
        </is>
      </c>
      <c r="G9805" t="inlineStr">
        <is>
          <t>Nhân viên</t>
        </is>
      </c>
      <c r="H9805" t="inlineStr">
        <is>
          <t>11/03/2026</t>
        </is>
      </c>
      <c r="I9805" t="inlineStr">
        <is>
          <t>10/04/2026</t>
        </is>
      </c>
      <c r="J9805" t="inlineStr">
        <is>
          <t>17/03/2026</t>
        </is>
      </c>
      <c r="K9805" t="inlineStr">
        <is>
          <t>N/A</t>
        </is>
      </c>
      <c r="L9805" t="inlineStr">
        <is>
          <t>AutoCAD 2D, Solidworks 3D, Mechanical, AutoCAD</t>
        </is>
      </c>
      <c r="M9805" t="inlineStr">
        <is>
          <t>Bonus, Healthcare Plan, Laptop</t>
        </is>
      </c>
      <c r="N9805" s="8">
        <f>HYPERLINK("https://www.vietnamworks.com/chuyen-vien-thiet-ke-ky-thuat-co-khi--2021712-jv","Xem chi tiết")</f>
        <v/>
      </c>
    </row>
    <row r="9806">
      <c r="B9806" s="9" t="n">
        <v>9804</v>
      </c>
      <c r="C9806" s="10" t="inlineStr">
        <is>
          <t>[HCM] Corporate Communications Executive (Branding)</t>
        </is>
      </c>
      <c r="D9806" s="10" t="inlineStr">
        <is>
          <t>Công Ty TNHH Aeon Việt Nam</t>
        </is>
      </c>
      <c r="E9806" s="10" t="inlineStr">
        <is>
          <t>Thương lượng</t>
        </is>
      </c>
      <c r="F9806" s="10" t="inlineStr">
        <is>
          <t>Hồ Chí Minh</t>
        </is>
      </c>
      <c r="G9806" s="10" t="inlineStr">
        <is>
          <t>Nhân viên</t>
        </is>
      </c>
      <c r="H9806" s="10" t="inlineStr">
        <is>
          <t>11/03/2026</t>
        </is>
      </c>
      <c r="I9806" s="10" t="inlineStr">
        <is>
          <t>10/04/2026</t>
        </is>
      </c>
      <c r="J9806" s="10" t="inlineStr">
        <is>
          <t>17/03/2026</t>
        </is>
      </c>
      <c r="K9806" s="10" t="inlineStr">
        <is>
          <t>N/A</t>
        </is>
      </c>
      <c r="L9806" s="10" t="inlineStr">
        <is>
          <t>Branding, Corporate Branding</t>
        </is>
      </c>
      <c r="M9806" s="10" t="inlineStr">
        <is>
          <t>Bonus, Healthcare Plan, Training</t>
        </is>
      </c>
      <c r="N9806" s="11">
        <f>HYPERLINK("https://www.vietnamworks.com/hcm-corporate-communications-executive-branding-2021769-jv","Xem chi tiết")</f>
        <v/>
      </c>
      <c r="O9806" s="10" t="n"/>
    </row>
    <row r="9807">
      <c r="B9807" s="7" t="n">
        <v>9805</v>
      </c>
      <c r="C9807" t="inlineStr">
        <is>
          <t>SAP (MM/ SD) Functional Consultant</t>
        </is>
      </c>
      <c r="D9807" t="inlineStr">
        <is>
          <t>FPT Software</t>
        </is>
      </c>
      <c r="E9807" t="inlineStr">
        <is>
          <t>Thương lượng</t>
        </is>
      </c>
      <c r="F9807" t="inlineStr">
        <is>
          <t>Hồ Chí Minh</t>
        </is>
      </c>
      <c r="G9807" t="inlineStr">
        <is>
          <t>Nhân viên</t>
        </is>
      </c>
      <c r="H9807" t="inlineStr">
        <is>
          <t>11/03/2026</t>
        </is>
      </c>
      <c r="I9807" t="inlineStr">
        <is>
          <t>10/04/2026</t>
        </is>
      </c>
      <c r="J9807" t="inlineStr">
        <is>
          <t>17/03/2026</t>
        </is>
      </c>
      <c r="K9807" t="inlineStr">
        <is>
          <t>N/A</t>
        </is>
      </c>
      <c r="L9807" t="inlineStr">
        <is>
          <t>SAP SD Function, Computer Science, IT Consulting, SAP Consulting, ERP</t>
        </is>
      </c>
      <c r="M9807" t="inlineStr">
        <is>
          <t>Bonus, Healthcare Plan, Training</t>
        </is>
      </c>
      <c r="N9807" s="8">
        <f>HYPERLINK("https://www.vietnamworks.com/sap-mm-sd-functional-consultant--2021759-jv","Xem chi tiết")</f>
        <v/>
      </c>
    </row>
    <row r="9808">
      <c r="B9808" s="9" t="n">
        <v>9806</v>
      </c>
      <c r="C9808" s="10" t="inlineStr">
        <is>
          <t>Marketing Coordinator</t>
        </is>
      </c>
      <c r="D9808" s="10" t="inlineStr">
        <is>
          <t>BMS Company Ltd</t>
        </is>
      </c>
      <c r="E9808" s="10" t="inlineStr">
        <is>
          <t>$$ 400-600 /tháng</t>
        </is>
      </c>
      <c r="F9808" s="10" t="inlineStr">
        <is>
          <t>Hồ Chí Minh</t>
        </is>
      </c>
      <c r="G9808" s="10" t="inlineStr">
        <is>
          <t>Mới Tốt Nghiệp</t>
        </is>
      </c>
      <c r="H9808" s="10" t="inlineStr">
        <is>
          <t>11/03/2026</t>
        </is>
      </c>
      <c r="I9808" s="10" t="inlineStr">
        <is>
          <t>10/04/2026</t>
        </is>
      </c>
      <c r="J9808" s="10" t="inlineStr">
        <is>
          <t>17/03/2026</t>
        </is>
      </c>
      <c r="K9808" s="10" t="inlineStr">
        <is>
          <t>N/A</t>
        </is>
      </c>
      <c r="L9808" s="10" t="inlineStr">
        <is>
          <t>English, Digital Marketing</t>
        </is>
      </c>
      <c r="M9808" s="10" t="inlineStr">
        <is>
          <t>Bonus, Others</t>
        </is>
      </c>
      <c r="N9808" s="11">
        <f>HYPERLINK("https://www.vietnamworks.com/marketing-coordinator--2021770-jv","Xem chi tiết")</f>
        <v/>
      </c>
      <c r="O9808" s="10" t="n"/>
    </row>
    <row r="9809">
      <c r="B9809" s="7" t="n">
        <v>9807</v>
      </c>
      <c r="C9809" t="inlineStr">
        <is>
          <t>Chuyên Viên Phát Triển Văn Hóa và Gắn Kết</t>
        </is>
      </c>
      <c r="D9809" t="inlineStr">
        <is>
          <t>GSM</t>
        </is>
      </c>
      <c r="E9809" t="inlineStr">
        <is>
          <t>$$ 800-1,000 /tháng</t>
        </is>
      </c>
      <c r="F9809" t="inlineStr">
        <is>
          <t>Hà Nội, Hồ Chí Minh</t>
        </is>
      </c>
      <c r="G9809" t="inlineStr">
        <is>
          <t>Nhân viên</t>
        </is>
      </c>
      <c r="H9809" t="inlineStr">
        <is>
          <t>11/03/2026</t>
        </is>
      </c>
      <c r="I9809" t="inlineStr">
        <is>
          <t>10/04/2026</t>
        </is>
      </c>
      <c r="J9809" t="inlineStr">
        <is>
          <t>17/03/2026</t>
        </is>
      </c>
      <c r="K9809" t="inlineStr">
        <is>
          <t>N/A</t>
        </is>
      </c>
      <c r="L9809" t="inlineStr">
        <is>
          <t>Phát triển văn hoá, Gắn Kết Nhân Viên, Đào Tạo</t>
        </is>
      </c>
      <c r="M9809" t="inlineStr">
        <is>
          <t>Bonus, Healthcare Plan, Training</t>
        </is>
      </c>
      <c r="N9809" s="8">
        <f>HYPERLINK("https://www.vietnamworks.com/chuyen-vien-phat-trien-van-hoa-va-gan-ket-2021762-jv","Xem chi tiết")</f>
        <v/>
      </c>
    </row>
    <row r="9810">
      <c r="B9810" s="9" t="n">
        <v>9808</v>
      </c>
      <c r="C9810" s="10" t="inlineStr">
        <is>
          <t>Senior SAP SD Consultant</t>
        </is>
      </c>
      <c r="D9810" s="10" t="inlineStr">
        <is>
          <t>FPT Software</t>
        </is>
      </c>
      <c r="E9810" s="10" t="inlineStr">
        <is>
          <t>Thương lượng</t>
        </is>
      </c>
      <c r="F9810" s="10" t="inlineStr">
        <is>
          <t>Hồ Chí Minh, Hà Nội</t>
        </is>
      </c>
      <c r="G9810" s="10" t="inlineStr">
        <is>
          <t>Nhân viên</t>
        </is>
      </c>
      <c r="H9810" s="10" t="inlineStr">
        <is>
          <t>11/03/2026</t>
        </is>
      </c>
      <c r="I9810" s="10" t="inlineStr">
        <is>
          <t>10/04/2026</t>
        </is>
      </c>
      <c r="J9810" s="10" t="inlineStr">
        <is>
          <t>17/03/2026</t>
        </is>
      </c>
      <c r="K9810" s="10" t="inlineStr">
        <is>
          <t>N/A</t>
        </is>
      </c>
      <c r="L9810" s="10" t="inlineStr">
        <is>
          <t>SAP SD Function, SAP, IT Phần Mềm, communication, Consulting</t>
        </is>
      </c>
      <c r="M9810" s="10" t="inlineStr">
        <is>
          <t>Bonus, Healthcare Plan, Training</t>
        </is>
      </c>
      <c r="N9810" s="11">
        <f>HYPERLINK("https://www.vietnamworks.com/senior-sap-sd-consultant--2021760-jv","Xem chi tiết")</f>
        <v/>
      </c>
      <c r="O9810" s="10" t="n"/>
    </row>
    <row r="9811">
      <c r="B9811" s="7" t="n">
        <v>9809</v>
      </c>
      <c r="C9811" t="inlineStr">
        <is>
          <t>CNC Manager</t>
        </is>
      </c>
      <c r="D9811" t="inlineStr">
        <is>
          <t>CÔNG TY TNHH TELEMONE (VIỆT NAM)</t>
        </is>
      </c>
      <c r="E9811" t="inlineStr">
        <is>
          <t>18tr-28tr ₫/tháng</t>
        </is>
      </c>
      <c r="F9811" t="inlineStr">
        <is>
          <t>Bắc Ninh</t>
        </is>
      </c>
      <c r="G9811" t="inlineStr">
        <is>
          <t>Trưởng phòng</t>
        </is>
      </c>
      <c r="H9811" t="inlineStr">
        <is>
          <t>11/03/2026</t>
        </is>
      </c>
      <c r="I9811" t="inlineStr">
        <is>
          <t>10/04/2026</t>
        </is>
      </c>
      <c r="J9811" t="inlineStr">
        <is>
          <t>17/03/2026</t>
        </is>
      </c>
      <c r="K9811" t="inlineStr">
        <is>
          <t>N/A</t>
        </is>
      </c>
      <c r="L9811" t="inlineStr">
        <is>
          <t>CNC Manufacturing, CNC Programming, Communication, Problem-solving, Team Management</t>
        </is>
      </c>
      <c r="M9811" t="inlineStr">
        <is>
          <t>Bonus, Healthcare Plan, Paid Leave, Training, Others</t>
        </is>
      </c>
      <c r="N9811" s="8">
        <f>HYPERLINK("https://www.vietnamworks.com/cnc-manager-2021776-jv","Xem chi tiết")</f>
        <v/>
      </c>
    </row>
    <row r="9812">
      <c r="B9812" s="9" t="n">
        <v>9810</v>
      </c>
      <c r="C9812" s="10" t="inlineStr">
        <is>
          <t>Trợ Lý Sản Xuất (Production Assistant)</t>
        </is>
      </c>
      <c r="D9812" s="10" t="inlineStr">
        <is>
          <t>CÔNG TY TNHH TELEMONE (VIỆT NAM)</t>
        </is>
      </c>
      <c r="E9812" s="10" t="inlineStr">
        <is>
          <t>12tr-20tr ₫/tháng</t>
        </is>
      </c>
      <c r="F9812" s="10" t="inlineStr">
        <is>
          <t>Bắc Ninh</t>
        </is>
      </c>
      <c r="G9812" s="10" t="inlineStr">
        <is>
          <t>Nhân viên</t>
        </is>
      </c>
      <c r="H9812" s="10" t="inlineStr">
        <is>
          <t>11/03/2026</t>
        </is>
      </c>
      <c r="I9812" s="10" t="inlineStr">
        <is>
          <t>10/04/2026</t>
        </is>
      </c>
      <c r="J9812" s="10" t="inlineStr">
        <is>
          <t>17/03/2026</t>
        </is>
      </c>
      <c r="K9812" s="10" t="inlineStr">
        <is>
          <t>N/A</t>
        </is>
      </c>
      <c r="L9812" s="10" t="inlineStr">
        <is>
          <t>Kỹ năng giao tiếp, Làm Việc Nhóm, Quản Lý Thời Gian, Sẵn Sàng Học Hỏi, Tiếng Trung</t>
        </is>
      </c>
      <c r="M9812" s="10" t="inlineStr">
        <is>
          <t>Bonus, Healthcare Plan, Training, Team Activities</t>
        </is>
      </c>
      <c r="N9812" s="11">
        <f>HYPERLINK("https://www.vietnamworks.com/tro-ly-san-xuat-production-assistant-2021777-jv","Xem chi tiết")</f>
        <v/>
      </c>
      <c r="O9812" s="10" t="n"/>
    </row>
    <row r="9813">
      <c r="B9813" s="7" t="n">
        <v>9811</v>
      </c>
      <c r="C9813" t="inlineStr">
        <is>
          <t>Ecommerce Marketing Manager</t>
        </is>
      </c>
      <c r="D9813" t="inlineStr">
        <is>
          <t>REDFERN DIGITAL COMPANY LIMITED</t>
        </is>
      </c>
      <c r="E9813" t="inlineStr">
        <is>
          <t>40tr-50tr ₫/tháng</t>
        </is>
      </c>
      <c r="F9813" t="inlineStr">
        <is>
          <t>Quốc tế</t>
        </is>
      </c>
      <c r="G9813" t="inlineStr">
        <is>
          <t>Trưởng phòng</t>
        </is>
      </c>
      <c r="H9813" t="inlineStr">
        <is>
          <t>11/03/2026</t>
        </is>
      </c>
      <c r="I9813" t="inlineStr">
        <is>
          <t>10/04/2026</t>
        </is>
      </c>
      <c r="J9813" t="inlineStr">
        <is>
          <t>17/03/2026</t>
        </is>
      </c>
      <c r="K9813" t="inlineStr">
        <is>
          <t>N/A</t>
        </is>
      </c>
      <c r="L9813" t="inlineStr">
        <is>
          <t>Campaign Management, Ecommerce Optimization, Influencer &amp; KOL Management, Project Operations, Strategic Marketing</t>
        </is>
      </c>
      <c r="M9813" t="inlineStr">
        <is>
          <t>Others</t>
        </is>
      </c>
      <c r="N9813" s="8">
        <f>HYPERLINK("https://www.vietnamworks.com/ecommerce-marketing-manager-2021771-jv","Xem chi tiết")</f>
        <v/>
      </c>
    </row>
    <row r="9814">
      <c r="B9814" s="9" t="n">
        <v>9812</v>
      </c>
      <c r="C9814" s="10" t="inlineStr">
        <is>
          <t>Quality Manager</t>
        </is>
      </c>
      <c r="D9814" s="10" t="inlineStr">
        <is>
          <t>AkzoNobel Vietnam</t>
        </is>
      </c>
      <c r="E9814" s="10" t="inlineStr">
        <is>
          <t>Thương lượng</t>
        </is>
      </c>
      <c r="F9814" s="10" t="inlineStr">
        <is>
          <t>Bắc Ninh</t>
        </is>
      </c>
      <c r="G9814" s="10" t="inlineStr">
        <is>
          <t>Trưởng phòng</t>
        </is>
      </c>
      <c r="H9814" s="10" t="inlineStr">
        <is>
          <t>11/03/2026</t>
        </is>
      </c>
      <c r="I9814" s="10" t="inlineStr">
        <is>
          <t>10/04/2026</t>
        </is>
      </c>
      <c r="J9814" s="10" t="inlineStr">
        <is>
          <t>17/03/2026</t>
        </is>
      </c>
      <c r="K9814" s="10" t="inlineStr">
        <is>
          <t>N/A</t>
        </is>
      </c>
      <c r="L9814" s="10" t="inlineStr">
        <is>
          <t>ISO, Quality Assurance, Quality Management, Chemical, QA/QC experience</t>
        </is>
      </c>
      <c r="M9814" s="10" t="inlineStr">
        <is>
          <t>Bonus, Healthcare Plan, Paid Leave</t>
        </is>
      </c>
      <c r="N9814" s="11">
        <f>HYPERLINK("https://www.vietnamworks.com/quality-manager-2021774-jv","Xem chi tiết")</f>
        <v/>
      </c>
      <c r="O9814" s="10" t="n"/>
    </row>
    <row r="9815">
      <c r="B9815" s="7" t="n">
        <v>9813</v>
      </c>
      <c r="C9815" t="inlineStr">
        <is>
          <t>Kỹ Sư Thiết Kế Cơ Khí</t>
        </is>
      </c>
      <c r="D9815" t="inlineStr">
        <is>
          <t>CÔNG TY CỔ PHẦN SẢN XUẤT VÀ KINH DOANH VIPEV</t>
        </is>
      </c>
      <c r="E9815" t="inlineStr">
        <is>
          <t>Thương lượng</t>
        </is>
      </c>
      <c r="F9815" t="inlineStr">
        <is>
          <t>Hải Phòng</t>
        </is>
      </c>
      <c r="G9815" t="inlineStr">
        <is>
          <t>Nhân viên</t>
        </is>
      </c>
      <c r="H9815" t="inlineStr">
        <is>
          <t>11/03/2026</t>
        </is>
      </c>
      <c r="I9815" t="inlineStr">
        <is>
          <t>10/04/2026</t>
        </is>
      </c>
      <c r="J9815" t="inlineStr">
        <is>
          <t>17/03/2026</t>
        </is>
      </c>
      <c r="K9815" t="inlineStr">
        <is>
          <t>N/A</t>
        </is>
      </c>
      <c r="L9815" t="inlineStr">
        <is>
          <t>AutoCAD, Inventor 3D, Thiết Kế Kết Cấu Thép, Thiết Kế Jig</t>
        </is>
      </c>
      <c r="M9815" t="inlineStr">
        <is>
          <t>Bonus, Healthcare Plan, Others</t>
        </is>
      </c>
      <c r="N9815" s="8">
        <f>HYPERLINK("https://www.vietnamworks.com/ky-su-thiet-ke-co-khi-2021797-jv","Xem chi tiết")</f>
        <v/>
      </c>
    </row>
    <row r="9816">
      <c r="B9816" s="9" t="n">
        <v>9814</v>
      </c>
      <c r="C9816" s="10" t="inlineStr">
        <is>
          <t>Architect Intern Sketchup/render D5</t>
        </is>
      </c>
      <c r="D9816" s="10" t="inlineStr">
        <is>
          <t>Pyra Ixi</t>
        </is>
      </c>
      <c r="E9816" s="10" t="inlineStr">
        <is>
          <t>$$ 100-150 /tháng</t>
        </is>
      </c>
      <c r="F9816" s="10" t="inlineStr">
        <is>
          <t>Hồ Chí Minh</t>
        </is>
      </c>
      <c r="G9816" s="10" t="inlineStr">
        <is>
          <t>Thực tập sinh/Sinh viên</t>
        </is>
      </c>
      <c r="H9816" s="10" t="inlineStr">
        <is>
          <t>11/03/2026</t>
        </is>
      </c>
      <c r="I9816" s="10" t="inlineStr">
        <is>
          <t>10/04/2026</t>
        </is>
      </c>
      <c r="J9816" s="10" t="inlineStr">
        <is>
          <t>17/03/2026</t>
        </is>
      </c>
      <c r="K9816" s="10" t="inlineStr">
        <is>
          <t>N/A</t>
        </is>
      </c>
      <c r="L9816" s="10" t="inlineStr">
        <is>
          <t>Sketchup, D5 Render, 3D Visualization, Interior Design, Rendering</t>
        </is>
      </c>
      <c r="M9816" s="10" t="inlineStr">
        <is>
          <t>Training, Others</t>
        </is>
      </c>
      <c r="N9816" s="11">
        <f>HYPERLINK("https://www.vietnamworks.com/architect-intern-sketchup-render-d5--2021782-jv","Xem chi tiết")</f>
        <v/>
      </c>
      <c r="O9816" s="10" t="n"/>
    </row>
    <row r="9817">
      <c r="B9817" s="7" t="n">
        <v>9815</v>
      </c>
      <c r="C9817" t="inlineStr">
        <is>
          <t>Product And Contracting Executive</t>
        </is>
      </c>
      <c r="D9817" t="inlineStr">
        <is>
          <t>Terraverde Travel</t>
        </is>
      </c>
      <c r="E9817" t="inlineStr">
        <is>
          <t>Thương lượng</t>
        </is>
      </c>
      <c r="F9817" t="inlineStr">
        <is>
          <t>Hồ Chí Minh</t>
        </is>
      </c>
      <c r="G9817" t="inlineStr">
        <is>
          <t>Nhân viên</t>
        </is>
      </c>
      <c r="H9817" t="inlineStr">
        <is>
          <t>11/03/2026</t>
        </is>
      </c>
      <c r="I9817" t="inlineStr">
        <is>
          <t>10/04/2026</t>
        </is>
      </c>
      <c r="J9817" t="inlineStr">
        <is>
          <t>17/03/2026</t>
        </is>
      </c>
      <c r="K9817" t="inlineStr">
        <is>
          <t>N/A</t>
        </is>
      </c>
      <c r="L9817" t="inlineStr">
        <is>
          <t>Contracting, Travel product management, Travel, Tour operator</t>
        </is>
      </c>
      <c r="M9817" t="inlineStr">
        <is>
          <t>Bonus, Healthcare Plan, Paid Leave, Training, Laptop, Team Activities, Transportation, Others</t>
        </is>
      </c>
      <c r="N9817" s="8">
        <f>HYPERLINK("https://www.vietnamworks.com/product-and-contracting-executive-2021781-jv","Xem chi tiết")</f>
        <v/>
      </c>
    </row>
    <row r="9818">
      <c r="B9818" s="9" t="n">
        <v>9816</v>
      </c>
      <c r="C9818" s="10" t="inlineStr">
        <is>
          <t>Accounting Assistant/ Trợ Lý Kế Toán - Work in Nui Thanh, Da Nang (Huyện Núi Thành, Tỉnh Quảng Nam Cũ)</t>
        </is>
      </c>
      <c r="D9818" s="10" t="inlineStr">
        <is>
          <t>Công Ty TNHH CCI Việt Nam</t>
        </is>
      </c>
      <c r="E9818" s="10" t="inlineStr">
        <is>
          <t>Thương lượng</t>
        </is>
      </c>
      <c r="F9818" s="10" t="inlineStr">
        <is>
          <t>Đà Nẵng</t>
        </is>
      </c>
      <c r="G9818" s="10" t="inlineStr">
        <is>
          <t>Nhân viên</t>
        </is>
      </c>
      <c r="H9818" s="10" t="inlineStr">
        <is>
          <t>11/03/2026</t>
        </is>
      </c>
      <c r="I9818" s="10" t="inlineStr">
        <is>
          <t>10/04/2026</t>
        </is>
      </c>
      <c r="J9818" s="10" t="inlineStr">
        <is>
          <t>17/03/2026</t>
        </is>
      </c>
      <c r="K9818" s="10" t="inlineStr">
        <is>
          <t>N/A</t>
        </is>
      </c>
      <c r="L9818" s="10" t="inlineStr">
        <is>
          <t>Financial Reporting, Audit Management, Accounting Standards, Accountant, English</t>
        </is>
      </c>
      <c r="M9818" s="10" t="inlineStr">
        <is>
          <t>Bonus, Healthcare Plan, Paid Leave</t>
        </is>
      </c>
      <c r="N9818" s="11">
        <f>HYPERLINK("https://www.vietnamworks.com/accounting-assistant-tro-ly-ke-toan-work-in-nui-thanh-da-nang-huyen-nui-thanh-tinh-quang-nam-cu-2021792-jv","Xem chi tiết")</f>
        <v/>
      </c>
      <c r="O9818" s="10" t="n"/>
    </row>
    <row r="9819">
      <c r="B9819" s="7" t="n">
        <v>9817</v>
      </c>
      <c r="C9819" t="inlineStr">
        <is>
          <t>Sales Director Enterprise IT Solutions</t>
        </is>
      </c>
      <c r="D9819" t="inlineStr">
        <is>
          <t>IGS Group Vietnam Company Limited</t>
        </is>
      </c>
      <c r="E9819" t="inlineStr">
        <is>
          <t>Thương lượng</t>
        </is>
      </c>
      <c r="F9819" t="inlineStr">
        <is>
          <t>Hà Nội</t>
        </is>
      </c>
      <c r="G9819" t="inlineStr">
        <is>
          <t>Giám Đốc và Cấp Cao Hơn</t>
        </is>
      </c>
      <c r="H9819" t="inlineStr">
        <is>
          <t>11/03/2026</t>
        </is>
      </c>
      <c r="I9819" t="inlineStr">
        <is>
          <t>10/04/2026</t>
        </is>
      </c>
      <c r="J9819" t="inlineStr">
        <is>
          <t>17/03/2026</t>
        </is>
      </c>
      <c r="K9819" t="inlineStr">
        <is>
          <t>N/A</t>
        </is>
      </c>
      <c r="L9819" t="inlineStr">
        <is>
          <t>B2B Sales, Business Development, English, Forecasting, Sales Strategy</t>
        </is>
      </c>
      <c r="M9819" t="inlineStr">
        <is>
          <t>Bonus, Training, Travel Opportunities, Team Activities</t>
        </is>
      </c>
      <c r="N9819" s="8">
        <f>HYPERLINK("https://www.vietnamworks.com/sales-director-enterprise-it-solutions-2021789-jv","Xem chi tiết")</f>
        <v/>
      </c>
    </row>
    <row r="9820">
      <c r="B9820" s="9" t="n">
        <v>9818</v>
      </c>
      <c r="C9820" s="10" t="inlineStr">
        <is>
          <t>Post-Tensioning Structural Design Engineer | Kỹ Sư Thiết Kế</t>
        </is>
      </c>
      <c r="D9820" s="10" t="inlineStr">
        <is>
          <t>Công Ty TNHH Enspan (Vietnam)</t>
        </is>
      </c>
      <c r="E9820" s="10" t="inlineStr">
        <is>
          <t>Thương lượng</t>
        </is>
      </c>
      <c r="F9820" s="10" t="inlineStr">
        <is>
          <t>Hà Nội, Hồ Chí Minh</t>
        </is>
      </c>
      <c r="G9820" s="10" t="inlineStr">
        <is>
          <t>Nhân viên</t>
        </is>
      </c>
      <c r="H9820" s="10" t="inlineStr">
        <is>
          <t>11/03/2026</t>
        </is>
      </c>
      <c r="I9820" s="10" t="inlineStr">
        <is>
          <t>10/04/2026</t>
        </is>
      </c>
      <c r="J9820" s="10" t="inlineStr">
        <is>
          <t>17/03/2026</t>
        </is>
      </c>
      <c r="K9820" s="10" t="inlineStr">
        <is>
          <t>N/A</t>
        </is>
      </c>
      <c r="L9820" s="10" t="inlineStr">
        <is>
          <t>AutoCAD, Structural Design, Reinforced Concrete, Adobe, English</t>
        </is>
      </c>
      <c r="M9820" s="10" t="inlineStr">
        <is>
          <t>Bonus, Paid Leave, Training</t>
        </is>
      </c>
      <c r="N9820" s="11">
        <f>HYPERLINK("https://www.vietnamworks.com/post-tensioning-structural-design-engineer-ky-su-thiet-ke--2021779-jv","Xem chi tiết")</f>
        <v/>
      </c>
      <c r="O9820" s="10" t="n"/>
    </row>
    <row r="9821">
      <c r="B9821" s="7" t="n">
        <v>9819</v>
      </c>
      <c r="C9821" t="inlineStr">
        <is>
          <t>Products Designer</t>
        </is>
      </c>
      <c r="D9821" t="inlineStr">
        <is>
          <t>Công ty Cổ Phần Takara Belmont Cosmetics</t>
        </is>
      </c>
      <c r="E9821" t="inlineStr">
        <is>
          <t>10tr-15tr ₫/tháng</t>
        </is>
      </c>
      <c r="F9821" t="inlineStr">
        <is>
          <t>Hồ Chí Minh</t>
        </is>
      </c>
      <c r="G9821" t="inlineStr">
        <is>
          <t>Nhân viên</t>
        </is>
      </c>
      <c r="H9821" t="inlineStr">
        <is>
          <t>11/03/2026</t>
        </is>
      </c>
      <c r="I9821" t="inlineStr">
        <is>
          <t>10/04/2026</t>
        </is>
      </c>
      <c r="J9821" t="inlineStr">
        <is>
          <t>17/03/2026</t>
        </is>
      </c>
      <c r="K9821" t="inlineStr">
        <is>
          <t>N/A</t>
        </is>
      </c>
      <c r="L9821" t="inlineStr">
        <is>
          <t>Product Design, 3D Modeling, Graphic Design, Industrial Design, Packaging Design</t>
        </is>
      </c>
      <c r="M9821" t="inlineStr">
        <is>
          <t>Bonus, Awards, Travel Opportunities</t>
        </is>
      </c>
      <c r="N9821" s="8">
        <f>HYPERLINK("https://www.vietnamworks.com/products-designer-2021794-jv","Xem chi tiết")</f>
        <v/>
      </c>
    </row>
    <row r="9822">
      <c r="B9822" s="9" t="n">
        <v>9820</v>
      </c>
      <c r="C9822" s="10" t="inlineStr">
        <is>
          <t>Accounting Executive (7-Month contract)</t>
        </is>
      </c>
      <c r="D9822" s="10" t="inlineStr">
        <is>
          <t>MSIG Insurance (Vietnam) Co., Ltd.</t>
        </is>
      </c>
      <c r="E9822" s="10" t="inlineStr">
        <is>
          <t>Thương lượng</t>
        </is>
      </c>
      <c r="F9822" s="10" t="inlineStr">
        <is>
          <t>Hồ Chí Minh</t>
        </is>
      </c>
      <c r="G9822" s="10" t="inlineStr">
        <is>
          <t>Nhân viên</t>
        </is>
      </c>
      <c r="H9822" s="10" t="inlineStr">
        <is>
          <t>11/03/2026</t>
        </is>
      </c>
      <c r="I9822" s="10" t="inlineStr">
        <is>
          <t>10/04/2026</t>
        </is>
      </c>
      <c r="J9822" s="10" t="inlineStr">
        <is>
          <t>17/03/2026</t>
        </is>
      </c>
      <c r="K9822" s="10" t="inlineStr">
        <is>
          <t>N/A</t>
        </is>
      </c>
      <c r="L9822" s="10" t="inlineStr">
        <is>
          <t>Accountant, Accounting, Tax Accounting, Tax Declaration, E-Invoice</t>
        </is>
      </c>
      <c r="M9822" s="10" t="inlineStr">
        <is>
          <t>Paid Leave, Travel Opportunities, Others</t>
        </is>
      </c>
      <c r="N9822" s="11">
        <f>HYPERLINK("https://www.vietnamworks.com/accounting-executive-7-month-contract--2021786-jv","Xem chi tiết")</f>
        <v/>
      </c>
      <c r="O9822" s="10" t="n"/>
    </row>
    <row r="9823">
      <c r="B9823" s="7" t="n">
        <v>9821</v>
      </c>
      <c r="C9823" t="inlineStr">
        <is>
          <t>Chuyên Viên Đấu Thầu (Tender Specialist)</t>
        </is>
      </c>
      <c r="D9823" t="inlineStr">
        <is>
          <t>Công Ty TNHH Dược Phẩm New Far East</t>
        </is>
      </c>
      <c r="E9823" t="inlineStr">
        <is>
          <t>Thương lượng</t>
        </is>
      </c>
      <c r="F9823" t="inlineStr">
        <is>
          <t>Hồ Chí Minh</t>
        </is>
      </c>
      <c r="G9823" t="inlineStr">
        <is>
          <t>Nhân viên</t>
        </is>
      </c>
      <c r="H9823" t="inlineStr">
        <is>
          <t>11/03/2026</t>
        </is>
      </c>
      <c r="I9823" t="inlineStr">
        <is>
          <t>10/04/2026</t>
        </is>
      </c>
      <c r="J9823" t="inlineStr">
        <is>
          <t>17/03/2026</t>
        </is>
      </c>
      <c r="K9823" t="inlineStr">
        <is>
          <t>N/A</t>
        </is>
      </c>
      <c r="L9823" t="inlineStr">
        <is>
          <t>Đấu Thầu, Soạn Thảo Hồ Sơ, Quản Lý Hợp Đồng, Luật Đấu Thầu, Đàm Phán</t>
        </is>
      </c>
      <c r="M9823" t="inlineStr">
        <is>
          <t>Bonus, Healthcare Plan, Team Activities</t>
        </is>
      </c>
      <c r="N9823" s="8">
        <f>HYPERLINK("https://www.vietnamworks.com/chuyen-vien-dau-thau-tender-specialist--2021788-jv","Xem chi tiết")</f>
        <v/>
      </c>
    </row>
    <row r="9824">
      <c r="B9824" s="9" t="n">
        <v>9822</v>
      </c>
      <c r="C9824" s="10" t="inlineStr">
        <is>
          <t>Chuyên Viên Thiết Kế - Quy Hoạch</t>
        </is>
      </c>
      <c r="D9824" s="10" t="inlineStr">
        <is>
          <t>Ha Tang Do Thi Corporation</t>
        </is>
      </c>
      <c r="E9824" s="10" t="inlineStr">
        <is>
          <t>Thương lượng</t>
        </is>
      </c>
      <c r="F9824" s="10" t="inlineStr">
        <is>
          <t>Hà Nội</t>
        </is>
      </c>
      <c r="G9824" s="10" t="inlineStr">
        <is>
          <t>Mới Tốt Nghiệp</t>
        </is>
      </c>
      <c r="H9824" s="10" t="inlineStr">
        <is>
          <t>11/03/2026</t>
        </is>
      </c>
      <c r="I9824" s="10" t="inlineStr">
        <is>
          <t>10/04/2026</t>
        </is>
      </c>
      <c r="J9824" s="10" t="inlineStr">
        <is>
          <t>17/03/2026</t>
        </is>
      </c>
      <c r="K9824" s="10" t="inlineStr">
        <is>
          <t>N/A</t>
        </is>
      </c>
      <c r="L9824" s="10" t="inlineStr">
        <is>
          <t>AutoCAD, Ms Project, Quản Lý Thiết Kế, Quản Lý Tiến Độ Dự Án, Thiết Kế Quy Hoạch</t>
        </is>
      </c>
      <c r="M9824" s="10" t="inlineStr">
        <is>
          <t>Healthcare Plan, Training, Awards, Team Activities, Canteen, Others</t>
        </is>
      </c>
      <c r="N9824" s="11">
        <f>HYPERLINK("https://www.vietnamworks.com/chuyen-vien-thiet-ke-quy-hoach-2021796-jv","Xem chi tiết")</f>
        <v/>
      </c>
      <c r="O9824" s="10" t="n"/>
    </row>
    <row r="9825">
      <c r="B9825" s="7" t="n">
        <v>9823</v>
      </c>
      <c r="C9825" t="inlineStr">
        <is>
          <t>Assistant Planning Manager</t>
        </is>
      </c>
      <c r="D9825" t="inlineStr">
        <is>
          <t>Sharkninja Vietnam</t>
        </is>
      </c>
      <c r="E9825" t="inlineStr">
        <is>
          <t>Thương lượng</t>
        </is>
      </c>
      <c r="F9825" t="inlineStr">
        <is>
          <t>Hà Nội</t>
        </is>
      </c>
      <c r="G9825" t="inlineStr">
        <is>
          <t>Nhân viên</t>
        </is>
      </c>
      <c r="H9825" t="inlineStr">
        <is>
          <t>11/03/2026</t>
        </is>
      </c>
      <c r="I9825" t="inlineStr">
        <is>
          <t>10/04/2026</t>
        </is>
      </c>
      <c r="J9825" t="inlineStr">
        <is>
          <t>17/03/2026</t>
        </is>
      </c>
      <c r="K9825" t="inlineStr">
        <is>
          <t>N/A</t>
        </is>
      </c>
      <c r="L9825" t="inlineStr">
        <is>
          <t>Capacity Planning, Demand Management, English Communication, Inventory Control, Supply Chain Management</t>
        </is>
      </c>
      <c r="M9825" t="inlineStr">
        <is>
          <t>Bonus, Healthcare Plan, Training</t>
        </is>
      </c>
      <c r="N9825" s="8">
        <f>HYPERLINK("https://www.vietnamworks.com/assistant-planning-manager-2021784-jv","Xem chi tiết")</f>
        <v/>
      </c>
    </row>
    <row r="9826">
      <c r="B9826" s="9" t="n">
        <v>9824</v>
      </c>
      <c r="C9826" s="10" t="inlineStr">
        <is>
          <t>Sales Engineer (Industrial Sector, Technical Field)</t>
        </is>
      </c>
      <c r="D9826" s="10" t="inlineStr">
        <is>
          <t>Spraying Systems (Vietnam) Co. Ltd.</t>
        </is>
      </c>
      <c r="E9826" s="10" t="inlineStr">
        <is>
          <t>$$ 800-1,100 /tháng</t>
        </is>
      </c>
      <c r="F9826" s="10" t="inlineStr">
        <is>
          <t>Hồ Chí Minh</t>
        </is>
      </c>
      <c r="G9826" s="10" t="inlineStr">
        <is>
          <t>Nhân viên</t>
        </is>
      </c>
      <c r="H9826" s="10" t="inlineStr">
        <is>
          <t>11/03/2026</t>
        </is>
      </c>
      <c r="I9826" s="10" t="inlineStr">
        <is>
          <t>10/04/2026</t>
        </is>
      </c>
      <c r="J9826" s="10" t="inlineStr">
        <is>
          <t>17/03/2026</t>
        </is>
      </c>
      <c r="K9826" s="10" t="inlineStr">
        <is>
          <t>N/A</t>
        </is>
      </c>
      <c r="L9826" s="10" t="inlineStr">
        <is>
          <t>Sales Engineering, Bán Hàng, Kinh Doanh, Tiếng Anh, Industrial Sales</t>
        </is>
      </c>
      <c r="M9826" s="10" t="inlineStr">
        <is>
          <t>Bonus, Healthcare Plan, Others</t>
        </is>
      </c>
      <c r="N9826" s="11">
        <f>HYPERLINK("https://www.vietnamworks.com/sales-engineer-industrial-sector-technical-field-2021809-jv","Xem chi tiết")</f>
        <v/>
      </c>
      <c r="O9826" s="10" t="n"/>
    </row>
    <row r="9827">
      <c r="B9827" s="7" t="n">
        <v>9825</v>
      </c>
      <c r="C9827" t="inlineStr">
        <is>
          <t>Product And Contracting Supervisor</t>
        </is>
      </c>
      <c r="D9827" t="inlineStr">
        <is>
          <t>Terraverde Travel</t>
        </is>
      </c>
      <c r="E9827" t="inlineStr">
        <is>
          <t>Thương lượng</t>
        </is>
      </c>
      <c r="F9827" t="inlineStr">
        <is>
          <t>Hồ Chí Minh</t>
        </is>
      </c>
      <c r="G9827" t="inlineStr">
        <is>
          <t>Trưởng phòng</t>
        </is>
      </c>
      <c r="H9827" t="inlineStr">
        <is>
          <t>11/03/2026</t>
        </is>
      </c>
      <c r="I9827" t="inlineStr">
        <is>
          <t>10/04/2026</t>
        </is>
      </c>
      <c r="J9827" t="inlineStr">
        <is>
          <t>17/03/2026</t>
        </is>
      </c>
      <c r="K9827" t="inlineStr">
        <is>
          <t>N/A</t>
        </is>
      </c>
      <c r="L9827" t="inlineStr">
        <is>
          <t>Travel Product Design, Destination Management, Tour Operation, Travel Management</t>
        </is>
      </c>
      <c r="M9827" t="inlineStr">
        <is>
          <t>Bonus, Healthcare Plan, Paid Leave, Laptop, Team Activities, Others</t>
        </is>
      </c>
      <c r="N9827" s="8">
        <f>HYPERLINK("https://www.vietnamworks.com/product-and-contracting-supervisor-2021800-jv","Xem chi tiết")</f>
        <v/>
      </c>
    </row>
    <row r="9828">
      <c r="B9828" s="9" t="n">
        <v>9826</v>
      </c>
      <c r="C9828" s="10" t="inlineStr">
        <is>
          <t>Nhân Viên IT</t>
        </is>
      </c>
      <c r="D9828" s="10" t="inlineStr">
        <is>
          <t>Công Ty Cổ Phần Hanel Xốp Nhựa</t>
        </is>
      </c>
      <c r="E9828" s="10" t="inlineStr">
        <is>
          <t>Thương lượng</t>
        </is>
      </c>
      <c r="F9828" s="10" t="inlineStr">
        <is>
          <t>Hà Nội</t>
        </is>
      </c>
      <c r="G9828" s="10" t="inlineStr">
        <is>
          <t>Nhân viên</t>
        </is>
      </c>
      <c r="H9828" s="10" t="inlineStr">
        <is>
          <t>11/03/2026</t>
        </is>
      </c>
      <c r="I9828" s="10" t="inlineStr">
        <is>
          <t>10/04/2026</t>
        </is>
      </c>
      <c r="J9828" s="10" t="inlineStr">
        <is>
          <t>17/03/2026</t>
        </is>
      </c>
      <c r="K9828" s="10" t="inlineStr">
        <is>
          <t>N/A</t>
        </is>
      </c>
      <c r="L9828" s="10" t="inlineStr">
        <is>
          <t>Bảo Mật Thông Tin, Công Nghệ Thông Tin, LAN, Quản Trị Hệ Thống, WiFi Technologies</t>
        </is>
      </c>
      <c r="M9828" s="10" t="inlineStr">
        <is>
          <t>Bonus, Healthcare Plan, Awards, Travel Opportunities, Others</t>
        </is>
      </c>
      <c r="N9828" s="11">
        <f>HYPERLINK("https://www.vietnamworks.com/nhan-vien-it-2021805-jv","Xem chi tiết")</f>
        <v/>
      </c>
      <c r="O9828" s="10" t="n"/>
    </row>
    <row r="9829">
      <c r="B9829" s="7" t="n">
        <v>9827</v>
      </c>
      <c r="C9829" t="inlineStr">
        <is>
          <t>Tổ Trưởng Sản Xuất</t>
        </is>
      </c>
      <c r="D9829" t="inlineStr">
        <is>
          <t>Masan Consumer Holdings</t>
        </is>
      </c>
      <c r="E9829" t="inlineStr">
        <is>
          <t>Từ $ 600 /tháng</t>
        </is>
      </c>
      <c r="F9829" t="inlineStr">
        <is>
          <t>Hải Dương</t>
        </is>
      </c>
      <c r="G9829" t="inlineStr">
        <is>
          <t>Nhân viên</t>
        </is>
      </c>
      <c r="H9829" t="inlineStr">
        <is>
          <t>11/03/2026</t>
        </is>
      </c>
      <c r="I9829" t="inlineStr">
        <is>
          <t>10/04/2026</t>
        </is>
      </c>
      <c r="J9829" t="inlineStr">
        <is>
          <t>17/03/2026</t>
        </is>
      </c>
      <c r="K9829" t="inlineStr">
        <is>
          <t>N/A</t>
        </is>
      </c>
      <c r="L9829" t="inlineStr">
        <is>
          <t>Quản Lý Sản Xuất, Production Planning, Production Management, Leadership, Production</t>
        </is>
      </c>
      <c r="M9829" t="inlineStr">
        <is>
          <t>Bonus, Laptop, Others</t>
        </is>
      </c>
      <c r="N9829" s="8">
        <f>HYPERLINK("https://www.vietnamworks.com/to-truong-san-xuat--2021798-jv","Xem chi tiết")</f>
        <v/>
      </c>
    </row>
    <row r="9830">
      <c r="B9830" s="9" t="n">
        <v>9828</v>
      </c>
      <c r="C9830" s="10" t="inlineStr">
        <is>
          <t>Kỹ Sư Điện &amp; Tự Động Hoá</t>
        </is>
      </c>
      <c r="D9830" s="10" t="inlineStr">
        <is>
          <t>Masan Consumer Holdings</t>
        </is>
      </c>
      <c r="E9830" s="10" t="inlineStr">
        <is>
          <t>Từ $ 800 /tháng</t>
        </is>
      </c>
      <c r="F9830" s="10" t="inlineStr">
        <is>
          <t>Hải Dương</t>
        </is>
      </c>
      <c r="G9830" s="10" t="inlineStr">
        <is>
          <t>Nhân viên</t>
        </is>
      </c>
      <c r="H9830" s="10" t="inlineStr">
        <is>
          <t>11/03/2026</t>
        </is>
      </c>
      <c r="I9830" s="10" t="inlineStr">
        <is>
          <t>10/04/2026</t>
        </is>
      </c>
      <c r="J9830" s="10" t="inlineStr">
        <is>
          <t>17/03/2026</t>
        </is>
      </c>
      <c r="K9830" s="10" t="inlineStr">
        <is>
          <t>N/A</t>
        </is>
      </c>
      <c r="L9830" s="10" t="inlineStr">
        <is>
          <t>Tự Động Hóa, Tự Động Hóa Thiết Bị, Cơ Điện Tử, AutoCAD, Cơ Khí</t>
        </is>
      </c>
      <c r="M9830" s="10" t="inlineStr">
        <is>
          <t>Bonus, Laptop, Others</t>
        </is>
      </c>
      <c r="N9830" s="11">
        <f>HYPERLINK("https://www.vietnamworks.com/ky-su-dien-tu-dong-hoa--2021790-jv","Xem chi tiết")</f>
        <v/>
      </c>
      <c r="O9830" s="10" t="n"/>
    </row>
    <row r="9831">
      <c r="B9831" s="7" t="n">
        <v>9829</v>
      </c>
      <c r="C9831" t="inlineStr">
        <is>
          <t>Kế Toán Tổng Hợp</t>
        </is>
      </c>
      <c r="D9831" t="inlineStr">
        <is>
          <t>CÔNG TY TNHH CÔNG NGHỆ ARIZON (VIỆT NAM)</t>
        </is>
      </c>
      <c r="E9831" t="inlineStr">
        <is>
          <t>Thương lượng</t>
        </is>
      </c>
      <c r="F9831" t="inlineStr">
        <is>
          <t>Hưng Yên</t>
        </is>
      </c>
      <c r="G9831" t="inlineStr">
        <is>
          <t>Nhân viên</t>
        </is>
      </c>
      <c r="H9831" t="inlineStr">
        <is>
          <t>11/03/2026</t>
        </is>
      </c>
      <c r="I9831" t="inlineStr">
        <is>
          <t>10/04/2026</t>
        </is>
      </c>
      <c r="J9831" t="inlineStr">
        <is>
          <t>17/03/2026</t>
        </is>
      </c>
      <c r="K9831" t="inlineStr">
        <is>
          <t>N/A</t>
        </is>
      </c>
      <c r="L9831" t="inlineStr">
        <is>
          <t>Theo Dõi Công Nợ, Tiếng Trung HSK4, Hạch Toán, Quản Lý Chứng Từ, Quản Lý Tài Sản</t>
        </is>
      </c>
      <c r="M9831" t="inlineStr">
        <is>
          <t>Healthcare Plan, Paid Leave, Awards</t>
        </is>
      </c>
      <c r="N9831" s="8">
        <f>HYPERLINK("https://www.vietnamworks.com/ke-toan-tong-hop-2021807-jv","Xem chi tiết")</f>
        <v/>
      </c>
    </row>
    <row r="9832">
      <c r="B9832" s="9" t="n">
        <v>9830</v>
      </c>
      <c r="C9832" s="10" t="inlineStr">
        <is>
          <t>Demand &amp; Supply Planning Manager</t>
        </is>
      </c>
      <c r="D9832" s="10" t="inlineStr">
        <is>
          <t>The Vigo</t>
        </is>
      </c>
      <c r="E9832" s="10" t="inlineStr">
        <is>
          <t>$$ 1,500-3,000 /tháng</t>
        </is>
      </c>
      <c r="F9832" s="10" t="inlineStr">
        <is>
          <t>Hồ Chí Minh</t>
        </is>
      </c>
      <c r="G9832" s="10" t="inlineStr">
        <is>
          <t>Trưởng phòng</t>
        </is>
      </c>
      <c r="H9832" s="10" t="inlineStr">
        <is>
          <t>11/03/2026</t>
        </is>
      </c>
      <c r="I9832" s="10" t="inlineStr">
        <is>
          <t>10/04/2026</t>
        </is>
      </c>
      <c r="J9832" s="10" t="inlineStr">
        <is>
          <t>17/03/2026</t>
        </is>
      </c>
      <c r="K9832" s="10" t="inlineStr">
        <is>
          <t>N/A</t>
        </is>
      </c>
      <c r="L9832" s="10" t="inlineStr">
        <is>
          <t>Supply Planning, Supply Chain Management, Demand Management</t>
        </is>
      </c>
      <c r="M9832" s="10" t="inlineStr">
        <is>
          <t>Bonus, Training, Team Activities</t>
        </is>
      </c>
      <c r="N9832" s="11">
        <f>HYPERLINK("https://www.vietnamworks.com/demand-supply-planning-manager--2021799-jv","Xem chi tiết")</f>
        <v/>
      </c>
      <c r="O9832" s="10" t="n"/>
    </row>
    <row r="9833">
      <c r="B9833" s="7" t="n">
        <v>9831</v>
      </c>
      <c r="C9833" t="inlineStr">
        <is>
          <t>Accounting Staff (temporary 9 months)</t>
        </is>
      </c>
      <c r="D9833" t="inlineStr">
        <is>
          <t>Công Ty TNHH Kintetsu World Express Việt Nam</t>
        </is>
      </c>
      <c r="E9833" t="inlineStr">
        <is>
          <t>Thương lượng</t>
        </is>
      </c>
      <c r="F9833" t="inlineStr">
        <is>
          <t>Hà Nội</t>
        </is>
      </c>
      <c r="G9833" t="inlineStr">
        <is>
          <t>Nhân viên</t>
        </is>
      </c>
      <c r="H9833" t="inlineStr">
        <is>
          <t>11/03/2026</t>
        </is>
      </c>
      <c r="I9833" t="inlineStr">
        <is>
          <t>10/04/2026</t>
        </is>
      </c>
      <c r="J9833" t="inlineStr">
        <is>
          <t>17/03/2026</t>
        </is>
      </c>
      <c r="K9833" t="inlineStr">
        <is>
          <t>N/A</t>
        </is>
      </c>
      <c r="L9833" t="inlineStr">
        <is>
          <t>Accounting, Communication, English, Finance, Microsoft Office</t>
        </is>
      </c>
      <c r="M9833" t="inlineStr">
        <is>
          <t>Bonus, Healthcare Plan, Others</t>
        </is>
      </c>
      <c r="N9833" s="8">
        <f>HYPERLINK("https://www.vietnamworks.com/accounting-staff-temporary-9-months-2021808-jv","Xem chi tiết")</f>
        <v/>
      </c>
    </row>
    <row r="9834">
      <c r="B9834" s="9" t="n">
        <v>9832</v>
      </c>
      <c r="C9834" s="10" t="inlineStr">
        <is>
          <t>Kế Toán Viên</t>
        </is>
      </c>
      <c r="D9834" s="10" t="inlineStr">
        <is>
          <t>Công Ty TNHH Nidp Dental Biotech Vietnam</t>
        </is>
      </c>
      <c r="E9834" s="10" t="inlineStr">
        <is>
          <t>12tr-14tr ₫/tháng</t>
        </is>
      </c>
      <c r="F9834" s="10" t="inlineStr">
        <is>
          <t>Hồ Chí Minh</t>
        </is>
      </c>
      <c r="G9834" s="10" t="inlineStr">
        <is>
          <t>Nhân viên</t>
        </is>
      </c>
      <c r="H9834" s="10" t="inlineStr">
        <is>
          <t>11/03/2026</t>
        </is>
      </c>
      <c r="I9834" s="10" t="inlineStr">
        <is>
          <t>10/04/2026</t>
        </is>
      </c>
      <c r="J9834" s="10" t="inlineStr">
        <is>
          <t>17/03/2026</t>
        </is>
      </c>
      <c r="K9834" s="10" t="inlineStr">
        <is>
          <t>N/A</t>
        </is>
      </c>
      <c r="L9834" s="10" t="inlineStr">
        <is>
          <t>Báo Cáo Thuế, Hạch Toán, Luật Kế Toán, Luật Thuế, Phần Mềm Kế Toán</t>
        </is>
      </c>
      <c r="M9834" s="10" t="inlineStr">
        <is>
          <t>Bonus, Team Activities, Others</t>
        </is>
      </c>
      <c r="N9834" s="11">
        <f>HYPERLINK("https://www.vietnamworks.com/ke-toan-vien-2021804-jv","Xem chi tiết")</f>
        <v/>
      </c>
      <c r="O9834" s="10" t="n"/>
    </row>
    <row r="9835">
      <c r="B9835" s="7" t="n">
        <v>9833</v>
      </c>
      <c r="C9835" t="inlineStr">
        <is>
          <t>Chuyên Viên Marketing (Booking KOL / KOC) – Ngành Mẹ &amp; Bé (Lương Up To 20 Triệu)</t>
        </is>
      </c>
      <c r="D9835" t="inlineStr">
        <is>
          <t>Công Ty TNHH Thương Mại Vạn An</t>
        </is>
      </c>
      <c r="E9835" t="inlineStr">
        <is>
          <t>Tới 20tr ₫/tháng</t>
        </is>
      </c>
      <c r="F9835" t="inlineStr">
        <is>
          <t>Hà Nội</t>
        </is>
      </c>
      <c r="G9835" t="inlineStr">
        <is>
          <t>Nhân viên</t>
        </is>
      </c>
      <c r="H9835" t="inlineStr">
        <is>
          <t>11/03/2026</t>
        </is>
      </c>
      <c r="I9835" t="inlineStr">
        <is>
          <t>10/04/2026</t>
        </is>
      </c>
      <c r="J9835" t="inlineStr">
        <is>
          <t>17/03/2026</t>
        </is>
      </c>
      <c r="K9835" t="inlineStr">
        <is>
          <t>N/A</t>
        </is>
      </c>
      <c r="L9835" t="inlineStr">
        <is>
          <t>KOL Booking, KOL Campaigns, KOL Data Management, KOL Relationships, KOL/KOC Management</t>
        </is>
      </c>
      <c r="M9835" t="inlineStr">
        <is>
          <t>Bonus, Healthcare Plan, Training, Others</t>
        </is>
      </c>
      <c r="N9835" s="8">
        <f>HYPERLINK("https://www.vietnamworks.com/chuyen-vien-marketing-booking-kol-koc-nganh-me-be-luong-up-to-20-trieu-2021813-jv","Xem chi tiết")</f>
        <v/>
      </c>
    </row>
    <row r="9836">
      <c r="B9836" s="9" t="n">
        <v>9834</v>
      </c>
      <c r="C9836" s="10" t="inlineStr">
        <is>
          <t>Apparel Development Merchandiser (Chuyên Viên Phát Triển Sản Phẩm và Quản Lý Chất Lượng Hàng May Mặc)</t>
        </is>
      </c>
      <c r="D9836" s="10" t="inlineStr">
        <is>
          <t>VPĐD FILA Montebelluna Limited Tại TP.HCM ( Tên mới VPĐD MISTO Apparel Limited Tại TP.HCM)</t>
        </is>
      </c>
      <c r="E9836" s="10" t="inlineStr">
        <is>
          <t>Từ $ 850 /tháng</t>
        </is>
      </c>
      <c r="F9836" s="10" t="inlineStr">
        <is>
          <t>Hải Phòng</t>
        </is>
      </c>
      <c r="G9836" s="10" t="inlineStr">
        <is>
          <t>Nhân viên</t>
        </is>
      </c>
      <c r="H9836" s="10" t="inlineStr">
        <is>
          <t>11/03/2026</t>
        </is>
      </c>
      <c r="I9836" s="10" t="inlineStr">
        <is>
          <t>10/04/2026</t>
        </is>
      </c>
      <c r="J9836" s="10" t="inlineStr">
        <is>
          <t>17/03/2026</t>
        </is>
      </c>
      <c r="K9836" s="10" t="inlineStr">
        <is>
          <t>N/A</t>
        </is>
      </c>
      <c r="L9836" s="10" t="inlineStr">
        <is>
          <t>Quản lý chất lượng, Apparel, TEXTILE, Thu Mua</t>
        </is>
      </c>
      <c r="M9836" s="10" t="inlineStr">
        <is>
          <t>Healthcare Plan, Training, Team Activities</t>
        </is>
      </c>
      <c r="N9836" s="11">
        <f>HYPERLINK("https://www.vietnamworks.com/apparel-development-merchandiser-chuyen-vien-phat-trien-san-pham-va-quan-ly-chat-luong-hang-may-mac-2021823-jv","Xem chi tiết")</f>
        <v/>
      </c>
      <c r="O9836" s="10" t="n"/>
    </row>
    <row r="9837">
      <c r="B9837" s="7" t="n">
        <v>9835</v>
      </c>
      <c r="C9837" t="inlineStr">
        <is>
          <t>Quản Lý Dự Án/ Project Managerment (PM)</t>
        </is>
      </c>
      <c r="D9837" t="inlineStr">
        <is>
          <t>Công Ty TNHH Thang Máy VGSI</t>
        </is>
      </c>
      <c r="E9837" t="inlineStr">
        <is>
          <t>Thương lượng</t>
        </is>
      </c>
      <c r="F9837" t="inlineStr">
        <is>
          <t>Hồ Chí Minh</t>
        </is>
      </c>
      <c r="G9837" t="inlineStr">
        <is>
          <t>Trưởng phòng</t>
        </is>
      </c>
      <c r="H9837" t="inlineStr">
        <is>
          <t>11/03/2026</t>
        </is>
      </c>
      <c r="I9837" t="inlineStr">
        <is>
          <t>10/04/2026</t>
        </is>
      </c>
      <c r="J9837" t="inlineStr">
        <is>
          <t>17/03/2026</t>
        </is>
      </c>
      <c r="K9837" t="inlineStr">
        <is>
          <t>N/A</t>
        </is>
      </c>
      <c r="L9837" t="inlineStr">
        <is>
          <t>Communication, Cost Control, Project Management, Resolving Issues, Risk Management</t>
        </is>
      </c>
      <c r="M9837" t="inlineStr">
        <is>
          <t>Bonus, Paid Leave, Laptop, Vouchers, Others</t>
        </is>
      </c>
      <c r="N9837" s="8">
        <f>HYPERLINK("https://www.vietnamworks.com/quan-ly-du-an-project-managerment-pm-2021816-jv","Xem chi tiết")</f>
        <v/>
      </c>
    </row>
    <row r="9838">
      <c r="B9838" s="9" t="n">
        <v>9836</v>
      </c>
      <c r="C9838" s="10" t="inlineStr">
        <is>
          <t>Marketing Manager</t>
        </is>
      </c>
      <c r="D9838" s="10" t="inlineStr">
        <is>
          <t>Công ty Cổ phần Lipoci</t>
        </is>
      </c>
      <c r="E9838" s="10" t="inlineStr">
        <is>
          <t>Thương lượng</t>
        </is>
      </c>
      <c r="F9838" s="10" t="inlineStr">
        <is>
          <t>Hồ Chí Minh</t>
        </is>
      </c>
      <c r="G9838" s="10" t="inlineStr">
        <is>
          <t>Giám Đốc và Cấp Cao Hơn</t>
        </is>
      </c>
      <c r="H9838" s="10" t="inlineStr">
        <is>
          <t>11/03/2026</t>
        </is>
      </c>
      <c r="I9838" s="10" t="inlineStr">
        <is>
          <t>10/04/2026</t>
        </is>
      </c>
      <c r="J9838" s="10" t="inlineStr">
        <is>
          <t>17/03/2026</t>
        </is>
      </c>
      <c r="K9838" s="10" t="inlineStr">
        <is>
          <t>N/A</t>
        </is>
      </c>
      <c r="L9838" s="10" t="inlineStr">
        <is>
          <t>Truyền Thông, Trade Marketing, Quảng Cáo, Digital Marketing, Branding</t>
        </is>
      </c>
      <c r="M9838" s="10" t="inlineStr">
        <is>
          <t>Others</t>
        </is>
      </c>
      <c r="N9838" s="11">
        <f>HYPERLINK("https://www.vietnamworks.com/marketing-manager--2021806-jv","Xem chi tiết")</f>
        <v/>
      </c>
      <c r="O9838" s="10" t="n"/>
    </row>
    <row r="9839">
      <c r="B9839" s="7" t="n">
        <v>9837</v>
      </c>
      <c r="C9839" t="inlineStr">
        <is>
          <t>Nhân Viên Hành Chính Nhân Sự (Tiếng Trung Cao Cấp)</t>
        </is>
      </c>
      <c r="D9839" t="inlineStr">
        <is>
          <t>CÔNG TY TNHH BRILLIANT CRYSTAL</t>
        </is>
      </c>
      <c r="E9839" t="inlineStr">
        <is>
          <t>30tr-40tr ₫/tháng</t>
        </is>
      </c>
      <c r="F9839" t="inlineStr">
        <is>
          <t>Hồ Chí Minh</t>
        </is>
      </c>
      <c r="G9839" t="inlineStr">
        <is>
          <t>Nhân viên</t>
        </is>
      </c>
      <c r="H9839" t="inlineStr">
        <is>
          <t>11/03/2026</t>
        </is>
      </c>
      <c r="I9839" t="inlineStr">
        <is>
          <t>10/04/2026</t>
        </is>
      </c>
      <c r="J9839" t="inlineStr">
        <is>
          <t>17/03/2026</t>
        </is>
      </c>
      <c r="K9839" t="inlineStr">
        <is>
          <t>N/A</t>
        </is>
      </c>
      <c r="L9839" t="inlineStr">
        <is>
          <t>Tin Học Văn Phòng, Giao Tiếp, Tiếng Trung, Tiếng Anh, Hành Chính Nhân Sự</t>
        </is>
      </c>
      <c r="M9839" t="inlineStr">
        <is>
          <t>Bonus, Others</t>
        </is>
      </c>
      <c r="N9839" s="8">
        <f>HYPERLINK("https://www.vietnamworks.com/nhan-vien-hanh-chinh-nhan-su-tieng-trung-cao-cap-2021810-jv","Xem chi tiết")</f>
        <v/>
      </c>
    </row>
    <row r="9840">
      <c r="B9840" s="9" t="n">
        <v>9838</v>
      </c>
      <c r="C9840" s="10" t="inlineStr">
        <is>
          <t>Giám Sát Thi Công Xây Dựng</t>
        </is>
      </c>
      <c r="D9840" s="10" t="inlineStr">
        <is>
          <t>CÔNG TY CP ĐẦU TƯ VÀ TƯ VẤN THIẾT KẾ SỐ MỘT</t>
        </is>
      </c>
      <c r="E9840" s="10" t="inlineStr">
        <is>
          <t>15tr-45tr ₫/tháng</t>
        </is>
      </c>
      <c r="F9840" s="10" t="inlineStr">
        <is>
          <t>Hồ Chí Minh</t>
        </is>
      </c>
      <c r="G9840" s="10" t="inlineStr">
        <is>
          <t>Nhân viên</t>
        </is>
      </c>
      <c r="H9840" s="10" t="inlineStr">
        <is>
          <t>11/03/2026</t>
        </is>
      </c>
      <c r="I9840" s="10" t="inlineStr">
        <is>
          <t>10/04/2026</t>
        </is>
      </c>
      <c r="J9840" s="10" t="inlineStr">
        <is>
          <t>17/03/2026</t>
        </is>
      </c>
      <c r="K9840" s="10" t="inlineStr">
        <is>
          <t>N/A</t>
        </is>
      </c>
      <c r="L9840" s="10" t="inlineStr">
        <is>
          <t>Giám Sát Thi Công, Chứng chỉ hành nghề, Tư Vấn Giám Sát, Nội Khoa, Gia Công Áp Lực</t>
        </is>
      </c>
      <c r="M9840" s="10" t="inlineStr">
        <is>
          <t>Bonus, Healthcare Plan, Paid Leave, Training, Awards, Travel Opportunities, Others</t>
        </is>
      </c>
      <c r="N9840" s="11">
        <f>HYPERLINK("https://www.vietnamworks.com/giam-sat-thi-cong-xay-dung-2021819-jv","Xem chi tiết")</f>
        <v/>
      </c>
      <c r="O9840" s="10" t="n"/>
    </row>
    <row r="9841">
      <c r="B9841" s="7" t="n">
        <v>9839</v>
      </c>
      <c r="C9841" t="inlineStr">
        <is>
          <t>Customer Service Staff (Air Freight) - Hà Nội</t>
        </is>
      </c>
      <c r="D9841" t="inlineStr">
        <is>
          <t>Công Ty Cổ Phần Giao Nhận Vận Tải Đa Quốc Gia ACT</t>
        </is>
      </c>
      <c r="E9841" t="inlineStr">
        <is>
          <t>Thương lượng</t>
        </is>
      </c>
      <c r="F9841" t="inlineStr">
        <is>
          <t>Hà Nội</t>
        </is>
      </c>
      <c r="G9841" t="inlineStr">
        <is>
          <t>Nhân viên</t>
        </is>
      </c>
      <c r="H9841" t="inlineStr">
        <is>
          <t>11/03/2026</t>
        </is>
      </c>
      <c r="I9841" t="inlineStr">
        <is>
          <t>10/04/2026</t>
        </is>
      </c>
      <c r="J9841" t="inlineStr">
        <is>
          <t>17/03/2026</t>
        </is>
      </c>
      <c r="K9841" t="inlineStr">
        <is>
          <t>N/A</t>
        </is>
      </c>
      <c r="L9841" t="inlineStr">
        <is>
          <t>Tiếng Trung, Logistics, Xuất Nhập Khẩu, Kinh Doanh Quốc Tế, Chứng Từ Xuất Nhập Khẩu</t>
        </is>
      </c>
      <c r="M9841" t="inlineStr">
        <is>
          <t>Bonus, Paid Leave, Training</t>
        </is>
      </c>
      <c r="N9841" s="8">
        <f>HYPERLINK("https://www.vietnamworks.com/customer-service-staff-air-freight-ha-noi-2021825-jv","Xem chi tiết")</f>
        <v/>
      </c>
    </row>
    <row r="9842">
      <c r="B9842" s="9" t="n">
        <v>9840</v>
      </c>
      <c r="C9842" s="10" t="inlineStr">
        <is>
          <t>Chuyên Viên Marketing (Social Community Management) – Ngành Mẹ &amp; Bé (Lương Up To 20 Triệu)</t>
        </is>
      </c>
      <c r="D9842" s="10" t="inlineStr">
        <is>
          <t>Công Ty TNHH Thương Mại Vạn An</t>
        </is>
      </c>
      <c r="E9842" s="10" t="inlineStr">
        <is>
          <t>Tới 1,000 ₫/tháng</t>
        </is>
      </c>
      <c r="F9842" s="10" t="inlineStr">
        <is>
          <t>Hà Nội</t>
        </is>
      </c>
      <c r="G9842" s="10" t="inlineStr">
        <is>
          <t>Nhân viên</t>
        </is>
      </c>
      <c r="H9842" s="10" t="inlineStr">
        <is>
          <t>11/03/2026</t>
        </is>
      </c>
      <c r="I9842" s="10" t="inlineStr">
        <is>
          <t>10/04/2026</t>
        </is>
      </c>
      <c r="J9842" s="10" t="inlineStr">
        <is>
          <t>17/03/2026</t>
        </is>
      </c>
      <c r="K9842" s="10" t="inlineStr">
        <is>
          <t>N/A</t>
        </is>
      </c>
      <c r="L9842" s="10" t="inlineStr">
        <is>
          <t>Content Marketing, Social Content Marketing, Social Media, Social Media Content, SEO Tools</t>
        </is>
      </c>
      <c r="M9842" s="10" t="inlineStr">
        <is>
          <t>Bonus, Healthcare Plan, Others</t>
        </is>
      </c>
      <c r="N9842" s="11">
        <f>HYPERLINK("https://www.vietnamworks.com/chuyen-vien-marketing-social-community-management-nganh-me-be-luong-up-to-20-trieu-2021815-jv","Xem chi tiết")</f>
        <v/>
      </c>
      <c r="O9842" s="10" t="n"/>
    </row>
    <row r="9843">
      <c r="B9843" s="7" t="n">
        <v>9841</v>
      </c>
      <c r="C9843" t="inlineStr">
        <is>
          <t>Hà Nội - Content Marketing (Full-Time)</t>
        </is>
      </c>
      <c r="D9843" t="inlineStr">
        <is>
          <t>HỘ KINH DOANH DECOCO</t>
        </is>
      </c>
      <c r="E9843" t="inlineStr">
        <is>
          <t>Tới 17tr ₫/tháng</t>
        </is>
      </c>
      <c r="F9843" t="inlineStr">
        <is>
          <t>Hà Nội</t>
        </is>
      </c>
      <c r="G9843" t="inlineStr">
        <is>
          <t>Nhân viên</t>
        </is>
      </c>
      <c r="H9843" t="inlineStr">
        <is>
          <t>11/03/2026</t>
        </is>
      </c>
      <c r="I9843" t="inlineStr">
        <is>
          <t>10/04/2026</t>
        </is>
      </c>
      <c r="J9843" t="inlineStr">
        <is>
          <t>17/03/2026</t>
        </is>
      </c>
      <c r="K9843" t="inlineStr">
        <is>
          <t>N/A</t>
        </is>
      </c>
      <c r="L9843" t="inlineStr">
        <is>
          <t>Capcut, Quản Lý Nội Dung, Quay Dựng Video, Sáng Tạo Nội Dung, Social Commerce</t>
        </is>
      </c>
      <c r="M9843" t="inlineStr">
        <is>
          <t>Healthcare Plan, Training, Others</t>
        </is>
      </c>
      <c r="N9843" s="8">
        <f>HYPERLINK("https://www.vietnamworks.com/ha-noi-content-marketing-full-time-2021824-jv","Xem chi tiết")</f>
        <v/>
      </c>
    </row>
    <row r="9844">
      <c r="B9844" s="9" t="n">
        <v>9842</v>
      </c>
      <c r="C9844" s="10" t="inlineStr">
        <is>
          <t>Chuyên Viên Tuyển Dụng &amp; Thu Hút Nhân Tài</t>
        </is>
      </c>
      <c r="D9844" s="10" t="inlineStr">
        <is>
          <t>CÔNG TY CỔ PHẦN GREENFEED VIỆT NAM</t>
        </is>
      </c>
      <c r="E9844" s="10" t="inlineStr">
        <is>
          <t>$$ 750-950 /tháng</t>
        </is>
      </c>
      <c r="F9844" s="10" t="inlineStr">
        <is>
          <t>Hưng Yên, Hà Nội</t>
        </is>
      </c>
      <c r="G9844" s="10" t="inlineStr">
        <is>
          <t>Nhân viên</t>
        </is>
      </c>
      <c r="H9844" s="10" t="inlineStr">
        <is>
          <t>11/03/2026</t>
        </is>
      </c>
      <c r="I9844" s="10" t="inlineStr">
        <is>
          <t>10/04/2026</t>
        </is>
      </c>
      <c r="J9844" s="10" t="inlineStr">
        <is>
          <t>17/03/2026</t>
        </is>
      </c>
      <c r="K9844" s="10" t="inlineStr">
        <is>
          <t>N/A</t>
        </is>
      </c>
      <c r="L9844" s="10" t="inlineStr">
        <is>
          <t>Tuyển Dụng, Talent Acquisition, TA</t>
        </is>
      </c>
      <c r="M9844" s="10" t="inlineStr">
        <is>
          <t>Bonus, Healthcare Plan, Training</t>
        </is>
      </c>
      <c r="N9844" s="11">
        <f>HYPERLINK("https://www.vietnamworks.com/chuyen-vien-tuyen-dung-thu-hut-nhan-tai--2021832-jv","Xem chi tiết")</f>
        <v/>
      </c>
      <c r="O9844" s="10" t="n"/>
    </row>
    <row r="9845">
      <c r="B9845" s="7" t="n">
        <v>9843</v>
      </c>
      <c r="C9845" t="inlineStr">
        <is>
          <t>Trưởng Phòng Marketing</t>
        </is>
      </c>
      <c r="D9845" t="inlineStr">
        <is>
          <t>CÔNG TY CỔ PHẦN MOTARO GROUP</t>
        </is>
      </c>
      <c r="E9845" t="inlineStr">
        <is>
          <t>25tr-30tr ₫/tháng</t>
        </is>
      </c>
      <c r="F9845" t="inlineStr">
        <is>
          <t>Hà Nội</t>
        </is>
      </c>
      <c r="G9845" t="inlineStr">
        <is>
          <t>Trưởng phòng</t>
        </is>
      </c>
      <c r="H9845" t="inlineStr">
        <is>
          <t>11/03/2026</t>
        </is>
      </c>
      <c r="I9845" t="inlineStr">
        <is>
          <t>10/04/2026</t>
        </is>
      </c>
      <c r="J9845" t="inlineStr">
        <is>
          <t>17/03/2026</t>
        </is>
      </c>
      <c r="K9845" t="inlineStr">
        <is>
          <t>N/A</t>
        </is>
      </c>
      <c r="L9845" t="inlineStr">
        <is>
          <t>Marketing Online, Phân Tích Dữ Liệu, Phát Triển Truyền Thông, Quản Lý Dự Án, Quản Lý Ngân Sách</t>
        </is>
      </c>
      <c r="M9845" t="inlineStr">
        <is>
          <t>Bonus, Healthcare Plan, Paid Leave, Team Activities</t>
        </is>
      </c>
      <c r="N9845" s="8">
        <f>HYPERLINK("https://www.vietnamworks.com/truong-phong-marketing-2021843-jv","Xem chi tiết")</f>
        <v/>
      </c>
    </row>
    <row r="9846">
      <c r="B9846" s="9" t="n">
        <v>9844</v>
      </c>
      <c r="C9846" s="10" t="inlineStr">
        <is>
          <t>Post-Tensioned Draftsperson (Họa Viên Kết Cấu Chuyên Về Sàn Dự Ứng Lực)</t>
        </is>
      </c>
      <c r="D9846" s="10" t="inlineStr">
        <is>
          <t>MASSIVE STRUCTURE CONSULTING</t>
        </is>
      </c>
      <c r="E9846" s="10" t="inlineStr">
        <is>
          <t>Thương lượng</t>
        </is>
      </c>
      <c r="F9846" s="10" t="inlineStr">
        <is>
          <t>Hồ Chí Minh</t>
        </is>
      </c>
      <c r="G9846" s="10" t="inlineStr">
        <is>
          <t>Nhân viên</t>
        </is>
      </c>
      <c r="H9846" s="10" t="inlineStr">
        <is>
          <t>11/03/2026</t>
        </is>
      </c>
      <c r="I9846" s="10" t="inlineStr">
        <is>
          <t>10/04/2026</t>
        </is>
      </c>
      <c r="J9846" s="10" t="inlineStr">
        <is>
          <t>17/03/2026</t>
        </is>
      </c>
      <c r="K9846" s="10" t="inlineStr">
        <is>
          <t>N/A</t>
        </is>
      </c>
      <c r="L9846" s="10" t="inlineStr">
        <is>
          <t>AutoCAD, Xây Dựng Dân Dụng, Xây Dựng Công Nghiệp, Revit, Thi Công Cáp Dự Ứng Lực</t>
        </is>
      </c>
      <c r="M9846" s="10" t="inlineStr">
        <is>
          <t>Bonus, Healthcare Plan, Training, Travel Opportunities, Others</t>
        </is>
      </c>
      <c r="N9846" s="11">
        <f>HYPERLINK("https://www.vietnamworks.com/post-tensioned-draftsperson-hoa-vien-ket-cau-chuyen-ve-san-du-ung-luc-2021845-jv","Xem chi tiết")</f>
        <v/>
      </c>
      <c r="O9846" s="10" t="n"/>
    </row>
    <row r="9847">
      <c r="B9847" s="7" t="n">
        <v>9845</v>
      </c>
      <c r="C9847" t="inlineStr">
        <is>
          <t>Kỹ Sư Thiết Kế Điện/ Electrical Design Engineer (Tại Hưng Yên)</t>
        </is>
      </c>
      <c r="D9847" t="inlineStr">
        <is>
          <t>Hapam Vietnam Ltd.</t>
        </is>
      </c>
      <c r="E9847" t="inlineStr">
        <is>
          <t>Thương lượng</t>
        </is>
      </c>
      <c r="F9847" t="inlineStr">
        <is>
          <t>Hải Dương, Hưng Yên, Hà Nội</t>
        </is>
      </c>
      <c r="G9847" t="inlineStr">
        <is>
          <t>Nhân viên</t>
        </is>
      </c>
      <c r="H9847" t="inlineStr">
        <is>
          <t>11/03/2026</t>
        </is>
      </c>
      <c r="I9847" t="inlineStr">
        <is>
          <t>10/04/2026</t>
        </is>
      </c>
      <c r="J9847" t="inlineStr">
        <is>
          <t>17/03/2026</t>
        </is>
      </c>
      <c r="K9847" t="inlineStr">
        <is>
          <t>N/A</t>
        </is>
      </c>
      <c r="L9847" t="inlineStr">
        <is>
          <t>Electrical Design, AutoCAD, MS Office, Blueprint Drawing, Independent work</t>
        </is>
      </c>
      <c r="M9847" t="inlineStr">
        <is>
          <t>Bonus, Healthcare Plan, Travel Opportunities, Transportation, Others</t>
        </is>
      </c>
      <c r="N9847" s="8">
        <f>HYPERLINK("https://www.vietnamworks.com/ky-su-thiet-ke-dien-electrical-design-engineer-tai-hung-yen--2021844-jv","Xem chi tiết")</f>
        <v/>
      </c>
    </row>
    <row r="9848">
      <c r="B9848" s="9" t="n">
        <v>9846</v>
      </c>
      <c r="C9848" s="10" t="inlineStr">
        <is>
          <t>Nhân Viên Quản Lý Chất Lượng Hàng Nhập Khẩu (QC)</t>
        </is>
      </c>
      <c r="D9848" s="10" t="inlineStr">
        <is>
          <t>Công Ty TNHH Lock&amp;Lock HN</t>
        </is>
      </c>
      <c r="E9848" s="10" t="inlineStr">
        <is>
          <t>Thương lượng</t>
        </is>
      </c>
      <c r="F9848" s="10" t="inlineStr">
        <is>
          <t>Hà Nội</t>
        </is>
      </c>
      <c r="G9848" s="10" t="inlineStr">
        <is>
          <t>Nhân viên</t>
        </is>
      </c>
      <c r="H9848" s="10" t="inlineStr">
        <is>
          <t>11/03/2026</t>
        </is>
      </c>
      <c r="I9848" s="10" t="inlineStr">
        <is>
          <t>10/04/2026</t>
        </is>
      </c>
      <c r="J9848" s="10" t="inlineStr">
        <is>
          <t>17/03/2026</t>
        </is>
      </c>
      <c r="K9848" s="10" t="inlineStr">
        <is>
          <t>N/A</t>
        </is>
      </c>
      <c r="L9848" s="10" t="inlineStr">
        <is>
          <t>Quản Lý Chất Lượng, Sản xuất, FMCG, QC, QA &amp; QC</t>
        </is>
      </c>
      <c r="M9848" s="10" t="inlineStr">
        <is>
          <t>Bonus, Healthcare Plan, Paid Leave, Laptop, Team Activities, Transportation, Others</t>
        </is>
      </c>
      <c r="N9848" s="11">
        <f>HYPERLINK("https://www.vietnamworks.com/nhan-vien-quan-ly-chat-luong-hang-nhap-khau-qc-2021830-jv","Xem chi tiết")</f>
        <v/>
      </c>
      <c r="O9848" s="10" t="n"/>
    </row>
    <row r="9849">
      <c r="B9849" s="7" t="n">
        <v>9847</v>
      </c>
      <c r="C9849" t="inlineStr">
        <is>
          <t>Giám Đốc Kinh Doanh</t>
        </is>
      </c>
      <c r="D9849" t="inlineStr">
        <is>
          <t>CÔNG TY CỔ PHẦN MOTARO GROUP</t>
        </is>
      </c>
      <c r="E9849" t="inlineStr">
        <is>
          <t>35tr-40tr ₫/tháng</t>
        </is>
      </c>
      <c r="F9849" t="inlineStr">
        <is>
          <t>Hà Nội</t>
        </is>
      </c>
      <c r="G9849" t="inlineStr">
        <is>
          <t>Giám Đốc và Cấp Cao Hơn</t>
        </is>
      </c>
      <c r="H9849" t="inlineStr">
        <is>
          <t>11/03/2026</t>
        </is>
      </c>
      <c r="I9849" t="inlineStr">
        <is>
          <t>10/04/2026</t>
        </is>
      </c>
      <c r="J9849" t="inlineStr">
        <is>
          <t>17/03/2026</t>
        </is>
      </c>
      <c r="K9849" t="inlineStr">
        <is>
          <t>N/A</t>
        </is>
      </c>
      <c r="L9849" t="inlineStr">
        <is>
          <t>Lập Kế Hoạch Bán Hàng, Nghiên Cứu Thị Trường, Phát Triển Kinh Doanh, Quản Lý Khách Hàng, Quản Trị Đội Ngũ</t>
        </is>
      </c>
      <c r="M9849" t="inlineStr">
        <is>
          <t>Bonus, Healthcare Plan, Paid Leave, Team Activities</t>
        </is>
      </c>
      <c r="N9849" s="8">
        <f>HYPERLINK("https://www.vietnamworks.com/giam-djoc-kinh-doanh-2021834-jv","Xem chi tiết")</f>
        <v/>
      </c>
    </row>
    <row r="9850">
      <c r="B9850" s="9" t="n">
        <v>9848</v>
      </c>
      <c r="C9850" s="10" t="inlineStr">
        <is>
          <t>Chuyên Viên Quản Lý Rủi Ro</t>
        </is>
      </c>
      <c r="D9850" s="10" t="inlineStr">
        <is>
          <t>Ngân Hàng TNHH Indovina – Hội Sở</t>
        </is>
      </c>
      <c r="E9850" s="10" t="inlineStr">
        <is>
          <t>Thương lượng</t>
        </is>
      </c>
      <c r="F9850" s="10" t="inlineStr">
        <is>
          <t>Hồ Chí Minh</t>
        </is>
      </c>
      <c r="G9850" s="10" t="inlineStr">
        <is>
          <t>Nhân viên</t>
        </is>
      </c>
      <c r="H9850" s="10" t="inlineStr">
        <is>
          <t>11/03/2026</t>
        </is>
      </c>
      <c r="I9850" s="10" t="inlineStr">
        <is>
          <t>10/04/2026</t>
        </is>
      </c>
      <c r="J9850" s="10" t="inlineStr">
        <is>
          <t>17/03/2026</t>
        </is>
      </c>
      <c r="K9850" s="10" t="inlineStr">
        <is>
          <t>N/A</t>
        </is>
      </c>
      <c r="L9850" s="10" t="inlineStr">
        <is>
          <t>Toán Tài Chính</t>
        </is>
      </c>
      <c r="M9850" s="10" t="inlineStr">
        <is>
          <t>Bonus, Healthcare Plan, Others</t>
        </is>
      </c>
      <c r="N9850" s="11">
        <f>HYPERLINK("https://www.vietnamworks.com/chuyen-vien-quan-ly-rui-ro--2021811-jv","Xem chi tiết")</f>
        <v/>
      </c>
      <c r="O9850" s="10" t="n"/>
    </row>
    <row r="9851">
      <c r="B9851" s="7" t="n">
        <v>9849</v>
      </c>
      <c r="C9851" t="inlineStr">
        <is>
          <t>Medical Representative - RMMH HCMC</t>
        </is>
      </c>
      <c r="D9851" t="inlineStr">
        <is>
          <t>Ferring Pharmaceuticals LTD.</t>
        </is>
      </c>
      <c r="E9851" t="inlineStr">
        <is>
          <t>Thương lượng</t>
        </is>
      </c>
      <c r="F9851" t="inlineStr">
        <is>
          <t>Hồ Chí Minh</t>
        </is>
      </c>
      <c r="G9851" t="inlineStr">
        <is>
          <t>Nhân viên</t>
        </is>
      </c>
      <c r="H9851" t="inlineStr">
        <is>
          <t>11/03/2026</t>
        </is>
      </c>
      <c r="I9851" t="inlineStr">
        <is>
          <t>10/04/2026</t>
        </is>
      </c>
      <c r="J9851" t="inlineStr">
        <is>
          <t>17/03/2026</t>
        </is>
      </c>
      <c r="K9851" t="inlineStr">
        <is>
          <t>N/A</t>
        </is>
      </c>
      <c r="L9851" t="inlineStr">
        <is>
          <t>Quản Lý Ngân Sách, Giao Tiếp, Lập Báo Cáo, Thuyết Trình, MS Office</t>
        </is>
      </c>
      <c r="M9851" t="inlineStr">
        <is>
          <t>Bonus, Healthcare Plan, Training</t>
        </is>
      </c>
      <c r="N9851" s="8">
        <f>HYPERLINK("https://www.vietnamworks.com/medical-representative-rmmh-hcmc--2021828-jv","Xem chi tiết")</f>
        <v/>
      </c>
    </row>
    <row r="9852">
      <c r="B9852" s="9" t="n">
        <v>9850</v>
      </c>
      <c r="C9852" s="10" t="inlineStr">
        <is>
          <t>Retail Operation Leader</t>
        </is>
      </c>
      <c r="D9852" s="10" t="inlineStr">
        <is>
          <t>OPPO Vietnam</t>
        </is>
      </c>
      <c r="E9852" s="10" t="inlineStr">
        <is>
          <t>Thương lượng</t>
        </is>
      </c>
      <c r="F9852" s="10" t="inlineStr">
        <is>
          <t>Hồ Chí Minh</t>
        </is>
      </c>
      <c r="G9852" s="10" t="inlineStr">
        <is>
          <t>Trưởng phòng</t>
        </is>
      </c>
      <c r="H9852" s="10" t="inlineStr">
        <is>
          <t>11/03/2026</t>
        </is>
      </c>
      <c r="I9852" s="10" t="inlineStr">
        <is>
          <t>10/04/2026</t>
        </is>
      </c>
      <c r="J9852" s="10" t="inlineStr">
        <is>
          <t>17/03/2026</t>
        </is>
      </c>
      <c r="K9852" s="10" t="inlineStr">
        <is>
          <t>N/A</t>
        </is>
      </c>
      <c r="L9852" s="10" t="inlineStr">
        <is>
          <t>Customer Service, Problem Solving, Sales Management, Team Management, User Experience Development</t>
        </is>
      </c>
      <c r="M9852" s="10" t="inlineStr">
        <is>
          <t>Bonus</t>
        </is>
      </c>
      <c r="N9852" s="11">
        <f>HYPERLINK("https://www.vietnamworks.com/retail-operation-leader-2021826-jv","Xem chi tiết")</f>
        <v/>
      </c>
      <c r="O9852" s="10" t="n"/>
    </row>
    <row r="9853">
      <c r="B9853" s="7" t="n">
        <v>9851</v>
      </c>
      <c r="C9853" t="inlineStr">
        <is>
          <t>Trade Marketing Specialist</t>
        </is>
      </c>
      <c r="D9853" t="inlineStr">
        <is>
          <t>Công Ty TNHH Thực Phẩm Trung Minh Thành</t>
        </is>
      </c>
      <c r="E9853" t="inlineStr">
        <is>
          <t>Thương lượng</t>
        </is>
      </c>
      <c r="F9853" t="inlineStr">
        <is>
          <t>Hồ Chí Minh</t>
        </is>
      </c>
      <c r="G9853" t="inlineStr">
        <is>
          <t>Nhân viên</t>
        </is>
      </c>
      <c r="H9853" t="inlineStr">
        <is>
          <t>11/03/2026</t>
        </is>
      </c>
      <c r="I9853" t="inlineStr">
        <is>
          <t>10/04/2026</t>
        </is>
      </c>
      <c r="J9853" t="inlineStr">
        <is>
          <t>17/03/2026</t>
        </is>
      </c>
      <c r="K9853" t="inlineStr">
        <is>
          <t>N/A</t>
        </is>
      </c>
      <c r="L9853" t="inlineStr">
        <is>
          <t>MS Excel, Phân Tích Dữ Liệu, Quản Lý Ngân Sách, Tiếp Thị Thương Mại, Truyền Thông</t>
        </is>
      </c>
      <c r="M9853" t="inlineStr">
        <is>
          <t>Bonus, Paid Leave</t>
        </is>
      </c>
      <c r="N9853" s="8">
        <f>HYPERLINK("https://www.vietnamworks.com/trade-marketing-specialist--2021833-jv","Xem chi tiết")</f>
        <v/>
      </c>
    </row>
    <row r="9854">
      <c r="B9854" s="9" t="n">
        <v>9852</v>
      </c>
      <c r="C9854" s="10" t="inlineStr">
        <is>
          <t>Senior Structural Engineer</t>
        </is>
      </c>
      <c r="D9854" s="10" t="inlineStr">
        <is>
          <t>MASSIVE STRUCTURE CONSULTING</t>
        </is>
      </c>
      <c r="E9854" s="10" t="inlineStr">
        <is>
          <t>Thương lượng</t>
        </is>
      </c>
      <c r="F9854" s="10" t="inlineStr">
        <is>
          <t>Hồ Chí Minh</t>
        </is>
      </c>
      <c r="G9854" s="10" t="inlineStr">
        <is>
          <t>Nhân viên</t>
        </is>
      </c>
      <c r="H9854" s="10" t="inlineStr">
        <is>
          <t>11/03/2026</t>
        </is>
      </c>
      <c r="I9854" s="10" t="inlineStr">
        <is>
          <t>10/04/2026</t>
        </is>
      </c>
      <c r="J9854" s="10" t="inlineStr">
        <is>
          <t>17/03/2026</t>
        </is>
      </c>
      <c r="K9854" s="10" t="inlineStr">
        <is>
          <t>N/A</t>
        </is>
      </c>
      <c r="L9854" s="10" t="inlineStr">
        <is>
          <t>Thiết Kế Kết Cấu, Tính Toán Kết Cấu, Thi Công Cáp Dự Ứng Lực, Tiếng Anh, Etabs</t>
        </is>
      </c>
      <c r="M9854" s="10" t="inlineStr">
        <is>
          <t>Bonus, Healthcare Plan, Training, Travel Opportunities, Others</t>
        </is>
      </c>
      <c r="N9854" s="11">
        <f>HYPERLINK("https://www.vietnamworks.com/senior-structural-engineer-2021827-jv","Xem chi tiết")</f>
        <v/>
      </c>
      <c r="O9854" s="10" t="n"/>
    </row>
    <row r="9855">
      <c r="B9855" s="7" t="n">
        <v>9853</v>
      </c>
      <c r="C9855" t="inlineStr">
        <is>
          <t>Chuyên Viên Hành Chính Nhân Sự</t>
        </is>
      </c>
      <c r="D9855" t="inlineStr">
        <is>
          <t>Công Ty Cổ Phần Tập Đoàn BRG</t>
        </is>
      </c>
      <c r="E9855" t="inlineStr">
        <is>
          <t>Thương lượng</t>
        </is>
      </c>
      <c r="F9855" t="inlineStr">
        <is>
          <t>Hồ Chí Minh</t>
        </is>
      </c>
      <c r="G9855" t="inlineStr">
        <is>
          <t>Nhân viên</t>
        </is>
      </c>
      <c r="H9855" t="inlineStr">
        <is>
          <t>11/03/2026</t>
        </is>
      </c>
      <c r="I9855" t="inlineStr">
        <is>
          <t>10/04/2026</t>
        </is>
      </c>
      <c r="J9855" t="inlineStr">
        <is>
          <t>17/03/2026</t>
        </is>
      </c>
      <c r="K9855" t="inlineStr">
        <is>
          <t>N/A</t>
        </is>
      </c>
      <c r="L9855" t="inlineStr">
        <is>
          <t>Nhân Sự Tổng Hợp, Hành Chính và Văn Phòng, C&amp;B, Nhân Sự</t>
        </is>
      </c>
      <c r="M9855" t="inlineStr">
        <is>
          <t>Bonus, Healthcare Plan, Travel Opportunities</t>
        </is>
      </c>
      <c r="N9855" s="8">
        <f>HYPERLINK("https://www.vietnamworks.com/chuyen-vien-hanh-chinh-nhan-su--2021836-jv","Xem chi tiết")</f>
        <v/>
      </c>
    </row>
    <row r="9856">
      <c r="B9856" s="9" t="n">
        <v>9854</v>
      </c>
      <c r="C9856" s="10" t="inlineStr">
        <is>
          <t>Assistant Sales Manager – North Region</t>
        </is>
      </c>
      <c r="D9856" s="10" t="inlineStr">
        <is>
          <t>Hino Motors Vietnam, LTD.</t>
        </is>
      </c>
      <c r="E9856" s="10" t="inlineStr">
        <is>
          <t>Thương lượng</t>
        </is>
      </c>
      <c r="F9856" s="10" t="inlineStr">
        <is>
          <t>Hà Nội</t>
        </is>
      </c>
      <c r="G9856" s="10" t="inlineStr">
        <is>
          <t>Trưởng phòng</t>
        </is>
      </c>
      <c r="H9856" s="10" t="inlineStr">
        <is>
          <t>11/03/2026</t>
        </is>
      </c>
      <c r="I9856" s="10" t="inlineStr">
        <is>
          <t>10/04/2026</t>
        </is>
      </c>
      <c r="J9856" s="10" t="inlineStr">
        <is>
          <t>17/03/2026</t>
        </is>
      </c>
      <c r="K9856" s="10" t="inlineStr">
        <is>
          <t>N/A</t>
        </is>
      </c>
      <c r="L9856" s="10" t="inlineStr">
        <is>
          <t>Sales Management, Dealer Management, Data Analysis, Communication Skills, Leadership</t>
        </is>
      </c>
      <c r="M9856" s="10" t="inlineStr">
        <is>
          <t>Bonus, Healthcare Plan, Paid Leave, Training, Travel Opportunities, Others</t>
        </is>
      </c>
      <c r="N9856" s="11">
        <f>HYPERLINK("https://www.vietnamworks.com/assistant-sales-manager-north-region-2021812-jv","Xem chi tiết")</f>
        <v/>
      </c>
      <c r="O9856" s="10" t="n"/>
    </row>
    <row r="9857">
      <c r="B9857" s="7" t="n">
        <v>9855</v>
      </c>
      <c r="C9857" t="inlineStr">
        <is>
          <t>Business Academy Manager - NAB Vietnam</t>
        </is>
      </c>
      <c r="D9857" t="inlineStr">
        <is>
          <t>NAB Innovation Centre Vietnam</t>
        </is>
      </c>
      <c r="E9857" t="inlineStr">
        <is>
          <t>Thương lượng</t>
        </is>
      </c>
      <c r="F9857" t="inlineStr">
        <is>
          <t>Hồ Chí Minh</t>
        </is>
      </c>
      <c r="G9857" t="inlineStr">
        <is>
          <t>Giám Đốc và Cấp Cao Hơn</t>
        </is>
      </c>
      <c r="H9857" t="inlineStr">
        <is>
          <t>11/03/2026</t>
        </is>
      </c>
      <c r="I9857" t="inlineStr">
        <is>
          <t>10/04/2026</t>
        </is>
      </c>
      <c r="J9857" t="inlineStr">
        <is>
          <t>17/03/2026</t>
        </is>
      </c>
      <c r="K9857" t="inlineStr">
        <is>
          <t>N/A</t>
        </is>
      </c>
      <c r="L9857" t="inlineStr">
        <is>
          <t>Communications, Learning Management System, English Language Proficiency, Stakeholder Mangement, Knowledge Management</t>
        </is>
      </c>
      <c r="M9857" t="inlineStr">
        <is>
          <t>Bonus, Healthcare Plan, Team Activities</t>
        </is>
      </c>
      <c r="N9857" s="8">
        <f>HYPERLINK("https://www.vietnamworks.com/business-academy-manager-nab-vietnam-2021818-jv","Xem chi tiết")</f>
        <v/>
      </c>
    </row>
    <row r="9858">
      <c r="B9858" s="9" t="n">
        <v>9856</v>
      </c>
      <c r="C9858" s="10" t="inlineStr">
        <is>
          <t>Project Manager</t>
        </is>
      </c>
      <c r="D9858" s="10" t="inlineStr">
        <is>
          <t>Hapam Vietnam Ltd.</t>
        </is>
      </c>
      <c r="E9858" s="10" t="inlineStr">
        <is>
          <t>Thương lượng</t>
        </is>
      </c>
      <c r="F9858" s="10" t="inlineStr">
        <is>
          <t>Hưng Yên, Hải Dương, Hà Nội</t>
        </is>
      </c>
      <c r="G9858" s="10" t="inlineStr">
        <is>
          <t>Nhân viên</t>
        </is>
      </c>
      <c r="H9858" s="10" t="inlineStr">
        <is>
          <t>11/03/2026</t>
        </is>
      </c>
      <c r="I9858" s="10" t="inlineStr">
        <is>
          <t>10/04/2026</t>
        </is>
      </c>
      <c r="J9858" s="10" t="inlineStr">
        <is>
          <t>17/03/2026</t>
        </is>
      </c>
      <c r="K9858" s="10" t="inlineStr">
        <is>
          <t>N/A</t>
        </is>
      </c>
      <c r="L9858" s="10" t="inlineStr">
        <is>
          <t>Invoicing, Manufacturing knowledge, Production Planning, Project Management</t>
        </is>
      </c>
      <c r="M9858" s="10" t="inlineStr">
        <is>
          <t>Paid Leave, Others</t>
        </is>
      </c>
      <c r="N9858" s="11">
        <f>HYPERLINK("https://www.vietnamworks.com/project-manager-2021846-jv","Xem chi tiết")</f>
        <v/>
      </c>
      <c r="O9858" s="10" t="n"/>
    </row>
    <row r="9859">
      <c r="B9859" s="7" t="n">
        <v>9857</v>
      </c>
      <c r="C9859" t="inlineStr">
        <is>
          <t>Analyst (Supplier Compliance, Promotions, Rebates, Pricing)</t>
        </is>
      </c>
      <c r="D9859" t="inlineStr">
        <is>
          <t>Profectus Vietnam Co. Ltd.</t>
        </is>
      </c>
      <c r="E9859" t="inlineStr">
        <is>
          <t>Thương lượng</t>
        </is>
      </c>
      <c r="F9859" t="inlineStr">
        <is>
          <t>Hồ Chí Minh</t>
        </is>
      </c>
      <c r="G9859" t="inlineStr">
        <is>
          <t>Nhân viên</t>
        </is>
      </c>
      <c r="H9859" t="inlineStr">
        <is>
          <t>11/03/2026</t>
        </is>
      </c>
      <c r="I9859" t="inlineStr">
        <is>
          <t>10/04/2026</t>
        </is>
      </c>
      <c r="J9859" t="inlineStr">
        <is>
          <t>17/03/2026</t>
        </is>
      </c>
      <c r="K9859" t="inlineStr">
        <is>
          <t>N/A</t>
        </is>
      </c>
      <c r="L9859" t="inlineStr">
        <is>
          <t>Data Analytics, Internal Audit, Compliance Auditing, Finance Analyst, Economic and Financial Analysis</t>
        </is>
      </c>
      <c r="M9859" t="inlineStr">
        <is>
          <t>Bonus, Healthcare Plan, Others</t>
        </is>
      </c>
      <c r="N9859" s="8">
        <f>HYPERLINK("https://www.vietnamworks.com/analyst-supplier-compliance-promotions-rebates-pricing--2021835-jv","Xem chi tiết")</f>
        <v/>
      </c>
    </row>
    <row r="9860">
      <c r="B9860" s="9" t="n">
        <v>9858</v>
      </c>
      <c r="C9860" s="10" t="inlineStr">
        <is>
          <t>Nhân Viên Phát Triển Sản Phẩm Hạt Giống Hoa Tại Đà Lạt, Lâm Đồng/ Flower Seed Product Development Staff in Lam Dong</t>
        </is>
      </c>
      <c r="D9860" s="10" t="inlineStr">
        <is>
          <t>Sakata Việt Nam</t>
        </is>
      </c>
      <c r="E9860" s="10" t="inlineStr">
        <is>
          <t>Tới 22tr ₫/tháng</t>
        </is>
      </c>
      <c r="F9860" s="10" t="inlineStr">
        <is>
          <t>Lâm Đồng</t>
        </is>
      </c>
      <c r="G9860" s="10" t="inlineStr">
        <is>
          <t>Nhân viên</t>
        </is>
      </c>
      <c r="H9860" s="10" t="inlineStr">
        <is>
          <t>11/03/2026</t>
        </is>
      </c>
      <c r="I9860" s="10" t="inlineStr">
        <is>
          <t>10/04/2026</t>
        </is>
      </c>
      <c r="J9860" s="10" t="inlineStr">
        <is>
          <t>17/03/2026</t>
        </is>
      </c>
      <c r="K9860" s="10" t="inlineStr">
        <is>
          <t>N/A</t>
        </is>
      </c>
      <c r="L9860" s="10" t="inlineStr">
        <is>
          <t>Nông nghiệp, Agriculture, Kỹ Thuật Trồng Trọt, Phát Triển Sản Phẩm, Tree Planting</t>
        </is>
      </c>
      <c r="M9860" s="10" t="inlineStr">
        <is>
          <t>Bonus, Training, Travel Opportunities</t>
        </is>
      </c>
      <c r="N9860" s="11">
        <f>HYPERLINK("https://www.vietnamworks.com/nhan-vien-phat-trien-san-pham-hat-giong-hoa-tai-dja-lat-lam-djong-flower-seed-product-development-staff-in-lam-dong-2021837-jv","Xem chi tiết")</f>
        <v/>
      </c>
      <c r="O9860" s="10" t="n"/>
    </row>
    <row r="9861">
      <c r="B9861" s="7" t="n">
        <v>9859</v>
      </c>
      <c r="C9861" t="inlineStr">
        <is>
          <t>Senior 4PL Customer Service Agent</t>
        </is>
      </c>
      <c r="D9861" t="inlineStr">
        <is>
          <t>Maersk Vietnam Ltd.</t>
        </is>
      </c>
      <c r="E9861" t="inlineStr">
        <is>
          <t>Thương lượng</t>
        </is>
      </c>
      <c r="F9861" t="inlineStr">
        <is>
          <t>Hồ Chí Minh</t>
        </is>
      </c>
      <c r="G9861" t="inlineStr">
        <is>
          <t>Nhân viên</t>
        </is>
      </c>
      <c r="H9861" t="inlineStr">
        <is>
          <t>11/03/2026</t>
        </is>
      </c>
      <c r="I9861" t="inlineStr">
        <is>
          <t>10/04/2026</t>
        </is>
      </c>
      <c r="J9861" t="inlineStr">
        <is>
          <t>17/03/2026</t>
        </is>
      </c>
      <c r="K9861" t="inlineStr">
        <is>
          <t>N/A</t>
        </is>
      </c>
      <c r="L9861" t="inlineStr">
        <is>
          <t>End to End Delivery, 4PL, Customer Service Management</t>
        </is>
      </c>
      <c r="M9861" t="inlineStr">
        <is>
          <t>Bonus, Healthcare Plan, Training</t>
        </is>
      </c>
      <c r="N9861" s="8">
        <f>HYPERLINK("https://www.vietnamworks.com/senior-4pl-customer-service-agent--2021839-jv","Xem chi tiết")</f>
        <v/>
      </c>
    </row>
    <row r="9862">
      <c r="B9862" s="9" t="n">
        <v>9860</v>
      </c>
      <c r="C9862" s="10" t="inlineStr">
        <is>
          <t>Trust &amp; Safety Community Content Specialist (French/Korean/Japanese/Mandarin Language)</t>
        </is>
      </c>
      <c r="D9862" s="10" t="inlineStr">
        <is>
          <t>Concentrix</t>
        </is>
      </c>
      <c r="E9862" s="10" t="inlineStr">
        <is>
          <t>20tr-25tr ₫/tháng</t>
        </is>
      </c>
      <c r="F9862" s="10" t="inlineStr">
        <is>
          <t>Hồ Chí Minh</t>
        </is>
      </c>
      <c r="G9862" s="10" t="inlineStr">
        <is>
          <t>Nhân viên</t>
        </is>
      </c>
      <c r="H9862" s="10" t="inlineStr">
        <is>
          <t>11/03/2026</t>
        </is>
      </c>
      <c r="I9862" s="10" t="inlineStr">
        <is>
          <t>10/04/2026</t>
        </is>
      </c>
      <c r="J9862" s="10" t="inlineStr">
        <is>
          <t>17/03/2026</t>
        </is>
      </c>
      <c r="K9862" s="10" t="inlineStr">
        <is>
          <t>N/A</t>
        </is>
      </c>
      <c r="L9862" s="10" t="inlineStr">
        <is>
          <t>Content Moderator, Trust &amp; Safety, BPO, Social Media, Content Review</t>
        </is>
      </c>
      <c r="M9862" s="10" t="inlineStr">
        <is>
          <t>Bonus, Healthcare Plan, Paid Leave, Others</t>
        </is>
      </c>
      <c r="N9862" s="11">
        <f>HYPERLINK("https://www.vietnamworks.com/trust-and-safety-community-content-specialist-frenchkoreanjapanesemandarin-language-2021848-jv","Xem chi tiết")</f>
        <v/>
      </c>
      <c r="O9862" s="10" t="n"/>
    </row>
    <row r="9863">
      <c r="B9863" s="7" t="n">
        <v>9861</v>
      </c>
      <c r="C9863" t="inlineStr">
        <is>
          <t>Nhân Viên Kế Toán Tổng Hợp</t>
        </is>
      </c>
      <c r="D9863" t="inlineStr">
        <is>
          <t>Công Ty TNHH Kobiznet Vina</t>
        </is>
      </c>
      <c r="E9863" t="inlineStr">
        <is>
          <t>Thương lượng</t>
        </is>
      </c>
      <c r="F9863" t="inlineStr">
        <is>
          <t>Hồ Chí Minh</t>
        </is>
      </c>
      <c r="G9863" t="inlineStr">
        <is>
          <t>Mới Tốt Nghiệp</t>
        </is>
      </c>
      <c r="H9863" t="inlineStr">
        <is>
          <t>11/03/2026</t>
        </is>
      </c>
      <c r="I9863" t="inlineStr">
        <is>
          <t>10/04/2026</t>
        </is>
      </c>
      <c r="J9863" t="inlineStr">
        <is>
          <t>17/03/2026</t>
        </is>
      </c>
      <c r="K9863" t="inlineStr">
        <is>
          <t>N/A</t>
        </is>
      </c>
      <c r="L9863" t="inlineStr">
        <is>
          <t>Hạch Toán, Quản Lý Chứng Từ, Phần Mềm Kế Toán, Theo Dõi Ngân Sách, Báo Cáo Tài Chính</t>
        </is>
      </c>
      <c r="M9863" t="inlineStr">
        <is>
          <t>Bonus, Healthcare Plan, Laptop</t>
        </is>
      </c>
      <c r="N9863" s="8">
        <f>HYPERLINK("https://www.vietnamworks.com/nhan-vien-ke-toan-tong-hop--2021868-jv","Xem chi tiết")</f>
        <v/>
      </c>
    </row>
    <row r="9864">
      <c r="B9864" s="9" t="n">
        <v>9862</v>
      </c>
      <c r="C9864" s="10" t="inlineStr">
        <is>
          <t>Trình Dược Viên (Thu Nhập 15 - 30 Triệu)</t>
        </is>
      </c>
      <c r="D9864" s="10" t="inlineStr">
        <is>
          <t>Công Ty TNHH Một Thành Viên Mỹ Phẩm Hoàng Huy</t>
        </is>
      </c>
      <c r="E9864" s="10" t="inlineStr">
        <is>
          <t>15tr-30tr ₫/tháng</t>
        </is>
      </c>
      <c r="F9864" s="10" t="inlineStr">
        <is>
          <t>Hồ Chí Minh</t>
        </is>
      </c>
      <c r="G9864" s="10" t="inlineStr">
        <is>
          <t>Nhân viên</t>
        </is>
      </c>
      <c r="H9864" s="10" t="inlineStr">
        <is>
          <t>11/03/2026</t>
        </is>
      </c>
      <c r="I9864" s="10" t="inlineStr">
        <is>
          <t>10/04/2026</t>
        </is>
      </c>
      <c r="J9864" s="10" t="inlineStr">
        <is>
          <t>17/03/2026</t>
        </is>
      </c>
      <c r="K9864" s="10" t="inlineStr">
        <is>
          <t>N/A</t>
        </is>
      </c>
      <c r="L9864" s="10" t="inlineStr">
        <is>
          <t>Thẩm Mỹ Da, Chăm Sóc Khách Hàng, Dược Phẩm, Phân Phối Dược Phẩm, Phát Triển Thị Trường</t>
        </is>
      </c>
      <c r="M9864" s="10" t="inlineStr">
        <is>
          <t>Bonus, Healthcare Plan, Others</t>
        </is>
      </c>
      <c r="N9864" s="11">
        <f>HYPERLINK("https://www.vietnamworks.com/trinh-duoc-vien-thu-nhap-15-30-trieu-2021849-jv","Xem chi tiết")</f>
        <v/>
      </c>
      <c r="O9864" s="10" t="n"/>
    </row>
    <row r="9865">
      <c r="B9865" s="7" t="n">
        <v>9863</v>
      </c>
      <c r="C9865" t="inlineStr">
        <is>
          <t>Kỹ Sư Xây Dựng Dân Dụng</t>
        </is>
      </c>
      <c r="D9865" t="inlineStr">
        <is>
          <t>CHI NHÁNH ĐẦU TƯ PHÁT TRIỂN HẠ TẦNG - TỔNG CÔNG TY XÂY DỰNG LŨNG LÔ</t>
        </is>
      </c>
      <c r="E9865" t="inlineStr">
        <is>
          <t>Thương lượng</t>
        </is>
      </c>
      <c r="F9865" t="inlineStr">
        <is>
          <t>Khánh Hòa, Hà Nội</t>
        </is>
      </c>
      <c r="G9865" t="inlineStr">
        <is>
          <t>Nhân viên</t>
        </is>
      </c>
      <c r="H9865" t="inlineStr">
        <is>
          <t>11/03/2026</t>
        </is>
      </c>
      <c r="I9865" t="inlineStr">
        <is>
          <t>10/04/2026</t>
        </is>
      </c>
      <c r="J9865" t="inlineStr">
        <is>
          <t>17/03/2026</t>
        </is>
      </c>
      <c r="K9865" t="inlineStr">
        <is>
          <t>N/A</t>
        </is>
      </c>
      <c r="L9865" t="inlineStr">
        <is>
          <t>Quản Lý Thi Công, Đọc Hiểu Bản Vẽ Kỹ Thuật, AutoCAD, Nghiệm Thu, Triển Khai Thiết Kế</t>
        </is>
      </c>
      <c r="M9865" t="inlineStr">
        <is>
          <t>Bonus, Healthcare Plan, Training, Travel Opportunities, Others</t>
        </is>
      </c>
      <c r="N9865" s="8">
        <f>HYPERLINK("https://www.vietnamworks.com/ky-su-xay-dung-dan-dung-2021873-jv","Xem chi tiết")</f>
        <v/>
      </c>
    </row>
    <row r="9866">
      <c r="B9866" s="9" t="n">
        <v>9864</v>
      </c>
      <c r="C9866" s="10" t="inlineStr">
        <is>
          <t>Head of Product Marketing - Mobile Experience Business</t>
        </is>
      </c>
      <c r="D9866" s="10" t="inlineStr">
        <is>
          <t>Samsung Vina Electronics (savina-s)</t>
        </is>
      </c>
      <c r="E9866" s="10" t="inlineStr">
        <is>
          <t>Thương lượng</t>
        </is>
      </c>
      <c r="F9866" s="10" t="inlineStr">
        <is>
          <t>Hồ Chí Minh</t>
        </is>
      </c>
      <c r="G9866" s="10" t="inlineStr">
        <is>
          <t>Giám Đốc và Cấp Cao Hơn</t>
        </is>
      </c>
      <c r="H9866" s="10" t="inlineStr">
        <is>
          <t>11/03/2026</t>
        </is>
      </c>
      <c r="I9866" s="10" t="inlineStr">
        <is>
          <t>10/04/2026</t>
        </is>
      </c>
      <c r="J9866" s="10" t="inlineStr">
        <is>
          <t>17/03/2026</t>
        </is>
      </c>
      <c r="K9866" s="10" t="inlineStr">
        <is>
          <t>N/A</t>
        </is>
      </c>
      <c r="L9866" s="10" t="inlineStr">
        <is>
          <t>Product Management, Product Manager, GTM Strategy</t>
        </is>
      </c>
      <c r="M9866" s="10" t="inlineStr">
        <is>
          <t>Bonus, Healthcare Plan</t>
        </is>
      </c>
      <c r="N9866" s="11">
        <f>HYPERLINK("https://www.vietnamworks.com/head-of-product-marketing-mobile-experience-business-2021863-jv","Xem chi tiết")</f>
        <v/>
      </c>
      <c r="O9866" s="10" t="n"/>
    </row>
    <row r="9867">
      <c r="B9867" s="7" t="n">
        <v>9865</v>
      </c>
      <c r="C9867" t="inlineStr">
        <is>
          <t>Project Manager – Enterprise Implementation (Non-Tech)</t>
        </is>
      </c>
      <c r="D9867" t="inlineStr">
        <is>
          <t>CÔNG TY TNHH DỊCH VỤ CÔNG NGHỆ NANO TECHNOLOGIES VIỆT NAM</t>
        </is>
      </c>
      <c r="E9867" t="inlineStr">
        <is>
          <t>$$ 1,000-1,500 /tháng</t>
        </is>
      </c>
      <c r="F9867" t="inlineStr">
        <is>
          <t>Hà Nội</t>
        </is>
      </c>
      <c r="G9867" t="inlineStr">
        <is>
          <t>Nhân viên</t>
        </is>
      </c>
      <c r="H9867" t="inlineStr">
        <is>
          <t>11/03/2026</t>
        </is>
      </c>
      <c r="I9867" t="inlineStr">
        <is>
          <t>10/04/2026</t>
        </is>
      </c>
      <c r="J9867" t="inlineStr">
        <is>
          <t>17/03/2026</t>
        </is>
      </c>
      <c r="K9867" t="inlineStr">
        <is>
          <t>N/A</t>
        </is>
      </c>
      <c r="L9867" t="inlineStr">
        <is>
          <t>Communication Skills, Project Management, Stakeholder Management, Task Coordination, Hrtech Experience</t>
        </is>
      </c>
      <c r="M9867" t="inlineStr">
        <is>
          <t>Bonus, Healthcare Plan, Team Activities, Others</t>
        </is>
      </c>
      <c r="N9867" s="8">
        <f>HYPERLINK("https://www.vietnamworks.com/project-manager-enterprise-implementation-non-tech-2021861-jv","Xem chi tiết")</f>
        <v/>
      </c>
    </row>
    <row r="9868">
      <c r="B9868" s="9" t="n">
        <v>9866</v>
      </c>
      <c r="C9868" s="10" t="inlineStr">
        <is>
          <t>Nhân Viên Phân Tích Lỗi Công Đoạn “Main Pqc”</t>
        </is>
      </c>
      <c r="D9868" s="10" t="inlineStr">
        <is>
          <t>Hansol Electronics Vietnam Co.,ltd</t>
        </is>
      </c>
      <c r="E9868" s="10" t="inlineStr">
        <is>
          <t>Thương lượng</t>
        </is>
      </c>
      <c r="F9868" s="10" t="inlineStr">
        <is>
          <t>Thái Nguyên, Hà Nội, Bắc Ninh</t>
        </is>
      </c>
      <c r="G9868" s="10" t="inlineStr">
        <is>
          <t>Nhân viên</t>
        </is>
      </c>
      <c r="H9868" s="10" t="inlineStr">
        <is>
          <t>11/03/2026</t>
        </is>
      </c>
      <c r="I9868" s="10" t="inlineStr">
        <is>
          <t>10/04/2026</t>
        </is>
      </c>
      <c r="J9868" s="10" t="inlineStr">
        <is>
          <t>17/03/2026</t>
        </is>
      </c>
      <c r="K9868" s="10" t="inlineStr">
        <is>
          <t>N/A</t>
        </is>
      </c>
      <c r="L9868" s="10" t="inlineStr">
        <is>
          <t>7QC Tools, Failure Analysis, PQC, Quality Improvement Tools, Quản lý chất lượng</t>
        </is>
      </c>
      <c r="M9868" s="10" t="inlineStr">
        <is>
          <t>Bonus, Healthcare Plan, Awards, Travel Opportunities, Transportation, Canteen</t>
        </is>
      </c>
      <c r="N9868" s="11">
        <f>HYPERLINK("https://www.vietnamworks.com/nhan-vien-phan-tich-loi-cong-djoan-main-pqc-2021899-jv","Xem chi tiết")</f>
        <v/>
      </c>
      <c r="O9868" s="10" t="n"/>
    </row>
    <row r="9869">
      <c r="B9869" s="7" t="n">
        <v>9867</v>
      </c>
      <c r="C9869" t="inlineStr">
        <is>
          <t>Legal Manager</t>
        </is>
      </c>
      <c r="D9869" t="inlineStr">
        <is>
          <t>CÔNG TY TNHH GS 25 VIETNAM</t>
        </is>
      </c>
      <c r="E9869" t="inlineStr">
        <is>
          <t>Thương lượng</t>
        </is>
      </c>
      <c r="F9869" t="inlineStr">
        <is>
          <t>Hồ Chí Minh</t>
        </is>
      </c>
      <c r="G9869" t="inlineStr">
        <is>
          <t>Trưởng phòng</t>
        </is>
      </c>
      <c r="H9869" t="inlineStr">
        <is>
          <t>11/03/2026</t>
        </is>
      </c>
      <c r="I9869" t="inlineStr">
        <is>
          <t>10/04/2026</t>
        </is>
      </c>
      <c r="J9869" t="inlineStr">
        <is>
          <t>17/03/2026</t>
        </is>
      </c>
      <c r="K9869" t="inlineStr">
        <is>
          <t>N/A</t>
        </is>
      </c>
      <c r="L9869" t="inlineStr">
        <is>
          <t>Communication Skills, Compliance Management, Contract Management, Legal Advise, Litigation Management</t>
        </is>
      </c>
      <c r="M9869" t="inlineStr">
        <is>
          <t>Healthcare Plan, Paid Leave, Laptop</t>
        </is>
      </c>
      <c r="N9869" s="8">
        <f>HYPERLINK("https://www.vietnamworks.com/legal-manager-2021875-jv","Xem chi tiết")</f>
        <v/>
      </c>
    </row>
    <row r="9870">
      <c r="B9870" s="9" t="n">
        <v>9868</v>
      </c>
      <c r="C9870" s="10" t="inlineStr">
        <is>
          <t>Kỹ Sư Điện</t>
        </is>
      </c>
      <c r="D9870" s="10" t="inlineStr">
        <is>
          <t>Công Ty TNHH VSIP Bắc Ninh</t>
        </is>
      </c>
      <c r="E9870" s="10" t="inlineStr">
        <is>
          <t>$$ 14tr-20tr /tháng</t>
        </is>
      </c>
      <c r="F9870" s="10" t="inlineStr">
        <is>
          <t>Bắc Ninh, Lạng Sơn</t>
        </is>
      </c>
      <c r="G9870" s="10" t="inlineStr">
        <is>
          <t>Nhân viên</t>
        </is>
      </c>
      <c r="H9870" s="10" t="inlineStr">
        <is>
          <t>11/03/2026</t>
        </is>
      </c>
      <c r="I9870" s="10" t="inlineStr">
        <is>
          <t>10/04/2026</t>
        </is>
      </c>
      <c r="J9870" s="10" t="inlineStr">
        <is>
          <t>17/03/2026</t>
        </is>
      </c>
      <c r="K9870" s="10" t="inlineStr">
        <is>
          <t>N/A</t>
        </is>
      </c>
      <c r="L9870" s="10" t="inlineStr">
        <is>
          <t>AutoCAD, M&amp;E, Cơ Điện, Cơ Khí, Đọc Hiểu Bản Vẽ Kỹ Thuật</t>
        </is>
      </c>
      <c r="M9870" s="10" t="inlineStr">
        <is>
          <t>Bonus, Healthcare Plan, Others</t>
        </is>
      </c>
      <c r="N9870" s="11">
        <f>HYPERLINK("https://www.vietnamworks.com/ky-su-dien--2021879-jv","Xem chi tiết")</f>
        <v/>
      </c>
      <c r="O9870" s="10" t="n"/>
    </row>
    <row r="9871">
      <c r="B9871" s="7" t="n">
        <v>9869</v>
      </c>
      <c r="C9871" t="inlineStr">
        <is>
          <t>Trưởng Nhóm Chăm Sóc Khách Hàng (Customer Service Team Leader Sea Freight)</t>
        </is>
      </c>
      <c r="D9871" t="inlineStr">
        <is>
          <t>CÔNG TY TNHH XNK - VẬN TẢI TAM HÂN</t>
        </is>
      </c>
      <c r="E9871" t="inlineStr">
        <is>
          <t>Từ 25tr ₫/tháng</t>
        </is>
      </c>
      <c r="F9871" t="inlineStr">
        <is>
          <t>Hồ Chí Minh</t>
        </is>
      </c>
      <c r="G9871" t="inlineStr">
        <is>
          <t>Trưởng phòng</t>
        </is>
      </c>
      <c r="H9871" t="inlineStr">
        <is>
          <t>11/03/2026</t>
        </is>
      </c>
      <c r="I9871" t="inlineStr">
        <is>
          <t>10/04/2026</t>
        </is>
      </c>
      <c r="J9871" t="inlineStr">
        <is>
          <t>17/03/2026</t>
        </is>
      </c>
      <c r="K9871" t="inlineStr">
        <is>
          <t>N/A</t>
        </is>
      </c>
      <c r="L9871" t="inlineStr">
        <is>
          <t>Tiếng Trung, Tiếng Việt, Giao Tiếp, Chăm Sóc Khách Hàng, Quản Lý Đội Nhóm</t>
        </is>
      </c>
      <c r="M9871" t="inlineStr">
        <is>
          <t>Bonus</t>
        </is>
      </c>
      <c r="N9871" s="8">
        <f>HYPERLINK("https://www.vietnamworks.com/truong-nhom-cham-soc-khach-hang-customer-service-team-leader-sea-freight-2021870-jv","Xem chi tiết")</f>
        <v/>
      </c>
    </row>
    <row r="9872">
      <c r="B9872" s="9" t="n">
        <v>9870</v>
      </c>
      <c r="C9872" s="10" t="inlineStr">
        <is>
          <t>Chuyên Viên Hành Chính Nhân Sự Tổng Hợp</t>
        </is>
      </c>
      <c r="D9872" s="10" t="inlineStr">
        <is>
          <t>CÔNG TY CỔ PHẦN MOTARO GROUP</t>
        </is>
      </c>
      <c r="E9872" s="10" t="inlineStr">
        <is>
          <t>12tr-15tr ₫/tháng</t>
        </is>
      </c>
      <c r="F9872" s="10" t="inlineStr">
        <is>
          <t>Hà Nội</t>
        </is>
      </c>
      <c r="G9872" s="10" t="inlineStr">
        <is>
          <t>Nhân viên</t>
        </is>
      </c>
      <c r="H9872" s="10" t="inlineStr">
        <is>
          <t>11/03/2026</t>
        </is>
      </c>
      <c r="I9872" s="10" t="inlineStr">
        <is>
          <t>10/04/2026</t>
        </is>
      </c>
      <c r="J9872" s="10" t="inlineStr">
        <is>
          <t>17/03/2026</t>
        </is>
      </c>
      <c r="K9872" s="10" t="inlineStr">
        <is>
          <t>N/A</t>
        </is>
      </c>
      <c r="L9872" s="10" t="inlineStr">
        <is>
          <t>Tuyển Dụng, Quản Lý Dữ Liệu, Tin Học Văn Phòng, Hành Chính, Chăm sóc</t>
        </is>
      </c>
      <c r="M9872" s="10" t="inlineStr">
        <is>
          <t>Bonus, Healthcare Plan, Paid Leave, Training, Team Activities, Others</t>
        </is>
      </c>
      <c r="N9872" s="11">
        <f>HYPERLINK("https://www.vietnamworks.com/chuyen-vien-hanh-chinh-nhan-su-tong-hop-2021872-jv","Xem chi tiết")</f>
        <v/>
      </c>
      <c r="O9872" s="10" t="n"/>
    </row>
    <row r="9873">
      <c r="B9873" s="7" t="n">
        <v>9871</v>
      </c>
      <c r="C9873" t="inlineStr">
        <is>
          <t>Design Staff - Nhân Viên Thiết Kế</t>
        </is>
      </c>
      <c r="D9873" t="inlineStr">
        <is>
          <t>Kanepackage Viet Nam CO., LTD</t>
        </is>
      </c>
      <c r="E9873" t="inlineStr">
        <is>
          <t>$$ 400-700 /tháng</t>
        </is>
      </c>
      <c r="F9873" t="inlineStr">
        <is>
          <t>Hà Nội</t>
        </is>
      </c>
      <c r="G9873" t="inlineStr">
        <is>
          <t>Nhân viên</t>
        </is>
      </c>
      <c r="H9873" t="inlineStr">
        <is>
          <t>11/03/2026</t>
        </is>
      </c>
      <c r="I9873" t="inlineStr">
        <is>
          <t>10/04/2026</t>
        </is>
      </c>
      <c r="J9873" t="inlineStr">
        <is>
          <t>17/03/2026</t>
        </is>
      </c>
      <c r="K9873" t="inlineStr">
        <is>
          <t>N/A</t>
        </is>
      </c>
      <c r="L9873" t="inlineStr">
        <is>
          <t>Industrial Design, Technical Drawing, AutoCAD, Adobe Illustrator, Solidworks Electrical</t>
        </is>
      </c>
      <c r="M9873" t="inlineStr">
        <is>
          <t>Bonus, Paid Leave, Team Activities</t>
        </is>
      </c>
      <c r="N9873" s="8">
        <f>HYPERLINK("https://www.vietnamworks.com/design-staff-nhan-vien-thiet-ke--2021881-jv","Xem chi tiết")</f>
        <v/>
      </c>
    </row>
    <row r="9874">
      <c r="B9874" s="9" t="n">
        <v>9872</v>
      </c>
      <c r="C9874" s="10" t="inlineStr">
        <is>
          <t>Marketing Executive</t>
        </is>
      </c>
      <c r="D9874" s="10" t="inlineStr">
        <is>
          <t>Công ty TNHH LUXURY CASA</t>
        </is>
      </c>
      <c r="E9874" s="10" t="inlineStr">
        <is>
          <t>15tr-22tr ₫/tháng</t>
        </is>
      </c>
      <c r="F9874" s="10" t="inlineStr">
        <is>
          <t>Hồ Chí Minh</t>
        </is>
      </c>
      <c r="G9874" s="10" t="inlineStr">
        <is>
          <t>Nhân viên</t>
        </is>
      </c>
      <c r="H9874" s="10" t="inlineStr">
        <is>
          <t>11/03/2026</t>
        </is>
      </c>
      <c r="I9874" s="10" t="inlineStr">
        <is>
          <t>10/04/2026</t>
        </is>
      </c>
      <c r="J9874" s="10" t="inlineStr">
        <is>
          <t>17/03/2026</t>
        </is>
      </c>
      <c r="K9874" s="10" t="inlineStr">
        <is>
          <t>N/A</t>
        </is>
      </c>
      <c r="L9874" s="10" t="inlineStr">
        <is>
          <t>Digital Marketing, Content Writing, Social Media Management, Online Advertising, Teamwork</t>
        </is>
      </c>
      <c r="M9874" s="10" t="inlineStr">
        <is>
          <t>Bonus, Healthcare Plan, Training</t>
        </is>
      </c>
      <c r="N9874" s="11">
        <f>HYPERLINK("https://www.vietnamworks.com/marketing-executive-2021890-jv","Xem chi tiết")</f>
        <v/>
      </c>
      <c r="O9874" s="10" t="n"/>
    </row>
    <row r="9875">
      <c r="B9875" s="7" t="n">
        <v>9873</v>
      </c>
      <c r="C9875" t="inlineStr">
        <is>
          <t>Tuyển Gấp Chuyên Viên Kế Toán Tổng Hợp (20M -22M/tháng)</t>
        </is>
      </c>
      <c r="D9875" t="inlineStr">
        <is>
          <t>CÔNG TY TNHH XUẤT NHẬP KHẨU GOLDEN BEE</t>
        </is>
      </c>
      <c r="E9875" t="inlineStr">
        <is>
          <t>20tr-22tr ₫/tháng</t>
        </is>
      </c>
      <c r="F9875" t="inlineStr">
        <is>
          <t>Hồ Chí Minh</t>
        </is>
      </c>
      <c r="G9875" t="inlineStr">
        <is>
          <t>Nhân viên</t>
        </is>
      </c>
      <c r="H9875" t="inlineStr">
        <is>
          <t>11/03/2026</t>
        </is>
      </c>
      <c r="I9875" t="inlineStr">
        <is>
          <t>10/04/2026</t>
        </is>
      </c>
      <c r="J9875" t="inlineStr">
        <is>
          <t>17/03/2026</t>
        </is>
      </c>
      <c r="K9875" t="inlineStr">
        <is>
          <t>N/A</t>
        </is>
      </c>
      <c r="L9875" t="inlineStr">
        <is>
          <t>Kế Toán, Kế Toán Tổng Hợp, Phần Mềm Kế Toán, Tài Chính, Thuế</t>
        </is>
      </c>
      <c r="M9875" t="inlineStr">
        <is>
          <t>Healthcare Plan, Team Activities</t>
        </is>
      </c>
      <c r="N9875" s="8">
        <f>HYPERLINK("https://www.vietnamworks.com/tuyen-gap-chuyen-vien-ke-toan-tong-hop-20m-22m-thang-2021896-jv","Xem chi tiết")</f>
        <v/>
      </c>
    </row>
    <row r="9876">
      <c r="B9876" s="9" t="n">
        <v>9874</v>
      </c>
      <c r="C9876" s="10" t="inlineStr">
        <is>
          <t>Chuyên Viên Kinh Doanh</t>
        </is>
      </c>
      <c r="D9876" s="10" t="inlineStr">
        <is>
          <t>Công ty TNHH LUXURY CASA</t>
        </is>
      </c>
      <c r="E9876" s="10" t="inlineStr">
        <is>
          <t>20tr-50tr ₫/tháng</t>
        </is>
      </c>
      <c r="F9876" s="10" t="inlineStr">
        <is>
          <t>Hồ Chí Minh</t>
        </is>
      </c>
      <c r="G9876" s="10" t="inlineStr">
        <is>
          <t>Nhân viên</t>
        </is>
      </c>
      <c r="H9876" s="10" t="inlineStr">
        <is>
          <t>11/03/2026</t>
        </is>
      </c>
      <c r="I9876" s="10" t="inlineStr">
        <is>
          <t>10/04/2026</t>
        </is>
      </c>
      <c r="J9876" s="10" t="inlineStr">
        <is>
          <t>17/03/2026</t>
        </is>
      </c>
      <c r="K9876" s="10" t="inlineStr">
        <is>
          <t>N/A</t>
        </is>
      </c>
      <c r="L9876" s="10" t="inlineStr">
        <is>
          <t>Tư Vấn Khách Hàng, Xây Dựng, Kinh Doanh B2B, Phát Triển Kinh Doanh, Sales Development</t>
        </is>
      </c>
      <c r="M9876" s="10" t="inlineStr">
        <is>
          <t>Bonus, Healthcare Plan, Training, Awards, Others</t>
        </is>
      </c>
      <c r="N9876" s="11">
        <f>HYPERLINK("https://www.vietnamworks.com/chuyen-vien-kinh-doanh-2021887-jv","Xem chi tiết")</f>
        <v/>
      </c>
      <c r="O9876" s="10" t="n"/>
    </row>
    <row r="9877">
      <c r="B9877" s="7" t="n">
        <v>9875</v>
      </c>
      <c r="C9877" t="inlineStr">
        <is>
          <t>Nhân Viên Khai Báo Hải Quan</t>
        </is>
      </c>
      <c r="D9877" t="inlineStr">
        <is>
          <t>Bee Logistics Corporation</t>
        </is>
      </c>
      <c r="E9877" t="inlineStr">
        <is>
          <t>10,000-16,000 ₫/tháng</t>
        </is>
      </c>
      <c r="F9877" t="inlineStr">
        <is>
          <t>Hải Phòng, Nam Định</t>
        </is>
      </c>
      <c r="G9877" t="inlineStr">
        <is>
          <t>Nhân viên</t>
        </is>
      </c>
      <c r="H9877" t="inlineStr">
        <is>
          <t>11/03/2026</t>
        </is>
      </c>
      <c r="I9877" t="inlineStr">
        <is>
          <t>10/04/2026</t>
        </is>
      </c>
      <c r="J9877" t="inlineStr">
        <is>
          <t>17/03/2026</t>
        </is>
      </c>
      <c r="K9877" t="inlineStr">
        <is>
          <t>N/A</t>
        </is>
      </c>
      <c r="L9877" t="inlineStr">
        <is>
          <t>Giải Quyết Khiếu Nại, Khai Báo Hải Quan, Làm việc độc lập, Tư Vấn Khách Hàng, Xử Lý Thông Tin</t>
        </is>
      </c>
      <c r="M9877" t="inlineStr">
        <is>
          <t>Bonus, Healthcare Plan, Paid Leave, Travel Opportunities, Others</t>
        </is>
      </c>
      <c r="N9877" s="8">
        <f>HYPERLINK("https://www.vietnamworks.com/nhan-vien-khai-bao-hai-quan-2021885-jv","Xem chi tiết")</f>
        <v/>
      </c>
    </row>
    <row r="9878">
      <c r="B9878" s="9" t="n">
        <v>9876</v>
      </c>
      <c r="C9878" s="10" t="inlineStr">
        <is>
          <t>Quản Lý Bán Hàng</t>
        </is>
      </c>
      <c r="D9878" s="10" t="inlineStr">
        <is>
          <t>MOTO CAFE</t>
        </is>
      </c>
      <c r="E9878" s="10" t="inlineStr">
        <is>
          <t>11tr-15tr ₫/tháng</t>
        </is>
      </c>
      <c r="F9878" s="10" t="inlineStr">
        <is>
          <t>Hồ Chí Minh</t>
        </is>
      </c>
      <c r="G9878" s="10" t="inlineStr">
        <is>
          <t>Trưởng phòng</t>
        </is>
      </c>
      <c r="H9878" s="10" t="inlineStr">
        <is>
          <t>11/03/2026</t>
        </is>
      </c>
      <c r="I9878" s="10" t="inlineStr">
        <is>
          <t>10/04/2026</t>
        </is>
      </c>
      <c r="J9878" s="10" t="inlineStr">
        <is>
          <t>17/03/2026</t>
        </is>
      </c>
      <c r="K9878" s="10" t="inlineStr">
        <is>
          <t>N/A</t>
        </is>
      </c>
      <c r="L9878" s="10" t="inlineStr">
        <is>
          <t>Quản Lý Bán Hàng, Kỹ năng giao tiêp, Kỹ năng xử lý tình huống, Sử Dụng Phần Mềm Máy Tính, Quản Lý</t>
        </is>
      </c>
      <c r="M9878" s="10" t="inlineStr">
        <is>
          <t>Bonus, Healthcare Plan, Others</t>
        </is>
      </c>
      <c r="N9878" s="11">
        <f>HYPERLINK("https://www.vietnamworks.com/quan-ly-ban-hang-2021898-jv","Xem chi tiết")</f>
        <v/>
      </c>
      <c r="O9878" s="10" t="n"/>
    </row>
    <row r="9879">
      <c r="B9879" s="7" t="n">
        <v>9877</v>
      </c>
      <c r="C9879" t="inlineStr">
        <is>
          <t>Nhân Viên Nhập Liệu</t>
        </is>
      </c>
      <c r="D9879" t="inlineStr">
        <is>
          <t>CÔNG TY TNHH MAY XUẤT KHẨU THIÊN TÂN</t>
        </is>
      </c>
      <c r="E9879" t="inlineStr">
        <is>
          <t>Thương lượng</t>
        </is>
      </c>
      <c r="F9879" t="inlineStr">
        <is>
          <t>Hà Nội</t>
        </is>
      </c>
      <c r="G9879" t="inlineStr">
        <is>
          <t>Nhân viên</t>
        </is>
      </c>
      <c r="H9879" t="inlineStr">
        <is>
          <t>11/03/2026</t>
        </is>
      </c>
      <c r="I9879" t="inlineStr">
        <is>
          <t>10/04/2026</t>
        </is>
      </c>
      <c r="J9879" t="inlineStr">
        <is>
          <t>17/03/2026</t>
        </is>
      </c>
      <c r="K9879" t="inlineStr">
        <is>
          <t>N/A</t>
        </is>
      </c>
      <c r="L9879" t="inlineStr">
        <is>
          <t xml:space="preserve"> Chứng Từ Kế Toán, MS Excel, Nhập Dữ Liệu, Tiếng Anh, Đối Chiếu Dữ Liệu</t>
        </is>
      </c>
      <c r="M9879" t="inlineStr">
        <is>
          <t>Bonus, Team Activities, Others</t>
        </is>
      </c>
      <c r="N9879" s="8">
        <f>HYPERLINK("https://www.vietnamworks.com/nhan-vien-nhap-lieu-2021883-jv","Xem chi tiết")</f>
        <v/>
      </c>
    </row>
    <row r="9880">
      <c r="B9880" s="9" t="n">
        <v>9878</v>
      </c>
      <c r="C9880" s="10" t="inlineStr">
        <is>
          <t>Trưởng Bộ Phận Phát Triển Hệ Thống Đại Lý &amp; Showroom (Ngành Nội Thất)</t>
        </is>
      </c>
      <c r="D9880" s="10" t="inlineStr">
        <is>
          <t>Công ty TNHH tư vấn kiến trúc TLI Hà Nội</t>
        </is>
      </c>
      <c r="E9880" s="10" t="inlineStr">
        <is>
          <t>Thương lượng</t>
        </is>
      </c>
      <c r="F9880" s="10" t="inlineStr">
        <is>
          <t>Hà Nội</t>
        </is>
      </c>
      <c r="G9880" s="10" t="inlineStr">
        <is>
          <t>Trưởng phòng</t>
        </is>
      </c>
      <c r="H9880" s="10" t="inlineStr">
        <is>
          <t>11/03/2026</t>
        </is>
      </c>
      <c r="I9880" s="10" t="inlineStr">
        <is>
          <t>10/04/2026</t>
        </is>
      </c>
      <c r="J9880" s="10" t="inlineStr">
        <is>
          <t>17/03/2026</t>
        </is>
      </c>
      <c r="K9880" s="10" t="inlineStr">
        <is>
          <t>N/A</t>
        </is>
      </c>
      <c r="L9880" s="10" t="inlineStr">
        <is>
          <t>Quản Lý Kênh Phân Phối, Tư Vấn Nội Thất</t>
        </is>
      </c>
      <c r="M9880" s="10" t="inlineStr">
        <is>
          <t>Bonus, Others</t>
        </is>
      </c>
      <c r="N9880" s="11">
        <f>HYPERLINK("https://www.vietnamworks.com/truong-bo-phan-phat-trien-he-thong-dai-ly-showroom-nganh-noi-that-2021897-jv","Xem chi tiết")</f>
        <v/>
      </c>
      <c r="O9880" s="10" t="n"/>
    </row>
    <row r="9881">
      <c r="B9881" s="7" t="n">
        <v>9879</v>
      </c>
      <c r="C9881" t="inlineStr">
        <is>
          <t>RSM - Quản Lý Kinh Doanh Miền Bắc (Mạnh GT &amp; TMĐT Shopee Tiktok)</t>
        </is>
      </c>
      <c r="D9881" t="inlineStr">
        <is>
          <t>CÔNG TY CỔ PHẦN PHÂN PHỐI QUỐC TẾ GENEX</t>
        </is>
      </c>
      <c r="E9881" t="inlineStr">
        <is>
          <t>50tr-60tr ₫/tháng</t>
        </is>
      </c>
      <c r="F9881" t="inlineStr">
        <is>
          <t>Hà Nội</t>
        </is>
      </c>
      <c r="G9881" t="inlineStr">
        <is>
          <t>Trưởng phòng</t>
        </is>
      </c>
      <c r="H9881" t="inlineStr">
        <is>
          <t>11/03/2026</t>
        </is>
      </c>
      <c r="I9881" t="inlineStr">
        <is>
          <t>10/04/2026</t>
        </is>
      </c>
      <c r="J9881" t="inlineStr">
        <is>
          <t>17/03/2026</t>
        </is>
      </c>
      <c r="K9881" t="inlineStr">
        <is>
          <t>N/A</t>
        </is>
      </c>
      <c r="L9881" t="inlineStr">
        <is>
          <t>Lãnh Đạo, Lập Kế Hoạch, Phân Tích Thị Trường, Quản Trị Khách Hàng, Giao Tiếp</t>
        </is>
      </c>
      <c r="M9881" t="inlineStr">
        <is>
          <t>Bonus, Healthcare Plan, Paid Leave, Others</t>
        </is>
      </c>
      <c r="N9881" s="8">
        <f>HYPERLINK("https://www.vietnamworks.com/rsm-quan-ly-kinh-doanh-mien-bac-manh-gt-tmdt-shopee-tiktok-2021886-jv","Xem chi tiết")</f>
        <v/>
      </c>
    </row>
    <row r="9882">
      <c r="B9882" s="9" t="n">
        <v>9880</v>
      </c>
      <c r="C9882" s="10" t="inlineStr">
        <is>
          <t>Nhân Viên Kinh Doanh/sales (B2B Nguyên Liệu Thực Phẩm &amp; Hóa Mỹ Phẩm) Tại Hà Nội Và Hồ Chí Minh</t>
        </is>
      </c>
      <c r="D9882" s="10" t="inlineStr">
        <is>
          <t>Công Ty Cổ Phần Đầu Tư Và Xuất Nhập Khẩu Malt Minh Kiến</t>
        </is>
      </c>
      <c r="E9882" s="10" t="inlineStr">
        <is>
          <t>Từ 25tr ₫/tháng</t>
        </is>
      </c>
      <c r="F9882" s="10" t="inlineStr">
        <is>
          <t>Hà Nội, Hồ Chí Minh</t>
        </is>
      </c>
      <c r="G9882" s="10" t="inlineStr">
        <is>
          <t>Nhân viên</t>
        </is>
      </c>
      <c r="H9882" s="10" t="inlineStr">
        <is>
          <t>11/03/2026</t>
        </is>
      </c>
      <c r="I9882" s="10" t="inlineStr">
        <is>
          <t>10/04/2026</t>
        </is>
      </c>
      <c r="J9882" s="10" t="inlineStr">
        <is>
          <t>17/03/2026</t>
        </is>
      </c>
      <c r="K9882" s="10" t="inlineStr">
        <is>
          <t>N/A</t>
        </is>
      </c>
      <c r="L9882" s="10" t="inlineStr">
        <is>
          <t>Quản Trị Kinh Doanh, Công Nghệ Thực Phẩm, Tư Vấn Bán Hàng, Hóa Mỹ Phẩm, Sales B2B</t>
        </is>
      </c>
      <c r="M9882" s="10" t="inlineStr">
        <is>
          <t>Bonus, Healthcare Plan, Training, Mobile, Others</t>
        </is>
      </c>
      <c r="N9882" s="11">
        <f>HYPERLINK("https://www.vietnamworks.com/nhan-vien-kinh-doanh-sales-b2b-nguyen-lieu-thuc-pham-hoa-my-pham-tai-ha-noi-va-ho-chi-minh-2021888-jv","Xem chi tiết")</f>
        <v/>
      </c>
      <c r="O9882" s="10" t="n"/>
    </row>
    <row r="9883">
      <c r="B9883" s="7" t="n">
        <v>9881</v>
      </c>
      <c r="C9883" t="inlineStr">
        <is>
          <t>Trưởng Nhóm Kỹ Sư Thiết Kế Cơ Khí (Jig/ Máy Tự Động)</t>
        </is>
      </c>
      <c r="D9883" t="inlineStr">
        <is>
          <t>CÔNG TY TNHH CƠ KHÍ VIMECH</t>
        </is>
      </c>
      <c r="E9883" t="inlineStr">
        <is>
          <t>15tr-25tr ₫/tháng</t>
        </is>
      </c>
      <c r="F9883" t="inlineStr">
        <is>
          <t>Hà Nội</t>
        </is>
      </c>
      <c r="G9883" t="inlineStr">
        <is>
          <t>Trưởng phòng</t>
        </is>
      </c>
      <c r="H9883" t="inlineStr">
        <is>
          <t>11/03/2026</t>
        </is>
      </c>
      <c r="I9883" t="inlineStr">
        <is>
          <t>10/04/2026</t>
        </is>
      </c>
      <c r="J9883" t="inlineStr">
        <is>
          <t>17/03/2026</t>
        </is>
      </c>
      <c r="K9883" t="inlineStr">
        <is>
          <t>N/A</t>
        </is>
      </c>
      <c r="L9883" t="inlineStr">
        <is>
          <t>CATIA, Quản Lý Đội Nhóm, SolidWorks, Thiết Kế Máy Tự Động, Thiết Kế Đồ Gá JIG</t>
        </is>
      </c>
      <c r="M9883" t="inlineStr">
        <is>
          <t>Bonus, Healthcare Plan, Awards, Others</t>
        </is>
      </c>
      <c r="N9883" s="8">
        <f>HYPERLINK("https://www.vietnamworks.com/truong-nhom-ky-su-thiet-ke-co-khi-jig-may-tu-dong-2021902-jv","Xem chi tiết")</f>
        <v/>
      </c>
    </row>
    <row r="9884">
      <c r="B9884" s="9" t="n">
        <v>9882</v>
      </c>
      <c r="C9884" s="10" t="inlineStr">
        <is>
          <t>Tuyển Gấp Kỹ Thuật Viên “Trung Cấp / Cao Đẳng”</t>
        </is>
      </c>
      <c r="D9884" s="10" t="inlineStr">
        <is>
          <t>Hansol Electronics Vietnam Co.,ltd</t>
        </is>
      </c>
      <c r="E9884" s="10" t="inlineStr">
        <is>
          <t>Thương lượng</t>
        </is>
      </c>
      <c r="F9884" s="10" t="inlineStr">
        <is>
          <t>Thái Nguyên, Hà Nội, Bắc Ninh</t>
        </is>
      </c>
      <c r="G9884" s="10" t="inlineStr">
        <is>
          <t>Nhân viên</t>
        </is>
      </c>
      <c r="H9884" s="10" t="inlineStr">
        <is>
          <t>11/03/2026</t>
        </is>
      </c>
      <c r="I9884" s="10" t="inlineStr">
        <is>
          <t>10/04/2026</t>
        </is>
      </c>
      <c r="J9884" s="10" t="inlineStr">
        <is>
          <t>17/03/2026</t>
        </is>
      </c>
      <c r="K9884" s="10" t="inlineStr">
        <is>
          <t>N/A</t>
        </is>
      </c>
      <c r="L9884" s="10" t="inlineStr">
        <is>
          <t>Cơ Điện Tử, Quản Lý Nhân Lực, Kế Hoạch Sản Xuất, 5S Standards, Production Technician</t>
        </is>
      </c>
      <c r="M9884" s="10" t="inlineStr">
        <is>
          <t>Bonus, Healthcare Plan, Awards, Travel Opportunities, Transportation, Canteen</t>
        </is>
      </c>
      <c r="N9884" s="11">
        <f>HYPERLINK("https://www.vietnamworks.com/tuyen-gap-ky-thuat-vien-trung-cap-cao-djang-2021901-jv","Xem chi tiết")</f>
        <v/>
      </c>
      <c r="O9884" s="10" t="n"/>
    </row>
    <row r="9885">
      <c r="B9885" s="7" t="n">
        <v>9883</v>
      </c>
      <c r="C9885" t="inlineStr">
        <is>
          <t>Business Travel Consultant (Ticketing) - FCM Travel Solutions Vietnam</t>
        </is>
      </c>
      <c r="D9885" t="inlineStr">
        <is>
          <t>Công ty TNHH Du lịch - Thương mại Tân Đông Dương</t>
        </is>
      </c>
      <c r="E9885" t="inlineStr">
        <is>
          <t>Thương lượng</t>
        </is>
      </c>
      <c r="F9885" t="inlineStr">
        <is>
          <t>Hồ Chí Minh</t>
        </is>
      </c>
      <c r="G9885" t="inlineStr">
        <is>
          <t>Nhân viên</t>
        </is>
      </c>
      <c r="H9885" t="inlineStr">
        <is>
          <t>11/03/2026</t>
        </is>
      </c>
      <c r="I9885" t="inlineStr">
        <is>
          <t>10/04/2026</t>
        </is>
      </c>
      <c r="J9885" t="inlineStr">
        <is>
          <t>17/03/2026</t>
        </is>
      </c>
      <c r="K9885" t="inlineStr">
        <is>
          <t>N/A</t>
        </is>
      </c>
      <c r="L9885" t="inlineStr">
        <is>
          <t>Ticket Booking, Tư Vấn Du Lịch, Kinh Doanh Vé Máy Bay, Customer Service</t>
        </is>
      </c>
      <c r="M9885" t="inlineStr">
        <is>
          <t>Bonus, Healthcare Plan, Training</t>
        </is>
      </c>
      <c r="N9885" s="8">
        <f>HYPERLINK("https://www.vietnamworks.com/business-travel-consultant-ticketing-fcm-travel-solutions-vietnam-1-1-1--2021906-jv","Xem chi tiết")</f>
        <v/>
      </c>
    </row>
    <row r="9886">
      <c r="B9886" s="9" t="n">
        <v>9884</v>
      </c>
      <c r="C9886" s="10" t="inlineStr">
        <is>
          <t>Corporate Sales Executive</t>
        </is>
      </c>
      <c r="D9886" s="10" t="inlineStr">
        <is>
          <t>Về Để Đi Whisky</t>
        </is>
      </c>
      <c r="E9886" s="10" t="inlineStr">
        <is>
          <t>Thương lượng</t>
        </is>
      </c>
      <c r="F9886" s="10" t="inlineStr">
        <is>
          <t>Hà Nội, Hồ Chí Minh</t>
        </is>
      </c>
      <c r="G9886" s="10" t="inlineStr">
        <is>
          <t>Nhân viên</t>
        </is>
      </c>
      <c r="H9886" s="10" t="inlineStr">
        <is>
          <t>11/03/2026</t>
        </is>
      </c>
      <c r="I9886" s="10" t="inlineStr">
        <is>
          <t>10/04/2026</t>
        </is>
      </c>
      <c r="J9886" s="10" t="inlineStr">
        <is>
          <t>17/03/2026</t>
        </is>
      </c>
      <c r="K9886" s="10" t="inlineStr">
        <is>
          <t>N/A</t>
        </is>
      </c>
      <c r="L9886" s="10" t="inlineStr">
        <is>
          <t>Corporate Marketing, Business Development, Project Management, Communication Skills, Corporate Communications</t>
        </is>
      </c>
      <c r="M9886" s="10" t="inlineStr">
        <is>
          <t>Bonus, Paid Leave, Training, Others</t>
        </is>
      </c>
      <c r="N9886" s="11">
        <f>HYPERLINK("https://www.vietnamworks.com/corporate-sales-executive-2021910-jv","Xem chi tiết")</f>
        <v/>
      </c>
      <c r="O9886" s="10" t="n"/>
    </row>
    <row r="9887">
      <c r="B9887" s="7" t="n">
        <v>9885</v>
      </c>
      <c r="C9887" t="inlineStr">
        <is>
          <t>Kỹ Sư Thiết Kế Cơ Khí (Jig/ Máy Tự Động) - Upto 20 Triệu/tháng</t>
        </is>
      </c>
      <c r="D9887" t="inlineStr">
        <is>
          <t>CÔNG TY TNHH CƠ KHÍ VIMECH</t>
        </is>
      </c>
      <c r="E9887" t="inlineStr">
        <is>
          <t>10tr-20tr ₫/tháng</t>
        </is>
      </c>
      <c r="F9887" t="inlineStr">
        <is>
          <t>Hà Nội</t>
        </is>
      </c>
      <c r="G9887" t="inlineStr">
        <is>
          <t>Nhân viên</t>
        </is>
      </c>
      <c r="H9887" t="inlineStr">
        <is>
          <t>11/03/2026</t>
        </is>
      </c>
      <c r="I9887" t="inlineStr">
        <is>
          <t>10/04/2026</t>
        </is>
      </c>
      <c r="J9887" t="inlineStr">
        <is>
          <t>17/03/2026</t>
        </is>
      </c>
      <c r="K9887" t="inlineStr">
        <is>
          <t>N/A</t>
        </is>
      </c>
      <c r="L9887" t="inlineStr">
        <is>
          <t>AutoCAD, Bóc Tách Bản Vẽ Thiết Kế, Lắp Ráp Cơ Khí, Thiết Kế Jig, Thiết Kế Máy Tự Động Hoá</t>
        </is>
      </c>
      <c r="M9887" t="inlineStr">
        <is>
          <t>Bonus, Healthcare Plan, Awards, Others</t>
        </is>
      </c>
      <c r="N9887" s="8">
        <f>HYPERLINK("https://www.vietnamworks.com/ky-su-thiet-ke-co-khi-jig-may-tu-dong-upto-20-trieu-thang-2021908-jv","Xem chi tiết")</f>
        <v/>
      </c>
    </row>
    <row r="9888">
      <c r="B9888" s="9" t="n">
        <v>9886</v>
      </c>
      <c r="C9888" s="10" t="inlineStr">
        <is>
          <t>Kế Toán Tổng Hợp</t>
        </is>
      </c>
      <c r="D9888" s="10" t="inlineStr">
        <is>
          <t>Công Ty Cổ Phần Nông Nghiệp U&amp;I</t>
        </is>
      </c>
      <c r="E9888" s="10" t="inlineStr">
        <is>
          <t>$$ 500-800 /tháng</t>
        </is>
      </c>
      <c r="F9888" s="10" t="inlineStr">
        <is>
          <t>Hồ Chí Minh</t>
        </is>
      </c>
      <c r="G9888" s="10" t="inlineStr">
        <is>
          <t>Nhân viên</t>
        </is>
      </c>
      <c r="H9888" s="10" t="inlineStr">
        <is>
          <t>11/03/2026</t>
        </is>
      </c>
      <c r="I9888" s="10" t="inlineStr">
        <is>
          <t>10/04/2026</t>
        </is>
      </c>
      <c r="J9888" s="10" t="inlineStr">
        <is>
          <t>17/03/2026</t>
        </is>
      </c>
      <c r="K9888" s="10" t="inlineStr">
        <is>
          <t>N/A</t>
        </is>
      </c>
      <c r="L9888" s="10" t="inlineStr">
        <is>
          <t>Kế Toán Tổng Hợp, Phần mềm kế toán, Phân Tích Số Liệu, Kế Toán, Tài Chính</t>
        </is>
      </c>
      <c r="M9888" s="10" t="inlineStr">
        <is>
          <t>Paid Leave, Training</t>
        </is>
      </c>
      <c r="N9888" s="11">
        <f>HYPERLINK("https://www.vietnamworks.com/ke-toan-tong-hop-2021909-jv","Xem chi tiết")</f>
        <v/>
      </c>
      <c r="O9888" s="10" t="n"/>
    </row>
    <row r="9889">
      <c r="B9889" s="7" t="n">
        <v>9887</v>
      </c>
      <c r="C9889" t="inlineStr">
        <is>
          <t>Warehouse Manager</t>
        </is>
      </c>
      <c r="D9889" t="inlineStr">
        <is>
          <t>Công ty TNHH Innovative Lighting</t>
        </is>
      </c>
      <c r="E9889" t="inlineStr">
        <is>
          <t>Thương lượng</t>
        </is>
      </c>
      <c r="F9889" t="inlineStr">
        <is>
          <t>Hồ Chí Minh, Đồng Nai</t>
        </is>
      </c>
      <c r="G9889" t="inlineStr">
        <is>
          <t>Trưởng phòng</t>
        </is>
      </c>
      <c r="H9889" t="inlineStr">
        <is>
          <t>11/03/2026</t>
        </is>
      </c>
      <c r="I9889" t="inlineStr">
        <is>
          <t>10/04/2026</t>
        </is>
      </c>
      <c r="J9889" t="inlineStr">
        <is>
          <t>17/03/2026</t>
        </is>
      </c>
      <c r="K9889" t="inlineStr">
        <is>
          <t>N/A</t>
        </is>
      </c>
      <c r="L9889" t="inlineStr">
        <is>
          <t>Warehouse Management, Inventory Control, Data Analysis, Logistics Operation, Warehouse Organization</t>
        </is>
      </c>
      <c r="M9889" t="inlineStr">
        <is>
          <t>Bonus, Healthcare Plan, Transportation, Others</t>
        </is>
      </c>
      <c r="N9889" s="8">
        <f>HYPERLINK("https://www.vietnamworks.com/warehouse-manager-2021911-jv","Xem chi tiết")</f>
        <v/>
      </c>
    </row>
    <row r="9890">
      <c r="B9890" s="9" t="n">
        <v>9888</v>
      </c>
      <c r="C9890" s="10" t="inlineStr">
        <is>
          <t>Bảo Trì/ Maintenance</t>
        </is>
      </c>
      <c r="D9890" s="10" t="inlineStr">
        <is>
          <t>Công Ty TNHH Thang Máy VGSI</t>
        </is>
      </c>
      <c r="E9890" s="10" t="inlineStr">
        <is>
          <t>Thương lượng</t>
        </is>
      </c>
      <c r="F9890" s="10" t="inlineStr">
        <is>
          <t>Bắc Ninh, Vĩnh Phúc, Hải Phòng</t>
        </is>
      </c>
      <c r="G9890" s="10" t="inlineStr">
        <is>
          <t>Nhân viên</t>
        </is>
      </c>
      <c r="H9890" s="10" t="inlineStr">
        <is>
          <t>11/03/2026</t>
        </is>
      </c>
      <c r="I9890" s="10" t="inlineStr">
        <is>
          <t>10/04/2026</t>
        </is>
      </c>
      <c r="J9890" s="10" t="inlineStr">
        <is>
          <t>17/03/2026</t>
        </is>
      </c>
      <c r="K9890" s="10" t="inlineStr">
        <is>
          <t>N/A</t>
        </is>
      </c>
      <c r="L9890" s="10" t="inlineStr">
        <is>
          <t>Communication Skills, General Communication English, News Reporting, Technical Document Writing, Specialized Knowledge Of Elevators</t>
        </is>
      </c>
      <c r="M9890" s="10" t="inlineStr">
        <is>
          <t>Bonus, Healthcare Plan, Laptop, Vouchers</t>
        </is>
      </c>
      <c r="N9890" s="11">
        <f>HYPERLINK("https://www.vietnamworks.com/bao-tri-maintenance-2021904-jv","Xem chi tiết")</f>
        <v/>
      </c>
      <c r="O9890" s="10" t="n"/>
    </row>
    <row r="9891">
      <c r="B9891" s="7" t="n">
        <v>9889</v>
      </c>
      <c r="C9891" t="inlineStr">
        <is>
          <t>Senior HR Specialist – Recruitment &amp; C&amp;B</t>
        </is>
      </c>
      <c r="D9891" t="inlineStr">
        <is>
          <t>Về Để Đi Whisky</t>
        </is>
      </c>
      <c r="E9891" t="inlineStr">
        <is>
          <t>15tr-20tr ₫/tháng</t>
        </is>
      </c>
      <c r="F9891" t="inlineStr">
        <is>
          <t>Hà Nội</t>
        </is>
      </c>
      <c r="G9891" t="inlineStr">
        <is>
          <t>Nhân viên</t>
        </is>
      </c>
      <c r="H9891" t="inlineStr">
        <is>
          <t>11/03/2026</t>
        </is>
      </c>
      <c r="I9891" t="inlineStr">
        <is>
          <t>10/04/2026</t>
        </is>
      </c>
      <c r="J9891" t="inlineStr">
        <is>
          <t>17/03/2026</t>
        </is>
      </c>
      <c r="K9891" t="inlineStr">
        <is>
          <t>N/A</t>
        </is>
      </c>
      <c r="L9891" t="inlineStr">
        <is>
          <t>Recruitment Tools, Compensation, Labor Law, Payroll Accounting, Communication Skills</t>
        </is>
      </c>
      <c r="M9891" t="inlineStr">
        <is>
          <t>Bonus, Healthcare Plan, Paid Leave, Training, Others</t>
        </is>
      </c>
      <c r="N9891" s="8">
        <f>HYPERLINK("https://www.vietnamworks.com/senior-hr-specialist-recruitment-c-b-2021903-jv","Xem chi tiết")</f>
        <v/>
      </c>
    </row>
    <row r="9892">
      <c r="B9892" s="9" t="n">
        <v>9890</v>
      </c>
      <c r="C9892" s="10" t="inlineStr">
        <is>
          <t>Thư Ký Ban Tổng Giám Đốc (Nữ, Sinh Năm 1993, 1996, 2000)</t>
        </is>
      </c>
      <c r="D9892" s="10" t="inlineStr">
        <is>
          <t>Tổng Công Ty Bảo Hiểm BIDV (BIC)</t>
        </is>
      </c>
      <c r="E9892" s="10" t="inlineStr">
        <is>
          <t>Thương lượng</t>
        </is>
      </c>
      <c r="F9892" s="10" t="inlineStr">
        <is>
          <t>Hà Nội</t>
        </is>
      </c>
      <c r="G9892" s="10" t="inlineStr">
        <is>
          <t>Nhân viên</t>
        </is>
      </c>
      <c r="H9892" s="10" t="inlineStr">
        <is>
          <t>11/03/2026</t>
        </is>
      </c>
      <c r="I9892" s="10" t="inlineStr">
        <is>
          <t>10/04/2026</t>
        </is>
      </c>
      <c r="J9892" s="10" t="inlineStr">
        <is>
          <t>17/03/2026</t>
        </is>
      </c>
      <c r="K9892" s="10" t="inlineStr">
        <is>
          <t>N/A</t>
        </is>
      </c>
      <c r="L9892" s="10" t="inlineStr">
        <is>
          <t>Thư ký, Hành Chính, Chuẩn Bị Tài Liệu, Hậu Cần, Bảo Hiểm</t>
        </is>
      </c>
      <c r="M9892" s="10" t="inlineStr">
        <is>
          <t>Bonus, Healthcare Plan, Training</t>
        </is>
      </c>
      <c r="N9892" s="11">
        <f>HYPERLINK("https://www.vietnamworks.com/thu-ky-ban-tong-giam-doc-nu-sinh-nam-1993-1996-2000--2021913-jv","Xem chi tiết")</f>
        <v/>
      </c>
      <c r="O9892" s="10" t="n"/>
    </row>
    <row r="9893">
      <c r="B9893" s="7" t="n">
        <v>9891</v>
      </c>
      <c r="C9893" t="inlineStr">
        <is>
          <t>Phó Phòng Khai Thác Cảng</t>
        </is>
      </c>
      <c r="D9893" t="inlineStr">
        <is>
          <t>Công Ty Cổ Phần Tập Đoàn Thái Bình Dương</t>
        </is>
      </c>
      <c r="E9893" t="inlineStr">
        <is>
          <t>Thương lượng</t>
        </is>
      </c>
      <c r="F9893" t="inlineStr">
        <is>
          <t>Bình Thuận</t>
        </is>
      </c>
      <c r="G9893" t="inlineStr">
        <is>
          <t>Nhân viên</t>
        </is>
      </c>
      <c r="H9893" t="inlineStr">
        <is>
          <t>11/03/2026</t>
        </is>
      </c>
      <c r="I9893" t="inlineStr">
        <is>
          <t>10/04/2026</t>
        </is>
      </c>
      <c r="J9893" t="inlineStr">
        <is>
          <t>17/03/2026</t>
        </is>
      </c>
      <c r="K9893" t="inlineStr">
        <is>
          <t>N/A</t>
        </is>
      </c>
      <c r="L9893" t="inlineStr">
        <is>
          <t>Giao Thông Vận Tải, Logistics, Quản Lý Khai Thác Cảng, Tiếng Anh, Vận Tải Biển</t>
        </is>
      </c>
      <c r="M9893" t="inlineStr">
        <is>
          <t>Bonus, Healthcare Plan, Training, Laptop, Team Activities, Others</t>
        </is>
      </c>
      <c r="N9893" s="8">
        <f>HYPERLINK("https://www.vietnamworks.com/pho-phong-khai-thac-cang-2021912-jv","Xem chi tiết")</f>
        <v/>
      </c>
    </row>
    <row r="9894">
      <c r="B9894" s="9" t="n">
        <v>9892</v>
      </c>
      <c r="C9894" s="10" t="inlineStr">
        <is>
          <t>Giám Đốc Pháp Chế Tuân Thủ &amp; Quản Trị Rủi Ro</t>
        </is>
      </c>
      <c r="D9894" s="10" t="inlineStr">
        <is>
          <t>Công Ty Cổ Phần Bảo Hiểm Opes</t>
        </is>
      </c>
      <c r="E9894" s="10" t="inlineStr">
        <is>
          <t>$$ 3,500-5,000 /tháng</t>
        </is>
      </c>
      <c r="F9894" s="10" t="inlineStr">
        <is>
          <t>Hà Nội</t>
        </is>
      </c>
      <c r="G9894" s="10" t="inlineStr">
        <is>
          <t>Giám Đốc và Cấp Cao Hơn</t>
        </is>
      </c>
      <c r="H9894" s="10" t="inlineStr">
        <is>
          <t>11/03/2026</t>
        </is>
      </c>
      <c r="I9894" s="10" t="inlineStr">
        <is>
          <t>10/04/2026</t>
        </is>
      </c>
      <c r="J9894" s="10" t="inlineStr">
        <is>
          <t>17/03/2026</t>
        </is>
      </c>
      <c r="K9894" s="10" t="inlineStr">
        <is>
          <t>N/A</t>
        </is>
      </c>
      <c r="L9894" s="10" t="inlineStr">
        <is>
          <t>Luật Bảo Hiểm, Luật Sư, Tố Tụng, Pháp Chế, Pháp Lý</t>
        </is>
      </c>
      <c r="M9894" s="10" t="inlineStr">
        <is>
          <t>Bonus, Training, Team Activities</t>
        </is>
      </c>
      <c r="N9894" s="11">
        <f>HYPERLINK("https://www.vietnamworks.com/giam-doc-phap-che-tuan-thu-quan-tri-rui-ro-2021915-jv","Xem chi tiết")</f>
        <v/>
      </c>
      <c r="O9894" s="10" t="n"/>
    </row>
    <row r="9895">
      <c r="B9895" s="7" t="n">
        <v>9893</v>
      </c>
      <c r="C9895" t="inlineStr">
        <is>
          <t>Marketing Leader (Ưu Tiên Uv Kinh Nghiệm Báo Chí/ Từng Làm Phóng Viên Báo Công Nghệ)</t>
        </is>
      </c>
      <c r="D9895" t="inlineStr">
        <is>
          <t>CÔNG TY CỔ PHẦN CÔNG NGHỆ PAVANA</t>
        </is>
      </c>
      <c r="E9895" t="inlineStr">
        <is>
          <t>25tr-30tr ₫/tháng</t>
        </is>
      </c>
      <c r="F9895" t="inlineStr">
        <is>
          <t>Hà Nội</t>
        </is>
      </c>
      <c r="G9895" t="inlineStr">
        <is>
          <t>Nhân viên</t>
        </is>
      </c>
      <c r="H9895" t="inlineStr">
        <is>
          <t>11/03/2026</t>
        </is>
      </c>
      <c r="I9895" t="inlineStr">
        <is>
          <t>10/04/2026</t>
        </is>
      </c>
      <c r="J9895" t="inlineStr">
        <is>
          <t>17/03/2026</t>
        </is>
      </c>
      <c r="K9895" t="inlineStr">
        <is>
          <t>N/A</t>
        </is>
      </c>
      <c r="L9895" t="inlineStr">
        <is>
          <t>Marketing Planning, public relations, Báo chí, Công Nghệ, Truyền Thông</t>
        </is>
      </c>
      <c r="M9895" t="inlineStr">
        <is>
          <t>Bonus, Healthcare Plan, Training, Team Activities, Others</t>
        </is>
      </c>
      <c r="N9895" s="8">
        <f>HYPERLINK("https://www.vietnamworks.com/marketing-leader-uu-tien-uv-kinh-nghiem-bao-chi-tung-lam-phong-vien-bao-cong-nghe-2021916-jv","Xem chi tiết")</f>
        <v/>
      </c>
    </row>
    <row r="9896">
      <c r="B9896" s="9" t="n">
        <v>9894</v>
      </c>
      <c r="C9896" s="10" t="inlineStr">
        <is>
          <t>Chuyên Viên/chuyên Viên Cao Cấp Sản Phẩm Tín Dụng Doanh Nghiệp - Khối Doanh Nghiệp</t>
        </is>
      </c>
      <c r="D9896" s="10" t="inlineStr">
        <is>
          <t>Ngân Hàng TMCP Việt Nam Thương Tín (Vietbank)</t>
        </is>
      </c>
      <c r="E9896" s="10" t="inlineStr">
        <is>
          <t>Thương lượng</t>
        </is>
      </c>
      <c r="F9896" s="10" t="inlineStr">
        <is>
          <t>Hồ Chí Minh</t>
        </is>
      </c>
      <c r="G9896" s="10" t="inlineStr">
        <is>
          <t>Nhân viên</t>
        </is>
      </c>
      <c r="H9896" s="10" t="inlineStr">
        <is>
          <t>11/03/2026</t>
        </is>
      </c>
      <c r="I9896" s="10" t="inlineStr">
        <is>
          <t>10/04/2026</t>
        </is>
      </c>
      <c r="J9896" s="10" t="inlineStr">
        <is>
          <t>17/03/2026</t>
        </is>
      </c>
      <c r="K9896" s="10" t="inlineStr">
        <is>
          <t>N/A</t>
        </is>
      </c>
      <c r="L9896" s="10" t="inlineStr">
        <is>
          <t>Tài Chính Kinh Tế, Quản trị Kinh doanh</t>
        </is>
      </c>
      <c r="M9896" s="10" t="inlineStr">
        <is>
          <t>Bonus, Healthcare Plan, Training</t>
        </is>
      </c>
      <c r="N9896" s="11">
        <f>HYPERLINK("https://www.vietnamworks.com/chuyen-vien-chuyen-vien-cao-cap-san-pham-tin-dung-doanh-nghiep-khoi-doanh-nghiep--2021935-jv","Xem chi tiết")</f>
        <v/>
      </c>
      <c r="O9896" s="10" t="n"/>
    </row>
    <row r="9897">
      <c r="B9897" s="7" t="n">
        <v>9895</v>
      </c>
      <c r="C9897" t="inlineStr">
        <is>
          <t>Trưởng Phòng Kiểm Soát Chất Lượng M&amp;E/Xây Dựng</t>
        </is>
      </c>
      <c r="D9897" t="inlineStr">
        <is>
          <t>Công Ty Cổ Phần Vinhomes</t>
        </is>
      </c>
      <c r="E9897" t="inlineStr">
        <is>
          <t>Thương lượng</t>
        </is>
      </c>
      <c r="F9897" t="inlineStr">
        <is>
          <t>Hà Nội</t>
        </is>
      </c>
      <c r="G9897" t="inlineStr">
        <is>
          <t>Nhân viên</t>
        </is>
      </c>
      <c r="H9897" t="inlineStr">
        <is>
          <t>11/03/2026</t>
        </is>
      </c>
      <c r="I9897" t="inlineStr">
        <is>
          <t>10/04/2026</t>
        </is>
      </c>
      <c r="J9897" t="inlineStr">
        <is>
          <t>17/03/2026</t>
        </is>
      </c>
      <c r="K9897" t="inlineStr">
        <is>
          <t>N/A</t>
        </is>
      </c>
      <c r="L9897" t="inlineStr">
        <is>
          <t>Kiểm Soát Chất Lượng, Kỹ năng lập kế hoạch, Luật Xây Dựng, Quản Lý Dự Án, Tư Duy Logic</t>
        </is>
      </c>
      <c r="M9897" t="inlineStr">
        <is>
          <t>Bonus, Healthcare Plan, Others</t>
        </is>
      </c>
      <c r="N9897" s="8">
        <f>HYPERLINK("https://www.vietnamworks.com/truong-phong-kiem-soat-chat-luong-mandexay-dung-2021929-jv","Xem chi tiết")</f>
        <v/>
      </c>
    </row>
    <row r="9898">
      <c r="B9898" s="9" t="n">
        <v>9896</v>
      </c>
      <c r="C9898" s="10" t="inlineStr">
        <is>
          <t>Country Livestock Expert</t>
        </is>
      </c>
      <c r="D9898" s="10" t="inlineStr">
        <is>
          <t>Michael Page Vietnam</t>
        </is>
      </c>
      <c r="E9898" s="10" t="inlineStr">
        <is>
          <t>Thương lượng</t>
        </is>
      </c>
      <c r="F9898" s="10" t="inlineStr">
        <is>
          <t>Hồ Chí Minh, Hà Nội, Đà Nẵng</t>
        </is>
      </c>
      <c r="G9898" s="10" t="inlineStr">
        <is>
          <t>Trưởng phòng</t>
        </is>
      </c>
      <c r="H9898" s="10" t="inlineStr">
        <is>
          <t>11/03/2026</t>
        </is>
      </c>
      <c r="I9898" s="10" t="inlineStr">
        <is>
          <t>10/04/2026</t>
        </is>
      </c>
      <c r="J9898" s="10" t="inlineStr">
        <is>
          <t>17/03/2026</t>
        </is>
      </c>
      <c r="K9898" s="10" t="inlineStr">
        <is>
          <t>N/A</t>
        </is>
      </c>
      <c r="L9898" s="10" t="inlineStr">
        <is>
          <t>Technical Support</t>
        </is>
      </c>
      <c r="M9898" s="10" t="inlineStr">
        <is>
          <t>Bonus, Transportation</t>
        </is>
      </c>
      <c r="N9898" s="11">
        <f>HYPERLINK("https://www.vietnamworks.com/country-livestock-expert-2021920-jv","Xem chi tiết")</f>
        <v/>
      </c>
      <c r="O9898" s="10" t="n"/>
    </row>
    <row r="9899">
      <c r="B9899" s="7" t="n">
        <v>9897</v>
      </c>
      <c r="C9899" t="inlineStr">
        <is>
          <t>Giám Đốc Sản Xuất Nhà Máy Dược Phẩm</t>
        </is>
      </c>
      <c r="D9899" t="inlineStr">
        <is>
          <t>Công ty Cổ phần Dược phẩm Phenikaa (Phenikaa Pharma)</t>
        </is>
      </c>
      <c r="E9899" t="inlineStr">
        <is>
          <t>Thương lượng</t>
        </is>
      </c>
      <c r="F9899" t="inlineStr">
        <is>
          <t>Hà Nội</t>
        </is>
      </c>
      <c r="G9899" t="inlineStr">
        <is>
          <t>Giám Đốc và Cấp Cao Hơn</t>
        </is>
      </c>
      <c r="H9899" t="inlineStr">
        <is>
          <t>11/03/2026</t>
        </is>
      </c>
      <c r="I9899" t="inlineStr">
        <is>
          <t>10/04/2026</t>
        </is>
      </c>
      <c r="J9899" t="inlineStr">
        <is>
          <t>17/03/2026</t>
        </is>
      </c>
      <c r="K9899" t="inlineStr">
        <is>
          <t>N/A</t>
        </is>
      </c>
      <c r="L9899" t="inlineStr">
        <is>
          <t>GMP, Kiểm Soát Tuân Thủ, Quản Lý Nhân Sự, Quản Lý Sản Xuất, Thẩm Đinh Quy Trình</t>
        </is>
      </c>
      <c r="M9899" t="inlineStr">
        <is>
          <t>Bonus, Healthcare Plan, Paid Leave, Canteen, Vouchers</t>
        </is>
      </c>
      <c r="N9899" s="8">
        <f>HYPERLINK("https://www.vietnamworks.com/giam-djoc-san-xuat-nha-may-duoc-pham-2021924-jv","Xem chi tiết")</f>
        <v/>
      </c>
    </row>
    <row r="9900">
      <c r="B9900" s="9" t="n">
        <v>9898</v>
      </c>
      <c r="C9900" s="10" t="inlineStr">
        <is>
          <t>Assistant Lab Manager (Footwear Industry - Physical &amp; Chemical Testing)</t>
        </is>
      </c>
      <c r="D9900" s="10" t="inlineStr">
        <is>
          <t>PUMA</t>
        </is>
      </c>
      <c r="E9900" s="10" t="inlineStr">
        <is>
          <t>Thương lượng</t>
        </is>
      </c>
      <c r="F9900" s="10" t="inlineStr">
        <is>
          <t>Hồ Chí Minh</t>
        </is>
      </c>
      <c r="G9900" s="10" t="inlineStr">
        <is>
          <t>Nhân viên</t>
        </is>
      </c>
      <c r="H9900" s="10" t="inlineStr">
        <is>
          <t>11/03/2026</t>
        </is>
      </c>
      <c r="I9900" s="10" t="inlineStr">
        <is>
          <t>10/04/2026</t>
        </is>
      </c>
      <c r="J9900" s="10" t="inlineStr">
        <is>
          <t>17/03/2026</t>
        </is>
      </c>
      <c r="K9900" s="10" t="inlineStr">
        <is>
          <t>N/A</t>
        </is>
      </c>
      <c r="L9900" s="10" t="inlineStr">
        <is>
          <t>Material Technology, Laboratory Operations, Footwear Testing, Material Testing, Footwear Industry</t>
        </is>
      </c>
      <c r="M9900" s="10" t="inlineStr">
        <is>
          <t>Bonus, Healthcare Plan, Paid Leave</t>
        </is>
      </c>
      <c r="N9900" s="11">
        <f>HYPERLINK("https://www.vietnamworks.com/assistant-lab-manager-footwear-industry-physical-chemical-testing--2021923-jv","Xem chi tiết")</f>
        <v/>
      </c>
      <c r="O9900" s="10" t="n"/>
    </row>
    <row r="9901">
      <c r="B9901" s="7" t="n">
        <v>9899</v>
      </c>
      <c r="C9901" t="inlineStr">
        <is>
          <t>Quản Lý HSE (Tuyển Gấp - Lâm Đồng)</t>
        </is>
      </c>
      <c r="D9901" t="inlineStr">
        <is>
          <t>Công Ty Cổ phần Sữa Đà Lạt</t>
        </is>
      </c>
      <c r="E9901" t="inlineStr">
        <is>
          <t>Tới $ 1,500 /tháng</t>
        </is>
      </c>
      <c r="F9901" t="inlineStr">
        <is>
          <t>Lâm Đồng</t>
        </is>
      </c>
      <c r="G9901" t="inlineStr">
        <is>
          <t>Trưởng phòng</t>
        </is>
      </c>
      <c r="H9901" t="inlineStr">
        <is>
          <t>11/03/2026</t>
        </is>
      </c>
      <c r="I9901" t="inlineStr">
        <is>
          <t>10/04/2026</t>
        </is>
      </c>
      <c r="J9901" t="inlineStr">
        <is>
          <t>17/03/2026</t>
        </is>
      </c>
      <c r="K9901" t="inlineStr">
        <is>
          <t>N/A</t>
        </is>
      </c>
      <c r="L9901" t="inlineStr">
        <is>
          <t>Giám Sát HSE, Quản Lý HSE, HSE Management, Giám Sát An Toàn Công Trình, Giám Sát Môi Trường</t>
        </is>
      </c>
      <c r="M9901" t="inlineStr">
        <is>
          <t>Bonus, Healthcare Plan, Training</t>
        </is>
      </c>
      <c r="N9901" s="8">
        <f>HYPERLINK("https://www.vietnamworks.com/quan-ly-hse-tuyen-gap-lam-dong--2021926-jv","Xem chi tiết")</f>
        <v/>
      </c>
    </row>
    <row r="9902">
      <c r="B9902" s="9" t="n">
        <v>9900</v>
      </c>
      <c r="C9902" s="10" t="inlineStr">
        <is>
          <t>Kỹ Sư Thiết Kế (Shop Drawing)</t>
        </is>
      </c>
      <c r="D9902" s="10" t="inlineStr">
        <is>
          <t>Công ty TNHH Dịch vụ tổng hợp và thương mại Minh Anh</t>
        </is>
      </c>
      <c r="E9902" s="10" t="inlineStr">
        <is>
          <t>10tr-20tr ₫/tháng</t>
        </is>
      </c>
      <c r="F9902" s="10" t="inlineStr">
        <is>
          <t>Hà Nội</t>
        </is>
      </c>
      <c r="G9902" s="10" t="inlineStr">
        <is>
          <t>Nhân viên</t>
        </is>
      </c>
      <c r="H9902" s="10" t="inlineStr">
        <is>
          <t>11/03/2026</t>
        </is>
      </c>
      <c r="I9902" s="10" t="inlineStr">
        <is>
          <t>10/04/2026</t>
        </is>
      </c>
      <c r="J9902" s="10" t="inlineStr">
        <is>
          <t>17/03/2026</t>
        </is>
      </c>
      <c r="K9902" s="10" t="inlineStr">
        <is>
          <t>N/A</t>
        </is>
      </c>
      <c r="L9902" s="10" t="inlineStr">
        <is>
          <t>AutoCAD, Revit, Microsoft Office, Bóc Tách Khối Lượng, Shop Drawings</t>
        </is>
      </c>
      <c r="M9902" s="10" t="inlineStr">
        <is>
          <t>Bonus, Training, Others</t>
        </is>
      </c>
      <c r="N9902" s="11">
        <f>HYPERLINK("https://www.vietnamworks.com/ky-su-thiet-ke-shop-drawing-2021936-jv","Xem chi tiết")</f>
        <v/>
      </c>
      <c r="O9902" s="10" t="n"/>
    </row>
    <row r="9903">
      <c r="B9903" s="7" t="n">
        <v>9901</v>
      </c>
      <c r="C9903" t="inlineStr">
        <is>
          <t>Account Managers (Events &amp; Activations)</t>
        </is>
      </c>
      <c r="D9903" t="inlineStr">
        <is>
          <t>Cty TNHH Kingsmen Việt Nam</t>
        </is>
      </c>
      <c r="E9903" t="inlineStr">
        <is>
          <t>Thương lượng</t>
        </is>
      </c>
      <c r="F9903" t="inlineStr">
        <is>
          <t>Hồ Chí Minh</t>
        </is>
      </c>
      <c r="G9903" t="inlineStr">
        <is>
          <t>Nhân viên</t>
        </is>
      </c>
      <c r="H9903" t="inlineStr">
        <is>
          <t>11/03/2026</t>
        </is>
      </c>
      <c r="I9903" t="inlineStr">
        <is>
          <t>10/04/2026</t>
        </is>
      </c>
      <c r="J9903" t="inlineStr">
        <is>
          <t>17/03/2026</t>
        </is>
      </c>
      <c r="K9903" t="inlineStr">
        <is>
          <t>N/A</t>
        </is>
      </c>
      <c r="L9903" t="inlineStr">
        <is>
          <t>Business Development, Sales experience, Event Management, Marketing Strategy, Communication Skills</t>
        </is>
      </c>
      <c r="M9903" t="inlineStr">
        <is>
          <t>Bonus, Healthcare Plan, Others</t>
        </is>
      </c>
      <c r="N9903" s="8">
        <f>HYPERLINK("https://www.vietnamworks.com/account-managers-events-and-activations-2021949-jv","Xem chi tiết")</f>
        <v/>
      </c>
    </row>
    <row r="9904">
      <c r="B9904" s="9" t="n">
        <v>9902</v>
      </c>
      <c r="C9904" s="10" t="inlineStr">
        <is>
          <t>Chuyên Viên Tư Vấn Giáo Dục</t>
        </is>
      </c>
      <c r="D9904" s="10" t="inlineStr">
        <is>
          <t>Công Ty TNHH Expert Education and Visa Services Việt Nam</t>
        </is>
      </c>
      <c r="E9904" s="10" t="inlineStr">
        <is>
          <t>13tr-15tr ₫/tháng</t>
        </is>
      </c>
      <c r="F9904" s="10" t="inlineStr">
        <is>
          <t>Hồ Chí Minh</t>
        </is>
      </c>
      <c r="G9904" s="10" t="inlineStr">
        <is>
          <t>Nhân viên</t>
        </is>
      </c>
      <c r="H9904" s="10" t="inlineStr">
        <is>
          <t>11/03/2026</t>
        </is>
      </c>
      <c r="I9904" s="10" t="inlineStr">
        <is>
          <t>10/04/2026</t>
        </is>
      </c>
      <c r="J9904" s="10" t="inlineStr">
        <is>
          <t>17/03/2026</t>
        </is>
      </c>
      <c r="K9904" s="10" t="inlineStr">
        <is>
          <t>N/A</t>
        </is>
      </c>
      <c r="L9904" s="10" t="inlineStr">
        <is>
          <t>Tư Vấn Du Học, Quản Lý Hồ Sơ, Tiếng Anh, Tư Vấn Visa, Xây Dựng Mối Quan Hệ</t>
        </is>
      </c>
      <c r="M9904" s="10" t="inlineStr">
        <is>
          <t>Bonus, Healthcare Plan, Training, Travel Opportunities, Team Activities, Others</t>
        </is>
      </c>
      <c r="N9904" s="11">
        <f>HYPERLINK("https://www.vietnamworks.com/chuyen-vien-tu-van-giao-duc-2021937-jv","Xem chi tiết")</f>
        <v/>
      </c>
      <c r="O9904" s="10" t="n"/>
    </row>
    <row r="9905">
      <c r="B9905" s="7" t="n">
        <v>9903</v>
      </c>
      <c r="C9905" t="inlineStr">
        <is>
          <t>Chuyên Viên Kế Toán Ngân Hàng Biết Tiếng Trung</t>
        </is>
      </c>
      <c r="D9905" t="inlineStr">
        <is>
          <t>Ngân Hàng Agricultural Bank of China Limited - Chi Nhánh Hà Nội</t>
        </is>
      </c>
      <c r="E9905" t="inlineStr">
        <is>
          <t>Thương lượng</t>
        </is>
      </c>
      <c r="F9905" t="inlineStr">
        <is>
          <t>Hà Nội</t>
        </is>
      </c>
      <c r="G9905" t="inlineStr">
        <is>
          <t>Nhân viên</t>
        </is>
      </c>
      <c r="H9905" t="inlineStr">
        <is>
          <t>11/03/2026</t>
        </is>
      </c>
      <c r="I9905" t="inlineStr">
        <is>
          <t>10/04/2026</t>
        </is>
      </c>
      <c r="J9905" t="inlineStr">
        <is>
          <t>17/03/2026</t>
        </is>
      </c>
      <c r="K9905" t="inlineStr">
        <is>
          <t>N/A</t>
        </is>
      </c>
      <c r="L9905" t="inlineStr">
        <is>
          <t>Lập Báo Cáo Ngân Hàng, Kế Toán Ngân Hàng, Báo Cáo Tài Chính, ICAAP, Tiếng Trung</t>
        </is>
      </c>
      <c r="M9905" t="inlineStr">
        <is>
          <t>Bonus, Healthcare Plan</t>
        </is>
      </c>
      <c r="N9905" s="8">
        <f>HYPERLINK("https://www.vietnamworks.com/chuyen-vien-ke-toan-ngan-hang-biet-tieng-trung--2021939-jv","Xem chi tiết")</f>
        <v/>
      </c>
    </row>
    <row r="9906">
      <c r="B9906" s="9" t="n">
        <v>9904</v>
      </c>
      <c r="C9906" s="10" t="inlineStr">
        <is>
          <t>Nhân Viên Kỹ Thuật Lắp Ráp Cơ Khí (Máy Tự Động Hóa)</t>
        </is>
      </c>
      <c r="D9906" s="10" t="inlineStr">
        <is>
          <t>CÔNG TY TNHH CƠ KHÍ VIMECH</t>
        </is>
      </c>
      <c r="E9906" s="10" t="inlineStr">
        <is>
          <t>8tr-15tr ₫/tháng</t>
        </is>
      </c>
      <c r="F9906" s="10" t="inlineStr">
        <is>
          <t>Hà Nội</t>
        </is>
      </c>
      <c r="G9906" s="10" t="inlineStr">
        <is>
          <t>Nhân viên</t>
        </is>
      </c>
      <c r="H9906" s="10" t="inlineStr">
        <is>
          <t>11/03/2026</t>
        </is>
      </c>
      <c r="I9906" s="10" t="inlineStr">
        <is>
          <t>10/04/2026</t>
        </is>
      </c>
      <c r="J9906" s="10" t="inlineStr">
        <is>
          <t>17/03/2026</t>
        </is>
      </c>
      <c r="K9906" s="10" t="inlineStr">
        <is>
          <t>N/A</t>
        </is>
      </c>
      <c r="L9906" s="10" t="inlineStr">
        <is>
          <t>Cơ Điện Tử, Gia Công Cơ Khí, Lắp Ráp Máy, Tinh Thần Tập Thể, Đọc Bản Vẽ Kỹ Thuật</t>
        </is>
      </c>
      <c r="M9906" s="10" t="inlineStr">
        <is>
          <t>Healthcare Plan, Awards, Others</t>
        </is>
      </c>
      <c r="N9906" s="11">
        <f>HYPERLINK("https://www.vietnamworks.com/nhan-vien-ky-thuat-lap-rap-co-khi-may-tu-djong-hoa-2021914-jv","Xem chi tiết")</f>
        <v/>
      </c>
      <c r="O9906" s="10" t="n"/>
    </row>
    <row r="9907">
      <c r="B9907" s="7" t="n">
        <v>9905</v>
      </c>
      <c r="C9907" t="inlineStr">
        <is>
          <t>Kế Toán Tổng Hợp</t>
        </is>
      </c>
      <c r="D9907" t="inlineStr">
        <is>
          <t>Công ty Cổ phần Thời trang American</t>
        </is>
      </c>
      <c r="E9907" t="inlineStr">
        <is>
          <t>$$ 500-1,000 /tháng</t>
        </is>
      </c>
      <c r="F9907" t="inlineStr">
        <is>
          <t>Hồ Chí Minh</t>
        </is>
      </c>
      <c r="G9907" t="inlineStr">
        <is>
          <t>Nhân viên</t>
        </is>
      </c>
      <c r="H9907" t="inlineStr">
        <is>
          <t>11/03/2026</t>
        </is>
      </c>
      <c r="I9907" t="inlineStr">
        <is>
          <t>10/04/2026</t>
        </is>
      </c>
      <c r="J9907" t="inlineStr">
        <is>
          <t>17/03/2026</t>
        </is>
      </c>
      <c r="K9907" t="inlineStr">
        <is>
          <t>N/A</t>
        </is>
      </c>
      <c r="L9907" t="inlineStr">
        <is>
          <t>Kiểm Toán, Kế Toán Tổng Hợp, Tài Chính, Chấm Công, Kiểm Soát Tồn Kho</t>
        </is>
      </c>
      <c r="M9907" t="inlineStr">
        <is>
          <t>Bonus, Healthcare Plan</t>
        </is>
      </c>
      <c r="N9907" s="8">
        <f>HYPERLINK("https://www.vietnamworks.com/ke-toan-tong-hop--2021932-jv","Xem chi tiết")</f>
        <v/>
      </c>
    </row>
    <row r="9908">
      <c r="B9908" s="9" t="n">
        <v>9906</v>
      </c>
      <c r="C9908" s="10" t="inlineStr">
        <is>
          <t>Payroll/Rewards Specialist</t>
        </is>
      </c>
      <c r="D9908" s="10" t="inlineStr">
        <is>
          <t>Gear Games</t>
        </is>
      </c>
      <c r="E9908" s="10" t="inlineStr">
        <is>
          <t>Thương lượng</t>
        </is>
      </c>
      <c r="F9908" s="10" t="inlineStr">
        <is>
          <t>Hà Nội</t>
        </is>
      </c>
      <c r="G9908" s="10" t="inlineStr">
        <is>
          <t>Nhân viên</t>
        </is>
      </c>
      <c r="H9908" s="10" t="inlineStr">
        <is>
          <t>11/03/2026</t>
        </is>
      </c>
      <c r="I9908" s="10" t="inlineStr">
        <is>
          <t>10/04/2026</t>
        </is>
      </c>
      <c r="J9908" s="10" t="inlineStr">
        <is>
          <t>17/03/2026</t>
        </is>
      </c>
      <c r="K9908" s="10" t="inlineStr">
        <is>
          <t>N/A</t>
        </is>
      </c>
      <c r="L9908" s="10" t="inlineStr">
        <is>
          <t>Compensation &amp; Benefits, Data Handling, Payroll Management, Reporting Skills, Human Resources</t>
        </is>
      </c>
      <c r="M9908" s="10" t="inlineStr">
        <is>
          <t>Bonus, Healthcare Plan, Training, Laptop, Others</t>
        </is>
      </c>
      <c r="N9908" s="11">
        <f>HYPERLINK("https://www.vietnamworks.com/payrollrewards-specialist-2021917-jv","Xem chi tiết")</f>
        <v/>
      </c>
      <c r="O9908" s="10" t="n"/>
    </row>
    <row r="9909">
      <c r="B9909" s="7" t="n">
        <v>9907</v>
      </c>
      <c r="C9909" t="inlineStr">
        <is>
          <t>Cloud Engineer</t>
        </is>
      </c>
      <c r="D9909" t="inlineStr">
        <is>
          <t>Viettel Networks</t>
        </is>
      </c>
      <c r="E9909" t="inlineStr">
        <is>
          <t>$$ 1,000-3,000 /tháng</t>
        </is>
      </c>
      <c r="F9909" t="inlineStr">
        <is>
          <t>Hà Nội</t>
        </is>
      </c>
      <c r="G9909" t="inlineStr">
        <is>
          <t>Nhân viên</t>
        </is>
      </c>
      <c r="H9909" t="inlineStr">
        <is>
          <t>11/03/2026</t>
        </is>
      </c>
      <c r="I9909" t="inlineStr">
        <is>
          <t>10/04/2026</t>
        </is>
      </c>
      <c r="J9909" t="inlineStr">
        <is>
          <t>17/03/2026</t>
        </is>
      </c>
      <c r="K9909" t="inlineStr">
        <is>
          <t>N/A</t>
        </is>
      </c>
      <c r="L9909" t="inlineStr">
        <is>
          <t>Python, Linux, DevOps, Cloud, Azure</t>
        </is>
      </c>
      <c r="M9909" t="inlineStr">
        <is>
          <t>Bonus, Healthcare Plan, Others</t>
        </is>
      </c>
      <c r="N9909" s="8">
        <f>HYPERLINK("https://www.vietnamworks.com/cloud-engineer--2021947-jv","Xem chi tiết")</f>
        <v/>
      </c>
    </row>
    <row r="9910">
      <c r="B9910" s="9" t="n">
        <v>9908</v>
      </c>
      <c r="C9910" s="10" t="inlineStr">
        <is>
          <t>Accountant</t>
        </is>
      </c>
      <c r="D9910" s="10" t="inlineStr">
        <is>
          <t>MSC Vietnam Company Limited</t>
        </is>
      </c>
      <c r="E9910" s="10" t="inlineStr">
        <is>
          <t>Thương lượng</t>
        </is>
      </c>
      <c r="F9910" s="10" t="inlineStr">
        <is>
          <t>Hồ Chí Minh</t>
        </is>
      </c>
      <c r="G9910" s="10" t="inlineStr">
        <is>
          <t>Nhân viên</t>
        </is>
      </c>
      <c r="H9910" s="10" t="inlineStr">
        <is>
          <t>11/03/2026</t>
        </is>
      </c>
      <c r="I9910" s="10" t="inlineStr">
        <is>
          <t>10/04/2026</t>
        </is>
      </c>
      <c r="J9910" s="10" t="inlineStr">
        <is>
          <t>17/03/2026</t>
        </is>
      </c>
      <c r="K9910" s="10" t="inlineStr">
        <is>
          <t>N/A</t>
        </is>
      </c>
      <c r="L9910" s="10" t="inlineStr">
        <is>
          <t>Kế Toán Chứng Từ, Kế Toán Xuất Hóa Đơn, Kế Toán Tổng Hợp, Kế Toán, Accounting</t>
        </is>
      </c>
      <c r="M9910" s="10" t="inlineStr">
        <is>
          <t>Healthcare Plan, Paid Leave, Training</t>
        </is>
      </c>
      <c r="N9910" s="11">
        <f>HYPERLINK("https://www.vietnamworks.com/accountant--2021940-jv","Xem chi tiết")</f>
        <v/>
      </c>
      <c r="O9910" s="10" t="n"/>
    </row>
    <row r="9911">
      <c r="B9911" s="7" t="n">
        <v>9909</v>
      </c>
      <c r="C9911" t="inlineStr">
        <is>
          <t>Database Engineer</t>
        </is>
      </c>
      <c r="D9911" t="inlineStr">
        <is>
          <t>Viettel Networks</t>
        </is>
      </c>
      <c r="E9911" t="inlineStr">
        <is>
          <t>$$ 1,000-3,000 /tháng</t>
        </is>
      </c>
      <c r="F9911" t="inlineStr">
        <is>
          <t>Hà Nội</t>
        </is>
      </c>
      <c r="G9911" t="inlineStr">
        <is>
          <t>Nhân viên</t>
        </is>
      </c>
      <c r="H9911" t="inlineStr">
        <is>
          <t>11/03/2026</t>
        </is>
      </c>
      <c r="I9911" t="inlineStr">
        <is>
          <t>10/04/2026</t>
        </is>
      </c>
      <c r="J9911" t="inlineStr">
        <is>
          <t>17/03/2026</t>
        </is>
      </c>
      <c r="K9911" t="inlineStr">
        <is>
          <t>N/A</t>
        </is>
      </c>
      <c r="L9911" t="inlineStr">
        <is>
          <t>SQL, Oracle, MySQL, Linux, Data Management</t>
        </is>
      </c>
      <c r="M9911" t="inlineStr">
        <is>
          <t>Bonus, Healthcare Plan, Others</t>
        </is>
      </c>
      <c r="N9911" s="8">
        <f>HYPERLINK("https://www.vietnamworks.com/database-engineer--2021956-jv","Xem chi tiết")</f>
        <v/>
      </c>
    </row>
    <row r="9912">
      <c r="B9912" s="9" t="n">
        <v>9910</v>
      </c>
      <c r="C9912" s="10" t="inlineStr">
        <is>
          <t>Chuyên Viên Phân Tích Nghiệp Vụ ERP</t>
        </is>
      </c>
      <c r="D9912" s="10" t="inlineStr">
        <is>
          <t>Công ty Cổ phần Dược phẩm Phenikaa (Phenikaa Pharma)</t>
        </is>
      </c>
      <c r="E9912" s="10" t="inlineStr">
        <is>
          <t>Tới 30tr ₫/tháng</t>
        </is>
      </c>
      <c r="F9912" s="10" t="inlineStr">
        <is>
          <t>Hà Nội</t>
        </is>
      </c>
      <c r="G9912" s="10" t="inlineStr">
        <is>
          <t>Nhân viên</t>
        </is>
      </c>
      <c r="H9912" s="10" t="inlineStr">
        <is>
          <t>11/03/2026</t>
        </is>
      </c>
      <c r="I9912" s="10" t="inlineStr">
        <is>
          <t>10/04/2026</t>
        </is>
      </c>
      <c r="J9912" s="10" t="inlineStr">
        <is>
          <t>17/03/2026</t>
        </is>
      </c>
      <c r="K9912" s="10" t="inlineStr">
        <is>
          <t>N/A</t>
        </is>
      </c>
      <c r="L9912" s="10" t="inlineStr">
        <is>
          <t>Cải Tiến Quy Trình Vận Hành, Phân Tích Nghiệp Vụ, Thiết Kế Giải Pháp, Triển Khai ERP, Đàm Phán</t>
        </is>
      </c>
      <c r="M9912" s="10" t="inlineStr">
        <is>
          <t>Healthcare Plan, Team Activities, Vouchers, Others</t>
        </is>
      </c>
      <c r="N9912" s="11">
        <f>HYPERLINK("https://www.vietnamworks.com/chuyen-vien-phan-tich-nghiep-vu-erp-2021931-jv","Xem chi tiết")</f>
        <v/>
      </c>
      <c r="O9912" s="10" t="n"/>
    </row>
    <row r="9913">
      <c r="B9913" s="7" t="n">
        <v>9911</v>
      </c>
      <c r="C9913" t="inlineStr">
        <is>
          <t>Giảng Viên Thiết Kế Đồ Hoạ</t>
        </is>
      </c>
      <c r="D9913" t="inlineStr">
        <is>
          <t>Tổ Chức Giáo Dục FPT</t>
        </is>
      </c>
      <c r="E9913" t="inlineStr">
        <is>
          <t>Thương lượng</t>
        </is>
      </c>
      <c r="F9913" t="inlineStr">
        <is>
          <t>Hà Nội, Phú Thọ</t>
        </is>
      </c>
      <c r="G9913" t="inlineStr">
        <is>
          <t>Nhân viên</t>
        </is>
      </c>
      <c r="H9913" t="inlineStr">
        <is>
          <t>11/03/2026</t>
        </is>
      </c>
      <c r="I9913" t="inlineStr">
        <is>
          <t>10/04/2026</t>
        </is>
      </c>
      <c r="J9913" t="inlineStr">
        <is>
          <t>17/03/2026</t>
        </is>
      </c>
      <c r="K9913" t="inlineStr">
        <is>
          <t>N/A</t>
        </is>
      </c>
      <c r="L9913" t="inlineStr">
        <is>
          <t>Giảng Dạy, Giao Tiếp, Thiết Kế Dự Án, Thiết Kế Đồ Họa, Tiếng Anh</t>
        </is>
      </c>
      <c r="M9913" t="inlineStr">
        <is>
          <t>Bonus, Healthcare Plan, Training, Travel Opportunities, Others</t>
        </is>
      </c>
      <c r="N9913" s="8">
        <f>HYPERLINK("https://www.vietnamworks.com/giang-vien-thiet-ke-djo-hoa-2021933-jv","Xem chi tiết")</f>
        <v/>
      </c>
    </row>
    <row r="9914">
      <c r="B9914" s="9" t="n">
        <v>9912</v>
      </c>
      <c r="C9914" s="10" t="inlineStr">
        <is>
          <t>Chuyên viên Quản trị Dữ liệu</t>
        </is>
      </c>
      <c r="D9914" s="10" t="inlineStr">
        <is>
          <t>Tập Đoàn Công Nghiệp - Viễn Thông Quân Đội (Viettel Group)</t>
        </is>
      </c>
      <c r="E9914" s="10" t="inlineStr">
        <is>
          <t>30tr-50tr ₫/tháng</t>
        </is>
      </c>
      <c r="F9914" s="10" t="inlineStr">
        <is>
          <t>Hà Nội</t>
        </is>
      </c>
      <c r="G9914" s="10" t="inlineStr">
        <is>
          <t>Nhân viên</t>
        </is>
      </c>
      <c r="H9914" s="10" t="inlineStr">
        <is>
          <t>11/03/2026</t>
        </is>
      </c>
      <c r="I9914" s="10" t="inlineStr">
        <is>
          <t>10/04/2026</t>
        </is>
      </c>
      <c r="J9914" s="10" t="inlineStr">
        <is>
          <t>17/03/2026</t>
        </is>
      </c>
      <c r="K9914" s="10" t="inlineStr">
        <is>
          <t>N/A</t>
        </is>
      </c>
      <c r="L9914" s="10" t="inlineStr">
        <is>
          <t>CSDL, Data Engineering, Data Modeling Expertise, SQL, Stream Processing</t>
        </is>
      </c>
      <c r="M9914" s="10" t="inlineStr">
        <is>
          <t>Healthcare Plan, Paid Leave, Travel Opportunities</t>
        </is>
      </c>
      <c r="N9914" s="11">
        <f>HYPERLINK("https://www.vietnamworks.com/chuyen-vien-quan-tri-du-lieu-2021928-jv","Xem chi tiết")</f>
        <v/>
      </c>
      <c r="O9914" s="10" t="n"/>
    </row>
    <row r="9915">
      <c r="B9915" s="7" t="n">
        <v>9913</v>
      </c>
      <c r="C9915" t="inlineStr">
        <is>
          <t>Customer Service Coordinator</t>
        </is>
      </c>
      <c r="D9915" t="inlineStr">
        <is>
          <t>CÔNG TY TNHH DỊCH VỤ COTAC ITS VIỆT NAM</t>
        </is>
      </c>
      <c r="E9915" t="inlineStr">
        <is>
          <t>Từ 20tr ₫/tháng</t>
        </is>
      </c>
      <c r="F9915" t="inlineStr">
        <is>
          <t>Hồ Chí Minh</t>
        </is>
      </c>
      <c r="G9915" t="inlineStr">
        <is>
          <t>Nhân viên</t>
        </is>
      </c>
      <c r="H9915" t="inlineStr">
        <is>
          <t>11/03/2026</t>
        </is>
      </c>
      <c r="I9915" t="inlineStr">
        <is>
          <t>10/04/2026</t>
        </is>
      </c>
      <c r="J9915" t="inlineStr">
        <is>
          <t>17/03/2026</t>
        </is>
      </c>
      <c r="K9915" t="inlineStr">
        <is>
          <t>N/A</t>
        </is>
      </c>
      <c r="L9915" t="inlineStr">
        <is>
          <t>Administration Management, Country Logistics, Customer Service, English Fluency, Quotation Preparation</t>
        </is>
      </c>
      <c r="M9915" t="inlineStr">
        <is>
          <t>Others</t>
        </is>
      </c>
      <c r="N9915" s="8">
        <f>HYPERLINK("https://www.vietnamworks.com/customer-service-coordinator-2021960-jv","Xem chi tiết")</f>
        <v/>
      </c>
    </row>
    <row r="9916">
      <c r="B9916" s="9" t="n">
        <v>9914</v>
      </c>
      <c r="C9916" s="10" t="inlineStr">
        <is>
          <t>Merchandiser - (Good Communication in English) - Lương Up to 20 Triệu VND</t>
        </is>
      </c>
      <c r="D9916" s="10" t="inlineStr">
        <is>
          <t>The Representative Office of Makalot Industrial Co., Ltd In Ha Noi City</t>
        </is>
      </c>
      <c r="E9916" s="10" t="inlineStr">
        <is>
          <t>Tới 20tr ₫/tháng</t>
        </is>
      </c>
      <c r="F9916" s="10" t="inlineStr">
        <is>
          <t>Hà Nội</t>
        </is>
      </c>
      <c r="G9916" s="10" t="inlineStr">
        <is>
          <t>Nhân viên</t>
        </is>
      </c>
      <c r="H9916" s="10" t="inlineStr">
        <is>
          <t>11/03/2026</t>
        </is>
      </c>
      <c r="I9916" s="10" t="inlineStr">
        <is>
          <t>10/04/2026</t>
        </is>
      </c>
      <c r="J9916" s="10" t="inlineStr">
        <is>
          <t>17/03/2026</t>
        </is>
      </c>
      <c r="K9916" s="10" t="inlineStr">
        <is>
          <t>N/A</t>
        </is>
      </c>
      <c r="L9916" s="10" t="inlineStr">
        <is>
          <t>Merchandising, Supply Chain, Order Management, English</t>
        </is>
      </c>
      <c r="M9916" s="10" t="inlineStr">
        <is>
          <t>Bonus, Training, Team Activities</t>
        </is>
      </c>
      <c r="N9916" s="11">
        <f>HYPERLINK("https://www.vietnamworks.com/merchandiser-good-communication-in-english-luong-up-to-20-trieu-vnd-2021951-jv","Xem chi tiết")</f>
        <v/>
      </c>
      <c r="O9916" s="10" t="n"/>
    </row>
    <row r="9917">
      <c r="B9917" s="7" t="n">
        <v>9915</v>
      </c>
      <c r="C9917" t="inlineStr">
        <is>
          <t>Chuyên Viên Hành Chính Nhân Sự Tổng Hợp</t>
        </is>
      </c>
      <c r="D9917" t="inlineStr">
        <is>
          <t>CÔNG TY TNHH STARRY VIETNAM</t>
        </is>
      </c>
      <c r="E9917" t="inlineStr">
        <is>
          <t>Thương lượng</t>
        </is>
      </c>
      <c r="F9917" t="inlineStr">
        <is>
          <t>Long An, Hồ Chí Minh, Tây Ninh</t>
        </is>
      </c>
      <c r="G9917" t="inlineStr">
        <is>
          <t>Nhân viên</t>
        </is>
      </c>
      <c r="H9917" t="inlineStr">
        <is>
          <t>11/03/2026</t>
        </is>
      </c>
      <c r="I9917" t="inlineStr">
        <is>
          <t>10/04/2026</t>
        </is>
      </c>
      <c r="J9917" t="inlineStr">
        <is>
          <t>17/03/2026</t>
        </is>
      </c>
      <c r="K9917" t="inlineStr">
        <is>
          <t>N/A</t>
        </is>
      </c>
      <c r="L9917" t="inlineStr">
        <is>
          <t>Hành Chính Tổng Hợp, Quản Trị Nhân Sự, Nhân Sự, Quản Trị Kinh Doanh, Admin</t>
        </is>
      </c>
      <c r="M9917" t="inlineStr">
        <is>
          <t>Bonus, Healthcare Plan, Transportation, Others</t>
        </is>
      </c>
      <c r="N9917" s="8">
        <f>HYPERLINK("https://www.vietnamworks.com/chuyen-vien-hanh-chinh-nhan-su-tong-hop-2021961-jv","Xem chi tiết")</f>
        <v/>
      </c>
    </row>
    <row r="9918">
      <c r="B9918" s="9" t="n">
        <v>9916</v>
      </c>
      <c r="C9918" s="10" t="inlineStr">
        <is>
          <t>System Administrator</t>
        </is>
      </c>
      <c r="D9918" s="10" t="inlineStr">
        <is>
          <t>Viettel Networks</t>
        </is>
      </c>
      <c r="E9918" s="10" t="inlineStr">
        <is>
          <t>$$ 1,000-3,000 /tháng</t>
        </is>
      </c>
      <c r="F9918" s="10" t="inlineStr">
        <is>
          <t>Hà Nội</t>
        </is>
      </c>
      <c r="G9918" s="10" t="inlineStr">
        <is>
          <t>Nhân viên</t>
        </is>
      </c>
      <c r="H9918" s="10" t="inlineStr">
        <is>
          <t>11/03/2026</t>
        </is>
      </c>
      <c r="I9918" s="10" t="inlineStr">
        <is>
          <t>10/04/2026</t>
        </is>
      </c>
      <c r="J9918" s="10" t="inlineStr">
        <is>
          <t>17/03/2026</t>
        </is>
      </c>
      <c r="K9918" s="10" t="inlineStr">
        <is>
          <t>N/A</t>
        </is>
      </c>
      <c r="L9918" s="10" t="inlineStr">
        <is>
          <t>Windows Server, System Administration, Quản Trị Hệ Thống, Linux, IT System Administration</t>
        </is>
      </c>
      <c r="M9918" s="10" t="inlineStr">
        <is>
          <t>Bonus, Healthcare Plan, Others</t>
        </is>
      </c>
      <c r="N9918" s="11">
        <f>HYPERLINK("https://www.vietnamworks.com/system-administrator--2021964-jv","Xem chi tiết")</f>
        <v/>
      </c>
      <c r="O9918" s="10" t="n"/>
    </row>
    <row r="9919">
      <c r="B9919" s="7" t="n">
        <v>9917</v>
      </c>
      <c r="C9919" t="inlineStr">
        <is>
          <t>Assistant Depot Manager - Trợ lý Giám đốc</t>
        </is>
      </c>
      <c r="D9919" t="inlineStr">
        <is>
          <t>CÔNG TY TNHH DỊCH VỤ COTAC ITS VIỆT NAM</t>
        </is>
      </c>
      <c r="E9919" t="inlineStr">
        <is>
          <t>Từ 30tr ₫/tháng</t>
        </is>
      </c>
      <c r="F9919" t="inlineStr">
        <is>
          <t>Hồ Chí Minh</t>
        </is>
      </c>
      <c r="G9919" t="inlineStr">
        <is>
          <t>Nhân viên</t>
        </is>
      </c>
      <c r="H9919" t="inlineStr">
        <is>
          <t>11/03/2026</t>
        </is>
      </c>
      <c r="I9919" t="inlineStr">
        <is>
          <t>10/04/2026</t>
        </is>
      </c>
      <c r="J9919" t="inlineStr">
        <is>
          <t>17/03/2026</t>
        </is>
      </c>
      <c r="K9919" t="inlineStr">
        <is>
          <t>N/A</t>
        </is>
      </c>
      <c r="L9919" t="inlineStr">
        <is>
          <t>Assistant, Container</t>
        </is>
      </c>
      <c r="M9919" t="inlineStr">
        <is>
          <t>Others</t>
        </is>
      </c>
      <c r="N9919" s="8">
        <f>HYPERLINK("https://www.vietnamworks.com/assistant-depot-manager-tro-ly-giam-djoc-2021962-jv","Xem chi tiết")</f>
        <v/>
      </c>
    </row>
    <row r="9920">
      <c r="B9920" s="9" t="n">
        <v>9918</v>
      </c>
      <c r="C9920" s="10" t="inlineStr">
        <is>
          <t>Trưởng Ban Quản Lý Tòa Nhà (Bình Dương)</t>
        </is>
      </c>
      <c r="D9920" s="10" t="inlineStr">
        <is>
          <t>Công Ty TNHH Alpha Plus</t>
        </is>
      </c>
      <c r="E9920" s="10" t="inlineStr">
        <is>
          <t>Thương lượng</t>
        </is>
      </c>
      <c r="F9920" s="10" t="inlineStr">
        <is>
          <t>Hồ Chí Minh, Bình Dương</t>
        </is>
      </c>
      <c r="G9920" s="10" t="inlineStr">
        <is>
          <t>Trưởng phòng</t>
        </is>
      </c>
      <c r="H9920" s="10" t="inlineStr">
        <is>
          <t>11/03/2026</t>
        </is>
      </c>
      <c r="I9920" s="10" t="inlineStr">
        <is>
          <t>10/04/2026</t>
        </is>
      </c>
      <c r="J9920" s="10" t="inlineStr">
        <is>
          <t>17/03/2026</t>
        </is>
      </c>
      <c r="K9920" s="10" t="inlineStr">
        <is>
          <t>N/A</t>
        </is>
      </c>
      <c r="L9920" s="10" t="inlineStr">
        <is>
          <t>Kỹ năng giao tiếp, Kỹ năng quan sát và phân tích vấn đề, Làm Việc Chịu Áp Lực Cao, Quản Lý Vận Hành, Xử Lý Tình Huống Linh Hoạt</t>
        </is>
      </c>
      <c r="M9920" s="10" t="inlineStr">
        <is>
          <t>Bonus, Healthcare Plan, Paid Leave, Laptop, Travel Opportunities</t>
        </is>
      </c>
      <c r="N9920" s="11">
        <f>HYPERLINK("https://www.vietnamworks.com/truong-ban-quan-ly-toa-nha-binh-duong-2021952-jv","Xem chi tiết")</f>
        <v/>
      </c>
      <c r="O9920" s="10" t="n"/>
    </row>
    <row r="9921">
      <c r="B9921" s="7" t="n">
        <v>9919</v>
      </c>
      <c r="C9921" t="inlineStr">
        <is>
          <t>Kế Toán Tổng Hợp</t>
        </is>
      </c>
      <c r="D9921" t="inlineStr">
        <is>
          <t>CÔNG TY TNHH STARRY VIETNAM</t>
        </is>
      </c>
      <c r="E9921" t="inlineStr">
        <is>
          <t>Từ $ 1,000 /tháng</t>
        </is>
      </c>
      <c r="F9921" t="inlineStr">
        <is>
          <t>Long An</t>
        </is>
      </c>
      <c r="G9921" t="inlineStr">
        <is>
          <t>Nhân viên</t>
        </is>
      </c>
      <c r="H9921" t="inlineStr">
        <is>
          <t>11/03/2026</t>
        </is>
      </c>
      <c r="I9921" t="inlineStr">
        <is>
          <t>10/04/2026</t>
        </is>
      </c>
      <c r="J9921" t="inlineStr">
        <is>
          <t>17/03/2026</t>
        </is>
      </c>
      <c r="K9921" t="inlineStr">
        <is>
          <t>N/A</t>
        </is>
      </c>
      <c r="L9921" t="inlineStr">
        <is>
          <t>Báo Cáo Tài Chính, Hạch Toán, Kê Khai Thuế, Quyết Toán Thuế, Đối Chiếu Số Liệu</t>
        </is>
      </c>
      <c r="M9921" t="inlineStr">
        <is>
          <t>Bonus, Healthcare Plan</t>
        </is>
      </c>
      <c r="N9921" s="8">
        <f>HYPERLINK("https://www.vietnamworks.com/ke-toan-tong-hop-2021957-jv","Xem chi tiết")</f>
        <v/>
      </c>
    </row>
    <row r="9922">
      <c r="B9922" s="9" t="n">
        <v>9920</v>
      </c>
      <c r="C9922" s="10" t="inlineStr">
        <is>
          <t>Chuyên Viên Bán Hàng Cao Cấp /Professional Sales Senior</t>
        </is>
      </c>
      <c r="D9922" s="10" t="inlineStr">
        <is>
          <t>Công Ty TNHH Trinox Sài Gòn</t>
        </is>
      </c>
      <c r="E9922" s="10" t="inlineStr">
        <is>
          <t>Tới 50tr ₫/tháng</t>
        </is>
      </c>
      <c r="F9922" s="10" t="inlineStr">
        <is>
          <t>Hồ Chí Minh</t>
        </is>
      </c>
      <c r="G9922" s="10" t="inlineStr">
        <is>
          <t>Nhân viên</t>
        </is>
      </c>
      <c r="H9922" s="10" t="inlineStr">
        <is>
          <t>11/03/2026</t>
        </is>
      </c>
      <c r="I9922" s="10" t="inlineStr">
        <is>
          <t>10/04/2026</t>
        </is>
      </c>
      <c r="J9922" s="10" t="inlineStr">
        <is>
          <t>17/03/2026</t>
        </is>
      </c>
      <c r="K9922" s="10" t="inlineStr">
        <is>
          <t>N/A</t>
        </is>
      </c>
      <c r="L9922" s="10" t="inlineStr">
        <is>
          <t>Bán Hàng, Chăm Sóc Khách Hàng, Business Development, Nhân viên kinh doanh, sales engineer</t>
        </is>
      </c>
      <c r="M9922" s="10" t="inlineStr">
        <is>
          <t>Bonus, Healthcare Plan, Team Activities, Others</t>
        </is>
      </c>
      <c r="N9922" s="11">
        <f>HYPERLINK("https://www.vietnamworks.com/chuyen-vien-ban-hang-cao-cap-professional-sales-senior-2021950-jv","Xem chi tiết")</f>
        <v/>
      </c>
      <c r="O9922" s="10" t="n"/>
    </row>
    <row r="9923">
      <c r="B9923" s="7" t="n">
        <v>9921</v>
      </c>
      <c r="C9923" t="inlineStr">
        <is>
          <t>Nhân Viên Kinh Doanh</t>
        </is>
      </c>
      <c r="D9923" t="inlineStr">
        <is>
          <t>Công ty TNHH V Và V</t>
        </is>
      </c>
      <c r="E9923" t="inlineStr">
        <is>
          <t>5tr-20tr ₫/tháng</t>
        </is>
      </c>
      <c r="F9923" t="inlineStr">
        <is>
          <t>Hà Nội</t>
        </is>
      </c>
      <c r="G9923" t="inlineStr">
        <is>
          <t>Nhân viên</t>
        </is>
      </c>
      <c r="H9923" t="inlineStr">
        <is>
          <t>11/03/2026</t>
        </is>
      </c>
      <c r="I9923" t="inlineStr">
        <is>
          <t>10/04/2026</t>
        </is>
      </c>
      <c r="J9923" t="inlineStr">
        <is>
          <t>17/03/2026</t>
        </is>
      </c>
      <c r="K9923" t="inlineStr">
        <is>
          <t>N/A</t>
        </is>
      </c>
      <c r="L9923" t="inlineStr">
        <is>
          <t>Bán Buôn Bán Lẻ, Chăm Sóc Khách Hàng, Giới Thiệu Sản Phẩm, Quản Lý Kênh Siêu Thị, Kinh Doanh</t>
        </is>
      </c>
      <c r="M9923" t="inlineStr">
        <is>
          <t>Bonus, Paid Leave, Travel Opportunities</t>
        </is>
      </c>
      <c r="N9923" s="8">
        <f>HYPERLINK("https://www.vietnamworks.com/nhan-vien-kinh-doanh-2021954-jv","Xem chi tiết")</f>
        <v/>
      </c>
    </row>
    <row r="9924">
      <c r="B9924" s="9" t="n">
        <v>9922</v>
      </c>
      <c r="C9924" s="10" t="inlineStr">
        <is>
          <t>Kỹ Thuật Viên Sản Xuất</t>
        </is>
      </c>
      <c r="D9924" s="10" t="inlineStr">
        <is>
          <t>Công Ty TNHH Nước Giải Khát Và Thực Phẩm Suntory Việt Nam</t>
        </is>
      </c>
      <c r="E9924" s="10" t="inlineStr">
        <is>
          <t>10tr-15tr ₫/tháng</t>
        </is>
      </c>
      <c r="F9924" s="10" t="inlineStr">
        <is>
          <t>Bắc Ninh</t>
        </is>
      </c>
      <c r="G9924" s="10" t="inlineStr">
        <is>
          <t>Nhân viên</t>
        </is>
      </c>
      <c r="H9924" s="10" t="inlineStr">
        <is>
          <t>11/03/2026</t>
        </is>
      </c>
      <c r="I9924" s="10" t="inlineStr">
        <is>
          <t>10/04/2026</t>
        </is>
      </c>
      <c r="J9924" s="10" t="inlineStr">
        <is>
          <t>17/03/2026</t>
        </is>
      </c>
      <c r="K9924" s="10" t="inlineStr">
        <is>
          <t>N/A</t>
        </is>
      </c>
      <c r="L9924" s="10" t="inlineStr">
        <is>
          <t>Vận Hành Nhà Máy, Bảo Trì, Sản xuất, Chất Lượng Sản Phẩm, Kinh Nghiệm Ngành Nhựa</t>
        </is>
      </c>
      <c r="M9924" s="10" t="inlineStr">
        <is>
          <t>Bonus, Healthcare Plan, Paid Leave, Canteen, Others</t>
        </is>
      </c>
      <c r="N9924" s="11">
        <f>HYPERLINK("https://www.vietnamworks.com/ky-thuat-vien-san-xuat-2021958-jv","Xem chi tiết")</f>
        <v/>
      </c>
      <c r="O9924" s="10" t="n"/>
    </row>
    <row r="9925">
      <c r="B9925" s="7" t="n">
        <v>9923</v>
      </c>
      <c r="C9925" t="inlineStr">
        <is>
          <t>Chuyên Viên Điều Phối</t>
        </is>
      </c>
      <c r="D9925" t="inlineStr">
        <is>
          <t>Công ty Cổ phần Kinh doanh Hưng Việt</t>
        </is>
      </c>
      <c r="E9925" t="inlineStr">
        <is>
          <t>Thương lượng</t>
        </is>
      </c>
      <c r="F9925" t="inlineStr">
        <is>
          <t>Hà Nội</t>
        </is>
      </c>
      <c r="G9925" t="inlineStr">
        <is>
          <t>Nhân viên</t>
        </is>
      </c>
      <c r="H9925" t="inlineStr">
        <is>
          <t>11/03/2026</t>
        </is>
      </c>
      <c r="I9925" t="inlineStr">
        <is>
          <t>10/04/2026</t>
        </is>
      </c>
      <c r="J9925" t="inlineStr">
        <is>
          <t>17/03/2026</t>
        </is>
      </c>
      <c r="K9925" t="inlineStr">
        <is>
          <t>N/A</t>
        </is>
      </c>
      <c r="L9925" t="inlineStr">
        <is>
          <t>Quản Lý Dự Án, Nghiệp Vụ Thư Ký, Phân Tích Dữ Liệu, Trợ Lý, Tiếng Anh</t>
        </is>
      </c>
      <c r="M9925" t="inlineStr">
        <is>
          <t>Bonus, Healthcare Plan, Training, Travel Opportunities, Others</t>
        </is>
      </c>
      <c r="N9925" s="8">
        <f>HYPERLINK("https://www.vietnamworks.com/chuyen-vien-dieu-phoi--2021953-jv","Xem chi tiết")</f>
        <v/>
      </c>
    </row>
    <row r="9926">
      <c r="B9926" s="9" t="n">
        <v>9924</v>
      </c>
      <c r="C9926" s="10" t="inlineStr">
        <is>
          <t>Sales admin</t>
        </is>
      </c>
      <c r="D9926" s="10" t="inlineStr">
        <is>
          <t>Công ty TNHH V Và V</t>
        </is>
      </c>
      <c r="E9926" s="10" t="inlineStr">
        <is>
          <t>5tr-20tr ₫/tháng</t>
        </is>
      </c>
      <c r="F9926" s="10" t="inlineStr">
        <is>
          <t>Hà Nội</t>
        </is>
      </c>
      <c r="G9926" s="10" t="inlineStr">
        <is>
          <t>Nhân viên</t>
        </is>
      </c>
      <c r="H9926" s="10" t="inlineStr">
        <is>
          <t>11/03/2026</t>
        </is>
      </c>
      <c r="I9926" s="10" t="inlineStr">
        <is>
          <t>10/04/2026</t>
        </is>
      </c>
      <c r="J9926" s="10" t="inlineStr">
        <is>
          <t>17/03/2026</t>
        </is>
      </c>
      <c r="K9926" s="10" t="inlineStr">
        <is>
          <t>N/A</t>
        </is>
      </c>
      <c r="L9926" s="10" t="inlineStr">
        <is>
          <t>After-Sales Support, Customer Service &amp; After-Sales Support, Sales Admin, Sales Administration, Sales Support</t>
        </is>
      </c>
      <c r="M9926" s="10" t="inlineStr">
        <is>
          <t>Bonus, Paid Leave, Travel Opportunities</t>
        </is>
      </c>
      <c r="N9926" s="11">
        <f>HYPERLINK("https://www.vietnamworks.com/sales-admin-2021969-jv","Xem chi tiết")</f>
        <v/>
      </c>
      <c r="O9926" s="10" t="n"/>
    </row>
    <row r="9927">
      <c r="B9927" s="7" t="n">
        <v>9925</v>
      </c>
      <c r="C9927" t="inlineStr">
        <is>
          <t>HCMC – Experienced Sales Executive / Merchandiser with Fabric Industry Background</t>
        </is>
      </c>
      <c r="D9927" t="inlineStr">
        <is>
          <t>CÔNG TY TNHH COLOR&amp;TOUCH HCM</t>
        </is>
      </c>
      <c r="E9927" t="inlineStr">
        <is>
          <t>Thương lượng</t>
        </is>
      </c>
      <c r="F9927" t="inlineStr">
        <is>
          <t>Hồ Chí Minh</t>
        </is>
      </c>
      <c r="G9927" t="inlineStr">
        <is>
          <t>Nhân viên</t>
        </is>
      </c>
      <c r="H9927" t="inlineStr">
        <is>
          <t>11/03/2026</t>
        </is>
      </c>
      <c r="I9927" t="inlineStr">
        <is>
          <t>10/04/2026</t>
        </is>
      </c>
      <c r="J9927" t="inlineStr">
        <is>
          <t>17/03/2026</t>
        </is>
      </c>
      <c r="K9927" t="inlineStr">
        <is>
          <t>N/A</t>
        </is>
      </c>
      <c r="L9927" t="inlineStr">
        <is>
          <t>Sales Development, Production Management, Business Development, Phát Triển Kinh Doanh, Phát Triển Thị Trường</t>
        </is>
      </c>
      <c r="M9927" t="inlineStr">
        <is>
          <t>Healthcare Plan, Team Activities</t>
        </is>
      </c>
      <c r="N9927" s="8">
        <f>HYPERLINK("https://www.vietnamworks.com/hcmc-experienced-sales-executive-merchandiser-with-fabric-industry-background-2021972-jv","Xem chi tiết")</f>
        <v/>
      </c>
    </row>
    <row r="9928">
      <c r="B9928" s="9" t="n">
        <v>9926</v>
      </c>
      <c r="C9928" s="10" t="inlineStr">
        <is>
          <t>HR cum Admin Executive - Trưởng phòng Nhân Sự &amp; Hành Chính</t>
        </is>
      </c>
      <c r="D9928" s="10" t="inlineStr">
        <is>
          <t>CÔNG TY TNHH DỊCH VỤ COTAC ITS VIỆT NAM</t>
        </is>
      </c>
      <c r="E9928" s="10" t="inlineStr">
        <is>
          <t>Từ 20tr ₫/tháng</t>
        </is>
      </c>
      <c r="F9928" s="10" t="inlineStr">
        <is>
          <t>Hồ Chí Minh</t>
        </is>
      </c>
      <c r="G9928" s="10" t="inlineStr">
        <is>
          <t>Nhân viên</t>
        </is>
      </c>
      <c r="H9928" s="10" t="inlineStr">
        <is>
          <t>11/03/2026</t>
        </is>
      </c>
      <c r="I9928" s="10" t="inlineStr">
        <is>
          <t>10/04/2026</t>
        </is>
      </c>
      <c r="J9928" s="10" t="inlineStr">
        <is>
          <t>17/03/2026</t>
        </is>
      </c>
      <c r="K9928" s="10" t="inlineStr">
        <is>
          <t>N/A</t>
        </is>
      </c>
      <c r="L9928" s="10" t="inlineStr">
        <is>
          <t>C&amp;B, Hành Chính, HR, Lập Bảng Lương, Work Permit Handling</t>
        </is>
      </c>
      <c r="M9928" s="10" t="inlineStr">
        <is>
          <t>Others</t>
        </is>
      </c>
      <c r="N9928" s="11">
        <f>HYPERLINK("https://www.vietnamworks.com/hr-cum-admin-executive-truong-phong-nhan-su-and-hanh-chinh-2021966-jv","Xem chi tiết")</f>
        <v/>
      </c>
      <c r="O9928" s="10" t="n"/>
    </row>
    <row r="9929">
      <c r="B9929" s="7" t="n">
        <v>9927</v>
      </c>
      <c r="C9929" t="inlineStr">
        <is>
          <t>Head of Partnerships</t>
        </is>
      </c>
      <c r="D9929" t="inlineStr">
        <is>
          <t>ODM Group Ltd.</t>
        </is>
      </c>
      <c r="E9929" t="inlineStr">
        <is>
          <t>Thương lượng</t>
        </is>
      </c>
      <c r="F9929" t="inlineStr">
        <is>
          <t>Hồ Chí Minh</t>
        </is>
      </c>
      <c r="G9929" t="inlineStr">
        <is>
          <t>Trưởng phòng</t>
        </is>
      </c>
      <c r="H9929" t="inlineStr">
        <is>
          <t>11/03/2026</t>
        </is>
      </c>
      <c r="I9929" t="inlineStr">
        <is>
          <t>10/04/2026</t>
        </is>
      </c>
      <c r="J9929" t="inlineStr">
        <is>
          <t>17/03/2026</t>
        </is>
      </c>
      <c r="K9929" t="inlineStr">
        <is>
          <t>N/A</t>
        </is>
      </c>
      <c r="L9929" t="inlineStr">
        <is>
          <t>B2B Sale, Business Development, Leadership, Sales Management, Kinh Doanh</t>
        </is>
      </c>
      <c r="M9929" t="inlineStr">
        <is>
          <t>Bonus, Paid Leave, Laptop</t>
        </is>
      </c>
      <c r="N9929" s="8">
        <f>HYPERLINK("https://www.vietnamworks.com/head-of-partnerships--2021970-jv","Xem chi tiết")</f>
        <v/>
      </c>
    </row>
    <row r="9930">
      <c r="B9930" s="9" t="n">
        <v>9928</v>
      </c>
      <c r="C9930" s="10" t="inlineStr">
        <is>
          <t>Phó Giám Đốc Công Nghệ Phần Mềm</t>
        </is>
      </c>
      <c r="D9930" s="10" t="inlineStr">
        <is>
          <t>Công Ty Cổ Phần Công Nghệ Đầu Tư Minh Phương</t>
        </is>
      </c>
      <c r="E9930" s="10" t="inlineStr">
        <is>
          <t>20tr-40tr ₫/tháng</t>
        </is>
      </c>
      <c r="F9930" s="10" t="inlineStr">
        <is>
          <t>Hồ Chí Minh</t>
        </is>
      </c>
      <c r="G9930" s="10" t="inlineStr">
        <is>
          <t>Giám Đốc và Cấp Cao Hơn</t>
        </is>
      </c>
      <c r="H9930" s="10" t="inlineStr">
        <is>
          <t>11/03/2026</t>
        </is>
      </c>
      <c r="I9930" s="10" t="inlineStr">
        <is>
          <t>10/04/2026</t>
        </is>
      </c>
      <c r="J9930" s="10" t="inlineStr">
        <is>
          <t>17/03/2026</t>
        </is>
      </c>
      <c r="K9930" s="10" t="inlineStr">
        <is>
          <t>N/A</t>
        </is>
      </c>
      <c r="L9930" s="10" t="inlineStr">
        <is>
          <t>Công Nghệ Thông Tin, Phát Triển Phần Mềm, Kỹ Thuật Phần Mềm, Java, .NET</t>
        </is>
      </c>
      <c r="M9930" s="10" t="inlineStr">
        <is>
          <t>Bonus, Paid Leave, Training, Travel Opportunities, Transportation</t>
        </is>
      </c>
      <c r="N9930" s="11">
        <f>HYPERLINK("https://www.vietnamworks.com/pho-giam-djoc-cong-nghe-phan-mem-2021965-jv","Xem chi tiết")</f>
        <v/>
      </c>
      <c r="O9930" s="10" t="n"/>
    </row>
    <row r="9931">
      <c r="B9931" s="7" t="n">
        <v>9929</v>
      </c>
      <c r="C9931" t="inlineStr">
        <is>
          <t>Human Resource &amp; Administration Manager</t>
        </is>
      </c>
      <c r="D9931" t="inlineStr">
        <is>
          <t>Archetype Vietnam Ltd.</t>
        </is>
      </c>
      <c r="E9931" t="inlineStr">
        <is>
          <t>Thương lượng</t>
        </is>
      </c>
      <c r="F9931" t="inlineStr">
        <is>
          <t>Hồ Chí Minh</t>
        </is>
      </c>
      <c r="G9931" t="inlineStr">
        <is>
          <t>Trưởng phòng</t>
        </is>
      </c>
      <c r="H9931" t="inlineStr">
        <is>
          <t>11/03/2026</t>
        </is>
      </c>
      <c r="I9931" t="inlineStr">
        <is>
          <t>10/04/2026</t>
        </is>
      </c>
      <c r="J9931" t="inlineStr">
        <is>
          <t>17/03/2026</t>
        </is>
      </c>
      <c r="K9931" t="inlineStr">
        <is>
          <t>N/A</t>
        </is>
      </c>
      <c r="L9931" t="inlineStr">
        <is>
          <t>Employee Relation, Human Resources Management, Payroll Management, Recruitment Tools, Team Management</t>
        </is>
      </c>
      <c r="M9931" t="inlineStr">
        <is>
          <t>Healthcare Plan, Paid Leave, Training, Travel Opportunities</t>
        </is>
      </c>
      <c r="N9931" s="8">
        <f>HYPERLINK("https://www.vietnamworks.com/human-resource-and-administration-manager-2021974-jv","Xem chi tiết")</f>
        <v/>
      </c>
    </row>
    <row r="9932">
      <c r="B9932" s="9" t="n">
        <v>9930</v>
      </c>
      <c r="C9932" s="10" t="inlineStr">
        <is>
          <t>Nhân Viên Phụ Trách Bảo Mật Thông Tin Thuộc Bộ Phận Kiểm Soát Nội Bộ</t>
        </is>
      </c>
      <c r="D9932" s="10" t="inlineStr">
        <is>
          <t>Công ty AUREOLE EXPERT INTEGRATORS Inc. thuộc tập đoàn Mitani Sangyo Co., Ltd. (Nhật Bản)</t>
        </is>
      </c>
      <c r="E9932" s="10" t="inlineStr">
        <is>
          <t>Từ $ 400 /tháng</t>
        </is>
      </c>
      <c r="F9932" s="10" t="inlineStr">
        <is>
          <t>Hồ Chí Minh</t>
        </is>
      </c>
      <c r="G9932" s="10" t="inlineStr">
        <is>
          <t>Nhân viên</t>
        </is>
      </c>
      <c r="H9932" s="10" t="inlineStr">
        <is>
          <t>11/03/2026</t>
        </is>
      </c>
      <c r="I9932" s="10" t="inlineStr">
        <is>
          <t>10/04/2026</t>
        </is>
      </c>
      <c r="J9932" s="10" t="inlineStr">
        <is>
          <t>17/03/2026</t>
        </is>
      </c>
      <c r="K9932" s="10" t="inlineStr">
        <is>
          <t>N/A</t>
        </is>
      </c>
      <c r="L9932" s="10" t="inlineStr">
        <is>
          <t>An Toàn Thông Tin, Cyber Security, ISO 27001, IT Security, Network Security</t>
        </is>
      </c>
      <c r="M9932" s="10" t="inlineStr">
        <is>
          <t>Bonus, Paid Leave</t>
        </is>
      </c>
      <c r="N9932" s="11">
        <f>HYPERLINK("https://www.vietnamworks.com/nhan-vien-phu-trach-bao-mat-thong-tin-thuoc-bo-phan-kiem-soat-noi-bo-2021973-jv","Xem chi tiết")</f>
        <v/>
      </c>
      <c r="O9932" s="10" t="n"/>
    </row>
    <row r="9933">
      <c r="B9933" s="7" t="n">
        <v>9931</v>
      </c>
      <c r="C9933" t="inlineStr">
        <is>
          <t>Chuyên Viên Kinh Doanh</t>
        </is>
      </c>
      <c r="D9933" t="inlineStr">
        <is>
          <t>CÔNG TY CỔ PHẦN DỊCH VỤ - THƯƠNG MẠI VÀ XÂY DỰNG ĐỊA ỐC KIM OANH</t>
        </is>
      </c>
      <c r="E9933" t="inlineStr">
        <is>
          <t>7tr-11.5tr ₫/tháng</t>
        </is>
      </c>
      <c r="F9933" t="inlineStr">
        <is>
          <t>Hồ Chí Minh</t>
        </is>
      </c>
      <c r="G9933" t="inlineStr">
        <is>
          <t>Nhân viên</t>
        </is>
      </c>
      <c r="H9933" t="inlineStr">
        <is>
          <t>11/03/2026</t>
        </is>
      </c>
      <c r="I9933" t="inlineStr">
        <is>
          <t>10/04/2026</t>
        </is>
      </c>
      <c r="J9933" t="inlineStr">
        <is>
          <t>17/03/2026</t>
        </is>
      </c>
      <c r="K9933" t="inlineStr">
        <is>
          <t>N/A</t>
        </is>
      </c>
      <c r="L9933" t="inlineStr">
        <is>
          <t>Bất Động Sản, Quản Trị Kinh Doanh, Kinh Tế, Marketing Development, Giao Tiếp</t>
        </is>
      </c>
      <c r="M9933" t="inlineStr">
        <is>
          <t>Bonus, Healthcare Plan, Vouchers</t>
        </is>
      </c>
      <c r="N9933" s="8">
        <f>HYPERLINK("https://www.vietnamworks.com/chuyen-vien-kinh-doanh-2021975-jv","Xem chi tiết")</f>
        <v/>
      </c>
    </row>
    <row r="9934">
      <c r="B9934" s="9" t="n">
        <v>9932</v>
      </c>
      <c r="C9934" s="10" t="inlineStr">
        <is>
          <t>QCQA Leader/ Staff</t>
        </is>
      </c>
      <c r="D9934" s="10" t="inlineStr">
        <is>
          <t>Công Ty TNHH Gigacloud Trading Việt Nam</t>
        </is>
      </c>
      <c r="E9934" s="10" t="inlineStr">
        <is>
          <t>Từ 18tr ₫/tháng</t>
        </is>
      </c>
      <c r="F9934" s="10" t="inlineStr">
        <is>
          <t>Đà Nẵng</t>
        </is>
      </c>
      <c r="G9934" s="10" t="inlineStr">
        <is>
          <t>Nhân viên</t>
        </is>
      </c>
      <c r="H9934" s="10" t="inlineStr">
        <is>
          <t>11/03/2026</t>
        </is>
      </c>
      <c r="I9934" s="10" t="inlineStr">
        <is>
          <t>10/04/2026</t>
        </is>
      </c>
      <c r="J9934" s="10" t="inlineStr">
        <is>
          <t>17/03/2026</t>
        </is>
      </c>
      <c r="K9934" s="10" t="inlineStr">
        <is>
          <t>N/A</t>
        </is>
      </c>
      <c r="L9934" s="10" t="inlineStr">
        <is>
          <t>Quality Inspection, Factory Audit, Data Analysis, Kiểm Tra Chất Lượng, Quản Lý Chi Phí</t>
        </is>
      </c>
      <c r="M9934" s="10" t="inlineStr">
        <is>
          <t>Bonus, Healthcare Plan, Others</t>
        </is>
      </c>
      <c r="N9934" s="11">
        <f>HYPERLINK("https://www.vietnamworks.com/qcqa-leader-staff-2021963-jv","Xem chi tiết")</f>
        <v/>
      </c>
      <c r="O9934" s="10" t="n"/>
    </row>
    <row r="9935">
      <c r="B9935" s="7" t="n">
        <v>9933</v>
      </c>
      <c r="C9935" t="inlineStr">
        <is>
          <t>Talent Acquisition Leader (TA Leader)</t>
        </is>
      </c>
      <c r="D9935" t="inlineStr">
        <is>
          <t>MVC</t>
        </is>
      </c>
      <c r="E9935" t="inlineStr">
        <is>
          <t>Thương lượng</t>
        </is>
      </c>
      <c r="F9935" t="inlineStr">
        <is>
          <t>Hồ Chí Minh</t>
        </is>
      </c>
      <c r="G9935" t="inlineStr">
        <is>
          <t>Trưởng phòng</t>
        </is>
      </c>
      <c r="H9935" t="inlineStr">
        <is>
          <t>11/03/2026</t>
        </is>
      </c>
      <c r="I9935" t="inlineStr">
        <is>
          <t>10/04/2026</t>
        </is>
      </c>
      <c r="J9935" t="inlineStr">
        <is>
          <t>17/03/2026</t>
        </is>
      </c>
      <c r="K9935" t="inlineStr">
        <is>
          <t>N/A</t>
        </is>
      </c>
      <c r="L9935" t="inlineStr">
        <is>
          <t>Mass Recruitment, Team Management, Communication Skills, Plan Management, Positive Attitude</t>
        </is>
      </c>
      <c r="M9935" t="inlineStr">
        <is>
          <t>Bonus, Healthcare Plan, Paid Leave, Training, Mobile, Team Activities, Transportation, Others</t>
        </is>
      </c>
      <c r="N9935" s="8">
        <f>HYPERLINK("https://www.vietnamworks.com/talent-acquisition-leader-ta-leader-2021978-jv","Xem chi tiết")</f>
        <v/>
      </c>
    </row>
    <row r="9936">
      <c r="B9936" s="9" t="n">
        <v>9934</v>
      </c>
      <c r="C9936" s="10" t="inlineStr">
        <is>
          <t>Operations, Sea Export (Freight Forwarder, HCM) - Temporary (7-Month Contract)</t>
        </is>
      </c>
      <c r="D9936" s="10" t="inlineStr">
        <is>
          <t>DSV</t>
        </is>
      </c>
      <c r="E9936" s="10" t="inlineStr">
        <is>
          <t>Thương lượng</t>
        </is>
      </c>
      <c r="F9936" s="10" t="inlineStr">
        <is>
          <t>Hồ Chí Minh</t>
        </is>
      </c>
      <c r="G9936" s="10" t="inlineStr">
        <is>
          <t>Nhân viên</t>
        </is>
      </c>
      <c r="H9936" s="10" t="inlineStr">
        <is>
          <t>11/03/2026</t>
        </is>
      </c>
      <c r="I9936" s="10" t="inlineStr">
        <is>
          <t>10/04/2026</t>
        </is>
      </c>
      <c r="J9936" s="10" t="inlineStr">
        <is>
          <t>17/03/2026</t>
        </is>
      </c>
      <c r="K9936" s="10" t="inlineStr">
        <is>
          <t>N/A</t>
        </is>
      </c>
      <c r="L9936" s="10" t="inlineStr">
        <is>
          <t>English proficiency, Cargowise One, Freight Forwarding, Documentation, Sea Export Operation</t>
        </is>
      </c>
      <c r="M9936" s="10" t="inlineStr">
        <is>
          <t>Bonus, Healthcare Plan, Travel Opportunities</t>
        </is>
      </c>
      <c r="N9936" s="11">
        <f>HYPERLINK("https://www.vietnamworks.com/operations-sea-export-freight-forwarder-hcm-temporary-7-month-contract-2021979-jv","Xem chi tiết")</f>
        <v/>
      </c>
      <c r="O9936" s="10" t="n"/>
    </row>
    <row r="9937">
      <c r="B9937" s="7" t="n">
        <v>9935</v>
      </c>
      <c r="C9937" t="inlineStr">
        <is>
          <t>ACCOUNTANT (AR/CREDIT CONTROL FOCUS) (6-month Contract)</t>
        </is>
      </c>
      <c r="D9937" t="inlineStr">
        <is>
          <t>Pebsteel Buildings Co., Ltd.</t>
        </is>
      </c>
      <c r="E9937" t="inlineStr">
        <is>
          <t>Thương lượng</t>
        </is>
      </c>
      <c r="F9937" t="inlineStr">
        <is>
          <t>Hồ Chí Minh</t>
        </is>
      </c>
      <c r="G9937" t="inlineStr">
        <is>
          <t>Nhân viên</t>
        </is>
      </c>
      <c r="H9937" t="inlineStr">
        <is>
          <t>11/03/2026</t>
        </is>
      </c>
      <c r="I9937" t="inlineStr">
        <is>
          <t>10/04/2026</t>
        </is>
      </c>
      <c r="J9937" t="inlineStr">
        <is>
          <t>17/03/2026</t>
        </is>
      </c>
      <c r="K9937" t="inlineStr">
        <is>
          <t>N/A</t>
        </is>
      </c>
      <c r="L9937" t="inlineStr">
        <is>
          <t>Accounting, Computer Software, English Fluency, Finance, Responsibility</t>
        </is>
      </c>
      <c r="M9937" t="inlineStr">
        <is>
          <t>Bonus, Healthcare Plan, Canteen, Kindergarten, Others</t>
        </is>
      </c>
      <c r="N9937" s="8">
        <f>HYPERLINK("https://www.vietnamworks.com/accountant-arcredit-control-focus-6-month-contract-2021993-jv","Xem chi tiết")</f>
        <v/>
      </c>
    </row>
    <row r="9938">
      <c r="B9938" s="9" t="n">
        <v>9936</v>
      </c>
      <c r="C9938" s="10" t="inlineStr">
        <is>
          <t>Business Development Manager (Express Delivery Service)</t>
        </is>
      </c>
      <c r="D9938" s="10" t="inlineStr">
        <is>
          <t>Công ty TNHH Logchain</t>
        </is>
      </c>
      <c r="E9938" s="10" t="inlineStr">
        <is>
          <t>$$ 650-1,530 /tháng</t>
        </is>
      </c>
      <c r="F9938" s="10" t="inlineStr">
        <is>
          <t>Hồ Chí Minh</t>
        </is>
      </c>
      <c r="G9938" s="10" t="inlineStr">
        <is>
          <t>Trưởng phòng</t>
        </is>
      </c>
      <c r="H9938" s="10" t="inlineStr">
        <is>
          <t>11/03/2026</t>
        </is>
      </c>
      <c r="I9938" s="10" t="inlineStr">
        <is>
          <t>10/04/2026</t>
        </is>
      </c>
      <c r="J9938" s="10" t="inlineStr">
        <is>
          <t>17/03/2026</t>
        </is>
      </c>
      <c r="K9938" s="10" t="inlineStr">
        <is>
          <t>N/A</t>
        </is>
      </c>
      <c r="L9938" s="10" t="inlineStr">
        <is>
          <t>Business Development, Express Delivery, Forwarding, Logistics, Sales Manager</t>
        </is>
      </c>
      <c r="M9938" s="10" t="inlineStr">
        <is>
          <t>Bonus, Healthcare Plan</t>
        </is>
      </c>
      <c r="N9938" s="11">
        <f>HYPERLINK("https://www.vietnamworks.com/business-development-manager-express-delivery-service-2021990-jv","Xem chi tiết")</f>
        <v/>
      </c>
      <c r="O9938" s="10" t="n"/>
    </row>
    <row r="9939">
      <c r="B9939" s="7" t="n">
        <v>9937</v>
      </c>
      <c r="C9939" t="inlineStr">
        <is>
          <t>Legal Assistant Manager</t>
        </is>
      </c>
      <c r="D9939" t="inlineStr">
        <is>
          <t>Logisteed Vietnam Co., Ltd.</t>
        </is>
      </c>
      <c r="E9939" t="inlineStr">
        <is>
          <t>Thương lượng</t>
        </is>
      </c>
      <c r="F9939" t="inlineStr">
        <is>
          <t>Hồ Chí Minh</t>
        </is>
      </c>
      <c r="G9939" t="inlineStr">
        <is>
          <t>Trưởng phòng</t>
        </is>
      </c>
      <c r="H9939" t="inlineStr">
        <is>
          <t>11/03/2026</t>
        </is>
      </c>
      <c r="I9939" t="inlineStr">
        <is>
          <t>10/04/2026</t>
        </is>
      </c>
      <c r="J9939" t="inlineStr">
        <is>
          <t>17/03/2026</t>
        </is>
      </c>
      <c r="K9939" t="inlineStr">
        <is>
          <t>N/A</t>
        </is>
      </c>
      <c r="L9939" t="inlineStr">
        <is>
          <t>Corporate Law, Contract Management, Training Facilitation, Problem-solving, Law</t>
        </is>
      </c>
      <c r="M9939" t="inlineStr">
        <is>
          <t>Bonus, Healthcare Plan, Paid Leave</t>
        </is>
      </c>
      <c r="N9939" s="8">
        <f>HYPERLINK("https://www.vietnamworks.com/legal-assistant-manager-2021980-jv","Xem chi tiết")</f>
        <v/>
      </c>
    </row>
    <row r="9940">
      <c r="B9940" s="9" t="n">
        <v>9938</v>
      </c>
      <c r="C9940" s="10" t="inlineStr">
        <is>
          <t>International Sales Executive</t>
        </is>
      </c>
      <c r="D9940" s="10" t="inlineStr">
        <is>
          <t>Aardwolf Industries LLC</t>
        </is>
      </c>
      <c r="E9940" s="10" t="inlineStr">
        <is>
          <t>$$ 15tr-17tr /tháng</t>
        </is>
      </c>
      <c r="F9940" s="10" t="inlineStr">
        <is>
          <t>Bình Dương</t>
        </is>
      </c>
      <c r="G9940" s="10" t="inlineStr">
        <is>
          <t>Nhân viên</t>
        </is>
      </c>
      <c r="H9940" s="10" t="inlineStr">
        <is>
          <t>11/03/2026</t>
        </is>
      </c>
      <c r="I9940" s="10" t="inlineStr">
        <is>
          <t>10/04/2026</t>
        </is>
      </c>
      <c r="J9940" s="10" t="inlineStr">
        <is>
          <t>17/03/2026</t>
        </is>
      </c>
      <c r="K9940" s="10" t="inlineStr">
        <is>
          <t>N/A</t>
        </is>
      </c>
      <c r="L9940" s="10" t="inlineStr">
        <is>
          <t>Sales, Nhân viên kinh doanh, International Sales Skill</t>
        </is>
      </c>
      <c r="M9940" s="10" t="inlineStr">
        <is>
          <t>Bonus, Healthcare Plan, Others</t>
        </is>
      </c>
      <c r="N9940" s="11">
        <f>HYPERLINK("https://www.vietnamworks.com/international-sales-executive-2021984-jv","Xem chi tiết")</f>
        <v/>
      </c>
      <c r="O9940" s="10" t="n"/>
    </row>
    <row r="9941">
      <c r="B9941" s="7" t="n">
        <v>9939</v>
      </c>
      <c r="C9941" t="inlineStr">
        <is>
          <t>Tour Operator</t>
        </is>
      </c>
      <c r="D9941" t="inlineStr">
        <is>
          <t>The One Digi Corp</t>
        </is>
      </c>
      <c r="E9941" t="inlineStr">
        <is>
          <t>$$ 500-1,000 /tháng</t>
        </is>
      </c>
      <c r="F9941" t="inlineStr">
        <is>
          <t>Hồ Chí Minh</t>
        </is>
      </c>
      <c r="G9941" t="inlineStr">
        <is>
          <t>Nhân viên</t>
        </is>
      </c>
      <c r="H9941" t="inlineStr">
        <is>
          <t>11/03/2026</t>
        </is>
      </c>
      <c r="I9941" t="inlineStr">
        <is>
          <t>10/04/2026</t>
        </is>
      </c>
      <c r="J9941" t="inlineStr">
        <is>
          <t>17/03/2026</t>
        </is>
      </c>
      <c r="K9941" t="inlineStr">
        <is>
          <t>N/A</t>
        </is>
      </c>
      <c r="L9941" t="inlineStr">
        <is>
          <t>Tour Operation, Điều Hành Tour, Điều Hành Du Lịch, Tourism, Tiếng Anh</t>
        </is>
      </c>
      <c r="M9941" t="inlineStr">
        <is>
          <t>Healthcare Plan, Paid Leave, Laptop</t>
        </is>
      </c>
      <c r="N9941" s="8">
        <f>HYPERLINK("https://www.vietnamworks.com/tour-operator--2021996-jv","Xem chi tiết")</f>
        <v/>
      </c>
    </row>
    <row r="9942">
      <c r="B9942" s="9" t="n">
        <v>9940</v>
      </c>
      <c r="C9942" s="10" t="inlineStr">
        <is>
          <t>Nhân Viên Pháp Chế</t>
        </is>
      </c>
      <c r="D9942" s="10" t="inlineStr">
        <is>
          <t>Công ty TNHH Astemo Hưng Yên</t>
        </is>
      </c>
      <c r="E9942" s="10" t="inlineStr">
        <is>
          <t>Thương lượng</t>
        </is>
      </c>
      <c r="F9942" s="10" t="inlineStr">
        <is>
          <t>Hưng Yên</t>
        </is>
      </c>
      <c r="G9942" s="10" t="inlineStr">
        <is>
          <t>Nhân viên</t>
        </is>
      </c>
      <c r="H9942" s="10" t="inlineStr">
        <is>
          <t>11/03/2026</t>
        </is>
      </c>
      <c r="I9942" s="10" t="inlineStr">
        <is>
          <t>10/04/2026</t>
        </is>
      </c>
      <c r="J9942" s="10" t="inlineStr">
        <is>
          <t>17/03/2026</t>
        </is>
      </c>
      <c r="K9942" s="10" t="inlineStr">
        <is>
          <t>N/A</t>
        </is>
      </c>
      <c r="L9942" s="10" t="inlineStr">
        <is>
          <t>Luật Doanh Nghiệp, Pháp Lý Doanh Nghiệp, Pháp Lý, Soạn Thảo Hợp Đồng, Tư Vấn Pháp Lý</t>
        </is>
      </c>
      <c r="M9942" s="10" t="inlineStr">
        <is>
          <t>Bonus, Team Activities, Transportation, Others</t>
        </is>
      </c>
      <c r="N9942" s="11">
        <f>HYPERLINK("https://www.vietnamworks.com/nhan-vien-phap-che-2022001-jv","Xem chi tiết")</f>
        <v/>
      </c>
      <c r="O9942" s="10" t="n"/>
    </row>
    <row r="9943">
      <c r="B9943" s="7" t="n">
        <v>9941</v>
      </c>
      <c r="C9943" t="inlineStr">
        <is>
          <t>Kế Toán Tổng Hợp</t>
        </is>
      </c>
      <c r="D9943" t="inlineStr">
        <is>
          <t>Công Ty TNHH Quốc Tế ( Trung Tâm Anh Ngữ AMA Vũng Tàu)</t>
        </is>
      </c>
      <c r="E9943" t="inlineStr">
        <is>
          <t>Thương lượng</t>
        </is>
      </c>
      <c r="F9943" t="inlineStr">
        <is>
          <t>Bà Rịa - Vũng Tàu</t>
        </is>
      </c>
      <c r="G9943" t="inlineStr">
        <is>
          <t>Nhân viên</t>
        </is>
      </c>
      <c r="H9943" t="inlineStr">
        <is>
          <t>11/03/2026</t>
        </is>
      </c>
      <c r="I9943" t="inlineStr">
        <is>
          <t>10/04/2026</t>
        </is>
      </c>
      <c r="J9943" t="inlineStr">
        <is>
          <t>17/03/2026</t>
        </is>
      </c>
      <c r="K9943" t="inlineStr">
        <is>
          <t>N/A</t>
        </is>
      </c>
      <c r="L9943" t="inlineStr">
        <is>
          <t>Báo Cáo Tài Chính, Báo Cáo Thuế, Kiểm Soát Công Nợ, Misa, Quản Lý Tài Chính</t>
        </is>
      </c>
      <c r="M9943" t="inlineStr">
        <is>
          <t>Bonus, Healthcare Plan, Paid Leave, Training</t>
        </is>
      </c>
      <c r="N9943" s="8">
        <f>HYPERLINK("https://www.vietnamworks.com/ke-toan-tong-hop-2021998-jv","Xem chi tiết")</f>
        <v/>
      </c>
    </row>
    <row r="9944">
      <c r="B9944" s="9" t="n">
        <v>9942</v>
      </c>
      <c r="C9944" s="10" t="inlineStr">
        <is>
          <t>Senior Manager Quality Assurance</t>
        </is>
      </c>
      <c r="D9944" s="10" t="inlineStr">
        <is>
          <t>CÔNG TY TNHH ERALDA VIỆT NAM</t>
        </is>
      </c>
      <c r="E9944" s="10" t="inlineStr">
        <is>
          <t>Thương lượng</t>
        </is>
      </c>
      <c r="F9944" s="10" t="inlineStr">
        <is>
          <t>Hồ Chí Minh</t>
        </is>
      </c>
      <c r="G9944" s="10" t="inlineStr">
        <is>
          <t>Trưởng phòng</t>
        </is>
      </c>
      <c r="H9944" s="10" t="inlineStr">
        <is>
          <t>11/03/2026</t>
        </is>
      </c>
      <c r="I9944" s="10" t="inlineStr">
        <is>
          <t>10/04/2026</t>
        </is>
      </c>
      <c r="J9944" s="10" t="inlineStr">
        <is>
          <t>17/03/2026</t>
        </is>
      </c>
      <c r="K9944" s="10" t="inlineStr">
        <is>
          <t>N/A</t>
        </is>
      </c>
      <c r="L9944" s="10" t="inlineStr">
        <is>
          <t>Quality Management, Lean Six Sigma, Lean Manufacturing, Electrical, Quality Control &amp; Assurance</t>
        </is>
      </c>
      <c r="M9944" s="10" t="inlineStr">
        <is>
          <t>Bonus, Healthcare Plan, Paid Leave</t>
        </is>
      </c>
      <c r="N9944" s="11">
        <f>HYPERLINK("https://www.vietnamworks.com/senior-manager-quality-assurance-2021987-jv","Xem chi tiết")</f>
        <v/>
      </c>
      <c r="O9944" s="10" t="n"/>
    </row>
    <row r="9945">
      <c r="B9945" s="7" t="n">
        <v>9943</v>
      </c>
      <c r="C9945" t="inlineStr">
        <is>
          <t>Nhân Viên Sales - Sales Kỹ Thuật Composite</t>
        </is>
      </c>
      <c r="D9945" t="inlineStr">
        <is>
          <t>Công Ty TNHH Hóa Chất OXY</t>
        </is>
      </c>
      <c r="E9945" t="inlineStr">
        <is>
          <t>$$ 550-980 /tháng</t>
        </is>
      </c>
      <c r="F9945" t="inlineStr">
        <is>
          <t>Hồ Chí Minh</t>
        </is>
      </c>
      <c r="G9945" t="inlineStr">
        <is>
          <t>Nhân viên</t>
        </is>
      </c>
      <c r="H9945" t="inlineStr">
        <is>
          <t>11/03/2026</t>
        </is>
      </c>
      <c r="I9945" t="inlineStr">
        <is>
          <t>10/04/2026</t>
        </is>
      </c>
      <c r="J9945" t="inlineStr">
        <is>
          <t>17/03/2026</t>
        </is>
      </c>
      <c r="K9945" t="inlineStr">
        <is>
          <t>N/A</t>
        </is>
      </c>
      <c r="L9945" t="inlineStr">
        <is>
          <t>Technical Sales, Chemical Sales, Hóa Polyme, Kỹ Thuật Hoá Học, Kinh Doanh Dược Mỹ Phẩm</t>
        </is>
      </c>
      <c r="M9945" t="inlineStr">
        <is>
          <t>Bonus, Paid Leave</t>
        </is>
      </c>
      <c r="N9945" s="8">
        <f>HYPERLINK("https://www.vietnamworks.com/nhan-vien-sales-sales-ky-thuat-composite--2021995-jv","Xem chi tiết")</f>
        <v/>
      </c>
    </row>
    <row r="9946">
      <c r="B9946" s="9" t="n">
        <v>9944</v>
      </c>
      <c r="C9946" s="10" t="inlineStr">
        <is>
          <t>Trưởng Phòng Phát Triển Đối Tác Đầu Tư Tài Chính</t>
        </is>
      </c>
      <c r="D9946" s="10" t="inlineStr">
        <is>
          <t>Công Ty Cổ Phần Chứng Khoán Up</t>
        </is>
      </c>
      <c r="E9946" s="10" t="inlineStr">
        <is>
          <t>Thương lượng</t>
        </is>
      </c>
      <c r="F9946" s="10" t="inlineStr">
        <is>
          <t>Hà Nội</t>
        </is>
      </c>
      <c r="G9946" s="10" t="inlineStr">
        <is>
          <t>Trưởng phòng</t>
        </is>
      </c>
      <c r="H9946" s="10" t="inlineStr">
        <is>
          <t>11/03/2026</t>
        </is>
      </c>
      <c r="I9946" s="10" t="inlineStr">
        <is>
          <t>10/04/2026</t>
        </is>
      </c>
      <c r="J9946" s="10" t="inlineStr">
        <is>
          <t>17/03/2026</t>
        </is>
      </c>
      <c r="K9946" s="10" t="inlineStr">
        <is>
          <t>N/A</t>
        </is>
      </c>
      <c r="L9946" s="10" t="inlineStr">
        <is>
          <t>Tài Chính Chứng Khoán, Tài Chính Ngân Hàng, Chứng Khoán Đầu Tư</t>
        </is>
      </c>
      <c r="M9946" s="10" t="inlineStr">
        <is>
          <t>Bonus, Healthcare Plan, Travel Opportunities</t>
        </is>
      </c>
      <c r="N9946" s="11">
        <f>HYPERLINK("https://www.vietnamworks.com/truong-phong-phat-trien-doi-tac-dau-tu-tai-chinh-2021988-jv","Xem chi tiết")</f>
        <v/>
      </c>
      <c r="O9946" s="10" t="n"/>
    </row>
    <row r="9947">
      <c r="B9947" s="7" t="n">
        <v>9945</v>
      </c>
      <c r="C9947" t="inlineStr">
        <is>
          <t>Nhân Viên Cơ Điện</t>
        </is>
      </c>
      <c r="D9947" t="inlineStr">
        <is>
          <t>Công Ty Cổ Phần Nhựa Tiến Đạt</t>
        </is>
      </c>
      <c r="E9947" t="inlineStr">
        <is>
          <t>$$ 400-500 /tháng</t>
        </is>
      </c>
      <c r="F9947" t="inlineStr">
        <is>
          <t>Hưng Yên</t>
        </is>
      </c>
      <c r="G9947" t="inlineStr">
        <is>
          <t>Nhân viên</t>
        </is>
      </c>
      <c r="H9947" t="inlineStr">
        <is>
          <t>11/03/2026</t>
        </is>
      </c>
      <c r="I9947" t="inlineStr">
        <is>
          <t>10/04/2026</t>
        </is>
      </c>
      <c r="J9947" t="inlineStr">
        <is>
          <t>17/03/2026</t>
        </is>
      </c>
      <c r="K9947" t="inlineStr">
        <is>
          <t>N/A</t>
        </is>
      </c>
      <c r="L9947" t="inlineStr">
        <is>
          <t>Điện Công Nghiệp, Điện, Cơ Điện, Cơ Khí, Tự Động Hóa</t>
        </is>
      </c>
      <c r="M9947" t="inlineStr">
        <is>
          <t>Bonus, Healthcare Plan, Travel Opportunities</t>
        </is>
      </c>
      <c r="N9947" s="8">
        <f>HYPERLINK("https://www.vietnamworks.com/nhan-vien-co-dien--2021992-jv","Xem chi tiết")</f>
        <v/>
      </c>
    </row>
    <row r="9948">
      <c r="B9948" s="9" t="n">
        <v>9946</v>
      </c>
      <c r="C9948" s="10" t="inlineStr">
        <is>
          <t>Nhân Viên QC - Kiểm Soát Chất Lượng</t>
        </is>
      </c>
      <c r="D9948" s="10" t="inlineStr">
        <is>
          <t>Công Ty Cổ Phần Nhựa Tiến Đạt</t>
        </is>
      </c>
      <c r="E9948" s="10" t="inlineStr">
        <is>
          <t>$$ 400-450 /tháng</t>
        </is>
      </c>
      <c r="F9948" s="10" t="inlineStr">
        <is>
          <t>Hưng Yên</t>
        </is>
      </c>
      <c r="G9948" s="10" t="inlineStr">
        <is>
          <t>Nhân viên</t>
        </is>
      </c>
      <c r="H9948" s="10" t="inlineStr">
        <is>
          <t>11/03/2026</t>
        </is>
      </c>
      <c r="I9948" s="10" t="inlineStr">
        <is>
          <t>10/04/2026</t>
        </is>
      </c>
      <c r="J9948" s="10" t="inlineStr">
        <is>
          <t>17/03/2026</t>
        </is>
      </c>
      <c r="K9948" s="10" t="inlineStr">
        <is>
          <t>N/A</t>
        </is>
      </c>
      <c r="L9948" s="10" t="inlineStr">
        <is>
          <t>Quality Control, Quality Assurance, Kiểm Soát Chất Lượng, QA, QC</t>
        </is>
      </c>
      <c r="M9948" s="10" t="inlineStr">
        <is>
          <t>Bonus, Healthcare Plan, Travel Opportunities</t>
        </is>
      </c>
      <c r="N9948" s="11">
        <f>HYPERLINK("https://www.vietnamworks.com/nhan-vien-qc-kiem-soat-chat-luong--2022002-jv","Xem chi tiết")</f>
        <v/>
      </c>
      <c r="O9948" s="10" t="n"/>
    </row>
    <row r="9949">
      <c r="B9949" s="7" t="n">
        <v>9947</v>
      </c>
      <c r="C9949" t="inlineStr">
        <is>
          <t>Trưởng Phòng Tư Vấn Tuyển Sinh</t>
        </is>
      </c>
      <c r="D9949" t="inlineStr">
        <is>
          <t>Công Ty TNHH Quốc Tế ( Trung Tâm Anh Ngữ AMA Vũng Tàu)</t>
        </is>
      </c>
      <c r="E9949" t="inlineStr">
        <is>
          <t>Thương lượng</t>
        </is>
      </c>
      <c r="F9949" t="inlineStr">
        <is>
          <t>Bà Rịa - Vũng Tàu</t>
        </is>
      </c>
      <c r="G9949" t="inlineStr">
        <is>
          <t>Trưởng phòng</t>
        </is>
      </c>
      <c r="H9949" t="inlineStr">
        <is>
          <t>11/03/2026</t>
        </is>
      </c>
      <c r="I9949" t="inlineStr">
        <is>
          <t>10/04/2026</t>
        </is>
      </c>
      <c r="J9949" t="inlineStr">
        <is>
          <t>17/03/2026</t>
        </is>
      </c>
      <c r="K9949" t="inlineStr">
        <is>
          <t>N/A</t>
        </is>
      </c>
      <c r="L9949" t="inlineStr">
        <is>
          <t>Giao Tiếp, Giáo Dục Đào Tạo, Quản Lý Đội Ngũ Kinh Doanh, Tư Vấn Bán Hàng, Tư Vấn Tuyển Sinh</t>
        </is>
      </c>
      <c r="M9949" t="inlineStr">
        <is>
          <t>Bonus, Healthcare Plan, Paid Leave, Training</t>
        </is>
      </c>
      <c r="N9949" s="8">
        <f>HYPERLINK("https://www.vietnamworks.com/truong-phong-tu-van-tuyen-sinh-2021991-jv","Xem chi tiết")</f>
        <v/>
      </c>
    </row>
    <row r="9950">
      <c r="B9950" s="9" t="n">
        <v>9948</v>
      </c>
      <c r="C9950" s="10" t="inlineStr">
        <is>
          <t>Human Resource Manager (HRM)</t>
        </is>
      </c>
      <c r="D9950" s="10" t="inlineStr">
        <is>
          <t>MVC</t>
        </is>
      </c>
      <c r="E9950" s="10" t="inlineStr">
        <is>
          <t>Thương lượng</t>
        </is>
      </c>
      <c r="F9950" s="10" t="inlineStr">
        <is>
          <t>Hồ Chí Minh</t>
        </is>
      </c>
      <c r="G9950" s="10" t="inlineStr">
        <is>
          <t>Trưởng phòng</t>
        </is>
      </c>
      <c r="H9950" s="10" t="inlineStr">
        <is>
          <t>11/03/2026</t>
        </is>
      </c>
      <c r="I9950" s="10" t="inlineStr">
        <is>
          <t>10/04/2026</t>
        </is>
      </c>
      <c r="J9950" s="10" t="inlineStr">
        <is>
          <t>17/03/2026</t>
        </is>
      </c>
      <c r="K9950" s="10" t="inlineStr">
        <is>
          <t>N/A</t>
        </is>
      </c>
      <c r="L9950" s="10" t="inlineStr">
        <is>
          <t>Quản Lý Nhân Sự, Xây Dựng Hệ Thống Quản Lý, Phân tích dữ liệu, Lập Kế Hoạch, Giao Tiếp</t>
        </is>
      </c>
      <c r="M9950" s="10" t="inlineStr">
        <is>
          <t>Bonus, Healthcare Plan, Team Activities</t>
        </is>
      </c>
      <c r="N9950" s="11">
        <f>HYPERLINK("https://www.vietnamworks.com/human-resource-manager-hrm-2021982-jv","Xem chi tiết")</f>
        <v/>
      </c>
      <c r="O9950" s="10" t="n"/>
    </row>
    <row r="9951">
      <c r="B9951" s="7" t="n">
        <v>9949</v>
      </c>
      <c r="C9951" t="inlineStr">
        <is>
          <t>Manager, Product Engineer</t>
        </is>
      </c>
      <c r="D9951" t="inlineStr">
        <is>
          <t>Công Ty TNHH Pandora Production Việt Nam</t>
        </is>
      </c>
      <c r="E9951" t="inlineStr">
        <is>
          <t>Thương lượng</t>
        </is>
      </c>
      <c r="F9951" t="inlineStr">
        <is>
          <t>Hồ Chí Minh</t>
        </is>
      </c>
      <c r="G9951" t="inlineStr">
        <is>
          <t>Trưởng phòng</t>
        </is>
      </c>
      <c r="H9951" t="inlineStr">
        <is>
          <t>11/03/2026</t>
        </is>
      </c>
      <c r="I9951" t="inlineStr">
        <is>
          <t>10/04/2026</t>
        </is>
      </c>
      <c r="J9951" t="inlineStr">
        <is>
          <t>17/03/2026</t>
        </is>
      </c>
      <c r="K9951" t="inlineStr">
        <is>
          <t>N/A</t>
        </is>
      </c>
      <c r="L9951" t="inlineStr">
        <is>
          <t>Product Development &amp; Design, New Product Development, Communication And Problem-Solving Skills, Stakeholder Mangement, Product engineering</t>
        </is>
      </c>
      <c r="M9951" t="inlineStr">
        <is>
          <t>Bonus, Transportation</t>
        </is>
      </c>
      <c r="N9951" s="8">
        <f>HYPERLINK("https://www.vietnamworks.com/manager-product-engineer-2022008-jv","Xem chi tiết")</f>
        <v/>
      </c>
    </row>
    <row r="9952">
      <c r="B9952" s="9" t="n">
        <v>9950</v>
      </c>
      <c r="C9952" s="10" t="inlineStr">
        <is>
          <t>Kỹ Sư PM</t>
        </is>
      </c>
      <c r="D9952" s="10" t="inlineStr">
        <is>
          <t>Công Ty TNHH Công Nghệ Kỹ Thuật Cao Hi-P Việt Nam</t>
        </is>
      </c>
      <c r="E9952" s="10" t="inlineStr">
        <is>
          <t>15tr-35tr ₫/tháng</t>
        </is>
      </c>
      <c r="F9952" s="10" t="inlineStr">
        <is>
          <t>Bắc Ninh</t>
        </is>
      </c>
      <c r="G9952" s="10" t="inlineStr">
        <is>
          <t>Nhân viên</t>
        </is>
      </c>
      <c r="H9952" s="10" t="inlineStr">
        <is>
          <t>11/03/2026</t>
        </is>
      </c>
      <c r="I9952" s="10" t="inlineStr">
        <is>
          <t>10/04/2026</t>
        </is>
      </c>
      <c r="J9952" s="10" t="inlineStr">
        <is>
          <t>17/03/2026</t>
        </is>
      </c>
      <c r="K9952" s="10" t="inlineStr">
        <is>
          <t>N/A</t>
        </is>
      </c>
      <c r="L9952" s="10" t="inlineStr">
        <is>
          <t>AutoCAD, Cơ Khí, Gia Công Cơ Khí, Kỹ Thuật, Tiếng Anh</t>
        </is>
      </c>
      <c r="M9952" s="10" t="inlineStr">
        <is>
          <t>Bonus, Healthcare Plan, Others</t>
        </is>
      </c>
      <c r="N9952" s="11">
        <f>HYPERLINK("https://www.vietnamworks.com/ky-su-pm-2022003-jv","Xem chi tiết")</f>
        <v/>
      </c>
      <c r="O9952" s="10" t="n"/>
    </row>
    <row r="9953">
      <c r="B9953" s="7" t="n">
        <v>9951</v>
      </c>
      <c r="C9953" t="inlineStr">
        <is>
          <t>[Gấp] Material Control Staff / Nhân Viên Kho – Tiếng Anh Khá</t>
        </is>
      </c>
      <c r="D9953" t="inlineStr">
        <is>
          <t>NIKKISO VIETNAM, INC.</t>
        </is>
      </c>
      <c r="E9953" t="inlineStr">
        <is>
          <t>Tới 1,000 ₫/tháng</t>
        </is>
      </c>
      <c r="F9953" t="inlineStr">
        <is>
          <t>Hải Dương, Hà Nội, Hưng Yên</t>
        </is>
      </c>
      <c r="G9953" t="inlineStr">
        <is>
          <t>Nhân viên</t>
        </is>
      </c>
      <c r="H9953" t="inlineStr">
        <is>
          <t>11/03/2026</t>
        </is>
      </c>
      <c r="I9953" t="inlineStr">
        <is>
          <t>10/04/2026</t>
        </is>
      </c>
      <c r="J9953" t="inlineStr">
        <is>
          <t>17/03/2026</t>
        </is>
      </c>
      <c r="K9953" t="inlineStr">
        <is>
          <t>N/A</t>
        </is>
      </c>
      <c r="L9953" t="inlineStr">
        <is>
          <t>Warehouse Management, Import-Export, English, Material Control, Merchandising</t>
        </is>
      </c>
      <c r="M9953" t="inlineStr">
        <is>
          <t>Bonus, Healthcare Plan, Training</t>
        </is>
      </c>
      <c r="N9953" s="8">
        <f>HYPERLINK("https://www.vietnamworks.com/gap-material-control-staff-nhan-vien-kho-tieng-anh-kha--2021994-jv","Xem chi tiết")</f>
        <v/>
      </c>
    </row>
    <row r="9954">
      <c r="B9954" s="9" t="n">
        <v>9952</v>
      </c>
      <c r="C9954" s="10" t="inlineStr">
        <is>
          <t>Trưởng Bộ Phận Kế Toán Tổng Hợp/ Unit Head of General Accounting</t>
        </is>
      </c>
      <c r="D9954" s="10" t="inlineStr">
        <is>
          <t>FE CREDIT</t>
        </is>
      </c>
      <c r="E9954" s="10" t="inlineStr">
        <is>
          <t>Thương lượng</t>
        </is>
      </c>
      <c r="F9954" s="10" t="inlineStr">
        <is>
          <t>Hồ Chí Minh</t>
        </is>
      </c>
      <c r="G9954" s="10" t="inlineStr">
        <is>
          <t>Nhân viên</t>
        </is>
      </c>
      <c r="H9954" s="10" t="inlineStr">
        <is>
          <t>11/03/2026</t>
        </is>
      </c>
      <c r="I9954" s="10" t="inlineStr">
        <is>
          <t>10/04/2026</t>
        </is>
      </c>
      <c r="J9954" s="10" t="inlineStr">
        <is>
          <t>17/03/2026</t>
        </is>
      </c>
      <c r="K9954" s="10" t="inlineStr">
        <is>
          <t>N/A</t>
        </is>
      </c>
      <c r="L9954" s="10" t="inlineStr">
        <is>
          <t>Hạch Toán, Kế Toán Ngân Hàng, Kiến Thức Chuẩn Mực Kế Toán, Lập Báo Cáo Tài Chính, Tài Chính Kế Toán</t>
        </is>
      </c>
      <c r="M9954" s="10" t="inlineStr">
        <is>
          <t>Bonus</t>
        </is>
      </c>
      <c r="N9954" s="11">
        <f>HYPERLINK("https://www.vietnamworks.com/truong-bo-phan-ke-toan-tong-hop-unit-head-of-general-accounting-2022007-jv","Xem chi tiết")</f>
        <v/>
      </c>
      <c r="O9954" s="10" t="n"/>
    </row>
    <row r="9955">
      <c r="B9955" s="7" t="n">
        <v>9953</v>
      </c>
      <c r="C9955" t="inlineStr">
        <is>
          <t>Trưởng Bộ Phận Kiểm Soát Tuân Thủ/unit Head of Compliance Control</t>
        </is>
      </c>
      <c r="D9955" t="inlineStr">
        <is>
          <t>FE CREDIT</t>
        </is>
      </c>
      <c r="E9955" t="inlineStr">
        <is>
          <t>Thương lượng</t>
        </is>
      </c>
      <c r="F9955" t="inlineStr">
        <is>
          <t>Hồ Chí Minh</t>
        </is>
      </c>
      <c r="G9955" t="inlineStr">
        <is>
          <t>Trưởng phòng</t>
        </is>
      </c>
      <c r="H9955" t="inlineStr">
        <is>
          <t>11/03/2026</t>
        </is>
      </c>
      <c r="I9955" t="inlineStr">
        <is>
          <t>10/04/2026</t>
        </is>
      </c>
      <c r="J9955" t="inlineStr">
        <is>
          <t>17/03/2026</t>
        </is>
      </c>
      <c r="K9955" t="inlineStr">
        <is>
          <t>N/A</t>
        </is>
      </c>
      <c r="L9955" t="inlineStr">
        <is>
          <t>Kiểm Soát Rủi Ro, Compliance Control, Kiểm Soát Tuân Thủ, Quản Trị Tuân Thủ, Đánh Giá Nội Bộ</t>
        </is>
      </c>
      <c r="M9955" t="inlineStr">
        <is>
          <t>Bonus</t>
        </is>
      </c>
      <c r="N9955" s="8">
        <f>HYPERLINK("https://www.vietnamworks.com/truong-bo-phan-kiem-soat-tuan-thuunit-head-of-compliance-control-2022000-jv","Xem chi tiết")</f>
        <v/>
      </c>
    </row>
    <row r="9956">
      <c r="B9956" s="9" t="n">
        <v>9954</v>
      </c>
      <c r="C9956" s="10" t="inlineStr">
        <is>
          <t>Nhân Viên Xuất Nhập Khẩu</t>
        </is>
      </c>
      <c r="D9956" s="10" t="inlineStr">
        <is>
          <t>Công ty TNHH Thương mại và Dược phẩm - VK Pharma</t>
        </is>
      </c>
      <c r="E9956" s="10" t="inlineStr">
        <is>
          <t>Thương lượng</t>
        </is>
      </c>
      <c r="F9956" s="10" t="inlineStr">
        <is>
          <t>Hà Nội</t>
        </is>
      </c>
      <c r="G9956" s="10" t="inlineStr">
        <is>
          <t>Nhân viên</t>
        </is>
      </c>
      <c r="H9956" s="10" t="inlineStr">
        <is>
          <t>11/03/2026</t>
        </is>
      </c>
      <c r="I9956" s="10" t="inlineStr">
        <is>
          <t>10/04/2026</t>
        </is>
      </c>
      <c r="J9956" s="10" t="inlineStr">
        <is>
          <t>17/03/2026</t>
        </is>
      </c>
      <c r="K9956" s="10" t="inlineStr">
        <is>
          <t>N/A</t>
        </is>
      </c>
      <c r="L9956" s="10" t="inlineStr">
        <is>
          <t>Xuất Nhập Khẩu, Logistics, Thủ Tục Hải Quan, Đàm Phán, Incoterms</t>
        </is>
      </c>
      <c r="M9956" s="10" t="inlineStr">
        <is>
          <t>Bonus, Training, Others</t>
        </is>
      </c>
      <c r="N9956" s="11">
        <f>HYPERLINK("https://www.vietnamworks.com/nhan-vien-xuat-nhap-khau-2022011-jv","Xem chi tiết")</f>
        <v/>
      </c>
      <c r="O9956" s="10" t="n"/>
    </row>
    <row r="9957">
      <c r="B9957" s="7" t="n">
        <v>9955</v>
      </c>
      <c r="C9957" t="inlineStr">
        <is>
          <t>Kỹ Sư Cơ Khí ( Kỹ Sư Kết Cấu Thép)</t>
        </is>
      </c>
      <c r="D9957" t="inlineStr">
        <is>
          <t>Công Ty TNHH Công Nghệ Dema</t>
        </is>
      </c>
      <c r="E9957" t="inlineStr">
        <is>
          <t>Thương lượng</t>
        </is>
      </c>
      <c r="F9957" t="inlineStr">
        <is>
          <t>Hà Nội</t>
        </is>
      </c>
      <c r="G9957" t="inlineStr">
        <is>
          <t>Nhân viên</t>
        </is>
      </c>
      <c r="H9957" t="inlineStr">
        <is>
          <t>11/03/2026</t>
        </is>
      </c>
      <c r="I9957" t="inlineStr">
        <is>
          <t>10/04/2026</t>
        </is>
      </c>
      <c r="J9957" t="inlineStr">
        <is>
          <t>17/03/2026</t>
        </is>
      </c>
      <c r="K9957" t="inlineStr">
        <is>
          <t>N/A</t>
        </is>
      </c>
      <c r="L9957" t="inlineStr">
        <is>
          <t>Thiết Kế Kết Cấu, Cơ Khí, Kết Cấu Thép, Auto CAD, Xây Dựng Dân Dụng</t>
        </is>
      </c>
      <c r="M9957" t="inlineStr">
        <is>
          <t>Healthcare Plan, Paid Leave, Travel Opportunities</t>
        </is>
      </c>
      <c r="N9957" s="8">
        <f>HYPERLINK("https://www.vietnamworks.com/ky-su-co-khi-ky-su-ket-cau-thep-2022024-jv","Xem chi tiết")</f>
        <v/>
      </c>
    </row>
    <row r="9958">
      <c r="B9958" s="9" t="n">
        <v>9956</v>
      </c>
      <c r="C9958" s="10" t="inlineStr">
        <is>
          <t>Technical Manager</t>
        </is>
      </c>
      <c r="D9958" s="10" t="inlineStr">
        <is>
          <t>Cargill Vietnam</t>
        </is>
      </c>
      <c r="E9958" s="10" t="inlineStr">
        <is>
          <t>Thương lượng</t>
        </is>
      </c>
      <c r="F9958" s="10" t="inlineStr">
        <is>
          <t>Hồ Chí Minh</t>
        </is>
      </c>
      <c r="G9958" s="10" t="inlineStr">
        <is>
          <t>Trưởng phòng</t>
        </is>
      </c>
      <c r="H9958" s="10" t="inlineStr">
        <is>
          <t>11/03/2026</t>
        </is>
      </c>
      <c r="I9958" s="10" t="inlineStr">
        <is>
          <t>10/04/2026</t>
        </is>
      </c>
      <c r="J9958" s="10" t="inlineStr">
        <is>
          <t>17/03/2026</t>
        </is>
      </c>
      <c r="K9958" s="10" t="inlineStr">
        <is>
          <t>N/A</t>
        </is>
      </c>
      <c r="L9958" s="10" t="inlineStr">
        <is>
          <t>Aquaculture, Aquaculture Knowledge, Nuôi Trồng Thủy Sản, Technical Manager, Thủy Sản</t>
        </is>
      </c>
      <c r="M9958" s="10" t="inlineStr">
        <is>
          <t>Bonus, Healthcare Plan, Paid Leave</t>
        </is>
      </c>
      <c r="N9958" s="11">
        <f>HYPERLINK("https://www.vietnamworks.com/technical-manager--2022014-jv","Xem chi tiết")</f>
        <v/>
      </c>
      <c r="O9958" s="10" t="n"/>
    </row>
    <row r="9959">
      <c r="B9959" s="7" t="n">
        <v>9957</v>
      </c>
      <c r="C9959" t="inlineStr">
        <is>
          <t>Overseas Sales</t>
        </is>
      </c>
      <c r="D9959" t="inlineStr">
        <is>
          <t>CÔNG TY TNHH KLEOS LOGISTICS</t>
        </is>
      </c>
      <c r="E9959" t="inlineStr">
        <is>
          <t>20tr-45tr ₫/tháng</t>
        </is>
      </c>
      <c r="F9959" t="inlineStr">
        <is>
          <t>Hải Phòng</t>
        </is>
      </c>
      <c r="G9959" t="inlineStr">
        <is>
          <t>Nhân viên</t>
        </is>
      </c>
      <c r="H9959" t="inlineStr">
        <is>
          <t>11/03/2026</t>
        </is>
      </c>
      <c r="I9959" t="inlineStr">
        <is>
          <t>10/04/2026</t>
        </is>
      </c>
      <c r="J9959" t="inlineStr">
        <is>
          <t>17/03/2026</t>
        </is>
      </c>
      <c r="K9959" t="inlineStr">
        <is>
          <t>N/A</t>
        </is>
      </c>
      <c r="L9959" t="inlineStr">
        <is>
          <t>Chăm Sóc Khách Hàng, Dịch Vụ Bán Hàng, Kinh Doanh, Sales Planning, Tiếng Anh</t>
        </is>
      </c>
      <c r="M9959" t="inlineStr">
        <is>
          <t>Bonus, Healthcare Plan, Paid Leave, Training, Others</t>
        </is>
      </c>
      <c r="N9959" s="8">
        <f>HYPERLINK("https://www.vietnamworks.com/overseas-sales-2022015-jv","Xem chi tiết")</f>
        <v/>
      </c>
    </row>
    <row r="9960">
      <c r="B9960" s="9" t="n">
        <v>9958</v>
      </c>
      <c r="C9960" s="10" t="inlineStr">
        <is>
          <t>Giám Đốc Dữ Liệu (Chief Data Officer (CDO)</t>
        </is>
      </c>
      <c r="D9960" s="10" t="inlineStr">
        <is>
          <t>Vietnamworks' Client</t>
        </is>
      </c>
      <c r="E9960" s="10" t="inlineStr">
        <is>
          <t>Thương lượng</t>
        </is>
      </c>
      <c r="F9960" s="10" t="inlineStr">
        <is>
          <t>Hà Nội</t>
        </is>
      </c>
      <c r="G9960" s="10" t="inlineStr">
        <is>
          <t>Giám Đốc và Cấp Cao Hơn</t>
        </is>
      </c>
      <c r="H9960" s="10" t="inlineStr">
        <is>
          <t>11/03/2026</t>
        </is>
      </c>
      <c r="I9960" s="10" t="inlineStr">
        <is>
          <t>10/04/2026</t>
        </is>
      </c>
      <c r="J9960" s="10" t="inlineStr">
        <is>
          <t>17/03/2026</t>
        </is>
      </c>
      <c r="K9960" s="10" t="inlineStr">
        <is>
          <t>N/A</t>
        </is>
      </c>
      <c r="L9960" s="10" t="inlineStr">
        <is>
          <t>Data Analytics, Data Management, Data Science, Leadership</t>
        </is>
      </c>
      <c r="M9960" s="10" t="inlineStr">
        <is>
          <t>Bonus, Healthcare Plan, Training</t>
        </is>
      </c>
      <c r="N9960" s="11">
        <f>HYPERLINK("https://www.vietnamworks.com/giam-djoc-du-lieu-chief-data-officer-cdo-2022074-jv","Xem chi tiết")</f>
        <v/>
      </c>
      <c r="O9960" s="10" t="n"/>
    </row>
    <row r="9961">
      <c r="B9961" s="7" t="n">
        <v>9959</v>
      </c>
      <c r="C9961" t="inlineStr">
        <is>
          <t>Nhân Viên Cơ Điện – Hệ Thống Điện Lạnh</t>
        </is>
      </c>
      <c r="D9961" t="inlineStr">
        <is>
          <t>LOTTE GLOBAL LOGISTICS VIETNAM</t>
        </is>
      </c>
      <c r="E9961" t="inlineStr">
        <is>
          <t>10tr-18tr ₫/tháng</t>
        </is>
      </c>
      <c r="F9961" t="inlineStr">
        <is>
          <t>Đồng Nai, Hồ Chí Minh</t>
        </is>
      </c>
      <c r="G9961" t="inlineStr">
        <is>
          <t>Nhân viên</t>
        </is>
      </c>
      <c r="H9961" t="inlineStr">
        <is>
          <t>11/03/2026</t>
        </is>
      </c>
      <c r="I9961" t="inlineStr">
        <is>
          <t>10/04/2026</t>
        </is>
      </c>
      <c r="J9961" t="inlineStr">
        <is>
          <t>17/03/2026</t>
        </is>
      </c>
      <c r="K9961" t="inlineStr">
        <is>
          <t>N/A</t>
        </is>
      </c>
      <c r="L9961" t="inlineStr">
        <is>
          <t>PLC, Tủ Điện, Bảo Trì Hệ Thống, HVAC, Điện Lạnh Công Nghiệp</t>
        </is>
      </c>
      <c r="M9961" t="inlineStr">
        <is>
          <t>Bonus, Healthcare Plan, Paid Leave, Others</t>
        </is>
      </c>
      <c r="N9961" s="8">
        <f>HYPERLINK("https://www.vietnamworks.com/nhan-vien-co-djien-he-thong-djien-lanh-2022066-jv","Xem chi tiết")</f>
        <v/>
      </c>
    </row>
    <row r="9962">
      <c r="B9962" s="9" t="n">
        <v>9960</v>
      </c>
      <c r="C9962" s="10" t="inlineStr">
        <is>
          <t>Nhân Viên Vận Hành Tiếng Trung (Hsk4+) Lương Từ 14Tr Ca Chiều , Ca Đêm</t>
        </is>
      </c>
      <c r="D9962" s="10" t="inlineStr">
        <is>
          <t>Công Ty TNHH E-Guardian Việt Nam</t>
        </is>
      </c>
      <c r="E9962" s="10" t="inlineStr">
        <is>
          <t>13tr-18tr ₫/tháng</t>
        </is>
      </c>
      <c r="F9962" s="10" t="inlineStr">
        <is>
          <t>Hồ Chí Minh</t>
        </is>
      </c>
      <c r="G9962" s="10" t="inlineStr">
        <is>
          <t>Mới Tốt Nghiệp</t>
        </is>
      </c>
      <c r="H9962" s="10" t="inlineStr">
        <is>
          <t>11/03/2026</t>
        </is>
      </c>
      <c r="I9962" s="10" t="inlineStr">
        <is>
          <t>10/04/2026</t>
        </is>
      </c>
      <c r="J9962" s="10" t="inlineStr">
        <is>
          <t>17/03/2026</t>
        </is>
      </c>
      <c r="K9962" s="10" t="inlineStr">
        <is>
          <t>N/A</t>
        </is>
      </c>
      <c r="L9962" s="10" t="inlineStr">
        <is>
          <t>Operations support, chinese language, HSK 4, Chứng Chỉ Hsk5, Tiếng Trung HSK 5</t>
        </is>
      </c>
      <c r="M9962" s="10" t="inlineStr">
        <is>
          <t>Bonus, Healthcare Plan, Training, Team Activities, Others</t>
        </is>
      </c>
      <c r="N9962" s="11">
        <f>HYPERLINK("https://www.vietnamworks.com/nhan-vien-van-hanh-tieng-trung-hsk4-luong-tu-14tr-ca-chieu-ca-djem-2022028-jv","Xem chi tiết")</f>
        <v/>
      </c>
      <c r="O9962" s="10" t="n"/>
    </row>
    <row r="9963">
      <c r="B9963" s="7" t="n">
        <v>9961</v>
      </c>
      <c r="C9963" t="inlineStr">
        <is>
          <t>[Kotra HCM] Design engineers of refinery and petrochemical plant</t>
        </is>
      </c>
      <c r="D9963" t="inlineStr">
        <is>
          <t>KOTRA HCM</t>
        </is>
      </c>
      <c r="E9963" t="inlineStr">
        <is>
          <t>$$ 30,000-60,000 /năm</t>
        </is>
      </c>
      <c r="F9963" t="inlineStr">
        <is>
          <t>N/A</t>
        </is>
      </c>
      <c r="G9963" t="inlineStr">
        <is>
          <t>Trưởng phòng</t>
        </is>
      </c>
      <c r="H9963" t="inlineStr">
        <is>
          <t>11/03/2026</t>
        </is>
      </c>
      <c r="I9963" t="inlineStr">
        <is>
          <t>10/04/2026</t>
        </is>
      </c>
      <c r="J9963" t="inlineStr">
        <is>
          <t>17/03/2026</t>
        </is>
      </c>
      <c r="K9963" t="inlineStr">
        <is>
          <t>N/A</t>
        </is>
      </c>
      <c r="L9963" t="inlineStr">
        <is>
          <t>Engineering Design, English Fluency, Petrochemical, Piping Design, Refinery Engineering</t>
        </is>
      </c>
      <c r="M9963" t="inlineStr">
        <is>
          <t>Healthcare Plan, Paid Leave, Travel Opportunities, Canteen, Others</t>
        </is>
      </c>
      <c r="N9963" s="8">
        <f>HYPERLINK("https://www.vietnamworks.com/kotra-hcm-design-engineers-of-refinery-and-petrochemical-plant-2022049-jv","Xem chi tiết")</f>
        <v/>
      </c>
    </row>
    <row r="9964">
      <c r="B9964" s="9" t="n">
        <v>9962</v>
      </c>
      <c r="C9964" s="10" t="inlineStr">
        <is>
          <t>Giám Đốc Khối DV BDSC Tại HCM</t>
        </is>
      </c>
      <c r="D9964" s="10" t="inlineStr">
        <is>
          <t>Công Ty TNHH Dịch Vụ Vận Tải Sinh Thái Vinbus</t>
        </is>
      </c>
      <c r="E9964" s="10" t="inlineStr">
        <is>
          <t>Thương lượng</t>
        </is>
      </c>
      <c r="F9964" s="10" t="inlineStr">
        <is>
          <t>Hồ Chí Minh</t>
        </is>
      </c>
      <c r="G9964" s="10" t="inlineStr">
        <is>
          <t>Giám Đốc và Cấp Cao Hơn</t>
        </is>
      </c>
      <c r="H9964" s="10" t="inlineStr">
        <is>
          <t>11/03/2026</t>
        </is>
      </c>
      <c r="I9964" s="10" t="inlineStr">
        <is>
          <t>10/04/2026</t>
        </is>
      </c>
      <c r="J9964" s="10" t="inlineStr">
        <is>
          <t>17/03/2026</t>
        </is>
      </c>
      <c r="K9964" s="10" t="inlineStr">
        <is>
          <t>N/A</t>
        </is>
      </c>
      <c r="L9964" s="10" t="inlineStr">
        <is>
          <t>Ô Tô, Ô Tô &amp; Công Nghệ, Quản lý nhóm &amp; Giải quyết vấn đề, Kế Hoạch Kinh Doanh, Kỹ Thuật</t>
        </is>
      </c>
      <c r="M9964" s="10" t="inlineStr">
        <is>
          <t>Healthcare Plan, Training, Laptop</t>
        </is>
      </c>
      <c r="N9964" s="11">
        <f>HYPERLINK("https://www.vietnamworks.com/giam-doc-khoi-dv-bdsc-tai-hcm-2022038-jv","Xem chi tiết")</f>
        <v/>
      </c>
      <c r="O9964" s="10" t="n"/>
    </row>
    <row r="9965">
      <c r="B9965" s="7" t="n">
        <v>9963</v>
      </c>
      <c r="C9965" t="inlineStr">
        <is>
          <t>Strategic Brand Planning Consultant</t>
        </is>
      </c>
      <c r="D9965" t="inlineStr">
        <is>
          <t>Công ty Cổ phần Chứng khoán SSI</t>
        </is>
      </c>
      <c r="E9965" t="inlineStr">
        <is>
          <t>Thương lượng</t>
        </is>
      </c>
      <c r="F9965" t="inlineStr">
        <is>
          <t>Hà Nội</t>
        </is>
      </c>
      <c r="G9965" t="inlineStr">
        <is>
          <t>Nhân viên</t>
        </is>
      </c>
      <c r="H9965" t="inlineStr">
        <is>
          <t>11/03/2026</t>
        </is>
      </c>
      <c r="I9965" t="inlineStr">
        <is>
          <t>10/04/2026</t>
        </is>
      </c>
      <c r="J9965" t="inlineStr">
        <is>
          <t>17/03/2026</t>
        </is>
      </c>
      <c r="K9965" t="inlineStr">
        <is>
          <t>N/A</t>
        </is>
      </c>
      <c r="L9965" t="inlineStr">
        <is>
          <t>Branding Strategy, Branding Development, Branding Management, Brand Communication, Media Channels</t>
        </is>
      </c>
      <c r="M9965" t="inlineStr">
        <is>
          <t>Bonus, Healthcare Plan, Training</t>
        </is>
      </c>
      <c r="N9965" s="8">
        <f>HYPERLINK("https://www.vietnamworks.com/strategic-brand-planning-consultant--2022012-jv","Xem chi tiết")</f>
        <v/>
      </c>
    </row>
    <row r="9966">
      <c r="B9966" s="9" t="n">
        <v>9964</v>
      </c>
      <c r="C9966" s="10" t="inlineStr">
        <is>
          <t>Data Analytics Manager</t>
        </is>
      </c>
      <c r="D9966" s="10" t="inlineStr">
        <is>
          <t>Công Ty Cổ Phần Chuỗi Thực Phẩm TH</t>
        </is>
      </c>
      <c r="E9966" s="10" t="inlineStr">
        <is>
          <t>50tr-60tr ₫/tháng</t>
        </is>
      </c>
      <c r="F9966" s="10" t="inlineStr">
        <is>
          <t>Hà Nội</t>
        </is>
      </c>
      <c r="G9966" s="10" t="inlineStr">
        <is>
          <t>Trưởng phòng</t>
        </is>
      </c>
      <c r="H9966" s="10" t="inlineStr">
        <is>
          <t>11/03/2026</t>
        </is>
      </c>
      <c r="I9966" s="10" t="inlineStr">
        <is>
          <t>10/04/2026</t>
        </is>
      </c>
      <c r="J9966" s="10" t="inlineStr">
        <is>
          <t>17/03/2026</t>
        </is>
      </c>
      <c r="K9966" s="10" t="inlineStr">
        <is>
          <t>N/A</t>
        </is>
      </c>
      <c r="L9966" s="10" t="inlineStr">
        <is>
          <t>Ngôn Ngữ Lập Trình C, Phân Tích Dữ Liệu, Quản Lý Nhóm, Tối Ưu Hóa Sản Xuất, Xử Lý Dữ Liệu</t>
        </is>
      </c>
      <c r="M9966" s="10" t="inlineStr">
        <is>
          <t>Bonus, Healthcare Plan, Team Activities</t>
        </is>
      </c>
      <c r="N9966" s="11">
        <f>HYPERLINK("https://www.vietnamworks.com/data-analytics-manager-2022075-jv","Xem chi tiết")</f>
        <v/>
      </c>
      <c r="O9966" s="10" t="n"/>
    </row>
    <row r="9967">
      <c r="B9967" s="7" t="n">
        <v>9965</v>
      </c>
      <c r="C9967" t="inlineStr">
        <is>
          <t>MT Sales Admin/ Trợ Lý Vận Hành Kinh Doanh Kênh MT</t>
        </is>
      </c>
      <c r="D9967" t="inlineStr">
        <is>
          <t>Otsuka Nutraceutical Vietnam Co.,ltd.</t>
        </is>
      </c>
      <c r="E9967" t="inlineStr">
        <is>
          <t>Thương lượng</t>
        </is>
      </c>
      <c r="F9967" t="inlineStr">
        <is>
          <t>Hồ Chí Minh</t>
        </is>
      </c>
      <c r="G9967" t="inlineStr">
        <is>
          <t>Nhân viên</t>
        </is>
      </c>
      <c r="H9967" t="inlineStr">
        <is>
          <t>11/03/2026</t>
        </is>
      </c>
      <c r="I9967" t="inlineStr">
        <is>
          <t>10/04/2026</t>
        </is>
      </c>
      <c r="J9967" t="inlineStr">
        <is>
          <t>17/03/2026</t>
        </is>
      </c>
      <c r="K9967" t="inlineStr">
        <is>
          <t>N/A</t>
        </is>
      </c>
      <c r="L9967" t="inlineStr">
        <is>
          <t>FMCG, Microsoft Office, Sales Admin, Good In English, Accounting</t>
        </is>
      </c>
      <c r="M9967" t="inlineStr">
        <is>
          <t>Healthcare Plan, Training, Laptop, Others</t>
        </is>
      </c>
      <c r="N9967" s="8">
        <f>HYPERLINK("https://www.vietnamworks.com/mt-sales-admin-tro-ly-van-hanh-kinh-doanh-kenh-mt-2022045-jv","Xem chi tiết")</f>
        <v/>
      </c>
    </row>
    <row r="9968">
      <c r="B9968" s="9" t="n">
        <v>9966</v>
      </c>
      <c r="C9968" s="10" t="inlineStr">
        <is>
          <t>Molding Engineer - Kỹ Sư Ép Nhựa</t>
        </is>
      </c>
      <c r="D9968" s="10" t="inlineStr">
        <is>
          <t>Công Ty TNHH Công Nghệ Kỹ Thuật Cao Hi-P Việt Nam</t>
        </is>
      </c>
      <c r="E9968" s="10" t="inlineStr">
        <is>
          <t>$$ 500-1,000 /tháng</t>
        </is>
      </c>
      <c r="F9968" s="10" t="inlineStr">
        <is>
          <t>Bắc Ninh</t>
        </is>
      </c>
      <c r="G9968" s="10" t="inlineStr">
        <is>
          <t>Nhân viên</t>
        </is>
      </c>
      <c r="H9968" s="10" t="inlineStr">
        <is>
          <t>11/03/2026</t>
        </is>
      </c>
      <c r="I9968" s="10" t="inlineStr">
        <is>
          <t>10/04/2026</t>
        </is>
      </c>
      <c r="J9968" s="10" t="inlineStr">
        <is>
          <t>17/03/2026</t>
        </is>
      </c>
      <c r="K9968" s="10" t="inlineStr">
        <is>
          <t>N/A</t>
        </is>
      </c>
      <c r="L9968" s="10" t="inlineStr">
        <is>
          <t>Project Management, Ép Nhựa, Molding, Quản Lý Dự Án, Tiếng Anh</t>
        </is>
      </c>
      <c r="M9968" s="10" t="inlineStr">
        <is>
          <t>Bonus, Healthcare Plan, Others</t>
        </is>
      </c>
      <c r="N9968" s="11">
        <f>HYPERLINK("https://www.vietnamworks.com/molding-engineer-ky-su-ep-nhua-2022064-jv","Xem chi tiết")</f>
        <v/>
      </c>
      <c r="O9968" s="10" t="n"/>
    </row>
    <row r="9969">
      <c r="B9969" s="7" t="n">
        <v>9967</v>
      </c>
      <c r="C9969" t="inlineStr">
        <is>
          <t>Technical Development Executive</t>
        </is>
      </c>
      <c r="D9969" t="inlineStr">
        <is>
          <t>Công ty TNHH công nghiệp Vĩnh Tường miền bắc Việt Nam</t>
        </is>
      </c>
      <c r="E9969" t="inlineStr">
        <is>
          <t>Thương lượng</t>
        </is>
      </c>
      <c r="F9969" t="inlineStr">
        <is>
          <t>Hồ Chí Minh</t>
        </is>
      </c>
      <c r="G9969" t="inlineStr">
        <is>
          <t>Nhân viên</t>
        </is>
      </c>
      <c r="H9969" t="inlineStr">
        <is>
          <t>11/03/2026</t>
        </is>
      </c>
      <c r="I9969" t="inlineStr">
        <is>
          <t>10/04/2026</t>
        </is>
      </c>
      <c r="J9969" t="inlineStr">
        <is>
          <t>17/03/2026</t>
        </is>
      </c>
      <c r="K9969" t="inlineStr">
        <is>
          <t>N/A</t>
        </is>
      </c>
      <c r="L9969" t="inlineStr">
        <is>
          <t>Material Applications Knowledge, Material Development, Technical Solutions, Engineering Product, Technical Support</t>
        </is>
      </c>
      <c r="M9969" t="inlineStr">
        <is>
          <t>Healthcare Plan, Training, Laptop</t>
        </is>
      </c>
      <c r="N9969" s="8">
        <f>HYPERLINK("https://www.vietnamworks.com/technical-development-executive--2022062-jv","Xem chi tiết")</f>
        <v/>
      </c>
    </row>
    <row r="9970">
      <c r="B9970" s="9" t="n">
        <v>9968</v>
      </c>
      <c r="C9970" s="10" t="inlineStr">
        <is>
          <t>Chuyên Viên Kiểm Thử (Tester)</t>
        </is>
      </c>
      <c r="D9970" s="10" t="inlineStr">
        <is>
          <t>Công Ty Cổ Phần Chứng Khoán KB Việt Nam</t>
        </is>
      </c>
      <c r="E9970" s="10" t="inlineStr">
        <is>
          <t>Thương lượng</t>
        </is>
      </c>
      <c r="F9970" s="10" t="inlineStr">
        <is>
          <t>Hà Nội</t>
        </is>
      </c>
      <c r="G9970" s="10" t="inlineStr">
        <is>
          <t>Nhân viên</t>
        </is>
      </c>
      <c r="H9970" s="10" t="inlineStr">
        <is>
          <t>11/03/2026</t>
        </is>
      </c>
      <c r="I9970" s="10" t="inlineStr">
        <is>
          <t>10/04/2026</t>
        </is>
      </c>
      <c r="J9970" s="10" t="inlineStr">
        <is>
          <t>17/03/2026</t>
        </is>
      </c>
      <c r="K9970" s="10" t="inlineStr">
        <is>
          <t>N/A</t>
        </is>
      </c>
      <c r="L9970" s="10" t="inlineStr">
        <is>
          <t>Cơ Sở Dữ Liệu SQL Server, Postman, Jira, Thử Nghiệm Hệ Thống, Làm Việc Nhóm</t>
        </is>
      </c>
      <c r="M9970" s="10" t="inlineStr">
        <is>
          <t>Bonus, Healthcare Plan, Paid Leave, Others</t>
        </is>
      </c>
      <c r="N9970" s="11">
        <f>HYPERLINK("https://www.vietnamworks.com/chuyen-vien-kiem-thu-tester-2022009-jv","Xem chi tiết")</f>
        <v/>
      </c>
      <c r="O9970" s="10" t="n"/>
    </row>
    <row r="9971">
      <c r="B9971" s="7" t="n">
        <v>9969</v>
      </c>
      <c r="C9971" t="inlineStr">
        <is>
          <t>Kỹ Sư Xây Dựng – Giám Sát Thi Công</t>
        </is>
      </c>
      <c r="D9971" t="inlineStr">
        <is>
          <t>Công Ty Cổ Phần Đầu Tư Phát Triển Thái Hà</t>
        </is>
      </c>
      <c r="E9971" t="inlineStr">
        <is>
          <t>Thương lượng</t>
        </is>
      </c>
      <c r="F9971" t="inlineStr">
        <is>
          <t>Hà Nội</t>
        </is>
      </c>
      <c r="G9971" t="inlineStr">
        <is>
          <t>Nhân viên</t>
        </is>
      </c>
      <c r="H9971" t="inlineStr">
        <is>
          <t>11/03/2026</t>
        </is>
      </c>
      <c r="I9971" t="inlineStr">
        <is>
          <t>10/04/2026</t>
        </is>
      </c>
      <c r="J9971" t="inlineStr">
        <is>
          <t>17/03/2026</t>
        </is>
      </c>
      <c r="K9971" t="inlineStr">
        <is>
          <t>N/A</t>
        </is>
      </c>
      <c r="L9971" t="inlineStr">
        <is>
          <t>Autocad, Civil 3D, Dự Án Nhà Cao Tầng, Giám Sát Thi Công, Quản Lý Dự Án</t>
        </is>
      </c>
      <c r="M9971" t="inlineStr">
        <is>
          <t>Bonus, Paid Leave, Others</t>
        </is>
      </c>
      <c r="N9971" s="8">
        <f>HYPERLINK("https://www.vietnamworks.com/ky-su-xay-dung-giam-sat-thi-cong-2022073-jv","Xem chi tiết")</f>
        <v/>
      </c>
    </row>
    <row r="9972">
      <c r="B9972" s="9" t="n">
        <v>9970</v>
      </c>
      <c r="C9972" s="10" t="inlineStr">
        <is>
          <t>Kế Toán Trưởng (Chief Accountant) – Thu Nhập Hấp Dẫn ( Đi Làm Ngay)</t>
        </is>
      </c>
      <c r="D9972" s="10" t="inlineStr">
        <is>
          <t>CÔNG TY CỔ PHẦN KIN &amp; CO</t>
        </is>
      </c>
      <c r="E9972" s="10" t="inlineStr">
        <is>
          <t>28tr-35tr ₫/tháng</t>
        </is>
      </c>
      <c r="F9972" s="10" t="inlineStr">
        <is>
          <t>Hồ Chí Minh</t>
        </is>
      </c>
      <c r="G9972" s="10" t="inlineStr">
        <is>
          <t>Trưởng phòng</t>
        </is>
      </c>
      <c r="H9972" s="10" t="inlineStr">
        <is>
          <t>11/03/2026</t>
        </is>
      </c>
      <c r="I9972" s="10" t="inlineStr">
        <is>
          <t>10/04/2026</t>
        </is>
      </c>
      <c r="J9972" s="10" t="inlineStr">
        <is>
          <t>17/03/2026</t>
        </is>
      </c>
      <c r="K9972" s="10" t="inlineStr">
        <is>
          <t>N/A</t>
        </is>
      </c>
      <c r="L9972" s="10" t="inlineStr">
        <is>
          <t>Accounting System, Financial Reporting, Tax Knowledge, Accounting Software Proficiency, Financial Analysis</t>
        </is>
      </c>
      <c r="M9972" s="10" t="inlineStr">
        <is>
          <t>Bonus, Healthcare Plan, Others</t>
        </is>
      </c>
      <c r="N9972" s="11">
        <f>HYPERLINK("https://www.vietnamworks.com/ke-toan-truong-chief-accountant-thu-nhap-hap-dan-di-lam-ngay-2022050-jv","Xem chi tiết")</f>
        <v/>
      </c>
      <c r="O9972" s="10" t="n"/>
    </row>
    <row r="9973">
      <c r="B9973" s="7" t="n">
        <v>9971</v>
      </c>
      <c r="C9973" t="inlineStr">
        <is>
          <t>Operations Retail Manager</t>
        </is>
      </c>
      <c r="D9973" t="inlineStr">
        <is>
          <t>CÔNG TY TNHH FASTECH ASIA</t>
        </is>
      </c>
      <c r="E9973" t="inlineStr">
        <is>
          <t>Thương lượng</t>
        </is>
      </c>
      <c r="F9973" t="inlineStr">
        <is>
          <t>Hà Nội</t>
        </is>
      </c>
      <c r="G9973" t="inlineStr">
        <is>
          <t>Trưởng phòng</t>
        </is>
      </c>
      <c r="H9973" t="inlineStr">
        <is>
          <t>11/03/2026</t>
        </is>
      </c>
      <c r="I9973" t="inlineStr">
        <is>
          <t>10/04/2026</t>
        </is>
      </c>
      <c r="J9973" t="inlineStr">
        <is>
          <t>17/03/2026</t>
        </is>
      </c>
      <c r="K9973" t="inlineStr">
        <is>
          <t>N/A</t>
        </is>
      </c>
      <c r="L9973" t="inlineStr">
        <is>
          <t>Data-Driven, Leadership, P&amp;L Management, Quản Lý Hệ Thống Quy Trình, Strategic Thinking</t>
        </is>
      </c>
      <c r="M9973" t="inlineStr">
        <is>
          <t>Bonus, Healthcare Plan, Training, Team Activities</t>
        </is>
      </c>
      <c r="N9973" s="8">
        <f>HYPERLINK("https://www.vietnamworks.com/operations-retail-manager-2022026-jv","Xem chi tiết")</f>
        <v/>
      </c>
    </row>
    <row r="9974">
      <c r="B9974" s="9" t="n">
        <v>9972</v>
      </c>
      <c r="C9974" s="10" t="inlineStr">
        <is>
          <t>Customer Quality Engineer / Assistant Customer Quality Engineer</t>
        </is>
      </c>
      <c r="D9974" s="10" t="inlineStr">
        <is>
          <t>Công Ty TNHH Công Nghệ Kỹ Thuật Cao Hi-P Việt Nam</t>
        </is>
      </c>
      <c r="E9974" s="10" t="inlineStr">
        <is>
          <t>15tr-35tr ₫/tháng</t>
        </is>
      </c>
      <c r="F9974" s="10" t="inlineStr">
        <is>
          <t>Bắc Ninh</t>
        </is>
      </c>
      <c r="G9974" s="10" t="inlineStr">
        <is>
          <t>Nhân viên</t>
        </is>
      </c>
      <c r="H9974" s="10" t="inlineStr">
        <is>
          <t>11/03/2026</t>
        </is>
      </c>
      <c r="I9974" s="10" t="inlineStr">
        <is>
          <t>10/04/2026</t>
        </is>
      </c>
      <c r="J9974" s="10" t="inlineStr">
        <is>
          <t>17/03/2026</t>
        </is>
      </c>
      <c r="K9974" s="10" t="inlineStr">
        <is>
          <t>N/A</t>
        </is>
      </c>
      <c r="L9974" s="10" t="inlineStr">
        <is>
          <t>Quality Tools, ISO Standards, Six Sigma, English, ISO</t>
        </is>
      </c>
      <c r="M9974" s="10" t="inlineStr">
        <is>
          <t>Bonus, Healthcare Plan, Others</t>
        </is>
      </c>
      <c r="N9974" s="11">
        <f>HYPERLINK("https://www.vietnamworks.com/customer-quality-engineer-assistant-customer-quality-engineer-2022029-jv","Xem chi tiết")</f>
        <v/>
      </c>
      <c r="O9974" s="10" t="n"/>
    </row>
    <row r="9975">
      <c r="B9975" s="7" t="n">
        <v>9973</v>
      </c>
      <c r="C9975" t="inlineStr">
        <is>
          <t>Chuyên Viên Nhân Sự TABP - Mạnh Tuyển Dụng CNTT</t>
        </is>
      </c>
      <c r="D9975" t="inlineStr">
        <is>
          <t>Bảo hiểm VietinBank (VBI)</t>
        </is>
      </c>
      <c r="E9975" t="inlineStr">
        <is>
          <t>Thương lượng</t>
        </is>
      </c>
      <c r="F9975" t="inlineStr">
        <is>
          <t>Hà Nội</t>
        </is>
      </c>
      <c r="G9975" t="inlineStr">
        <is>
          <t>Nhân viên</t>
        </is>
      </c>
      <c r="H9975" t="inlineStr">
        <is>
          <t>11/03/2026</t>
        </is>
      </c>
      <c r="I9975" t="inlineStr">
        <is>
          <t>10/04/2026</t>
        </is>
      </c>
      <c r="J9975" t="inlineStr">
        <is>
          <t>17/03/2026</t>
        </is>
      </c>
      <c r="K9975" t="inlineStr">
        <is>
          <t>N/A</t>
        </is>
      </c>
      <c r="L9975" t="inlineStr">
        <is>
          <t>Quản Trị Nhân Lực, Tuyển Dụng, Tư Vấn Quy Trình, Nhân Sự, Quản Lý Phát Triển Nhân Sự</t>
        </is>
      </c>
      <c r="M9975" t="inlineStr">
        <is>
          <t>Bonus, Healthcare Plan, Paid Leave, Training, Travel Opportunities, Others</t>
        </is>
      </c>
      <c r="N9975" s="8">
        <f>HYPERLINK("https://www.vietnamworks.com/chuyen-vien-nhan-su-tabp-manh-tuyen-dung-cntt-2022018-jv","Xem chi tiết")</f>
        <v/>
      </c>
    </row>
    <row r="9976">
      <c r="B9976" s="9" t="n">
        <v>9974</v>
      </c>
      <c r="C9976" s="10" t="inlineStr">
        <is>
          <t>Merchandiser — Footwear</t>
        </is>
      </c>
      <c r="D9976" s="10" t="inlineStr">
        <is>
          <t>LEXELART ,s.l.u</t>
        </is>
      </c>
      <c r="E9976" s="10" t="inlineStr">
        <is>
          <t>Thương lượng</t>
        </is>
      </c>
      <c r="F9976" s="10" t="inlineStr">
        <is>
          <t>Hồ Chí Minh</t>
        </is>
      </c>
      <c r="G9976" s="10" t="inlineStr">
        <is>
          <t>Nhân viên</t>
        </is>
      </c>
      <c r="H9976" s="10" t="inlineStr">
        <is>
          <t>11/03/2026</t>
        </is>
      </c>
      <c r="I9976" s="10" t="inlineStr">
        <is>
          <t>10/04/2026</t>
        </is>
      </c>
      <c r="J9976" s="10" t="inlineStr">
        <is>
          <t>17/03/2026</t>
        </is>
      </c>
      <c r="K9976" s="10" t="inlineStr">
        <is>
          <t>N/A</t>
        </is>
      </c>
      <c r="L9976" s="10" t="inlineStr">
        <is>
          <t>Merchandising, Production Process, Footwear Merchandising, Footwear Construction, English</t>
        </is>
      </c>
      <c r="M9976" s="10" t="inlineStr">
        <is>
          <t>Bonus, Healthcare Plan, Others</t>
        </is>
      </c>
      <c r="N9976" s="11">
        <f>HYPERLINK("https://www.vietnamworks.com/merchandiser-footwear--2022078-jv","Xem chi tiết")</f>
        <v/>
      </c>
      <c r="O9976" s="10" t="n"/>
    </row>
    <row r="9977">
      <c r="B9977" s="7" t="n">
        <v>9975</v>
      </c>
      <c r="C9977" t="inlineStr">
        <is>
          <t xml:space="preserve">[Kotra HCM] Market research&amp;marketing staff for Cosmetic clinical trial business </t>
        </is>
      </c>
      <c r="D9977" t="inlineStr">
        <is>
          <t>KOTRA HCM</t>
        </is>
      </c>
      <c r="E9977" t="inlineStr">
        <is>
          <t>$$ 16,000-20,000 /năm</t>
        </is>
      </c>
      <c r="F9977" t="inlineStr">
        <is>
          <t>N/A</t>
        </is>
      </c>
      <c r="G9977" t="inlineStr">
        <is>
          <t>Nhân viên</t>
        </is>
      </c>
      <c r="H9977" t="inlineStr">
        <is>
          <t>11/03/2026</t>
        </is>
      </c>
      <c r="I9977" t="inlineStr">
        <is>
          <t>10/04/2026</t>
        </is>
      </c>
      <c r="J9977" t="inlineStr">
        <is>
          <t>17/03/2026</t>
        </is>
      </c>
      <c r="K9977" t="inlineStr">
        <is>
          <t>N/A</t>
        </is>
      </c>
      <c r="L9977" t="inlineStr">
        <is>
          <t>Cosmetics Knowledge, Market Research, Proactive Review, Solution Oriented, Vietnamese Communication</t>
        </is>
      </c>
      <c r="M9977" t="inlineStr">
        <is>
          <t>Healthcare Plan</t>
        </is>
      </c>
      <c r="N9977" s="8">
        <f>HYPERLINK("https://www.vietnamworks.com/kotra-hcm-market-researchandmarketing-staff-for-cosmetic-clinical-trial-business-2022082-jv","Xem chi tiết")</f>
        <v/>
      </c>
    </row>
    <row r="9978">
      <c r="B9978" s="9" t="n">
        <v>9976</v>
      </c>
      <c r="C9978" s="10" t="inlineStr">
        <is>
          <t>Nhân Viên Cơ Điện</t>
        </is>
      </c>
      <c r="D9978" s="10" t="inlineStr">
        <is>
          <t>Công Ty Cổ Phần Đầu Tư Phát Triển Thái Hà</t>
        </is>
      </c>
      <c r="E9978" s="10" t="inlineStr">
        <is>
          <t>Thương lượng</t>
        </is>
      </c>
      <c r="F9978" s="10" t="inlineStr">
        <is>
          <t>Hà Nội</t>
        </is>
      </c>
      <c r="G9978" s="10" t="inlineStr">
        <is>
          <t>Nhân viên</t>
        </is>
      </c>
      <c r="H9978" s="10" t="inlineStr">
        <is>
          <t>11/03/2026</t>
        </is>
      </c>
      <c r="I9978" s="10" t="inlineStr">
        <is>
          <t>10/04/2026</t>
        </is>
      </c>
      <c r="J9978" s="10" t="inlineStr">
        <is>
          <t>17/03/2026</t>
        </is>
      </c>
      <c r="K9978" s="10" t="inlineStr">
        <is>
          <t>N/A</t>
        </is>
      </c>
      <c r="L9978" s="10" t="inlineStr">
        <is>
          <t>Giám Sát Thi Công, Quản Lý Dự Án, Công Trình Dân Dụng, Kiểm Tra Hồ Sơ Kỹ Thuật, M&amp;E</t>
        </is>
      </c>
      <c r="M9978" s="10" t="inlineStr">
        <is>
          <t>Bonus, Paid Leave, Others</t>
        </is>
      </c>
      <c r="N9978" s="11">
        <f>HYPERLINK("https://www.vietnamworks.com/nhan-vien-co-djien-2022076-jv","Xem chi tiết")</f>
        <v/>
      </c>
      <c r="O9978" s="10" t="n"/>
    </row>
    <row r="9979">
      <c r="B9979" s="7" t="n">
        <v>9977</v>
      </c>
      <c r="C9979" t="inlineStr">
        <is>
          <t>Kỹ Thuật Quản Lý</t>
        </is>
      </c>
      <c r="D9979" t="inlineStr">
        <is>
          <t>Công ty Cổ Phần Tập Đoàn Manh Đức Việt Nam</t>
        </is>
      </c>
      <c r="E9979" t="inlineStr">
        <is>
          <t>Từ 15tr ₫/tháng</t>
        </is>
      </c>
      <c r="F9979" t="inlineStr">
        <is>
          <t>Bắc Ninh</t>
        </is>
      </c>
      <c r="G9979" t="inlineStr">
        <is>
          <t>Nhân viên</t>
        </is>
      </c>
      <c r="H9979" t="inlineStr">
        <is>
          <t>11/03/2026</t>
        </is>
      </c>
      <c r="I9979" t="inlineStr">
        <is>
          <t>10/04/2026</t>
        </is>
      </c>
      <c r="J9979" t="inlineStr">
        <is>
          <t>17/03/2026</t>
        </is>
      </c>
      <c r="K9979" t="inlineStr">
        <is>
          <t>N/A</t>
        </is>
      </c>
      <c r="L9979" t="inlineStr">
        <is>
          <t>Quản Lý Kỹ Thuật, Bảo Trì Thiết Bị Tin Học, Giải Quyết Sự Cố Mạng, An Toàn Lao Động, PCCC</t>
        </is>
      </c>
      <c r="M9979" t="inlineStr">
        <is>
          <t>Bonus, Healthcare Plan, Travel Opportunities</t>
        </is>
      </c>
      <c r="N9979" s="8">
        <f>HYPERLINK("https://www.vietnamworks.com/ky-thuat-quan-ly-2022093-jv","Xem chi tiết")</f>
        <v/>
      </c>
    </row>
    <row r="9980">
      <c r="B9980" s="9" t="n">
        <v>9978</v>
      </c>
      <c r="C9980" s="10" t="inlineStr">
        <is>
          <t>Kỹ Sư Cơ Điện (Làm Việc Tại VP Hà Nội và Vĩnh Phúc) (Lương 22-28 Triệu)</t>
        </is>
      </c>
      <c r="D9980" s="10" t="inlineStr">
        <is>
          <t>MDA E&amp;C Co.,ltd</t>
        </is>
      </c>
      <c r="E9980" s="10" t="inlineStr">
        <is>
          <t>22-28 ₫/tháng</t>
        </is>
      </c>
      <c r="F9980" s="10" t="inlineStr">
        <is>
          <t>Hà Nội, Phú Thọ, Vĩnh Phúc</t>
        </is>
      </c>
      <c r="G9980" s="10" t="inlineStr">
        <is>
          <t>Nhân viên</t>
        </is>
      </c>
      <c r="H9980" s="10" t="inlineStr">
        <is>
          <t>11/03/2026</t>
        </is>
      </c>
      <c r="I9980" s="10" t="inlineStr">
        <is>
          <t>10/04/2026</t>
        </is>
      </c>
      <c r="J9980" s="10" t="inlineStr">
        <is>
          <t>17/03/2026</t>
        </is>
      </c>
      <c r="K9980" s="10" t="inlineStr">
        <is>
          <t>N/A</t>
        </is>
      </c>
      <c r="L9980" s="10" t="inlineStr">
        <is>
          <t>AutoCAD, Cơ Điện, Revit, Giám Sát Thi Công, Xây Dựng</t>
        </is>
      </c>
      <c r="M9980" s="10" t="inlineStr">
        <is>
          <t>Bonus, Paid Leave, Others</t>
        </is>
      </c>
      <c r="N9980" s="11">
        <f>HYPERLINK("https://www.vietnamworks.com/ky-su-co-dien-lam-viec-tai-vp-ha-noi-va-vinh-phuc-luong-22-28-trieu-2022089-jv","Xem chi tiết")</f>
        <v/>
      </c>
      <c r="O9980" s="10" t="n"/>
    </row>
    <row r="9981">
      <c r="B9981" s="7" t="n">
        <v>9979</v>
      </c>
      <c r="C9981" t="inlineStr">
        <is>
          <t>Chuyên viên kiểm soát tài chính</t>
        </is>
      </c>
      <c r="D9981" t="inlineStr">
        <is>
          <t>Công Ty Cổ Phần Tân Phú Việt Nam</t>
        </is>
      </c>
      <c r="E9981" t="inlineStr">
        <is>
          <t>20tr-25tr ₫/tháng</t>
        </is>
      </c>
      <c r="F9981" t="inlineStr">
        <is>
          <t>Hồ Chí Minh</t>
        </is>
      </c>
      <c r="G9981" t="inlineStr">
        <is>
          <t>Nhân viên</t>
        </is>
      </c>
      <c r="H9981" t="inlineStr">
        <is>
          <t>11/03/2026</t>
        </is>
      </c>
      <c r="I9981" t="inlineStr">
        <is>
          <t>10/04/2026</t>
        </is>
      </c>
      <c r="J9981" t="inlineStr">
        <is>
          <t>17/03/2026</t>
        </is>
      </c>
      <c r="K9981" t="inlineStr">
        <is>
          <t>N/A</t>
        </is>
      </c>
      <c r="L9981" t="inlineStr">
        <is>
          <t>Chủ Động Trong Công Việc, Gia Công Áp Lực, Làm Việc Nhóm, Phân Tích Dữ Liệu, Tài Chính Kế Toán</t>
        </is>
      </c>
      <c r="M9981" t="inlineStr">
        <is>
          <t>Bonus, Healthcare Plan, Paid Leave, Training, Awards, Travel Opportunities, Team Activities, Vouchers</t>
        </is>
      </c>
      <c r="N9981" s="8">
        <f>HYPERLINK("https://www.vietnamworks.com/chuyen-vien-kiem-soat-tai-chinh-2022098-jv","Xem chi tiết")</f>
        <v/>
      </c>
    </row>
    <row r="9982">
      <c r="B9982" s="9" t="n">
        <v>9980</v>
      </c>
      <c r="C9982" s="10" t="inlineStr">
        <is>
          <t>Nhân Viên Kế Hoạch Sản Xuất</t>
        </is>
      </c>
      <c r="D9982" s="10" t="inlineStr">
        <is>
          <t>Công Ty TNHH Công Nghệ Kỹ Thuật Cao Hi-P Việt Nam</t>
        </is>
      </c>
      <c r="E9982" s="10" t="inlineStr">
        <is>
          <t>15tr-25tr ₫/tháng</t>
        </is>
      </c>
      <c r="F9982" s="10" t="inlineStr">
        <is>
          <t>Bắc Ninh</t>
        </is>
      </c>
      <c r="G9982" s="10" t="inlineStr">
        <is>
          <t>Nhân viên</t>
        </is>
      </c>
      <c r="H9982" s="10" t="inlineStr">
        <is>
          <t>11/03/2026</t>
        </is>
      </c>
      <c r="I9982" s="10" t="inlineStr">
        <is>
          <t>10/04/2026</t>
        </is>
      </c>
      <c r="J9982" s="10" t="inlineStr">
        <is>
          <t>17/03/2026</t>
        </is>
      </c>
      <c r="K9982" s="10" t="inlineStr">
        <is>
          <t>N/A</t>
        </is>
      </c>
      <c r="L9982" s="10" t="inlineStr">
        <is>
          <t>Production Planning, Problem-solving, MS Office, SAP, Electronic</t>
        </is>
      </c>
      <c r="M9982" s="10" t="inlineStr">
        <is>
          <t>Bonus, Healthcare Plan, Others</t>
        </is>
      </c>
      <c r="N9982" s="11">
        <f>HYPERLINK("https://www.vietnamworks.com/nhan-vien-ke-hoach-san-xuat-2022099-jv","Xem chi tiết")</f>
        <v/>
      </c>
      <c r="O9982" s="10" t="n"/>
    </row>
    <row r="9983">
      <c r="B9983" s="7" t="n">
        <v>9981</v>
      </c>
      <c r="C9983" t="inlineStr">
        <is>
          <t>Giám Đốc Sản Xuất</t>
        </is>
      </c>
      <c r="D9983" t="inlineStr">
        <is>
          <t>CÔNG TY CỔ PHẦN BAO BÌ TÂN THÀNH ĐẠT</t>
        </is>
      </c>
      <c r="E9983" t="inlineStr">
        <is>
          <t>Tới 60tr ₫/tháng</t>
        </is>
      </c>
      <c r="F9983" t="inlineStr">
        <is>
          <t>Ninh Bình</t>
        </is>
      </c>
      <c r="G9983" t="inlineStr">
        <is>
          <t>Giám Đốc và Cấp Cao Hơn</t>
        </is>
      </c>
      <c r="H9983" t="inlineStr">
        <is>
          <t>11/03/2026</t>
        </is>
      </c>
      <c r="I9983" t="inlineStr">
        <is>
          <t>10/04/2026</t>
        </is>
      </c>
      <c r="J9983" t="inlineStr">
        <is>
          <t>17/03/2026</t>
        </is>
      </c>
      <c r="K9983" t="inlineStr">
        <is>
          <t>N/A</t>
        </is>
      </c>
      <c r="L9983" t="inlineStr">
        <is>
          <t>Quy Trình Sản Phẩm, Lãnh Đạo, Kiểm Soát Chất Lượng, Quản Lý An Toàn Lao Động, Quản Lý Sản Xuất Bao Bì</t>
        </is>
      </c>
      <c r="M9983" t="inlineStr">
        <is>
          <t>Bonus</t>
        </is>
      </c>
      <c r="N9983" s="8">
        <f>HYPERLINK("https://www.vietnamworks.com/giam-djoc-san-xuat-2022086-jv","Xem chi tiết")</f>
        <v/>
      </c>
    </row>
    <row r="9984">
      <c r="B9984" s="9" t="n">
        <v>9982</v>
      </c>
      <c r="C9984" s="10" t="inlineStr">
        <is>
          <t>General Accountant</t>
        </is>
      </c>
      <c r="D9984" s="10" t="inlineStr">
        <is>
          <t>Eq Logis CO., LTD</t>
        </is>
      </c>
      <c r="E9984" s="10" t="inlineStr">
        <is>
          <t>Thương lượng</t>
        </is>
      </c>
      <c r="F9984" s="10" t="inlineStr">
        <is>
          <t>Hồ Chí Minh</t>
        </is>
      </c>
      <c r="G9984" s="10" t="inlineStr">
        <is>
          <t>Nhân viên</t>
        </is>
      </c>
      <c r="H9984" s="10" t="inlineStr">
        <is>
          <t>11/03/2026</t>
        </is>
      </c>
      <c r="I9984" s="10" t="inlineStr">
        <is>
          <t>10/04/2026</t>
        </is>
      </c>
      <c r="J9984" s="10" t="inlineStr">
        <is>
          <t>17/03/2026</t>
        </is>
      </c>
      <c r="K9984" s="10" t="inlineStr">
        <is>
          <t>N/A</t>
        </is>
      </c>
      <c r="L9984" s="10" t="inlineStr">
        <is>
          <t>Fast, Kế Toán, Misa, Tài Chính, Thuế</t>
        </is>
      </c>
      <c r="M9984" s="10" t="inlineStr">
        <is>
          <t>Bonus, Healthcare Plan, Training, Team Activities</t>
        </is>
      </c>
      <c r="N9984" s="11">
        <f>HYPERLINK("https://www.vietnamworks.com/general-accountant-2022096-jv","Xem chi tiết")</f>
        <v/>
      </c>
      <c r="O9984" s="10" t="n"/>
    </row>
    <row r="9985">
      <c r="B9985" s="7" t="n">
        <v>9983</v>
      </c>
      <c r="C9985" t="inlineStr">
        <is>
          <t>Kế Toán Trưởng Dự Án Bất Động Sản</t>
        </is>
      </c>
      <c r="D9985" t="inlineStr">
        <is>
          <t>Công Ty Cổ Phần Đầu Tư Phát Triển Thái Hà</t>
        </is>
      </c>
      <c r="E9985" t="inlineStr">
        <is>
          <t>Thương lượng</t>
        </is>
      </c>
      <c r="F9985" t="inlineStr">
        <is>
          <t>Hà Nội</t>
        </is>
      </c>
      <c r="G9985" t="inlineStr">
        <is>
          <t>Trưởng phòng</t>
        </is>
      </c>
      <c r="H9985" t="inlineStr">
        <is>
          <t>11/03/2026</t>
        </is>
      </c>
      <c r="I9985" t="inlineStr">
        <is>
          <t>10/04/2026</t>
        </is>
      </c>
      <c r="J9985" t="inlineStr">
        <is>
          <t>17/03/2026</t>
        </is>
      </c>
      <c r="K9985" t="inlineStr">
        <is>
          <t>N/A</t>
        </is>
      </c>
      <c r="L9985" t="inlineStr">
        <is>
          <t>Chief Accountant, Quyết Toán Thuế, Real Estate Projects, Tài Chính Kế Toán, Tham Mưu Đề Xuất</t>
        </is>
      </c>
      <c r="M9985" t="inlineStr">
        <is>
          <t>Bonus, Paid Leave, Others</t>
        </is>
      </c>
      <c r="N9985" s="8">
        <f>HYPERLINK("https://www.vietnamworks.com/ke-toan-truong-du-an-bat-djong-san-2022095-jv","Xem chi tiết")</f>
        <v/>
      </c>
    </row>
    <row r="9986">
      <c r="B9986" s="9" t="n">
        <v>9984</v>
      </c>
      <c r="C9986" s="10" t="inlineStr">
        <is>
          <t>Chuyên Viên Kế Hoạch Khuôn Mẫu</t>
        </is>
      </c>
      <c r="D9986" s="10" t="inlineStr">
        <is>
          <t>Công Ty TNHH Công Nghệ Kỹ Thuật Cao Hi-P Việt Nam</t>
        </is>
      </c>
      <c r="E9986" s="10" t="inlineStr">
        <is>
          <t>15tr-35tr ₫/tháng</t>
        </is>
      </c>
      <c r="F9986" s="10" t="inlineStr">
        <is>
          <t>Bắc Ninh</t>
        </is>
      </c>
      <c r="G9986" s="10" t="inlineStr">
        <is>
          <t>Giám Đốc và Cấp Cao Hơn</t>
        </is>
      </c>
      <c r="H9986" s="10" t="inlineStr">
        <is>
          <t>11/03/2026</t>
        </is>
      </c>
      <c r="I9986" s="10" t="inlineStr">
        <is>
          <t>10/04/2026</t>
        </is>
      </c>
      <c r="J9986" s="10" t="inlineStr">
        <is>
          <t>17/03/2026</t>
        </is>
      </c>
      <c r="K9986" s="10" t="inlineStr">
        <is>
          <t>N/A</t>
        </is>
      </c>
      <c r="L9986" s="10" t="inlineStr">
        <is>
          <t>模具制作, 机械加工原理, 沟通技巧</t>
        </is>
      </c>
      <c r="M9986" s="10" t="inlineStr">
        <is>
          <t>Bonus, Healthcare Plan, Others</t>
        </is>
      </c>
      <c r="N9986" s="11">
        <f>HYPERLINK("https://www.vietnamworks.com/chuyen-vien-ke-hoach-khuon-mau-2022079-jv","Xem chi tiết")</f>
        <v/>
      </c>
      <c r="O9986" s="10" t="n"/>
    </row>
    <row r="9987">
      <c r="B9987" s="7" t="n">
        <v>9985</v>
      </c>
      <c r="C9987" t="inlineStr">
        <is>
          <t>Chuyên Viên QS (Kỹ Sư Kinh Tế Xây Dựng)</t>
        </is>
      </c>
      <c r="D9987" t="inlineStr">
        <is>
          <t>Công Ty Cổ Phần Đầu Tư Phát Triển Thái Hà</t>
        </is>
      </c>
      <c r="E9987" t="inlineStr">
        <is>
          <t>Thương lượng</t>
        </is>
      </c>
      <c r="F9987" t="inlineStr">
        <is>
          <t>Hà Nội</t>
        </is>
      </c>
      <c r="G9987" t="inlineStr">
        <is>
          <t>Nhân viên</t>
        </is>
      </c>
      <c r="H9987" t="inlineStr">
        <is>
          <t>11/03/2026</t>
        </is>
      </c>
      <c r="I9987" t="inlineStr">
        <is>
          <t>10/04/2026</t>
        </is>
      </c>
      <c r="J9987" t="inlineStr">
        <is>
          <t>17/03/2026</t>
        </is>
      </c>
      <c r="K9987" t="inlineStr">
        <is>
          <t>N/A</t>
        </is>
      </c>
      <c r="L9987" t="inlineStr">
        <is>
          <t>Công Trình Dân Dụng, Bóc Tách Khối Lượng, Quality Survey, Thanh Quyết Toán, Triển Khai Tổ Chức Thi Công</t>
        </is>
      </c>
      <c r="M9987" t="inlineStr">
        <is>
          <t>Bonus, Paid Leave, Others</t>
        </is>
      </c>
      <c r="N9987" s="8">
        <f>HYPERLINK("https://www.vietnamworks.com/chuyen-vien-qs-ky-su-kinh-te-xay-dung-2022088-jv","Xem chi tiết")</f>
        <v/>
      </c>
    </row>
    <row r="9988">
      <c r="B9988" s="9" t="n">
        <v>9986</v>
      </c>
      <c r="C9988" s="10" t="inlineStr">
        <is>
          <t>Chuyên Viên Đấu Thầu</t>
        </is>
      </c>
      <c r="D9988" s="10" t="inlineStr">
        <is>
          <t>Công Ty Cổ Phần Xây Dựng Công Nghiệp MEGACON</t>
        </is>
      </c>
      <c r="E9988" s="10" t="inlineStr">
        <is>
          <t>18tr-25tr ₫/tháng</t>
        </is>
      </c>
      <c r="F9988" s="10" t="inlineStr">
        <is>
          <t>Hà Nội</t>
        </is>
      </c>
      <c r="G9988" s="10" t="inlineStr">
        <is>
          <t>Nhân viên</t>
        </is>
      </c>
      <c r="H9988" s="10" t="inlineStr">
        <is>
          <t>11/03/2026</t>
        </is>
      </c>
      <c r="I9988" s="10" t="inlineStr">
        <is>
          <t>10/04/2026</t>
        </is>
      </c>
      <c r="J9988" s="10" t="inlineStr">
        <is>
          <t>17/03/2026</t>
        </is>
      </c>
      <c r="K9988" s="10" t="inlineStr">
        <is>
          <t>N/A</t>
        </is>
      </c>
      <c r="L9988" s="10" t="inlineStr">
        <is>
          <t>Bóc Tách Khối Lượng, Lập Trình AutoCAD, Xây Dựng, QS, Đấu Thầu</t>
        </is>
      </c>
      <c r="M9988" s="10" t="inlineStr">
        <is>
          <t>Bonus, Healthcare Plan, Paid Leave, Travel Opportunities</t>
        </is>
      </c>
      <c r="N9988" s="11">
        <f>HYPERLINK("https://www.vietnamworks.com/chuyen-vien-djau-thau-2022103-jv","Xem chi tiết")</f>
        <v/>
      </c>
      <c r="O9988" s="10" t="n"/>
    </row>
    <row r="9989">
      <c r="B9989" s="7" t="n">
        <v>9987</v>
      </c>
      <c r="C9989" t="inlineStr">
        <is>
          <t>Kế Toán Trưởng</t>
        </is>
      </c>
      <c r="D9989" t="inlineStr">
        <is>
          <t>CÔNG TY CỔ PHẦN XÂY DỰNG ENTIZ</t>
        </is>
      </c>
      <c r="E9989" t="inlineStr">
        <is>
          <t>25tr-40tr ₫/tháng</t>
        </is>
      </c>
      <c r="F9989" t="inlineStr">
        <is>
          <t>Hà Nội</t>
        </is>
      </c>
      <c r="G9989" t="inlineStr">
        <is>
          <t>Nhân viên</t>
        </is>
      </c>
      <c r="H9989" t="inlineStr">
        <is>
          <t>11/03/2026</t>
        </is>
      </c>
      <c r="I9989" t="inlineStr">
        <is>
          <t>10/04/2026</t>
        </is>
      </c>
      <c r="J9989" t="inlineStr">
        <is>
          <t>17/03/2026</t>
        </is>
      </c>
      <c r="K9989" t="inlineStr">
        <is>
          <t>N/A</t>
        </is>
      </c>
      <c r="L9989" t="inlineStr">
        <is>
          <t>Kiểm Soát Chi Phí, Kỹ năng giao tiếp, Phần mềm kế toán, Quản Lý Rủi Ro, Quản Lý Tài Chính</t>
        </is>
      </c>
      <c r="M9989" t="inlineStr">
        <is>
          <t>Others</t>
        </is>
      </c>
      <c r="N9989" s="8">
        <f>HYPERLINK("https://www.vietnamworks.com/ke-toan-truong-2022100-jv","Xem chi tiết")</f>
        <v/>
      </c>
    </row>
    <row r="9990">
      <c r="B9990" s="9" t="n">
        <v>9988</v>
      </c>
      <c r="C9990" s="10" t="inlineStr">
        <is>
          <t>Nhân Viên Thu Mua</t>
        </is>
      </c>
      <c r="D9990" s="10" t="inlineStr">
        <is>
          <t>Công Ty TNHH Công Nghệ Kỹ Thuật Cao Hi-P Việt Nam</t>
        </is>
      </c>
      <c r="E9990" s="10" t="inlineStr">
        <is>
          <t>15tr-25tr ₫/tháng</t>
        </is>
      </c>
      <c r="F9990" s="10" t="inlineStr">
        <is>
          <t>Bắc Ninh</t>
        </is>
      </c>
      <c r="G9990" s="10" t="inlineStr">
        <is>
          <t>Nhân viên</t>
        </is>
      </c>
      <c r="H9990" s="10" t="inlineStr">
        <is>
          <t>11/03/2026</t>
        </is>
      </c>
      <c r="I9990" s="10" t="inlineStr">
        <is>
          <t>10/04/2026</t>
        </is>
      </c>
      <c r="J9990" s="10" t="inlineStr">
        <is>
          <t>17/03/2026</t>
        </is>
      </c>
      <c r="K9990" s="10" t="inlineStr">
        <is>
          <t>N/A</t>
        </is>
      </c>
      <c r="L9990" s="10" t="inlineStr">
        <is>
          <t>Supplier Management, Supplier Negotiation, SAP systems, MS Office, Communication Skills</t>
        </is>
      </c>
      <c r="M9990" s="10" t="inlineStr">
        <is>
          <t>Bonus, Healthcare Plan, Others</t>
        </is>
      </c>
      <c r="N9990" s="11">
        <f>HYPERLINK("https://www.vietnamworks.com/nhan-vien-thu-mua-2022091-jv","Xem chi tiết")</f>
        <v/>
      </c>
      <c r="O9990" s="10" t="n"/>
    </row>
    <row r="9991">
      <c r="B9991" s="7" t="n">
        <v>9989</v>
      </c>
      <c r="C9991" t="inlineStr">
        <is>
          <t>Chuyên Viên Khai Báo Hải Quan</t>
        </is>
      </c>
      <c r="D9991" t="inlineStr">
        <is>
          <t>CÔNG TY TNHH SC LOGIS</t>
        </is>
      </c>
      <c r="E9991" t="inlineStr">
        <is>
          <t>13tr-17tr ₫/tháng</t>
        </is>
      </c>
      <c r="F9991" t="inlineStr">
        <is>
          <t>Hà Nội</t>
        </is>
      </c>
      <c r="G9991" t="inlineStr">
        <is>
          <t>Nhân viên</t>
        </is>
      </c>
      <c r="H9991" t="inlineStr">
        <is>
          <t>11/03/2026</t>
        </is>
      </c>
      <c r="I9991" t="inlineStr">
        <is>
          <t>10/04/2026</t>
        </is>
      </c>
      <c r="J9991" t="inlineStr">
        <is>
          <t>17/03/2026</t>
        </is>
      </c>
      <c r="K9991" t="inlineStr">
        <is>
          <t>N/A</t>
        </is>
      </c>
      <c r="L9991" t="inlineStr">
        <is>
          <t>Khai Báo Hải Quan, Quy Trình Hải Quan, Chứng Từ Hải Quan, Luật Thuế, Xử Lý Hồ Sơ</t>
        </is>
      </c>
      <c r="M9991" t="inlineStr">
        <is>
          <t>Bonus, Healthcare Plan, Training, Laptop, Others</t>
        </is>
      </c>
      <c r="N9991" s="8">
        <f>HYPERLINK("https://www.vietnamworks.com/chuyen-vien-khai-bao-hai-quan-2022080-jv","Xem chi tiết")</f>
        <v/>
      </c>
    </row>
    <row r="9992">
      <c r="B9992" s="9" t="n">
        <v>9990</v>
      </c>
      <c r="C9992" s="10" t="inlineStr">
        <is>
          <t>Student Engagement and Academic Administrative Officer (10 months &amp; Third-Party Contract)</t>
        </is>
      </c>
      <c r="D9992" s="10" t="inlineStr">
        <is>
          <t>RMIT University Vietnam</t>
        </is>
      </c>
      <c r="E9992" s="10" t="inlineStr">
        <is>
          <t>Thương lượng</t>
        </is>
      </c>
      <c r="F9992" s="10" t="inlineStr">
        <is>
          <t>Đà Nẵng</t>
        </is>
      </c>
      <c r="G9992" s="10" t="inlineStr">
        <is>
          <t>Nhân viên</t>
        </is>
      </c>
      <c r="H9992" s="10" t="inlineStr">
        <is>
          <t>11/03/2026</t>
        </is>
      </c>
      <c r="I9992" s="10" t="inlineStr">
        <is>
          <t>10/04/2026</t>
        </is>
      </c>
      <c r="J9992" s="10" t="inlineStr">
        <is>
          <t>17/03/2026</t>
        </is>
      </c>
      <c r="K9992" s="10" t="inlineStr">
        <is>
          <t>N/A</t>
        </is>
      </c>
      <c r="L9992" s="10" t="inlineStr">
        <is>
          <t>Communication Skills, Academic Support, Administrative support &amp; coordination, Detail-Oriented, Student Support</t>
        </is>
      </c>
      <c r="M9992" s="10" t="inlineStr">
        <is>
          <t>Bonus, Healthcare Plan, Paid Leave, Library</t>
        </is>
      </c>
      <c r="N9992" s="11">
        <f>HYPERLINK("https://www.vietnamworks.com/student-engagement-and-academic-administrative-officer-10-months-and-third-party-contract-2022090-jv","Xem chi tiết")</f>
        <v/>
      </c>
      <c r="O9992" s="10" t="n"/>
    </row>
    <row r="9993">
      <c r="B9993" s="7" t="n">
        <v>9991</v>
      </c>
      <c r="C9993" t="inlineStr">
        <is>
          <t>Trưởng Nhóm Truyền Thông Marketing</t>
        </is>
      </c>
      <c r="D9993" t="inlineStr">
        <is>
          <t>Công Ty Cổ Phần Tân Phú Việt Nam</t>
        </is>
      </c>
      <c r="E9993" t="inlineStr">
        <is>
          <t>20tr-25tr ₫/tháng</t>
        </is>
      </c>
      <c r="F9993" t="inlineStr">
        <is>
          <t>Hà Nội</t>
        </is>
      </c>
      <c r="G9993" t="inlineStr">
        <is>
          <t>Trưởng phòng</t>
        </is>
      </c>
      <c r="H9993" t="inlineStr">
        <is>
          <t>11/03/2026</t>
        </is>
      </c>
      <c r="I9993" t="inlineStr">
        <is>
          <t>10/04/2026</t>
        </is>
      </c>
      <c r="J9993" t="inlineStr">
        <is>
          <t>17/03/2026</t>
        </is>
      </c>
      <c r="K9993" t="inlineStr">
        <is>
          <t>N/A</t>
        </is>
      </c>
      <c r="L9993" t="inlineStr">
        <is>
          <t>Lãnh Đạo, Marketing Development, Quản Trị Đội Ngũ, Truyền Thông, Điện Tử Ứng Dụng</t>
        </is>
      </c>
      <c r="M9993" t="inlineStr">
        <is>
          <t>Others</t>
        </is>
      </c>
      <c r="N9993" s="8">
        <f>HYPERLINK("https://www.vietnamworks.com/truong-nhom-truyen-thong-marketing-2022087-jv","Xem chi tiết")</f>
        <v/>
      </c>
    </row>
    <row r="9994">
      <c r="B9994" s="9" t="n">
        <v>9992</v>
      </c>
      <c r="C9994" s="10" t="inlineStr">
        <is>
          <t>Chuyên Viên Nghiên Cứu Thị Trường và Phát Triển Sản Phẩm</t>
        </is>
      </c>
      <c r="D9994" s="10" t="inlineStr">
        <is>
          <t>Eurowindow Holding</t>
        </is>
      </c>
      <c r="E9994" s="10" t="inlineStr">
        <is>
          <t>Thương lượng</t>
        </is>
      </c>
      <c r="F9994" s="10" t="inlineStr">
        <is>
          <t>Hà Nội</t>
        </is>
      </c>
      <c r="G9994" s="10" t="inlineStr">
        <is>
          <t>Nhân viên</t>
        </is>
      </c>
      <c r="H9994" s="10" t="inlineStr">
        <is>
          <t>11/03/2026</t>
        </is>
      </c>
      <c r="I9994" s="10" t="inlineStr">
        <is>
          <t>10/04/2026</t>
        </is>
      </c>
      <c r="J9994" s="10" t="inlineStr">
        <is>
          <t>17/03/2026</t>
        </is>
      </c>
      <c r="K9994" s="10" t="inlineStr">
        <is>
          <t>N/A</t>
        </is>
      </c>
      <c r="L9994" s="10" t="inlineStr">
        <is>
          <t>R&amp;D Environment, Phát Triển Bất Động Sản, Chính Sách Giá, Property Management</t>
        </is>
      </c>
      <c r="M9994" s="10" t="inlineStr">
        <is>
          <t>Bonus, Travel Opportunities, Team Activities</t>
        </is>
      </c>
      <c r="N9994" s="11">
        <f>HYPERLINK("https://www.vietnamworks.com/chuyen-vien-nghien-cuu-thi-truong-va-phat-trien-san-pham--2022101-jv","Xem chi tiết")</f>
        <v/>
      </c>
      <c r="O9994" s="10" t="n"/>
    </row>
    <row r="9995">
      <c r="B9995" s="7" t="n">
        <v>9993</v>
      </c>
      <c r="C9995" t="inlineStr">
        <is>
          <t>Chuyên Viên Tư Vấn Tuyển Sinh</t>
        </is>
      </c>
      <c r="D9995" t="inlineStr">
        <is>
          <t>RT Holdings</t>
        </is>
      </c>
      <c r="E9995" t="inlineStr">
        <is>
          <t>Thương lượng</t>
        </is>
      </c>
      <c r="F9995" t="inlineStr">
        <is>
          <t>Hồ Chí Minh</t>
        </is>
      </c>
      <c r="G9995" t="inlineStr">
        <is>
          <t>Nhân viên</t>
        </is>
      </c>
      <c r="H9995" t="inlineStr">
        <is>
          <t>11/03/2026</t>
        </is>
      </c>
      <c r="I9995" t="inlineStr">
        <is>
          <t>10/04/2026</t>
        </is>
      </c>
      <c r="J9995" t="inlineStr">
        <is>
          <t>17/03/2026</t>
        </is>
      </c>
      <c r="K9995" t="inlineStr">
        <is>
          <t>N/A</t>
        </is>
      </c>
      <c r="L9995" t="inlineStr">
        <is>
          <t>Tư Vấn Tuyển Sinh, Tư Vấn Giáo Dục, Tuyển Sinh, Quản Lý Tuyển Sinh</t>
        </is>
      </c>
      <c r="M9995" t="inlineStr">
        <is>
          <t>Bonus, Canteen, Vouchers</t>
        </is>
      </c>
      <c r="N9995" s="8">
        <f>HYPERLINK("https://www.vietnamworks.com/chuyen-vien-tu-van-tuyen-sinh--2022094-jv","Xem chi tiết")</f>
        <v/>
      </c>
    </row>
    <row r="9996">
      <c r="B9996" s="9" t="n">
        <v>9994</v>
      </c>
      <c r="C9996" s="10" t="inlineStr">
        <is>
          <t>Senior Sales Admin Executive | Chuyên Viên Cấp Cao Hỗ Trợ Kinh Doanh</t>
        </is>
      </c>
      <c r="D9996" s="10" t="inlineStr">
        <is>
          <t>Sonkim Land Corporation</t>
        </is>
      </c>
      <c r="E9996" s="10" t="inlineStr">
        <is>
          <t>Thương lượng</t>
        </is>
      </c>
      <c r="F9996" s="10" t="inlineStr">
        <is>
          <t>Hồ Chí Minh</t>
        </is>
      </c>
      <c r="G9996" s="10" t="inlineStr">
        <is>
          <t>Nhân viên</t>
        </is>
      </c>
      <c r="H9996" s="10" t="inlineStr">
        <is>
          <t>11/03/2026</t>
        </is>
      </c>
      <c r="I9996" s="10" t="inlineStr">
        <is>
          <t>10/04/2026</t>
        </is>
      </c>
      <c r="J9996" s="10" t="inlineStr">
        <is>
          <t>17/03/2026</t>
        </is>
      </c>
      <c r="K9996" s="10" t="inlineStr">
        <is>
          <t>N/A</t>
        </is>
      </c>
      <c r="L9996" s="10" t="inlineStr">
        <is>
          <t>Sales Support, Customer Database Management, Cost Calculation, Hỗ Trợ Kinh Doanh, English Communication</t>
        </is>
      </c>
      <c r="M9996" s="10" t="inlineStr">
        <is>
          <t>Bonus, Healthcare Plan, Paid Leave, Laptop, Others</t>
        </is>
      </c>
      <c r="N9996" s="11">
        <f>HYPERLINK("https://www.vietnamworks.com/senior-sales-admin-executive-chuyen-vien-cap-cao-ho-tro-kinh-doanh-2022097-jv","Xem chi tiết")</f>
        <v/>
      </c>
      <c r="O9996" s="10" t="n"/>
    </row>
    <row r="9997">
      <c r="B9997" s="7" t="n">
        <v>9995</v>
      </c>
      <c r="C9997" t="inlineStr">
        <is>
          <t>Giám Đốc Sản Xuất</t>
        </is>
      </c>
      <c r="D9997" t="inlineStr">
        <is>
          <t>CÔNG TY TNHH QUỐC TẾ DKE (VIỆT NAM)</t>
        </is>
      </c>
      <c r="E9997" t="inlineStr">
        <is>
          <t>Thương lượng</t>
        </is>
      </c>
      <c r="F9997" t="inlineStr">
        <is>
          <t>Phú Thọ</t>
        </is>
      </c>
      <c r="G9997" t="inlineStr">
        <is>
          <t>Giám Đốc và Cấp Cao Hơn</t>
        </is>
      </c>
      <c r="H9997" t="inlineStr">
        <is>
          <t>11/03/2026</t>
        </is>
      </c>
      <c r="I9997" t="inlineStr">
        <is>
          <t>10/04/2026</t>
        </is>
      </c>
      <c r="J9997" t="inlineStr">
        <is>
          <t>17/03/2026</t>
        </is>
      </c>
      <c r="K9997" t="inlineStr">
        <is>
          <t>N/A</t>
        </is>
      </c>
      <c r="L9997" t="inlineStr">
        <is>
          <t>Quản Lý Sản Xuất, Lập Kế Hoạch Sản Xuất, ISO 9001, Kiểm Soát Chi Phí, Quản Lý Thiết Bị</t>
        </is>
      </c>
      <c r="M9997" t="inlineStr">
        <is>
          <t>Bonus, Canteen, Others</t>
        </is>
      </c>
      <c r="N9997" s="8">
        <f>HYPERLINK("https://www.vietnamworks.com/giam-djoc-san-xuat-2022107-jv","Xem chi tiết")</f>
        <v/>
      </c>
    </row>
    <row r="9998">
      <c r="B9998" s="9" t="n">
        <v>9996</v>
      </c>
      <c r="C9998" s="10" t="inlineStr">
        <is>
          <t>Chuyên Viên Kế Hoạch Sản Xuất Và Kinh Doanh</t>
        </is>
      </c>
      <c r="D9998" s="10" t="inlineStr">
        <is>
          <t>Công Ty Cổ Phần Chuỗi Thực Phẩm TH</t>
        </is>
      </c>
      <c r="E9998" s="10" t="inlineStr">
        <is>
          <t>15tr-20tr ₫/tháng</t>
        </is>
      </c>
      <c r="F9998" s="10" t="inlineStr">
        <is>
          <t>Hà Nội</t>
        </is>
      </c>
      <c r="G9998" s="10" t="inlineStr">
        <is>
          <t>Nhân viên</t>
        </is>
      </c>
      <c r="H9998" s="10" t="inlineStr">
        <is>
          <t>11/03/2026</t>
        </is>
      </c>
      <c r="I9998" s="10" t="inlineStr">
        <is>
          <t>10/04/2026</t>
        </is>
      </c>
      <c r="J9998" s="10" t="inlineStr">
        <is>
          <t>17/03/2026</t>
        </is>
      </c>
      <c r="K9998" s="10" t="inlineStr">
        <is>
          <t>N/A</t>
        </is>
      </c>
      <c r="L9998" s="10" t="inlineStr">
        <is>
          <t>Kinh Tế, Power BI, Quản Trị Kinh Doanh, Tài Chính Kế Toán, Xử Lý Dữ Liệu</t>
        </is>
      </c>
      <c r="M9998" s="10" t="inlineStr">
        <is>
          <t>Bonus, Healthcare Plan, Training, Travel Opportunities, Others</t>
        </is>
      </c>
      <c r="N9998" s="11">
        <f>HYPERLINK("https://www.vietnamworks.com/chuyen-vien-ke-hoach-san-xuat-va-kinh-doanh-2022105-jv","Xem chi tiết")</f>
        <v/>
      </c>
      <c r="O9998" s="10" t="n"/>
    </row>
    <row r="9999">
      <c r="B9999" s="7" t="n">
        <v>9997</v>
      </c>
      <c r="C9999" t="inlineStr">
        <is>
          <t>Kế Toán Viên (Accountant)</t>
        </is>
      </c>
      <c r="D9999" t="inlineStr">
        <is>
          <t>Asiafoods Corporation</t>
        </is>
      </c>
      <c r="E9999" t="inlineStr">
        <is>
          <t>$$ 500-600 /tháng</t>
        </is>
      </c>
      <c r="F9999" t="inlineStr">
        <is>
          <t>Hồ Chí Minh</t>
        </is>
      </c>
      <c r="G9999" t="inlineStr">
        <is>
          <t>Nhân viên</t>
        </is>
      </c>
      <c r="H9999" t="inlineStr">
        <is>
          <t>11/03/2026</t>
        </is>
      </c>
      <c r="I9999" t="inlineStr">
        <is>
          <t>10/04/2026</t>
        </is>
      </c>
      <c r="J9999" t="inlineStr">
        <is>
          <t>17/03/2026</t>
        </is>
      </c>
      <c r="K9999" t="inlineStr">
        <is>
          <t>N/A</t>
        </is>
      </c>
      <c r="L9999" t="inlineStr">
        <is>
          <t>Giải Quyết Vấn Đề, Kế Toán Hàng Tồn Kho, Microsoft Office, Phần mềm kế toán, Phân Tích Chi Phí</t>
        </is>
      </c>
      <c r="M9999" t="inlineStr">
        <is>
          <t>Bonus, Healthcare Plan, Training, Others</t>
        </is>
      </c>
      <c r="N9999" s="8">
        <f>HYPERLINK("https://www.vietnamworks.com/ke-toan-vien-accountant-2022110-jv","Xem chi tiết")</f>
        <v/>
      </c>
    </row>
    <row r="10000">
      <c r="B10000" s="9" t="n">
        <v>9998</v>
      </c>
      <c r="C10000" s="10" t="inlineStr">
        <is>
          <t xml:space="preserve">Senior Automation Solutions Engineer( Urgent) </t>
        </is>
      </c>
      <c r="D10000" s="10" t="inlineStr">
        <is>
          <t>Công Ty TNHH Autologiq Machinery &amp; Engineering</t>
        </is>
      </c>
      <c r="E10000" s="10" t="inlineStr">
        <is>
          <t>Thương lượng</t>
        </is>
      </c>
      <c r="F10000" s="10" t="inlineStr">
        <is>
          <t>Hồ Chí Minh</t>
        </is>
      </c>
      <c r="G10000" s="10" t="inlineStr">
        <is>
          <t>Nhân viên</t>
        </is>
      </c>
      <c r="H10000" s="10" t="inlineStr">
        <is>
          <t>11/03/2026</t>
        </is>
      </c>
      <c r="I10000" s="10" t="inlineStr">
        <is>
          <t>10/04/2026</t>
        </is>
      </c>
      <c r="J10000" s="10" t="inlineStr">
        <is>
          <t>17/03/2026</t>
        </is>
      </c>
      <c r="K10000" s="10" t="inlineStr">
        <is>
          <t>N/A</t>
        </is>
      </c>
      <c r="L10000" s="10" t="inlineStr">
        <is>
          <t>Automation System Design, Robotic Programming, Machine Vision, PLC, Solution Design</t>
        </is>
      </c>
      <c r="M10000" s="10" t="inlineStr">
        <is>
          <t>Bonus, Others</t>
        </is>
      </c>
      <c r="N10000" s="11">
        <f>HYPERLINK("https://www.vietnamworks.com/senior-automation-solutions-engineer-urgent-2022104-jv","Xem chi tiết")</f>
        <v/>
      </c>
      <c r="O10000" s="10" t="n"/>
    </row>
    <row r="10001">
      <c r="B10001" s="7" t="n">
        <v>9999</v>
      </c>
      <c r="C10001" t="inlineStr">
        <is>
          <t>Kỹ Sư Cơ Khí</t>
        </is>
      </c>
      <c r="D10001" t="inlineStr">
        <is>
          <t>CÔNG TY TNHH THIẾT BỊ VINMACHINE</t>
        </is>
      </c>
      <c r="E10001" t="inlineStr">
        <is>
          <t>Thương lượng</t>
        </is>
      </c>
      <c r="F10001" t="inlineStr">
        <is>
          <t>Hà Nội</t>
        </is>
      </c>
      <c r="G10001" t="inlineStr">
        <is>
          <t>Nhân viên</t>
        </is>
      </c>
      <c r="H10001" t="inlineStr">
        <is>
          <t>11/03/2026</t>
        </is>
      </c>
      <c r="I10001" t="inlineStr">
        <is>
          <t>10/04/2026</t>
        </is>
      </c>
      <c r="J10001" t="inlineStr">
        <is>
          <t>17/03/2026</t>
        </is>
      </c>
      <c r="K10001" t="inlineStr">
        <is>
          <t>N/A</t>
        </is>
      </c>
      <c r="L10001" t="inlineStr">
        <is>
          <t>AutoCAD, Bóc Tách Bản Vẽ Thiết Kế, Gia Công Thiết Bị, Giám Sát Lắp Máy, Phần Mềm 3D</t>
        </is>
      </c>
      <c r="M10001" t="inlineStr">
        <is>
          <t>Bonus, Healthcare Plan, Training</t>
        </is>
      </c>
      <c r="N10001" s="8">
        <f>HYPERLINK("https://www.vietnamworks.com/ky-su-co-khi-2022134-jv","Xem chi tiết")</f>
        <v/>
      </c>
    </row>
    <row r="10002">
      <c r="B10002" s="9" t="n">
        <v>10000</v>
      </c>
      <c r="C10002" s="10" t="inlineStr">
        <is>
          <t>Digital Marketing Intern</t>
        </is>
      </c>
      <c r="D10002" s="10" t="inlineStr">
        <is>
          <t>Navigos Group</t>
        </is>
      </c>
      <c r="E10002" s="10" t="inlineStr">
        <is>
          <t>Thương lượng</t>
        </is>
      </c>
      <c r="F10002" s="10" t="inlineStr">
        <is>
          <t>Hồ Chí Minh</t>
        </is>
      </c>
      <c r="G10002" s="10" t="inlineStr">
        <is>
          <t>Thực tập sinh/Sinh viên</t>
        </is>
      </c>
      <c r="H10002" s="10" t="inlineStr">
        <is>
          <t>11/03/2026</t>
        </is>
      </c>
      <c r="I10002" s="10" t="inlineStr">
        <is>
          <t>10/04/2026</t>
        </is>
      </c>
      <c r="J10002" s="10" t="inlineStr">
        <is>
          <t>17/03/2026</t>
        </is>
      </c>
      <c r="K10002" s="10" t="inlineStr">
        <is>
          <t>N/A</t>
        </is>
      </c>
      <c r="L10002" s="10" t="inlineStr">
        <is>
          <t>Digital Marketing, Facebook Ads, Google Ads, Online Advertising, Tư duy logic tốt</t>
        </is>
      </c>
      <c r="M10002" s="10" t="inlineStr">
        <is>
          <t>Training</t>
        </is>
      </c>
      <c r="N10002" s="11">
        <f>HYPERLINK("https://www.vietnamworks.com/digital-marketing-intern-2022143-jv","Xem chi tiết")</f>
        <v/>
      </c>
      <c r="O10002" s="10" t="n"/>
    </row>
    <row r="10003">
      <c r="B10003" s="7" t="n">
        <v>10001</v>
      </c>
      <c r="C10003" t="inlineStr">
        <is>
          <t>Chuyên Viên Cao Cấp Sự Kiện Và Tài Trợ</t>
        </is>
      </c>
      <c r="D10003" t="inlineStr">
        <is>
          <t>CÔNG TY CỔ PHẦN MAT GROUP</t>
        </is>
      </c>
      <c r="E10003" t="inlineStr">
        <is>
          <t>Thương lượng</t>
        </is>
      </c>
      <c r="F10003" t="inlineStr">
        <is>
          <t>Hà Nội</t>
        </is>
      </c>
      <c r="G10003" t="inlineStr">
        <is>
          <t>Nhân viên</t>
        </is>
      </c>
      <c r="H10003" t="inlineStr">
        <is>
          <t>11/03/2026</t>
        </is>
      </c>
      <c r="I10003" t="inlineStr">
        <is>
          <t>10/04/2026</t>
        </is>
      </c>
      <c r="J10003" t="inlineStr">
        <is>
          <t>17/03/2026</t>
        </is>
      </c>
      <c r="K10003" t="inlineStr">
        <is>
          <t>N/A</t>
        </is>
      </c>
      <c r="L10003" t="inlineStr">
        <is>
          <t>Marketing Development, Event Management, Content Creation, Proposal Writing, English Communication</t>
        </is>
      </c>
      <c r="M10003" t="inlineStr">
        <is>
          <t>Bonus, Healthcare Plan, Paid Leave, Training, Laptop, Travel Opportunities, Others</t>
        </is>
      </c>
      <c r="N10003" s="8">
        <f>HYPERLINK("https://www.vietnamworks.com/chuyen-vien-cao-cap-su-kien-va-tai-tro-2022109-jv","Xem chi tiết")</f>
        <v/>
      </c>
    </row>
    <row r="10004">
      <c r="B10004" s="9" t="n">
        <v>10002</v>
      </c>
      <c r="C10004" s="10" t="inlineStr">
        <is>
          <t>Chuyên Viên Kinh Doanh B2B</t>
        </is>
      </c>
      <c r="D10004" s="10" t="inlineStr">
        <is>
          <t>SOUMAKI VIỆT NAM</t>
        </is>
      </c>
      <c r="E10004" s="10" t="inlineStr">
        <is>
          <t>Thương lượng</t>
        </is>
      </c>
      <c r="F10004" s="10" t="inlineStr">
        <is>
          <t>Hồ Chí Minh</t>
        </is>
      </c>
      <c r="G10004" s="10" t="inlineStr">
        <is>
          <t>Nhân viên</t>
        </is>
      </c>
      <c r="H10004" s="10" t="inlineStr">
        <is>
          <t>11/03/2026</t>
        </is>
      </c>
      <c r="I10004" s="10" t="inlineStr">
        <is>
          <t>10/04/2026</t>
        </is>
      </c>
      <c r="J10004" s="10" t="inlineStr">
        <is>
          <t>17/03/2026</t>
        </is>
      </c>
      <c r="K10004" s="10" t="inlineStr">
        <is>
          <t>N/A</t>
        </is>
      </c>
      <c r="L10004" s="10" t="inlineStr">
        <is>
          <t>B2B Sales, F&amp;B Business, Business Development, Bán Hàng, Kinh doanh F&amp;B</t>
        </is>
      </c>
      <c r="M10004" s="10" t="inlineStr">
        <is>
          <t>Bonus, Healthcare Plan, Paid Leave, Others</t>
        </is>
      </c>
      <c r="N10004" s="11">
        <f>HYPERLINK("https://www.vietnamworks.com/chuyen-vien-kinh-doanh-b2b--2022142-jv","Xem chi tiết")</f>
        <v/>
      </c>
      <c r="O10004" s="10" t="n"/>
    </row>
    <row r="10005">
      <c r="B10005" s="7" t="n">
        <v>10003</v>
      </c>
      <c r="C10005" t="inlineStr">
        <is>
          <t>Fund Administation Officer</t>
        </is>
      </c>
      <c r="D10005" t="inlineStr">
        <is>
          <t>First Trust ACPA Vietnam CO., LTD</t>
        </is>
      </c>
      <c r="E10005" t="inlineStr">
        <is>
          <t>Thương lượng</t>
        </is>
      </c>
      <c r="F10005" t="inlineStr">
        <is>
          <t>Hà Nội</t>
        </is>
      </c>
      <c r="G10005" t="inlineStr">
        <is>
          <t>Mới Tốt Nghiệp</t>
        </is>
      </c>
      <c r="H10005" t="inlineStr">
        <is>
          <t>11/03/2026</t>
        </is>
      </c>
      <c r="I10005" t="inlineStr">
        <is>
          <t>10/04/2026</t>
        </is>
      </c>
      <c r="J10005" t="inlineStr">
        <is>
          <t>17/03/2026</t>
        </is>
      </c>
      <c r="K10005" t="inlineStr">
        <is>
          <t>N/A</t>
        </is>
      </c>
      <c r="L10005" t="inlineStr">
        <is>
          <t>Financial Services, Fund Adminstration, Interpersonal Skills, Microsoft Excel, Time Management</t>
        </is>
      </c>
      <c r="M10005" t="inlineStr">
        <is>
          <t>Training, Others</t>
        </is>
      </c>
      <c r="N10005" s="8">
        <f>HYPERLINK("https://www.vietnamworks.com/fund-administation-officer-2022111-jv","Xem chi tiết")</f>
        <v/>
      </c>
    </row>
    <row r="10006">
      <c r="B10006" s="9" t="n">
        <v>10004</v>
      </c>
      <c r="C10006" s="10" t="inlineStr">
        <is>
          <t>Fabric Sourcing Specialist - Garment Industry</t>
        </is>
      </c>
      <c r="D10006" s="10" t="inlineStr">
        <is>
          <t>Sae-A Vietnam Company Limited</t>
        </is>
      </c>
      <c r="E10006" s="10" t="inlineStr">
        <is>
          <t>Thương lượng</t>
        </is>
      </c>
      <c r="F10006" s="10" t="inlineStr">
        <is>
          <t>Hồ Chí Minh</t>
        </is>
      </c>
      <c r="G10006" s="10" t="inlineStr">
        <is>
          <t>Nhân viên</t>
        </is>
      </c>
      <c r="H10006" s="10" t="inlineStr">
        <is>
          <t>11/03/2026</t>
        </is>
      </c>
      <c r="I10006" s="10" t="inlineStr">
        <is>
          <t>10/04/2026</t>
        </is>
      </c>
      <c r="J10006" s="10" t="inlineStr">
        <is>
          <t>17/03/2026</t>
        </is>
      </c>
      <c r="K10006" s="10" t="inlineStr">
        <is>
          <t>N/A</t>
        </is>
      </c>
      <c r="L10006" s="10" t="inlineStr">
        <is>
          <t>Bulk Production, Garment Sewing, Garment Sourcing, Fabric Merchandising, Purchasing</t>
        </is>
      </c>
      <c r="M10006" s="10" t="inlineStr">
        <is>
          <t>Bonus, Healthcare Plan, Others</t>
        </is>
      </c>
      <c r="N10006" s="11">
        <f>HYPERLINK("https://www.vietnamworks.com/fabric-sourcing-specialist-garment-industry-2022116-jv","Xem chi tiết")</f>
        <v/>
      </c>
      <c r="O10006" s="10" t="n"/>
    </row>
    <row r="10007">
      <c r="B10007" s="7" t="n">
        <v>10005</v>
      </c>
      <c r="C10007" t="inlineStr">
        <is>
          <t>Chuyên Viên Thiết Kế Đa Phương Tiện Truyền Thông (Creative Mulit Media Marketing)</t>
        </is>
      </c>
      <c r="D10007" t="inlineStr">
        <is>
          <t>CÔNG TY CỔ PHẦN GIẢI PHÁP ĐỊNH CƯ QUỐC TẾ</t>
        </is>
      </c>
      <c r="E10007" t="inlineStr">
        <is>
          <t>Thương lượng</t>
        </is>
      </c>
      <c r="F10007" t="inlineStr">
        <is>
          <t>Hồ Chí Minh</t>
        </is>
      </c>
      <c r="G10007" t="inlineStr">
        <is>
          <t>Nhân viên</t>
        </is>
      </c>
      <c r="H10007" t="inlineStr">
        <is>
          <t>11/03/2026</t>
        </is>
      </c>
      <c r="I10007" t="inlineStr">
        <is>
          <t>10/04/2026</t>
        </is>
      </c>
      <c r="J10007" t="inlineStr">
        <is>
          <t>17/03/2026</t>
        </is>
      </c>
      <c r="K10007" t="inlineStr">
        <is>
          <t>N/A</t>
        </is>
      </c>
      <c r="L10007" t="inlineStr">
        <is>
          <t>Branding Design, Dựng Video, Graphic Design 2D, Key Visual Design, Thiết Kế Hình Ảnh</t>
        </is>
      </c>
      <c r="M10007" t="inlineStr">
        <is>
          <t>Healthcare Plan, Others</t>
        </is>
      </c>
      <c r="N10007" s="8">
        <f>HYPERLINK("https://www.vietnamworks.com/chuyen-vien-thiet-ke-dja-phuong-tien-truyen-thong-creative-mulit-media-marketing-2022118-jv","Xem chi tiết")</f>
        <v/>
      </c>
    </row>
    <row r="10008">
      <c r="B10008" s="9" t="n">
        <v>10006</v>
      </c>
      <c r="C10008" s="10" t="inlineStr">
        <is>
          <t>Maintenance Staff (Nhân Viên Bảo Dưỡng)</t>
        </is>
      </c>
      <c r="D10008" s="10" t="inlineStr">
        <is>
          <t>Panasonic Appliances Vietnam</t>
        </is>
      </c>
      <c r="E10008" s="10" t="inlineStr">
        <is>
          <t>Thương lượng</t>
        </is>
      </c>
      <c r="F10008" s="10" t="inlineStr">
        <is>
          <t>Hưng Yên</t>
        </is>
      </c>
      <c r="G10008" s="10" t="inlineStr">
        <is>
          <t>Nhân viên</t>
        </is>
      </c>
      <c r="H10008" s="10" t="inlineStr">
        <is>
          <t>11/03/2026</t>
        </is>
      </c>
      <c r="I10008" s="10" t="inlineStr">
        <is>
          <t>10/04/2026</t>
        </is>
      </c>
      <c r="J10008" s="10" t="inlineStr">
        <is>
          <t>17/03/2026</t>
        </is>
      </c>
      <c r="K10008" s="10" t="inlineStr">
        <is>
          <t>N/A</t>
        </is>
      </c>
      <c r="L10008" s="10" t="inlineStr">
        <is>
          <t>Bảo Dưỡng Máy Móc, Đọc Hiểu Bản Vẽ Kỹ Thuật, MS Office, Lập Trình PLC, Kĩ Thuật Cơ Khí</t>
        </is>
      </c>
      <c r="M10008" s="10" t="inlineStr">
        <is>
          <t>Bonus, Healthcare Plan, Training</t>
        </is>
      </c>
      <c r="N10008" s="11">
        <f>HYPERLINK("https://www.vietnamworks.com/maintenance-staff-nhan-vien-bao-duong-2--2022135-jv","Xem chi tiết")</f>
        <v/>
      </c>
      <c r="O10008" s="10" t="n"/>
    </row>
    <row r="10009">
      <c r="B10009" s="7" t="n">
        <v>10007</v>
      </c>
      <c r="C10009" t="inlineStr">
        <is>
          <t>Kỹ Sư Tự Động Hóa</t>
        </is>
      </c>
      <c r="D10009" t="inlineStr">
        <is>
          <t>CÔNG TY TNHH THIẾT BỊ VINMACHINE</t>
        </is>
      </c>
      <c r="E10009" t="inlineStr">
        <is>
          <t>Thương lượng</t>
        </is>
      </c>
      <c r="F10009" t="inlineStr">
        <is>
          <t>Hà Nội</t>
        </is>
      </c>
      <c r="G10009" t="inlineStr">
        <is>
          <t>Nhân viên</t>
        </is>
      </c>
      <c r="H10009" t="inlineStr">
        <is>
          <t>11/03/2026</t>
        </is>
      </c>
      <c r="I10009" t="inlineStr">
        <is>
          <t>10/04/2026</t>
        </is>
      </c>
      <c r="J10009" t="inlineStr">
        <is>
          <t>17/03/2026</t>
        </is>
      </c>
      <c r="K10009" t="inlineStr">
        <is>
          <t>N/A</t>
        </is>
      </c>
      <c r="L10009" t="inlineStr">
        <is>
          <t>Cải Tiến Thiết Bị, Giám Sát Lắp Máy, Khảo Sát Dự Án, Nghiên Cứu Sản Phẩm, PLC</t>
        </is>
      </c>
      <c r="M10009" t="inlineStr">
        <is>
          <t>Bonus, Healthcare Plan, Training</t>
        </is>
      </c>
      <c r="N10009" s="8">
        <f>HYPERLINK("https://www.vietnamworks.com/ky-su-tu-djong-hoa-2022132-jv","Xem chi tiết")</f>
        <v/>
      </c>
    </row>
    <row r="10010">
      <c r="B10010" s="9" t="n">
        <v>10008</v>
      </c>
      <c r="C10010" s="10" t="inlineStr">
        <is>
          <t>Kỹ Sư Lập Trình CNC</t>
        </is>
      </c>
      <c r="D10010" s="10" t="inlineStr">
        <is>
          <t>CÔNG TY TNHH THIẾT BỊ VINMACHINE</t>
        </is>
      </c>
      <c r="E10010" s="10" t="inlineStr">
        <is>
          <t>Thương lượng</t>
        </is>
      </c>
      <c r="F10010" s="10" t="inlineStr">
        <is>
          <t>Hà Nội</t>
        </is>
      </c>
      <c r="G10010" s="10" t="inlineStr">
        <is>
          <t>Nhân viên</t>
        </is>
      </c>
      <c r="H10010" s="10" t="inlineStr">
        <is>
          <t>11/03/2026</t>
        </is>
      </c>
      <c r="I10010" s="10" t="inlineStr">
        <is>
          <t>10/04/2026</t>
        </is>
      </c>
      <c r="J10010" s="10" t="inlineStr">
        <is>
          <t>17/03/2026</t>
        </is>
      </c>
      <c r="K10010" s="10" t="inlineStr">
        <is>
          <t>N/A</t>
        </is>
      </c>
      <c r="L10010" s="10" t="inlineStr">
        <is>
          <t>Bóc Tách Bản Vẽ Chế Tạo, Cải Tiến Sản Phẩm, Gia Công Cơ Khí, Lập Trình CNC, Phần Mềm CAM</t>
        </is>
      </c>
      <c r="M10010" s="10" t="inlineStr">
        <is>
          <t>Bonus, Healthcare Plan, Others</t>
        </is>
      </c>
      <c r="N10010" s="11">
        <f>HYPERLINK("https://www.vietnamworks.com/ky-su-lap-trinh-cnc-2022136-jv","Xem chi tiết")</f>
        <v/>
      </c>
      <c r="O10010" s="10" t="n"/>
    </row>
    <row r="10011">
      <c r="B10011" s="7" t="n">
        <v>10009</v>
      </c>
      <c r="C10011" t="inlineStr">
        <is>
          <t>Nhân Viên Hành Chính Nhân Sự - HR &amp; Admin Executive (F&amp;B)</t>
        </is>
      </c>
      <c r="D10011" t="inlineStr">
        <is>
          <t>SOUMAKI VIỆT NAM</t>
        </is>
      </c>
      <c r="E10011" t="inlineStr">
        <is>
          <t>Thương lượng</t>
        </is>
      </c>
      <c r="F10011" t="inlineStr">
        <is>
          <t>Hồ Chí Minh</t>
        </is>
      </c>
      <c r="G10011" t="inlineStr">
        <is>
          <t>Nhân viên</t>
        </is>
      </c>
      <c r="H10011" t="inlineStr">
        <is>
          <t>11/03/2026</t>
        </is>
      </c>
      <c r="I10011" t="inlineStr">
        <is>
          <t>10/04/2026</t>
        </is>
      </c>
      <c r="J10011" t="inlineStr">
        <is>
          <t>17/03/2026</t>
        </is>
      </c>
      <c r="K10011" t="inlineStr">
        <is>
          <t>N/A</t>
        </is>
      </c>
      <c r="L10011" t="inlineStr">
        <is>
          <t>Quản Trị Nhân Lực, Nhân Sự, Nhân sự C&amp;B, Nhân Sự Tổng Hợp, Quản Trị Nhân Sự</t>
        </is>
      </c>
      <c r="M10011" t="inlineStr">
        <is>
          <t>Bonus, Healthcare Plan, Paid Leave, Others</t>
        </is>
      </c>
      <c r="N10011" s="8">
        <f>HYPERLINK("https://www.vietnamworks.com/nhan-vien-hanh-chinh-nhan-su-hr-and-admin-executive-fandb-2022144-jv","Xem chi tiết")</f>
        <v/>
      </c>
    </row>
    <row r="10012">
      <c r="B10012" s="9" t="n">
        <v>10010</v>
      </c>
      <c r="C10012" s="10" t="inlineStr">
        <is>
          <t>Kế Toán Trưởng Kiêm Nhân Sự Ngành Điện Năng Lượng Mặt Trời</t>
        </is>
      </c>
      <c r="D10012" s="10" t="inlineStr">
        <is>
          <t>cty TNHH năng lượng mới Pu Yue Việt Nam</t>
        </is>
      </c>
      <c r="E10012" s="10" t="inlineStr">
        <is>
          <t>Tới 30tr ₫/tháng</t>
        </is>
      </c>
      <c r="F10012" s="10" t="inlineStr">
        <is>
          <t>Hà Nội</t>
        </is>
      </c>
      <c r="G10012" s="10" t="inlineStr">
        <is>
          <t>Trưởng phòng</t>
        </is>
      </c>
      <c r="H10012" s="10" t="inlineStr">
        <is>
          <t>11/03/2026</t>
        </is>
      </c>
      <c r="I10012" s="10" t="inlineStr">
        <is>
          <t>10/04/2026</t>
        </is>
      </c>
      <c r="J10012" s="10" t="inlineStr">
        <is>
          <t>17/03/2026</t>
        </is>
      </c>
      <c r="K10012" s="10" t="inlineStr">
        <is>
          <t>N/A</t>
        </is>
      </c>
      <c r="L10012" s="10" t="inlineStr">
        <is>
          <t>Kế Toán, Tài Chính, Nhân Sự, Excel, Giao Tiếp</t>
        </is>
      </c>
      <c r="M10012" s="10" t="inlineStr">
        <is>
          <t>Bonus, Healthcare Plan, Paid Leave, Canteen, Others</t>
        </is>
      </c>
      <c r="N10012" s="11">
        <f>HYPERLINK("https://www.vietnamworks.com/ke-toan-truong-kiem-nhan-su-nganh-djien-nang-luong-mat-troi-2022106-jv","Xem chi tiết")</f>
        <v/>
      </c>
      <c r="O10012" s="10" t="n"/>
    </row>
    <row r="10013">
      <c r="B10013" s="7" t="n">
        <v>10011</v>
      </c>
      <c r="C10013" t="inlineStr">
        <is>
          <t>Nhân Viên Kinh Doanh/ Sales Executive (Tiếng Trung)</t>
        </is>
      </c>
      <c r="D10013" t="inlineStr">
        <is>
          <t>CÔNG TY TNHH THƯƠNG MẠI TÀI NGUYÊN THIÊN NHIÊN VIỆT NAM</t>
        </is>
      </c>
      <c r="E10013" t="inlineStr">
        <is>
          <t>Thương lượng</t>
        </is>
      </c>
      <c r="F10013" t="inlineStr">
        <is>
          <t>Hồ Chí Minh</t>
        </is>
      </c>
      <c r="G10013" t="inlineStr">
        <is>
          <t>Nhân viên</t>
        </is>
      </c>
      <c r="H10013" t="inlineStr">
        <is>
          <t>11/03/2026</t>
        </is>
      </c>
      <c r="I10013" t="inlineStr">
        <is>
          <t>10/04/2026</t>
        </is>
      </c>
      <c r="J10013" t="inlineStr">
        <is>
          <t>17/03/2026</t>
        </is>
      </c>
      <c r="K10013" t="inlineStr">
        <is>
          <t>N/A</t>
        </is>
      </c>
      <c r="L10013" t="inlineStr">
        <is>
          <t>Chinese, Kinh Doanh, Sales, Tiếng Trung, HSK5</t>
        </is>
      </c>
      <c r="M10013" t="inlineStr">
        <is>
          <t>Bonus, Healthcare Plan, Training, Laptop, Others</t>
        </is>
      </c>
      <c r="N10013" s="8">
        <f>HYPERLINK("https://www.vietnamworks.com/nhan-vien-kinh-doanh-sales-executive-tieng-trung-2022140-jv","Xem chi tiết")</f>
        <v/>
      </c>
    </row>
    <row r="10014">
      <c r="B10014" s="9" t="n">
        <v>10012</v>
      </c>
      <c r="C10014" s="10" t="inlineStr">
        <is>
          <t>Chief Accountant - Major Manufacturer</t>
        </is>
      </c>
      <c r="D10014" s="10" t="inlineStr">
        <is>
          <t>Michael Page Vietnam</t>
        </is>
      </c>
      <c r="E10014" s="10" t="inlineStr">
        <is>
          <t>Thương lượng</t>
        </is>
      </c>
      <c r="F10014" s="10" t="inlineStr">
        <is>
          <t>Hồ Chí Minh</t>
        </is>
      </c>
      <c r="G10014" s="10" t="inlineStr">
        <is>
          <t>Trưởng phòng</t>
        </is>
      </c>
      <c r="H10014" s="10" t="inlineStr">
        <is>
          <t>11/03/2026</t>
        </is>
      </c>
      <c r="I10014" s="10" t="inlineStr">
        <is>
          <t>10/04/2026</t>
        </is>
      </c>
      <c r="J10014" s="10" t="inlineStr">
        <is>
          <t>17/03/2026</t>
        </is>
      </c>
      <c r="K10014" s="10" t="inlineStr">
        <is>
          <t>N/A</t>
        </is>
      </c>
      <c r="L10014" s="10" t="inlineStr">
        <is>
          <t>Accounting</t>
        </is>
      </c>
      <c r="M10014" s="10" t="inlineStr">
        <is>
          <t>Bonus</t>
        </is>
      </c>
      <c r="N10014" s="11">
        <f>HYPERLINK("https://www.vietnamworks.com/chief-accountant-major-manufacturer-2022131-jv","Xem chi tiết")</f>
        <v/>
      </c>
      <c r="O10014" s="10" t="n"/>
    </row>
    <row r="10015">
      <c r="B10015" s="7" t="n">
        <v>10013</v>
      </c>
      <c r="C10015" t="inlineStr">
        <is>
          <t>Chuyên Viên Cao Cấp Dịch Vụ Pháp Lý Về Vận Hành và Dịch Vụ Quản Trị Doanh Nghiệp</t>
        </is>
      </c>
      <c r="D10015" t="inlineStr">
        <is>
          <t>Ngân Hàng TMCP Quốc Tế Việt Nam (VIB)</t>
        </is>
      </c>
      <c r="E10015" t="inlineStr">
        <is>
          <t>Thương lượng</t>
        </is>
      </c>
      <c r="F10015" t="inlineStr">
        <is>
          <t>Hồ Chí Minh, Hà Nội</t>
        </is>
      </c>
      <c r="G10015" t="inlineStr">
        <is>
          <t>Nhân viên</t>
        </is>
      </c>
      <c r="H10015" t="inlineStr">
        <is>
          <t>11/03/2026</t>
        </is>
      </c>
      <c r="I10015" t="inlineStr">
        <is>
          <t>10/04/2026</t>
        </is>
      </c>
      <c r="J10015" t="inlineStr">
        <is>
          <t>17/03/2026</t>
        </is>
      </c>
      <c r="K10015" t="inlineStr">
        <is>
          <t>N/A</t>
        </is>
      </c>
      <c r="L10015" t="inlineStr">
        <is>
          <t>Kỹ năng nắm bắt và giải quyết vấn đề, Luật Kinh Doanh Thương Mại, Tư Vấn Luật Doanh Nghệp, Tư Vấn Pháp Lý</t>
        </is>
      </c>
      <c r="M10015" t="inlineStr">
        <is>
          <t>Bonus</t>
        </is>
      </c>
      <c r="N10015" s="8">
        <f>HYPERLINK("https://www.vietnamworks.com/chuyen-vien-cao-cap-dich-vu-phap-ly-ve-van-hanh-va-dich-vu-quan-tri-doanh-nghiep-2022141-jv","Xem chi tiết")</f>
        <v/>
      </c>
    </row>
    <row r="10016">
      <c r="B10016" s="9" t="n">
        <v>10014</v>
      </c>
      <c r="C10016" s="10" t="inlineStr">
        <is>
          <t>Chuyên Viên (Kỹ Sư) Dữ Liệu</t>
        </is>
      </c>
      <c r="D10016" s="10" t="inlineStr">
        <is>
          <t>Công Ty Cổ Phần Thanh Toán Quốc Gia Việt Nam</t>
        </is>
      </c>
      <c r="E10016" s="10" t="inlineStr">
        <is>
          <t>Thương lượng</t>
        </is>
      </c>
      <c r="F10016" s="10" t="inlineStr">
        <is>
          <t>Hà Nội</t>
        </is>
      </c>
      <c r="G10016" s="10" t="inlineStr">
        <is>
          <t>Nhân viên</t>
        </is>
      </c>
      <c r="H10016" s="10" t="inlineStr">
        <is>
          <t>11/03/2026</t>
        </is>
      </c>
      <c r="I10016" s="10" t="inlineStr">
        <is>
          <t>10/04/2026</t>
        </is>
      </c>
      <c r="J10016" s="10" t="inlineStr">
        <is>
          <t>17/03/2026</t>
        </is>
      </c>
      <c r="K10016" s="10" t="inlineStr">
        <is>
          <t>N/A</t>
        </is>
      </c>
      <c r="L10016" s="10" t="inlineStr">
        <is>
          <t>Phân tích dữ liệu, Quản Trị Dữ Liệu, Big Data, SQL, Kỹ năng giao tiêp</t>
        </is>
      </c>
      <c r="M10016" s="10" t="inlineStr">
        <is>
          <t>Bonus, Healthcare Plan, Team Activities</t>
        </is>
      </c>
      <c r="N10016" s="11">
        <f>HYPERLINK("https://www.vietnamworks.com/chuyen-vien-ky-su-du-lieu-2022108-jv","Xem chi tiết")</f>
        <v/>
      </c>
      <c r="O10016" s="10" t="n"/>
    </row>
    <row r="10017">
      <c r="B10017" s="7" t="n">
        <v>10015</v>
      </c>
      <c r="C10017" t="inlineStr">
        <is>
          <t>Creative Marketing Manager (F&amp;B)</t>
        </is>
      </c>
      <c r="D10017" t="inlineStr">
        <is>
          <t>SOUMAKI VIỆT NAM</t>
        </is>
      </c>
      <c r="E10017" t="inlineStr">
        <is>
          <t>Thương lượng</t>
        </is>
      </c>
      <c r="F10017" t="inlineStr">
        <is>
          <t>Hồ Chí Minh</t>
        </is>
      </c>
      <c r="G10017" t="inlineStr">
        <is>
          <t>Trưởng phòng</t>
        </is>
      </c>
      <c r="H10017" t="inlineStr">
        <is>
          <t>11/03/2026</t>
        </is>
      </c>
      <c r="I10017" t="inlineStr">
        <is>
          <t>10/04/2026</t>
        </is>
      </c>
      <c r="J10017" t="inlineStr">
        <is>
          <t>17/03/2026</t>
        </is>
      </c>
      <c r="K10017" t="inlineStr">
        <is>
          <t>N/A</t>
        </is>
      </c>
      <c r="L10017" t="inlineStr">
        <is>
          <t>Digital Marketing, Marketing Strategy, Atl And Btl Strategies, F&amp;B Marketing, Social Media Marketing</t>
        </is>
      </c>
      <c r="M10017" t="inlineStr">
        <is>
          <t>Bonus, Healthcare Plan, Paid Leave, Others</t>
        </is>
      </c>
      <c r="N10017" s="8">
        <f>HYPERLINK("https://www.vietnamworks.com/creative-marketing-manager-fandb-2022146-jv","Xem chi tiết")</f>
        <v/>
      </c>
    </row>
    <row r="10018">
      <c r="B10018" s="9" t="n">
        <v>10016</v>
      </c>
      <c r="C10018" s="10" t="inlineStr">
        <is>
          <t>Project Development Junior Manager</t>
        </is>
      </c>
      <c r="D10018" s="10" t="inlineStr">
        <is>
          <t>Central Retail in Vietnam</t>
        </is>
      </c>
      <c r="E10018" s="10" t="inlineStr">
        <is>
          <t>Thương lượng</t>
        </is>
      </c>
      <c r="F10018" s="10" t="inlineStr">
        <is>
          <t>Hồ Chí Minh</t>
        </is>
      </c>
      <c r="G10018" s="10" t="inlineStr">
        <is>
          <t>Nhân viên</t>
        </is>
      </c>
      <c r="H10018" s="10" t="inlineStr">
        <is>
          <t>11/03/2026</t>
        </is>
      </c>
      <c r="I10018" s="10" t="inlineStr">
        <is>
          <t>10/04/2026</t>
        </is>
      </c>
      <c r="J10018" s="10" t="inlineStr">
        <is>
          <t>17/03/2026</t>
        </is>
      </c>
      <c r="K10018" s="10" t="inlineStr">
        <is>
          <t>N/A</t>
        </is>
      </c>
      <c r="L10018" s="10" t="inlineStr">
        <is>
          <t>Project Development, Real Estate Law, Real Estate Projects, Retail Expansion</t>
        </is>
      </c>
      <c r="M10018" s="10" t="inlineStr">
        <is>
          <t>Bonus, Healthcare Plan</t>
        </is>
      </c>
      <c r="N10018" s="11">
        <f>HYPERLINK("https://www.vietnamworks.com/project-development-junior-manager-2022150-jv","Xem chi tiết")</f>
        <v/>
      </c>
      <c r="O10018" s="10" t="n"/>
    </row>
    <row r="10019">
      <c r="B10019" s="7" t="n">
        <v>10017</v>
      </c>
      <c r="C10019" t="inlineStr">
        <is>
          <t>Logistics Officer/nhân Viên Kho Vận Xuất Nhập Khẩu</t>
        </is>
      </c>
      <c r="D10019" t="inlineStr">
        <is>
          <t>KIRBY SOUTHEAST ASIA CO., LTD</t>
        </is>
      </c>
      <c r="E10019" t="inlineStr">
        <is>
          <t>Thương lượng</t>
        </is>
      </c>
      <c r="F10019" t="inlineStr">
        <is>
          <t>Đồng Nai</t>
        </is>
      </c>
      <c r="G10019" t="inlineStr">
        <is>
          <t>Nhân viên</t>
        </is>
      </c>
      <c r="H10019" t="inlineStr">
        <is>
          <t>11/03/2026</t>
        </is>
      </c>
      <c r="I10019" t="inlineStr">
        <is>
          <t>10/04/2026</t>
        </is>
      </c>
      <c r="J10019" t="inlineStr">
        <is>
          <t>17/03/2026</t>
        </is>
      </c>
      <c r="K10019" t="inlineStr">
        <is>
          <t>N/A</t>
        </is>
      </c>
      <c r="L10019" t="inlineStr">
        <is>
          <t>Logistics, Import-Export, Customs declaration</t>
        </is>
      </c>
      <c r="M10019" t="inlineStr">
        <is>
          <t>Bonus, Healthcare Plan, Training</t>
        </is>
      </c>
      <c r="N10019" s="8">
        <f>HYPERLINK("https://www.vietnamworks.com/logistics-officer-nhan-vien-kho-van-xuat-nhap-khau-2022157-jv","Xem chi tiết")</f>
        <v/>
      </c>
    </row>
    <row r="10020">
      <c r="B10020" s="9" t="n">
        <v>10018</v>
      </c>
      <c r="C10020" s="10" t="inlineStr">
        <is>
          <t>Kế Toán Tổng Hợp</t>
        </is>
      </c>
      <c r="D10020" s="10" t="inlineStr">
        <is>
          <t>Công Ty Cổ Phần DNP HOLDING</t>
        </is>
      </c>
      <c r="E10020" s="10" t="inlineStr">
        <is>
          <t>$$ 700-1,200 /tháng</t>
        </is>
      </c>
      <c r="F10020" s="10" t="inlineStr">
        <is>
          <t>Đồng Nai, Bà Rịa - Vũng Tàu</t>
        </is>
      </c>
      <c r="G10020" s="10" t="inlineStr">
        <is>
          <t>Nhân viên</t>
        </is>
      </c>
      <c r="H10020" s="10" t="inlineStr">
        <is>
          <t>11/03/2026</t>
        </is>
      </c>
      <c r="I10020" s="10" t="inlineStr">
        <is>
          <t>10/04/2026</t>
        </is>
      </c>
      <c r="J10020" s="10" t="inlineStr">
        <is>
          <t>17/03/2026</t>
        </is>
      </c>
      <c r="K10020" s="10" t="inlineStr">
        <is>
          <t>N/A</t>
        </is>
      </c>
      <c r="L10020" s="10" t="inlineStr">
        <is>
          <t>Tài Chính, Kiểm Toán, Kế Toán Tổng Hợp, Kế Toán, Báo Cáo Tài Chính</t>
        </is>
      </c>
      <c r="M10020" s="10" t="inlineStr">
        <is>
          <t>Healthcare Plan, Awards</t>
        </is>
      </c>
      <c r="N10020" s="11">
        <f>HYPERLINK("https://www.vietnamworks.com/ke-toan-tong-hop--2022160-jv","Xem chi tiết")</f>
        <v/>
      </c>
      <c r="O10020" s="10" t="n"/>
    </row>
    <row r="10021">
      <c r="B10021" s="7" t="n">
        <v>10019</v>
      </c>
      <c r="C10021" t="inlineStr">
        <is>
          <t>Kế Toán Tổng Hợp</t>
        </is>
      </c>
      <c r="D10021" t="inlineStr">
        <is>
          <t>CÔNG TY CỔ PHẦN XÂY DỰNG ENTIZ</t>
        </is>
      </c>
      <c r="E10021" t="inlineStr">
        <is>
          <t>22tr-28tr ₫/tháng</t>
        </is>
      </c>
      <c r="F10021" t="inlineStr">
        <is>
          <t>Hà Nội</t>
        </is>
      </c>
      <c r="G10021" t="inlineStr">
        <is>
          <t>Nhân viên</t>
        </is>
      </c>
      <c r="H10021" t="inlineStr">
        <is>
          <t>11/03/2026</t>
        </is>
      </c>
      <c r="I10021" t="inlineStr">
        <is>
          <t>10/04/2026</t>
        </is>
      </c>
      <c r="J10021" t="inlineStr">
        <is>
          <t>17/03/2026</t>
        </is>
      </c>
      <c r="K10021" t="inlineStr">
        <is>
          <t>N/A</t>
        </is>
      </c>
      <c r="L10021" t="inlineStr">
        <is>
          <t>N/A</t>
        </is>
      </c>
      <c r="M10021" t="inlineStr">
        <is>
          <t>Bonus, Training, Others</t>
        </is>
      </c>
      <c r="N10021" s="8">
        <f>HYPERLINK("https://www.vietnamworks.com/ke-toan-tong-hop-2022155-jv","Xem chi tiết")</f>
        <v/>
      </c>
    </row>
    <row r="10022">
      <c r="B10022" s="9" t="n">
        <v>10020</v>
      </c>
      <c r="C10022" s="10" t="inlineStr">
        <is>
          <t>Medical Communication Manager</t>
        </is>
      </c>
      <c r="D10022" s="10" t="inlineStr">
        <is>
          <t>Otsuka Nutraceutical Vietnam Co.,ltd.</t>
        </is>
      </c>
      <c r="E10022" s="10" t="inlineStr">
        <is>
          <t>Thương lượng</t>
        </is>
      </c>
      <c r="F10022" s="10" t="inlineStr">
        <is>
          <t>Hồ Chí Minh</t>
        </is>
      </c>
      <c r="G10022" s="10" t="inlineStr">
        <is>
          <t>Trưởng phòng</t>
        </is>
      </c>
      <c r="H10022" s="10" t="inlineStr">
        <is>
          <t>11/03/2026</t>
        </is>
      </c>
      <c r="I10022" s="10" t="inlineStr">
        <is>
          <t>10/04/2026</t>
        </is>
      </c>
      <c r="J10022" s="10" t="inlineStr">
        <is>
          <t>17/03/2026</t>
        </is>
      </c>
      <c r="K10022" s="10" t="inlineStr">
        <is>
          <t>N/A</t>
        </is>
      </c>
      <c r="L10022" s="10" t="inlineStr">
        <is>
          <t>Medical background, Presentation Skills, Strategy Planning, Team Management Skills</t>
        </is>
      </c>
      <c r="M10022" s="10" t="inlineStr">
        <is>
          <t>Paid Leave, Training, Laptop</t>
        </is>
      </c>
      <c r="N10022" s="11">
        <f>HYPERLINK("https://www.vietnamworks.com/medical-communication-manager-2022151-jv","Xem chi tiết")</f>
        <v/>
      </c>
      <c r="O10022" s="10" t="n"/>
    </row>
    <row r="10023">
      <c r="B10023" s="7" t="n">
        <v>10021</v>
      </c>
      <c r="C10023" t="inlineStr">
        <is>
          <t>HR Staff (C&amp;B)</t>
        </is>
      </c>
      <c r="D10023" t="inlineStr">
        <is>
          <t>Panasonic Appliances Vietnam</t>
        </is>
      </c>
      <c r="E10023" t="inlineStr">
        <is>
          <t>Thương lượng</t>
        </is>
      </c>
      <c r="F10023" t="inlineStr">
        <is>
          <t>Hà Nội</t>
        </is>
      </c>
      <c r="G10023" t="inlineStr">
        <is>
          <t>Nhân viên</t>
        </is>
      </c>
      <c r="H10023" t="inlineStr">
        <is>
          <t>11/03/2026</t>
        </is>
      </c>
      <c r="I10023" t="inlineStr">
        <is>
          <t>10/04/2026</t>
        </is>
      </c>
      <c r="J10023" t="inlineStr">
        <is>
          <t>17/03/2026</t>
        </is>
      </c>
      <c r="K10023" t="inlineStr">
        <is>
          <t>N/A</t>
        </is>
      </c>
      <c r="L10023" t="inlineStr">
        <is>
          <t>Nhân Sự, Chấm Công, Admin, Bảo Hiểm, Lương &amp; Phúc lợi</t>
        </is>
      </c>
      <c r="M10023" t="inlineStr">
        <is>
          <t>Bonus, Healthcare Plan, Transportation</t>
        </is>
      </c>
      <c r="N10023" s="8">
        <f>HYPERLINK("https://www.vietnamworks.com/hr-staff-c-b--2022174-jv","Xem chi tiết")</f>
        <v/>
      </c>
    </row>
    <row r="10024">
      <c r="B10024" s="9" t="n">
        <v>10022</v>
      </c>
      <c r="C10024" s="10" t="inlineStr">
        <is>
          <t>Trưởng Phòng Mua Hàng Thực Phẩm</t>
        </is>
      </c>
      <c r="D10024" s="10" t="inlineStr">
        <is>
          <t>TẬP ĐOÀN HẢI SẢN HOÀNG GIA</t>
        </is>
      </c>
      <c r="E10024" s="10" t="inlineStr">
        <is>
          <t>Thương lượng</t>
        </is>
      </c>
      <c r="F10024" s="10" t="inlineStr">
        <is>
          <t>Hồ Chí Minh</t>
        </is>
      </c>
      <c r="G10024" s="10" t="inlineStr">
        <is>
          <t>Trưởng phòng</t>
        </is>
      </c>
      <c r="H10024" s="10" t="inlineStr">
        <is>
          <t>11/03/2026</t>
        </is>
      </c>
      <c r="I10024" s="10" t="inlineStr">
        <is>
          <t>10/04/2026</t>
        </is>
      </c>
      <c r="J10024" s="10" t="inlineStr">
        <is>
          <t>17/03/2026</t>
        </is>
      </c>
      <c r="K10024" s="10" t="inlineStr">
        <is>
          <t>N/A</t>
        </is>
      </c>
      <c r="L10024" s="10" t="inlineStr">
        <is>
          <t>Gia Công Áp Lực, Phân Tích Chi Phí, Quản Lý Mua Hàng, Quản Lý Đội Nhóm, Đàm Phán</t>
        </is>
      </c>
      <c r="M10024" s="10" t="inlineStr">
        <is>
          <t>Bonus, Healthcare Plan, Laptop, Team Activities, Others</t>
        </is>
      </c>
      <c r="N10024" s="11">
        <f>HYPERLINK("https://www.vietnamworks.com/truong-phong-mua-hang-thuc-pham-2022162-jv","Xem chi tiết")</f>
        <v/>
      </c>
      <c r="O10024" s="10" t="n"/>
    </row>
    <row r="10025">
      <c r="B10025" s="7" t="n">
        <v>10023</v>
      </c>
      <c r="C10025" t="inlineStr">
        <is>
          <t>Sales Executive(US-UK Market)</t>
        </is>
      </c>
      <c r="D10025" t="inlineStr">
        <is>
          <t>CÔNG TY CỔ PHẦN NGHỆ THUẬT QUỐC TẾ Á CHÂU</t>
        </is>
      </c>
      <c r="E10025" t="inlineStr">
        <is>
          <t>10tr-50tr ₫/tháng</t>
        </is>
      </c>
      <c r="F10025" t="inlineStr">
        <is>
          <t>Hà Nội</t>
        </is>
      </c>
      <c r="G10025" t="inlineStr">
        <is>
          <t>Nhân viên</t>
        </is>
      </c>
      <c r="H10025" t="inlineStr">
        <is>
          <t>03/02/2025</t>
        </is>
      </c>
      <c r="I10025" t="inlineStr">
        <is>
          <t>11/04/2026</t>
        </is>
      </c>
      <c r="J10025" t="inlineStr">
        <is>
          <t>17/03/2026</t>
        </is>
      </c>
      <c r="K10025" t="inlineStr">
        <is>
          <t>N/A</t>
        </is>
      </c>
      <c r="L10025" t="inlineStr">
        <is>
          <t>Tiếng Anh Ielts ~ 6.0</t>
        </is>
      </c>
      <c r="M10025" t="inlineStr">
        <is>
          <t>Bonus, Healthcare Plan, Paid Leave, Training, Travel Opportunities</t>
        </is>
      </c>
      <c r="N10025" s="8">
        <f>HYPERLINK("https://www.vietnamworks.com/sales-executive-us-uk-market-1864209-jv","Xem chi tiết")</f>
        <v/>
      </c>
    </row>
    <row r="10026">
      <c r="B10026" s="9" t="n">
        <v>10024</v>
      </c>
      <c r="C10026" s="10" t="inlineStr">
        <is>
          <t>Master Data &amp; Access Management Specialist</t>
        </is>
      </c>
      <c r="D10026" s="10" t="inlineStr">
        <is>
          <t>ECS Group</t>
        </is>
      </c>
      <c r="E10026" s="10" t="inlineStr">
        <is>
          <t>Từ 20tr ₫/tháng</t>
        </is>
      </c>
      <c r="F10026" s="10" t="inlineStr">
        <is>
          <t>Hồ Chí Minh</t>
        </is>
      </c>
      <c r="G10026" s="10" t="inlineStr">
        <is>
          <t>Nhân viên</t>
        </is>
      </c>
      <c r="H10026" s="10" t="inlineStr">
        <is>
          <t>11/03/2026</t>
        </is>
      </c>
      <c r="I10026" s="10" t="inlineStr">
        <is>
          <t>10/04/2026</t>
        </is>
      </c>
      <c r="J10026" s="10" t="inlineStr">
        <is>
          <t>17/03/2026</t>
        </is>
      </c>
      <c r="K10026" s="10" t="inlineStr">
        <is>
          <t>N/A</t>
        </is>
      </c>
      <c r="L10026" s="10" t="inlineStr">
        <is>
          <t>Communication Skills, Data Management, Data Quality Assessment, Master Data Management, Microsoft Dynamics 365</t>
        </is>
      </c>
      <c r="M10026" s="10" t="inlineStr">
        <is>
          <t>Bonus, Healthcare Plan, Paid Leave, Team Activities, Others</t>
        </is>
      </c>
      <c r="N10026" s="11">
        <f>HYPERLINK("https://www.vietnamworks.com/master-data-and-access-management-specialist-2022165-jv","Xem chi tiết")</f>
        <v/>
      </c>
      <c r="O10026" s="10" t="n"/>
    </row>
    <row r="10027">
      <c r="B10027" s="7" t="n">
        <v>10025</v>
      </c>
      <c r="C10027" t="inlineStr">
        <is>
          <t>Purchasing Specialist</t>
        </is>
      </c>
      <c r="D10027" t="inlineStr">
        <is>
          <t>Công Ty TNHH TLT Electronics Vietnam</t>
        </is>
      </c>
      <c r="E10027" t="inlineStr">
        <is>
          <t>Thương lượng</t>
        </is>
      </c>
      <c r="F10027" t="inlineStr">
        <is>
          <t>Tây Ninh</t>
        </is>
      </c>
      <c r="G10027" t="inlineStr">
        <is>
          <t>Nhân viên</t>
        </is>
      </c>
      <c r="H10027" t="inlineStr">
        <is>
          <t>11/03/2026</t>
        </is>
      </c>
      <c r="I10027" t="inlineStr">
        <is>
          <t>10/04/2026</t>
        </is>
      </c>
      <c r="J10027" t="inlineStr">
        <is>
          <t>17/03/2026</t>
        </is>
      </c>
      <c r="K10027" t="inlineStr">
        <is>
          <t>N/A</t>
        </is>
      </c>
      <c r="L10027" t="inlineStr">
        <is>
          <t>ERP Systems, Logistics, Negotiation Skills, Purchasing Processes, Supplier Negotiation</t>
        </is>
      </c>
      <c r="M10027" t="inlineStr">
        <is>
          <t>Bonus, Transportation, Canteen, Others</t>
        </is>
      </c>
      <c r="N10027" s="8">
        <f>HYPERLINK("https://www.vietnamworks.com/purchasing-specialist-2022170-jv","Xem chi tiết")</f>
        <v/>
      </c>
    </row>
    <row r="10028">
      <c r="B10028" s="9" t="n">
        <v>10026</v>
      </c>
      <c r="C10028" s="10" t="inlineStr">
        <is>
          <t>Họa Viên Kết Cấu | Structural Draftsman</t>
        </is>
      </c>
      <c r="D10028" s="10" t="inlineStr">
        <is>
          <t>Công Ty TNHH Enspan (Vietnam)</t>
        </is>
      </c>
      <c r="E10028" s="10" t="inlineStr">
        <is>
          <t>Thương lượng</t>
        </is>
      </c>
      <c r="F10028" s="10" t="inlineStr">
        <is>
          <t>Hồ Chí Minh, Hà Nội</t>
        </is>
      </c>
      <c r="G10028" s="10" t="inlineStr">
        <is>
          <t>Nhân viên</t>
        </is>
      </c>
      <c r="H10028" s="10" t="inlineStr">
        <is>
          <t>11/03/2026</t>
        </is>
      </c>
      <c r="I10028" s="10" t="inlineStr">
        <is>
          <t>10/04/2026</t>
        </is>
      </c>
      <c r="J10028" s="10" t="inlineStr">
        <is>
          <t>17/03/2026</t>
        </is>
      </c>
      <c r="K10028" s="10" t="inlineStr">
        <is>
          <t>N/A</t>
        </is>
      </c>
      <c r="L10028" s="10" t="inlineStr">
        <is>
          <t>Xây Dựng, Kết Cấu Xây Dựng, AutoCAD, Structural Design, Engineering Structural</t>
        </is>
      </c>
      <c r="M10028" s="10" t="inlineStr">
        <is>
          <t>Bonus, Healthcare Plan, Paid Leave</t>
        </is>
      </c>
      <c r="N10028" s="11">
        <f>HYPERLINK("https://www.vietnamworks.com/hoa-vien-ket-cau-structural-draftsman--2021780-jv","Xem chi tiết")</f>
        <v/>
      </c>
      <c r="O10028" s="10" t="n"/>
    </row>
    <row r="10029">
      <c r="B10029" s="7" t="n">
        <v>10027</v>
      </c>
      <c r="C10029" t="inlineStr">
        <is>
          <t>Trưởng Phòng Xuất Nhập Khẩu</t>
        </is>
      </c>
      <c r="D10029" t="inlineStr">
        <is>
          <t>TẬP ĐOÀN HẢI SẢN HOÀNG GIA</t>
        </is>
      </c>
      <c r="E10029" t="inlineStr">
        <is>
          <t>Thương lượng</t>
        </is>
      </c>
      <c r="F10029" t="inlineStr">
        <is>
          <t>Hồ Chí Minh</t>
        </is>
      </c>
      <c r="G10029" t="inlineStr">
        <is>
          <t>Trưởng phòng</t>
        </is>
      </c>
      <c r="H10029" t="inlineStr">
        <is>
          <t>11/03/2026</t>
        </is>
      </c>
      <c r="I10029" t="inlineStr">
        <is>
          <t>10/04/2026</t>
        </is>
      </c>
      <c r="J10029" t="inlineStr">
        <is>
          <t>17/03/2026</t>
        </is>
      </c>
      <c r="K10029" t="inlineStr">
        <is>
          <t>N/A</t>
        </is>
      </c>
      <c r="L10029" t="inlineStr">
        <is>
          <t>Lãnh Đạo, Phân Tích Chi Phí, Quản Lý Hoạt Động Xuất Nhập Khẩu, Quản Lý Rủi Ro, Đàm Phán</t>
        </is>
      </c>
      <c r="M10029" t="inlineStr">
        <is>
          <t>Bonus, Healthcare Plan, Laptop, Others</t>
        </is>
      </c>
      <c r="N10029" s="8">
        <f>HYPERLINK("https://www.vietnamworks.com/truong-phong-xuat-nhap-khau-2022161-jv","Xem chi tiết")</f>
        <v/>
      </c>
    </row>
    <row r="10030">
      <c r="B10030" s="9" t="n">
        <v>10028</v>
      </c>
      <c r="C10030" s="10" t="inlineStr">
        <is>
          <t>Lead, Payment Data Operations</t>
        </is>
      </c>
      <c r="D10030" s="10" t="inlineStr">
        <is>
          <t>NAB Innovation Centre Vietnam</t>
        </is>
      </c>
      <c r="E10030" s="10" t="inlineStr">
        <is>
          <t>Thương lượng</t>
        </is>
      </c>
      <c r="F10030" s="10" t="inlineStr">
        <is>
          <t>Hà Nội</t>
        </is>
      </c>
      <c r="G10030" s="10" t="inlineStr">
        <is>
          <t>Trưởng phòng</t>
        </is>
      </c>
      <c r="H10030" s="10" t="inlineStr">
        <is>
          <t>11/03/2026</t>
        </is>
      </c>
      <c r="I10030" s="10" t="inlineStr">
        <is>
          <t>10/04/2026</t>
        </is>
      </c>
      <c r="J10030" s="10" t="inlineStr">
        <is>
          <t>17/03/2026</t>
        </is>
      </c>
      <c r="K10030" s="10" t="inlineStr">
        <is>
          <t>N/A</t>
        </is>
      </c>
      <c r="L10030" s="10" t="inlineStr">
        <is>
          <t>Ngân hàng, Vận Hành, Thanh Toán, Quản Lý, Payment Reconciliation</t>
        </is>
      </c>
      <c r="M10030" s="10" t="inlineStr">
        <is>
          <t>Bonus, Healthcare Plan, Team Activities</t>
        </is>
      </c>
      <c r="N10030" s="11">
        <f>HYPERLINK("https://www.vietnamworks.com/lead-payment-data-operations--2022147-jv","Xem chi tiết")</f>
        <v/>
      </c>
      <c r="O10030" s="10" t="n"/>
    </row>
    <row r="10031">
      <c r="B10031" s="7" t="n">
        <v>10029</v>
      </c>
      <c r="C10031" t="inlineStr">
        <is>
          <t>Warehouse Team Leader</t>
        </is>
      </c>
      <c r="D10031" t="inlineStr">
        <is>
          <t>Công Ty TNHH TLT Electronics Vietnam</t>
        </is>
      </c>
      <c r="E10031" t="inlineStr">
        <is>
          <t>Thương lượng</t>
        </is>
      </c>
      <c r="F10031" t="inlineStr">
        <is>
          <t>Tây Ninh</t>
        </is>
      </c>
      <c r="G10031" t="inlineStr">
        <is>
          <t>Nhân viên</t>
        </is>
      </c>
      <c r="H10031" t="inlineStr">
        <is>
          <t>11/03/2026</t>
        </is>
      </c>
      <c r="I10031" t="inlineStr">
        <is>
          <t>10/04/2026</t>
        </is>
      </c>
      <c r="J10031" t="inlineStr">
        <is>
          <t>17/03/2026</t>
        </is>
      </c>
      <c r="K10031" t="inlineStr">
        <is>
          <t>N/A</t>
        </is>
      </c>
      <c r="L10031" t="inlineStr">
        <is>
          <t>Leadership, Problem-solving, Site Inspections, Systems Engagement, Warehouse Operation</t>
        </is>
      </c>
      <c r="M10031" t="inlineStr">
        <is>
          <t>Bonus, Transportation, Canteen, Others</t>
        </is>
      </c>
      <c r="N10031" s="8">
        <f>HYPERLINK("https://www.vietnamworks.com/warehouse-team-leader-2022172-jv","Xem chi tiết")</f>
        <v/>
      </c>
    </row>
    <row r="10032">
      <c r="B10032" s="9" t="n">
        <v>10030</v>
      </c>
      <c r="C10032" s="10" t="inlineStr">
        <is>
          <t>Project Manager/Construction Manager For Building &amp; Infrastructure</t>
        </is>
      </c>
      <c r="D10032" s="10" t="inlineStr">
        <is>
          <t>Bureau Veritas Vietnam Ltd.</t>
        </is>
      </c>
      <c r="E10032" s="10" t="inlineStr">
        <is>
          <t>Thương lượng</t>
        </is>
      </c>
      <c r="F10032" s="10" t="inlineStr">
        <is>
          <t>Bắc Ninh, Hải Phòng, Hà Nội</t>
        </is>
      </c>
      <c r="G10032" s="10" t="inlineStr">
        <is>
          <t>Trưởng phòng</t>
        </is>
      </c>
      <c r="H10032" s="10" t="inlineStr">
        <is>
          <t>11/03/2026</t>
        </is>
      </c>
      <c r="I10032" s="10" t="inlineStr">
        <is>
          <t>10/04/2026</t>
        </is>
      </c>
      <c r="J10032" s="10" t="inlineStr">
        <is>
          <t>17/03/2026</t>
        </is>
      </c>
      <c r="K10032" s="10" t="inlineStr">
        <is>
          <t>N/A</t>
        </is>
      </c>
      <c r="L10032" s="10" t="inlineStr">
        <is>
          <t>Communication, Project Management, Quality Assurance, Safety Compliance</t>
        </is>
      </c>
      <c r="M10032" s="10" t="inlineStr">
        <is>
          <t>Bonus, Healthcare Plan, Laptop, Travel Opportunities</t>
        </is>
      </c>
      <c r="N10032" s="11">
        <f>HYPERLINK("https://www.vietnamworks.com/project-managerconstruction-manager-for-building-and-infrastructure-2022156-jv","Xem chi tiết")</f>
        <v/>
      </c>
      <c r="O10032" s="10" t="n"/>
    </row>
    <row r="10033">
      <c r="B10033" s="7" t="n">
        <v>10031</v>
      </c>
      <c r="C10033" t="inlineStr">
        <is>
          <t>Chuyên Viên Hành Chính Tổng Hợp Kiêm Mua Hàng</t>
        </is>
      </c>
      <c r="D10033" t="inlineStr">
        <is>
          <t>Công Ty Cổ Phần Tập Đoàn BRG</t>
        </is>
      </c>
      <c r="E10033" t="inlineStr">
        <is>
          <t>Thương lượng</t>
        </is>
      </c>
      <c r="F10033" t="inlineStr">
        <is>
          <t>Đà Nẵng</t>
        </is>
      </c>
      <c r="G10033" t="inlineStr">
        <is>
          <t>Nhân viên</t>
        </is>
      </c>
      <c r="H10033" t="inlineStr">
        <is>
          <t>11/03/2026</t>
        </is>
      </c>
      <c r="I10033" t="inlineStr">
        <is>
          <t>10/04/2026</t>
        </is>
      </c>
      <c r="J10033" t="inlineStr">
        <is>
          <t>17/03/2026</t>
        </is>
      </c>
      <c r="K10033" t="inlineStr">
        <is>
          <t>N/A</t>
        </is>
      </c>
      <c r="L10033" t="inlineStr">
        <is>
          <t>Mua Hàng, Hành Chính</t>
        </is>
      </c>
      <c r="M10033" t="inlineStr">
        <is>
          <t>Bonus, Healthcare Plan, Travel Opportunities</t>
        </is>
      </c>
      <c r="N10033" s="8">
        <f>HYPERLINK("https://www.vietnamworks.com/chuyen-vien-hanh-chinh-tong-hop-kiem-mua-hang-2022154-jv","Xem chi tiết")</f>
        <v/>
      </c>
    </row>
    <row r="10034">
      <c r="B10034" s="9" t="n">
        <v>10032</v>
      </c>
      <c r="C10034" s="10" t="inlineStr">
        <is>
          <t>Chuyên Gia Dịch Vụ Pháp Lý Về Nguồn Vốn và Giao Dịch Ngân Hàng</t>
        </is>
      </c>
      <c r="D10034" s="10" t="inlineStr">
        <is>
          <t>Ngân Hàng TMCP Quốc Tế Việt Nam (VIB)</t>
        </is>
      </c>
      <c r="E10034" s="10" t="inlineStr">
        <is>
          <t>Thương lượng</t>
        </is>
      </c>
      <c r="F10034" s="10" t="inlineStr">
        <is>
          <t>Hồ Chí Minh, Hà Nội</t>
        </is>
      </c>
      <c r="G10034" s="10" t="inlineStr">
        <is>
          <t>Nhân viên</t>
        </is>
      </c>
      <c r="H10034" s="10" t="inlineStr">
        <is>
          <t>11/03/2026</t>
        </is>
      </c>
      <c r="I10034" s="10" t="inlineStr">
        <is>
          <t>10/04/2026</t>
        </is>
      </c>
      <c r="J10034" s="10" t="inlineStr">
        <is>
          <t>17/03/2026</t>
        </is>
      </c>
      <c r="K10034" s="10" t="inlineStr">
        <is>
          <t>N/A</t>
        </is>
      </c>
      <c r="L10034" s="10" t="inlineStr">
        <is>
          <t>Cung Ứng Dịch Vụ Pháp Lý, Giải Trình Ngân Hàng, Kỹ năng Tiếng Anh, Quy Định Pháp Luật, Thủ Tục Nội Bộ</t>
        </is>
      </c>
      <c r="M10034" s="10" t="inlineStr">
        <is>
          <t>Others</t>
        </is>
      </c>
      <c r="N10034" s="11">
        <f>HYPERLINK("https://www.vietnamworks.com/chuyen-gia-dich-vu-phap-ly-ve-nguon-von-va-giao-dich-ngan-hang-2022145-jv","Xem chi tiết")</f>
        <v/>
      </c>
      <c r="O10034" s="10" t="n"/>
    </row>
    <row r="10035">
      <c r="B10035" s="7" t="n">
        <v>10033</v>
      </c>
      <c r="C10035" t="inlineStr">
        <is>
          <t>HR Operations &amp; Services Manager</t>
        </is>
      </c>
      <c r="D10035" t="inlineStr">
        <is>
          <t>United Overseas Bank (Vietnam) Limited (UOB)</t>
        </is>
      </c>
      <c r="E10035" t="inlineStr">
        <is>
          <t>Thương lượng</t>
        </is>
      </c>
      <c r="F10035" t="inlineStr">
        <is>
          <t>Hồ Chí Minh</t>
        </is>
      </c>
      <c r="G10035" t="inlineStr">
        <is>
          <t>Nhân viên</t>
        </is>
      </c>
      <c r="H10035" t="inlineStr">
        <is>
          <t>11/03/2026</t>
        </is>
      </c>
      <c r="I10035" t="inlineStr">
        <is>
          <t>10/04/2026</t>
        </is>
      </c>
      <c r="J10035" t="inlineStr">
        <is>
          <t>17/03/2026</t>
        </is>
      </c>
      <c r="K10035" t="inlineStr">
        <is>
          <t>N/A</t>
        </is>
      </c>
      <c r="L10035" t="inlineStr">
        <is>
          <t>Communication, Employee Support, HR Law, MNC Environment, Payroll Management</t>
        </is>
      </c>
      <c r="M10035" t="inlineStr">
        <is>
          <t>Bonus, Healthcare Plan, Paid Leave, Others</t>
        </is>
      </c>
      <c r="N10035" s="8">
        <f>HYPERLINK("https://www.vietnamworks.com/hr-operations-and-services-manager-2022166-jv","Xem chi tiết")</f>
        <v/>
      </c>
    </row>
    <row r="10036">
      <c r="B10036" s="9" t="n">
        <v>10034</v>
      </c>
      <c r="C10036" s="10" t="inlineStr">
        <is>
          <t>Material Planning Specialist</t>
        </is>
      </c>
      <c r="D10036" s="10" t="inlineStr">
        <is>
          <t>Coherent Vietnam</t>
        </is>
      </c>
      <c r="E10036" s="10" t="inlineStr">
        <is>
          <t>$$ 1,000-1,500 /tháng</t>
        </is>
      </c>
      <c r="F10036" s="10" t="inlineStr">
        <is>
          <t>Hồ Chí Minh</t>
        </is>
      </c>
      <c r="G10036" s="10" t="inlineStr">
        <is>
          <t>Nhân viên</t>
        </is>
      </c>
      <c r="H10036" s="10" t="inlineStr">
        <is>
          <t>11/03/2026</t>
        </is>
      </c>
      <c r="I10036" s="10" t="inlineStr">
        <is>
          <t>10/04/2026</t>
        </is>
      </c>
      <c r="J10036" s="10" t="inlineStr">
        <is>
          <t>17/03/2026</t>
        </is>
      </c>
      <c r="K10036" s="10" t="inlineStr">
        <is>
          <t>N/A</t>
        </is>
      </c>
      <c r="L10036" s="10" t="inlineStr">
        <is>
          <t>Material Planning, Supply Chain Management, Industrial Management, Production Planner</t>
        </is>
      </c>
      <c r="M10036" s="10" t="inlineStr">
        <is>
          <t>Bonus, Healthcare Plan, Transportation</t>
        </is>
      </c>
      <c r="N10036" s="11">
        <f>HYPERLINK("https://www.vietnamworks.com/material-planning-specialist--2022169-jv","Xem chi tiết")</f>
        <v/>
      </c>
      <c r="O10036" s="10" t="n"/>
    </row>
    <row r="10037">
      <c r="B10037" s="7" t="n">
        <v>10035</v>
      </c>
      <c r="C10037" t="inlineStr">
        <is>
          <t>QA/QC Staff</t>
        </is>
      </c>
      <c r="D10037" t="inlineStr">
        <is>
          <t>3 Points Aviation Vietnam Co., Ltd</t>
        </is>
      </c>
      <c r="E10037" t="inlineStr">
        <is>
          <t>Thương lượng</t>
        </is>
      </c>
      <c r="F10037" t="inlineStr">
        <is>
          <t>Hà Nội</t>
        </is>
      </c>
      <c r="G10037" t="inlineStr">
        <is>
          <t>Nhân viên</t>
        </is>
      </c>
      <c r="H10037" t="inlineStr">
        <is>
          <t>12/01/2026</t>
        </is>
      </c>
      <c r="I10037" t="inlineStr">
        <is>
          <t>11/04/2026</t>
        </is>
      </c>
      <c r="J10037" t="inlineStr">
        <is>
          <t>17/03/2026</t>
        </is>
      </c>
      <c r="K10037" t="inlineStr">
        <is>
          <t>N/A</t>
        </is>
      </c>
      <c r="L10037" t="inlineStr">
        <is>
          <t>Quality Control, QA, English proficiency, ISO Knowledge, 7 QC Tools</t>
        </is>
      </c>
      <c r="M10037" t="inlineStr">
        <is>
          <t>Bonus, Training, Transportation</t>
        </is>
      </c>
      <c r="N10037" s="8">
        <f>HYPERLINK("https://www.vietnamworks.com/qa-qc-staff--2001318-jv","Xem chi tiết")</f>
        <v/>
      </c>
    </row>
    <row r="10038">
      <c r="B10038" s="9" t="n">
        <v>10036</v>
      </c>
      <c r="C10038" s="10" t="inlineStr">
        <is>
          <t>IT Support Officer</t>
        </is>
      </c>
      <c r="D10038" s="10" t="inlineStr">
        <is>
          <t>Gulf Energy (Việt Nam)</t>
        </is>
      </c>
      <c r="E10038" s="10" t="inlineStr">
        <is>
          <t>Thương lượng</t>
        </is>
      </c>
      <c r="F10038" s="10" t="inlineStr">
        <is>
          <t>Hồ Chí Minh</t>
        </is>
      </c>
      <c r="G10038" s="10" t="inlineStr">
        <is>
          <t>Nhân viên</t>
        </is>
      </c>
      <c r="H10038" s="10" t="inlineStr">
        <is>
          <t>16/06/2025</t>
        </is>
      </c>
      <c r="I10038" s="10" t="inlineStr">
        <is>
          <t>11/04/2026</t>
        </is>
      </c>
      <c r="J10038" s="10" t="inlineStr">
        <is>
          <t>17/03/2026</t>
        </is>
      </c>
      <c r="K10038" s="10" t="inlineStr">
        <is>
          <t>N/A</t>
        </is>
      </c>
      <c r="L10038" s="10" t="inlineStr">
        <is>
          <t>IT System Administration, IT Helpdesk, IT Hardware, Networking, IT Security</t>
        </is>
      </c>
      <c r="M10038" s="10" t="inlineStr">
        <is>
          <t>Bonus, Healthcare Plan</t>
        </is>
      </c>
      <c r="N10038" s="11">
        <f>HYPERLINK("https://www.vietnamworks.com/it-support-officer--1922395-jv","Xem chi tiết")</f>
        <v/>
      </c>
      <c r="O10038" s="10" t="n"/>
    </row>
    <row r="10039">
      <c r="B10039" s="7" t="n">
        <v>10037</v>
      </c>
      <c r="C10039" t="inlineStr">
        <is>
          <t>Quản Lý Nhà Hàng - Quán Bar (F&amp;B Mananger)</t>
        </is>
      </c>
      <c r="D10039" t="inlineStr">
        <is>
          <t>Barbaard Company</t>
        </is>
      </c>
      <c r="E10039" t="inlineStr">
        <is>
          <t>$$ 20tr-25tr /tháng</t>
        </is>
      </c>
      <c r="F10039" t="inlineStr">
        <is>
          <t>Hà Nội</t>
        </is>
      </c>
      <c r="G10039" t="inlineStr">
        <is>
          <t>Nhân viên</t>
        </is>
      </c>
      <c r="H10039" t="inlineStr">
        <is>
          <t>12/01/2026</t>
        </is>
      </c>
      <c r="I10039" t="inlineStr">
        <is>
          <t>11/04/2026</t>
        </is>
      </c>
      <c r="J10039" t="inlineStr">
        <is>
          <t>17/03/2026</t>
        </is>
      </c>
      <c r="K10039" t="inlineStr">
        <is>
          <t>N/A</t>
        </is>
      </c>
      <c r="L10039" t="inlineStr">
        <is>
          <t>Quản Lý Vận Hành, SOP Handling, Lãnh Đạo, Quản Lý Nhà Hàng, F&amp;B Management</t>
        </is>
      </c>
      <c r="M10039" t="inlineStr">
        <is>
          <t>Bonus, Team Activities, Canteen</t>
        </is>
      </c>
      <c r="N10039" s="8">
        <f>HYPERLINK("https://www.vietnamworks.com/quan-ly-nha-hang-quan-bar-f-b-mananger-2001411-jv","Xem chi tiết")</f>
        <v/>
      </c>
    </row>
    <row r="10040">
      <c r="B10040" s="9" t="n">
        <v>10038</v>
      </c>
      <c r="C10040" s="10" t="inlineStr">
        <is>
          <t>Lái Xe Tải (Làm Việc Tại Hà Nội)</t>
        </is>
      </c>
      <c r="D10040" s="10" t="inlineStr">
        <is>
          <t>Công ty CP Tư vấn và Dịch vụ Viettel</t>
        </is>
      </c>
      <c r="E10040" s="10" t="inlineStr">
        <is>
          <t>Tới 19tr ₫/tháng</t>
        </is>
      </c>
      <c r="F10040" s="10" t="inlineStr">
        <is>
          <t>Hà Nội</t>
        </is>
      </c>
      <c r="G10040" s="10" t="inlineStr">
        <is>
          <t>Nhân viên</t>
        </is>
      </c>
      <c r="H10040" s="10" t="inlineStr">
        <is>
          <t>20/01/2026</t>
        </is>
      </c>
      <c r="I10040" s="10" t="inlineStr">
        <is>
          <t>11/04/2026</t>
        </is>
      </c>
      <c r="J10040" s="10" t="inlineStr">
        <is>
          <t>17/03/2026</t>
        </is>
      </c>
      <c r="K10040" s="10" t="inlineStr">
        <is>
          <t>N/A</t>
        </is>
      </c>
      <c r="L10040" s="10" t="inlineStr">
        <is>
          <t>Lái xe &amp; di chuyển</t>
        </is>
      </c>
      <c r="M10040" s="10" t="inlineStr">
        <is>
          <t>Bonus, Healthcare Plan, Training</t>
        </is>
      </c>
      <c r="N10040" s="11">
        <f>HYPERLINK("https://www.vietnamworks.com/lai-xe-tai-lam-viec-tai-ha-noi-2004654-jv","Xem chi tiết")</f>
        <v/>
      </c>
      <c r="O10040" s="10" t="n"/>
    </row>
    <row r="10041">
      <c r="B10041" s="7" t="n">
        <v>10039</v>
      </c>
      <c r="C10041" t="inlineStr">
        <is>
          <t>Sales Assistant (Trợ Lý Kinh Doanh)</t>
        </is>
      </c>
      <c r="D10041" t="inlineStr">
        <is>
          <t>CÔNG TY CỔ PHẦN TIN HỌC VIỄN THÔNG VINAFORE</t>
        </is>
      </c>
      <c r="E10041" t="inlineStr">
        <is>
          <t>Thương lượng</t>
        </is>
      </c>
      <c r="F10041" t="inlineStr">
        <is>
          <t>Hồ Chí Minh, Hà Nội</t>
        </is>
      </c>
      <c r="G10041" t="inlineStr">
        <is>
          <t>Nhân viên</t>
        </is>
      </c>
      <c r="H10041" t="inlineStr">
        <is>
          <t>19/01/2026</t>
        </is>
      </c>
      <c r="I10041" t="inlineStr">
        <is>
          <t>11/04/2026</t>
        </is>
      </c>
      <c r="J10041" t="inlineStr">
        <is>
          <t>17/03/2026</t>
        </is>
      </c>
      <c r="K10041" t="inlineStr">
        <is>
          <t>N/A</t>
        </is>
      </c>
      <c r="L10041" t="inlineStr">
        <is>
          <t>Sales Support, Hỗ Trợ Kinh Doanh, Tiếng Trung, Sales Assistant</t>
        </is>
      </c>
      <c r="M10041" t="inlineStr">
        <is>
          <t>Bonus, Healthcare Plan, Paid Leave, Training</t>
        </is>
      </c>
      <c r="N10041" s="8">
        <f>HYPERLINK("https://www.vietnamworks.com/sales-assistant-tro-ly-kinh-doanh--2003776-jv","Xem chi tiết")</f>
        <v/>
      </c>
    </row>
    <row r="10042">
      <c r="B10042" s="9" t="n">
        <v>10040</v>
      </c>
      <c r="C10042" s="10" t="inlineStr">
        <is>
          <t>Quản Lý Vận Hành (Operations Manager)</t>
        </is>
      </c>
      <c r="D10042" s="10" t="inlineStr">
        <is>
          <t>Barbaard Company</t>
        </is>
      </c>
      <c r="E10042" s="10" t="inlineStr">
        <is>
          <t>25tr-30tr ₫/tháng</t>
        </is>
      </c>
      <c r="F10042" s="10" t="inlineStr">
        <is>
          <t>Hà Nội</t>
        </is>
      </c>
      <c r="G10042" s="10" t="inlineStr">
        <is>
          <t>Nhân viên</t>
        </is>
      </c>
      <c r="H10042" s="10" t="inlineStr">
        <is>
          <t>12/01/2026</t>
        </is>
      </c>
      <c r="I10042" s="10" t="inlineStr">
        <is>
          <t>11/04/2026</t>
        </is>
      </c>
      <c r="J10042" s="10" t="inlineStr">
        <is>
          <t>17/03/2026</t>
        </is>
      </c>
      <c r="K10042" s="10" t="inlineStr">
        <is>
          <t>N/A</t>
        </is>
      </c>
      <c r="L10042" s="10" t="inlineStr">
        <is>
          <t>Quản Lý Vận Hành, SOP Handling, Lãnh Đạo, F&amp;B Operations, Hospitality Management</t>
        </is>
      </c>
      <c r="M10042" s="10" t="inlineStr">
        <is>
          <t>Paid Leave, Team Activities, Canteen</t>
        </is>
      </c>
      <c r="N10042" s="11">
        <f>HYPERLINK("https://www.vietnamworks.com/quan-ly-van-hanh-operations-manager--2001401-jv","Xem chi tiết")</f>
        <v/>
      </c>
      <c r="O10042" s="10" t="n"/>
    </row>
    <row r="10043">
      <c r="B10043" s="7" t="n">
        <v>10041</v>
      </c>
      <c r="C10043" t="inlineStr">
        <is>
          <t>Kỹ Sư Giám Sát Cơ Điện (Lương 20-30 Triệu) - Đi Dự Án Tỉnh Miền Bắc</t>
        </is>
      </c>
      <c r="D10043" t="inlineStr">
        <is>
          <t>Công Ty Cổ Phần Đầu Tư Xây Dựng - Facco</t>
        </is>
      </c>
      <c r="E10043" t="inlineStr">
        <is>
          <t>20tr-30tr ₫/tháng</t>
        </is>
      </c>
      <c r="F10043" t="inlineStr">
        <is>
          <t>Bắc Giang, Hưng Yên, Hà Nội</t>
        </is>
      </c>
      <c r="G10043" t="inlineStr">
        <is>
          <t>Nhân viên</t>
        </is>
      </c>
      <c r="H10043" t="inlineStr">
        <is>
          <t>29/10/2025</t>
        </is>
      </c>
      <c r="I10043" t="inlineStr">
        <is>
          <t>11/04/2026</t>
        </is>
      </c>
      <c r="J10043" t="inlineStr">
        <is>
          <t>17/03/2026</t>
        </is>
      </c>
      <c r="K10043" t="inlineStr">
        <is>
          <t>N/A</t>
        </is>
      </c>
      <c r="L10043" t="inlineStr">
        <is>
          <t>Giám Sát MEP, Giám Sát Xây Dựng, Kỹ Sư Cơ Điện, Thi công MEP, Điện Công Nghiệp</t>
        </is>
      </c>
      <c r="M10043" t="inlineStr">
        <is>
          <t>Bonus, Healthcare Plan, Paid Leave, Travel Opportunities, Others</t>
        </is>
      </c>
      <c r="N10043" s="8">
        <f>HYPERLINK("https://www.vietnamworks.com/ky-su-giam-sat-co-djien-luong-20-30-trieu-dji-du-an-tinh-mien-bac-1975373-jv","Xem chi tiết")</f>
        <v/>
      </c>
    </row>
    <row r="10044">
      <c r="B10044" s="9" t="n">
        <v>10042</v>
      </c>
      <c r="C10044" s="10" t="inlineStr">
        <is>
          <t>Chuyên Viên Cao Cấp Mua Hàng (Nước Ngoài)</t>
        </is>
      </c>
      <c r="D10044" s="10" t="inlineStr">
        <is>
          <t>Công ty Cổ phần Tập đoàn Golden Gate</t>
        </is>
      </c>
      <c r="E10044" s="10" t="inlineStr">
        <is>
          <t>Thương lượng</t>
        </is>
      </c>
      <c r="F10044" s="10" t="inlineStr">
        <is>
          <t>Hồ Chí Minh, Hà Nội</t>
        </is>
      </c>
      <c r="G10044" s="10" t="inlineStr">
        <is>
          <t>Nhân viên</t>
        </is>
      </c>
      <c r="H10044" s="10" t="inlineStr">
        <is>
          <t>15/01/2026</t>
        </is>
      </c>
      <c r="I10044" s="10" t="inlineStr">
        <is>
          <t>11/04/2026</t>
        </is>
      </c>
      <c r="J10044" s="10" t="inlineStr">
        <is>
          <t>17/03/2026</t>
        </is>
      </c>
      <c r="K10044" s="10" t="inlineStr">
        <is>
          <t>N/A</t>
        </is>
      </c>
      <c r="L10044" s="10" t="inlineStr">
        <is>
          <t>Công Nghệ Thực Phẩm, Kiểm Soát Chất Lượng, Phân Tích Thị Trường, Yêu Thích Ẩm Thực, Đàm Phán Giá</t>
        </is>
      </c>
      <c r="M10044" s="10" t="inlineStr">
        <is>
          <t>Bonus, Healthcare Plan, Training, Others</t>
        </is>
      </c>
      <c r="N10044" s="11">
        <f>HYPERLINK("https://www.vietnamworks.com/chuyen-vien-cao-cap-mua-hang-nuoc-ngoai-2003082-jv","Xem chi tiết")</f>
        <v/>
      </c>
      <c r="O10044" s="10" t="n"/>
    </row>
    <row r="10045">
      <c r="B10045" s="7" t="n">
        <v>10043</v>
      </c>
      <c r="C10045" t="inlineStr">
        <is>
          <t>Chuyên Viên Kinh Doanh BĐS - Lương Cứng 8 Triệu, Hoa Hồng Lên Đến 55%</t>
        </is>
      </c>
      <c r="D10045" t="inlineStr">
        <is>
          <t>CÔNG TY TNHH MTV SÀN GIAO DỊCH BẤT ĐỘNG SẢN VÀ DỊCH VỤ HODECO</t>
        </is>
      </c>
      <c r="E10045" t="inlineStr">
        <is>
          <t>8tr-35tr ₫/tháng</t>
        </is>
      </c>
      <c r="F10045" t="inlineStr">
        <is>
          <t>Hồ Chí Minh, Bà Rịa - Vũng Tàu</t>
        </is>
      </c>
      <c r="G10045" t="inlineStr">
        <is>
          <t>Nhân viên</t>
        </is>
      </c>
      <c r="H10045" t="inlineStr">
        <is>
          <t>13/01/2026</t>
        </is>
      </c>
      <c r="I10045" t="inlineStr">
        <is>
          <t>11/04/2026</t>
        </is>
      </c>
      <c r="J10045" t="inlineStr">
        <is>
          <t>17/03/2026</t>
        </is>
      </c>
      <c r="K10045" t="inlineStr">
        <is>
          <t>N/A</t>
        </is>
      </c>
      <c r="L10045" t="inlineStr">
        <is>
          <t>Bán Hàng, Tư Vấn Khách Hàng, Đàm Phán Kinh Doanh, Kinh Doanh Bất Động Sản, Tư Vấn Bất Động Sản</t>
        </is>
      </c>
      <c r="M10045" t="inlineStr">
        <is>
          <t>Bonus, Training, Team Activities, Others</t>
        </is>
      </c>
      <c r="N10045" s="8">
        <f>HYPERLINK("https://www.vietnamworks.com/chuyen-vien-kinh-doanh-bdjs-luong-cung-8-trieu-hoa-hong-len-djen-55percent-2002168-jv","Xem chi tiết")</f>
        <v/>
      </c>
    </row>
    <row r="10046">
      <c r="B10046" s="9" t="n">
        <v>10044</v>
      </c>
      <c r="C10046" s="10" t="inlineStr">
        <is>
          <t>The Smart City &amp; ICT Systems Integration Engineer</t>
        </is>
      </c>
      <c r="D10046" s="10" t="inlineStr">
        <is>
          <t>CÔNG TY CỔ PHẦN TIN HỌC VIỄN THÔNG VINAFORE</t>
        </is>
      </c>
      <c r="E10046" s="10" t="inlineStr">
        <is>
          <t>Thương lượng</t>
        </is>
      </c>
      <c r="F10046" s="10" t="inlineStr">
        <is>
          <t>Hồ Chí Minh, Hà Nội</t>
        </is>
      </c>
      <c r="G10046" s="10" t="inlineStr">
        <is>
          <t>Nhân viên</t>
        </is>
      </c>
      <c r="H10046" s="10" t="inlineStr">
        <is>
          <t>19/01/2026</t>
        </is>
      </c>
      <c r="I10046" s="10" t="inlineStr">
        <is>
          <t>11/04/2026</t>
        </is>
      </c>
      <c r="J10046" s="10" t="inlineStr">
        <is>
          <t>17/03/2026</t>
        </is>
      </c>
      <c r="K10046" s="10" t="inlineStr">
        <is>
          <t>N/A</t>
        </is>
      </c>
      <c r="L10046" s="10" t="inlineStr">
        <is>
          <t>System Integrators, Electronic Equipment, Server System Development, ICT, Smart City Projects</t>
        </is>
      </c>
      <c r="M10046" s="10" t="inlineStr">
        <is>
          <t>Bonus, Healthcare Plan, Training, Travel Opportunities, Others</t>
        </is>
      </c>
      <c r="N10046" s="11">
        <f>HYPERLINK("https://www.vietnamworks.com/the-smart-city-ict-systems-integration-engineer-2004055-jv","Xem chi tiết")</f>
        <v/>
      </c>
      <c r="O10046" s="10" t="n"/>
    </row>
    <row r="10047">
      <c r="B10047" s="7" t="n">
        <v>10045</v>
      </c>
      <c r="C10047" t="inlineStr">
        <is>
          <t>Senior Multidisciplinary Designer</t>
        </is>
      </c>
      <c r="D10047" t="inlineStr">
        <is>
          <t>VĂN PHÒNG ĐẠI DIỆN PIXEL DREAMS INC. TẠI THÀNH PHỐ HÀ NỘI</t>
        </is>
      </c>
      <c r="E10047" t="inlineStr">
        <is>
          <t>20tr-30tr ₫/tháng</t>
        </is>
      </c>
      <c r="F10047" t="inlineStr">
        <is>
          <t>Hà Nội</t>
        </is>
      </c>
      <c r="G10047" t="inlineStr">
        <is>
          <t>Nhân viên</t>
        </is>
      </c>
      <c r="H10047" t="inlineStr">
        <is>
          <t>21/01/2026</t>
        </is>
      </c>
      <c r="I10047" t="inlineStr">
        <is>
          <t>11/04/2026</t>
        </is>
      </c>
      <c r="J10047" t="inlineStr">
        <is>
          <t>17/03/2026</t>
        </is>
      </c>
      <c r="K10047" t="inlineStr">
        <is>
          <t>N/A</t>
        </is>
      </c>
      <c r="L10047" t="inlineStr">
        <is>
          <t>B2B Marketing, Figma, Leadership, Teamwork, Visual Design</t>
        </is>
      </c>
      <c r="M10047" t="inlineStr">
        <is>
          <t>Paid Leave, Training, Laptop</t>
        </is>
      </c>
      <c r="N10047" s="8">
        <f>HYPERLINK("https://www.vietnamworks.com/senior-multidisciplinary-designer-2004827-jv","Xem chi tiết")</f>
        <v/>
      </c>
    </row>
    <row r="10048">
      <c r="B10048" s="9" t="n">
        <v>10046</v>
      </c>
      <c r="C10048" s="10" t="inlineStr">
        <is>
          <t>Sales Online</t>
        </is>
      </c>
      <c r="D10048" s="10" t="inlineStr">
        <is>
          <t>CÔNG TY TNHH THƯƠNG MẠI ORYX</t>
        </is>
      </c>
      <c r="E10048" s="10" t="inlineStr">
        <is>
          <t>15tr-25tr ₫/tháng</t>
        </is>
      </c>
      <c r="F10048" s="10" t="inlineStr">
        <is>
          <t>Hồ Chí Minh</t>
        </is>
      </c>
      <c r="G10048" s="10" t="inlineStr">
        <is>
          <t>Nhân viên</t>
        </is>
      </c>
      <c r="H10048" s="10" t="inlineStr">
        <is>
          <t>20/01/2026</t>
        </is>
      </c>
      <c r="I10048" s="10" t="inlineStr">
        <is>
          <t>11/04/2026</t>
        </is>
      </c>
      <c r="J10048" s="10" t="inlineStr">
        <is>
          <t>17/03/2026</t>
        </is>
      </c>
      <c r="K10048" s="10" t="inlineStr">
        <is>
          <t>N/A</t>
        </is>
      </c>
      <c r="L10048" s="10" t="inlineStr">
        <is>
          <t>Chăm Sóc Khách Hàng, Hỗ Trợ Kinh Doanh, Phát Triển Khách Hàng, Nhân Viên kinh Doanh, Bán Hàng</t>
        </is>
      </c>
      <c r="M10048" s="10" t="inlineStr">
        <is>
          <t>Bonus, Healthcare Plan, Paid Leave, Travel Opportunities, Others</t>
        </is>
      </c>
      <c r="N10048" s="11">
        <f>HYPERLINK("https://www.vietnamworks.com/sales-online--2004658-jv","Xem chi tiết")</f>
        <v/>
      </c>
      <c r="O10048" s="10" t="n"/>
    </row>
    <row r="10049">
      <c r="B10049" s="7" t="n">
        <v>10047</v>
      </c>
      <c r="C10049" t="inlineStr">
        <is>
          <t>Chuyên Viên Cao Cấp – Khối Lượng và Dự Toán/senior QS (Phát Triển Sân Golf)</t>
        </is>
      </c>
      <c r="D10049" t="inlineStr">
        <is>
          <t>Tổng Công Ty Phát Triển Đô Thị Kinh Bắc (KBC)</t>
        </is>
      </c>
      <c r="E10049" t="inlineStr">
        <is>
          <t>Thương lượng</t>
        </is>
      </c>
      <c r="F10049" t="inlineStr">
        <is>
          <t>Hà Nội, Hưng Yên</t>
        </is>
      </c>
      <c r="G10049" t="inlineStr">
        <is>
          <t>Nhân viên</t>
        </is>
      </c>
      <c r="H10049" t="inlineStr">
        <is>
          <t>19/01/2026</t>
        </is>
      </c>
      <c r="I10049" t="inlineStr">
        <is>
          <t>11/04/2026</t>
        </is>
      </c>
      <c r="J10049" t="inlineStr">
        <is>
          <t>17/03/2026</t>
        </is>
      </c>
      <c r="K10049" t="inlineStr">
        <is>
          <t>N/A</t>
        </is>
      </c>
      <c r="L10049" t="inlineStr">
        <is>
          <t>Quantity Surveyor Management, Cost Management, Cost Estimation, Analytical Skills, BIM</t>
        </is>
      </c>
      <c r="M10049" t="inlineStr">
        <is>
          <t>Bonus, Healthcare Plan, Travel Opportunities</t>
        </is>
      </c>
      <c r="N10049" s="8">
        <f>HYPERLINK("https://www.vietnamworks.com/chuyen-vien-cao-cap-khoi-luong-va-du-toansenior-qs-phat-trien-san-golf-2003982-jv","Xem chi tiết")</f>
        <v/>
      </c>
    </row>
    <row r="10050">
      <c r="B10050" s="9" t="n">
        <v>10048</v>
      </c>
      <c r="C10050" s="10" t="inlineStr">
        <is>
          <t>Pricing Specialist - Freight Forwarder (Tối Thiểu 03-05 Năm Kinh Nghiệm Làm Giá Sea/ Air Tuyến US , Canada, Non - US)</t>
        </is>
      </c>
      <c r="D10050" s="10" t="inlineStr">
        <is>
          <t>Công Ty TNHH CIF Logistics (Việt Nam)</t>
        </is>
      </c>
      <c r="E10050" s="10" t="inlineStr">
        <is>
          <t>Thương lượng</t>
        </is>
      </c>
      <c r="F10050" s="10" t="inlineStr">
        <is>
          <t>Hồ Chí Minh</t>
        </is>
      </c>
      <c r="G10050" s="10" t="inlineStr">
        <is>
          <t>Nhân viên</t>
        </is>
      </c>
      <c r="H10050" s="10" t="inlineStr">
        <is>
          <t>21/01/2026</t>
        </is>
      </c>
      <c r="I10050" s="10" t="inlineStr">
        <is>
          <t>11/04/2026</t>
        </is>
      </c>
      <c r="J10050" s="10" t="inlineStr">
        <is>
          <t>17/03/2026</t>
        </is>
      </c>
      <c r="K10050" s="10" t="inlineStr">
        <is>
          <t>N/A</t>
        </is>
      </c>
      <c r="L10050" s="10" t="inlineStr">
        <is>
          <t>English Language Proficiency, Client Meeting, CRM Program Management, Immigration Services, Sales Planning</t>
        </is>
      </c>
      <c r="M10050" s="10" t="inlineStr">
        <is>
          <t>Bonus, Healthcare Plan, Training, Team Activities</t>
        </is>
      </c>
      <c r="N10050" s="11">
        <f>HYPERLINK("https://www.vietnamworks.com/pricing-specialist-freight-forwarder-toi-thieu-03-05-nam-kinh-nghiem-lam-gia-sea-air-tuyen-us-canada-non-us-2004794-jv","Xem chi tiết")</f>
        <v/>
      </c>
      <c r="O10050" s="10" t="n"/>
    </row>
    <row r="10051">
      <c r="B10051" s="7" t="n">
        <v>10049</v>
      </c>
      <c r="C10051" t="inlineStr">
        <is>
          <t>General Accountant</t>
        </is>
      </c>
      <c r="D10051" t="inlineStr">
        <is>
          <t>CÔNG TY CỔ PHẦN TIN HỌC VIỄN THÔNG VINAFORE</t>
        </is>
      </c>
      <c r="E10051" t="inlineStr">
        <is>
          <t>Thương lượng</t>
        </is>
      </c>
      <c r="F10051" t="inlineStr">
        <is>
          <t>Hồ Chí Minh</t>
        </is>
      </c>
      <c r="G10051" t="inlineStr">
        <is>
          <t>Nhân viên</t>
        </is>
      </c>
      <c r="H10051" t="inlineStr">
        <is>
          <t>19/01/2026</t>
        </is>
      </c>
      <c r="I10051" t="inlineStr">
        <is>
          <t>11/04/2026</t>
        </is>
      </c>
      <c r="J10051" t="inlineStr">
        <is>
          <t>17/03/2026</t>
        </is>
      </c>
      <c r="K10051" t="inlineStr">
        <is>
          <t>N/A</t>
        </is>
      </c>
      <c r="L10051" t="inlineStr">
        <is>
          <t>Financial Analysis, ERP Systems, Profitability Management, Budget Forecasting, Financial Reporting</t>
        </is>
      </c>
      <c r="M10051" t="inlineStr">
        <is>
          <t>Bonus, Healthcare Plan, Paid Leave, Training, Team Activities</t>
        </is>
      </c>
      <c r="N10051" s="8">
        <f>HYPERLINK("https://www.vietnamworks.com/general-accountant-2004081-jv","Xem chi tiết")</f>
        <v/>
      </c>
    </row>
    <row r="10052">
      <c r="B10052" s="9" t="n">
        <v>10050</v>
      </c>
      <c r="C10052" s="10" t="inlineStr">
        <is>
          <t>Trưởng Phòng Marketing ngành nghề Bất động sản</t>
        </is>
      </c>
      <c r="D10052" s="10" t="inlineStr">
        <is>
          <t>CÔNG TY TNHH MTV SÀN GIAO DỊCH BẤT ĐỘNG SẢN VÀ DỊCH VỤ HODECO</t>
        </is>
      </c>
      <c r="E10052" s="10" t="inlineStr">
        <is>
          <t>20tr-30tr ₫/tháng</t>
        </is>
      </c>
      <c r="F10052" s="10" t="inlineStr">
        <is>
          <t>Bà Rịa - Vũng Tàu, Hồ Chí Minh</t>
        </is>
      </c>
      <c r="G10052" s="10" t="inlineStr">
        <is>
          <t>Trưởng phòng</t>
        </is>
      </c>
      <c r="H10052" s="10" t="inlineStr">
        <is>
          <t>13/01/2026</t>
        </is>
      </c>
      <c r="I10052" s="10" t="inlineStr">
        <is>
          <t>11/04/2026</t>
        </is>
      </c>
      <c r="J10052" s="10" t="inlineStr">
        <is>
          <t>17/03/2026</t>
        </is>
      </c>
      <c r="K10052" s="10" t="inlineStr">
        <is>
          <t>N/A</t>
        </is>
      </c>
      <c r="L10052" s="10" t="inlineStr">
        <is>
          <t>Digital Marketing, Leadership, Marketing Strategy, Data Analysis, Market Research</t>
        </is>
      </c>
      <c r="M10052" s="10" t="inlineStr">
        <is>
          <t>Bonus, Healthcare Plan, Training, Team Activities, Others</t>
        </is>
      </c>
      <c r="N10052" s="11">
        <f>HYPERLINK("https://www.vietnamworks.com/truong-phong-marketing-nganh-nghe-bat-djong-san-2002222-jv","Xem chi tiết")</f>
        <v/>
      </c>
      <c r="O10052" s="10" t="n"/>
    </row>
    <row r="10053">
      <c r="B10053" s="7" t="n">
        <v>10051</v>
      </c>
      <c r="C10053" t="inlineStr">
        <is>
          <t>Nhân Viên Thị Trường (B2B)</t>
        </is>
      </c>
      <c r="D10053" t="inlineStr">
        <is>
          <t>CÔNG TY TNHH THIẾT BỊ THẨM MỸ Y TẾ VINHY</t>
        </is>
      </c>
      <c r="E10053" t="inlineStr">
        <is>
          <t>9tr-9tr ₫/tháng</t>
        </is>
      </c>
      <c r="F10053" t="inlineStr">
        <is>
          <t>Hồ Chí Minh</t>
        </is>
      </c>
      <c r="G10053" t="inlineStr">
        <is>
          <t>Nhân viên</t>
        </is>
      </c>
      <c r="H10053" t="inlineStr">
        <is>
          <t>21/01/2026</t>
        </is>
      </c>
      <c r="I10053" t="inlineStr">
        <is>
          <t>11/04/2026</t>
        </is>
      </c>
      <c r="J10053" t="inlineStr">
        <is>
          <t>17/03/2026</t>
        </is>
      </c>
      <c r="K10053" t="inlineStr">
        <is>
          <t>N/A</t>
        </is>
      </c>
      <c r="L10053" t="inlineStr">
        <is>
          <t>Public Relations, Market Development, Business Networking, Lead Generation</t>
        </is>
      </c>
      <c r="M10053" t="inlineStr">
        <is>
          <t>Bonus, Training, Others</t>
        </is>
      </c>
      <c r="N10053" s="8">
        <f>HYPERLINK("https://www.vietnamworks.com/nhan-vien-thi-truong-b2b-2004834-jv","Xem chi tiết")</f>
        <v/>
      </c>
    </row>
    <row r="10054">
      <c r="B10054" s="9" t="n">
        <v>10052</v>
      </c>
      <c r="C10054" s="10" t="inlineStr">
        <is>
          <t>Giám Sát Kinh Doanh Khu Vực</t>
        </is>
      </c>
      <c r="D10054" s="10" t="inlineStr">
        <is>
          <t>CÔNG TY TNHH THƯƠNG MẠI ORYX</t>
        </is>
      </c>
      <c r="E10054" s="10" t="inlineStr">
        <is>
          <t>Thương lượng</t>
        </is>
      </c>
      <c r="F10054" s="10" t="inlineStr">
        <is>
          <t>Hồ Chí Minh</t>
        </is>
      </c>
      <c r="G10054" s="10" t="inlineStr">
        <is>
          <t>Nhân viên</t>
        </is>
      </c>
      <c r="H10054" s="10" t="inlineStr">
        <is>
          <t>20/01/2026</t>
        </is>
      </c>
      <c r="I10054" s="10" t="inlineStr">
        <is>
          <t>11/04/2026</t>
        </is>
      </c>
      <c r="J10054" s="10" t="inlineStr">
        <is>
          <t>17/03/2026</t>
        </is>
      </c>
      <c r="K10054" s="10" t="inlineStr">
        <is>
          <t>N/A</t>
        </is>
      </c>
      <c r="L10054" s="10" t="inlineStr">
        <is>
          <t>Industrial Lubricants, Chăm Sóc Khách Hàng, Phát Triển Thị Trường, Tìm Kiếm Khách Hàng, Giám Sát Kinh Doanh</t>
        </is>
      </c>
      <c r="M10054" s="10" t="inlineStr">
        <is>
          <t>Paid Leave, Travel Opportunities</t>
        </is>
      </c>
      <c r="N10054" s="11">
        <f>HYPERLINK("https://www.vietnamworks.com/giam-sat-kinh-doanh-khu-vuc--2004659-jv","Xem chi tiết")</f>
        <v/>
      </c>
      <c r="O10054" s="10" t="n"/>
    </row>
    <row r="10055">
      <c r="B10055" s="7" t="n">
        <v>10053</v>
      </c>
      <c r="C10055" t="inlineStr">
        <is>
          <t>Kế Toán Doanh Thu/ Receivable Accountant</t>
        </is>
      </c>
      <c r="D10055" t="inlineStr">
        <is>
          <t>CÔNG TY TNHH JAPAN GREEN VIỆT NAM</t>
        </is>
      </c>
      <c r="E10055" t="inlineStr">
        <is>
          <t>15tr-20tr ₫/tháng</t>
        </is>
      </c>
      <c r="F10055" t="inlineStr">
        <is>
          <t>Hà Nội</t>
        </is>
      </c>
      <c r="G10055" t="inlineStr">
        <is>
          <t>Nhân viên</t>
        </is>
      </c>
      <c r="H10055" t="inlineStr">
        <is>
          <t>14/01/2026</t>
        </is>
      </c>
      <c r="I10055" t="inlineStr">
        <is>
          <t>11/04/2026</t>
        </is>
      </c>
      <c r="J10055" t="inlineStr">
        <is>
          <t>17/03/2026</t>
        </is>
      </c>
      <c r="K10055" t="inlineStr">
        <is>
          <t>N/A</t>
        </is>
      </c>
      <c r="L10055" t="inlineStr">
        <is>
          <t>Kế Toán Doanh Thu, Phần mềm kế toán, Thủ Tục Kế Toán, Quản Lý Kho, Chịu áp lực cao</t>
        </is>
      </c>
      <c r="M10055" t="inlineStr">
        <is>
          <t>Healthcare Plan, Others</t>
        </is>
      </c>
      <c r="N10055" s="8">
        <f>HYPERLINK("https://www.vietnamworks.com/ke-toan-doanh-thu-receivable-accountant-2002591-jv","Xem chi tiết")</f>
        <v/>
      </c>
    </row>
    <row r="10056">
      <c r="B10056" s="9" t="n">
        <v>10054</v>
      </c>
      <c r="C10056" s="10" t="inlineStr">
        <is>
          <t>Chuyên Gia Xử Lý Vi Phạm - Khối Pháp Chế và Tuân Thủ (Ưu Tiên Kinh Nghiệm Mảng Tín Dụng)</t>
        </is>
      </c>
      <c r="D10056" s="10" t="inlineStr">
        <is>
          <t>Ngân Hàng TMCP Đại Chúng Việt Nam</t>
        </is>
      </c>
      <c r="E10056" s="10" t="inlineStr">
        <is>
          <t>$$ 1,000-1,500 /tháng</t>
        </is>
      </c>
      <c r="F10056" s="10" t="inlineStr">
        <is>
          <t>Hà Nội</t>
        </is>
      </c>
      <c r="G10056" s="10" t="inlineStr">
        <is>
          <t>Nhân viên</t>
        </is>
      </c>
      <c r="H10056" s="10" t="inlineStr">
        <is>
          <t>20/01/2026</t>
        </is>
      </c>
      <c r="I10056" s="10" t="inlineStr">
        <is>
          <t>11/04/2026</t>
        </is>
      </c>
      <c r="J10056" s="10" t="inlineStr">
        <is>
          <t>17/03/2026</t>
        </is>
      </c>
      <c r="K10056" s="10" t="inlineStr">
        <is>
          <t>N/A</t>
        </is>
      </c>
      <c r="L10056" s="10" t="inlineStr">
        <is>
          <t>Pháp Chế, Kiểm toán tài chính, Tài Chính Pháp Chế, Tài Chính Ngân Hàng, Pháp Lý Quản Trị Nội Bộ</t>
        </is>
      </c>
      <c r="M10056" s="10" t="inlineStr">
        <is>
          <t>Bonus, Healthcare Plan, Canteen</t>
        </is>
      </c>
      <c r="N10056" s="11">
        <f>HYPERLINK("https://www.vietnamworks.com/chuyen-gia-xu-ly-vi-pham-khoi-phap-che-va-tuan-thu-uu-tien-kinh-nghiem-mang-tin-dung-2004370-jv","Xem chi tiết")</f>
        <v/>
      </c>
      <c r="O10056" s="10" t="n"/>
    </row>
    <row r="10057">
      <c r="B10057" s="7" t="n">
        <v>10055</v>
      </c>
      <c r="C10057" t="inlineStr">
        <is>
          <t>Business Development Executive - Events</t>
        </is>
      </c>
      <c r="D10057" t="inlineStr">
        <is>
          <t>Dot Property Vietnam</t>
        </is>
      </c>
      <c r="E10057" t="inlineStr">
        <is>
          <t>Thương lượng</t>
        </is>
      </c>
      <c r="F10057" t="inlineStr">
        <is>
          <t>Hồ Chí Minh</t>
        </is>
      </c>
      <c r="G10057" t="inlineStr">
        <is>
          <t>Nhân viên</t>
        </is>
      </c>
      <c r="H10057" t="inlineStr">
        <is>
          <t>21/01/2026</t>
        </is>
      </c>
      <c r="I10057" t="inlineStr">
        <is>
          <t>11/04/2026</t>
        </is>
      </c>
      <c r="J10057" t="inlineStr">
        <is>
          <t>17/03/2026</t>
        </is>
      </c>
      <c r="K10057" t="inlineStr">
        <is>
          <t>N/A</t>
        </is>
      </c>
      <c r="L10057" t="inlineStr">
        <is>
          <t>Sales experience, Communication Skills, Presentation Skills, Relationship Management, Proactivity</t>
        </is>
      </c>
      <c r="M10057" t="inlineStr">
        <is>
          <t>Others</t>
        </is>
      </c>
      <c r="N10057" s="8">
        <f>HYPERLINK("https://www.vietnamworks.com/business-development-executive-events-2005092-jv","Xem chi tiết")</f>
        <v/>
      </c>
    </row>
    <row r="10058">
      <c r="B10058" s="9" t="n">
        <v>10056</v>
      </c>
      <c r="C10058" s="10" t="inlineStr">
        <is>
          <t>Junior Frontend Engineer - Work From Home</t>
        </is>
      </c>
      <c r="D10058" s="10" t="inlineStr">
        <is>
          <t>Vietnamworks' Client</t>
        </is>
      </c>
      <c r="E10058" s="10" t="inlineStr">
        <is>
          <t>Thương lượng</t>
        </is>
      </c>
      <c r="F10058" s="10" t="inlineStr">
        <is>
          <t>Quốc tế</t>
        </is>
      </c>
      <c r="G10058" s="10" t="inlineStr">
        <is>
          <t>Nhân viên</t>
        </is>
      </c>
      <c r="H10058" s="10" t="inlineStr">
        <is>
          <t>10/03/2026</t>
        </is>
      </c>
      <c r="I10058" s="10" t="inlineStr">
        <is>
          <t>11/04/2026</t>
        </is>
      </c>
      <c r="J10058" s="10" t="inlineStr">
        <is>
          <t>17/03/2026</t>
        </is>
      </c>
      <c r="K10058" s="10" t="inlineStr">
        <is>
          <t>N/A</t>
        </is>
      </c>
      <c r="L10058" s="10" t="inlineStr">
        <is>
          <t>React.js, TypeScript, Blockchain, Web3.js, Frontend development</t>
        </is>
      </c>
      <c r="M10058" s="10" t="inlineStr">
        <is>
          <t>Others</t>
        </is>
      </c>
      <c r="N10058" s="11">
        <f>HYPERLINK("https://www.vietnamworks.com/junior-frontend-engineer-work-from-home-2021402-jv","Xem chi tiết")</f>
        <v/>
      </c>
      <c r="O10058" s="10" t="n"/>
    </row>
    <row r="10059">
      <c r="B10059" s="7" t="n">
        <v>10057</v>
      </c>
      <c r="C10059" t="inlineStr">
        <is>
          <t>Nhân Viên Quản Lý Chất Lượng (Bắt Buộc Tốt Nghiệp Chuyên Ngành Cơ Khí)</t>
        </is>
      </c>
      <c r="D10059" t="inlineStr">
        <is>
          <t>Công Ty TNHH Sumitomo Heavy Industries (Việt Nam)</t>
        </is>
      </c>
      <c r="E10059" t="inlineStr">
        <is>
          <t>$$ 400-750 /tháng</t>
        </is>
      </c>
      <c r="F10059" t="inlineStr">
        <is>
          <t>Hà Nội</t>
        </is>
      </c>
      <c r="G10059" t="inlineStr">
        <is>
          <t>Nhân viên</t>
        </is>
      </c>
      <c r="H10059" t="inlineStr">
        <is>
          <t>23/01/2026</t>
        </is>
      </c>
      <c r="I10059" t="inlineStr">
        <is>
          <t>11/04/2026</t>
        </is>
      </c>
      <c r="J10059" t="inlineStr">
        <is>
          <t>17/03/2026</t>
        </is>
      </c>
      <c r="K10059" t="inlineStr">
        <is>
          <t>N/A</t>
        </is>
      </c>
      <c r="L10059" t="inlineStr">
        <is>
          <t>Cải Tiến Chất Lượng, Cơ Khí Chế Tạo Máy, Cơ Khí, IQC</t>
        </is>
      </c>
      <c r="M10059" t="inlineStr">
        <is>
          <t>Awards, Travel Opportunities, Canteen</t>
        </is>
      </c>
      <c r="N10059" s="8">
        <f>HYPERLINK("https://www.vietnamworks.com/nhan-vien-quan-ly-chat-luong-bat-buoc-tot-nghiep-chuyen-nganh-co-khi--2005916-jv","Xem chi tiết")</f>
        <v/>
      </c>
    </row>
    <row r="10060">
      <c r="B10060" s="9" t="n">
        <v>10058</v>
      </c>
      <c r="C10060" s="10" t="inlineStr">
        <is>
          <t>Giám Đốc Trung Tâm (Center Manager)</t>
        </is>
      </c>
      <c r="D10060" s="10" t="inlineStr">
        <is>
          <t>Công ty TNHH MTV Giáo Dục Việt Mỹ</t>
        </is>
      </c>
      <c r="E10060" s="10" t="inlineStr">
        <is>
          <t>Thương lượng</t>
        </is>
      </c>
      <c r="F10060" s="10" t="inlineStr">
        <is>
          <t>Đồng Nai, Bình Phước, Kiên Giang</t>
        </is>
      </c>
      <c r="G10060" s="10" t="inlineStr">
        <is>
          <t>Giám Đốc và Cấp Cao Hơn</t>
        </is>
      </c>
      <c r="H10060" s="10" t="inlineStr">
        <is>
          <t>23/01/2026</t>
        </is>
      </c>
      <c r="I10060" s="10" t="inlineStr">
        <is>
          <t>11/04/2026</t>
        </is>
      </c>
      <c r="J10060" s="10" t="inlineStr">
        <is>
          <t>17/03/2026</t>
        </is>
      </c>
      <c r="K10060" s="10" t="inlineStr">
        <is>
          <t>N/A</t>
        </is>
      </c>
      <c r="L10060" s="10" t="inlineStr">
        <is>
          <t>Quản Trị Kinh Doanh, Quản Lý Giáo Dục, Lãnh Đạo, Quản Lý Trải Nghiệm Khách Hàng, Điều Hành</t>
        </is>
      </c>
      <c r="M10060" s="10" t="inlineStr">
        <is>
          <t>Bonus, Healthcare Plan, Paid Leave, Training, Travel Opportunities, Others</t>
        </is>
      </c>
      <c r="N10060" s="11">
        <f>HYPERLINK("https://www.vietnamworks.com/giam-djoc-trung-tam-center-manager-2005541-jv","Xem chi tiết")</f>
        <v/>
      </c>
      <c r="O10060" s="10" t="n"/>
    </row>
    <row r="10061">
      <c r="B10061" s="7" t="n">
        <v>10059</v>
      </c>
      <c r="C10061" t="inlineStr">
        <is>
          <t>Kỹ Sư Công Trường Thi Công Hệ Thống PCCC</t>
        </is>
      </c>
      <c r="D10061" t="inlineStr">
        <is>
          <t>CÔNG TY CỔ PHẦN CÔNG NGHỆ BẢO AN VIỆT</t>
        </is>
      </c>
      <c r="E10061" t="inlineStr">
        <is>
          <t>15tr-30tr ₫/tháng</t>
        </is>
      </c>
      <c r="F10061" t="inlineStr">
        <is>
          <t>Hà Nội</t>
        </is>
      </c>
      <c r="G10061" t="inlineStr">
        <is>
          <t>Nhân viên</t>
        </is>
      </c>
      <c r="H10061" t="inlineStr">
        <is>
          <t>23/01/2026</t>
        </is>
      </c>
      <c r="I10061" t="inlineStr">
        <is>
          <t>11/04/2026</t>
        </is>
      </c>
      <c r="J10061" t="inlineStr">
        <is>
          <t>17/03/2026</t>
        </is>
      </c>
      <c r="K10061" t="inlineStr">
        <is>
          <t>N/A</t>
        </is>
      </c>
      <c r="L10061" t="inlineStr">
        <is>
          <t>Cơ Điện Công Trình, Giám Sát Thi Công Công Trình Xây Dựng, Kĩ Thuật Công Trường, Quản Lý Hệ Thống PCCC, Quản Lý Thi Công Hệ Thống PCCC</t>
        </is>
      </c>
      <c r="M10061" t="inlineStr">
        <is>
          <t>Bonus, Paid Leave, Training, Team Activities, Transportation</t>
        </is>
      </c>
      <c r="N10061" s="8">
        <f>HYPERLINK("https://www.vietnamworks.com/ky-su-cong-truong-thi-cong-he-thong-pccc-2005936-jv","Xem chi tiết")</f>
        <v/>
      </c>
    </row>
    <row r="10062">
      <c r="B10062" s="9" t="n">
        <v>10060</v>
      </c>
      <c r="C10062" s="10" t="inlineStr">
        <is>
          <t>Chỉ Huy Trưởng Dự Án Thi Công Hệ Thống PCCC</t>
        </is>
      </c>
      <c r="D10062" s="10" t="inlineStr">
        <is>
          <t>CÔNG TY CỔ PHẦN CÔNG NGHỆ BẢO AN VIỆT</t>
        </is>
      </c>
      <c r="E10062" s="10" t="inlineStr">
        <is>
          <t>15tr-30tr ₫/tháng</t>
        </is>
      </c>
      <c r="F10062" s="10" t="inlineStr">
        <is>
          <t>Hà Nội</t>
        </is>
      </c>
      <c r="G10062" s="10" t="inlineStr">
        <is>
          <t>Nhân viên</t>
        </is>
      </c>
      <c r="H10062" s="10" t="inlineStr">
        <is>
          <t>23/01/2026</t>
        </is>
      </c>
      <c r="I10062" s="10" t="inlineStr">
        <is>
          <t>11/04/2026</t>
        </is>
      </c>
      <c r="J10062" s="10" t="inlineStr">
        <is>
          <t>17/03/2026</t>
        </is>
      </c>
      <c r="K10062" s="10" t="inlineStr">
        <is>
          <t>N/A</t>
        </is>
      </c>
      <c r="L10062" s="10" t="inlineStr">
        <is>
          <t>Chỉ Huy Công Trình Cơ Điện, Kỹ Thuật Xây Dựng, Nghiệm Thu Thanh Toán, Thi Công Hệ Thống PCCC, Thiết Lập Bản Vẽ Thi Công</t>
        </is>
      </c>
      <c r="M10062" s="10" t="inlineStr">
        <is>
          <t>Bonus, Paid Leave, Training, Team Activities, Transportation</t>
        </is>
      </c>
      <c r="N10062" s="11">
        <f>HYPERLINK("https://www.vietnamworks.com/chi-huy-truong-du-an-thi-cong-he-thong-pccc-2005928-jv","Xem chi tiết")</f>
        <v/>
      </c>
      <c r="O10062" s="10" t="n"/>
    </row>
    <row r="10063">
      <c r="B10063" s="7" t="n">
        <v>10061</v>
      </c>
      <c r="C10063" t="inlineStr">
        <is>
          <t>Quality Assurance cum Technical Manager (Trưởng Phòng Kỹ Thuật kiêm Quản Lý Chất Lượng)</t>
        </is>
      </c>
      <c r="D10063" t="inlineStr">
        <is>
          <t>Bremick Việt Nam</t>
        </is>
      </c>
      <c r="E10063" t="inlineStr">
        <is>
          <t>Thương lượng</t>
        </is>
      </c>
      <c r="F10063" t="inlineStr">
        <is>
          <t>Bình Dương</t>
        </is>
      </c>
      <c r="G10063" t="inlineStr">
        <is>
          <t>Trưởng phòng</t>
        </is>
      </c>
      <c r="H10063" t="inlineStr">
        <is>
          <t>23/01/2026</t>
        </is>
      </c>
      <c r="I10063" t="inlineStr">
        <is>
          <t>11/04/2026</t>
        </is>
      </c>
      <c r="J10063" t="inlineStr">
        <is>
          <t>17/03/2026</t>
        </is>
      </c>
      <c r="K10063" t="inlineStr">
        <is>
          <t>N/A</t>
        </is>
      </c>
      <c r="L10063" t="inlineStr">
        <is>
          <t>Quản lý chất lượng, Sản xuất, Kỹ Thuật, QA, Giám Sát Chất Lượng</t>
        </is>
      </c>
      <c r="M10063" t="inlineStr">
        <is>
          <t>Paid Leave, Training</t>
        </is>
      </c>
      <c r="N10063" s="8">
        <f>HYPERLINK("https://www.vietnamworks.com/quality-assurance-cum-technical-manager-truong-phong-ky-thuat-kiem-quan-ly-chat-luong--2005513-jv","Xem chi tiết")</f>
        <v/>
      </c>
    </row>
    <row r="10064">
      <c r="B10064" s="9" t="n">
        <v>10062</v>
      </c>
      <c r="C10064" s="10" t="inlineStr">
        <is>
          <t>Chuyên Viên Khách Hàng Cá Nhân - Khu Vực Đà Nẵng</t>
        </is>
      </c>
      <c r="D10064" s="10" t="inlineStr">
        <is>
          <t>Ngân hàng TMCP Đại Chúng Việt Nam - PVcomBank</t>
        </is>
      </c>
      <c r="E10064" s="10" t="inlineStr">
        <is>
          <t>$$ 500-1,500 /tháng</t>
        </is>
      </c>
      <c r="F10064" s="10" t="inlineStr">
        <is>
          <t>Đà Nẵng</t>
        </is>
      </c>
      <c r="G10064" s="10" t="inlineStr">
        <is>
          <t>Nhân viên</t>
        </is>
      </c>
      <c r="H10064" s="10" t="inlineStr">
        <is>
          <t>22/01/2026</t>
        </is>
      </c>
      <c r="I10064" s="10" t="inlineStr">
        <is>
          <t>11/04/2026</t>
        </is>
      </c>
      <c r="J10064" s="10" t="inlineStr">
        <is>
          <t>17/03/2026</t>
        </is>
      </c>
      <c r="K10064" s="10" t="inlineStr">
        <is>
          <t>N/A</t>
        </is>
      </c>
      <c r="L10064" s="10" t="inlineStr">
        <is>
          <t>Tài Chính Ngân Hàng, Tư Vấn Bán Hàng, Dịch Vụ Ngân Hàng, Marketing, Phát Triển Kinh Doanh</t>
        </is>
      </c>
      <c r="M10064" s="10" t="inlineStr">
        <is>
          <t>Bonus, Paid Leave, Awards</t>
        </is>
      </c>
      <c r="N10064" s="11">
        <f>HYPERLINK("https://www.vietnamworks.com/chuyen-vien-khach-hang-ca-nhan-khu-vuc-da-nang-2005430-jv","Xem chi tiết")</f>
        <v/>
      </c>
      <c r="O10064" s="10" t="n"/>
    </row>
    <row r="10065">
      <c r="B10065" s="7" t="n">
        <v>10063</v>
      </c>
      <c r="C10065" t="inlineStr">
        <is>
          <t>Key Account Specialist - Rapid Diagnostics - Da Nang/ Can Tho</t>
        </is>
      </c>
      <c r="D10065" t="inlineStr">
        <is>
          <t>Abbott</t>
        </is>
      </c>
      <c r="E10065" t="inlineStr">
        <is>
          <t>Thương lượng</t>
        </is>
      </c>
      <c r="F10065" t="inlineStr">
        <is>
          <t>Đà Nẵng, Cần Thơ</t>
        </is>
      </c>
      <c r="G10065" t="inlineStr">
        <is>
          <t>Nhân viên</t>
        </is>
      </c>
      <c r="H10065" t="inlineStr">
        <is>
          <t>23/01/2026</t>
        </is>
      </c>
      <c r="I10065" t="inlineStr">
        <is>
          <t>11/04/2026</t>
        </is>
      </c>
      <c r="J10065" t="inlineStr">
        <is>
          <t>17/03/2026</t>
        </is>
      </c>
      <c r="K10065" t="inlineStr">
        <is>
          <t>N/A</t>
        </is>
      </c>
      <c r="L10065" t="inlineStr">
        <is>
          <t>Medical Device, Tender Management, Business Development, Sales, Account Management</t>
        </is>
      </c>
      <c r="M10065" t="inlineStr">
        <is>
          <t>Bonus, Healthcare Plan, Training</t>
        </is>
      </c>
      <c r="N10065" s="8">
        <f>HYPERLINK("https://www.vietnamworks.com/key-account-specialist-rapid-diagnostics-da-nang-can-tho-2005693-jv","Xem chi tiết")</f>
        <v/>
      </c>
    </row>
    <row r="10066">
      <c r="B10066" s="9" t="n">
        <v>10064</v>
      </c>
      <c r="C10066" s="10" t="inlineStr">
        <is>
          <t>Senior Backend Engineer (Work From Home)</t>
        </is>
      </c>
      <c r="D10066" s="10" t="inlineStr">
        <is>
          <t>Vietnamworks' Client</t>
        </is>
      </c>
      <c r="E10066" s="10" t="inlineStr">
        <is>
          <t>Thương lượng</t>
        </is>
      </c>
      <c r="F10066" s="10" t="inlineStr">
        <is>
          <t>Quốc tế</t>
        </is>
      </c>
      <c r="G10066" s="10" t="inlineStr">
        <is>
          <t>Nhân viên</t>
        </is>
      </c>
      <c r="H10066" s="10" t="inlineStr">
        <is>
          <t>10/03/2026</t>
        </is>
      </c>
      <c r="I10066" s="10" t="inlineStr">
        <is>
          <t>11/04/2026</t>
        </is>
      </c>
      <c r="J10066" s="10" t="inlineStr">
        <is>
          <t>17/03/2026</t>
        </is>
      </c>
      <c r="K10066" s="10" t="inlineStr">
        <is>
          <t>N/A</t>
        </is>
      </c>
      <c r="L10066" s="10" t="inlineStr">
        <is>
          <t>Java, PostgreSQL, Spring Boot, RESTful API, Apache Kafka</t>
        </is>
      </c>
      <c r="M10066" s="10" t="inlineStr">
        <is>
          <t>Others</t>
        </is>
      </c>
      <c r="N10066" s="11">
        <f>HYPERLINK("https://www.vietnamworks.com/senior-backend-engineer-work-from-home-2021337-jv","Xem chi tiết")</f>
        <v/>
      </c>
      <c r="O10066" s="10" t="n"/>
    </row>
    <row r="10067">
      <c r="B10067" s="7" t="n">
        <v>10065</v>
      </c>
      <c r="C10067" t="inlineStr">
        <is>
          <t>Nhân Viên Hồ Sơ Đấu Thầu, Hồ Sơ Thanh Quyết Toán Dự Án Thi Công Hệ Thống PCCC</t>
        </is>
      </c>
      <c r="D10067" t="inlineStr">
        <is>
          <t>CÔNG TY CỔ PHẦN CÔNG NGHỆ BẢO AN VIỆT</t>
        </is>
      </c>
      <c r="E10067" t="inlineStr">
        <is>
          <t>15tr-30tr ₫/tháng</t>
        </is>
      </c>
      <c r="F10067" t="inlineStr">
        <is>
          <t>Hà Nội</t>
        </is>
      </c>
      <c r="G10067" t="inlineStr">
        <is>
          <t>Nhân viên</t>
        </is>
      </c>
      <c r="H10067" t="inlineStr">
        <is>
          <t>23/01/2026</t>
        </is>
      </c>
      <c r="I10067" t="inlineStr">
        <is>
          <t>11/04/2026</t>
        </is>
      </c>
      <c r="J10067" t="inlineStr">
        <is>
          <t>17/03/2026</t>
        </is>
      </c>
      <c r="K10067" t="inlineStr">
        <is>
          <t>N/A</t>
        </is>
      </c>
      <c r="L10067" t="inlineStr">
        <is>
          <t>Hồ Sơ Nghiệm Thu Dự Án, Kinh Tế Xây Dựng, Làm Hồ Sơ Thanh Quyết Toán, Lập Báo Giá Thi Công, Đấu Thầu Xây Dựng</t>
        </is>
      </c>
      <c r="M10067" t="inlineStr">
        <is>
          <t>Bonus, Paid Leave, Training, Team Activities, Transportation</t>
        </is>
      </c>
      <c r="N10067" s="8">
        <f>HYPERLINK("https://www.vietnamworks.com/nhan-vien-ho-so-djau-thau-ho-so-thanh-quyet-toan-du-an-thi-cong-he-thong-pccc-2005943-jv","Xem chi tiết")</f>
        <v/>
      </c>
    </row>
    <row r="10068">
      <c r="B10068" s="9" t="n">
        <v>10066</v>
      </c>
      <c r="C10068" s="10" t="inlineStr">
        <is>
          <t>Administration Executive</t>
        </is>
      </c>
      <c r="D10068" s="10" t="inlineStr">
        <is>
          <t>SPS Vietnam Company Ltd.</t>
        </is>
      </c>
      <c r="E10068" s="10" t="inlineStr">
        <is>
          <t>$$ 600-700 /tháng</t>
        </is>
      </c>
      <c r="F10068" s="10" t="inlineStr">
        <is>
          <t>Hồ Chí Minh</t>
        </is>
      </c>
      <c r="G10068" s="10" t="inlineStr">
        <is>
          <t>Nhân viên</t>
        </is>
      </c>
      <c r="H10068" s="10" t="inlineStr">
        <is>
          <t>23/01/2026</t>
        </is>
      </c>
      <c r="I10068" s="10" t="inlineStr">
        <is>
          <t>11/04/2026</t>
        </is>
      </c>
      <c r="J10068" s="10" t="inlineStr">
        <is>
          <t>17/03/2026</t>
        </is>
      </c>
      <c r="K10068" s="10" t="inlineStr">
        <is>
          <t>N/A</t>
        </is>
      </c>
      <c r="L10068" s="10" t="inlineStr">
        <is>
          <t>Office Administration, Front Desk Management, Facilities Management, Purchasing Support, Travel Arrangement</t>
        </is>
      </c>
      <c r="M10068" s="10" t="inlineStr">
        <is>
          <t>Bonus, Healthcare Plan, Team Activities</t>
        </is>
      </c>
      <c r="N10068" s="11">
        <f>HYPERLINK("https://www.vietnamworks.com/administration-executive--2005599-jv","Xem chi tiết")</f>
        <v/>
      </c>
      <c r="O10068" s="10" t="n"/>
    </row>
    <row r="10069">
      <c r="B10069" s="7" t="n">
        <v>10067</v>
      </c>
      <c r="C10069" t="inlineStr">
        <is>
          <t>Kỹ Sư Giám Sát (M&amp;E) - Đơn Vị Tư Vấn</t>
        </is>
      </c>
      <c r="D10069" t="inlineStr">
        <is>
          <t>CÔNG TY CỔ PHẦN XÂY DỰNG THỊNH MỘC</t>
        </is>
      </c>
      <c r="E10069" t="inlineStr">
        <is>
          <t>Tới $ 1,000 /tháng</t>
        </is>
      </c>
      <c r="F10069" t="inlineStr">
        <is>
          <t>Tây Ninh, Đà Nẵng</t>
        </is>
      </c>
      <c r="G10069" t="inlineStr">
        <is>
          <t>Nhân viên</t>
        </is>
      </c>
      <c r="H10069" t="inlineStr">
        <is>
          <t>09/03/2026</t>
        </is>
      </c>
      <c r="I10069" t="inlineStr">
        <is>
          <t>11/04/2026</t>
        </is>
      </c>
      <c r="J10069" t="inlineStr">
        <is>
          <t>17/03/2026</t>
        </is>
      </c>
      <c r="K10069" t="inlineStr">
        <is>
          <t>N/A</t>
        </is>
      </c>
      <c r="L10069" t="inlineStr">
        <is>
          <t>Autocad, Giám Sát Thi Công, Lập Hồ Sơ Quyết Toán, Nghiệm Thu, Tư Vấn Giám Sát Xây Dựng</t>
        </is>
      </c>
      <c r="M10069" t="inlineStr">
        <is>
          <t>Others</t>
        </is>
      </c>
      <c r="N10069" s="8">
        <f>HYPERLINK("https://www.vietnamworks.com/ky-su-giam-sat-mande-djon-vi-tu-van-2020482-jv","Xem chi tiết")</f>
        <v/>
      </c>
    </row>
    <row r="10070">
      <c r="B10070" s="9" t="n">
        <v>10068</v>
      </c>
      <c r="C10070" s="10" t="inlineStr">
        <is>
          <t>Nhân Viên Kinh Doanh Thiết Bị Đo Lường</t>
        </is>
      </c>
      <c r="D10070" s="10" t="inlineStr">
        <is>
          <t>Công Ty Cổ Phần Kinh Doanh Thiết Bị Đo Lường</t>
        </is>
      </c>
      <c r="E10070" s="10" t="inlineStr">
        <is>
          <t>Thương lượng</t>
        </is>
      </c>
      <c r="F10070" s="10" t="inlineStr">
        <is>
          <t>Hà Nội, Đà Nẵng, Hồ Chí Minh</t>
        </is>
      </c>
      <c r="G10070" s="10" t="inlineStr">
        <is>
          <t>Nhân viên</t>
        </is>
      </c>
      <c r="H10070" s="10" t="inlineStr">
        <is>
          <t>23/01/2026</t>
        </is>
      </c>
      <c r="I10070" s="10" t="inlineStr">
        <is>
          <t>11/04/2026</t>
        </is>
      </c>
      <c r="J10070" s="10" t="inlineStr">
        <is>
          <t>17/03/2026</t>
        </is>
      </c>
      <c r="K10070" s="10" t="inlineStr">
        <is>
          <t>N/A</t>
        </is>
      </c>
      <c r="L10070" s="10" t="inlineStr">
        <is>
          <t>Bán Hàng Cơ Khí, Thiết Bị Đo Lường, Tư Vấn Sản Phẩm, Phát Triển Khách Hàng, Tiếng Anh</t>
        </is>
      </c>
      <c r="M10070" s="10" t="inlineStr">
        <is>
          <t>Bonus, Training, Others</t>
        </is>
      </c>
      <c r="N10070" s="11">
        <f>HYPERLINK("https://www.vietnamworks.com/nhan-vien-kinh-doanh-thiet-bi-do-luong--2005815-jv","Xem chi tiết")</f>
        <v/>
      </c>
      <c r="O10070" s="10" t="n"/>
    </row>
    <row r="10071">
      <c r="B10071" s="7" t="n">
        <v>10069</v>
      </c>
      <c r="C10071" t="inlineStr">
        <is>
          <t>Business Consultant (Prefer Shipping Line)</t>
        </is>
      </c>
      <c r="D10071" t="inlineStr">
        <is>
          <t>CyberLogitec Vietnam Co., Ltd.</t>
        </is>
      </c>
      <c r="E10071" t="inlineStr">
        <is>
          <t>Thương lượng</t>
        </is>
      </c>
      <c r="F10071" t="inlineStr">
        <is>
          <t>Hồ Chí Minh</t>
        </is>
      </c>
      <c r="G10071" t="inlineStr">
        <is>
          <t>Nhân viên</t>
        </is>
      </c>
      <c r="H10071" t="inlineStr">
        <is>
          <t>27/02/2026</t>
        </is>
      </c>
      <c r="I10071" t="inlineStr">
        <is>
          <t>11/04/2026</t>
        </is>
      </c>
      <c r="J10071" t="inlineStr">
        <is>
          <t>17/03/2026</t>
        </is>
      </c>
      <c r="K10071" t="inlineStr">
        <is>
          <t>N/A</t>
        </is>
      </c>
      <c r="L10071" t="inlineStr">
        <is>
          <t>English, Shipping, Logistics, Business Consulting, Analytical</t>
        </is>
      </c>
      <c r="M10071" t="inlineStr">
        <is>
          <t>Bonus, Healthcare Plan, Training</t>
        </is>
      </c>
      <c r="N10071" s="8">
        <f>HYPERLINK("https://www.vietnamworks.com/business-consultant-prefer-shipping-line-2016150-jv","Xem chi tiết")</f>
        <v/>
      </c>
    </row>
    <row r="10072">
      <c r="B10072" s="9" t="n">
        <v>10070</v>
      </c>
      <c r="C10072" s="10" t="inlineStr">
        <is>
          <t>O&amp;M Engineer (Operational Excellence Executive-Rooftop Solar Engineer) (01 employee in HCM or 01 employee in Hà Nội)</t>
        </is>
      </c>
      <c r="D10072" s="10" t="inlineStr">
        <is>
          <t>Verdant Energy</t>
        </is>
      </c>
      <c r="E10072" s="10" t="inlineStr">
        <is>
          <t>Thương lượng</t>
        </is>
      </c>
      <c r="F10072" s="10" t="inlineStr">
        <is>
          <t>Hà Nội, Hồ Chí Minh</t>
        </is>
      </c>
      <c r="G10072" s="10" t="inlineStr">
        <is>
          <t>Nhân viên</t>
        </is>
      </c>
      <c r="H10072" s="10" t="inlineStr">
        <is>
          <t>10/03/2026</t>
        </is>
      </c>
      <c r="I10072" s="10" t="inlineStr">
        <is>
          <t>11/04/2026</t>
        </is>
      </c>
      <c r="J10072" s="10" t="inlineStr">
        <is>
          <t>17/03/2026</t>
        </is>
      </c>
      <c r="K10072" s="10" t="inlineStr">
        <is>
          <t>N/A</t>
        </is>
      </c>
      <c r="L10072" s="10" t="inlineStr">
        <is>
          <t>Renewable Energy Operations, O&amp;M, Solar Projects, English Communication</t>
        </is>
      </c>
      <c r="M10072" s="10" t="inlineStr">
        <is>
          <t>Bonus, Healthcare Plan, Paid Leave, Training, Laptop, Team Activities, Transportation, Others</t>
        </is>
      </c>
      <c r="N10072" s="11">
        <f>HYPERLINK("https://www.vietnamworks.com/oandm-engineer-operational-excellence-executive-rooftop-solar-engineer-01-employee-in-hcm-or-01-employee-in-ha-noi-2021414-jv","Xem chi tiết")</f>
        <v/>
      </c>
      <c r="O10072" s="10" t="n"/>
    </row>
    <row r="10073">
      <c r="B10073" s="7" t="n">
        <v>10071</v>
      </c>
      <c r="C10073" t="inlineStr">
        <is>
          <t>Tuyển Gấp - Kế Toán Tổng Hợp Thuế</t>
        </is>
      </c>
      <c r="D10073" t="inlineStr">
        <is>
          <t>Công Ty Cổ Phần Dược Phúc Thái</t>
        </is>
      </c>
      <c r="E10073" t="inlineStr">
        <is>
          <t>18tr-25tr ₫/tháng</t>
        </is>
      </c>
      <c r="F10073" t="inlineStr">
        <is>
          <t>Hà Nội</t>
        </is>
      </c>
      <c r="G10073" t="inlineStr">
        <is>
          <t>Nhân viên</t>
        </is>
      </c>
      <c r="H10073" t="inlineStr">
        <is>
          <t>22/01/2026</t>
        </is>
      </c>
      <c r="I10073" t="inlineStr">
        <is>
          <t>11/04/2026</t>
        </is>
      </c>
      <c r="J10073" t="inlineStr">
        <is>
          <t>17/03/2026</t>
        </is>
      </c>
      <c r="K10073" t="inlineStr">
        <is>
          <t>N/A</t>
        </is>
      </c>
      <c r="L10073" t="inlineStr">
        <is>
          <t>Soạn Báo Cáo, Hạch Toán, Lập Báo Cáo Tài Chính, Quyết Toán Thuế, Đối Chiếu Số Liệu</t>
        </is>
      </c>
      <c r="M10073" t="inlineStr">
        <is>
          <t>Bonus, Healthcare Plan, Paid Leave, Mobile, Travel Opportunities</t>
        </is>
      </c>
      <c r="N10073" s="8">
        <f>HYPERLINK("https://www.vietnamworks.com/tuyen-gap-ke-toan-tong-hop-thue--2005389-jv","Xem chi tiết")</f>
        <v/>
      </c>
    </row>
    <row r="10074">
      <c r="B10074" s="9" t="n">
        <v>10072</v>
      </c>
      <c r="C10074" s="10" t="inlineStr">
        <is>
          <t>Giáo Viên Mầm Non (Preschool Teacher)</t>
        </is>
      </c>
      <c r="D10074" s="10" t="inlineStr">
        <is>
          <t>Công Ty TNHH Spring Hill Education</t>
        </is>
      </c>
      <c r="E10074" s="10" t="inlineStr">
        <is>
          <t>$$ 500-1,000 /tháng</t>
        </is>
      </c>
      <c r="F10074" s="10" t="inlineStr">
        <is>
          <t>Hồ Chí Minh</t>
        </is>
      </c>
      <c r="G10074" s="10" t="inlineStr">
        <is>
          <t>Mới Tốt Nghiệp</t>
        </is>
      </c>
      <c r="H10074" s="10" t="inlineStr">
        <is>
          <t>11/03/2026</t>
        </is>
      </c>
      <c r="I10074" s="10" t="inlineStr">
        <is>
          <t>11/04/2026</t>
        </is>
      </c>
      <c r="J10074" s="10" t="inlineStr">
        <is>
          <t>17/03/2026</t>
        </is>
      </c>
      <c r="K10074" s="10" t="inlineStr">
        <is>
          <t>N/A</t>
        </is>
      </c>
      <c r="L10074" s="10" t="inlineStr">
        <is>
          <t>Dạy Trẻ Mầm Non, Giảng Dạy, Giáo Dục, Giáo Dục Mầm Non, Sư Phạm Mầm Non</t>
        </is>
      </c>
      <c r="M10074" s="10" t="inlineStr">
        <is>
          <t>Bonus, Training, Team Activities</t>
        </is>
      </c>
      <c r="N10074" s="11">
        <f>HYPERLINK("https://www.vietnamworks.com/giao-vien-mam-non-preschool-teacher-2021855-jv","Xem chi tiết")</f>
        <v/>
      </c>
      <c r="O10074" s="10" t="n"/>
    </row>
    <row r="10075">
      <c r="B10075" s="7" t="n">
        <v>10073</v>
      </c>
      <c r="C10075" t="inlineStr">
        <is>
          <t>Graphic Designer</t>
        </is>
      </c>
      <c r="D10075" t="inlineStr">
        <is>
          <t>Công ty TNHH Reclub Vietnam</t>
        </is>
      </c>
      <c r="E10075" t="inlineStr">
        <is>
          <t>Thương lượng</t>
        </is>
      </c>
      <c r="F10075" t="inlineStr">
        <is>
          <t>Hồ Chí Minh</t>
        </is>
      </c>
      <c r="G10075" t="inlineStr">
        <is>
          <t>Nhân viên</t>
        </is>
      </c>
      <c r="H10075" t="inlineStr">
        <is>
          <t>11/03/2026</t>
        </is>
      </c>
      <c r="I10075" t="inlineStr">
        <is>
          <t>11/04/2026</t>
        </is>
      </c>
      <c r="J10075" t="inlineStr">
        <is>
          <t>17/03/2026</t>
        </is>
      </c>
      <c r="K10075" t="inlineStr">
        <is>
          <t>N/A</t>
        </is>
      </c>
      <c r="L10075" t="inlineStr">
        <is>
          <t>Graphic Design, Campaign Designs, Digital Content, Social Media Content, Visual Branding</t>
        </is>
      </c>
      <c r="M10075" t="inlineStr">
        <is>
          <t>Bonus, Healthcare Plan, Paid Leave, Transportation, Others</t>
        </is>
      </c>
      <c r="N10075" s="8">
        <f>HYPERLINK("https://www.vietnamworks.com/graphic-designer-2021814-jv","Xem chi tiết")</f>
        <v/>
      </c>
    </row>
    <row r="10076">
      <c r="B10076" s="9" t="n">
        <v>10074</v>
      </c>
      <c r="C10076" s="10" t="inlineStr">
        <is>
          <t>Giám Đốc Nhân Sự</t>
        </is>
      </c>
      <c r="D10076" s="10" t="inlineStr">
        <is>
          <t>Công Ty TNHH Anh Nguyễn</t>
        </is>
      </c>
      <c r="E10076" s="10" t="inlineStr">
        <is>
          <t>20tr-30tr ₫/tháng</t>
        </is>
      </c>
      <c r="F10076" s="10" t="inlineStr">
        <is>
          <t>Hà Nội</t>
        </is>
      </c>
      <c r="G10076" s="10" t="inlineStr">
        <is>
          <t>Giám Đốc và Cấp Cao Hơn</t>
        </is>
      </c>
      <c r="H10076" s="10" t="inlineStr">
        <is>
          <t>23/01/2026</t>
        </is>
      </c>
      <c r="I10076" s="10" t="inlineStr">
        <is>
          <t>11/04/2026</t>
        </is>
      </c>
      <c r="J10076" s="10" t="inlineStr">
        <is>
          <t>17/03/2026</t>
        </is>
      </c>
      <c r="K10076" s="10" t="inlineStr">
        <is>
          <t>N/A</t>
        </is>
      </c>
      <c r="L10076" s="10" t="inlineStr">
        <is>
          <t>C&amp;B, Hoạch Định Chiến Lược, Quản Lý Nhân Sự, Tuyển Dụng, Đào Tạo</t>
        </is>
      </c>
      <c r="M10076" s="10" t="inlineStr">
        <is>
          <t>Bonus, Healthcare Plan, Paid Leave, Canteen</t>
        </is>
      </c>
      <c r="N10076" s="11">
        <f>HYPERLINK("https://www.vietnamworks.com/giam-djoc-nhan-su-2005830-jv","Xem chi tiết")</f>
        <v/>
      </c>
      <c r="O10076" s="10" t="n"/>
    </row>
    <row r="10077">
      <c r="B10077" s="7" t="n">
        <v>10075</v>
      </c>
      <c r="C10077" t="inlineStr">
        <is>
          <t>Giáo Viên Tiểu Học (Primary Teacher)</t>
        </is>
      </c>
      <c r="D10077" t="inlineStr">
        <is>
          <t>Công Ty TNHH Spring Hill Education</t>
        </is>
      </c>
      <c r="E10077" t="inlineStr">
        <is>
          <t>Thương lượng</t>
        </is>
      </c>
      <c r="F10077" t="inlineStr">
        <is>
          <t>Hồ Chí Minh</t>
        </is>
      </c>
      <c r="G10077" t="inlineStr">
        <is>
          <t>Nhân viên</t>
        </is>
      </c>
      <c r="H10077" t="inlineStr">
        <is>
          <t>11/03/2026</t>
        </is>
      </c>
      <c r="I10077" t="inlineStr">
        <is>
          <t>11/04/2026</t>
        </is>
      </c>
      <c r="J10077" t="inlineStr">
        <is>
          <t>17/03/2026</t>
        </is>
      </c>
      <c r="K10077" t="inlineStr">
        <is>
          <t>N/A</t>
        </is>
      </c>
      <c r="L10077" t="inlineStr">
        <is>
          <t>Giảng Dạy, Giảng Dạy Tiểu Học, Giáo Dục, Primary Education, Sư Phạm</t>
        </is>
      </c>
      <c r="M10077" t="inlineStr">
        <is>
          <t>Bonus, Training, Team Activities</t>
        </is>
      </c>
      <c r="N10077" s="8">
        <f>HYPERLINK("https://www.vietnamworks.com/giao-vien-tieu-hoc-primary-teacher-2021876-jv","Xem chi tiết")</f>
        <v/>
      </c>
    </row>
    <row r="10078">
      <c r="B10078" s="9" t="n">
        <v>10076</v>
      </c>
      <c r="C10078" s="10" t="inlineStr">
        <is>
          <t>Partnerships Manager</t>
        </is>
      </c>
      <c r="D10078" s="10" t="inlineStr">
        <is>
          <t>Công ty TNHH Reclub Vietnam</t>
        </is>
      </c>
      <c r="E10078" s="10" t="inlineStr">
        <is>
          <t>Thương lượng</t>
        </is>
      </c>
      <c r="F10078" s="10" t="inlineStr">
        <is>
          <t>Hồ Chí Minh</t>
        </is>
      </c>
      <c r="G10078" s="10" t="inlineStr">
        <is>
          <t>Trưởng phòng</t>
        </is>
      </c>
      <c r="H10078" s="10" t="inlineStr">
        <is>
          <t>11/03/2026</t>
        </is>
      </c>
      <c r="I10078" s="10" t="inlineStr">
        <is>
          <t>11/04/2026</t>
        </is>
      </c>
      <c r="J10078" s="10" t="inlineStr">
        <is>
          <t>17/03/2026</t>
        </is>
      </c>
      <c r="K10078" s="10" t="inlineStr">
        <is>
          <t>N/A</t>
        </is>
      </c>
      <c r="L10078" s="10" t="inlineStr">
        <is>
          <t>Event Coordination, Project Management, Stakeholder Management, Key Account Management, Partnership Development</t>
        </is>
      </c>
      <c r="M10078" s="10" t="inlineStr">
        <is>
          <t>Healthcare Plan, Laptop, Transportation, Canteen, Others</t>
        </is>
      </c>
      <c r="N10078" s="11">
        <f>HYPERLINK("https://www.vietnamworks.com/partnerships-manager--2021778-jv","Xem chi tiết")</f>
        <v/>
      </c>
      <c r="O10078" s="10" t="n"/>
    </row>
    <row r="10079">
      <c r="B10079" s="7" t="n">
        <v>10077</v>
      </c>
      <c r="C10079" t="inlineStr">
        <is>
          <t>Accountant</t>
        </is>
      </c>
      <c r="D10079" t="inlineStr">
        <is>
          <t>Vietnam Manual Tax Consulting CO., LTD</t>
        </is>
      </c>
      <c r="E10079" t="inlineStr">
        <is>
          <t>Thương lượng</t>
        </is>
      </c>
      <c r="F10079" t="inlineStr">
        <is>
          <t>Hà Nội</t>
        </is>
      </c>
      <c r="G10079" t="inlineStr">
        <is>
          <t>Mới Tốt Nghiệp</t>
        </is>
      </c>
      <c r="H10079" t="inlineStr">
        <is>
          <t>09/03/2026</t>
        </is>
      </c>
      <c r="I10079" t="inlineStr">
        <is>
          <t>11/04/2026</t>
        </is>
      </c>
      <c r="J10079" t="inlineStr">
        <is>
          <t>17/03/2026</t>
        </is>
      </c>
      <c r="K10079" t="inlineStr">
        <is>
          <t>N/A</t>
        </is>
      </c>
      <c r="L10079" t="inlineStr">
        <is>
          <t>Banking Transaction, Invoice Management, Tax Reporting, Financial Report, English</t>
        </is>
      </c>
      <c r="M10079" t="inlineStr">
        <is>
          <t>Bonus, Healthcare Plan</t>
        </is>
      </c>
      <c r="N10079" s="8">
        <f>HYPERLINK("https://www.vietnamworks.com/accountant--2020563-jv","Xem chi tiết")</f>
        <v/>
      </c>
    </row>
    <row r="10080">
      <c r="B10080" s="9" t="n">
        <v>10078</v>
      </c>
      <c r="C10080" s="10" t="inlineStr">
        <is>
          <t>Junior Business Development Manager - Work From Home</t>
        </is>
      </c>
      <c r="D10080" s="10" t="inlineStr">
        <is>
          <t>Vietnamworks' Client</t>
        </is>
      </c>
      <c r="E10080" s="10" t="inlineStr">
        <is>
          <t>Thương lượng</t>
        </is>
      </c>
      <c r="F10080" s="10" t="inlineStr">
        <is>
          <t>Quốc tế</t>
        </is>
      </c>
      <c r="G10080" s="10" t="inlineStr">
        <is>
          <t>Nhân viên</t>
        </is>
      </c>
      <c r="H10080" s="10" t="inlineStr">
        <is>
          <t>11/03/2026</t>
        </is>
      </c>
      <c r="I10080" s="10" t="inlineStr">
        <is>
          <t>11/04/2026</t>
        </is>
      </c>
      <c r="J10080" s="10" t="inlineStr">
        <is>
          <t>17/03/2026</t>
        </is>
      </c>
      <c r="K10080" s="10" t="inlineStr">
        <is>
          <t>N/A</t>
        </is>
      </c>
      <c r="L10080" s="10" t="inlineStr">
        <is>
          <t>Sales Business Development, Account Management, Marketing Strategy, Strategic Planning, Data Analysis</t>
        </is>
      </c>
      <c r="M10080" s="10" t="inlineStr">
        <is>
          <t>Others</t>
        </is>
      </c>
      <c r="N10080" s="11">
        <f>HYPERLINK("https://www.vietnamworks.com/junior-business-development-manager-work-from-home-2021628-jv","Xem chi tiết")</f>
        <v/>
      </c>
      <c r="O10080" s="10" t="n"/>
    </row>
    <row r="10081">
      <c r="B10081" s="7" t="n">
        <v>10079</v>
      </c>
      <c r="C10081" t="inlineStr">
        <is>
          <t>Senior Business Development (Expat Only)</t>
        </is>
      </c>
      <c r="D10081" t="inlineStr">
        <is>
          <t>Maker Sixty Four</t>
        </is>
      </c>
      <c r="E10081" t="inlineStr">
        <is>
          <t>Thương lượng</t>
        </is>
      </c>
      <c r="F10081" t="inlineStr">
        <is>
          <t>Hồ Chí Minh</t>
        </is>
      </c>
      <c r="G10081" t="inlineStr">
        <is>
          <t>Nhân viên</t>
        </is>
      </c>
      <c r="H10081" t="inlineStr">
        <is>
          <t>11/03/2026</t>
        </is>
      </c>
      <c r="I10081" t="inlineStr">
        <is>
          <t>11/04/2026</t>
        </is>
      </c>
      <c r="J10081" t="inlineStr">
        <is>
          <t>17/03/2026</t>
        </is>
      </c>
      <c r="K10081" t="inlineStr">
        <is>
          <t>N/A</t>
        </is>
      </c>
      <c r="L10081" t="inlineStr">
        <is>
          <t>Sales, Client Engagement, Market Research, Trade Show Exhibitor, Collaboration</t>
        </is>
      </c>
      <c r="M10081" t="inlineStr">
        <is>
          <t>Bonus, Healthcare Plan, Paid Leave, Awards, Transportation, Others</t>
        </is>
      </c>
      <c r="N10081" s="8">
        <f>HYPERLINK("https://www.vietnamworks.com/senior-business-development-expat-only-2021986-jv","Xem chi tiết")</f>
        <v/>
      </c>
    </row>
    <row r="10082">
      <c r="B10082" s="9" t="n">
        <v>10080</v>
      </c>
      <c r="C10082" s="10" t="inlineStr">
        <is>
          <t>Chuyên Viên Kinh Doanh Xuất Khẩu</t>
        </is>
      </c>
      <c r="D10082" s="10" t="inlineStr">
        <is>
          <t>Công Ty Cổ Phần Thép Hòa Phát Dung Quất</t>
        </is>
      </c>
      <c r="E10082" s="10" t="inlineStr">
        <is>
          <t>Thương lượng</t>
        </is>
      </c>
      <c r="F10082" s="10" t="inlineStr">
        <is>
          <t>Hà Nội</t>
        </is>
      </c>
      <c r="G10082" s="10" t="inlineStr">
        <is>
          <t>Nhân viên</t>
        </is>
      </c>
      <c r="H10082" s="10" t="inlineStr">
        <is>
          <t>12/03/2026</t>
        </is>
      </c>
      <c r="I10082" s="10" t="inlineStr">
        <is>
          <t>11/04/2026</t>
        </is>
      </c>
      <c r="J10082" s="10" t="inlineStr">
        <is>
          <t>17/03/2026</t>
        </is>
      </c>
      <c r="K10082" s="10" t="inlineStr">
        <is>
          <t>N/A</t>
        </is>
      </c>
      <c r="L10082" s="10" t="inlineStr">
        <is>
          <t>Xuất Nhập Khẩu, Kinh Doanh, Shipping Logistics, Tiếng Anh</t>
        </is>
      </c>
      <c r="M10082" s="10" t="inlineStr">
        <is>
          <t>Bonus, Travel Opportunities, Transportation</t>
        </is>
      </c>
      <c r="N10082" s="11">
        <f>HYPERLINK("https://www.vietnamworks.com/chuyen-vien-kinh-doanh-xuat-khau--2022180-jv","Xem chi tiết")</f>
        <v/>
      </c>
      <c r="O10082" s="10" t="n"/>
    </row>
    <row r="10083">
      <c r="B10083" s="7" t="n">
        <v>10081</v>
      </c>
      <c r="C10083" t="inlineStr">
        <is>
          <t>Operation Manager (Quản Lý Dự Án Activation)</t>
        </is>
      </c>
      <c r="D10083" t="inlineStr">
        <is>
          <t>ST Communications</t>
        </is>
      </c>
      <c r="E10083" t="inlineStr">
        <is>
          <t>Thương lượng</t>
        </is>
      </c>
      <c r="F10083" t="inlineStr">
        <is>
          <t>Hà Nội</t>
        </is>
      </c>
      <c r="G10083" t="inlineStr">
        <is>
          <t>Trưởng phòng</t>
        </is>
      </c>
      <c r="H10083" t="inlineStr">
        <is>
          <t>11/03/2026</t>
        </is>
      </c>
      <c r="I10083" t="inlineStr">
        <is>
          <t>11/04/2026</t>
        </is>
      </c>
      <c r="J10083" t="inlineStr">
        <is>
          <t>17/03/2026</t>
        </is>
      </c>
      <c r="K10083" t="inlineStr">
        <is>
          <t>N/A</t>
        </is>
      </c>
      <c r="L10083" t="inlineStr">
        <is>
          <t>Budget Control, KPI Tracking, Logistics Management, Marketing Activation, Supplier Management</t>
        </is>
      </c>
      <c r="M10083" t="inlineStr">
        <is>
          <t>Paid Leave, Others</t>
        </is>
      </c>
      <c r="N10083" s="8">
        <f>HYPERLINK("https://www.vietnamworks.com/operation-manager-quan-ly-du-an-activation-2021874-jv","Xem chi tiết")</f>
        <v/>
      </c>
    </row>
    <row r="10084">
      <c r="B10084" s="9" t="n">
        <v>10082</v>
      </c>
      <c r="C10084" s="10" t="inlineStr">
        <is>
          <t>Trưởng Phòng Chăm Sóc Khách Hàng</t>
        </is>
      </c>
      <c r="D10084" s="10" t="inlineStr">
        <is>
          <t>Công ty TNHH MTV Giáo Dục Việt Mỹ</t>
        </is>
      </c>
      <c r="E10084" s="10" t="inlineStr">
        <is>
          <t>15tr-30tr ₫/tháng</t>
        </is>
      </c>
      <c r="F10084" s="10" t="inlineStr">
        <is>
          <t>Đồng Nai</t>
        </is>
      </c>
      <c r="G10084" s="10" t="inlineStr">
        <is>
          <t>Trưởng phòng</t>
        </is>
      </c>
      <c r="H10084" s="10" t="inlineStr">
        <is>
          <t>24/01/2026</t>
        </is>
      </c>
      <c r="I10084" s="10" t="inlineStr">
        <is>
          <t>11/04/2026</t>
        </is>
      </c>
      <c r="J10084" s="10" t="inlineStr">
        <is>
          <t>17/03/2026</t>
        </is>
      </c>
      <c r="K10084" s="10" t="inlineStr">
        <is>
          <t>N/A</t>
        </is>
      </c>
      <c r="L10084" s="10" t="inlineStr">
        <is>
          <t>Giao Tiếp, Phân Tích Dữ Liệu, Quản Lý Đội Nhóm, Điều Phối Xưởng, Tư Duy Trách Nhiệm</t>
        </is>
      </c>
      <c r="M10084" s="10" t="inlineStr">
        <is>
          <t>Others</t>
        </is>
      </c>
      <c r="N10084" s="11">
        <f>HYPERLINK("https://www.vietnamworks.com/truong-phong-cham-soc-khach-hang-2006015-jv","Xem chi tiết")</f>
        <v/>
      </c>
      <c r="O10084" s="10" t="n"/>
    </row>
    <row r="10085">
      <c r="B10085" s="7" t="n">
        <v>10083</v>
      </c>
      <c r="C10085" t="inlineStr">
        <is>
          <t>Environmental Engineer (English-Speaking) – Ho Chi Minh City</t>
        </is>
      </c>
      <c r="D10085" t="inlineStr">
        <is>
          <t>CÔNG TY TNHH THIẾT BỊ HOÁ CHẤT NAKAGAWA VIỆT NAM</t>
        </is>
      </c>
      <c r="E10085" t="inlineStr">
        <is>
          <t>Thương lượng</t>
        </is>
      </c>
      <c r="F10085" t="inlineStr">
        <is>
          <t>Hồ Chí Minh</t>
        </is>
      </c>
      <c r="G10085" t="inlineStr">
        <is>
          <t>Nhân viên</t>
        </is>
      </c>
      <c r="H10085" t="inlineStr">
        <is>
          <t>11/03/2026</t>
        </is>
      </c>
      <c r="I10085" t="inlineStr">
        <is>
          <t>11/04/2026</t>
        </is>
      </c>
      <c r="J10085" t="inlineStr">
        <is>
          <t>17/03/2026</t>
        </is>
      </c>
      <c r="K10085" t="inlineStr">
        <is>
          <t>N/A</t>
        </is>
      </c>
      <c r="L10085" t="inlineStr">
        <is>
          <t>AutoCAD, Revit, 3D Software Knowledge, Environmental Technology, Effective Communication</t>
        </is>
      </c>
      <c r="M10085" t="inlineStr">
        <is>
          <t>Healthcare Plan, Paid Leave, Training, Others</t>
        </is>
      </c>
      <c r="N10085" s="8">
        <f>HYPERLINK("https://www.vietnamworks.com/environmental-engineer-english-speaking-ho-chi-minh-city-2022133-jv","Xem chi tiết")</f>
        <v/>
      </c>
    </row>
    <row r="10086">
      <c r="B10086" s="9" t="n">
        <v>10084</v>
      </c>
      <c r="C10086" s="10" t="inlineStr">
        <is>
          <t>Senior Strategic Planner (Event)</t>
        </is>
      </c>
      <c r="D10086" s="10" t="inlineStr">
        <is>
          <t>ST Communications</t>
        </is>
      </c>
      <c r="E10086" s="10" t="inlineStr">
        <is>
          <t>Thương lượng</t>
        </is>
      </c>
      <c r="F10086" s="10" t="inlineStr">
        <is>
          <t>Hà Nội</t>
        </is>
      </c>
      <c r="G10086" s="10" t="inlineStr">
        <is>
          <t>Nhân viên</t>
        </is>
      </c>
      <c r="H10086" s="10" t="inlineStr">
        <is>
          <t>11/03/2026</t>
        </is>
      </c>
      <c r="I10086" s="10" t="inlineStr">
        <is>
          <t>11/04/2026</t>
        </is>
      </c>
      <c r="J10086" s="10" t="inlineStr">
        <is>
          <t>17/03/2026</t>
        </is>
      </c>
      <c r="K10086" s="10" t="inlineStr">
        <is>
          <t>N/A</t>
        </is>
      </c>
      <c r="L10086" s="10" t="inlineStr">
        <is>
          <t>Strategic Planning, Project Coordination, Team Management, Event Planning, Quản Lý Sự Kiện</t>
        </is>
      </c>
      <c r="M10086" s="10" t="inlineStr">
        <is>
          <t>Bonus, Paid Leave</t>
        </is>
      </c>
      <c r="N10086" s="11">
        <f>HYPERLINK("https://www.vietnamworks.com/senior-strategic-planner-event-2021866-jv","Xem chi tiết")</f>
        <v/>
      </c>
      <c r="O10086" s="10" t="n"/>
    </row>
    <row r="10087">
      <c r="B10087" s="7" t="n">
        <v>10085</v>
      </c>
      <c r="C10087" t="inlineStr">
        <is>
          <t>O&amp;M Manager (Operational Excellence Manager in Solar Energy Sector)</t>
        </is>
      </c>
      <c r="D10087" t="inlineStr">
        <is>
          <t>Verdant Energy</t>
        </is>
      </c>
      <c r="E10087" t="inlineStr">
        <is>
          <t>Thương lượng</t>
        </is>
      </c>
      <c r="F10087" t="inlineStr">
        <is>
          <t>Hồ Chí Minh, Hà Nội</t>
        </is>
      </c>
      <c r="G10087" t="inlineStr">
        <is>
          <t>Trưởng phòng</t>
        </is>
      </c>
      <c r="H10087" t="inlineStr">
        <is>
          <t>10/03/2026</t>
        </is>
      </c>
      <c r="I10087" t="inlineStr">
        <is>
          <t>11/04/2026</t>
        </is>
      </c>
      <c r="J10087" t="inlineStr">
        <is>
          <t>17/03/2026</t>
        </is>
      </c>
      <c r="K10087" t="inlineStr">
        <is>
          <t>N/A</t>
        </is>
      </c>
      <c r="L10087" t="inlineStr">
        <is>
          <t>Renewable Energy Operations, O&amp;M, HSE Compliance, English Language Proficiency, Asset Management</t>
        </is>
      </c>
      <c r="M10087" t="inlineStr">
        <is>
          <t>Bonus, Healthcare Plan, Paid Leave, Training, Laptop, Team Activities, Transportation, Others</t>
        </is>
      </c>
      <c r="N10087" s="8">
        <f>HYPERLINK("https://www.vietnamworks.com/oandm-manager-operational-excellence-manager-in-solar-energy-sector-2021417-jv","Xem chi tiết")</f>
        <v/>
      </c>
    </row>
    <row r="10088">
      <c r="B10088" s="9" t="n">
        <v>10086</v>
      </c>
      <c r="C10088" s="10" t="inlineStr">
        <is>
          <t>Dev Lead - Trưởng nhóm lập trình</t>
        </is>
      </c>
      <c r="D10088" s="10" t="inlineStr">
        <is>
          <t>Công ty TNHH Một thành viên Ứng dụng Kỹ thuật và Sản xuất (TECAPRO)</t>
        </is>
      </c>
      <c r="E10088" s="10" t="inlineStr">
        <is>
          <t>Thương lượng</t>
        </is>
      </c>
      <c r="F10088" s="10" t="inlineStr">
        <is>
          <t>Hà Nội</t>
        </is>
      </c>
      <c r="G10088" s="10" t="inlineStr">
        <is>
          <t>Nhân viên</t>
        </is>
      </c>
      <c r="H10088" s="10" t="inlineStr">
        <is>
          <t>11/03/2026</t>
        </is>
      </c>
      <c r="I10088" s="10" t="inlineStr">
        <is>
          <t>11/04/2026</t>
        </is>
      </c>
      <c r="J10088" s="10" t="inlineStr">
        <is>
          <t>17/03/2026</t>
        </is>
      </c>
      <c r="K10088" s="10" t="inlineStr">
        <is>
          <t>N/A</t>
        </is>
      </c>
      <c r="L10088" s="10" t="inlineStr">
        <is>
          <t>Java, Spring Boot, RESTful Web Service, Microservices, Team Management</t>
        </is>
      </c>
      <c r="M10088" s="10" t="inlineStr">
        <is>
          <t>Bonus, Team Activities</t>
        </is>
      </c>
      <c r="N10088" s="11">
        <f>HYPERLINK("https://www.vietnamworks.com/dev-lead-truong-nhom-lap-trinh-2022025-jv","Xem chi tiết")</f>
        <v/>
      </c>
      <c r="O10088" s="10" t="n"/>
    </row>
    <row r="10089">
      <c r="B10089" s="7" t="n">
        <v>10087</v>
      </c>
      <c r="C10089" t="inlineStr">
        <is>
          <t>Scrum Master/ Scrum Coach</t>
        </is>
      </c>
      <c r="D10089" t="inlineStr">
        <is>
          <t>One Mount</t>
        </is>
      </c>
      <c r="E10089" t="inlineStr">
        <is>
          <t>Thương lượng</t>
        </is>
      </c>
      <c r="F10089" t="inlineStr">
        <is>
          <t>Hồ Chí Minh, Hà Nội</t>
        </is>
      </c>
      <c r="G10089" t="inlineStr">
        <is>
          <t>Nhân viên</t>
        </is>
      </c>
      <c r="H10089" t="inlineStr">
        <is>
          <t>10/03/2026</t>
        </is>
      </c>
      <c r="I10089" t="inlineStr">
        <is>
          <t>11/04/2026</t>
        </is>
      </c>
      <c r="J10089" t="inlineStr">
        <is>
          <t>17/03/2026</t>
        </is>
      </c>
      <c r="K10089" t="inlineStr">
        <is>
          <t>N/A</t>
        </is>
      </c>
      <c r="L10089" t="inlineStr">
        <is>
          <t>Data Structure, Agile, Jira, Scrum, Scrum Master</t>
        </is>
      </c>
      <c r="M10089" t="inlineStr">
        <is>
          <t>Bonus, Healthcare Plan, Paid Leave</t>
        </is>
      </c>
      <c r="N10089" s="8">
        <f>HYPERLINK("https://www.vietnamworks.com/scrum-master-scrum-coach-2021459-jv","Xem chi tiết")</f>
        <v/>
      </c>
    </row>
    <row r="10090">
      <c r="B10090" s="9" t="n">
        <v>10088</v>
      </c>
      <c r="C10090" s="10" t="inlineStr">
        <is>
          <t>Nhân Viên Mua Hàng Nội Địa - Ngành Vật Tư &amp; Hóa Chất Lab - Thu Nhập 15M - 20M</t>
        </is>
      </c>
      <c r="D10090" s="10" t="inlineStr">
        <is>
          <t>Công ty Cổ phần Khoa học công nghệ T&amp;T</t>
        </is>
      </c>
      <c r="E10090" s="10" t="inlineStr">
        <is>
          <t>Từ $ 700 /tháng</t>
        </is>
      </c>
      <c r="F10090" s="10" t="inlineStr">
        <is>
          <t>Hồ Chí Minh</t>
        </is>
      </c>
      <c r="G10090" s="10" t="inlineStr">
        <is>
          <t>Nhân viên</t>
        </is>
      </c>
      <c r="H10090" s="10" t="inlineStr">
        <is>
          <t>11/03/2026</t>
        </is>
      </c>
      <c r="I10090" s="10" t="inlineStr">
        <is>
          <t>11/04/2026</t>
        </is>
      </c>
      <c r="J10090" s="10" t="inlineStr">
        <is>
          <t>17/03/2026</t>
        </is>
      </c>
      <c r="K10090" s="10" t="inlineStr">
        <is>
          <t>N/A</t>
        </is>
      </c>
      <c r="L10090" s="10" t="inlineStr">
        <is>
          <t>Mua Hàng Trong Nước, Thu Mua, Mua Hàng Vật Tư Kỹ Thuật, Dược Phẩm, Hóa Chất</t>
        </is>
      </c>
      <c r="M10090" s="10" t="inlineStr">
        <is>
          <t>Bonus, Training, Travel Opportunities</t>
        </is>
      </c>
      <c r="N10090" s="11">
        <f>HYPERLINK("https://www.vietnamworks.com/nhan-vien-mua-hang-noi-dia-nganh-vat-tu-hoa-chat-lab-thu-nhap-15m-20m-2022027-jv","Xem chi tiết")</f>
        <v/>
      </c>
      <c r="O10090" s="10" t="n"/>
    </row>
    <row r="10091">
      <c r="B10091" s="7" t="n">
        <v>10089</v>
      </c>
      <c r="C10091" t="inlineStr">
        <is>
          <t>Lập Trình Viên Backend</t>
        </is>
      </c>
      <c r="D10091" t="inlineStr">
        <is>
          <t>Công ty TNHH Một thành viên Ứng dụng Kỹ thuật và Sản xuất (TECAPRO)</t>
        </is>
      </c>
      <c r="E10091" t="inlineStr">
        <is>
          <t>15tr-30tr ₫/tháng</t>
        </is>
      </c>
      <c r="F10091" t="inlineStr">
        <is>
          <t>Hà Nội</t>
        </is>
      </c>
      <c r="G10091" t="inlineStr">
        <is>
          <t>Nhân viên</t>
        </is>
      </c>
      <c r="H10091" t="inlineStr">
        <is>
          <t>11/03/2026</t>
        </is>
      </c>
      <c r="I10091" t="inlineStr">
        <is>
          <t>11/04/2026</t>
        </is>
      </c>
      <c r="J10091" t="inlineStr">
        <is>
          <t>17/03/2026</t>
        </is>
      </c>
      <c r="K10091" t="inlineStr">
        <is>
          <t>N/A</t>
        </is>
      </c>
      <c r="L10091" t="inlineStr">
        <is>
          <t>Java, Spring Boot, RESTful Web Service, Microservices</t>
        </is>
      </c>
      <c r="M10091" t="inlineStr">
        <is>
          <t>Bonus, Healthcare Plan, Paid Leave, Training, Team Activities, Others</t>
        </is>
      </c>
      <c r="N10091" s="8">
        <f>HYPERLINK("https://www.vietnamworks.com/lap-trinh-vien-backend-2022017-jv","Xem chi tiết")</f>
        <v/>
      </c>
    </row>
    <row r="10092">
      <c r="B10092" s="9" t="n">
        <v>10090</v>
      </c>
      <c r="C10092" s="10" t="inlineStr">
        <is>
          <t>Account Manager</t>
        </is>
      </c>
      <c r="D10092" s="10" t="inlineStr">
        <is>
          <t>ST Communications</t>
        </is>
      </c>
      <c r="E10092" s="10" t="inlineStr">
        <is>
          <t>Thương lượng</t>
        </is>
      </c>
      <c r="F10092" s="10" t="inlineStr">
        <is>
          <t>Hà Nội</t>
        </is>
      </c>
      <c r="G10092" s="10" t="inlineStr">
        <is>
          <t>Trưởng phòng</t>
        </is>
      </c>
      <c r="H10092" s="10" t="inlineStr">
        <is>
          <t>11/03/2026</t>
        </is>
      </c>
      <c r="I10092" s="10" t="inlineStr">
        <is>
          <t>11/04/2026</t>
        </is>
      </c>
      <c r="J10092" s="10" t="inlineStr">
        <is>
          <t>17/03/2026</t>
        </is>
      </c>
      <c r="K10092" s="10" t="inlineStr">
        <is>
          <t>N/A</t>
        </is>
      </c>
      <c r="L10092" s="10" t="inlineStr">
        <is>
          <t>Quản Lý Dự Án, Marketing Plan, Project Management, Proposal Development, Quản Lý Khách Hàng</t>
        </is>
      </c>
      <c r="M10092" s="10" t="inlineStr">
        <is>
          <t>Paid Leave, Others</t>
        </is>
      </c>
      <c r="N10092" s="11">
        <f>HYPERLINK("https://www.vietnamworks.com/account-manager-2021878-jv","Xem chi tiết")</f>
        <v/>
      </c>
      <c r="O10092" s="10" t="n"/>
    </row>
    <row r="10093">
      <c r="B10093" s="7" t="n">
        <v>10091</v>
      </c>
      <c r="C10093" t="inlineStr">
        <is>
          <t>Tax Consultant (Accounting &amp; Tax Services)</t>
        </is>
      </c>
      <c r="D10093" t="inlineStr">
        <is>
          <t>Công Ty TNHH Kiểm Toán &amp; Tư Vấn RSM Việt Nam / RSM Vietnam</t>
        </is>
      </c>
      <c r="E10093" t="inlineStr">
        <is>
          <t>Thương lượng</t>
        </is>
      </c>
      <c r="F10093" t="inlineStr">
        <is>
          <t>Hồ Chí Minh</t>
        </is>
      </c>
      <c r="G10093" t="inlineStr">
        <is>
          <t>Nhân viên</t>
        </is>
      </c>
      <c r="H10093" t="inlineStr">
        <is>
          <t>11/03/2026</t>
        </is>
      </c>
      <c r="I10093" t="inlineStr">
        <is>
          <t>11/04/2026</t>
        </is>
      </c>
      <c r="J10093" t="inlineStr">
        <is>
          <t>17/03/2026</t>
        </is>
      </c>
      <c r="K10093" t="inlineStr">
        <is>
          <t>N/A</t>
        </is>
      </c>
      <c r="L10093" t="inlineStr">
        <is>
          <t>Dịch Vụ Kế Toán, FCT, PIT, Tư Vấn Thuế, VAT</t>
        </is>
      </c>
      <c r="M10093" t="inlineStr">
        <is>
          <t>Bonus, Healthcare Plan, Laptop, Travel Opportunities, Team Activities, Others</t>
        </is>
      </c>
      <c r="N10093" s="8">
        <f>HYPERLINK("https://www.vietnamworks.com/tax-consultant-accounting-and-tax-services-2022102-jv","Xem chi tiết")</f>
        <v/>
      </c>
    </row>
    <row r="10094">
      <c r="B10094" s="9" t="n">
        <v>10092</v>
      </c>
      <c r="C10094" s="10" t="inlineStr">
        <is>
          <t>Sr. Test Sustaining Engineer</t>
        </is>
      </c>
      <c r="D10094" s="10" t="inlineStr">
        <is>
          <t>Công Ty TNHH Công Nghệ Welco Việt Nam</t>
        </is>
      </c>
      <c r="E10094" s="10" t="inlineStr">
        <is>
          <t>Thương lượng</t>
        </is>
      </c>
      <c r="F10094" s="10" t="inlineStr">
        <is>
          <t>Hưng Yên, Bắc Ninh, Hải Dương</t>
        </is>
      </c>
      <c r="G10094" s="10" t="inlineStr">
        <is>
          <t>Nhân viên</t>
        </is>
      </c>
      <c r="H10094" s="10" t="inlineStr">
        <is>
          <t>12/03/2026</t>
        </is>
      </c>
      <c r="I10094" s="10" t="inlineStr">
        <is>
          <t>11/04/2026</t>
        </is>
      </c>
      <c r="J10094" s="10" t="inlineStr">
        <is>
          <t>17/03/2026</t>
        </is>
      </c>
      <c r="K10094" s="10" t="inlineStr">
        <is>
          <t>N/A</t>
        </is>
      </c>
      <c r="L10094" s="10" t="inlineStr">
        <is>
          <t>Electronics Manufacturing, PCBA, Testing Platform, Power Electronics Design, Troubleshooting Skills</t>
        </is>
      </c>
      <c r="M10094" s="10" t="inlineStr">
        <is>
          <t>Bonus, Healthcare Plan, Others</t>
        </is>
      </c>
      <c r="N10094" s="11">
        <f>HYPERLINK("https://www.vietnamworks.com/sr-test-sustaining-engineer-2022188-jv","Xem chi tiết")</f>
        <v/>
      </c>
      <c r="O10094" s="10" t="n"/>
    </row>
    <row r="10095">
      <c r="B10095" s="7" t="n">
        <v>10093</v>
      </c>
      <c r="C10095" t="inlineStr">
        <is>
          <t>Customer Service VIP Host (Relocating to Sri Lanka)</t>
        </is>
      </c>
      <c r="D10095" t="inlineStr">
        <is>
          <t>BlueSky HR Consultancy Inc.</t>
        </is>
      </c>
      <c r="E10095" t="inlineStr">
        <is>
          <t>$$ 500-2,000 /tháng</t>
        </is>
      </c>
      <c r="F10095" t="inlineStr">
        <is>
          <t>Hồ Chí Minh</t>
        </is>
      </c>
      <c r="G10095" t="inlineStr">
        <is>
          <t>Nhân viên</t>
        </is>
      </c>
      <c r="H10095" t="inlineStr">
        <is>
          <t>12/03/2026</t>
        </is>
      </c>
      <c r="I10095" t="inlineStr">
        <is>
          <t>11/04/2026</t>
        </is>
      </c>
      <c r="J10095" t="inlineStr">
        <is>
          <t>17/03/2026</t>
        </is>
      </c>
      <c r="K10095" t="inlineStr">
        <is>
          <t>N/A</t>
        </is>
      </c>
      <c r="L10095" t="inlineStr">
        <is>
          <t>Communication, Customer Service, Problem-solving, Thai Language, VIP Management</t>
        </is>
      </c>
      <c r="M10095" t="inlineStr">
        <is>
          <t>Bonus, Paid Leave, Transportation, Canteen, Others</t>
        </is>
      </c>
      <c r="N10095" s="8">
        <f>HYPERLINK("https://www.vietnamworks.com/customer-service-vip-host-relocating-to-sri-lanka-2022187-jv","Xem chi tiết")</f>
        <v/>
      </c>
    </row>
    <row r="10096">
      <c r="B10096" s="9" t="n">
        <v>10094</v>
      </c>
      <c r="C10096" s="10" t="inlineStr">
        <is>
          <t>Quản Lý Bán Hàng Phụ Trách Khu Vực Tây Bắc và Đông Nam ( Ngành Dược Phẩm) - Thu Nhập Lên Tới 35 Triệu</t>
        </is>
      </c>
      <c r="D10096" s="10" t="inlineStr">
        <is>
          <t>Công Ty Cổ Phần Sanfordpharma USA</t>
        </is>
      </c>
      <c r="E10096" s="10" t="inlineStr">
        <is>
          <t>$$ 750-1,500 /tháng</t>
        </is>
      </c>
      <c r="F10096" s="10" t="inlineStr">
        <is>
          <t>Hà Nội</t>
        </is>
      </c>
      <c r="G10096" s="10" t="inlineStr">
        <is>
          <t>Trưởng phòng</t>
        </is>
      </c>
      <c r="H10096" s="10" t="inlineStr">
        <is>
          <t>12/03/2026</t>
        </is>
      </c>
      <c r="I10096" s="10" t="inlineStr">
        <is>
          <t>11/04/2026</t>
        </is>
      </c>
      <c r="J10096" s="10" t="inlineStr">
        <is>
          <t>17/03/2026</t>
        </is>
      </c>
      <c r="K10096" s="10" t="inlineStr">
        <is>
          <t>N/A</t>
        </is>
      </c>
      <c r="L10096" s="10" t="inlineStr">
        <is>
          <t>Dược Phẩm, Quản Lý Hệ Thống, Thực Phẩm Chức Năng, Bán Hàng, Lập Kế Hoạch Bán Hàng</t>
        </is>
      </c>
      <c r="M10096" s="10" t="inlineStr">
        <is>
          <t>Healthcare Plan, Training, Others</t>
        </is>
      </c>
      <c r="N10096" s="11">
        <f>HYPERLINK("https://www.vietnamworks.com/quan-ly-ban-hang-phu-trach-khu-vuc-tay-bac-va-dong-nam-nganh-duoc-pham-thu-nhap-len-toi-35-trieu-2022205-jv","Xem chi tiết")</f>
        <v/>
      </c>
      <c r="O10096" s="10" t="n"/>
    </row>
    <row r="10097">
      <c r="B10097" s="7" t="n">
        <v>10095</v>
      </c>
      <c r="C10097" t="inlineStr">
        <is>
          <t xml:space="preserve">Indirect Procurement - Kinh nghiệm mua hàng nội bộ </t>
        </is>
      </c>
      <c r="D10097" t="inlineStr">
        <is>
          <t>Mitsubishi Electric Vietnam Co. Ltd.</t>
        </is>
      </c>
      <c r="E10097" t="inlineStr">
        <is>
          <t>Thương lượng</t>
        </is>
      </c>
      <c r="F10097" t="inlineStr">
        <is>
          <t>Hồ Chí Minh</t>
        </is>
      </c>
      <c r="G10097" t="inlineStr">
        <is>
          <t>Nhân viên</t>
        </is>
      </c>
      <c r="H10097" t="inlineStr">
        <is>
          <t>12/03/2026</t>
        </is>
      </c>
      <c r="I10097" t="inlineStr">
        <is>
          <t>11/04/2026</t>
        </is>
      </c>
      <c r="J10097" t="inlineStr">
        <is>
          <t>17/03/2026</t>
        </is>
      </c>
      <c r="K10097" t="inlineStr">
        <is>
          <t>N/A</t>
        </is>
      </c>
      <c r="L10097" t="inlineStr">
        <is>
          <t>Communication Skills, Indirect Purchasing, Microsoft Office, Negotiation Skills, Problem Solving</t>
        </is>
      </c>
      <c r="M10097" t="inlineStr">
        <is>
          <t>Bonus, Healthcare Plan, Paid Leave, Laptop</t>
        </is>
      </c>
      <c r="N10097" s="8">
        <f>HYPERLINK("https://www.vietnamworks.com/indirect-procurement-kinh-nghiem-mua-hang-noi-bo-2022193-jv","Xem chi tiết")</f>
        <v/>
      </c>
    </row>
    <row r="10098">
      <c r="B10098" s="9" t="n">
        <v>10096</v>
      </c>
      <c r="C10098" s="10" t="inlineStr">
        <is>
          <t>Giám Sát Kinh Doanh (ngành hàng Thực phẩm Đông lạnh)</t>
        </is>
      </c>
      <c r="D10098" s="10" t="inlineStr">
        <is>
          <t>AJINOMOTO VIETNAM COMPANY</t>
        </is>
      </c>
      <c r="E10098" s="10" t="inlineStr">
        <is>
          <t>Thương lượng</t>
        </is>
      </c>
      <c r="F10098" s="10" t="inlineStr">
        <is>
          <t>Hồ Chí Minh</t>
        </is>
      </c>
      <c r="G10098" s="10" t="inlineStr">
        <is>
          <t>Nhân viên</t>
        </is>
      </c>
      <c r="H10098" s="10" t="inlineStr">
        <is>
          <t>12/03/2026</t>
        </is>
      </c>
      <c r="I10098" s="10" t="inlineStr">
        <is>
          <t>11/04/2026</t>
        </is>
      </c>
      <c r="J10098" s="10" t="inlineStr">
        <is>
          <t>17/03/2026</t>
        </is>
      </c>
      <c r="K10098" s="10" t="inlineStr">
        <is>
          <t>N/A</t>
        </is>
      </c>
      <c r="L10098" s="10" t="inlineStr">
        <is>
          <t>Phát Triển Chương Trình Bán Hàng, Quản Lý Hệ Thống, Quản Lý Nguồn Cung Ứng, Thống Kê Phân Tích, Đào Tạo Nhân Sự</t>
        </is>
      </c>
      <c r="M10098" s="10" t="inlineStr">
        <is>
          <t>Bonus, Others</t>
        </is>
      </c>
      <c r="N10098" s="11">
        <f>HYPERLINK("https://www.vietnamworks.com/giam-sat-kinh-doanh-nganh-hang-thuc-pham-djong-lanh-2022190-jv","Xem chi tiết")</f>
        <v/>
      </c>
      <c r="O10098" s="10" t="n"/>
    </row>
    <row r="10099">
      <c r="B10099" s="7" t="n">
        <v>10097</v>
      </c>
      <c r="C10099" t="inlineStr">
        <is>
          <t>QHSE Officer</t>
        </is>
      </c>
      <c r="D10099" t="inlineStr">
        <is>
          <t>Air Liquide Viet Nam</t>
        </is>
      </c>
      <c r="E10099" t="inlineStr">
        <is>
          <t>Thương lượng</t>
        </is>
      </c>
      <c r="F10099" t="inlineStr">
        <is>
          <t>Hồ Chí Minh</t>
        </is>
      </c>
      <c r="G10099" t="inlineStr">
        <is>
          <t>Mới Tốt Nghiệp</t>
        </is>
      </c>
      <c r="H10099" t="inlineStr">
        <is>
          <t>12/03/2026</t>
        </is>
      </c>
      <c r="I10099" t="inlineStr">
        <is>
          <t>11/04/2026</t>
        </is>
      </c>
      <c r="J10099" t="inlineStr">
        <is>
          <t>17/03/2026</t>
        </is>
      </c>
      <c r="K10099" t="inlineStr">
        <is>
          <t>N/A</t>
        </is>
      </c>
      <c r="L10099" t="inlineStr">
        <is>
          <t>HSE, QHSE System Management, Engineering, HSEQ</t>
        </is>
      </c>
      <c r="M10099" t="inlineStr">
        <is>
          <t>Bonus, Healthcare Plan, Awards</t>
        </is>
      </c>
      <c r="N10099" s="8">
        <f>HYPERLINK("https://www.vietnamworks.com/qhse-officer--2022186-jv","Xem chi tiết")</f>
        <v/>
      </c>
    </row>
    <row r="10100">
      <c r="B10100" s="9" t="n">
        <v>10098</v>
      </c>
      <c r="C10100" s="10" t="inlineStr">
        <is>
          <t>[HCM] Giám Sát Bán Hàng Kênh Siêu Thị/ Sales Supervisor Kênh MT (Base HCM Phụ Trách Tỉnh)</t>
        </is>
      </c>
      <c r="D10100" s="10" t="inlineStr">
        <is>
          <t>Diana Unicharm JSC</t>
        </is>
      </c>
      <c r="E10100" s="10" t="inlineStr">
        <is>
          <t>Thương lượng</t>
        </is>
      </c>
      <c r="F10100" s="10" t="inlineStr">
        <is>
          <t>Hồ Chí Minh</t>
        </is>
      </c>
      <c r="G10100" s="10" t="inlineStr">
        <is>
          <t>Nhân viên</t>
        </is>
      </c>
      <c r="H10100" s="10" t="inlineStr">
        <is>
          <t>12/03/2026</t>
        </is>
      </c>
      <c r="I10100" s="10" t="inlineStr">
        <is>
          <t>11/04/2026</t>
        </is>
      </c>
      <c r="J10100" s="10" t="inlineStr">
        <is>
          <t>17/03/2026</t>
        </is>
      </c>
      <c r="K10100" s="10" t="inlineStr">
        <is>
          <t>N/A</t>
        </is>
      </c>
      <c r="L10100" s="10" t="inlineStr">
        <is>
          <t>Kỹ năng tổ chức, Lập Kế Hoạch Bán Hàng, Xây Dựng Mối Quan Hệ</t>
        </is>
      </c>
      <c r="M10100" s="10" t="inlineStr">
        <is>
          <t>Bonus, Healthcare Plan, Paid Leave</t>
        </is>
      </c>
      <c r="N10100" s="11">
        <f>HYPERLINK("https://www.vietnamworks.com/hcm-giam-sat-ban-hang-kenh-sieu-thi-sales-supervisor-kenh-mt-base-hcm-phu-trach-tinh-2022198-jv","Xem chi tiết")</f>
        <v/>
      </c>
      <c r="O10100" s="10" t="n"/>
    </row>
    <row r="10101">
      <c r="B10101" s="7" t="n">
        <v>10099</v>
      </c>
      <c r="C10101" t="inlineStr">
        <is>
          <t>[Thái Nguyên / Bắc Ninh] Phiên Dịch Tiếng Hàn</t>
        </is>
      </c>
      <c r="D10101" t="inlineStr">
        <is>
          <t>Samsung Electronics Vietnam Thai Nguyen Co., Ltd</t>
        </is>
      </c>
      <c r="E10101" t="inlineStr">
        <is>
          <t>$$ 500-1,000 /tháng</t>
        </is>
      </c>
      <c r="F10101" t="inlineStr">
        <is>
          <t>Bắc Ninh, Thái Nguyên, Hà Nội</t>
        </is>
      </c>
      <c r="G10101" t="inlineStr">
        <is>
          <t>Nhân viên</t>
        </is>
      </c>
      <c r="H10101" t="inlineStr">
        <is>
          <t>12/03/2026</t>
        </is>
      </c>
      <c r="I10101" t="inlineStr">
        <is>
          <t>11/04/2026</t>
        </is>
      </c>
      <c r="J10101" t="inlineStr">
        <is>
          <t>17/03/2026</t>
        </is>
      </c>
      <c r="K10101" t="inlineStr">
        <is>
          <t>N/A</t>
        </is>
      </c>
      <c r="L10101" t="inlineStr">
        <is>
          <t>Phiên Dịch, Interpreter, Korean, TOPIK</t>
        </is>
      </c>
      <c r="M10101" t="inlineStr">
        <is>
          <t>Bonus, Paid Leave, Others</t>
        </is>
      </c>
      <c r="N10101" s="8">
        <f>HYPERLINK("https://www.vietnamworks.com/thai-nguyen-bac-ninh-phien-dich-tieng-han--2022182-jv","Xem chi tiết")</f>
        <v/>
      </c>
    </row>
    <row r="10102">
      <c r="B10102" s="9" t="n">
        <v>10100</v>
      </c>
      <c r="C10102" s="10" t="inlineStr">
        <is>
          <t>Financial Support Officer</t>
        </is>
      </c>
      <c r="D10102" s="10" t="inlineStr">
        <is>
          <t>Scotch Australian Grammar School (AGS)</t>
        </is>
      </c>
      <c r="E10102" s="10" t="inlineStr">
        <is>
          <t>Thương lượng</t>
        </is>
      </c>
      <c r="F10102" s="10" t="inlineStr">
        <is>
          <t>Hồ Chí Minh</t>
        </is>
      </c>
      <c r="G10102" s="10" t="inlineStr">
        <is>
          <t>Nhân viên</t>
        </is>
      </c>
      <c r="H10102" s="10" t="inlineStr">
        <is>
          <t>12/03/2026</t>
        </is>
      </c>
      <c r="I10102" s="10" t="inlineStr">
        <is>
          <t>11/04/2026</t>
        </is>
      </c>
      <c r="J10102" s="10" t="inlineStr">
        <is>
          <t>17/03/2026</t>
        </is>
      </c>
      <c r="K10102" s="10" t="inlineStr">
        <is>
          <t>N/A</t>
        </is>
      </c>
      <c r="L10102" s="10" t="inlineStr">
        <is>
          <t>Quản Lý Công Nợ, Tư Vấn Tài Chính, Kế Toán, Tài Chính, Quản Lý Hợp Đồng</t>
        </is>
      </c>
      <c r="M10102" s="10" t="inlineStr">
        <is>
          <t>Bonus, Training, Others</t>
        </is>
      </c>
      <c r="N10102" s="11">
        <f>HYPERLINK("https://www.vietnamworks.com/financial-support-officer-2022197-jv","Xem chi tiết")</f>
        <v/>
      </c>
      <c r="O10102" s="10" t="n"/>
    </row>
    <row r="10103">
      <c r="B10103" s="7" t="n">
        <v>10101</v>
      </c>
      <c r="C10103" t="inlineStr">
        <is>
          <t>Team Booking Leader</t>
        </is>
      </c>
      <c r="D10103" t="inlineStr">
        <is>
          <t>CÔNG TY TNHH THƯƠNG MẠI VÀ DỊCH VỤ OZOVN</t>
        </is>
      </c>
      <c r="E10103" t="inlineStr">
        <is>
          <t>20tr-25tr ₫/tháng</t>
        </is>
      </c>
      <c r="F10103" t="inlineStr">
        <is>
          <t>Hà Nội</t>
        </is>
      </c>
      <c r="G10103" t="inlineStr">
        <is>
          <t>Trưởng phòng</t>
        </is>
      </c>
      <c r="H10103" t="inlineStr">
        <is>
          <t>12/03/2026</t>
        </is>
      </c>
      <c r="I10103" t="inlineStr">
        <is>
          <t>11/04/2026</t>
        </is>
      </c>
      <c r="J10103" t="inlineStr">
        <is>
          <t>17/03/2026</t>
        </is>
      </c>
      <c r="K10103" t="inlineStr">
        <is>
          <t>N/A</t>
        </is>
      </c>
      <c r="L10103" t="inlineStr">
        <is>
          <t>Business Development, Communication, Data Analysis, Marketing Strategy, Partnership Management</t>
        </is>
      </c>
      <c r="M10103" t="inlineStr">
        <is>
          <t>Bonus, Paid Leave, Training, Team Activities, Others</t>
        </is>
      </c>
      <c r="N10103" s="8">
        <f>HYPERLINK("https://www.vietnamworks.com/team-booking-leader-2022201-jv","Xem chi tiết")</f>
        <v/>
      </c>
    </row>
    <row r="10104">
      <c r="B10104" s="9" t="n">
        <v>10102</v>
      </c>
      <c r="C10104" s="10" t="inlineStr">
        <is>
          <t>(Assistant) Workforce Support Manager (Employee Relations)</t>
        </is>
      </c>
      <c r="D10104" s="10" t="inlineStr">
        <is>
          <t>Avery Dennison Vietnam</t>
        </is>
      </c>
      <c r="E10104" s="10" t="inlineStr">
        <is>
          <t>Thương lượng</t>
        </is>
      </c>
      <c r="F10104" s="10" t="inlineStr">
        <is>
          <t>Hồ Chí Minh</t>
        </is>
      </c>
      <c r="G10104" s="10" t="inlineStr">
        <is>
          <t>Trưởng phòng</t>
        </is>
      </c>
      <c r="H10104" s="10" t="inlineStr">
        <is>
          <t>12/03/2026</t>
        </is>
      </c>
      <c r="I10104" s="10" t="inlineStr">
        <is>
          <t>11/04/2026</t>
        </is>
      </c>
      <c r="J10104" s="10" t="inlineStr">
        <is>
          <t>17/03/2026</t>
        </is>
      </c>
      <c r="K10104" s="10" t="inlineStr">
        <is>
          <t>N/A</t>
        </is>
      </c>
      <c r="L10104" s="10" t="inlineStr">
        <is>
          <t>Employee Relation, HR Consulting, Labor Law Compliance, Performance Management, Stakeholder Management</t>
        </is>
      </c>
      <c r="M10104" s="10" t="inlineStr">
        <is>
          <t>Transportation, Canteen</t>
        </is>
      </c>
      <c r="N10104" s="11">
        <f>HYPERLINK("https://www.vietnamworks.com/-assistant-workforce-support-manager-employee-relations-2022189-jv","Xem chi tiết")</f>
        <v/>
      </c>
      <c r="O10104" s="10" t="n"/>
    </row>
    <row r="10105">
      <c r="B10105" s="7" t="n">
        <v>10103</v>
      </c>
      <c r="C10105" t="inlineStr">
        <is>
          <t>Marketing Manager</t>
        </is>
      </c>
      <c r="D10105" t="inlineStr">
        <is>
          <t>Perfetti Van Melle (Viet Nam) Limited</t>
        </is>
      </c>
      <c r="E10105" t="inlineStr">
        <is>
          <t>Thương lượng</t>
        </is>
      </c>
      <c r="F10105" t="inlineStr">
        <is>
          <t>Hồ Chí Minh</t>
        </is>
      </c>
      <c r="G10105" t="inlineStr">
        <is>
          <t>Trưởng phòng</t>
        </is>
      </c>
      <c r="H10105" t="inlineStr">
        <is>
          <t>12/03/2026</t>
        </is>
      </c>
      <c r="I10105" t="inlineStr">
        <is>
          <t>11/04/2026</t>
        </is>
      </c>
      <c r="J10105" t="inlineStr">
        <is>
          <t>17/03/2026</t>
        </is>
      </c>
      <c r="K10105" t="inlineStr">
        <is>
          <t>N/A</t>
        </is>
      </c>
      <c r="L10105" t="inlineStr">
        <is>
          <t>Brand Storytelling, Branding Marketing, Marketing Planning, Product Development, Trade Marketing</t>
        </is>
      </c>
      <c r="M10105" t="inlineStr">
        <is>
          <t>Bonus, Training, Transportation</t>
        </is>
      </c>
      <c r="N10105" s="8">
        <f>HYPERLINK("https://www.vietnamworks.com/marketing-manager-2022191-jv","Xem chi tiết")</f>
        <v/>
      </c>
    </row>
    <row r="10106">
      <c r="B10106" s="9" t="n">
        <v>10104</v>
      </c>
      <c r="C10106" s="10" t="inlineStr">
        <is>
          <t>Trưởng Nhóm SEO</t>
        </is>
      </c>
      <c r="D10106" s="10" t="inlineStr">
        <is>
          <t>CÔNG TY TNHH THƯƠNG MẠI VÀ DỊCH VỤ OZOVN</t>
        </is>
      </c>
      <c r="E10106" s="10" t="inlineStr">
        <is>
          <t>20tr-30tr ₫/tháng</t>
        </is>
      </c>
      <c r="F10106" s="10" t="inlineStr">
        <is>
          <t>Hà Nội</t>
        </is>
      </c>
      <c r="G10106" s="10" t="inlineStr">
        <is>
          <t>Nhân viên</t>
        </is>
      </c>
      <c r="H10106" s="10" t="inlineStr">
        <is>
          <t>12/03/2026</t>
        </is>
      </c>
      <c r="I10106" s="10" t="inlineStr">
        <is>
          <t>11/04/2026</t>
        </is>
      </c>
      <c r="J10106" s="10" t="inlineStr">
        <is>
          <t>17/03/2026</t>
        </is>
      </c>
      <c r="K10106" s="10" t="inlineStr">
        <is>
          <t>N/A</t>
        </is>
      </c>
      <c r="L10106" s="10" t="inlineStr">
        <is>
          <t>Data Analysis, SEO Content Writing, SEO Offpage, SEO Onpage, Seo Technical</t>
        </is>
      </c>
      <c r="M10106" s="10" t="inlineStr">
        <is>
          <t>Bonus, Paid Leave, Travel Opportunities, Others</t>
        </is>
      </c>
      <c r="N10106" s="11">
        <f>HYPERLINK("https://www.vietnamworks.com/truong-nhom-seo-2022203-jv","Xem chi tiết")</f>
        <v/>
      </c>
      <c r="O10106" s="10" t="n"/>
    </row>
    <row r="10107">
      <c r="B10107" s="7" t="n">
        <v>10105</v>
      </c>
      <c r="C10107" t="inlineStr">
        <is>
          <t>HR Assistant</t>
        </is>
      </c>
      <c r="D10107" t="inlineStr">
        <is>
          <t>Công Ty TNHH Socotec Việt Nam</t>
        </is>
      </c>
      <c r="E10107" t="inlineStr">
        <is>
          <t>12tr-17tr ₫/tháng</t>
        </is>
      </c>
      <c r="F10107" t="inlineStr">
        <is>
          <t>Hà Nội</t>
        </is>
      </c>
      <c r="G10107" t="inlineStr">
        <is>
          <t>Nhân viên</t>
        </is>
      </c>
      <c r="H10107" t="inlineStr">
        <is>
          <t>12/03/2026</t>
        </is>
      </c>
      <c r="I10107" t="inlineStr">
        <is>
          <t>11/04/2026</t>
        </is>
      </c>
      <c r="J10107" t="inlineStr">
        <is>
          <t>17/03/2026</t>
        </is>
      </c>
      <c r="K10107" t="inlineStr">
        <is>
          <t>N/A</t>
        </is>
      </c>
      <c r="L10107" t="inlineStr">
        <is>
          <t>Communication, Compliance, Employee Relation, Human Resources, Payroll Management</t>
        </is>
      </c>
      <c r="M10107" t="inlineStr">
        <is>
          <t>Bonus, Healthcare Plan, Paid Leave, Training, Team Activities, Others</t>
        </is>
      </c>
      <c r="N10107" s="8">
        <f>HYPERLINK("https://www.vietnamworks.com/hr-assistant-2022204-jv","Xem chi tiết")</f>
        <v/>
      </c>
    </row>
    <row r="10108">
      <c r="B10108" s="9" t="n">
        <v>10106</v>
      </c>
      <c r="C10108" s="10" t="inlineStr">
        <is>
          <t>Quản Lý Dự Án</t>
        </is>
      </c>
      <c r="D10108" s="10" t="inlineStr">
        <is>
          <t>Pvagroup JSC</t>
        </is>
      </c>
      <c r="E10108" s="10" t="inlineStr">
        <is>
          <t>25-35 ₫/tháng</t>
        </is>
      </c>
      <c r="F10108" s="10" t="inlineStr">
        <is>
          <t>Hà Nội</t>
        </is>
      </c>
      <c r="G10108" s="10" t="inlineStr">
        <is>
          <t>Nhân viên</t>
        </is>
      </c>
      <c r="H10108" s="10" t="inlineStr">
        <is>
          <t>12/03/2026</t>
        </is>
      </c>
      <c r="I10108" s="10" t="inlineStr">
        <is>
          <t>11/04/2026</t>
        </is>
      </c>
      <c r="J10108" s="10" t="inlineStr">
        <is>
          <t>17/03/2026</t>
        </is>
      </c>
      <c r="K10108" s="10" t="inlineStr">
        <is>
          <t>N/A</t>
        </is>
      </c>
      <c r="L10108" s="10" t="inlineStr">
        <is>
          <t>Xây Dựng, Tiếng Anh, Quản Lý Dự Án, Project Management, Kỹ Thuật</t>
        </is>
      </c>
      <c r="M10108" s="10" t="inlineStr">
        <is>
          <t>Bonus, Awards, Travel Opportunities</t>
        </is>
      </c>
      <c r="N10108" s="11">
        <f>HYPERLINK("https://www.vietnamworks.com/quan-ly-du-an--2022195-jv","Xem chi tiết")</f>
        <v/>
      </c>
      <c r="O10108" s="10" t="n"/>
    </row>
    <row r="10109">
      <c r="B10109" s="7" t="n">
        <v>10107</v>
      </c>
      <c r="C10109" t="inlineStr">
        <is>
          <t>Chuyên Viên Kinh Doanh (Thu Nhập: 12 – 20++ Triệu/tháng)</t>
        </is>
      </c>
      <c r="D10109" t="inlineStr">
        <is>
          <t>CÔNG TY CỔ PHẦN NHÂN LỰC TIÊN PHONG</t>
        </is>
      </c>
      <c r="E10109" t="inlineStr">
        <is>
          <t>12tr-20tr ₫/tháng</t>
        </is>
      </c>
      <c r="F10109" t="inlineStr">
        <is>
          <t>Hải Phòng</t>
        </is>
      </c>
      <c r="G10109" t="inlineStr">
        <is>
          <t>Nhân viên</t>
        </is>
      </c>
      <c r="H10109" t="inlineStr">
        <is>
          <t>12/03/2026</t>
        </is>
      </c>
      <c r="I10109" t="inlineStr">
        <is>
          <t>11/04/2026</t>
        </is>
      </c>
      <c r="J10109" t="inlineStr">
        <is>
          <t>17/03/2026</t>
        </is>
      </c>
      <c r="K10109" t="inlineStr">
        <is>
          <t>N/A</t>
        </is>
      </c>
      <c r="L10109" t="inlineStr">
        <is>
          <t>Sale &amp; Business development, Shipping &amp; Customs Specialist, Freight Forwarding, Import Export Experience, Maritime Logistics</t>
        </is>
      </c>
      <c r="M10109" t="inlineStr">
        <is>
          <t>Bonus, Healthcare Plan, Training, Travel Opportunities, Canteen, Others</t>
        </is>
      </c>
      <c r="N10109" s="8">
        <f>HYPERLINK("https://www.vietnamworks.com/chuyen-vien-kinh-doanh-thu-nhap-12-20-trieu-thang-2022200-jv","Xem chi tiết")</f>
        <v/>
      </c>
    </row>
    <row r="10110">
      <c r="B10110" s="9" t="n">
        <v>10108</v>
      </c>
      <c r="C10110" s="10" t="inlineStr">
        <is>
          <t>Chuyên Viên Chứng Từ Xuất Nhập Khẩu</t>
        </is>
      </c>
      <c r="D10110" s="10" t="inlineStr">
        <is>
          <t>Công Ty Cổ Phần Thép Hòa Phát Dung Quất</t>
        </is>
      </c>
      <c r="E10110" s="10" t="inlineStr">
        <is>
          <t>Thương lượng</t>
        </is>
      </c>
      <c r="F10110" s="10" t="inlineStr">
        <is>
          <t>Hà Nội</t>
        </is>
      </c>
      <c r="G10110" s="10" t="inlineStr">
        <is>
          <t>Nhân viên</t>
        </is>
      </c>
      <c r="H10110" s="10" t="inlineStr">
        <is>
          <t>12/03/2026</t>
        </is>
      </c>
      <c r="I10110" s="10" t="inlineStr">
        <is>
          <t>11/04/2026</t>
        </is>
      </c>
      <c r="J10110" s="10" t="inlineStr">
        <is>
          <t>17/03/2026</t>
        </is>
      </c>
      <c r="K10110" s="10" t="inlineStr">
        <is>
          <t>N/A</t>
        </is>
      </c>
      <c r="L10110" s="10" t="inlineStr">
        <is>
          <t>Xuất Nhập Khẩu, Kinh Doanh, Shipping Logistics, Tiếng Anh</t>
        </is>
      </c>
      <c r="M10110" s="10" t="inlineStr">
        <is>
          <t>Bonus, Travel Opportunities, Transportation</t>
        </is>
      </c>
      <c r="N10110" s="11">
        <f>HYPERLINK("https://www.vietnamworks.com/chuyen-vien-chung-tu-xuat-nhap-khau--2022184-jv","Xem chi tiết")</f>
        <v/>
      </c>
      <c r="O10110" s="10" t="n"/>
    </row>
    <row r="10111">
      <c r="B10111" s="7" t="n">
        <v>10109</v>
      </c>
      <c r="C10111" t="inlineStr">
        <is>
          <t>Accounting Assistant (Remote)</t>
        </is>
      </c>
      <c r="D10111" t="inlineStr">
        <is>
          <t>1st Choice Freight Service Inc.</t>
        </is>
      </c>
      <c r="E10111" t="inlineStr">
        <is>
          <t>$$ 500-900 /tháng</t>
        </is>
      </c>
      <c r="F10111" t="inlineStr">
        <is>
          <t>Hồ Chí Minh, Bình Dương, Đồng Nai</t>
        </is>
      </c>
      <c r="G10111" t="inlineStr">
        <is>
          <t>Nhân viên</t>
        </is>
      </c>
      <c r="H10111" t="inlineStr">
        <is>
          <t>12/03/2026</t>
        </is>
      </c>
      <c r="I10111" t="inlineStr">
        <is>
          <t>11/04/2026</t>
        </is>
      </c>
      <c r="J10111" t="inlineStr">
        <is>
          <t>17/03/2026</t>
        </is>
      </c>
      <c r="K10111" t="inlineStr">
        <is>
          <t>N/A</t>
        </is>
      </c>
      <c r="L10111" t="inlineStr">
        <is>
          <t>Kế Toán Tổng Hợp, Kế Toán Thuế, Payroll, PIT, Vietnam Accounting Standards</t>
        </is>
      </c>
      <c r="M10111" t="inlineStr">
        <is>
          <t>Bonus</t>
        </is>
      </c>
      <c r="N10111" s="8">
        <f>HYPERLINK("https://www.vietnamworks.com/accounting-assistant-remote-2022206-jv","Xem chi tiết")</f>
        <v/>
      </c>
    </row>
    <row r="10112">
      <c r="B10112" s="9" t="n">
        <v>10110</v>
      </c>
      <c r="C10112" s="10" t="inlineStr">
        <is>
          <t>HR &amp; Admin Executive</t>
        </is>
      </c>
      <c r="D10112" s="10" t="inlineStr">
        <is>
          <t>Công Ty TNHH K-Chem Việt Nam</t>
        </is>
      </c>
      <c r="E10112" s="10" t="inlineStr">
        <is>
          <t>Thương lượng</t>
        </is>
      </c>
      <c r="F10112" s="10" t="inlineStr">
        <is>
          <t>Bình Dương</t>
        </is>
      </c>
      <c r="G10112" s="10" t="inlineStr">
        <is>
          <t>Nhân viên</t>
        </is>
      </c>
      <c r="H10112" s="10" t="inlineStr">
        <is>
          <t>12/03/2026</t>
        </is>
      </c>
      <c r="I10112" s="10" t="inlineStr">
        <is>
          <t>11/04/2026</t>
        </is>
      </c>
      <c r="J10112" s="10" t="inlineStr">
        <is>
          <t>17/03/2026</t>
        </is>
      </c>
      <c r="K10112" s="10" t="inlineStr">
        <is>
          <t>N/A</t>
        </is>
      </c>
      <c r="L10112" s="10" t="inlineStr">
        <is>
          <t>HR Admin, Office Management, General Affairs, Factory Operations, Procurement</t>
        </is>
      </c>
      <c r="M10112" s="10" t="inlineStr">
        <is>
          <t>Bonus, Healthcare Plan, Paid Leave</t>
        </is>
      </c>
      <c r="N10112" s="11">
        <f>HYPERLINK("https://www.vietnamworks.com/hr-admin-executive--2022196-jv","Xem chi tiết")</f>
        <v/>
      </c>
      <c r="O10112" s="10" t="n"/>
    </row>
    <row r="10113">
      <c r="B10113" s="7" t="n">
        <v>10111</v>
      </c>
      <c r="C10113" t="inlineStr">
        <is>
          <t>Nhân Viên Kinh Doanh Dự án (B2B - IT/Telecom)</t>
        </is>
      </c>
      <c r="D10113" t="inlineStr">
        <is>
          <t>Công Ty TNHH MTV Viễn Thông Quốc Tế FPT</t>
        </is>
      </c>
      <c r="E10113" t="inlineStr">
        <is>
          <t>Thương lượng</t>
        </is>
      </c>
      <c r="F10113" t="inlineStr">
        <is>
          <t>Hồ Chí Minh, Hà Nội</t>
        </is>
      </c>
      <c r="G10113" t="inlineStr">
        <is>
          <t>Nhân viên</t>
        </is>
      </c>
      <c r="H10113" t="inlineStr">
        <is>
          <t>12/03/2026</t>
        </is>
      </c>
      <c r="I10113" t="inlineStr">
        <is>
          <t>11/04/2026</t>
        </is>
      </c>
      <c r="J10113" t="inlineStr">
        <is>
          <t>17/03/2026</t>
        </is>
      </c>
      <c r="K10113" t="inlineStr">
        <is>
          <t>N/A</t>
        </is>
      </c>
      <c r="L10113" t="inlineStr">
        <is>
          <t>Bán Hàng B2B, Công Nghệ Thông Tin, Viễn Thông, Bán hàng, Giải Pháp Công Nghệ</t>
        </is>
      </c>
      <c r="M10113" t="inlineStr">
        <is>
          <t>Bonus, Healthcare Plan, Paid Leave, Training, Awards, Team Activities, Others</t>
        </is>
      </c>
      <c r="N10113" s="8">
        <f>HYPERLINK("https://www.vietnamworks.com/nhan-vien-kinh-doanh-du-an-b2b-ittelecom-2022194-jv","Xem chi tiết")</f>
        <v/>
      </c>
    </row>
    <row r="10114">
      <c r="B10114" s="9" t="n">
        <v>10112</v>
      </c>
      <c r="C10114" s="10" t="inlineStr">
        <is>
          <t>Nhân Viên An Toàn HSE</t>
        </is>
      </c>
      <c r="D10114" s="10" t="inlineStr">
        <is>
          <t>CÔNG TY TNHH ĐỒ CHƠI THÔNG MINH SUN VIGOR VIỆT NAM</t>
        </is>
      </c>
      <c r="E10114" s="10" t="inlineStr">
        <is>
          <t>Thương lượng</t>
        </is>
      </c>
      <c r="F10114" s="10" t="inlineStr">
        <is>
          <t>Hải Phòng</t>
        </is>
      </c>
      <c r="G10114" s="10" t="inlineStr">
        <is>
          <t>Nhân viên</t>
        </is>
      </c>
      <c r="H10114" s="10" t="inlineStr">
        <is>
          <t>12/03/2026</t>
        </is>
      </c>
      <c r="I10114" s="10" t="inlineStr">
        <is>
          <t>11/04/2026</t>
        </is>
      </c>
      <c r="J10114" s="10" t="inlineStr">
        <is>
          <t>17/03/2026</t>
        </is>
      </c>
      <c r="K10114" s="10" t="inlineStr">
        <is>
          <t>N/A</t>
        </is>
      </c>
      <c r="L10114" s="10" t="inlineStr">
        <is>
          <t>ISO, PCCC, An Toàn Lao Động, Vệ Sinh Công Nghiệp, Compliance</t>
        </is>
      </c>
      <c r="M10114" s="10" t="inlineStr">
        <is>
          <t>Bonus, Healthcare Plan, Transportation</t>
        </is>
      </c>
      <c r="N10114" s="11">
        <f>HYPERLINK("https://www.vietnamworks.com/nhan-vien-an-toan-hse--2022213-jv","Xem chi tiết")</f>
        <v/>
      </c>
      <c r="O10114" s="10" t="n"/>
    </row>
    <row r="10115">
      <c r="B10115" s="7" t="n">
        <v>10113</v>
      </c>
      <c r="C10115" t="inlineStr">
        <is>
          <t>Trưởng Bộ Phận Vận Hành Xe Liên Tỉnh</t>
        </is>
      </c>
      <c r="D10115" t="inlineStr">
        <is>
          <t>GSM</t>
        </is>
      </c>
      <c r="E10115" t="inlineStr">
        <is>
          <t>$$ 1,000-2,000 /tháng</t>
        </is>
      </c>
      <c r="F10115" t="inlineStr">
        <is>
          <t>Hà Nội</t>
        </is>
      </c>
      <c r="G10115" t="inlineStr">
        <is>
          <t>Trưởng phòng</t>
        </is>
      </c>
      <c r="H10115" t="inlineStr">
        <is>
          <t>12/03/2026</t>
        </is>
      </c>
      <c r="I10115" t="inlineStr">
        <is>
          <t>11/04/2026</t>
        </is>
      </c>
      <c r="J10115" t="inlineStr">
        <is>
          <t>17/03/2026</t>
        </is>
      </c>
      <c r="K10115" t="inlineStr">
        <is>
          <t>N/A</t>
        </is>
      </c>
      <c r="L10115" t="inlineStr">
        <is>
          <t>Vận Hành Chuỗi F&amp;B, Vận Hành, Food Distribution, Quản Lý Giao Hàng, Giao Hàng</t>
        </is>
      </c>
      <c r="M10115" t="inlineStr">
        <is>
          <t>Bonus, Healthcare Plan, Training</t>
        </is>
      </c>
      <c r="N10115" s="8">
        <f>HYPERLINK("https://www.vietnamworks.com/truong-bo-phan-van-hanh-xe-lien-tinh-2022208-jv","Xem chi tiết")</f>
        <v/>
      </c>
    </row>
    <row r="10116">
      <c r="B10116" s="9" t="n">
        <v>10114</v>
      </c>
      <c r="C10116" s="10" t="inlineStr">
        <is>
          <t>Kế Toán Tổng Hợp</t>
        </is>
      </c>
      <c r="D10116" s="10" t="inlineStr">
        <is>
          <t>CÔNG TY TNHH THƯƠNG MẠI VÀ DỊCH VỤ OZOVN</t>
        </is>
      </c>
      <c r="E10116" s="10" t="inlineStr">
        <is>
          <t>15tr-20tr ₫/tháng</t>
        </is>
      </c>
      <c r="F10116" s="10" t="inlineStr">
        <is>
          <t>Hà Nội</t>
        </is>
      </c>
      <c r="G10116" s="10" t="inlineStr">
        <is>
          <t>Nhân viên</t>
        </is>
      </c>
      <c r="H10116" s="10" t="inlineStr">
        <is>
          <t>12/03/2026</t>
        </is>
      </c>
      <c r="I10116" s="10" t="inlineStr">
        <is>
          <t>11/04/2026</t>
        </is>
      </c>
      <c r="J10116" s="10" t="inlineStr">
        <is>
          <t>17/03/2026</t>
        </is>
      </c>
      <c r="K10116" s="10" t="inlineStr">
        <is>
          <t>N/A</t>
        </is>
      </c>
      <c r="L10116" s="10" t="inlineStr">
        <is>
          <t>Kế Toán Tổng Hợp, Làm việc độc lập, Phần mềm kế toán, Phân Tích Số Liệu, Quy Định Thuế</t>
        </is>
      </c>
      <c r="M10116" s="10" t="inlineStr">
        <is>
          <t>Bonus, Paid Leave, Training, Travel Opportunities, Others</t>
        </is>
      </c>
      <c r="N10116" s="11">
        <f>HYPERLINK("https://www.vietnamworks.com/ke-toan-tong-hop-2022216-jv","Xem chi tiết")</f>
        <v/>
      </c>
      <c r="O10116" s="10" t="n"/>
    </row>
    <row r="10117">
      <c r="B10117" s="7" t="n">
        <v>10115</v>
      </c>
      <c r="C10117" t="inlineStr">
        <is>
          <t>Senior Coordinator, Air Operations</t>
        </is>
      </c>
      <c r="D10117" t="inlineStr">
        <is>
          <t>FedEx Logistics Vietnam Company Limited</t>
        </is>
      </c>
      <c r="E10117" t="inlineStr">
        <is>
          <t>Thương lượng</t>
        </is>
      </c>
      <c r="F10117" t="inlineStr">
        <is>
          <t>Hà Nội</t>
        </is>
      </c>
      <c r="G10117" t="inlineStr">
        <is>
          <t>Nhân viên</t>
        </is>
      </c>
      <c r="H10117" t="inlineStr">
        <is>
          <t>12/03/2026</t>
        </is>
      </c>
      <c r="I10117" t="inlineStr">
        <is>
          <t>11/04/2026</t>
        </is>
      </c>
      <c r="J10117" t="inlineStr">
        <is>
          <t>17/03/2026</t>
        </is>
      </c>
      <c r="K10117" t="inlineStr">
        <is>
          <t>N/A</t>
        </is>
      </c>
      <c r="L10117" t="inlineStr">
        <is>
          <t>Air Freight, Air Freight Forwarding, Cargo, Forwarding, Logistics</t>
        </is>
      </c>
      <c r="M10117" t="inlineStr">
        <is>
          <t>Bonus, Healthcare Plan</t>
        </is>
      </c>
      <c r="N10117" s="8">
        <f>HYPERLINK("https://www.vietnamworks.com/senior-coordinator-air-operations-2022224-jv","Xem chi tiết")</f>
        <v/>
      </c>
    </row>
    <row r="10118">
      <c r="B10118" s="9" t="n">
        <v>10116</v>
      </c>
      <c r="C10118" s="10" t="inlineStr">
        <is>
          <t>Customer Service Ofiicer</t>
        </is>
      </c>
      <c r="D10118" s="10" t="inlineStr">
        <is>
          <t>Công Ty TNHH Gardenline International (VN)</t>
        </is>
      </c>
      <c r="E10118" s="10" t="inlineStr">
        <is>
          <t>Thương lượng</t>
        </is>
      </c>
      <c r="F10118" s="10" t="inlineStr">
        <is>
          <t>Bình Định</t>
        </is>
      </c>
      <c r="G10118" s="10" t="inlineStr">
        <is>
          <t>Nhân viên</t>
        </is>
      </c>
      <c r="H10118" s="10" t="inlineStr">
        <is>
          <t>12/03/2026</t>
        </is>
      </c>
      <c r="I10118" s="10" t="inlineStr">
        <is>
          <t>11/04/2026</t>
        </is>
      </c>
      <c r="J10118" s="10" t="inlineStr">
        <is>
          <t>17/03/2026</t>
        </is>
      </c>
      <c r="K10118" s="10" t="inlineStr">
        <is>
          <t>N/A</t>
        </is>
      </c>
      <c r="L10118" s="10" t="inlineStr">
        <is>
          <t>Good Communication Skill, Customer Service Skill</t>
        </is>
      </c>
      <c r="M10118" s="10" t="inlineStr">
        <is>
          <t>Bonus, Healthcare Plan, Others</t>
        </is>
      </c>
      <c r="N10118" s="11">
        <f>HYPERLINK("https://www.vietnamworks.com/customer-service-ofiicer-2022215-jv","Xem chi tiết")</f>
        <v/>
      </c>
      <c r="O10118" s="10" t="n"/>
    </row>
    <row r="10119">
      <c r="B10119" s="7" t="n">
        <v>10117</v>
      </c>
      <c r="C10119" t="inlineStr">
        <is>
          <t>Nhân Viên Hành Chính Nhân Sự</t>
        </is>
      </c>
      <c r="D10119" t="inlineStr">
        <is>
          <t>Công ty TNHH Toyota Hiroshima Tân Cảng - HT</t>
        </is>
      </c>
      <c r="E10119" t="inlineStr">
        <is>
          <t>12tr-16tr ₫/tháng</t>
        </is>
      </c>
      <c r="F10119" t="inlineStr">
        <is>
          <t>Hồ Chí Minh</t>
        </is>
      </c>
      <c r="G10119" t="inlineStr">
        <is>
          <t>Nhân viên</t>
        </is>
      </c>
      <c r="H10119" t="inlineStr">
        <is>
          <t>12/03/2026</t>
        </is>
      </c>
      <c r="I10119" t="inlineStr">
        <is>
          <t>11/04/2026</t>
        </is>
      </c>
      <c r="J10119" t="inlineStr">
        <is>
          <t>17/03/2026</t>
        </is>
      </c>
      <c r="K10119" t="inlineStr">
        <is>
          <t>N/A</t>
        </is>
      </c>
      <c r="L10119" t="inlineStr">
        <is>
          <t>Giao Tiếp Tiếng Anh, Giải Quyết Vấn Đề, Hành Chính, Microsoft Office, Nhân Sự</t>
        </is>
      </c>
      <c r="M10119" t="inlineStr">
        <is>
          <t>Bonus, Healthcare Plan, Training, Others</t>
        </is>
      </c>
      <c r="N10119" s="8">
        <f>HYPERLINK("https://www.vietnamworks.com/nhan-vien-hanh-chinh-nhan-su-2022211-jv","Xem chi tiết")</f>
        <v/>
      </c>
    </row>
    <row r="10120">
      <c r="B10120" s="9" t="n">
        <v>10118</v>
      </c>
      <c r="C10120" s="10" t="inlineStr">
        <is>
          <t>Giám Đốc Kinh Doanh - Bất Động Sản Khu Công Nghiệp</t>
        </is>
      </c>
      <c r="D10120" s="10" t="inlineStr">
        <is>
          <t>Stavian Group</t>
        </is>
      </c>
      <c r="E10120" s="10" t="inlineStr">
        <is>
          <t>Thương lượng</t>
        </is>
      </c>
      <c r="F10120" s="10" t="inlineStr">
        <is>
          <t>Hà Nội</t>
        </is>
      </c>
      <c r="G10120" s="10" t="inlineStr">
        <is>
          <t>Giám Đốc và Cấp Cao Hơn</t>
        </is>
      </c>
      <c r="H10120" s="10" t="inlineStr">
        <is>
          <t>12/03/2026</t>
        </is>
      </c>
      <c r="I10120" s="10" t="inlineStr">
        <is>
          <t>11/04/2026</t>
        </is>
      </c>
      <c r="J10120" s="10" t="inlineStr">
        <is>
          <t>17/03/2026</t>
        </is>
      </c>
      <c r="K10120" s="10" t="inlineStr">
        <is>
          <t>N/A</t>
        </is>
      </c>
      <c r="L10120" s="10" t="inlineStr">
        <is>
          <t>Kinh Doanh, Lãnh Đạo, Tiếng Anh, Đàm Phán, Quản Trị Pipeline</t>
        </is>
      </c>
      <c r="M10120" s="10" t="inlineStr">
        <is>
          <t>Bonus, Healthcare Plan, Others</t>
        </is>
      </c>
      <c r="N10120" s="11">
        <f>HYPERLINK("https://www.vietnamworks.com/giam-djoc-kinh-doanh-bat-djong-san-khu-cong-nghiep-2022218-jv","Xem chi tiết")</f>
        <v/>
      </c>
      <c r="O10120" s="10" t="n"/>
    </row>
    <row r="10121">
      <c r="B10121" s="7" t="n">
        <v>10119</v>
      </c>
      <c r="C10121" t="inlineStr">
        <is>
          <t>R&amp;D Engineer/ Senior Engineer/ Supervisor (Performance Design)</t>
        </is>
      </c>
      <c r="D10121" t="inlineStr">
        <is>
          <t>Panasonic Appliances Vietnam</t>
        </is>
      </c>
      <c r="E10121" t="inlineStr">
        <is>
          <t>Thương lượng</t>
        </is>
      </c>
      <c r="F10121" t="inlineStr">
        <is>
          <t>Hưng Yên</t>
        </is>
      </c>
      <c r="G10121" t="inlineStr">
        <is>
          <t>Nhân viên</t>
        </is>
      </c>
      <c r="H10121" t="inlineStr">
        <is>
          <t>12/03/2026</t>
        </is>
      </c>
      <c r="I10121" t="inlineStr">
        <is>
          <t>11/04/2026</t>
        </is>
      </c>
      <c r="J10121" t="inlineStr">
        <is>
          <t>17/03/2026</t>
        </is>
      </c>
      <c r="K10121" t="inlineStr">
        <is>
          <t>N/A</t>
        </is>
      </c>
      <c r="L10121" t="inlineStr">
        <is>
          <t>English Communicate, Japanese Communication, Mechatronics, Mechanical, Chemistry</t>
        </is>
      </c>
      <c r="M10121" t="inlineStr">
        <is>
          <t>Bonus, Healthcare Plan, Transportation</t>
        </is>
      </c>
      <c r="N10121" s="8">
        <f>HYPERLINK("https://www.vietnamworks.com/r-d-engineer-senior-engineer-supervisor-performance-design-2022223-jv","Xem chi tiết")</f>
        <v/>
      </c>
    </row>
    <row r="10122">
      <c r="B10122" s="9" t="n">
        <v>10120</v>
      </c>
      <c r="C10122" s="10" t="inlineStr">
        <is>
          <t>Trưởng Phòng Kỹ Thuật (Hard Service Manager)</t>
        </is>
      </c>
      <c r="D10122" s="10" t="inlineStr">
        <is>
          <t>Công Ty TNHH Aden Services (Việt Nam) - CN Hà Nội</t>
        </is>
      </c>
      <c r="E10122" s="10" t="inlineStr">
        <is>
          <t>Thương lượng</t>
        </is>
      </c>
      <c r="F10122" s="10" t="inlineStr">
        <is>
          <t>Hà Nội</t>
        </is>
      </c>
      <c r="G10122" s="10" t="inlineStr">
        <is>
          <t>Trưởng phòng</t>
        </is>
      </c>
      <c r="H10122" s="10" t="inlineStr">
        <is>
          <t>12/03/2026</t>
        </is>
      </c>
      <c r="I10122" s="10" t="inlineStr">
        <is>
          <t>11/04/2026</t>
        </is>
      </c>
      <c r="J10122" s="10" t="inlineStr">
        <is>
          <t>17/03/2026</t>
        </is>
      </c>
      <c r="K10122" s="10" t="inlineStr">
        <is>
          <t>N/A</t>
        </is>
      </c>
      <c r="L10122" s="10" t="inlineStr">
        <is>
          <t>Technical Management, English Language Proficiency, Building Management, Technical Leadership, Communication English</t>
        </is>
      </c>
      <c r="M10122" s="10" t="inlineStr">
        <is>
          <t>Bonus, Training, Team Activities</t>
        </is>
      </c>
      <c r="N10122" s="11">
        <f>HYPERLINK("https://www.vietnamworks.com/truong-phong-ky-thuat-hard-service-manager--2022210-jv","Xem chi tiết")</f>
        <v/>
      </c>
      <c r="O10122" s="10" t="n"/>
    </row>
    <row r="10123">
      <c r="B10123" s="7" t="n">
        <v>10121</v>
      </c>
      <c r="C10123" t="inlineStr">
        <is>
          <t>Phó Phòng Khách Hàng Cá Nhân - CN. Bến Tre (CN26.26)</t>
        </is>
      </c>
      <c r="D10123" t="inlineStr">
        <is>
          <t>NGÂN HÀNG TMCP QUÂN ĐỘI – MBBANK</t>
        </is>
      </c>
      <c r="E10123" t="inlineStr">
        <is>
          <t>Thương lượng</t>
        </is>
      </c>
      <c r="F10123" t="inlineStr">
        <is>
          <t>Vĩnh Long</t>
        </is>
      </c>
      <c r="G10123" t="inlineStr">
        <is>
          <t>Trưởng phòng</t>
        </is>
      </c>
      <c r="H10123" t="inlineStr">
        <is>
          <t>12/03/2026</t>
        </is>
      </c>
      <c r="I10123" t="inlineStr">
        <is>
          <t>11/04/2026</t>
        </is>
      </c>
      <c r="J10123" t="inlineStr">
        <is>
          <t>17/03/2026</t>
        </is>
      </c>
      <c r="K10123" t="inlineStr">
        <is>
          <t>N/A</t>
        </is>
      </c>
      <c r="L10123" t="inlineStr">
        <is>
          <t>Sales Planning, Account Management, Team Management, Customer Experiences, Risks management</t>
        </is>
      </c>
      <c r="M10123" t="inlineStr">
        <is>
          <t>Bonus, Paid Leave, Training, Awards, Library, Vouchers, Others</t>
        </is>
      </c>
      <c r="N10123" s="8">
        <f>HYPERLINK("https://www.vietnamworks.com/pho-phong-khach-hang-ca-nhan-cn-ben-tre-cn26-26-2022219-jv","Xem chi tiết")</f>
        <v/>
      </c>
    </row>
    <row r="10124">
      <c r="B10124" s="9" t="n">
        <v>10122</v>
      </c>
      <c r="C10124" s="10" t="inlineStr">
        <is>
          <t>Internal Control Officer</t>
        </is>
      </c>
      <c r="D10124" s="10" t="inlineStr">
        <is>
          <t>Công Ty TNHH Fonterra Brands Việt Nam</t>
        </is>
      </c>
      <c r="E10124" s="10" t="inlineStr">
        <is>
          <t>Thương lượng</t>
        </is>
      </c>
      <c r="F10124" s="10" t="inlineStr">
        <is>
          <t>Hồ Chí Minh</t>
        </is>
      </c>
      <c r="G10124" s="10" t="inlineStr">
        <is>
          <t>Mới Tốt Nghiệp</t>
        </is>
      </c>
      <c r="H10124" s="10" t="inlineStr">
        <is>
          <t>12/03/2026</t>
        </is>
      </c>
      <c r="I10124" s="10" t="inlineStr">
        <is>
          <t>11/04/2026</t>
        </is>
      </c>
      <c r="J10124" s="10" t="inlineStr">
        <is>
          <t>17/03/2026</t>
        </is>
      </c>
      <c r="K10124" s="10" t="inlineStr">
        <is>
          <t>N/A</t>
        </is>
      </c>
      <c r="L10124" s="10" t="inlineStr">
        <is>
          <t>Data Analysis, Reporting, Attention To Detail, Internal Audit, Internal Control</t>
        </is>
      </c>
      <c r="M10124" s="10" t="inlineStr">
        <is>
          <t>Bonus, Healthcare Plan, Paid Leave</t>
        </is>
      </c>
      <c r="N10124" s="11">
        <f>HYPERLINK("https://www.vietnamworks.com/internal-control-officer-2022226-jv","Xem chi tiết")</f>
        <v/>
      </c>
      <c r="O10124" s="10" t="n"/>
    </row>
    <row r="10125">
      <c r="B10125" s="7" t="n">
        <v>10123</v>
      </c>
      <c r="C10125" t="inlineStr">
        <is>
          <t>Project Coordinator</t>
        </is>
      </c>
      <c r="D10125" t="inlineStr">
        <is>
          <t>Công ty TNHH Thiên Hương</t>
        </is>
      </c>
      <c r="E10125" t="inlineStr">
        <is>
          <t>Thương lượng</t>
        </is>
      </c>
      <c r="F10125" t="inlineStr">
        <is>
          <t>Hà Nội</t>
        </is>
      </c>
      <c r="G10125" t="inlineStr">
        <is>
          <t>Nhân viên</t>
        </is>
      </c>
      <c r="H10125" t="inlineStr">
        <is>
          <t>12/03/2026</t>
        </is>
      </c>
      <c r="I10125" t="inlineStr">
        <is>
          <t>11/04/2026</t>
        </is>
      </c>
      <c r="J10125" t="inlineStr">
        <is>
          <t>17/03/2026</t>
        </is>
      </c>
      <c r="K10125" t="inlineStr">
        <is>
          <t>N/A</t>
        </is>
      </c>
      <c r="L10125" t="inlineStr">
        <is>
          <t>Quản Lý Dự Án, Điều Phối Dự Án, Xây Dựng, Project Management, Bất Động Sản</t>
        </is>
      </c>
      <c r="M10125" t="inlineStr">
        <is>
          <t>Bonus, Training, Others</t>
        </is>
      </c>
      <c r="N10125" s="8">
        <f>HYPERLINK("https://www.vietnamworks.com/project-coordinator--2022228-jv","Xem chi tiết")</f>
        <v/>
      </c>
    </row>
    <row r="10126">
      <c r="B10126" s="9" t="n">
        <v>10124</v>
      </c>
      <c r="C10126" s="10" t="inlineStr">
        <is>
          <t>Đội Trưởng Vận Hành - Khu Vực Miền Nam</t>
        </is>
      </c>
      <c r="D10126" s="10" t="inlineStr">
        <is>
          <t>GSM</t>
        </is>
      </c>
      <c r="E10126" s="10" t="inlineStr">
        <is>
          <t>$$ 800-1,500 /tháng</t>
        </is>
      </c>
      <c r="F10126" s="10" t="inlineStr">
        <is>
          <t>Hồ Chí Minh</t>
        </is>
      </c>
      <c r="G10126" s="10" t="inlineStr">
        <is>
          <t>Nhân viên</t>
        </is>
      </c>
      <c r="H10126" s="10" t="inlineStr">
        <is>
          <t>12/03/2026</t>
        </is>
      </c>
      <c r="I10126" s="10" t="inlineStr">
        <is>
          <t>11/04/2026</t>
        </is>
      </c>
      <c r="J10126" s="10" t="inlineStr">
        <is>
          <t>17/03/2026</t>
        </is>
      </c>
      <c r="K10126" s="10" t="inlineStr">
        <is>
          <t>N/A</t>
        </is>
      </c>
      <c r="L10126" s="10" t="inlineStr">
        <is>
          <t>Điều Phối Vận Tải, Vận Hành Xe, Ô Tô Điện, Giám Sát Vận Tải</t>
        </is>
      </c>
      <c r="M10126" s="10" t="inlineStr">
        <is>
          <t>Bonus, Healthcare Plan, Training</t>
        </is>
      </c>
      <c r="N10126" s="11">
        <f>HYPERLINK("https://www.vietnamworks.com/doi-truong-van-hanh-khu-vuc-mien-nam-2022232-jv","Xem chi tiết")</f>
        <v/>
      </c>
      <c r="O10126" s="10" t="n"/>
    </row>
    <row r="10127">
      <c r="B10127" s="7" t="n">
        <v>10125</v>
      </c>
      <c r="C10127" t="inlineStr">
        <is>
          <t>Nhân Viên Thu Mua Làm Việc Tại Văn Phòng May Mặc (Purchasing Staff At Garment Office)</t>
        </is>
      </c>
      <c r="D10127" t="inlineStr">
        <is>
          <t>Chi Nhánh Hà Nội - Công Ty TNHH Kiara Garments Việt Nam</t>
        </is>
      </c>
      <c r="E10127" t="inlineStr">
        <is>
          <t>$$ 500-1,000 /tháng</t>
        </is>
      </c>
      <c r="F10127" t="inlineStr">
        <is>
          <t>Hà Nội</t>
        </is>
      </c>
      <c r="G10127" t="inlineStr">
        <is>
          <t>Nhân viên</t>
        </is>
      </c>
      <c r="H10127" t="inlineStr">
        <is>
          <t>12/03/2026</t>
        </is>
      </c>
      <c r="I10127" t="inlineStr">
        <is>
          <t>11/04/2026</t>
        </is>
      </c>
      <c r="J10127" t="inlineStr">
        <is>
          <t>17/03/2026</t>
        </is>
      </c>
      <c r="K10127" t="inlineStr">
        <is>
          <t>N/A</t>
        </is>
      </c>
      <c r="L10127" t="inlineStr">
        <is>
          <t>Purchasing Logistics, English Communicate, Negotiate, Supply Chain Coordination, Cost Control</t>
        </is>
      </c>
      <c r="M10127" t="inlineStr">
        <is>
          <t>Bonus, Paid Leave, Others</t>
        </is>
      </c>
      <c r="N10127" s="8">
        <f>HYPERLINK("https://www.vietnamworks.com/nhan-vien-thu-mua-lam-viec-tai-van-phong-may-mac-purchasing-staff-at-garment-office-2022233-jv","Xem chi tiết")</f>
        <v/>
      </c>
    </row>
    <row r="10128">
      <c r="B10128" s="9" t="n">
        <v>10126</v>
      </c>
      <c r="C10128" s="10" t="inlineStr">
        <is>
          <t>Kế Toán Tổng Hợp</t>
        </is>
      </c>
      <c r="D10128" s="10" t="inlineStr">
        <is>
          <t>CÔNG TY CỔ PHẦN QUẢN LÝ ĐẦU TƯ ACD</t>
        </is>
      </c>
      <c r="E10128" s="10" t="inlineStr">
        <is>
          <t>$$ 1,000-1,500 /tháng</t>
        </is>
      </c>
      <c r="F10128" s="10" t="inlineStr">
        <is>
          <t>Hà Nội</t>
        </is>
      </c>
      <c r="G10128" s="10" t="inlineStr">
        <is>
          <t>Nhân viên</t>
        </is>
      </c>
      <c r="H10128" s="10" t="inlineStr">
        <is>
          <t>12/03/2026</t>
        </is>
      </c>
      <c r="I10128" s="10" t="inlineStr">
        <is>
          <t>11/04/2026</t>
        </is>
      </c>
      <c r="J10128" s="10" t="inlineStr">
        <is>
          <t>17/03/2026</t>
        </is>
      </c>
      <c r="K10128" s="10" t="inlineStr">
        <is>
          <t>N/A</t>
        </is>
      </c>
      <c r="L10128" s="10" t="inlineStr">
        <is>
          <t>Kế Toán Tổng Hợp, Báo Cáo Tài Chính, Kế Toán, Thuế GTGT, TNDN, TNCN</t>
        </is>
      </c>
      <c r="M10128" s="10" t="inlineStr">
        <is>
          <t>Bonus, Training, Others</t>
        </is>
      </c>
      <c r="N10128" s="11">
        <f>HYPERLINK("https://www.vietnamworks.com/ke-toan-tong-hop--2022227-jv","Xem chi tiết")</f>
        <v/>
      </c>
      <c r="O10128" s="10" t="n"/>
    </row>
    <row r="10129">
      <c r="B10129" s="7" t="n">
        <v>10127</v>
      </c>
      <c r="C10129" t="inlineStr">
        <is>
          <t>Nhân Viên Quản Lý Hệ Thống ISO Môi Trường 14001</t>
        </is>
      </c>
      <c r="D10129" t="inlineStr">
        <is>
          <t>Công ty TNHH Astemo Hưng Yên</t>
        </is>
      </c>
      <c r="E10129" t="inlineStr">
        <is>
          <t>Thương lượng</t>
        </is>
      </c>
      <c r="F10129" t="inlineStr">
        <is>
          <t>Hưng Yên</t>
        </is>
      </c>
      <c r="G10129" t="inlineStr">
        <is>
          <t>Nhân viên</t>
        </is>
      </c>
      <c r="H10129" t="inlineStr">
        <is>
          <t>12/03/2026</t>
        </is>
      </c>
      <c r="I10129" t="inlineStr">
        <is>
          <t>11/04/2026</t>
        </is>
      </c>
      <c r="J10129" t="inlineStr">
        <is>
          <t>17/03/2026</t>
        </is>
      </c>
      <c r="K10129" t="inlineStr">
        <is>
          <t>N/A</t>
        </is>
      </c>
      <c r="L10129" t="inlineStr">
        <is>
          <t>Quản Lý ISO, Giao Tiếp Tiếng Anh, Phần mềm văn phòng, ISO, Quản Lý Môi Trường</t>
        </is>
      </c>
      <c r="M10129" t="inlineStr">
        <is>
          <t>Bonus, Team Activities, Transportation, Others</t>
        </is>
      </c>
      <c r="N10129" s="8">
        <f>HYPERLINK("https://www.vietnamworks.com/nhan-vien-quan-ly-he-thong-iso-moi-truong-14001-2022238-jv","Xem chi tiết")</f>
        <v/>
      </c>
    </row>
    <row r="10130">
      <c r="B10130" s="9" t="n">
        <v>10128</v>
      </c>
      <c r="C10130" s="10" t="inlineStr">
        <is>
          <t>Chuyên Viên Trợ Lý Kế Toán (Accounting Assistant Specialist)</t>
        </is>
      </c>
      <c r="D10130" s="10" t="inlineStr">
        <is>
          <t>CÔNG TY TNHH DU LỊCH VÀ LỮ HÀNH IDEON</t>
        </is>
      </c>
      <c r="E10130" s="10" t="inlineStr">
        <is>
          <t>Thương lượng</t>
        </is>
      </c>
      <c r="F10130" s="10" t="inlineStr">
        <is>
          <t>Hồ Chí Minh</t>
        </is>
      </c>
      <c r="G10130" s="10" t="inlineStr">
        <is>
          <t>Nhân viên</t>
        </is>
      </c>
      <c r="H10130" s="10" t="inlineStr">
        <is>
          <t>12/03/2026</t>
        </is>
      </c>
      <c r="I10130" s="10" t="inlineStr">
        <is>
          <t>11/04/2026</t>
        </is>
      </c>
      <c r="J10130" s="10" t="inlineStr">
        <is>
          <t>17/03/2026</t>
        </is>
      </c>
      <c r="K10130" s="10" t="inlineStr">
        <is>
          <t>N/A</t>
        </is>
      </c>
      <c r="L10130" s="10" t="inlineStr">
        <is>
          <t>Kế Toán Xuất Hóa Đơn, Kiểm Tra Chứng Từ, Chứng Từ Thanh Toán, Lưu Trữ Chứng Từ, Đối Chiếu Công Nợ</t>
        </is>
      </c>
      <c r="M10130" s="10" t="inlineStr">
        <is>
          <t>Healthcare Plan, Paid Leave, Laptop</t>
        </is>
      </c>
      <c r="N10130" s="11">
        <f>HYPERLINK("https://www.vietnamworks.com/chuyen-vien-tro-ly-ke-toan-accounting-assistant-specialist-2022234-jv","Xem chi tiết")</f>
        <v/>
      </c>
      <c r="O10130" s="10" t="n"/>
    </row>
    <row r="10131">
      <c r="B10131" s="7" t="n">
        <v>10129</v>
      </c>
      <c r="C10131" t="inlineStr">
        <is>
          <t>Chuyên Viên Dịch Vụ Du Lịch</t>
        </is>
      </c>
      <c r="D10131" t="inlineStr">
        <is>
          <t>Công ty TNHH DB Home</t>
        </is>
      </c>
      <c r="E10131" t="inlineStr">
        <is>
          <t>Thương lượng</t>
        </is>
      </c>
      <c r="F10131" t="inlineStr">
        <is>
          <t>Hưng Yên, Hà Nội, Hồ Chí Minh</t>
        </is>
      </c>
      <c r="G10131" t="inlineStr">
        <is>
          <t>Nhân viên</t>
        </is>
      </c>
      <c r="H10131" t="inlineStr">
        <is>
          <t>12/03/2026</t>
        </is>
      </c>
      <c r="I10131" t="inlineStr">
        <is>
          <t>11/04/2026</t>
        </is>
      </c>
      <c r="J10131" t="inlineStr">
        <is>
          <t>17/03/2026</t>
        </is>
      </c>
      <c r="K10131" t="inlineStr">
        <is>
          <t>N/A</t>
        </is>
      </c>
      <c r="L10131" t="inlineStr">
        <is>
          <t>du lịch, Quan hệ &amp; Chăm sóc Khách hàng, Truyền Thông, Khách Sạn &amp; Nhà Hàng, Du Lịch Khách Sạn</t>
        </is>
      </c>
      <c r="M10131" t="inlineStr">
        <is>
          <t>Bonus, Healthcare Plan, Paid Leave, Others</t>
        </is>
      </c>
      <c r="N10131" s="8">
        <f>HYPERLINK("https://www.vietnamworks.com/chuyen-vien-dich-vu-du-lich-2022230-jv","Xem chi tiết")</f>
        <v/>
      </c>
    </row>
    <row r="10132">
      <c r="B10132" s="9" t="n">
        <v>10130</v>
      </c>
      <c r="C10132" s="10" t="inlineStr">
        <is>
          <t>SAP Consultant (Shuttle Bus from Center of Hanoi)</t>
        </is>
      </c>
      <c r="D10132" s="10" t="inlineStr">
        <is>
          <t>Hanwha Aero Engines Company Limited</t>
        </is>
      </c>
      <c r="E10132" s="10" t="inlineStr">
        <is>
          <t>Thương lượng</t>
        </is>
      </c>
      <c r="F10132" s="10" t="inlineStr">
        <is>
          <t>Hà Nội</t>
        </is>
      </c>
      <c r="G10132" s="10" t="inlineStr">
        <is>
          <t>Nhân viên</t>
        </is>
      </c>
      <c r="H10132" s="10" t="inlineStr">
        <is>
          <t>12/03/2026</t>
        </is>
      </c>
      <c r="I10132" s="10" t="inlineStr">
        <is>
          <t>11/04/2026</t>
        </is>
      </c>
      <c r="J10132" s="10" t="inlineStr">
        <is>
          <t>17/03/2026</t>
        </is>
      </c>
      <c r="K10132" s="10" t="inlineStr">
        <is>
          <t>N/A</t>
        </is>
      </c>
      <c r="L10132" s="10" t="inlineStr">
        <is>
          <t>SAP-FI, SAP PP, English, SAP CO, SAP QM</t>
        </is>
      </c>
      <c r="M10132" s="10" t="inlineStr">
        <is>
          <t>Bonus, Healthcare Plan, Travel Opportunities, Others</t>
        </is>
      </c>
      <c r="N10132" s="11">
        <f>HYPERLINK("https://www.vietnamworks.com/sap-consultant-shuttle-bus-from-center-of-hanoi-2022225-jv","Xem chi tiết")</f>
        <v/>
      </c>
      <c r="O10132" s="10" t="n"/>
    </row>
    <row r="10133">
      <c r="B10133" s="7" t="n">
        <v>10131</v>
      </c>
      <c r="C10133" t="inlineStr">
        <is>
          <t>Digital Marketing Executive (Google Ads | Meta Ads | E-Commerce | F&amp;B Industry)</t>
        </is>
      </c>
      <c r="D10133" t="inlineStr">
        <is>
          <t>CÔNG TY TNHH CAFETECH</t>
        </is>
      </c>
      <c r="E10133" t="inlineStr">
        <is>
          <t>12tr-16tr ₫/tháng</t>
        </is>
      </c>
      <c r="F10133" t="inlineStr">
        <is>
          <t>Hồ Chí Minh</t>
        </is>
      </c>
      <c r="G10133" t="inlineStr">
        <is>
          <t>Nhân viên</t>
        </is>
      </c>
      <c r="H10133" t="inlineStr">
        <is>
          <t>12/03/2026</t>
        </is>
      </c>
      <c r="I10133" t="inlineStr">
        <is>
          <t>11/04/2026</t>
        </is>
      </c>
      <c r="J10133" t="inlineStr">
        <is>
          <t>17/03/2026</t>
        </is>
      </c>
      <c r="K10133" t="inlineStr">
        <is>
          <t>N/A</t>
        </is>
      </c>
      <c r="L10133" t="inlineStr">
        <is>
          <t>Food and Beverage, Campaign Management, Digital Marketing Planning, Google Ads, SEO Strategy</t>
        </is>
      </c>
      <c r="M10133" t="inlineStr">
        <is>
          <t>Healthcare Plan, Paid Leave, Travel Opportunities</t>
        </is>
      </c>
      <c r="N10133" s="8">
        <f>HYPERLINK("https://www.vietnamworks.com/digital-marketing-executive-google-ads-or-meta-ads-or-e-commerce-or-fandb-industry-2022235-jv","Xem chi tiết")</f>
        <v/>
      </c>
    </row>
    <row r="10134">
      <c r="B10134" s="9" t="n">
        <v>10132</v>
      </c>
      <c r="C10134" s="10" t="inlineStr">
        <is>
          <t>Nhân Viên Kỹ Thuật</t>
        </is>
      </c>
      <c r="D10134" s="10" t="inlineStr">
        <is>
          <t>Công Ty Cổ Phần Quốc Tế Sơn Hà</t>
        </is>
      </c>
      <c r="E10134" s="10" t="inlineStr">
        <is>
          <t>12tr-15tr ₫/tháng</t>
        </is>
      </c>
      <c r="F10134" s="10" t="inlineStr">
        <is>
          <t>Bắc Ninh</t>
        </is>
      </c>
      <c r="G10134" s="10" t="inlineStr">
        <is>
          <t>Nhân viên</t>
        </is>
      </c>
      <c r="H10134" s="10" t="inlineStr">
        <is>
          <t>12/03/2026</t>
        </is>
      </c>
      <c r="I10134" s="10" t="inlineStr">
        <is>
          <t>11/04/2026</t>
        </is>
      </c>
      <c r="J10134" s="10" t="inlineStr">
        <is>
          <t>17/03/2026</t>
        </is>
      </c>
      <c r="K10134" s="10" t="inlineStr">
        <is>
          <t>N/A</t>
        </is>
      </c>
      <c r="L10134" s="10" t="inlineStr">
        <is>
          <t>Thiết Kế 2D, Thiết Kế Cơ Khí, Thiết Kế Sản Phẩm, Phần Mềm Thiết Kế 3D, CAD</t>
        </is>
      </c>
      <c r="M10134" s="10" t="inlineStr">
        <is>
          <t>Bonus, Healthcare Plan, Laptop</t>
        </is>
      </c>
      <c r="N10134" s="11">
        <f>HYPERLINK("https://www.vietnamworks.com/nhan-vien-ky-thuat-2022244-jv","Xem chi tiết")</f>
        <v/>
      </c>
      <c r="O10134" s="10" t="n"/>
    </row>
    <row r="10135">
      <c r="B10135" s="7" t="n">
        <v>10133</v>
      </c>
      <c r="C10135" t="inlineStr">
        <is>
          <t>Kế Toán Tổng Hợp (Ưu Tiên Đi Làm Ngay)</t>
        </is>
      </c>
      <c r="D10135" t="inlineStr">
        <is>
          <t>Impression Asia Tours</t>
        </is>
      </c>
      <c r="E10135" t="inlineStr">
        <is>
          <t>Thương lượng</t>
        </is>
      </c>
      <c r="F10135" t="inlineStr">
        <is>
          <t>Hà Nội</t>
        </is>
      </c>
      <c r="G10135" t="inlineStr">
        <is>
          <t>Nhân viên</t>
        </is>
      </c>
      <c r="H10135" t="inlineStr">
        <is>
          <t>12/03/2026</t>
        </is>
      </c>
      <c r="I10135" t="inlineStr">
        <is>
          <t>11/04/2026</t>
        </is>
      </c>
      <c r="J10135" t="inlineStr">
        <is>
          <t>17/03/2026</t>
        </is>
      </c>
      <c r="K10135" t="inlineStr">
        <is>
          <t>N/A</t>
        </is>
      </c>
      <c r="L10135" t="inlineStr">
        <is>
          <t>Kế Toán Tổng Hợp, Làm Việc Chịu Áp Lực Cao, Lập Báo Cáo Tài Chính, Phân Tích Số Liệu, Quản Lý Thu Chi</t>
        </is>
      </c>
      <c r="M10135" t="inlineStr">
        <is>
          <t>Bonus, Healthcare Plan, Training, Team Activities, Others</t>
        </is>
      </c>
      <c r="N10135" s="8">
        <f>HYPERLINK("https://www.vietnamworks.com/ke-toan-tong-hop-uu-tien-dji-lam-ngay-2022242-jv","Xem chi tiết")</f>
        <v/>
      </c>
    </row>
    <row r="10136">
      <c r="B10136" s="9" t="n">
        <v>10134</v>
      </c>
      <c r="C10136" s="10" t="inlineStr">
        <is>
          <t>Quantity Surveyor</t>
        </is>
      </c>
      <c r="D10136" s="10" t="inlineStr">
        <is>
          <t>Central Retail Vietnam - Property Business Unit</t>
        </is>
      </c>
      <c r="E10136" s="10" t="inlineStr">
        <is>
          <t>Thương lượng</t>
        </is>
      </c>
      <c r="F10136" s="10" t="inlineStr">
        <is>
          <t>Hồ Chí Minh</t>
        </is>
      </c>
      <c r="G10136" s="10" t="inlineStr">
        <is>
          <t>Nhân viên</t>
        </is>
      </c>
      <c r="H10136" s="10" t="inlineStr">
        <is>
          <t>12/03/2026</t>
        </is>
      </c>
      <c r="I10136" s="10" t="inlineStr">
        <is>
          <t>11/04/2026</t>
        </is>
      </c>
      <c r="J10136" s="10" t="inlineStr">
        <is>
          <t>17/03/2026</t>
        </is>
      </c>
      <c r="K10136" s="10" t="inlineStr">
        <is>
          <t>N/A</t>
        </is>
      </c>
      <c r="L10136" s="10" t="inlineStr">
        <is>
          <t>Construction, Control Quantity, architech, M&amp;E, Quantity Surveyor</t>
        </is>
      </c>
      <c r="M10136" s="10" t="inlineStr">
        <is>
          <t>Bonus, Healthcare Plan, Laptop</t>
        </is>
      </c>
      <c r="N10136" s="11">
        <f>HYPERLINK("https://www.vietnamworks.com/quantity-surveyor--2022252-jv","Xem chi tiết")</f>
        <v/>
      </c>
      <c r="O10136" s="10" t="n"/>
    </row>
    <row r="10137">
      <c r="B10137" s="7" t="n">
        <v>10135</v>
      </c>
      <c r="C10137" t="inlineStr">
        <is>
          <t>Head of Logistics</t>
        </is>
      </c>
      <c r="D10137" t="inlineStr">
        <is>
          <t>Vietnamworks' Client</t>
        </is>
      </c>
      <c r="E10137" t="inlineStr">
        <is>
          <t>Thương lượng</t>
        </is>
      </c>
      <c r="F10137" t="inlineStr">
        <is>
          <t>Bình Dương</t>
        </is>
      </c>
      <c r="G10137" t="inlineStr">
        <is>
          <t>Giám Đốc và Cấp Cao Hơn</t>
        </is>
      </c>
      <c r="H10137" t="inlineStr">
        <is>
          <t>12/03/2026</t>
        </is>
      </c>
      <c r="I10137" t="inlineStr">
        <is>
          <t>11/04/2026</t>
        </is>
      </c>
      <c r="J10137" t="inlineStr">
        <is>
          <t>17/03/2026</t>
        </is>
      </c>
      <c r="K10137" t="inlineStr">
        <is>
          <t>N/A</t>
        </is>
      </c>
      <c r="L10137" t="inlineStr">
        <is>
          <t>Logistics Planning, Warehouse Management, Transportation Management System, Process Improvement, Leadership</t>
        </is>
      </c>
      <c r="M10137" t="inlineStr">
        <is>
          <t>Bonus, Paid Leave</t>
        </is>
      </c>
      <c r="N10137" s="8">
        <f>HYPERLINK("https://www.vietnamworks.com/head-of-logistics--2022256-jv","Xem chi tiết")</f>
        <v/>
      </c>
    </row>
    <row r="10138">
      <c r="B10138" s="9" t="n">
        <v>10136</v>
      </c>
      <c r="C10138" s="10" t="inlineStr">
        <is>
          <t>Chuyên Viên Tuyển Dụng</t>
        </is>
      </c>
      <c r="D10138" s="10" t="inlineStr">
        <is>
          <t>Công Ty Cổ Phần Tập Đoàn TH</t>
        </is>
      </c>
      <c r="E10138" s="10" t="inlineStr">
        <is>
          <t>Thương lượng</t>
        </is>
      </c>
      <c r="F10138" s="10" t="inlineStr">
        <is>
          <t>Hà Nội</t>
        </is>
      </c>
      <c r="G10138" s="10" t="inlineStr">
        <is>
          <t>Nhân viên</t>
        </is>
      </c>
      <c r="H10138" s="10" t="inlineStr">
        <is>
          <t>12/03/2026</t>
        </is>
      </c>
      <c r="I10138" s="10" t="inlineStr">
        <is>
          <t>11/04/2026</t>
        </is>
      </c>
      <c r="J10138" s="10" t="inlineStr">
        <is>
          <t>17/03/2026</t>
        </is>
      </c>
      <c r="K10138" s="10" t="inlineStr">
        <is>
          <t>N/A</t>
        </is>
      </c>
      <c r="L10138" s="10" t="inlineStr">
        <is>
          <t>Giao Tiếp, Quản Trị Nguồn Nhân Lực, Tiếng Anh, Tuyển Dụng, Đàm Phán</t>
        </is>
      </c>
      <c r="M10138" s="10" t="inlineStr">
        <is>
          <t>Bonus</t>
        </is>
      </c>
      <c r="N10138" s="11">
        <f>HYPERLINK("https://www.vietnamworks.com/chuyen-vien-tuyen-dung-2022246-jv","Xem chi tiết")</f>
        <v/>
      </c>
      <c r="O10138" s="10" t="n"/>
    </row>
    <row r="10139">
      <c r="B10139" s="7" t="n">
        <v>10137</v>
      </c>
      <c r="C10139" t="inlineStr">
        <is>
          <t>Quality Engineer - Kỹ Sư Chất Lượng Ngành Điện Tử (Có Xe Đưa Đón Ở TP.HCM)</t>
        </is>
      </c>
      <c r="D10139" t="inlineStr">
        <is>
          <t>CÔNG TY TNHH AMPHENOL TECHNOLOGY VIỆT NAM</t>
        </is>
      </c>
      <c r="E10139" t="inlineStr">
        <is>
          <t>Thương lượng</t>
        </is>
      </c>
      <c r="F10139" t="inlineStr">
        <is>
          <t>Long An</t>
        </is>
      </c>
      <c r="G10139" t="inlineStr">
        <is>
          <t>Nhân viên</t>
        </is>
      </c>
      <c r="H10139" t="inlineStr">
        <is>
          <t>12/03/2026</t>
        </is>
      </c>
      <c r="I10139" t="inlineStr">
        <is>
          <t>11/04/2026</t>
        </is>
      </c>
      <c r="J10139" t="inlineStr">
        <is>
          <t>17/03/2026</t>
        </is>
      </c>
      <c r="K10139" t="inlineStr">
        <is>
          <t>N/A</t>
        </is>
      </c>
      <c r="L10139" t="inlineStr">
        <is>
          <t>Quality Control, Problem Solving, Failure Analysis, Electrical Operation, QC Tools</t>
        </is>
      </c>
      <c r="M10139" t="inlineStr">
        <is>
          <t>Bonus, Healthcare Plan, Laptop, Transportation</t>
        </is>
      </c>
      <c r="N10139" s="8">
        <f>HYPERLINK("https://www.vietnamworks.com/quality-engineer-ky-su-chat-luong-nganh-djien-tu-co-xe-djua-djon-o-tp-hcm-2022249-jv","Xem chi tiết")</f>
        <v/>
      </c>
    </row>
    <row r="10140">
      <c r="B10140" s="9" t="n">
        <v>10138</v>
      </c>
      <c r="C10140" s="10" t="inlineStr">
        <is>
          <t>Kỹ Sư Hiện Trường</t>
        </is>
      </c>
      <c r="D10140" s="10" t="inlineStr">
        <is>
          <t>Công ty cổ phần đầu tư và xây dựng Việt Nam - VICCO</t>
        </is>
      </c>
      <c r="E10140" s="10" t="inlineStr">
        <is>
          <t>18tr-25tr ₫/tháng</t>
        </is>
      </c>
      <c r="F10140" s="10" t="inlineStr">
        <is>
          <t>Hà Nội</t>
        </is>
      </c>
      <c r="G10140" s="10" t="inlineStr">
        <is>
          <t>Nhân viên</t>
        </is>
      </c>
      <c r="H10140" s="10" t="inlineStr">
        <is>
          <t>12/03/2026</t>
        </is>
      </c>
      <c r="I10140" s="10" t="inlineStr">
        <is>
          <t>11/04/2026</t>
        </is>
      </c>
      <c r="J10140" s="10" t="inlineStr">
        <is>
          <t>17/03/2026</t>
        </is>
      </c>
      <c r="K10140" s="10" t="inlineStr">
        <is>
          <t>N/A</t>
        </is>
      </c>
      <c r="L10140" s="10" t="inlineStr">
        <is>
          <t>Giải Quyết Vấn Đề, Kỹ năng giao tiếp, Lập Bản Vẽ Thiết Kế, MS Office, Quản Trị Tiến Độ</t>
        </is>
      </c>
      <c r="M10140" s="10" t="inlineStr">
        <is>
          <t>Bonus, Healthcare Plan, Team Activities, Others</t>
        </is>
      </c>
      <c r="N10140" s="11">
        <f>HYPERLINK("https://www.vietnamworks.com/ky-su-hien-truong-2022266-jv","Xem chi tiết")</f>
        <v/>
      </c>
      <c r="O10140" s="10" t="n"/>
    </row>
    <row r="10141">
      <c r="B10141" s="7" t="n">
        <v>10139</v>
      </c>
      <c r="C10141" t="inlineStr">
        <is>
          <t>Giám Đốc Ban Nhân Sự</t>
        </is>
      </c>
      <c r="D10141" t="inlineStr">
        <is>
          <t>Công Ty Cổ Phần Tổng Công Ty Nova Service</t>
        </is>
      </c>
      <c r="E10141" t="inlineStr">
        <is>
          <t>Thương lượng</t>
        </is>
      </c>
      <c r="F10141" t="inlineStr">
        <is>
          <t>Hồ Chí Minh</t>
        </is>
      </c>
      <c r="G10141" t="inlineStr">
        <is>
          <t>Giám Đốc và Cấp Cao Hơn</t>
        </is>
      </c>
      <c r="H10141" t="inlineStr">
        <is>
          <t>12/03/2026</t>
        </is>
      </c>
      <c r="I10141" t="inlineStr">
        <is>
          <t>11/04/2026</t>
        </is>
      </c>
      <c r="J10141" t="inlineStr">
        <is>
          <t>17/03/2026</t>
        </is>
      </c>
      <c r="K10141" t="inlineStr">
        <is>
          <t>N/A</t>
        </is>
      </c>
      <c r="L10141" t="inlineStr">
        <is>
          <t>Quản Trị Nhân Sự, Nhân Sự, Nhân Sự Tổng Hợp, Nhân sự - HR</t>
        </is>
      </c>
      <c r="M10141" t="inlineStr">
        <is>
          <t>Bonus, Paid Leave, Training</t>
        </is>
      </c>
      <c r="N10141" s="8">
        <f>HYPERLINK("https://www.vietnamworks.com/giam-doc-ban-nhan-su--2022264-jv","Xem chi tiết")</f>
        <v/>
      </c>
    </row>
    <row r="10142">
      <c r="B10142" s="9" t="n">
        <v>10140</v>
      </c>
      <c r="C10142" s="10" t="inlineStr">
        <is>
          <t>Air Customer Service/ Documentation (10 Month Contract)</t>
        </is>
      </c>
      <c r="D10142" s="10" t="inlineStr">
        <is>
          <t>Apex Logistics International (Vietnam) Co.,ltd</t>
        </is>
      </c>
      <c r="E10142" s="10" t="inlineStr">
        <is>
          <t>Thương lượng</t>
        </is>
      </c>
      <c r="F10142" s="10" t="inlineStr">
        <is>
          <t>Hà Nội</t>
        </is>
      </c>
      <c r="G10142" s="10" t="inlineStr">
        <is>
          <t>Mới Tốt Nghiệp</t>
        </is>
      </c>
      <c r="H10142" s="10" t="inlineStr">
        <is>
          <t>12/03/2026</t>
        </is>
      </c>
      <c r="I10142" s="10" t="inlineStr">
        <is>
          <t>11/04/2026</t>
        </is>
      </c>
      <c r="J10142" s="10" t="inlineStr">
        <is>
          <t>17/03/2026</t>
        </is>
      </c>
      <c r="K10142" s="10" t="inlineStr">
        <is>
          <t>N/A</t>
        </is>
      </c>
      <c r="L10142" s="10" t="inlineStr">
        <is>
          <t>Customer Service, Documentation Handling, Air Freight Forwarding, logistics documentation, English</t>
        </is>
      </c>
      <c r="M10142" s="10" t="inlineStr">
        <is>
          <t>Bonus, Healthcare Plan, Team Activities</t>
        </is>
      </c>
      <c r="N10142" s="11">
        <f>HYPERLINK("https://www.vietnamworks.com/air-customer-service-documentation-10-month-contract-2022262-jv","Xem chi tiết")</f>
        <v/>
      </c>
      <c r="O10142" s="10" t="n"/>
    </row>
    <row r="10143">
      <c r="B10143" s="7" t="n">
        <v>10141</v>
      </c>
      <c r="C10143" t="inlineStr">
        <is>
          <t>Retail Marketing Manager</t>
        </is>
      </c>
      <c r="D10143" t="inlineStr">
        <is>
          <t>Công Ty Cổ Phần Vàng Bạc Đá Quý Phú Nhuận (PNJ)</t>
        </is>
      </c>
      <c r="E10143" t="inlineStr">
        <is>
          <t>Thương lượng</t>
        </is>
      </c>
      <c r="F10143" t="inlineStr">
        <is>
          <t>Hồ Chí Minh</t>
        </is>
      </c>
      <c r="G10143" t="inlineStr">
        <is>
          <t>Trưởng phòng</t>
        </is>
      </c>
      <c r="H10143" t="inlineStr">
        <is>
          <t>12/03/2026</t>
        </is>
      </c>
      <c r="I10143" t="inlineStr">
        <is>
          <t>11/04/2026</t>
        </is>
      </c>
      <c r="J10143" t="inlineStr">
        <is>
          <t>17/03/2026</t>
        </is>
      </c>
      <c r="K10143" t="inlineStr">
        <is>
          <t>N/A</t>
        </is>
      </c>
      <c r="L10143" t="inlineStr">
        <is>
          <t>Trade Marketing, FMCG</t>
        </is>
      </c>
      <c r="M10143" t="inlineStr">
        <is>
          <t>Bonus, Healthcare Plan, Paid Leave</t>
        </is>
      </c>
      <c r="N10143" s="8">
        <f>HYPERLINK("https://www.vietnamworks.com/retail-marketing-manager--2022251-jv","Xem chi tiết")</f>
        <v/>
      </c>
    </row>
    <row r="10144">
      <c r="B10144" s="9" t="n">
        <v>10142</v>
      </c>
      <c r="C10144" s="10" t="inlineStr">
        <is>
          <t>Assistant Manager, HSSE (based in HCM, Vietnam)</t>
        </is>
      </c>
      <c r="D10144" s="10" t="inlineStr">
        <is>
          <t>Sembcorp Development Vietnam Company Limited</t>
        </is>
      </c>
      <c r="E10144" s="10" t="inlineStr">
        <is>
          <t>Thương lượng</t>
        </is>
      </c>
      <c r="F10144" s="10" t="inlineStr">
        <is>
          <t>Hồ Chí Minh</t>
        </is>
      </c>
      <c r="G10144" s="10" t="inlineStr">
        <is>
          <t>Nhân viên</t>
        </is>
      </c>
      <c r="H10144" s="10" t="inlineStr">
        <is>
          <t>12/03/2026</t>
        </is>
      </c>
      <c r="I10144" s="10" t="inlineStr">
        <is>
          <t>11/04/2026</t>
        </is>
      </c>
      <c r="J10144" s="10" t="inlineStr">
        <is>
          <t>17/03/2026</t>
        </is>
      </c>
      <c r="K10144" s="10" t="inlineStr">
        <is>
          <t>N/A</t>
        </is>
      </c>
      <c r="L10144" s="10" t="inlineStr">
        <is>
          <t>Communication, Incident Investigation, Leadership, Occupational Safety, Risk Assessment</t>
        </is>
      </c>
      <c r="M10144" s="10" t="inlineStr">
        <is>
          <t>Bonus, Healthcare Plan, Laptop</t>
        </is>
      </c>
      <c r="N10144" s="11">
        <f>HYPERLINK("https://www.vietnamworks.com/assistant-manager-hsse-based-in-hcm-vietnam-2022250-jv","Xem chi tiết")</f>
        <v/>
      </c>
      <c r="O10144" s="10" t="n"/>
    </row>
    <row r="10145">
      <c r="B10145" s="7" t="n">
        <v>10143</v>
      </c>
      <c r="C10145" t="inlineStr">
        <is>
          <t>Executive/officer, Documentation (Sea Freight Forwarder) - Temporary</t>
        </is>
      </c>
      <c r="D10145" t="inlineStr">
        <is>
          <t>DSV</t>
        </is>
      </c>
      <c r="E10145" t="inlineStr">
        <is>
          <t>Thương lượng</t>
        </is>
      </c>
      <c r="F10145" t="inlineStr">
        <is>
          <t>Hồ Chí Minh</t>
        </is>
      </c>
      <c r="G10145" t="inlineStr">
        <is>
          <t>Nhân viên</t>
        </is>
      </c>
      <c r="H10145" t="inlineStr">
        <is>
          <t>12/03/2026</t>
        </is>
      </c>
      <c r="I10145" t="inlineStr">
        <is>
          <t>11/04/2026</t>
        </is>
      </c>
      <c r="J10145" t="inlineStr">
        <is>
          <t>17/03/2026</t>
        </is>
      </c>
      <c r="K10145" t="inlineStr">
        <is>
          <t>N/A</t>
        </is>
      </c>
      <c r="L10145" t="inlineStr">
        <is>
          <t>Cargowise One, Freight Forwarding, Documentation Handling</t>
        </is>
      </c>
      <c r="M10145" t="inlineStr">
        <is>
          <t>Bonus, Healthcare Plan, Travel Opportunities</t>
        </is>
      </c>
      <c r="N10145" s="8">
        <f>HYPERLINK("https://www.vietnamworks.com/executive-officer-documentation-sea-freight-forwarder-temporary-2022240-jv","Xem chi tiết")</f>
        <v/>
      </c>
    </row>
    <row r="10146">
      <c r="B10146" s="9" t="n">
        <v>10144</v>
      </c>
      <c r="C10146" s="10" t="inlineStr">
        <is>
          <t>Equipment Engineer – Kỹ Sư Thiết Bị Ngành Điện Tử (Có Xe Đưa Đón Ở TP.HCM)</t>
        </is>
      </c>
      <c r="D10146" s="10" t="inlineStr">
        <is>
          <t>CÔNG TY TNHH AMPHENOL TECHNOLOGY VIỆT NAM</t>
        </is>
      </c>
      <c r="E10146" s="10" t="inlineStr">
        <is>
          <t>Thương lượng</t>
        </is>
      </c>
      <c r="F10146" s="10" t="inlineStr">
        <is>
          <t>Hồ Chí Minh</t>
        </is>
      </c>
      <c r="G10146" s="10" t="inlineStr">
        <is>
          <t>Nhân viên</t>
        </is>
      </c>
      <c r="H10146" s="10" t="inlineStr">
        <is>
          <t>12/03/2026</t>
        </is>
      </c>
      <c r="I10146" s="10" t="inlineStr">
        <is>
          <t>11/04/2026</t>
        </is>
      </c>
      <c r="J10146" s="10" t="inlineStr">
        <is>
          <t>17/03/2026</t>
        </is>
      </c>
      <c r="K10146" s="10" t="inlineStr">
        <is>
          <t>N/A</t>
        </is>
      </c>
      <c r="L10146" s="10" t="inlineStr">
        <is>
          <t>Automation Engineering, Design Management, Electrical Engineering, Mechanical Engineering, Problem-solving</t>
        </is>
      </c>
      <c r="M10146" s="10" t="inlineStr">
        <is>
          <t>Healthcare Plan, Laptop, Transportation</t>
        </is>
      </c>
      <c r="N10146" s="11">
        <f>HYPERLINK("https://www.vietnamworks.com/equipment-engineer-ky-su-thiet-bi-nganh-djien-tu-co-xe-djua-djon-o-tp-hcm-2022247-jv","Xem chi tiết")</f>
        <v/>
      </c>
      <c r="O10146" s="10" t="n"/>
    </row>
    <row r="10147">
      <c r="B10147" s="7" t="n">
        <v>10145</v>
      </c>
      <c r="C10147" t="inlineStr">
        <is>
          <t>Air Customer Service Executive</t>
        </is>
      </c>
      <c r="D10147" t="inlineStr">
        <is>
          <t>Apex Logistics International (Vietnam) Co.,ltd</t>
        </is>
      </c>
      <c r="E10147" t="inlineStr">
        <is>
          <t>Thương lượng</t>
        </is>
      </c>
      <c r="F10147" t="inlineStr">
        <is>
          <t>Hồ Chí Minh</t>
        </is>
      </c>
      <c r="G10147" t="inlineStr">
        <is>
          <t>Nhân viên</t>
        </is>
      </c>
      <c r="H10147" t="inlineStr">
        <is>
          <t>12/03/2026</t>
        </is>
      </c>
      <c r="I10147" t="inlineStr">
        <is>
          <t>11/04/2026</t>
        </is>
      </c>
      <c r="J10147" t="inlineStr">
        <is>
          <t>17/03/2026</t>
        </is>
      </c>
      <c r="K10147" t="inlineStr">
        <is>
          <t>N/A</t>
        </is>
      </c>
      <c r="L10147" t="inlineStr">
        <is>
          <t>English, Logistics, Customer Service</t>
        </is>
      </c>
      <c r="M10147" t="inlineStr">
        <is>
          <t>Bonus, Healthcare Plan, Team Activities</t>
        </is>
      </c>
      <c r="N10147" s="8">
        <f>HYPERLINK("https://www.vietnamworks.com/air-customer-service-executive--2022260-jv","Xem chi tiết")</f>
        <v/>
      </c>
    </row>
    <row r="10148">
      <c r="B10148" s="9" t="n">
        <v>10146</v>
      </c>
      <c r="C10148" s="10" t="inlineStr">
        <is>
          <t>Air Terminal Operation Staff</t>
        </is>
      </c>
      <c r="D10148" s="10" t="inlineStr">
        <is>
          <t>Apex Logistics International (Vietnam) Co.,ltd</t>
        </is>
      </c>
      <c r="E10148" s="10" t="inlineStr">
        <is>
          <t>Thương lượng</t>
        </is>
      </c>
      <c r="F10148" s="10" t="inlineStr">
        <is>
          <t>Hồ Chí Minh</t>
        </is>
      </c>
      <c r="G10148" s="10" t="inlineStr">
        <is>
          <t>Nhân viên</t>
        </is>
      </c>
      <c r="H10148" s="10" t="inlineStr">
        <is>
          <t>12/03/2026</t>
        </is>
      </c>
      <c r="I10148" s="10" t="inlineStr">
        <is>
          <t>11/04/2026</t>
        </is>
      </c>
      <c r="J10148" s="10" t="inlineStr">
        <is>
          <t>17/03/2026</t>
        </is>
      </c>
      <c r="K10148" s="10" t="inlineStr">
        <is>
          <t>N/A</t>
        </is>
      </c>
      <c r="L10148" s="10" t="inlineStr">
        <is>
          <t>Freight Forwarding, Customer Service, Logistic, Terminal Operations, Logistics/Transportation Degree</t>
        </is>
      </c>
      <c r="M10148" s="10" t="inlineStr">
        <is>
          <t>Bonus, Healthcare Plan, Team Activities</t>
        </is>
      </c>
      <c r="N10148" s="11">
        <f>HYPERLINK("https://www.vietnamworks.com/air-terminal-operation-staff--2022257-jv","Xem chi tiết")</f>
        <v/>
      </c>
      <c r="O10148" s="10" t="n"/>
    </row>
    <row r="10149">
      <c r="B10149" s="7" t="n">
        <v>10147</v>
      </c>
      <c r="C10149" t="inlineStr">
        <is>
          <t>Content Marketing Executive (Middle-Senior Level)</t>
        </is>
      </c>
      <c r="D10149" t="inlineStr">
        <is>
          <t>IELTS 1984</t>
        </is>
      </c>
      <c r="E10149" t="inlineStr">
        <is>
          <t>15tr-22tr ₫/tháng</t>
        </is>
      </c>
      <c r="F10149" t="inlineStr">
        <is>
          <t>Hồ Chí Minh</t>
        </is>
      </c>
      <c r="G10149" t="inlineStr">
        <is>
          <t>Nhân viên</t>
        </is>
      </c>
      <c r="H10149" t="inlineStr">
        <is>
          <t>12/03/2026</t>
        </is>
      </c>
      <c r="I10149" t="inlineStr">
        <is>
          <t>11/04/2026</t>
        </is>
      </c>
      <c r="J10149" t="inlineStr">
        <is>
          <t>17/03/2026</t>
        </is>
      </c>
      <c r="K10149" t="inlineStr">
        <is>
          <t>N/A</t>
        </is>
      </c>
      <c r="L10149" t="inlineStr">
        <is>
          <t>Content Marketing, Digital Storytelling, Video Recording, Project Management, Teamwork</t>
        </is>
      </c>
      <c r="M10149" t="inlineStr">
        <is>
          <t>Healthcare Plan, Training</t>
        </is>
      </c>
      <c r="N10149" s="8">
        <f>HYPERLINK("https://www.vietnamworks.com/content-marketing-executive-middle-senior-level-2022267-jv","Xem chi tiết")</f>
        <v/>
      </c>
    </row>
    <row r="10150">
      <c r="B10150" s="9" t="n">
        <v>10148</v>
      </c>
      <c r="C10150" s="10" t="inlineStr">
        <is>
          <t>Production Control Staff (Biết Tiếng Nhật N2)</t>
        </is>
      </c>
      <c r="D10150" s="10" t="inlineStr">
        <is>
          <t>CHI NHÁNH CÔNG TY TNHH ENPLAS (VIỆT NAM) TẠI VĨNH PHÚC</t>
        </is>
      </c>
      <c r="E10150" s="10" t="inlineStr">
        <is>
          <t>Thương lượng</t>
        </is>
      </c>
      <c r="F10150" s="10" t="inlineStr">
        <is>
          <t>Phú Thọ</t>
        </is>
      </c>
      <c r="G10150" s="10" t="inlineStr">
        <is>
          <t>Nhân viên</t>
        </is>
      </c>
      <c r="H10150" s="10" t="inlineStr">
        <is>
          <t>12/03/2026</t>
        </is>
      </c>
      <c r="I10150" s="10" t="inlineStr">
        <is>
          <t>11/04/2026</t>
        </is>
      </c>
      <c r="J10150" s="10" t="inlineStr">
        <is>
          <t>17/03/2026</t>
        </is>
      </c>
      <c r="K10150" s="10" t="inlineStr">
        <is>
          <t>N/A</t>
        </is>
      </c>
      <c r="L10150" s="10" t="inlineStr">
        <is>
          <t>Production Management, Quality Control, SAP, Excel Skills, Problem-solving</t>
        </is>
      </c>
      <c r="M10150" s="10" t="inlineStr">
        <is>
          <t>Bonus, Healthcare Plan, Paid Leave</t>
        </is>
      </c>
      <c r="N10150" s="11">
        <f>HYPERLINK("https://www.vietnamworks.com/production-control-staff-biet-tieng-nhat-n2-2022265-jv","Xem chi tiết")</f>
        <v/>
      </c>
      <c r="O10150" s="10" t="n"/>
    </row>
    <row r="10151">
      <c r="B10151" s="7" t="n">
        <v>10149</v>
      </c>
      <c r="C10151" t="inlineStr">
        <is>
          <t>Chuyên Gia Phân Tích Tài Chính</t>
        </is>
      </c>
      <c r="D10151" t="inlineStr">
        <is>
          <t>Ngân Hàng TNHH MTV Kỷ Nguyên Thịnh Vượng - GPBank</t>
        </is>
      </c>
      <c r="E10151" t="inlineStr">
        <is>
          <t>Tới 50tr ₫/tháng</t>
        </is>
      </c>
      <c r="F10151" t="inlineStr">
        <is>
          <t>Hà Nội</t>
        </is>
      </c>
      <c r="G10151" t="inlineStr">
        <is>
          <t>Nhân viên</t>
        </is>
      </c>
      <c r="H10151" t="inlineStr">
        <is>
          <t>12/03/2026</t>
        </is>
      </c>
      <c r="I10151" t="inlineStr">
        <is>
          <t>11/04/2026</t>
        </is>
      </c>
      <c r="J10151" t="inlineStr">
        <is>
          <t>17/03/2026</t>
        </is>
      </c>
      <c r="K10151" t="inlineStr">
        <is>
          <t>N/A</t>
        </is>
      </c>
      <c r="L10151" t="inlineStr">
        <is>
          <t>Kế toán Quản trị, Phân Tích Tài Chính, Quản Lý Tài Sản, Quản Lý Đội Nhóm, Ngân hàng</t>
        </is>
      </c>
      <c r="M10151" t="inlineStr">
        <is>
          <t>Bonus, Healthcare Plan, Paid Leave, Training, Team Activities, Others</t>
        </is>
      </c>
      <c r="N10151" s="8">
        <f>HYPERLINK("https://www.vietnamworks.com/chuyen-gia-phan-tich-tai-chinh-2022268-jv","Xem chi tiết")</f>
        <v/>
      </c>
    </row>
    <row r="10152">
      <c r="B10152" s="9" t="n">
        <v>10150</v>
      </c>
      <c r="C10152" s="10" t="inlineStr">
        <is>
          <t>Giáo Viên Mầm Non và Giáo Viên Chủ Nhiệm Giảng Dạy Bằng Tiếng Việt - ILO Gò Vấp, ILO Tân Định, ILO Tân Phú, ILO Bình Dương</t>
        </is>
      </c>
      <c r="D10152" s="10" t="inlineStr">
        <is>
          <t>ILA Vietnam</t>
        </is>
      </c>
      <c r="E10152" s="10" t="inlineStr">
        <is>
          <t>Thương lượng</t>
        </is>
      </c>
      <c r="F10152" s="10" t="inlineStr">
        <is>
          <t>Hồ Chí Minh, Bình Dương</t>
        </is>
      </c>
      <c r="G10152" s="10" t="inlineStr">
        <is>
          <t>Nhân viên</t>
        </is>
      </c>
      <c r="H10152" s="10" t="inlineStr">
        <is>
          <t>12/03/2026</t>
        </is>
      </c>
      <c r="I10152" s="10" t="inlineStr">
        <is>
          <t>11/04/2026</t>
        </is>
      </c>
      <c r="J10152" s="10" t="inlineStr">
        <is>
          <t>17/03/2026</t>
        </is>
      </c>
      <c r="K10152" s="10" t="inlineStr">
        <is>
          <t>N/A</t>
        </is>
      </c>
      <c r="L10152" s="10" t="inlineStr">
        <is>
          <t>Giáo Dục, Giảng Dạy Ngành Mầm Non, Sư Phạm Mầm Non</t>
        </is>
      </c>
      <c r="M10152" s="10" t="inlineStr">
        <is>
          <t>Bonus, Paid Leave, Training</t>
        </is>
      </c>
      <c r="N10152" s="11">
        <f>HYPERLINK("https://www.vietnamworks.com/giao-vien-mam-non-va-giao-vien-chu-nhiem-giang-day-bang-tieng-viet-ilo-go-vap-ilo-tan-dinh-ilo-tan-phu-ilo-binh-duong-2022258-jv","Xem chi tiết")</f>
        <v/>
      </c>
      <c r="O10152" s="10" t="n"/>
    </row>
    <row r="10153">
      <c r="B10153" s="7" t="n">
        <v>10151</v>
      </c>
      <c r="C10153" t="inlineStr">
        <is>
          <t>Student Engagement and Administrative Officer (12 months &amp; third-party contract)</t>
        </is>
      </c>
      <c r="D10153" t="inlineStr">
        <is>
          <t>RMIT University Vietnam</t>
        </is>
      </c>
      <c r="E10153" t="inlineStr">
        <is>
          <t>Thương lượng</t>
        </is>
      </c>
      <c r="F10153" t="inlineStr">
        <is>
          <t>Khánh Hòa</t>
        </is>
      </c>
      <c r="G10153" t="inlineStr">
        <is>
          <t>Nhân viên</t>
        </is>
      </c>
      <c r="H10153" t="inlineStr">
        <is>
          <t>12/03/2026</t>
        </is>
      </c>
      <c r="I10153" t="inlineStr">
        <is>
          <t>11/04/2026</t>
        </is>
      </c>
      <c r="J10153" t="inlineStr">
        <is>
          <t>17/03/2026</t>
        </is>
      </c>
      <c r="K10153" t="inlineStr">
        <is>
          <t>N/A</t>
        </is>
      </c>
      <c r="L10153" t="inlineStr">
        <is>
          <t>Communication Skills, Student Services, Student Engagement, Customer Service, Administrative support &amp; coordination</t>
        </is>
      </c>
      <c r="M10153" t="inlineStr">
        <is>
          <t>Bonus, Healthcare Plan, Paid Leave, Library</t>
        </is>
      </c>
      <c r="N10153" s="8">
        <f>HYPERLINK("https://www.vietnamworks.com/student-engagement-and-administrative-officer-12-months-and-third-party-contract-2022263-jv","Xem chi tiết")</f>
        <v/>
      </c>
    </row>
    <row r="10154">
      <c r="B10154" s="9" t="n">
        <v>10152</v>
      </c>
      <c r="C10154" s="10" t="inlineStr">
        <is>
          <t>Kế Toán Tổng Hợp (Lương Up to 25 Triệu/ Tháng)</t>
        </is>
      </c>
      <c r="D10154" s="10" t="inlineStr">
        <is>
          <t>Công Ty Cổ Phần Tập Đoàn Onsen Fuji</t>
        </is>
      </c>
      <c r="E10154" s="10" t="inlineStr">
        <is>
          <t>18tr-25tr ₫/tháng</t>
        </is>
      </c>
      <c r="F10154" s="10" t="inlineStr">
        <is>
          <t>Hà Nội</t>
        </is>
      </c>
      <c r="G10154" s="10" t="inlineStr">
        <is>
          <t>Nhân viên</t>
        </is>
      </c>
      <c r="H10154" s="10" t="inlineStr">
        <is>
          <t>12/03/2026</t>
        </is>
      </c>
      <c r="I10154" s="10" t="inlineStr">
        <is>
          <t>11/04/2026</t>
        </is>
      </c>
      <c r="J10154" s="10" t="inlineStr">
        <is>
          <t>17/03/2026</t>
        </is>
      </c>
      <c r="K10154" s="10" t="inlineStr">
        <is>
          <t>N/A</t>
        </is>
      </c>
      <c r="L10154" s="10" t="inlineStr">
        <is>
          <t>Phần Mềm Kế Toán, Kế Toán Tổng Hợp, Microsoft Office, Viết Báo Cáo, Đối Chiếu Công Nợ</t>
        </is>
      </c>
      <c r="M10154" s="10" t="inlineStr">
        <is>
          <t>Bonus, Healthcare Plan, Paid Leave, Training, Laptop, Travel Opportunities, Vouchers</t>
        </is>
      </c>
      <c r="N10154" s="11">
        <f>HYPERLINK("https://www.vietnamworks.com/ke-toan-tong-hop-luong-up-to-25-trieu-thang-2022270-jv","Xem chi tiết")</f>
        <v/>
      </c>
      <c r="O10154" s="10" t="n"/>
    </row>
    <row r="10155">
      <c r="B10155" s="7" t="n">
        <v>10153</v>
      </c>
      <c r="C10155" t="inlineStr">
        <is>
          <t>Manager, HR Operations</t>
        </is>
      </c>
      <c r="D10155" t="inlineStr">
        <is>
          <t>Sun Life Vietnam (Sun Life)</t>
        </is>
      </c>
      <c r="E10155" t="inlineStr">
        <is>
          <t>Thương lượng</t>
        </is>
      </c>
      <c r="F10155" t="inlineStr">
        <is>
          <t>Hồ Chí Minh</t>
        </is>
      </c>
      <c r="G10155" t="inlineStr">
        <is>
          <t>Nhân viên</t>
        </is>
      </c>
      <c r="H10155" t="inlineStr">
        <is>
          <t>12/03/2026</t>
        </is>
      </c>
      <c r="I10155" t="inlineStr">
        <is>
          <t>11/04/2026</t>
        </is>
      </c>
      <c r="J10155" t="inlineStr">
        <is>
          <t>17/03/2026</t>
        </is>
      </c>
      <c r="K10155" t="inlineStr">
        <is>
          <t>N/A</t>
        </is>
      </c>
      <c r="L10155" t="inlineStr">
        <is>
          <t>Nhân Sự, Human Resources Management, HR Operation, HR Management, C&amp;B</t>
        </is>
      </c>
      <c r="M10155" t="inlineStr">
        <is>
          <t>Healthcare Plan, Team Activities, Others</t>
        </is>
      </c>
      <c r="N10155" s="8">
        <f>HYPERLINK("https://www.vietnamworks.com/manager-hr-operations--2022275-jv","Xem chi tiết")</f>
        <v/>
      </c>
    </row>
    <row r="10156">
      <c r="B10156" s="9" t="n">
        <v>10154</v>
      </c>
      <c r="C10156" s="10" t="inlineStr">
        <is>
          <t>Trợ Lý Hành Chính</t>
        </is>
      </c>
      <c r="D10156" s="10" t="inlineStr">
        <is>
          <t>Amphenol High Speed Technology Vietnam</t>
        </is>
      </c>
      <c r="E10156" s="10" t="inlineStr">
        <is>
          <t>Thương lượng</t>
        </is>
      </c>
      <c r="F10156" s="10" t="inlineStr">
        <is>
          <t>Bắc Ninh</t>
        </is>
      </c>
      <c r="G10156" s="10" t="inlineStr">
        <is>
          <t>Nhân viên</t>
        </is>
      </c>
      <c r="H10156" s="10" t="inlineStr">
        <is>
          <t>12/03/2026</t>
        </is>
      </c>
      <c r="I10156" s="10" t="inlineStr">
        <is>
          <t>11/04/2026</t>
        </is>
      </c>
      <c r="J10156" s="10" t="inlineStr">
        <is>
          <t>17/03/2026</t>
        </is>
      </c>
      <c r="K10156" s="10" t="inlineStr">
        <is>
          <t>N/A</t>
        </is>
      </c>
      <c r="L10156" s="10" t="inlineStr">
        <is>
          <t>Trợ Lý, Tiếng Anh, Quản Lý Sản Xuất, Production, Production Management</t>
        </is>
      </c>
      <c r="M10156" s="10" t="inlineStr">
        <is>
          <t>Bonus, Healthcare Plan, Transportation</t>
        </is>
      </c>
      <c r="N10156" s="11">
        <f>HYPERLINK("https://www.vietnamworks.com/tro-ly-hanh-chinh--2022282-jv","Xem chi tiết")</f>
        <v/>
      </c>
      <c r="O10156" s="10" t="n"/>
    </row>
    <row r="10157">
      <c r="B10157" s="7" t="n">
        <v>10155</v>
      </c>
      <c r="C10157" t="inlineStr">
        <is>
          <t>Strategic Planner (Korean Speaking)</t>
        </is>
      </c>
      <c r="D10157" t="inlineStr">
        <is>
          <t>LG VINA Cosmetics Co., Ltd</t>
        </is>
      </c>
      <c r="E10157" t="inlineStr">
        <is>
          <t>Thương lượng</t>
        </is>
      </c>
      <c r="F10157" t="inlineStr">
        <is>
          <t>Hồ Chí Minh</t>
        </is>
      </c>
      <c r="G10157" t="inlineStr">
        <is>
          <t>Nhân viên</t>
        </is>
      </c>
      <c r="H10157" t="inlineStr">
        <is>
          <t>12/03/2026</t>
        </is>
      </c>
      <c r="I10157" t="inlineStr">
        <is>
          <t>11/04/2026</t>
        </is>
      </c>
      <c r="J10157" t="inlineStr">
        <is>
          <t>17/03/2026</t>
        </is>
      </c>
      <c r="K10157" t="inlineStr">
        <is>
          <t>N/A</t>
        </is>
      </c>
      <c r="L10157" t="inlineStr">
        <is>
          <t>Korean Language, Tiếng Hàn Thành thạo, Sales, Strategic Planning, ERP systems</t>
        </is>
      </c>
      <c r="M10157" t="inlineStr">
        <is>
          <t>Healthcare Plan, Paid Leave, Team Activities</t>
        </is>
      </c>
      <c r="N10157" s="8">
        <f>HYPERLINK("https://www.vietnamworks.com/strategic-planner-korean-speaking-2022277-jv","Xem chi tiết")</f>
        <v/>
      </c>
    </row>
    <row r="10158">
      <c r="B10158" s="9" t="n">
        <v>10156</v>
      </c>
      <c r="C10158" s="10" t="inlineStr">
        <is>
          <t>Credit &amp; Accounts Receivable Manager - Hanoi - Upto 32Mil VND</t>
        </is>
      </c>
      <c r="D10158" s="10" t="inlineStr">
        <is>
          <t>Công Ty Cổ Phần Vatech Việt</t>
        </is>
      </c>
      <c r="E10158" s="10" t="inlineStr">
        <is>
          <t>Tới 32tr ₫/tháng</t>
        </is>
      </c>
      <c r="F10158" s="10" t="inlineStr">
        <is>
          <t>Hà Nội</t>
        </is>
      </c>
      <c r="G10158" s="10" t="inlineStr">
        <is>
          <t>Trưởng phòng</t>
        </is>
      </c>
      <c r="H10158" s="10" t="inlineStr">
        <is>
          <t>12/03/2026</t>
        </is>
      </c>
      <c r="I10158" s="10" t="inlineStr">
        <is>
          <t>11/04/2026</t>
        </is>
      </c>
      <c r="J10158" s="10" t="inlineStr">
        <is>
          <t>17/03/2026</t>
        </is>
      </c>
      <c r="K10158" s="10" t="inlineStr">
        <is>
          <t>N/A</t>
        </is>
      </c>
      <c r="L10158" s="10" t="inlineStr">
        <is>
          <t>Credit Control, AR Management, Cash Flow Management, Credit Risk Management, Relationship Building</t>
        </is>
      </c>
      <c r="M10158" s="10" t="inlineStr">
        <is>
          <t>Bonus, Healthcare Plan, Paid Leave</t>
        </is>
      </c>
      <c r="N10158" s="11">
        <f>HYPERLINK("https://www.vietnamworks.com/credit-and-accounts-receivable-manager-hanoi-upto-32mil-vnd-2022281-jv","Xem chi tiết")</f>
        <v/>
      </c>
      <c r="O10158" s="10" t="n"/>
    </row>
    <row r="10159">
      <c r="B10159" s="7" t="n">
        <v>10157</v>
      </c>
      <c r="C10159" t="inlineStr">
        <is>
          <t>Kế Toán Trưởng (Công Ty Thành Viên) - Lương 30-45Tr/tháng</t>
        </is>
      </c>
      <c r="D10159" t="inlineStr">
        <is>
          <t>Công Ty Cổ Phần Tập Đoàn Onsen Fuji</t>
        </is>
      </c>
      <c r="E10159" t="inlineStr">
        <is>
          <t>30tr-45tr ₫/tháng</t>
        </is>
      </c>
      <c r="F10159" t="inlineStr">
        <is>
          <t>Hà Nội</t>
        </is>
      </c>
      <c r="G10159" t="inlineStr">
        <is>
          <t>Trưởng phòng</t>
        </is>
      </c>
      <c r="H10159" t="inlineStr">
        <is>
          <t>12/03/2026</t>
        </is>
      </c>
      <c r="I10159" t="inlineStr">
        <is>
          <t>11/04/2026</t>
        </is>
      </c>
      <c r="J10159" t="inlineStr">
        <is>
          <t>17/03/2026</t>
        </is>
      </c>
      <c r="K10159" t="inlineStr">
        <is>
          <t>N/A</t>
        </is>
      </c>
      <c r="L10159" t="inlineStr">
        <is>
          <t>Quản Trị Rủi Ro, Quản Lý Đội Nhóm, Nghiệp Vụ Kế Toán, Management Accounting, Lập Báo Cáo</t>
        </is>
      </c>
      <c r="M10159" t="inlineStr">
        <is>
          <t>Bonus, Healthcare Plan, Paid Leave</t>
        </is>
      </c>
      <c r="N10159" s="8">
        <f>HYPERLINK("https://www.vietnamworks.com/ke-toan-truong-cong-ty-thanh-vien-luong-30-45tr-thang-2022278-jv","Xem chi tiết")</f>
        <v/>
      </c>
    </row>
    <row r="10160">
      <c r="B10160" s="9" t="n">
        <v>10158</v>
      </c>
      <c r="C10160" s="10" t="inlineStr">
        <is>
          <t>Kỹ Sư Kinh Tế Xây Dựng</t>
        </is>
      </c>
      <c r="D10160" s="10" t="inlineStr">
        <is>
          <t>CTCP Tập đoàn Bất động sản Vạn Xuân</t>
        </is>
      </c>
      <c r="E10160" s="10" t="inlineStr">
        <is>
          <t>10tr-30tr ₫/tháng</t>
        </is>
      </c>
      <c r="F10160" s="10" t="inlineStr">
        <is>
          <t>Hà Nội</t>
        </is>
      </c>
      <c r="G10160" s="10" t="inlineStr">
        <is>
          <t>Nhân viên</t>
        </is>
      </c>
      <c r="H10160" s="10" t="inlineStr">
        <is>
          <t>12/03/2026</t>
        </is>
      </c>
      <c r="I10160" s="10" t="inlineStr">
        <is>
          <t>11/04/2026</t>
        </is>
      </c>
      <c r="J10160" s="10" t="inlineStr">
        <is>
          <t>17/03/2026</t>
        </is>
      </c>
      <c r="K10160" s="10" t="inlineStr">
        <is>
          <t>N/A</t>
        </is>
      </c>
      <c r="L10160" s="10" t="inlineStr">
        <is>
          <t>Kinh Tế Xây Dựng, Hồ Sơ Mời Thầu, Đấu Thầu, Quản Lý Chi Phí, Phân Tích Tư Duy</t>
        </is>
      </c>
      <c r="M10160" s="10" t="inlineStr">
        <is>
          <t>Bonus, Healthcare Plan, Paid Leave</t>
        </is>
      </c>
      <c r="N10160" s="11">
        <f>HYPERLINK("https://www.vietnamworks.com/ky-su-kinh-te-xay-dung-2022280-jv","Xem chi tiết")</f>
        <v/>
      </c>
      <c r="O10160" s="10" t="n"/>
    </row>
    <row r="10161">
      <c r="B10161" s="7" t="n">
        <v>10159</v>
      </c>
      <c r="C10161" t="inlineStr">
        <is>
          <t>Nhân Viên Kỹ Sư Điện Tử Viễn Thông</t>
        </is>
      </c>
      <c r="D10161" t="inlineStr">
        <is>
          <t>Công ty CP Giải pháp Công nghệ HẠNH MINH – HMSTECH</t>
        </is>
      </c>
      <c r="E10161" t="inlineStr">
        <is>
          <t>30tr-35tr ₫/tháng</t>
        </is>
      </c>
      <c r="F10161" t="inlineStr">
        <is>
          <t>Hà Nội</t>
        </is>
      </c>
      <c r="G10161" t="inlineStr">
        <is>
          <t>Nhân viên</t>
        </is>
      </c>
      <c r="H10161" t="inlineStr">
        <is>
          <t>12/03/2026</t>
        </is>
      </c>
      <c r="I10161" t="inlineStr">
        <is>
          <t>11/04/2026</t>
        </is>
      </c>
      <c r="J10161" t="inlineStr">
        <is>
          <t>17/03/2026</t>
        </is>
      </c>
      <c r="K10161" t="inlineStr">
        <is>
          <t>N/A</t>
        </is>
      </c>
      <c r="L10161" t="inlineStr">
        <is>
          <t>GPON, IoT, Network Infrastructure, System Integration, Technical Support</t>
        </is>
      </c>
      <c r="M10161" t="inlineStr">
        <is>
          <t>Bonus, Healthcare Plan, Training, Awards, Travel Opportunities, Others</t>
        </is>
      </c>
      <c r="N10161" s="8">
        <f>HYPERLINK("https://www.vietnamworks.com/nhan-vien-ky-su-djien-tu-vien-thong-2022288-jv","Xem chi tiết")</f>
        <v/>
      </c>
    </row>
    <row r="10162">
      <c r="B10162" s="9" t="n">
        <v>10160</v>
      </c>
      <c r="C10162" s="10" t="inlineStr">
        <is>
          <t>Marketing Leader (Healthcare Field/ Medical Equipment) - Hanoi</t>
        </is>
      </c>
      <c r="D10162" s="10" t="inlineStr">
        <is>
          <t>Công Ty Cổ Phần Vatech Việt</t>
        </is>
      </c>
      <c r="E10162" s="10" t="inlineStr">
        <is>
          <t>Thương lượng</t>
        </is>
      </c>
      <c r="F10162" s="10" t="inlineStr">
        <is>
          <t>Hà Nội</t>
        </is>
      </c>
      <c r="G10162" s="10" t="inlineStr">
        <is>
          <t>Trưởng phòng</t>
        </is>
      </c>
      <c r="H10162" s="10" t="inlineStr">
        <is>
          <t>12/03/2026</t>
        </is>
      </c>
      <c r="I10162" s="10" t="inlineStr">
        <is>
          <t>11/04/2026</t>
        </is>
      </c>
      <c r="J10162" s="10" t="inlineStr">
        <is>
          <t>17/03/2026</t>
        </is>
      </c>
      <c r="K10162" s="10" t="inlineStr">
        <is>
          <t>N/A</t>
        </is>
      </c>
      <c r="L10162" s="10" t="inlineStr">
        <is>
          <t>Digital Marketing, Brand Management, Market Research, Product Marketing, Project Management</t>
        </is>
      </c>
      <c r="M10162" s="10" t="inlineStr">
        <is>
          <t>Bonus, Healthcare Plan, Paid Leave</t>
        </is>
      </c>
      <c r="N10162" s="11">
        <f>HYPERLINK("https://www.vietnamworks.com/marketing-leader-healthcare-field-medical-equipment-hanoi-2022285-jv","Xem chi tiết")</f>
        <v/>
      </c>
      <c r="O10162" s="10" t="n"/>
    </row>
    <row r="10163">
      <c r="B10163" s="7" t="n">
        <v>10161</v>
      </c>
      <c r="C10163" t="inlineStr">
        <is>
          <t>Nhân Viên Kế Toán Công Nợ Kênh Nhà Phân Phối</t>
        </is>
      </c>
      <c r="D10163" t="inlineStr">
        <is>
          <t>CÔNG TY CP THỰC PHẨM RICHY MIỀN NAM</t>
        </is>
      </c>
      <c r="E10163" t="inlineStr">
        <is>
          <t>Từ $ 500 /tháng</t>
        </is>
      </c>
      <c r="F10163" t="inlineStr">
        <is>
          <t>Hồ Chí Minh</t>
        </is>
      </c>
      <c r="G10163" t="inlineStr">
        <is>
          <t>Nhân viên</t>
        </is>
      </c>
      <c r="H10163" t="inlineStr">
        <is>
          <t>12/03/2026</t>
        </is>
      </c>
      <c r="I10163" t="inlineStr">
        <is>
          <t>11/04/2026</t>
        </is>
      </c>
      <c r="J10163" t="inlineStr">
        <is>
          <t>17/03/2026</t>
        </is>
      </c>
      <c r="K10163" t="inlineStr">
        <is>
          <t>N/A</t>
        </is>
      </c>
      <c r="L10163" t="inlineStr">
        <is>
          <t>SAP, Excel Reporting, Kế Toán Công Nợ</t>
        </is>
      </c>
      <c r="M10163" t="inlineStr">
        <is>
          <t>Bonus, Travel Opportunities</t>
        </is>
      </c>
      <c r="N10163" s="8">
        <f>HYPERLINK("https://www.vietnamworks.com/nhan-vien-ke-toan-cong-no-kenh-nha-phan-phoi-2022291-jv","Xem chi tiết")</f>
        <v/>
      </c>
    </row>
    <row r="10164">
      <c r="B10164" s="9" t="n">
        <v>10162</v>
      </c>
      <c r="C10164" s="10" t="inlineStr">
        <is>
          <t>Chuyên Viên Kinh Doanh Dự Án</t>
        </is>
      </c>
      <c r="D10164" s="10" t="inlineStr">
        <is>
          <t>Công Ty Sản Xuất Và Kinh Doanh Sản Phẩm Nội Thất Cao Cấp Jager</t>
        </is>
      </c>
      <c r="E10164" s="10" t="inlineStr">
        <is>
          <t>Thương lượng</t>
        </is>
      </c>
      <c r="F10164" s="10" t="inlineStr">
        <is>
          <t>Hà Nội</t>
        </is>
      </c>
      <c r="G10164" s="10" t="inlineStr">
        <is>
          <t>Nhân viên</t>
        </is>
      </c>
      <c r="H10164" s="10" t="inlineStr">
        <is>
          <t>12/03/2026</t>
        </is>
      </c>
      <c r="I10164" s="10" t="inlineStr">
        <is>
          <t>11/04/2026</t>
        </is>
      </c>
      <c r="J10164" s="10" t="inlineStr">
        <is>
          <t>17/03/2026</t>
        </is>
      </c>
      <c r="K10164" s="10" t="inlineStr">
        <is>
          <t>N/A</t>
        </is>
      </c>
      <c r="L10164" s="10" t="inlineStr">
        <is>
          <t>Tìm Kiếm Khách Hàng, Chăm Sóc Khách Hàng, Phát Triển Khách Hàng, Kinh Doanh Dự Án, Tư Vấn Sản Phẩm</t>
        </is>
      </c>
      <c r="M10164" s="10" t="inlineStr">
        <is>
          <t>Bonus, Healthcare Plan</t>
        </is>
      </c>
      <c r="N10164" s="11">
        <f>HYPERLINK("https://www.vietnamworks.com/chuyen-vien-kinh-doanh-du-an--2022293-jv","Xem chi tiết")</f>
        <v/>
      </c>
      <c r="O10164" s="10" t="n"/>
    </row>
    <row r="10165">
      <c r="B10165" s="7" t="n">
        <v>10163</v>
      </c>
      <c r="C10165" t="inlineStr">
        <is>
          <t>Sales Executive</t>
        </is>
      </c>
      <c r="D10165" t="inlineStr">
        <is>
          <t>Công Ty TNHH Wendler Interlining Việt Nam</t>
        </is>
      </c>
      <c r="E10165" t="inlineStr">
        <is>
          <t>Thương lượng</t>
        </is>
      </c>
      <c r="F10165" t="inlineStr">
        <is>
          <t>Hà Nội</t>
        </is>
      </c>
      <c r="G10165" t="inlineStr">
        <is>
          <t>Nhân viên</t>
        </is>
      </c>
      <c r="H10165" t="inlineStr">
        <is>
          <t>12/03/2026</t>
        </is>
      </c>
      <c r="I10165" t="inlineStr">
        <is>
          <t>11/04/2026</t>
        </is>
      </c>
      <c r="J10165" t="inlineStr">
        <is>
          <t>17/03/2026</t>
        </is>
      </c>
      <c r="K10165" t="inlineStr">
        <is>
          <t>N/A</t>
        </is>
      </c>
      <c r="L10165" t="inlineStr">
        <is>
          <t>Sales, Business Development, Consulting, Demand Planning</t>
        </is>
      </c>
      <c r="M10165" t="inlineStr">
        <is>
          <t>Bonus, Healthcare Plan, Paid Leave, Training</t>
        </is>
      </c>
      <c r="N10165" s="8">
        <f>HYPERLINK("https://www.vietnamworks.com/sales-executive-2022290-jv","Xem chi tiết")</f>
        <v/>
      </c>
    </row>
    <row r="10166">
      <c r="B10166" s="9" t="n">
        <v>10164</v>
      </c>
      <c r="C10166" s="10" t="inlineStr">
        <is>
          <t>Sales Leader/ Senior | Attractive Commission - Ho Chi Minh, Da Nang, Hanoi</t>
        </is>
      </c>
      <c r="D10166" s="10" t="inlineStr">
        <is>
          <t>Công Ty Cổ Phần Vatech Việt</t>
        </is>
      </c>
      <c r="E10166" s="10" t="inlineStr">
        <is>
          <t>Thương lượng</t>
        </is>
      </c>
      <c r="F10166" s="10" t="inlineStr">
        <is>
          <t>Hồ Chí Minh, Đà Nẵng, Hà Nội</t>
        </is>
      </c>
      <c r="G10166" s="10" t="inlineStr">
        <is>
          <t>Trưởng phòng</t>
        </is>
      </c>
      <c r="H10166" s="10" t="inlineStr">
        <is>
          <t>12/03/2026</t>
        </is>
      </c>
      <c r="I10166" s="10" t="inlineStr">
        <is>
          <t>11/04/2026</t>
        </is>
      </c>
      <c r="J10166" s="10" t="inlineStr">
        <is>
          <t>17/03/2026</t>
        </is>
      </c>
      <c r="K10166" s="10" t="inlineStr">
        <is>
          <t>N/A</t>
        </is>
      </c>
      <c r="L10166" s="10" t="inlineStr">
        <is>
          <t>Analytical Skills, Medical Sales, Relationship Building, Sales Management, Sales Strategy</t>
        </is>
      </c>
      <c r="M10166" s="10" t="inlineStr">
        <is>
          <t>Bonus, Healthcare Plan, Paid Leave</t>
        </is>
      </c>
      <c r="N10166" s="11">
        <f>HYPERLINK("https://www.vietnamworks.com/sales-leader-senior-attractive-commission-ho-chi-minh-da-nang-hanoi-2022283-jv","Xem chi tiết")</f>
        <v/>
      </c>
      <c r="O10166" s="10" t="n"/>
    </row>
    <row r="10167">
      <c r="B10167" s="7" t="n">
        <v>10165</v>
      </c>
      <c r="C10167" t="inlineStr">
        <is>
          <t>[HN/HCM] Chuyên Viên Kinh Doanh Dự Án, Giải Pháp CNTT</t>
        </is>
      </c>
      <c r="D10167" t="inlineStr">
        <is>
          <t>Công Ty TNHH Tổng Công Ty Công Nghệ &amp; Giải Pháp CMC (CMC TS)</t>
        </is>
      </c>
      <c r="E10167" t="inlineStr">
        <is>
          <t>Thương lượng</t>
        </is>
      </c>
      <c r="F10167" t="inlineStr">
        <is>
          <t>Hà Nội, Hồ Chí Minh</t>
        </is>
      </c>
      <c r="G10167" t="inlineStr">
        <is>
          <t>Nhân viên</t>
        </is>
      </c>
      <c r="H10167" t="inlineStr">
        <is>
          <t>12/03/2026</t>
        </is>
      </c>
      <c r="I10167" t="inlineStr">
        <is>
          <t>11/04/2026</t>
        </is>
      </c>
      <c r="J10167" t="inlineStr">
        <is>
          <t>17/03/2026</t>
        </is>
      </c>
      <c r="K10167" t="inlineStr">
        <is>
          <t>N/A</t>
        </is>
      </c>
      <c r="L10167" t="inlineStr">
        <is>
          <t>CNTT, Kinh Doanh, Quản Trị Dự Án, Tiếng Anh, Tư Vấn Giải Pháp</t>
        </is>
      </c>
      <c r="M10167" t="inlineStr">
        <is>
          <t>Bonus, Healthcare Plan, Paid Leave, Training, Laptop, Travel Opportunities, Team Activities, Others</t>
        </is>
      </c>
      <c r="N10167" s="8">
        <f>HYPERLINK("https://www.vietnamworks.com/hnhcm-chuyen-vien-kinh-doanh-du-an-giai-phap-cntt-2022269-jv","Xem chi tiết")</f>
        <v/>
      </c>
    </row>
    <row r="10168">
      <c r="B10168" s="9" t="n">
        <v>10166</v>
      </c>
      <c r="C10168" s="10" t="inlineStr">
        <is>
          <t>Kế Toán - Thu Nhập Uppto 18Tr/ Tháng</t>
        </is>
      </c>
      <c r="D10168" s="10" t="inlineStr">
        <is>
          <t>CÔNG TY CỔ PHẦN OWIN VIỆT NAM</t>
        </is>
      </c>
      <c r="E10168" s="10" t="inlineStr">
        <is>
          <t>Tới 18tr ₫/tháng</t>
        </is>
      </c>
      <c r="F10168" s="10" t="inlineStr">
        <is>
          <t>Hà Nội</t>
        </is>
      </c>
      <c r="G10168" s="10" t="inlineStr">
        <is>
          <t>Nhân viên</t>
        </is>
      </c>
      <c r="H10168" s="10" t="inlineStr">
        <is>
          <t>12/03/2026</t>
        </is>
      </c>
      <c r="I10168" s="10" t="inlineStr">
        <is>
          <t>11/04/2026</t>
        </is>
      </c>
      <c r="J10168" s="10" t="inlineStr">
        <is>
          <t>17/03/2026</t>
        </is>
      </c>
      <c r="K10168" s="10" t="inlineStr">
        <is>
          <t>N/A</t>
        </is>
      </c>
      <c r="L10168" s="10" t="inlineStr">
        <is>
          <t>Tiếng Anh, Báo Giá, Chính Sách Thuế, Quyết Toán Thuế, Theo Dõi Công Nợ</t>
        </is>
      </c>
      <c r="M10168" s="10" t="inlineStr">
        <is>
          <t>Bonus, Healthcare Plan, Paid Leave, Laptop, Travel Opportunities, Team Activities, Others</t>
        </is>
      </c>
      <c r="N10168" s="11">
        <f>HYPERLINK("https://www.vietnamworks.com/ke-toan-thu-nhap-uppto-18tr-thang-2022286-jv","Xem chi tiết")</f>
        <v/>
      </c>
      <c r="O10168" s="10" t="n"/>
    </row>
    <row r="10169">
      <c r="B10169" s="7" t="n">
        <v>10167</v>
      </c>
      <c r="C10169" t="inlineStr">
        <is>
          <t>Kỹ Sư Điện - Thu Nhập Upto 20Tr/tháng</t>
        </is>
      </c>
      <c r="D10169" t="inlineStr">
        <is>
          <t>CÔNG TY CỔ PHẦN OWIN VIỆT NAM</t>
        </is>
      </c>
      <c r="E10169" t="inlineStr">
        <is>
          <t>13tr-20tr ₫/tháng</t>
        </is>
      </c>
      <c r="F10169" t="inlineStr">
        <is>
          <t>Hà Nội</t>
        </is>
      </c>
      <c r="G10169" t="inlineStr">
        <is>
          <t>Nhân viên</t>
        </is>
      </c>
      <c r="H10169" t="inlineStr">
        <is>
          <t>12/03/2026</t>
        </is>
      </c>
      <c r="I10169" t="inlineStr">
        <is>
          <t>11/04/2026</t>
        </is>
      </c>
      <c r="J10169" t="inlineStr">
        <is>
          <t>17/03/2026</t>
        </is>
      </c>
      <c r="K10169" t="inlineStr">
        <is>
          <t>N/A</t>
        </is>
      </c>
      <c r="L10169" t="inlineStr">
        <is>
          <t>Điện, Tự Động Hóa, Cơ Khí, Đọc Hiểu Bản Vẽ Kỹ Thuật, M&amp;E</t>
        </is>
      </c>
      <c r="M10169" t="inlineStr">
        <is>
          <t>Bonus, Healthcare Plan, Paid Leave, Laptop, Travel Opportunities, Others</t>
        </is>
      </c>
      <c r="N10169" s="8">
        <f>HYPERLINK("https://www.vietnamworks.com/ky-su-djien-thu-nhap-upto-20trthang-2022295-jv","Xem chi tiết")</f>
        <v/>
      </c>
    </row>
    <row r="10170">
      <c r="B10170" s="9" t="n">
        <v>10168</v>
      </c>
      <c r="C10170" s="10" t="inlineStr">
        <is>
          <t>Giám Đốc Đầu Tư - Pvcb Capital</t>
        </is>
      </c>
      <c r="D10170" s="10" t="inlineStr">
        <is>
          <t>Ngân Hàng TMCP Đại Chúng Việt Nam</t>
        </is>
      </c>
      <c r="E10170" s="10" t="inlineStr">
        <is>
          <t>Thương lượng</t>
        </is>
      </c>
      <c r="F10170" s="10" t="inlineStr">
        <is>
          <t>Hà Nội</t>
        </is>
      </c>
      <c r="G10170" s="10" t="inlineStr">
        <is>
          <t>Giám Đốc và Cấp Cao Hơn</t>
        </is>
      </c>
      <c r="H10170" s="10" t="inlineStr">
        <is>
          <t>12/03/2026</t>
        </is>
      </c>
      <c r="I10170" s="10" t="inlineStr">
        <is>
          <t>11/04/2026</t>
        </is>
      </c>
      <c r="J10170" s="10" t="inlineStr">
        <is>
          <t>17/03/2026</t>
        </is>
      </c>
      <c r="K10170" s="10" t="inlineStr">
        <is>
          <t>N/A</t>
        </is>
      </c>
      <c r="L10170" s="10" t="inlineStr">
        <is>
          <t>Đầu Tư Tài Chính, Quản Lý Quỹ, Funding and Capital Market, Phân Tích Đầu Tư, Quản Trị Rủi Ro</t>
        </is>
      </c>
      <c r="M10170" s="10" t="inlineStr">
        <is>
          <t>Bonus, Healthcare Plan, Canteen</t>
        </is>
      </c>
      <c r="N10170" s="11">
        <f>HYPERLINK("https://www.vietnamworks.com/giam-doc-dau-tu-pvcb-capital-2022289-jv","Xem chi tiết")</f>
        <v/>
      </c>
      <c r="O10170" s="10" t="n"/>
    </row>
    <row r="10171">
      <c r="B10171" s="7" t="n">
        <v>10169</v>
      </c>
      <c r="C10171" t="inlineStr">
        <is>
          <t>Nhân Viên Mua Hàng (Purchasing Staff) - Thu Nhập Upto 16M</t>
        </is>
      </c>
      <c r="D10171" t="inlineStr">
        <is>
          <t>CÔNG TY CỔ PHẦN OWIN VIỆT NAM</t>
        </is>
      </c>
      <c r="E10171" t="inlineStr">
        <is>
          <t>Tới 16tr ₫/tháng</t>
        </is>
      </c>
      <c r="F10171" t="inlineStr">
        <is>
          <t>Hà Nội</t>
        </is>
      </c>
      <c r="G10171" t="inlineStr">
        <is>
          <t>Nhân viên</t>
        </is>
      </c>
      <c r="H10171" t="inlineStr">
        <is>
          <t>12/03/2026</t>
        </is>
      </c>
      <c r="I10171" t="inlineStr">
        <is>
          <t>11/04/2026</t>
        </is>
      </c>
      <c r="J10171" t="inlineStr">
        <is>
          <t>17/03/2026</t>
        </is>
      </c>
      <c r="K10171" t="inlineStr">
        <is>
          <t>N/A</t>
        </is>
      </c>
      <c r="L10171" t="inlineStr">
        <is>
          <t>Tiếng Anh, Báo Giá, Lập Kế Hoạch Mua Hàng, Mua Sắm Thiết Bị, Tìm nguồn hàng</t>
        </is>
      </c>
      <c r="M10171" t="inlineStr">
        <is>
          <t>Bonus, Healthcare Plan, Paid Leave, Laptop, Travel Opportunities, Team Activities, Others</t>
        </is>
      </c>
      <c r="N10171" s="8">
        <f>HYPERLINK("https://www.vietnamworks.com/nhan-vien-mua-hang-purchasing-staff-thu-nhap-upto-16m-2022294-jv","Xem chi tiết")</f>
        <v/>
      </c>
    </row>
    <row r="10172">
      <c r="B10172" s="9" t="n">
        <v>10170</v>
      </c>
      <c r="C10172" s="10" t="inlineStr">
        <is>
          <t>Trưởng Phòng Phụ Trách Pháp Chế - Pvcb Capital</t>
        </is>
      </c>
      <c r="D10172" s="10" t="inlineStr">
        <is>
          <t>Ngân Hàng TMCP Đại Chúng Việt Nam</t>
        </is>
      </c>
      <c r="E10172" s="10" t="inlineStr">
        <is>
          <t>Thương lượng</t>
        </is>
      </c>
      <c r="F10172" s="10" t="inlineStr">
        <is>
          <t>Hà Nội</t>
        </is>
      </c>
      <c r="G10172" s="10" t="inlineStr">
        <is>
          <t>Trưởng phòng</t>
        </is>
      </c>
      <c r="H10172" s="10" t="inlineStr">
        <is>
          <t>12/03/2026</t>
        </is>
      </c>
      <c r="I10172" s="10" t="inlineStr">
        <is>
          <t>11/04/2026</t>
        </is>
      </c>
      <c r="J10172" s="10" t="inlineStr">
        <is>
          <t>17/03/2026</t>
        </is>
      </c>
      <c r="K10172" s="10" t="inlineStr">
        <is>
          <t>N/A</t>
        </is>
      </c>
      <c r="L10172" s="10" t="inlineStr">
        <is>
          <t>Quản Lý Quỹ, Luật Doanh Nghiệp, Pháp Chế Doanh Nghiệp, Quản Trị Kế Hoạch, Hành Chính Quản Trị</t>
        </is>
      </c>
      <c r="M10172" s="10" t="inlineStr">
        <is>
          <t>Bonus, Healthcare Plan, Canteen</t>
        </is>
      </c>
      <c r="N10172" s="11">
        <f>HYPERLINK("https://www.vietnamworks.com/truong-phong-phu-trach-phap-che-pvcb-capital-2022287-jv","Xem chi tiết")</f>
        <v/>
      </c>
      <c r="O10172" s="10" t="n"/>
    </row>
    <row r="10173">
      <c r="B10173" s="7" t="n">
        <v>10171</v>
      </c>
      <c r="C10173" t="inlineStr">
        <is>
          <t>Construction Executive (HCM Head Office - 580)</t>
        </is>
      </c>
      <c r="D10173" t="inlineStr">
        <is>
          <t>AEONMALL Vietnam Co., Ltd.</t>
        </is>
      </c>
      <c r="E10173" t="inlineStr">
        <is>
          <t>$$ 550-800 /tháng</t>
        </is>
      </c>
      <c r="F10173" t="inlineStr">
        <is>
          <t>Hồ Chí Minh</t>
        </is>
      </c>
      <c r="G10173" t="inlineStr">
        <is>
          <t>Nhân viên</t>
        </is>
      </c>
      <c r="H10173" t="inlineStr">
        <is>
          <t>12/03/2026</t>
        </is>
      </c>
      <c r="I10173" t="inlineStr">
        <is>
          <t>11/04/2026</t>
        </is>
      </c>
      <c r="J10173" t="inlineStr">
        <is>
          <t>17/03/2026</t>
        </is>
      </c>
      <c r="K10173" t="inlineStr">
        <is>
          <t>N/A</t>
        </is>
      </c>
      <c r="L10173" t="inlineStr">
        <is>
          <t>Construction Quality Management, Architectural Construction, Project Management, communication, Engineering &amp; Construction Management</t>
        </is>
      </c>
      <c r="M10173" t="inlineStr">
        <is>
          <t>Healthcare Plan, Training, Others</t>
        </is>
      </c>
      <c r="N10173" s="8">
        <f>HYPERLINK("https://www.vietnamworks.com/construction-executive-hcm-head-office-580--2022296-jv","Xem chi tiết")</f>
        <v/>
      </c>
    </row>
    <row r="10174">
      <c r="B10174" s="9" t="n">
        <v>10172</v>
      </c>
      <c r="C10174" s="10" t="inlineStr">
        <is>
          <t>Nhân Viên Kinh Doanh Thiết Bị Y Tế</t>
        </is>
      </c>
      <c r="D10174" s="10" t="inlineStr">
        <is>
          <t>Công Ty TNHH Công Nghệ An Pha</t>
        </is>
      </c>
      <c r="E10174" s="10" t="inlineStr">
        <is>
          <t>Thương lượng</t>
        </is>
      </c>
      <c r="F10174" s="10" t="inlineStr">
        <is>
          <t>Hồ Chí Minh, Hà Nội, Đà Nẵng</t>
        </is>
      </c>
      <c r="G10174" s="10" t="inlineStr">
        <is>
          <t>Nhân viên</t>
        </is>
      </c>
      <c r="H10174" s="10" t="inlineStr">
        <is>
          <t>12/03/2026</t>
        </is>
      </c>
      <c r="I10174" s="10" t="inlineStr">
        <is>
          <t>11/04/2026</t>
        </is>
      </c>
      <c r="J10174" s="10" t="inlineStr">
        <is>
          <t>17/03/2026</t>
        </is>
      </c>
      <c r="K10174" s="10" t="inlineStr">
        <is>
          <t>N/A</t>
        </is>
      </c>
      <c r="L10174" s="10" t="inlineStr">
        <is>
          <t>Chăm Sóc Khách Hàng, Báo Giá, Thiết Bị Y Tế, Tìm Kiếm Khách Hàng, Tư Vấn Bán Hàng</t>
        </is>
      </c>
      <c r="M10174" s="10" t="inlineStr">
        <is>
          <t>Bonus, Healthcare Plan, Travel Opportunities</t>
        </is>
      </c>
      <c r="N10174" s="11">
        <f>HYPERLINK("https://www.vietnamworks.com/nhan-vien-kinh-doanh-thiet-bi-y-te--2022315-jv","Xem chi tiết")</f>
        <v/>
      </c>
      <c r="O10174" s="10" t="n"/>
    </row>
    <row r="10175">
      <c r="B10175" s="7" t="n">
        <v>10173</v>
      </c>
      <c r="C10175" t="inlineStr">
        <is>
          <t>Developing And Sourcing (D&amp;S) - 01 Vietnames Person</t>
        </is>
      </c>
      <c r="D10175" t="inlineStr">
        <is>
          <t>Mizuno Viet Nam Company Limited</t>
        </is>
      </c>
      <c r="E10175" t="inlineStr">
        <is>
          <t>Thương lượng</t>
        </is>
      </c>
      <c r="F10175" t="inlineStr">
        <is>
          <t>Hồ Chí Minh</t>
        </is>
      </c>
      <c r="G10175" t="inlineStr">
        <is>
          <t>Nhân viên</t>
        </is>
      </c>
      <c r="H10175" t="inlineStr">
        <is>
          <t>12/03/2026</t>
        </is>
      </c>
      <c r="I10175" t="inlineStr">
        <is>
          <t>11/04/2026</t>
        </is>
      </c>
      <c r="J10175" t="inlineStr">
        <is>
          <t>17/03/2026</t>
        </is>
      </c>
      <c r="K10175" t="inlineStr">
        <is>
          <t>N/A</t>
        </is>
      </c>
      <c r="L10175" t="inlineStr">
        <is>
          <t>Footware Development, Quality Control, Sourcing Management, Kiểm Soát Chất Lượng, Phát Triển Sản Phẩm</t>
        </is>
      </c>
      <c r="M10175" t="inlineStr">
        <is>
          <t>Bonus, Healthcare Plan, Others</t>
        </is>
      </c>
      <c r="N10175" s="8">
        <f>HYPERLINK("https://www.vietnamworks.com/developing-and-sourcing-dands-01-vietnames-person-2022323-jv","Xem chi tiết")</f>
        <v/>
      </c>
    </row>
    <row r="10176">
      <c r="B10176" s="9" t="n">
        <v>10174</v>
      </c>
      <c r="C10176" s="10" t="inlineStr">
        <is>
          <t>Nhân Viên Bảo Trì</t>
        </is>
      </c>
      <c r="D10176" s="10" t="inlineStr">
        <is>
          <t>Kwangjin Vietnam Co., Ltd</t>
        </is>
      </c>
      <c r="E10176" s="10" t="inlineStr">
        <is>
          <t>Thương lượng</t>
        </is>
      </c>
      <c r="F10176" s="10" t="inlineStr">
        <is>
          <t>Hải Dương</t>
        </is>
      </c>
      <c r="G10176" s="10" t="inlineStr">
        <is>
          <t>Nhân viên</t>
        </is>
      </c>
      <c r="H10176" s="10" t="inlineStr">
        <is>
          <t>12/03/2026</t>
        </is>
      </c>
      <c r="I10176" s="10" t="inlineStr">
        <is>
          <t>11/04/2026</t>
        </is>
      </c>
      <c r="J10176" s="10" t="inlineStr">
        <is>
          <t>17/03/2026</t>
        </is>
      </c>
      <c r="K10176" s="10" t="inlineStr">
        <is>
          <t>N/A</t>
        </is>
      </c>
      <c r="L10176" s="10" t="inlineStr">
        <is>
          <t>Bảo Trì Bảo Dưỡng Cơ Khí, Cải Tiến Thiết Bị, Kĩ Thuật Điện, Lập Kế Hoạch Bảo Trì, Sửa Chữa Bảo Dưỡng</t>
        </is>
      </c>
      <c r="M10176" s="10" t="inlineStr">
        <is>
          <t>Bonus, Healthcare Plan, Paid Leave, Awards, Travel Opportunities, Team Activities, Canteen, Others</t>
        </is>
      </c>
      <c r="N10176" s="11">
        <f>HYPERLINK("https://www.vietnamworks.com/nhan-vien-bao-tri-2022300-jv","Xem chi tiết")</f>
        <v/>
      </c>
      <c r="O10176" s="10" t="n"/>
    </row>
    <row r="10177">
      <c r="B10177" s="7" t="n">
        <v>10175</v>
      </c>
      <c r="C10177" t="inlineStr">
        <is>
          <t>Talent Acquisition Specialist - Thu Nhập Upto 20 Triệu</t>
        </is>
      </c>
      <c r="D10177" t="inlineStr">
        <is>
          <t>IIG VIỆT NAM</t>
        </is>
      </c>
      <c r="E10177" t="inlineStr">
        <is>
          <t>$$ 800-1,000 /tháng</t>
        </is>
      </c>
      <c r="F10177" t="inlineStr">
        <is>
          <t>Hà Nội</t>
        </is>
      </c>
      <c r="G10177" t="inlineStr">
        <is>
          <t>Nhân viên</t>
        </is>
      </c>
      <c r="H10177" t="inlineStr">
        <is>
          <t>12/03/2026</t>
        </is>
      </c>
      <c r="I10177" t="inlineStr">
        <is>
          <t>11/04/2026</t>
        </is>
      </c>
      <c r="J10177" t="inlineStr">
        <is>
          <t>17/03/2026</t>
        </is>
      </c>
      <c r="K10177" t="inlineStr">
        <is>
          <t>N/A</t>
        </is>
      </c>
      <c r="L10177" t="inlineStr">
        <is>
          <t>Talent Acquisition, Recruitment, Tuyển Dụng, Employer Branding, Tuyển Chọn Nhân Tài</t>
        </is>
      </c>
      <c r="M10177" t="inlineStr">
        <is>
          <t>Bonus, Healthcare Plan, Paid Leave</t>
        </is>
      </c>
      <c r="N10177" s="8">
        <f>HYPERLINK("https://www.vietnamworks.com/talent-acquisition-specialist-thu-nhap-upto-20-trieu-2022299-jv","Xem chi tiết")</f>
        <v/>
      </c>
    </row>
    <row r="10178">
      <c r="B10178" s="9" t="n">
        <v>10176</v>
      </c>
      <c r="C10178" s="10" t="inlineStr">
        <is>
          <t>Cost Estimation Engineer ( Mechanical)</t>
        </is>
      </c>
      <c r="D10178" s="10" t="inlineStr">
        <is>
          <t>CÔNG TY TNHH S.I E&amp;C VIỆT NAM</t>
        </is>
      </c>
      <c r="E10178" s="10" t="inlineStr">
        <is>
          <t>18tr-30tr ₫/tháng</t>
        </is>
      </c>
      <c r="F10178" s="10" t="inlineStr">
        <is>
          <t>Đồng Nai</t>
        </is>
      </c>
      <c r="G10178" s="10" t="inlineStr">
        <is>
          <t>Nhân viên</t>
        </is>
      </c>
      <c r="H10178" s="10" t="inlineStr">
        <is>
          <t>12/03/2026</t>
        </is>
      </c>
      <c r="I10178" s="10" t="inlineStr">
        <is>
          <t>11/04/2026</t>
        </is>
      </c>
      <c r="J10178" s="10" t="inlineStr">
        <is>
          <t>17/03/2026</t>
        </is>
      </c>
      <c r="K10178" s="10" t="inlineStr">
        <is>
          <t>N/A</t>
        </is>
      </c>
      <c r="L10178" s="10" t="inlineStr">
        <is>
          <t>Dự Toán, Tiếng Anh, Đọc Bản Vẽ Thiết Kế</t>
        </is>
      </c>
      <c r="M10178" s="10" t="inlineStr">
        <is>
          <t>Bonus, Paid Leave, Transportation</t>
        </is>
      </c>
      <c r="N10178" s="11">
        <f>HYPERLINK("https://www.vietnamworks.com/cost-estimation-engineer-mechanical-2022305-jv","Xem chi tiết")</f>
        <v/>
      </c>
      <c r="O10178" s="10" t="n"/>
    </row>
    <row r="10179">
      <c r="B10179" s="7" t="n">
        <v>10177</v>
      </c>
      <c r="C10179" t="inlineStr">
        <is>
          <t>Technical Sales Manager (Food-B2B)</t>
        </is>
      </c>
      <c r="D10179" t="inlineStr">
        <is>
          <t>Công ty Cổ Phần Dịch vụ và Cung Cấp Thực Phẩm Quốc Tế - IFSS</t>
        </is>
      </c>
      <c r="E10179" t="inlineStr">
        <is>
          <t>$$ 1,500-2,200 /tháng</t>
        </is>
      </c>
      <c r="F10179" t="inlineStr">
        <is>
          <t>Hồ Chí Minh</t>
        </is>
      </c>
      <c r="G10179" t="inlineStr">
        <is>
          <t>Trưởng phòng</t>
        </is>
      </c>
      <c r="H10179" t="inlineStr">
        <is>
          <t>12/03/2026</t>
        </is>
      </c>
      <c r="I10179" t="inlineStr">
        <is>
          <t>11/04/2026</t>
        </is>
      </c>
      <c r="J10179" t="inlineStr">
        <is>
          <t>17/03/2026</t>
        </is>
      </c>
      <c r="K10179" t="inlineStr">
        <is>
          <t>N/A</t>
        </is>
      </c>
      <c r="L10179" t="inlineStr">
        <is>
          <t>Bán Hàng B2B, Lãnh Đạo, Phân Tích Thị Trường, Quản Trị Đội Ngũ, Tư Vấn Kỹ Thuật</t>
        </is>
      </c>
      <c r="M10179" t="inlineStr">
        <is>
          <t>Bonus, Healthcare Plan, Paid Leave, Team Activities</t>
        </is>
      </c>
      <c r="N10179" s="8">
        <f>HYPERLINK("https://www.vietnamworks.com/technical-sales-manager-food-b2b-2022316-jv","Xem chi tiết")</f>
        <v/>
      </c>
    </row>
    <row r="10180">
      <c r="B10180" s="9" t="n">
        <v>10178</v>
      </c>
      <c r="C10180" s="10" t="inlineStr">
        <is>
          <t>Chuyên Viên Phòng Kế Toán Tổng Hợp Ban Tài Chính Kế Toán</t>
        </is>
      </c>
      <c r="D10180" s="10" t="inlineStr">
        <is>
          <t>Công ty cổ phần kỹ thuật công nghiệp Á Châu</t>
        </is>
      </c>
      <c r="E10180" s="10" t="inlineStr">
        <is>
          <t>12tr-16tr ₫/tháng</t>
        </is>
      </c>
      <c r="F10180" s="10" t="inlineStr">
        <is>
          <t>Hà Nội</t>
        </is>
      </c>
      <c r="G10180" s="10" t="inlineStr">
        <is>
          <t>Nhân viên</t>
        </is>
      </c>
      <c r="H10180" s="10" t="inlineStr">
        <is>
          <t>12/03/2026</t>
        </is>
      </c>
      <c r="I10180" s="10" t="inlineStr">
        <is>
          <t>11/04/2026</t>
        </is>
      </c>
      <c r="J10180" s="10" t="inlineStr">
        <is>
          <t>17/03/2026</t>
        </is>
      </c>
      <c r="K10180" s="10" t="inlineStr">
        <is>
          <t>N/A</t>
        </is>
      </c>
      <c r="L10180" s="10" t="inlineStr">
        <is>
          <t>Kế Toán, Tài Chính, General Accountant, General Accounting, General Accounting Principals</t>
        </is>
      </c>
      <c r="M10180" s="10" t="inlineStr">
        <is>
          <t>Bonus, Healthcare Plan, Training, Travel Opportunities, Others</t>
        </is>
      </c>
      <c r="N10180" s="11">
        <f>HYPERLINK("https://www.vietnamworks.com/chuyen-vien-phong-ke-toan-tong-hop-ban-tai-chinh-ke-toan-2022312-jv","Xem chi tiết")</f>
        <v/>
      </c>
      <c r="O10180" s="10" t="n"/>
    </row>
    <row r="10181">
      <c r="B10181" s="7" t="n">
        <v>10179</v>
      </c>
      <c r="C10181" t="inlineStr">
        <is>
          <t>Chuyên Viên Tuyển Dụng Đào Tạo</t>
        </is>
      </c>
      <c r="D10181" t="inlineStr">
        <is>
          <t>Công Ty Dịch Vụ Số Bưu Điện – Tổng Công Ty Bưu Điện Việt Nam</t>
        </is>
      </c>
      <c r="E10181" t="inlineStr">
        <is>
          <t>10tr-20tr ₫/tháng</t>
        </is>
      </c>
      <c r="F10181" t="inlineStr">
        <is>
          <t>Hà Nội</t>
        </is>
      </c>
      <c r="G10181" t="inlineStr">
        <is>
          <t>Nhân viên</t>
        </is>
      </c>
      <c r="H10181" t="inlineStr">
        <is>
          <t>12/03/2026</t>
        </is>
      </c>
      <c r="I10181" t="inlineStr">
        <is>
          <t>11/04/2026</t>
        </is>
      </c>
      <c r="J10181" t="inlineStr">
        <is>
          <t>17/03/2026</t>
        </is>
      </c>
      <c r="K10181" t="inlineStr">
        <is>
          <t>N/A</t>
        </is>
      </c>
      <c r="L10181" t="inlineStr">
        <is>
          <t>Tuyển Dụng, Đào Tạo Nhân Sự, Dự Toán Chi Phí, Quản Lý Phát Triển Nhân Sự, Phỏng Vấn</t>
        </is>
      </c>
      <c r="M10181" t="inlineStr">
        <is>
          <t>Healthcare Plan, Training, Awards</t>
        </is>
      </c>
      <c r="N10181" s="8">
        <f>HYPERLINK("https://www.vietnamworks.com/chuyen-vien-tuyen-dung-dao-tao--2022302-jv","Xem chi tiết")</f>
        <v/>
      </c>
    </row>
    <row r="10182">
      <c r="B10182" s="9" t="n">
        <v>10180</v>
      </c>
      <c r="C10182" s="10" t="inlineStr">
        <is>
          <t>{Tuyển Gấp} Kỹ Sư Tự Động Hóa, Đo Lường Điều Khiển (Automation Engineer) - Up to 15Tr</t>
        </is>
      </c>
      <c r="D10182" s="10" t="inlineStr">
        <is>
          <t>Công Ty TNHH Thương Mại Và Giải Pháp Tự Động Hóa Việt Nam (Vatcom Co.,ltd)</t>
        </is>
      </c>
      <c r="E10182" s="10" t="inlineStr">
        <is>
          <t>9tr-15tr ₫/tháng</t>
        </is>
      </c>
      <c r="F10182" s="10" t="inlineStr">
        <is>
          <t>Hà Nội</t>
        </is>
      </c>
      <c r="G10182" s="10" t="inlineStr">
        <is>
          <t>Nhân viên</t>
        </is>
      </c>
      <c r="H10182" s="10" t="inlineStr">
        <is>
          <t>12/03/2026</t>
        </is>
      </c>
      <c r="I10182" s="10" t="inlineStr">
        <is>
          <t>11/04/2026</t>
        </is>
      </c>
      <c r="J10182" s="10" t="inlineStr">
        <is>
          <t>17/03/2026</t>
        </is>
      </c>
      <c r="K10182" s="10" t="inlineStr">
        <is>
          <t>N/A</t>
        </is>
      </c>
      <c r="L10182" s="10" t="inlineStr">
        <is>
          <t>Bảo Dưỡng, Thiết Bị Đo Lường, Tự Động Hóa, Đo Lường Tự Động, Quan Trắc</t>
        </is>
      </c>
      <c r="M10182" s="10" t="inlineStr">
        <is>
          <t>Bonus, Healthcare Plan, Paid Leave, Training, Awards, Travel Opportunities, Team Activities, Canteen</t>
        </is>
      </c>
      <c r="N10182" s="11">
        <f>HYPERLINK("https://www.vietnamworks.com/tuyen-gap-ky-su-tu-djong-hoa-djo-luong-djieu-khien-automation-engineer-up-to-15tr-2022325-jv","Xem chi tiết")</f>
        <v/>
      </c>
      <c r="O10182" s="10" t="n"/>
    </row>
    <row r="10183">
      <c r="B10183" s="7" t="n">
        <v>10181</v>
      </c>
      <c r="C10183" t="inlineStr">
        <is>
          <t>Kế Toán Tổng Hợp</t>
        </is>
      </c>
      <c r="D10183" t="inlineStr">
        <is>
          <t>Công Ty TNHH Du Lịch Authentic Asia</t>
        </is>
      </c>
      <c r="E10183" t="inlineStr">
        <is>
          <t>Thương lượng</t>
        </is>
      </c>
      <c r="F10183" t="inlineStr">
        <is>
          <t>Hà Nội</t>
        </is>
      </c>
      <c r="G10183" t="inlineStr">
        <is>
          <t>Nhân viên</t>
        </is>
      </c>
      <c r="H10183" t="inlineStr">
        <is>
          <t>12/03/2026</t>
        </is>
      </c>
      <c r="I10183" t="inlineStr">
        <is>
          <t>11/04/2026</t>
        </is>
      </c>
      <c r="J10183" t="inlineStr">
        <is>
          <t>17/03/2026</t>
        </is>
      </c>
      <c r="K10183" t="inlineStr">
        <is>
          <t>N/A</t>
        </is>
      </c>
      <c r="L10183" t="inlineStr">
        <is>
          <t>Kế Toán Tổng Hợp, Báo Cáo Tài Chính, Phần mềm kế toán, Kế Toán Tài Chính, General Accountant</t>
        </is>
      </c>
      <c r="M10183" t="inlineStr">
        <is>
          <t>Bonus, Healthcare Plan, Travel Opportunities, Others</t>
        </is>
      </c>
      <c r="N10183" s="8">
        <f>HYPERLINK("https://www.vietnamworks.com/ke-toan-tong-hop-2022333-jv","Xem chi tiết")</f>
        <v/>
      </c>
    </row>
    <row r="10184">
      <c r="B10184" s="9" t="n">
        <v>10182</v>
      </c>
      <c r="C10184" s="10" t="inlineStr">
        <is>
          <t>Nhân Viên Văn Phòng</t>
        </is>
      </c>
      <c r="D10184" s="10" t="inlineStr">
        <is>
          <t>CÔNG TY TNHH HOTANUTS</t>
        </is>
      </c>
      <c r="E10184" s="10" t="inlineStr">
        <is>
          <t>Thương lượng</t>
        </is>
      </c>
      <c r="F10184" s="10" t="inlineStr">
        <is>
          <t>Hồ Chí Minh</t>
        </is>
      </c>
      <c r="G10184" s="10" t="inlineStr">
        <is>
          <t>Nhân viên</t>
        </is>
      </c>
      <c r="H10184" s="10" t="inlineStr">
        <is>
          <t>12/03/2026</t>
        </is>
      </c>
      <c r="I10184" s="10" t="inlineStr">
        <is>
          <t>11/04/2026</t>
        </is>
      </c>
      <c r="J10184" s="10" t="inlineStr">
        <is>
          <t>17/03/2026</t>
        </is>
      </c>
      <c r="K10184" s="10" t="inlineStr">
        <is>
          <t>N/A</t>
        </is>
      </c>
      <c r="L10184" s="10" t="inlineStr">
        <is>
          <t>Quản Trị Kinh Doanh, Công Nghệ Thực Phẩm, Marketing Development, Đánh Máy Vi Tính, Tiếng Anh</t>
        </is>
      </c>
      <c r="M10184" s="10" t="inlineStr">
        <is>
          <t>Healthcare Plan, Training, Others</t>
        </is>
      </c>
      <c r="N10184" s="11">
        <f>HYPERLINK("https://www.vietnamworks.com/nhan-vien-van-phong-2022324-jv","Xem chi tiết")</f>
        <v/>
      </c>
      <c r="O10184" s="10" t="n"/>
    </row>
    <row r="10185">
      <c r="B10185" s="7" t="n">
        <v>10183</v>
      </c>
      <c r="C10185" t="inlineStr">
        <is>
          <t>Embedded Project Manager (Japanese Or Chinese Speaking)</t>
        </is>
      </c>
      <c r="D10185" t="inlineStr">
        <is>
          <t>Bosch Global Software Technologies Company Limited</t>
        </is>
      </c>
      <c r="E10185" t="inlineStr">
        <is>
          <t>Thương lượng</t>
        </is>
      </c>
      <c r="F10185" t="inlineStr">
        <is>
          <t>Hồ Chí Minh</t>
        </is>
      </c>
      <c r="G10185" t="inlineStr">
        <is>
          <t>Trưởng phòng</t>
        </is>
      </c>
      <c r="H10185" t="inlineStr">
        <is>
          <t>12/03/2026</t>
        </is>
      </c>
      <c r="I10185" t="inlineStr">
        <is>
          <t>11/04/2026</t>
        </is>
      </c>
      <c r="J10185" t="inlineStr">
        <is>
          <t>17/03/2026</t>
        </is>
      </c>
      <c r="K10185" t="inlineStr">
        <is>
          <t>N/A</t>
        </is>
      </c>
      <c r="L10185" t="inlineStr">
        <is>
          <t>Embedded Software, Japanese Speaking, Project Management, Automotive, C</t>
        </is>
      </c>
      <c r="M10185" t="inlineStr">
        <is>
          <t>Bonus, Healthcare Plan, Paid Leave, Training, Team Activities, Others</t>
        </is>
      </c>
      <c r="N10185" s="8">
        <f>HYPERLINK("https://www.vietnamworks.com/embedded-project-manager-japanese-or-chinese-speaking-2022326-jv","Xem chi tiết")</f>
        <v/>
      </c>
    </row>
    <row r="10186">
      <c r="B10186" s="9" t="n">
        <v>10184</v>
      </c>
      <c r="C10186" s="10" t="inlineStr">
        <is>
          <t>Kỹ Sư Thiết Kế Cấu Hình, Khí Động</t>
        </is>
      </c>
      <c r="D10186" s="10" t="inlineStr">
        <is>
          <t>Viettel VTX</t>
        </is>
      </c>
      <c r="E10186" s="10" t="inlineStr">
        <is>
          <t>Thương lượng</t>
        </is>
      </c>
      <c r="F10186" s="10" t="inlineStr">
        <is>
          <t>Hà Nội</t>
        </is>
      </c>
      <c r="G10186" s="10" t="inlineStr">
        <is>
          <t>Nhân viên</t>
        </is>
      </c>
      <c r="H10186" s="10" t="inlineStr">
        <is>
          <t>12/03/2026</t>
        </is>
      </c>
      <c r="I10186" s="10" t="inlineStr">
        <is>
          <t>11/04/2026</t>
        </is>
      </c>
      <c r="J10186" s="10" t="inlineStr">
        <is>
          <t>17/03/2026</t>
        </is>
      </c>
      <c r="K10186" s="10" t="inlineStr">
        <is>
          <t>N/A</t>
        </is>
      </c>
      <c r="L10186" s="10" t="inlineStr">
        <is>
          <t>Cơ Kỹ Thuật, Kỹ Thuật Hàng Không, Làm Việc Nhóm, Tư Duy Sáng Tạo, Phân Tích Fea</t>
        </is>
      </c>
      <c r="M10186" s="10" t="inlineStr">
        <is>
          <t>Bonus, Healthcare Plan, Paid Leave, Others</t>
        </is>
      </c>
      <c r="N10186" s="11">
        <f>HYPERLINK("https://www.vietnamworks.com/ky-su-thiet-ke-cau-hinh-khi-djong-2022317-jv","Xem chi tiết")</f>
        <v/>
      </c>
      <c r="O10186" s="10" t="n"/>
    </row>
    <row r="10187">
      <c r="B10187" s="7" t="n">
        <v>10185</v>
      </c>
      <c r="C10187" t="inlineStr">
        <is>
          <t>Nhân Viên Kế Toán Kho (Nam)</t>
        </is>
      </c>
      <c r="D10187" t="inlineStr">
        <is>
          <t>Công Ty Cổ Phần Công Nghệ An Toàn Việt Nam</t>
        </is>
      </c>
      <c r="E10187" t="inlineStr">
        <is>
          <t>Thương lượng</t>
        </is>
      </c>
      <c r="F10187" t="inlineStr">
        <is>
          <t>Hà Nội</t>
        </is>
      </c>
      <c r="G10187" t="inlineStr">
        <is>
          <t>Nhân viên</t>
        </is>
      </c>
      <c r="H10187" t="inlineStr">
        <is>
          <t>12/03/2026</t>
        </is>
      </c>
      <c r="I10187" t="inlineStr">
        <is>
          <t>11/04/2026</t>
        </is>
      </c>
      <c r="J10187" t="inlineStr">
        <is>
          <t>17/03/2026</t>
        </is>
      </c>
      <c r="K10187" t="inlineStr">
        <is>
          <t>N/A</t>
        </is>
      </c>
      <c r="L10187" t="inlineStr">
        <is>
          <t>Kế Toán Kho, Kiểm Tra Chứng Từ, Sắp xếp hàng hóa, Kho Vận, Xuất nhập hàng hoá</t>
        </is>
      </c>
      <c r="M10187" t="inlineStr">
        <is>
          <t>Bonus, Healthcare Plan, Team Activities</t>
        </is>
      </c>
      <c r="N10187" s="8">
        <f>HYPERLINK("https://www.vietnamworks.com/nhan-vien-ke-toan-kho-nam--2022298-jv","Xem chi tiết")</f>
        <v/>
      </c>
    </row>
    <row r="10188">
      <c r="B10188" s="9" t="n">
        <v>10186</v>
      </c>
      <c r="C10188" s="10" t="inlineStr">
        <is>
          <t>Legal Data &amp; Digital Transformation Analyst</t>
        </is>
      </c>
      <c r="D10188" s="10" t="inlineStr">
        <is>
          <t>Masan Consumer Holdings</t>
        </is>
      </c>
      <c r="E10188" s="10" t="inlineStr">
        <is>
          <t>Thương lượng</t>
        </is>
      </c>
      <c r="F10188" s="10" t="inlineStr">
        <is>
          <t>Hồ Chí Minh</t>
        </is>
      </c>
      <c r="G10188" s="10" t="inlineStr">
        <is>
          <t>Nhân viên</t>
        </is>
      </c>
      <c r="H10188" s="10" t="inlineStr">
        <is>
          <t>12/03/2026</t>
        </is>
      </c>
      <c r="I10188" s="10" t="inlineStr">
        <is>
          <t>11/04/2026</t>
        </is>
      </c>
      <c r="J10188" s="10" t="inlineStr">
        <is>
          <t>17/03/2026</t>
        </is>
      </c>
      <c r="K10188" s="10" t="inlineStr">
        <is>
          <t>N/A</t>
        </is>
      </c>
      <c r="L10188" s="10" t="inlineStr">
        <is>
          <t>Data Analysis, Data Science, Law, Legal Operations, Compliance</t>
        </is>
      </c>
      <c r="M10188" s="10" t="inlineStr">
        <is>
          <t>Bonus, Training, Others</t>
        </is>
      </c>
      <c r="N10188" s="11">
        <f>HYPERLINK("https://www.vietnamworks.com/legal-data-and-digital-transformation-analyst-2022321-jv","Xem chi tiết")</f>
        <v/>
      </c>
      <c r="O10188" s="10" t="n"/>
    </row>
    <row r="10189">
      <c r="B10189" s="7" t="n">
        <v>10187</v>
      </c>
      <c r="C10189" t="inlineStr">
        <is>
          <t>[ Hot Job ] Chuyên Viên Tổng Đài Chăm Sóc Khách Hàng</t>
        </is>
      </c>
      <c r="D10189" t="inlineStr">
        <is>
          <t>Công ty cổ phần Tập đoàn Bảo hiểm DBV</t>
        </is>
      </c>
      <c r="E10189" t="inlineStr">
        <is>
          <t>Thương lượng</t>
        </is>
      </c>
      <c r="F10189" t="inlineStr">
        <is>
          <t>Hà Nội</t>
        </is>
      </c>
      <c r="G10189" t="inlineStr">
        <is>
          <t>Nhân viên</t>
        </is>
      </c>
      <c r="H10189" t="inlineStr">
        <is>
          <t>12/03/2026</t>
        </is>
      </c>
      <c r="I10189" t="inlineStr">
        <is>
          <t>11/04/2026</t>
        </is>
      </c>
      <c r="J10189" t="inlineStr">
        <is>
          <t>17/03/2026</t>
        </is>
      </c>
      <c r="K10189" t="inlineStr">
        <is>
          <t>N/A</t>
        </is>
      </c>
      <c r="L10189" t="inlineStr">
        <is>
          <t>Answering Phone Calls, Call Center, Giao Tiếp, Tin Học Văn Phòng, Xử Lý Vấn Đề</t>
        </is>
      </c>
      <c r="M10189" t="inlineStr">
        <is>
          <t>Bonus, Healthcare Plan, Laptop, Team Activities, Others</t>
        </is>
      </c>
      <c r="N10189" s="8">
        <f>HYPERLINK("https://www.vietnamworks.com/hot-job-chuyen-vien-tong-djai-cham-soc-khach-hang-2022327-jv","Xem chi tiết")</f>
        <v/>
      </c>
    </row>
    <row r="10190">
      <c r="B10190" s="9" t="n">
        <v>10188</v>
      </c>
      <c r="C10190" s="10" t="inlineStr">
        <is>
          <t>Senior Consultant | Business Transformation in HCMC Office</t>
        </is>
      </c>
      <c r="D10190" s="10" t="inlineStr">
        <is>
          <t>Ernst &amp; Young Vietnam Limited (EY Vietnam)</t>
        </is>
      </c>
      <c r="E10190" s="10" t="inlineStr">
        <is>
          <t>Thương lượng</t>
        </is>
      </c>
      <c r="F10190" s="10" t="inlineStr">
        <is>
          <t>Hồ Chí Minh</t>
        </is>
      </c>
      <c r="G10190" s="10" t="inlineStr">
        <is>
          <t>Nhân viên</t>
        </is>
      </c>
      <c r="H10190" s="10" t="inlineStr">
        <is>
          <t>12/03/2026</t>
        </is>
      </c>
      <c r="I10190" s="10" t="inlineStr">
        <is>
          <t>11/04/2026</t>
        </is>
      </c>
      <c r="J10190" s="10" t="inlineStr">
        <is>
          <t>17/03/2026</t>
        </is>
      </c>
      <c r="K10190" s="10" t="inlineStr">
        <is>
          <t>N/A</t>
        </is>
      </c>
      <c r="L10190" s="10" t="inlineStr">
        <is>
          <t>Supply Chain Management, CRM, Customer Segmentation, Customer Value Proposition, Performance Analysis</t>
        </is>
      </c>
      <c r="M10190" s="10" t="inlineStr">
        <is>
          <t>Bonus, Awards, Others</t>
        </is>
      </c>
      <c r="N10190" s="11">
        <f>HYPERLINK("https://www.vietnamworks.com/senior-consultant-business-transformation-in-hcmc-office--2022301-jv","Xem chi tiết")</f>
        <v/>
      </c>
      <c r="O10190" s="10" t="n"/>
    </row>
    <row r="10191">
      <c r="B10191" s="7" t="n">
        <v>10189</v>
      </c>
      <c r="C10191" t="inlineStr">
        <is>
          <t>Nhân Viên Kinh Doanh Dịch Vụ Logistics (Senior Sales Executive)</t>
        </is>
      </c>
      <c r="D10191" t="inlineStr">
        <is>
          <t>Công ty TNHH Tư vấn UNI</t>
        </is>
      </c>
      <c r="E10191" t="inlineStr">
        <is>
          <t>$$ 800-1,500 /tháng</t>
        </is>
      </c>
      <c r="F10191" t="inlineStr">
        <is>
          <t>Hà Nội, Hồ Chí Minh</t>
        </is>
      </c>
      <c r="G10191" t="inlineStr">
        <is>
          <t>Nhân viên</t>
        </is>
      </c>
      <c r="H10191" t="inlineStr">
        <is>
          <t>12/03/2026</t>
        </is>
      </c>
      <c r="I10191" t="inlineStr">
        <is>
          <t>11/04/2026</t>
        </is>
      </c>
      <c r="J10191" t="inlineStr">
        <is>
          <t>17/03/2026</t>
        </is>
      </c>
      <c r="K10191" t="inlineStr">
        <is>
          <t>N/A</t>
        </is>
      </c>
      <c r="L10191" t="inlineStr">
        <is>
          <t>Shipping Logistics, Freight Forwarding, Customs Clearance, International Trade, Customer Relation</t>
        </is>
      </c>
      <c r="M10191" t="inlineStr">
        <is>
          <t>Bonus, Paid Leave</t>
        </is>
      </c>
      <c r="N10191" s="8">
        <f>HYPERLINK("https://www.vietnamworks.com/nhan-vien-kinh-doanh-dich-vu-logistics-senior-sales-executive-2022332-jv","Xem chi tiết")</f>
        <v/>
      </c>
    </row>
    <row r="10192">
      <c r="B10192" s="9" t="n">
        <v>10190</v>
      </c>
      <c r="C10192" s="10" t="inlineStr">
        <is>
          <t>Chuyên Viên Tuyển Dụng - Talent Acquisition Specialist (Hà Nội, Hưng Yên)</t>
        </is>
      </c>
      <c r="D10192" s="10" t="inlineStr">
        <is>
          <t>Tập Đoàn Karofi Holding</t>
        </is>
      </c>
      <c r="E10192" s="10" t="inlineStr">
        <is>
          <t>$$ 700-1,500 /tháng</t>
        </is>
      </c>
      <c r="F10192" s="10" t="inlineStr">
        <is>
          <t>Hà Nội, Hưng Yên</t>
        </is>
      </c>
      <c r="G10192" s="10" t="inlineStr">
        <is>
          <t>Nhân viên</t>
        </is>
      </c>
      <c r="H10192" s="10" t="inlineStr">
        <is>
          <t>12/03/2026</t>
        </is>
      </c>
      <c r="I10192" s="10" t="inlineStr">
        <is>
          <t>11/04/2026</t>
        </is>
      </c>
      <c r="J10192" s="10" t="inlineStr">
        <is>
          <t>17/03/2026</t>
        </is>
      </c>
      <c r="K10192" s="10" t="inlineStr">
        <is>
          <t>N/A</t>
        </is>
      </c>
      <c r="L10192" s="10" t="inlineStr">
        <is>
          <t>Talent Acquisition, Tuyển Dụng Nhân Sự, Mass Recruitment, Researching, Human Resources</t>
        </is>
      </c>
      <c r="M10192" s="10" t="inlineStr">
        <is>
          <t>Bonus, Healthcare Plan, Laptop</t>
        </is>
      </c>
      <c r="N10192" s="11">
        <f>HYPERLINK("https://www.vietnamworks.com/chuyen-vien-tuyen-dung-talent-acquisition-specialist-ha-noi-hung-yen--2022319-jv","Xem chi tiết")</f>
        <v/>
      </c>
      <c r="O10192" s="10" t="n"/>
    </row>
    <row r="10193">
      <c r="B10193" s="7" t="n">
        <v>10191</v>
      </c>
      <c r="C10193" t="inlineStr">
        <is>
          <t>Senior Consultant | Cloud &amp; IT Infrastructure in HCMC Office</t>
        </is>
      </c>
      <c r="D10193" t="inlineStr">
        <is>
          <t>Ernst &amp; Young Vietnam Limited (EY Vietnam)</t>
        </is>
      </c>
      <c r="E10193" t="inlineStr">
        <is>
          <t>Thương lượng</t>
        </is>
      </c>
      <c r="F10193" t="inlineStr">
        <is>
          <t>Hồ Chí Minh</t>
        </is>
      </c>
      <c r="G10193" t="inlineStr">
        <is>
          <t>Nhân viên</t>
        </is>
      </c>
      <c r="H10193" t="inlineStr">
        <is>
          <t>12/03/2026</t>
        </is>
      </c>
      <c r="I10193" t="inlineStr">
        <is>
          <t>11/04/2026</t>
        </is>
      </c>
      <c r="J10193" t="inlineStr">
        <is>
          <t>17/03/2026</t>
        </is>
      </c>
      <c r="K10193" t="inlineStr">
        <is>
          <t>N/A</t>
        </is>
      </c>
      <c r="L10193" t="inlineStr">
        <is>
          <t>AWS, MS Azure, Oracle Cloud, Databricks, Snowflake</t>
        </is>
      </c>
      <c r="M10193" t="inlineStr">
        <is>
          <t>Bonus, Awards, Others</t>
        </is>
      </c>
      <c r="N10193" s="8">
        <f>HYPERLINK("https://www.vietnamworks.com/senior-consultant-cloud-it-infrastructure-in-hcmc-office--2022328-jv","Xem chi tiết")</f>
        <v/>
      </c>
    </row>
    <row r="10194">
      <c r="B10194" s="9" t="n">
        <v>10192</v>
      </c>
      <c r="C10194" s="10" t="inlineStr">
        <is>
          <t>Tour Operator (Điều Hành Tour Du Lịch)</t>
        </is>
      </c>
      <c r="D10194" s="10" t="inlineStr">
        <is>
          <t>Công Ty TNHH Du Lịch Authentic Asia</t>
        </is>
      </c>
      <c r="E10194" s="10" t="inlineStr">
        <is>
          <t>$$ 700-1,500 /tháng</t>
        </is>
      </c>
      <c r="F10194" s="10" t="inlineStr">
        <is>
          <t>Hà Nội</t>
        </is>
      </c>
      <c r="G10194" s="10" t="inlineStr">
        <is>
          <t>Nhân viên</t>
        </is>
      </c>
      <c r="H10194" s="10" t="inlineStr">
        <is>
          <t>12/03/2026</t>
        </is>
      </c>
      <c r="I10194" s="10" t="inlineStr">
        <is>
          <t>11/04/2026</t>
        </is>
      </c>
      <c r="J10194" s="10" t="inlineStr">
        <is>
          <t>17/03/2026</t>
        </is>
      </c>
      <c r="K10194" s="10" t="inlineStr">
        <is>
          <t>N/A</t>
        </is>
      </c>
      <c r="L10194" s="10" t="inlineStr">
        <is>
          <t>Cargo Operation, Tour Operation, Tour Inbound, Điều Hành Tour, Travel Consultant</t>
        </is>
      </c>
      <c r="M10194" s="10" t="inlineStr">
        <is>
          <t>Bonus, Healthcare Plan, Paid Leave, Training, Travel Opportunities, Others</t>
        </is>
      </c>
      <c r="N10194" s="11">
        <f>HYPERLINK("https://www.vietnamworks.com/tour-operator-dieu-hanh-tour-du-lich-2022334-jv","Xem chi tiết")</f>
        <v/>
      </c>
      <c r="O10194" s="10" t="n"/>
    </row>
    <row r="10195">
      <c r="B10195" s="7" t="n">
        <v>10193</v>
      </c>
      <c r="C10195" t="inlineStr">
        <is>
          <t>Nhân Viên Kế Toán (Bộ Phận Thương Vụ)</t>
        </is>
      </c>
      <c r="D10195" t="inlineStr">
        <is>
          <t>CHI NHÁNH TẠI TP ĐÀ NẴNG – CÔNG TY TNHH VẬN TẢI CONTAINER HẢI AN</t>
        </is>
      </c>
      <c r="E10195" t="inlineStr">
        <is>
          <t>Thương lượng</t>
        </is>
      </c>
      <c r="F10195" t="inlineStr">
        <is>
          <t>Đà Nẵng</t>
        </is>
      </c>
      <c r="G10195" t="inlineStr">
        <is>
          <t>Nhân viên</t>
        </is>
      </c>
      <c r="H10195" t="inlineStr">
        <is>
          <t>12/03/2026</t>
        </is>
      </c>
      <c r="I10195" t="inlineStr">
        <is>
          <t>11/04/2026</t>
        </is>
      </c>
      <c r="J10195" t="inlineStr">
        <is>
          <t>17/03/2026</t>
        </is>
      </c>
      <c r="K10195" t="inlineStr">
        <is>
          <t>N/A</t>
        </is>
      </c>
      <c r="L10195" t="inlineStr">
        <is>
          <t>Kế Toán, Tiếng Anh, Tin Học Văn Phòng, Xuất Nhập Khẩu, Giao Tiếp</t>
        </is>
      </c>
      <c r="M10195" t="inlineStr">
        <is>
          <t>Bonus, Paid Leave, Travel Opportunities, Others</t>
        </is>
      </c>
      <c r="N10195" s="8">
        <f>HYPERLINK("https://www.vietnamworks.com/nhan-vien-ke-toan-bo-phan-thuong-vu-2022340-jv","Xem chi tiết")</f>
        <v/>
      </c>
    </row>
    <row r="10196">
      <c r="B10196" s="9" t="n">
        <v>10194</v>
      </c>
      <c r="C10196" s="10" t="inlineStr">
        <is>
          <t>Legal Specialist</t>
        </is>
      </c>
      <c r="D10196" s="10" t="inlineStr">
        <is>
          <t>Kizuna JV CORPORATION</t>
        </is>
      </c>
      <c r="E10196" s="10" t="inlineStr">
        <is>
          <t>Thương lượng</t>
        </is>
      </c>
      <c r="F10196" s="10" t="inlineStr">
        <is>
          <t>Long An, Hồ Chí Minh</t>
        </is>
      </c>
      <c r="G10196" s="10" t="inlineStr">
        <is>
          <t>Nhân viên</t>
        </is>
      </c>
      <c r="H10196" s="10" t="inlineStr">
        <is>
          <t>12/03/2026</t>
        </is>
      </c>
      <c r="I10196" s="10" t="inlineStr">
        <is>
          <t>11/04/2026</t>
        </is>
      </c>
      <c r="J10196" s="10" t="inlineStr">
        <is>
          <t>17/03/2026</t>
        </is>
      </c>
      <c r="K10196" s="10" t="inlineStr">
        <is>
          <t>N/A</t>
        </is>
      </c>
      <c r="L10196" s="10" t="inlineStr">
        <is>
          <t>Pháp Lý, Pháp Chế, Bất Động Sản, Luật Doanh Nghiệp, Enterprise Law</t>
        </is>
      </c>
      <c r="M10196" s="10" t="inlineStr">
        <is>
          <t>Bonus, Transportation, Others</t>
        </is>
      </c>
      <c r="N10196" s="11">
        <f>HYPERLINK("https://www.vietnamworks.com/legal-specialist--2022348-jv","Xem chi tiết")</f>
        <v/>
      </c>
      <c r="O10196" s="10" t="n"/>
    </row>
    <row r="10197">
      <c r="B10197" s="7" t="n">
        <v>10195</v>
      </c>
      <c r="C10197" t="inlineStr">
        <is>
          <t>Trưởng Nhóm Kiểm Soát Chất Lượng (Line QC Leader) - Thu Nhập Hấp Dẫn</t>
        </is>
      </c>
      <c r="D10197" t="inlineStr">
        <is>
          <t>Công Ty TNHH Ina Vina</t>
        </is>
      </c>
      <c r="E10197" t="inlineStr">
        <is>
          <t>$$ 600-850 /tháng</t>
        </is>
      </c>
      <c r="F10197" t="inlineStr">
        <is>
          <t>Hưng Yên</t>
        </is>
      </c>
      <c r="G10197" t="inlineStr">
        <is>
          <t>Nhân viên</t>
        </is>
      </c>
      <c r="H10197" t="inlineStr">
        <is>
          <t>12/03/2026</t>
        </is>
      </c>
      <c r="I10197" t="inlineStr">
        <is>
          <t>11/04/2026</t>
        </is>
      </c>
      <c r="J10197" t="inlineStr">
        <is>
          <t>17/03/2026</t>
        </is>
      </c>
      <c r="K10197" t="inlineStr">
        <is>
          <t>N/A</t>
        </is>
      </c>
      <c r="L10197" t="inlineStr">
        <is>
          <t>ISO Standards, Problem-solving, Quality Assurance, Quality Control Management, Team Management</t>
        </is>
      </c>
      <c r="M10197" t="inlineStr">
        <is>
          <t>Bonus, Healthcare Plan, Training, Team Activities, Others</t>
        </is>
      </c>
      <c r="N10197" s="8">
        <f>HYPERLINK("https://www.vietnamworks.com/truong-nhom-kiem-soat-chat-luong-line-qc-leader-thu-nhap-hap-dan-2022337-jv","Xem chi tiết")</f>
        <v/>
      </c>
    </row>
    <row r="10198">
      <c r="B10198" s="9" t="n">
        <v>10196</v>
      </c>
      <c r="C10198" s="10" t="inlineStr">
        <is>
          <t>Ship Design Engineers</t>
        </is>
      </c>
      <c r="D10198" s="10" t="inlineStr">
        <is>
          <t>IEMV Ltd</t>
        </is>
      </c>
      <c r="E10198" s="10" t="inlineStr">
        <is>
          <t>Thương lượng</t>
        </is>
      </c>
      <c r="F10198" s="10" t="inlineStr">
        <is>
          <t>Hải Phòng</t>
        </is>
      </c>
      <c r="G10198" s="10" t="inlineStr">
        <is>
          <t>Mới Tốt Nghiệp</t>
        </is>
      </c>
      <c r="H10198" s="10" t="inlineStr">
        <is>
          <t>12/03/2026</t>
        </is>
      </c>
      <c r="I10198" s="10" t="inlineStr">
        <is>
          <t>11/04/2026</t>
        </is>
      </c>
      <c r="J10198" s="10" t="inlineStr">
        <is>
          <t>17/03/2026</t>
        </is>
      </c>
      <c r="K10198" s="10" t="inlineStr">
        <is>
          <t>N/A</t>
        </is>
      </c>
      <c r="L10198" s="10" t="inlineStr">
        <is>
          <t>English, Design, Engineering, Marine Engineering, Ship Construction</t>
        </is>
      </c>
      <c r="M10198" s="10" t="inlineStr">
        <is>
          <t>Bonus, Healthcare Plan, Training</t>
        </is>
      </c>
      <c r="N10198" s="11">
        <f>HYPERLINK("https://www.vietnamworks.com/ship-design-engineers--2022361-jv","Xem chi tiết")</f>
        <v/>
      </c>
      <c r="O10198" s="10" t="n"/>
    </row>
    <row r="10199">
      <c r="B10199" s="7" t="n">
        <v>10197</v>
      </c>
      <c r="C10199" t="inlineStr">
        <is>
          <t>Phó Phòng Chính Sách Bán Hàng Bất Động Sản</t>
        </is>
      </c>
      <c r="D10199" t="inlineStr">
        <is>
          <t>Công Ty Cổ Phần Tập Đoàn BRG</t>
        </is>
      </c>
      <c r="E10199" t="inlineStr">
        <is>
          <t>Thương lượng</t>
        </is>
      </c>
      <c r="F10199" t="inlineStr">
        <is>
          <t>Hà Nội</t>
        </is>
      </c>
      <c r="G10199" t="inlineStr">
        <is>
          <t>Trưởng phòng</t>
        </is>
      </c>
      <c r="H10199" t="inlineStr">
        <is>
          <t>12/03/2026</t>
        </is>
      </c>
      <c r="I10199" t="inlineStr">
        <is>
          <t>11/04/2026</t>
        </is>
      </c>
      <c r="J10199" t="inlineStr">
        <is>
          <t>17/03/2026</t>
        </is>
      </c>
      <c r="K10199" t="inlineStr">
        <is>
          <t>N/A</t>
        </is>
      </c>
      <c r="L10199" t="inlineStr">
        <is>
          <t>Strategic Analysis, Real Estate Investment, Nghiên Cứu Thị Trường, Kinh Doanh Bất Động Sản</t>
        </is>
      </c>
      <c r="M10199" t="inlineStr">
        <is>
          <t>Bonus, Healthcare Plan, Travel Opportunities</t>
        </is>
      </c>
      <c r="N10199" s="8">
        <f>HYPERLINK("https://www.vietnamworks.com/pho-phong-chinh-sach-ban-hang-bat-dong-san--2022358-jv","Xem chi tiết")</f>
        <v/>
      </c>
    </row>
    <row r="10200">
      <c r="B10200" s="9" t="n">
        <v>10198</v>
      </c>
      <c r="C10200" s="10" t="inlineStr">
        <is>
          <t>Manager Shopee</t>
        </is>
      </c>
      <c r="D10200" s="10" t="inlineStr">
        <is>
          <t>CÔNG TY CỔ PHẦN SAKOS</t>
        </is>
      </c>
      <c r="E10200" s="10" t="inlineStr">
        <is>
          <t>$$ 1,000-2,000 /tháng</t>
        </is>
      </c>
      <c r="F10200" s="10" t="inlineStr">
        <is>
          <t>Hồ Chí Minh</t>
        </is>
      </c>
      <c r="G10200" s="10" t="inlineStr">
        <is>
          <t>Trưởng phòng</t>
        </is>
      </c>
      <c r="H10200" s="10" t="inlineStr">
        <is>
          <t>12/03/2026</t>
        </is>
      </c>
      <c r="I10200" s="10" t="inlineStr">
        <is>
          <t>11/04/2026</t>
        </is>
      </c>
      <c r="J10200" s="10" t="inlineStr">
        <is>
          <t>17/03/2026</t>
        </is>
      </c>
      <c r="K10200" s="10" t="inlineStr">
        <is>
          <t>N/A</t>
        </is>
      </c>
      <c r="L10200" s="10" t="inlineStr">
        <is>
          <t>Thành Thạo Excel/Google Sheet, Quản Lý Quảng Cáo Tiktok Ads, Quản lý quảng cáo Shopee Ads, Phân Tích Số Liệu</t>
        </is>
      </c>
      <c r="M10200" s="10" t="inlineStr">
        <is>
          <t>Bonus, Travel Opportunities, Others</t>
        </is>
      </c>
      <c r="N10200" s="11">
        <f>HYPERLINK("https://www.vietnamworks.com/manager-shopee-2022355-jv","Xem chi tiết")</f>
        <v/>
      </c>
      <c r="O10200" s="10" t="n"/>
    </row>
    <row r="10201">
      <c r="B10201" s="7" t="n">
        <v>10199</v>
      </c>
      <c r="C10201" t="inlineStr">
        <is>
          <t>Nhân Viên Kinh Doanh (Sinh Học Phân Tử/vi Sinh)</t>
        </is>
      </c>
      <c r="D10201" t="inlineStr">
        <is>
          <t>CÔNG TY CỔ PHẦN CÔNG NGHỆ BIOSCIENCES</t>
        </is>
      </c>
      <c r="E10201" t="inlineStr">
        <is>
          <t>15tr-25tr ₫/tháng</t>
        </is>
      </c>
      <c r="F10201" t="inlineStr">
        <is>
          <t>Hồ Chí Minh, Hà Nội</t>
        </is>
      </c>
      <c r="G10201" t="inlineStr">
        <is>
          <t>Nhân viên</t>
        </is>
      </c>
      <c r="H10201" t="inlineStr">
        <is>
          <t>12/03/2026</t>
        </is>
      </c>
      <c r="I10201" t="inlineStr">
        <is>
          <t>11/04/2026</t>
        </is>
      </c>
      <c r="J10201" t="inlineStr">
        <is>
          <t>17/03/2026</t>
        </is>
      </c>
      <c r="K10201" t="inlineStr">
        <is>
          <t>N/A</t>
        </is>
      </c>
      <c r="L10201" t="inlineStr">
        <is>
          <t>Công Nghệ Sinh Học, Bán Hàng, Kinh Doanh Hóa Chất, Chăm Sóc Khách Hàng, Kỹ Thuật Sinh Học</t>
        </is>
      </c>
      <c r="M10201" t="inlineStr">
        <is>
          <t>Bonus, Paid Leave, Training</t>
        </is>
      </c>
      <c r="N10201" s="8">
        <f>HYPERLINK("https://www.vietnamworks.com/nhan-vien-kinh-doanh-sinh-hoc-phan-tu-vi-sinh-2022347-jv","Xem chi tiết")</f>
        <v/>
      </c>
    </row>
    <row r="10202">
      <c r="B10202" s="9" t="n">
        <v>10200</v>
      </c>
      <c r="C10202" s="10" t="inlineStr">
        <is>
          <t>Regulatory Affairs Associate</t>
        </is>
      </c>
      <c r="D10202" s="10" t="inlineStr">
        <is>
          <t>Công Ty TNHH Kimberly-Clark Việt Nam</t>
        </is>
      </c>
      <c r="E10202" s="10" t="inlineStr">
        <is>
          <t>Thương lượng</t>
        </is>
      </c>
      <c r="F10202" s="10" t="inlineStr">
        <is>
          <t>Hồ Chí Minh</t>
        </is>
      </c>
      <c r="G10202" s="10" t="inlineStr">
        <is>
          <t>Nhân viên</t>
        </is>
      </c>
      <c r="H10202" s="10" t="inlineStr">
        <is>
          <t>12/03/2026</t>
        </is>
      </c>
      <c r="I10202" s="10" t="inlineStr">
        <is>
          <t>11/04/2026</t>
        </is>
      </c>
      <c r="J10202" s="10" t="inlineStr">
        <is>
          <t>17/03/2026</t>
        </is>
      </c>
      <c r="K10202" s="10" t="inlineStr">
        <is>
          <t>N/A</t>
        </is>
      </c>
      <c r="L10202" s="10" t="inlineStr">
        <is>
          <t>Regulatory Affairs and Compliance, Product Registration, Product Claims &amp; Resolution, DOH, TCVN</t>
        </is>
      </c>
      <c r="M10202" s="10" t="inlineStr">
        <is>
          <t>Bonus, Training, Transportation</t>
        </is>
      </c>
      <c r="N10202" s="11">
        <f>HYPERLINK("https://www.vietnamworks.com/regulatory-affairs-associate--2022351-jv","Xem chi tiết")</f>
        <v/>
      </c>
      <c r="O10202" s="10" t="n"/>
    </row>
    <row r="10203">
      <c r="B10203" s="7" t="n">
        <v>10201</v>
      </c>
      <c r="C10203" t="inlineStr">
        <is>
          <t>Nhân Viên Vận Hành Sản Xuất</t>
        </is>
      </c>
      <c r="D10203" t="inlineStr">
        <is>
          <t>Mondelēz Kinh Đô Việt Nam</t>
        </is>
      </c>
      <c r="E10203" t="inlineStr">
        <is>
          <t>Thương lượng</t>
        </is>
      </c>
      <c r="F10203" t="inlineStr">
        <is>
          <t>Hưng Yên</t>
        </is>
      </c>
      <c r="G10203" t="inlineStr">
        <is>
          <t>Nhân viên</t>
        </is>
      </c>
      <c r="H10203" t="inlineStr">
        <is>
          <t>12/03/2026</t>
        </is>
      </c>
      <c r="I10203" t="inlineStr">
        <is>
          <t>11/04/2026</t>
        </is>
      </c>
      <c r="J10203" t="inlineStr">
        <is>
          <t>17/03/2026</t>
        </is>
      </c>
      <c r="K10203" t="inlineStr">
        <is>
          <t>N/A</t>
        </is>
      </c>
      <c r="L10203" t="inlineStr">
        <is>
          <t>Giám Sát Sản Xuất, Kiểm Tra Chất Lượng, Vận Hành Nhà Máy, An Toàn Vệ Sinh Thực Phẩm, Vận Hành Sản Xuất</t>
        </is>
      </c>
      <c r="M10203" t="inlineStr">
        <is>
          <t>Bonus, Healthcare Plan, Paid Leave, Team Activities</t>
        </is>
      </c>
      <c r="N10203" s="8">
        <f>HYPERLINK("https://www.vietnamworks.com/nhan-vien-van-hanh-san-xuat-2022356-jv","Xem chi tiết")</f>
        <v/>
      </c>
    </row>
    <row r="10204">
      <c r="B10204" s="9" t="n">
        <v>10202</v>
      </c>
      <c r="C10204" s="10" t="inlineStr">
        <is>
          <t>Kỹ Sư Xây Dựng</t>
        </is>
      </c>
      <c r="D10204" s="10" t="inlineStr">
        <is>
          <t>Công Ty Cổ Phần BM Windows</t>
        </is>
      </c>
      <c r="E10204" s="10" t="inlineStr">
        <is>
          <t>Từ $ 700 /tháng</t>
        </is>
      </c>
      <c r="F10204" s="10" t="inlineStr">
        <is>
          <t>Hồ Chí Minh, Hà Nội, Đà Nẵng</t>
        </is>
      </c>
      <c r="G10204" s="10" t="inlineStr">
        <is>
          <t>Mới Tốt Nghiệp</t>
        </is>
      </c>
      <c r="H10204" s="10" t="inlineStr">
        <is>
          <t>12/03/2026</t>
        </is>
      </c>
      <c r="I10204" s="10" t="inlineStr">
        <is>
          <t>11/04/2026</t>
        </is>
      </c>
      <c r="J10204" s="10" t="inlineStr">
        <is>
          <t>17/03/2026</t>
        </is>
      </c>
      <c r="K10204" s="10" t="inlineStr">
        <is>
          <t>N/A</t>
        </is>
      </c>
      <c r="L10204" s="10" t="inlineStr">
        <is>
          <t>Civil Engineering, Kỹ Sư Xây Dựng, Giám Sát Thi Công, Kiểm Soát Khối Lượng, Lập Chi Phí Thi Công</t>
        </is>
      </c>
      <c r="M10204" s="10" t="inlineStr">
        <is>
          <t>Bonus, Healthcare Plan, Team Activities</t>
        </is>
      </c>
      <c r="N10204" s="11">
        <f>HYPERLINK("https://www.vietnamworks.com/ky-su-xay-dung--2022350-jv","Xem chi tiết")</f>
        <v/>
      </c>
      <c r="O10204" s="10" t="n"/>
    </row>
    <row r="10205">
      <c r="B10205" s="7" t="n">
        <v>10203</v>
      </c>
      <c r="C10205" t="inlineStr">
        <is>
          <t>Marketing Communications Manager</t>
        </is>
      </c>
      <c r="D10205" t="inlineStr">
        <is>
          <t>Công Ty Cổ Phần Tập Đoàn Gỗ Minh Long</t>
        </is>
      </c>
      <c r="E10205" t="inlineStr">
        <is>
          <t>$$ 1,500-2,500 /tháng</t>
        </is>
      </c>
      <c r="F10205" t="inlineStr">
        <is>
          <t>Hà Nội</t>
        </is>
      </c>
      <c r="G10205" t="inlineStr">
        <is>
          <t>Giám Đốc và Cấp Cao Hơn</t>
        </is>
      </c>
      <c r="H10205" t="inlineStr">
        <is>
          <t>12/03/2026</t>
        </is>
      </c>
      <c r="I10205" t="inlineStr">
        <is>
          <t>11/04/2026</t>
        </is>
      </c>
      <c r="J10205" t="inlineStr">
        <is>
          <t>17/03/2026</t>
        </is>
      </c>
      <c r="K10205" t="inlineStr">
        <is>
          <t>N/A</t>
        </is>
      </c>
      <c r="L10205" t="inlineStr">
        <is>
          <t>Phát Triển Thương Hiệu, Brand Communication Development, Marketing Strategy, Tiếp Thị Nội Dung, Truyền Thông Đối Ngoại</t>
        </is>
      </c>
      <c r="M10205" t="inlineStr">
        <is>
          <t>Bonus, Paid Leave, Training, Library, Laptop, Mobile, Team Activities</t>
        </is>
      </c>
      <c r="N10205" s="8">
        <f>HYPERLINK("https://www.vietnamworks.com/marketing-communications-manager-2022354-jv","Xem chi tiết")</f>
        <v/>
      </c>
    </row>
    <row r="10206">
      <c r="B10206" s="9" t="n">
        <v>10204</v>
      </c>
      <c r="C10206" s="10" t="inlineStr">
        <is>
          <t>Planning Officer - NPI &amp; Export</t>
        </is>
      </c>
      <c r="D10206" s="10" t="inlineStr">
        <is>
          <t>HEINEKEN Vietnam</t>
        </is>
      </c>
      <c r="E10206" s="10" t="inlineStr">
        <is>
          <t>Thương lượng</t>
        </is>
      </c>
      <c r="F10206" s="10" t="inlineStr">
        <is>
          <t>Hồ Chí Minh</t>
        </is>
      </c>
      <c r="G10206" s="10" t="inlineStr">
        <is>
          <t>Nhân viên</t>
        </is>
      </c>
      <c r="H10206" s="10" t="inlineStr">
        <is>
          <t>12/03/2026</t>
        </is>
      </c>
      <c r="I10206" s="10" t="inlineStr">
        <is>
          <t>11/04/2026</t>
        </is>
      </c>
      <c r="J10206" s="10" t="inlineStr">
        <is>
          <t>17/03/2026</t>
        </is>
      </c>
      <c r="K10206" s="10" t="inlineStr">
        <is>
          <t>N/A</t>
        </is>
      </c>
      <c r="L10206" s="10" t="inlineStr">
        <is>
          <t>Planning, Data Management, Supply Chain Management</t>
        </is>
      </c>
      <c r="M10206" s="10" t="inlineStr">
        <is>
          <t>Healthcare Plan, Paid Leave, Canteen</t>
        </is>
      </c>
      <c r="N10206" s="11">
        <f>HYPERLINK("https://www.vietnamworks.com/planning-officer-npi-export-2022336-jv","Xem chi tiết")</f>
        <v/>
      </c>
      <c r="O10206" s="10" t="n"/>
    </row>
    <row r="10207">
      <c r="B10207" s="7" t="n">
        <v>10205</v>
      </c>
      <c r="C10207" t="inlineStr">
        <is>
          <t>Welding Supervisor</t>
        </is>
      </c>
      <c r="D10207" t="inlineStr">
        <is>
          <t>Công ty TNHH Schoeller-Bleckmann Việt Nam</t>
        </is>
      </c>
      <c r="E10207" t="inlineStr">
        <is>
          <t>Thương lượng</t>
        </is>
      </c>
      <c r="F10207" t="inlineStr">
        <is>
          <t>Bình Dương, Hồ Chí Minh</t>
        </is>
      </c>
      <c r="G10207" t="inlineStr">
        <is>
          <t>Nhân viên</t>
        </is>
      </c>
      <c r="H10207" t="inlineStr">
        <is>
          <t>12/03/2026</t>
        </is>
      </c>
      <c r="I10207" t="inlineStr">
        <is>
          <t>11/04/2026</t>
        </is>
      </c>
      <c r="J10207" t="inlineStr">
        <is>
          <t>17/03/2026</t>
        </is>
      </c>
      <c r="K10207" t="inlineStr">
        <is>
          <t>N/A</t>
        </is>
      </c>
      <c r="L10207" t="inlineStr">
        <is>
          <t>Mechanical Engineering, Mechanical engineer, Welding, Welding Technique, Welding Technology</t>
        </is>
      </c>
      <c r="M10207" t="inlineStr">
        <is>
          <t>Bonus, Healthcare Plan, Paid Leave, Team Activities, Transportation, Others</t>
        </is>
      </c>
      <c r="N10207" s="8">
        <f>HYPERLINK("https://www.vietnamworks.com/welding-supervisor-2022343-jv","Xem chi tiết")</f>
        <v/>
      </c>
    </row>
    <row r="10208">
      <c r="B10208" s="9" t="n">
        <v>10206</v>
      </c>
      <c r="C10208" s="10" t="inlineStr">
        <is>
          <t>Accountant (Logistics)</t>
        </is>
      </c>
      <c r="D10208" s="10" t="inlineStr">
        <is>
          <t>Công ty TNHH Monter Global Logistics (Vietnam)</t>
        </is>
      </c>
      <c r="E10208" s="10" t="inlineStr">
        <is>
          <t>15tr-16tr ₫/tháng</t>
        </is>
      </c>
      <c r="F10208" s="10" t="inlineStr">
        <is>
          <t>Hồ Chí Minh</t>
        </is>
      </c>
      <c r="G10208" s="10" t="inlineStr">
        <is>
          <t>Nhân viên</t>
        </is>
      </c>
      <c r="H10208" s="10" t="inlineStr">
        <is>
          <t>12/03/2026</t>
        </is>
      </c>
      <c r="I10208" s="10" t="inlineStr">
        <is>
          <t>11/04/2026</t>
        </is>
      </c>
      <c r="J10208" s="10" t="inlineStr">
        <is>
          <t>17/03/2026</t>
        </is>
      </c>
      <c r="K10208" s="10" t="inlineStr">
        <is>
          <t>N/A</t>
        </is>
      </c>
      <c r="L10208" s="10" t="inlineStr">
        <is>
          <t>Financial Reporting, Logistics Costs, Tax Compliance, English Communication, Organizational skills</t>
        </is>
      </c>
      <c r="M10208" s="10" t="inlineStr">
        <is>
          <t>Bonus, Training, Others</t>
        </is>
      </c>
      <c r="N10208" s="11">
        <f>HYPERLINK("https://www.vietnamworks.com/accountant-logistics-2022339-jv","Xem chi tiết")</f>
        <v/>
      </c>
      <c r="O10208" s="10" t="n"/>
    </row>
    <row r="10209">
      <c r="B10209" s="7" t="n">
        <v>10207</v>
      </c>
      <c r="C10209" t="inlineStr">
        <is>
          <t>Customer Service Specialist</t>
        </is>
      </c>
      <c r="D10209" t="inlineStr">
        <is>
          <t>LG Electronics Vietnam Hai Phong - Sales &amp; Marketing Company</t>
        </is>
      </c>
      <c r="E10209" t="inlineStr">
        <is>
          <t>Thương lượng</t>
        </is>
      </c>
      <c r="F10209" t="inlineStr">
        <is>
          <t>Hồ Chí Minh</t>
        </is>
      </c>
      <c r="G10209" t="inlineStr">
        <is>
          <t>Nhân viên</t>
        </is>
      </c>
      <c r="H10209" t="inlineStr">
        <is>
          <t>12/03/2026</t>
        </is>
      </c>
      <c r="I10209" t="inlineStr">
        <is>
          <t>11/04/2026</t>
        </is>
      </c>
      <c r="J10209" t="inlineStr">
        <is>
          <t>17/03/2026</t>
        </is>
      </c>
      <c r="K10209" t="inlineStr">
        <is>
          <t>N/A</t>
        </is>
      </c>
      <c r="L10209" t="inlineStr">
        <is>
          <t>Dịch Vụ Khách Hàng, Customer Service, Customer Care, Bảo Hành, Service Operations</t>
        </is>
      </c>
      <c r="M10209" t="inlineStr">
        <is>
          <t>Healthcare Plan, Paid Leave, Canteen</t>
        </is>
      </c>
      <c r="N10209" s="8">
        <f>HYPERLINK("https://www.vietnamworks.com/customer-service-specialist--2022341-jv","Xem chi tiết")</f>
        <v/>
      </c>
    </row>
    <row r="10210">
      <c r="B10210" s="9" t="n">
        <v>10208</v>
      </c>
      <c r="C10210" s="10" t="inlineStr">
        <is>
          <t>English Educator</t>
        </is>
      </c>
      <c r="D10210" s="10" t="inlineStr">
        <is>
          <t>RMIT University Vietnam</t>
        </is>
      </c>
      <c r="E10210" s="10" t="inlineStr">
        <is>
          <t>Thương lượng</t>
        </is>
      </c>
      <c r="F10210" s="10" t="inlineStr">
        <is>
          <t>Hồ Chí Minh</t>
        </is>
      </c>
      <c r="G10210" s="10" t="inlineStr">
        <is>
          <t>Nhân viên</t>
        </is>
      </c>
      <c r="H10210" s="10" t="inlineStr">
        <is>
          <t>12/03/2026</t>
        </is>
      </c>
      <c r="I10210" s="10" t="inlineStr">
        <is>
          <t>11/04/2026</t>
        </is>
      </c>
      <c r="J10210" s="10" t="inlineStr">
        <is>
          <t>17/03/2026</t>
        </is>
      </c>
      <c r="K10210" s="10" t="inlineStr">
        <is>
          <t>N/A</t>
        </is>
      </c>
      <c r="L10210" s="10" t="inlineStr">
        <is>
          <t>Teaching Experience, CELTA Qualification, English Language Proficiency, English Training, Tesol Certificate</t>
        </is>
      </c>
      <c r="M10210" s="10" t="inlineStr">
        <is>
          <t>Bonus, Healthcare Plan, Training, Library, Transportation, Others</t>
        </is>
      </c>
      <c r="N10210" s="11">
        <f>HYPERLINK("https://www.vietnamworks.com/english-educator-2022344-jv","Xem chi tiết")</f>
        <v/>
      </c>
      <c r="O10210" s="10" t="n"/>
    </row>
    <row r="10211">
      <c r="B10211" s="7" t="n">
        <v>10209</v>
      </c>
      <c r="C10211" t="inlineStr">
        <is>
          <t>Marketing Manager</t>
        </is>
      </c>
      <c r="D10211" t="inlineStr">
        <is>
          <t>CÔNG TY TNHH BLOOMEDGE VIỆT NAM</t>
        </is>
      </c>
      <c r="E10211" t="inlineStr">
        <is>
          <t>30tr-50tr ₫/tháng</t>
        </is>
      </c>
      <c r="F10211" t="inlineStr">
        <is>
          <t>Hồ Chí Minh</t>
        </is>
      </c>
      <c r="G10211" t="inlineStr">
        <is>
          <t>Trưởng phòng</t>
        </is>
      </c>
      <c r="H10211" t="inlineStr">
        <is>
          <t>12/03/2026</t>
        </is>
      </c>
      <c r="I10211" t="inlineStr">
        <is>
          <t>11/04/2026</t>
        </is>
      </c>
      <c r="J10211" t="inlineStr">
        <is>
          <t>17/03/2026</t>
        </is>
      </c>
      <c r="K10211" t="inlineStr">
        <is>
          <t>N/A</t>
        </is>
      </c>
      <c r="L10211" t="inlineStr">
        <is>
          <t>Marketing, Digital Marketing, Marketing Campaign, Event Marketing, TikTok &amp; Event Marketing</t>
        </is>
      </c>
      <c r="M10211" t="inlineStr">
        <is>
          <t>Bonus, Paid Leave, Training</t>
        </is>
      </c>
      <c r="N10211" s="8">
        <f>HYPERLINK("https://www.vietnamworks.com/marketing-manager-2022345-jv","Xem chi tiết")</f>
        <v/>
      </c>
    </row>
    <row r="10212">
      <c r="B10212" s="9" t="n">
        <v>10210</v>
      </c>
      <c r="C10212" s="10" t="inlineStr">
        <is>
          <t>Kỹ Sư Điện/ Điện Tử Năng Lượng Tái Tạo &amp; Smarthome</t>
        </is>
      </c>
      <c r="D10212" s="10" t="inlineStr">
        <is>
          <t>CTY CỔ PHẦN NĂNG LƯỢNG XANH HPE SOLAR</t>
        </is>
      </c>
      <c r="E10212" s="10" t="inlineStr">
        <is>
          <t>$$ 600-900 /tháng</t>
        </is>
      </c>
      <c r="F10212" s="10" t="inlineStr">
        <is>
          <t>Hồ Chí Minh</t>
        </is>
      </c>
      <c r="G10212" s="10" t="inlineStr">
        <is>
          <t>Nhân viên</t>
        </is>
      </c>
      <c r="H10212" s="10" t="inlineStr">
        <is>
          <t>12/03/2026</t>
        </is>
      </c>
      <c r="I10212" s="10" t="inlineStr">
        <is>
          <t>11/04/2026</t>
        </is>
      </c>
      <c r="J10212" s="10" t="inlineStr">
        <is>
          <t>17/03/2026</t>
        </is>
      </c>
      <c r="K10212" s="10" t="inlineStr">
        <is>
          <t>N/A</t>
        </is>
      </c>
      <c r="L10212" s="10" t="inlineStr">
        <is>
          <t>AutoCAD, Sketchup, MEP, Thiết Kế Điện, Thi Công Điện Dân Dụng</t>
        </is>
      </c>
      <c r="M10212" s="10" t="inlineStr">
        <is>
          <t>Bonus, Paid Leave, Others</t>
        </is>
      </c>
      <c r="N10212" s="11">
        <f>HYPERLINK("https://www.vietnamworks.com/ky-su-dien-dien-tu-nang-luong-tai-tao-smarthome-2022353-jv","Xem chi tiết")</f>
        <v/>
      </c>
      <c r="O10212" s="10" t="n"/>
    </row>
    <row r="10213">
      <c r="B10213" s="7" t="n">
        <v>10211</v>
      </c>
      <c r="C10213" t="inlineStr">
        <is>
          <t>Accounting Assistant Section Leader / Trợ Lý Trưởng Bộ Phận Kế Toán - Work in Nui Thanh, Da Nang (Huyện Núi Thành, Tỉnh Quảng Nam Cũ)</t>
        </is>
      </c>
      <c r="D10213" t="inlineStr">
        <is>
          <t>Công Ty TNHH CCI Việt Nam</t>
        </is>
      </c>
      <c r="E10213" t="inlineStr">
        <is>
          <t>Thương lượng</t>
        </is>
      </c>
      <c r="F10213" t="inlineStr">
        <is>
          <t>Đà Nẵng</t>
        </is>
      </c>
      <c r="G10213" t="inlineStr">
        <is>
          <t>Nhân viên</t>
        </is>
      </c>
      <c r="H10213" t="inlineStr">
        <is>
          <t>12/03/2026</t>
        </is>
      </c>
      <c r="I10213" t="inlineStr">
        <is>
          <t>11/04/2026</t>
        </is>
      </c>
      <c r="J10213" t="inlineStr">
        <is>
          <t>17/03/2026</t>
        </is>
      </c>
      <c r="K10213" t="inlineStr">
        <is>
          <t>N/A</t>
        </is>
      </c>
      <c r="L10213" t="inlineStr">
        <is>
          <t>Financial Reporting, Audit Management, Internal Control, Accounting Standards, Tax Regulation</t>
        </is>
      </c>
      <c r="M10213" t="inlineStr">
        <is>
          <t>Bonus, Healthcare Plan, Paid Leave</t>
        </is>
      </c>
      <c r="N10213" s="8">
        <f>HYPERLINK("https://www.vietnamworks.com/accounting-assistant-section-leader-tro-ly-truong-bo-phan-ke-toan-work-in-nui-thanh-da-nang-huyen-nui-thanh-tinh-quang-nam-cu-2022362-jv","Xem chi tiết")</f>
        <v/>
      </c>
    </row>
    <row r="10214">
      <c r="B10214" s="9" t="n">
        <v>10212</v>
      </c>
      <c r="C10214" s="10" t="inlineStr">
        <is>
          <t>Nhân Viên Kinh Doanh - Sales Executive</t>
        </is>
      </c>
      <c r="D10214" s="10" t="inlineStr">
        <is>
          <t>CÔNG TY TNHH TRICO TRADING VN</t>
        </is>
      </c>
      <c r="E10214" s="10" t="inlineStr">
        <is>
          <t>13tr-16tr ₫/tháng</t>
        </is>
      </c>
      <c r="F10214" s="10" t="inlineStr">
        <is>
          <t>Hồ Chí Minh</t>
        </is>
      </c>
      <c r="G10214" s="10" t="inlineStr">
        <is>
          <t>Nhân viên</t>
        </is>
      </c>
      <c r="H10214" s="10" t="inlineStr">
        <is>
          <t>12/03/2026</t>
        </is>
      </c>
      <c r="I10214" s="10" t="inlineStr">
        <is>
          <t>11/04/2026</t>
        </is>
      </c>
      <c r="J10214" s="10" t="inlineStr">
        <is>
          <t>17/03/2026</t>
        </is>
      </c>
      <c r="K10214" s="10" t="inlineStr">
        <is>
          <t>N/A</t>
        </is>
      </c>
      <c r="L10214" s="10" t="inlineStr">
        <is>
          <t>English, Phát Triển Kinh Doanh, Sales Strategy, Kinh Doanh, Phát Triển Thị Trường</t>
        </is>
      </c>
      <c r="M10214" s="10" t="inlineStr">
        <is>
          <t>Bonus, Healthcare Plan, Paid Leave</t>
        </is>
      </c>
      <c r="N10214" s="11">
        <f>HYPERLINK("https://www.vietnamworks.com/nhan-vien-kinh-doanh-sales-executive--2022375-jv","Xem chi tiết")</f>
        <v/>
      </c>
      <c r="O10214" s="10" t="n"/>
    </row>
    <row r="10215">
      <c r="B10215" s="7" t="n">
        <v>10213</v>
      </c>
      <c r="C10215" t="inlineStr">
        <is>
          <t>Kiến Trúc Sư - Thu Nhập Hấp Dẫn Lên Tới 30Tr</t>
        </is>
      </c>
      <c r="D10215" t="inlineStr">
        <is>
          <t>Es Architecture &amp; Construction</t>
        </is>
      </c>
      <c r="E10215" t="inlineStr">
        <is>
          <t>Tới 30tr ₫/tháng</t>
        </is>
      </c>
      <c r="F10215" t="inlineStr">
        <is>
          <t>Hà Nội</t>
        </is>
      </c>
      <c r="G10215" t="inlineStr">
        <is>
          <t>Nhân viên</t>
        </is>
      </c>
      <c r="H10215" t="inlineStr">
        <is>
          <t>12/03/2026</t>
        </is>
      </c>
      <c r="I10215" t="inlineStr">
        <is>
          <t>11/04/2026</t>
        </is>
      </c>
      <c r="J10215" t="inlineStr">
        <is>
          <t>17/03/2026</t>
        </is>
      </c>
      <c r="K10215" t="inlineStr">
        <is>
          <t>N/A</t>
        </is>
      </c>
      <c r="L10215" t="inlineStr">
        <is>
          <t>AutoCAD, Thiết Kế Công Trình, Thiết Kế Kiến Trúc, Xây Dựng Dân Dụng, Thiết Kế Xây Dựng</t>
        </is>
      </c>
      <c r="M10215" t="inlineStr">
        <is>
          <t>Healthcare Plan, Awards, Travel Opportunities</t>
        </is>
      </c>
      <c r="N10215" s="8">
        <f>HYPERLINK("https://www.vietnamworks.com/kien-truc-su-thu-nhap-hap-dan-len-toi-30tr-2022374-jv","Xem chi tiết")</f>
        <v/>
      </c>
    </row>
    <row r="10216">
      <c r="B10216" s="9" t="n">
        <v>10214</v>
      </c>
      <c r="C10216" s="10" t="inlineStr">
        <is>
          <t>Trợ Lý Kỹ Thuật / Technical Assistant (Chưa Có Kinh Nghiệm Sẽ Được Đào Tạo)</t>
        </is>
      </c>
      <c r="D10216" s="10" t="inlineStr">
        <is>
          <t>Vina-Sanwa Company Liability Limited</t>
        </is>
      </c>
      <c r="E10216" s="10" t="inlineStr">
        <is>
          <t>$$ 400-500 /tháng</t>
        </is>
      </c>
      <c r="F10216" s="10" t="inlineStr">
        <is>
          <t>Hà Nội</t>
        </is>
      </c>
      <c r="G10216" s="10" t="inlineStr">
        <is>
          <t>Nhân viên</t>
        </is>
      </c>
      <c r="H10216" s="10" t="inlineStr">
        <is>
          <t>12/03/2026</t>
        </is>
      </c>
      <c r="I10216" s="10" t="inlineStr">
        <is>
          <t>11/04/2026</t>
        </is>
      </c>
      <c r="J10216" s="10" t="inlineStr">
        <is>
          <t>17/03/2026</t>
        </is>
      </c>
      <c r="K10216" s="10" t="inlineStr">
        <is>
          <t>N/A</t>
        </is>
      </c>
      <c r="L10216" s="10" t="inlineStr">
        <is>
          <t>Trợ Lý, Technical Administration, Technical, Administrative, Kế Toán</t>
        </is>
      </c>
      <c r="M10216" s="10" t="inlineStr">
        <is>
          <t>Bonus, Healthcare Plan, Transportation</t>
        </is>
      </c>
      <c r="N10216" s="11">
        <f>HYPERLINK("https://www.vietnamworks.com/tro-ly-ky-thuat-technical-assistant-chua-co-kinh-nghiem-se-duoc-dao-tao-2022376-jv","Xem chi tiết")</f>
        <v/>
      </c>
      <c r="O10216" s="10" t="n"/>
    </row>
    <row r="10217">
      <c r="B10217" s="7" t="n">
        <v>10215</v>
      </c>
      <c r="C10217" t="inlineStr">
        <is>
          <t>Accounts Receivable (AR) Accountant</t>
        </is>
      </c>
      <c r="D10217" t="inlineStr">
        <is>
          <t>CÔNG TY TNHH LECTRA VIỆT NAM</t>
        </is>
      </c>
      <c r="E10217" t="inlineStr">
        <is>
          <t>18tr-23tr ₫/tháng</t>
        </is>
      </c>
      <c r="F10217" t="inlineStr">
        <is>
          <t>Hồ Chí Minh</t>
        </is>
      </c>
      <c r="G10217" t="inlineStr">
        <is>
          <t>Nhân viên</t>
        </is>
      </c>
      <c r="H10217" t="inlineStr">
        <is>
          <t>12/03/2026</t>
        </is>
      </c>
      <c r="I10217" t="inlineStr">
        <is>
          <t>11/04/2026</t>
        </is>
      </c>
      <c r="J10217" t="inlineStr">
        <is>
          <t>17/03/2026</t>
        </is>
      </c>
      <c r="K10217" t="inlineStr">
        <is>
          <t>N/A</t>
        </is>
      </c>
      <c r="L10217" t="inlineStr">
        <is>
          <t>Cash Management, Credit Management, Data Entry, Inventory Management, Reporting</t>
        </is>
      </c>
      <c r="M10217" t="inlineStr">
        <is>
          <t>Bonus, Healthcare Plan, Paid Leave, Others</t>
        </is>
      </c>
      <c r="N10217" s="8">
        <f>HYPERLINK("https://www.vietnamworks.com/accounts-receivable-ar-accountant-2022378-jv","Xem chi tiết")</f>
        <v/>
      </c>
    </row>
    <row r="10218">
      <c r="B10218" s="9" t="n">
        <v>10216</v>
      </c>
      <c r="C10218" s="10" t="inlineStr">
        <is>
          <t>Nhân Viên Tiếng Hàn (Tốt Nghiệp Cao Đẳng/ Đại Học)</t>
        </is>
      </c>
      <c r="D10218" s="10" t="inlineStr">
        <is>
          <t>Công Ty TNHH LG Display Việt Nam Hải Phòng</t>
        </is>
      </c>
      <c r="E10218" s="10" t="inlineStr">
        <is>
          <t>Thương lượng</t>
        </is>
      </c>
      <c r="F10218" s="10" t="inlineStr">
        <is>
          <t>Hải Phòng</t>
        </is>
      </c>
      <c r="G10218" s="10" t="inlineStr">
        <is>
          <t>Nhân viên</t>
        </is>
      </c>
      <c r="H10218" s="10" t="inlineStr">
        <is>
          <t>12/03/2026</t>
        </is>
      </c>
      <c r="I10218" s="10" t="inlineStr">
        <is>
          <t>11/04/2026</t>
        </is>
      </c>
      <c r="J10218" s="10" t="inlineStr">
        <is>
          <t>17/03/2026</t>
        </is>
      </c>
      <c r="K10218" s="10" t="inlineStr">
        <is>
          <t>N/A</t>
        </is>
      </c>
      <c r="L10218" s="10" t="inlineStr">
        <is>
          <t>Phiên Dịch Kỹ Thuật, Biên Phiên Dịch Tiếng Hàn, Korean Topik 4, Korean Interpretation, Biên Dịch Tiếng Hàn</t>
        </is>
      </c>
      <c r="M10218" s="10" t="inlineStr">
        <is>
          <t>Bonus, Transportation, Others</t>
        </is>
      </c>
      <c r="N10218" s="11">
        <f>HYPERLINK("https://www.vietnamworks.com/nhan-vien-tieng-han-tot-nghiep-cao-dang-dai-hoc-2022384-jv","Xem chi tiết")</f>
        <v/>
      </c>
      <c r="O10218" s="10" t="n"/>
    </row>
    <row r="10219">
      <c r="B10219" s="7" t="n">
        <v>10217</v>
      </c>
      <c r="C10219" t="inlineStr">
        <is>
          <t>Graphic Designer (Đi Làm Ngay)</t>
        </is>
      </c>
      <c r="D10219" t="inlineStr">
        <is>
          <t>CÔNG TY TNHH AU SUNSHINE</t>
        </is>
      </c>
      <c r="E10219" t="inlineStr">
        <is>
          <t>Thương lượng</t>
        </is>
      </c>
      <c r="F10219" t="inlineStr">
        <is>
          <t>Hồ Chí Minh</t>
        </is>
      </c>
      <c r="G10219" t="inlineStr">
        <is>
          <t>Nhân viên</t>
        </is>
      </c>
      <c r="H10219" t="inlineStr">
        <is>
          <t>12/03/2026</t>
        </is>
      </c>
      <c r="I10219" t="inlineStr">
        <is>
          <t>11/04/2026</t>
        </is>
      </c>
      <c r="J10219" t="inlineStr">
        <is>
          <t>17/03/2026</t>
        </is>
      </c>
      <c r="K10219" t="inlineStr">
        <is>
          <t>N/A</t>
        </is>
      </c>
      <c r="L10219" t="inlineStr">
        <is>
          <t>Adobe Creative Suite, Chỉnh Sửa Hình Ảnh, Thiết Kế Layout, Thiết Kế Sự Kiện, Thiết Kế Thương Hiệu</t>
        </is>
      </c>
      <c r="M10219" t="inlineStr">
        <is>
          <t>Bonus, Healthcare Plan, Training, Awards, Others</t>
        </is>
      </c>
      <c r="N10219" s="8">
        <f>HYPERLINK("https://www.vietnamworks.com/graphic-designer-dji-lam-ngay-2022383-jv","Xem chi tiết")</f>
        <v/>
      </c>
    </row>
    <row r="10220">
      <c r="B10220" s="9" t="n">
        <v>10218</v>
      </c>
      <c r="C10220" s="10" t="inlineStr">
        <is>
          <t>Nhân Viên Điều Phối Lịch Học Scheduling Executive_Đà Nẵng, Hội An</t>
        </is>
      </c>
      <c r="D10220" s="10" t="inlineStr">
        <is>
          <t>ILA Vietnam</t>
        </is>
      </c>
      <c r="E10220" s="10" t="inlineStr">
        <is>
          <t>Thương lượng</t>
        </is>
      </c>
      <c r="F10220" s="10" t="inlineStr">
        <is>
          <t>Đà Nẵng</t>
        </is>
      </c>
      <c r="G10220" s="10" t="inlineStr">
        <is>
          <t>Nhân viên</t>
        </is>
      </c>
      <c r="H10220" s="10" t="inlineStr">
        <is>
          <t>12/03/2026</t>
        </is>
      </c>
      <c r="I10220" s="10" t="inlineStr">
        <is>
          <t>11/04/2026</t>
        </is>
      </c>
      <c r="J10220" s="10" t="inlineStr">
        <is>
          <t>17/03/2026</t>
        </is>
      </c>
      <c r="K10220" s="10" t="inlineStr">
        <is>
          <t>N/A</t>
        </is>
      </c>
      <c r="L10220" s="10" t="inlineStr">
        <is>
          <t>Hành Chính, Điều Phối, English, Administration</t>
        </is>
      </c>
      <c r="M10220" s="10" t="inlineStr">
        <is>
          <t>Bonus, Paid Leave, Training</t>
        </is>
      </c>
      <c r="N10220" s="11">
        <f>HYPERLINK("https://www.vietnamworks.com/nhan-vien-dieu-phoi-lich-hoc-scheduling-executive-da-nang-hoi-an-2022379-jv","Xem chi tiết")</f>
        <v/>
      </c>
      <c r="O10220" s="10" t="n"/>
    </row>
    <row r="10221">
      <c r="B10221" s="7" t="n">
        <v>10219</v>
      </c>
      <c r="C10221" t="inlineStr">
        <is>
          <t>General Accountant</t>
        </is>
      </c>
      <c r="D10221" t="inlineStr">
        <is>
          <t>CÔNG TY TNHH YOKOGAWA VOTIVA SOLUTIONS</t>
        </is>
      </c>
      <c r="E10221" t="inlineStr">
        <is>
          <t>Thương lượng</t>
        </is>
      </c>
      <c r="F10221" t="inlineStr">
        <is>
          <t>Hồ Chí Minh</t>
        </is>
      </c>
      <c r="G10221" t="inlineStr">
        <is>
          <t>Nhân viên</t>
        </is>
      </c>
      <c r="H10221" t="inlineStr">
        <is>
          <t>12/03/2026</t>
        </is>
      </c>
      <c r="I10221" t="inlineStr">
        <is>
          <t>11/04/2026</t>
        </is>
      </c>
      <c r="J10221" t="inlineStr">
        <is>
          <t>17/03/2026</t>
        </is>
      </c>
      <c r="K10221" t="inlineStr">
        <is>
          <t>N/A</t>
        </is>
      </c>
      <c r="L10221" t="inlineStr">
        <is>
          <t>General Accounting Principals, Financial Reporting, Accounting Software, Communication Skills, Problem-solving</t>
        </is>
      </c>
      <c r="M10221" t="inlineStr">
        <is>
          <t>Bonus, Healthcare Plan, Paid Leave, Travel Opportunities, Team Activities, Others</t>
        </is>
      </c>
      <c r="N10221" s="8">
        <f>HYPERLINK("https://www.vietnamworks.com/general-accountant--2022370-jv","Xem chi tiết")</f>
        <v/>
      </c>
    </row>
    <row r="10222">
      <c r="B10222" s="9" t="n">
        <v>10220</v>
      </c>
      <c r="C10222" s="10" t="inlineStr">
        <is>
          <t>Tuyển Gấp Trưởng Ban Kiểm Soát Nội Bộ (Thu Nhập Up to 80Tr)</t>
        </is>
      </c>
      <c r="D10222" s="10" t="inlineStr">
        <is>
          <t>Công Ty Cổ Phần Công Nghệ Cao Lioa</t>
        </is>
      </c>
      <c r="E10222" s="10" t="inlineStr">
        <is>
          <t>60tr-80tr ₫/tháng</t>
        </is>
      </c>
      <c r="F10222" s="10" t="inlineStr">
        <is>
          <t>Hà Nội</t>
        </is>
      </c>
      <c r="G10222" s="10" t="inlineStr">
        <is>
          <t>Trưởng phòng</t>
        </is>
      </c>
      <c r="H10222" s="10" t="inlineStr">
        <is>
          <t>12/03/2026</t>
        </is>
      </c>
      <c r="I10222" s="10" t="inlineStr">
        <is>
          <t>11/04/2026</t>
        </is>
      </c>
      <c r="J10222" s="10" t="inlineStr">
        <is>
          <t>17/03/2026</t>
        </is>
      </c>
      <c r="K10222" s="10" t="inlineStr">
        <is>
          <t>N/A</t>
        </is>
      </c>
      <c r="L10222" s="10" t="inlineStr">
        <is>
          <t>Kỹ Thuật Điện, Điện Công Nghiệp, Tự Động Hóa, Quản lý chất lượng, Phân Tích Hệ Thống</t>
        </is>
      </c>
      <c r="M10222" s="10" t="inlineStr">
        <is>
          <t>Bonus, Others</t>
        </is>
      </c>
      <c r="N10222" s="11">
        <f>HYPERLINK("https://www.vietnamworks.com/tuyen-gap-truong-ban-kiem-soat-noi-bo-thu-nhap-up-to-80tr-2022349-jv","Xem chi tiết")</f>
        <v/>
      </c>
      <c r="O10222" s="10" t="n"/>
    </row>
    <row r="10223">
      <c r="B10223" s="7" t="n">
        <v>10221</v>
      </c>
      <c r="C10223" t="inlineStr">
        <is>
          <t>Nhân Viên Lái Xe Cho Lãnh Đạo</t>
        </is>
      </c>
      <c r="D10223" t="inlineStr">
        <is>
          <t>CÔNG TY CỔ PHẦN ĐẦU TƯ THÀNH NAM - INVEST</t>
        </is>
      </c>
      <c r="E10223" t="inlineStr">
        <is>
          <t>12tr-20tr ₫/tháng</t>
        </is>
      </c>
      <c r="F10223" t="inlineStr">
        <is>
          <t>Hà Nội</t>
        </is>
      </c>
      <c r="G10223" t="inlineStr">
        <is>
          <t>Nhân viên</t>
        </is>
      </c>
      <c r="H10223" t="inlineStr">
        <is>
          <t>12/03/2026</t>
        </is>
      </c>
      <c r="I10223" t="inlineStr">
        <is>
          <t>11/04/2026</t>
        </is>
      </c>
      <c r="J10223" t="inlineStr">
        <is>
          <t>17/03/2026</t>
        </is>
      </c>
      <c r="K10223" t="inlineStr">
        <is>
          <t>N/A</t>
        </is>
      </c>
      <c r="L10223" t="inlineStr">
        <is>
          <t>Bằng Lái Xe B2, Dạy Lái Xe, Am Hiểu Luật Giao Thông, Xử Lý Tình Huống, trách nhiệm cao</t>
        </is>
      </c>
      <c r="M10223" t="inlineStr">
        <is>
          <t>Bonus, Healthcare Plan, Paid Leave, Training, Awards, Others</t>
        </is>
      </c>
      <c r="N10223" s="8">
        <f>HYPERLINK("https://www.vietnamworks.com/nhan-vien-lai-xe-cho-lanh-djao-2022385-jv","Xem chi tiết")</f>
        <v/>
      </c>
    </row>
    <row r="10224">
      <c r="B10224" s="9" t="n">
        <v>10222</v>
      </c>
      <c r="C10224" s="10" t="inlineStr">
        <is>
          <t>Nhân Viên Kế Toán</t>
        </is>
      </c>
      <c r="D10224" s="10" t="inlineStr">
        <is>
          <t>Công Ty Cổ Phần Đầu Tư Xây Dựng Newtecons</t>
        </is>
      </c>
      <c r="E10224" s="10" t="inlineStr">
        <is>
          <t>Thương lượng</t>
        </is>
      </c>
      <c r="F10224" s="10" t="inlineStr">
        <is>
          <t>Hồ Chí Minh</t>
        </is>
      </c>
      <c r="G10224" s="10" t="inlineStr">
        <is>
          <t>Nhân viên</t>
        </is>
      </c>
      <c r="H10224" s="10" t="inlineStr">
        <is>
          <t>12/03/2026</t>
        </is>
      </c>
      <c r="I10224" s="10" t="inlineStr">
        <is>
          <t>11/04/2026</t>
        </is>
      </c>
      <c r="J10224" s="10" t="inlineStr">
        <is>
          <t>17/03/2026</t>
        </is>
      </c>
      <c r="K10224" s="10" t="inlineStr">
        <is>
          <t>N/A</t>
        </is>
      </c>
      <c r="L10224" s="10" t="inlineStr">
        <is>
          <t>Báo Cáo Công Nợ, Báo Cáo Thu Chi, Hạch Toán, Lưu Trữ Hồ Sơ Kế Toán, Tài Chính Doanh Nghiệp</t>
        </is>
      </c>
      <c r="M10224" s="10" t="inlineStr">
        <is>
          <t>Bonus, Healthcare Plan, Training, Others</t>
        </is>
      </c>
      <c r="N10224" s="11">
        <f>HYPERLINK("https://www.vietnamworks.com/nhan-vien-ke-toan-2022380-jv","Xem chi tiết")</f>
        <v/>
      </c>
      <c r="O10224" s="10" t="n"/>
    </row>
    <row r="10225">
      <c r="B10225" s="7" t="n">
        <v>10223</v>
      </c>
      <c r="C10225" t="inlineStr">
        <is>
          <t>Nhân Viên Sales</t>
        </is>
      </c>
      <c r="D10225" t="inlineStr">
        <is>
          <t>CÔNG TY TNHH THƯƠNG MẠI DỊCH VỤ XUẤT NHẬP KHẨU HDF</t>
        </is>
      </c>
      <c r="E10225" t="inlineStr">
        <is>
          <t>8tr-30tr ₫/tháng</t>
        </is>
      </c>
      <c r="F10225" t="inlineStr">
        <is>
          <t>Hồ Chí Minh</t>
        </is>
      </c>
      <c r="G10225" t="inlineStr">
        <is>
          <t>Nhân viên</t>
        </is>
      </c>
      <c r="H10225" t="inlineStr">
        <is>
          <t>12/03/2026</t>
        </is>
      </c>
      <c r="I10225" t="inlineStr">
        <is>
          <t>11/04/2026</t>
        </is>
      </c>
      <c r="J10225" t="inlineStr">
        <is>
          <t>17/03/2026</t>
        </is>
      </c>
      <c r="K10225" t="inlineStr">
        <is>
          <t>N/A</t>
        </is>
      </c>
      <c r="L10225" t="inlineStr">
        <is>
          <t>Business Development, Bán Hàng, Kinh Doanh, Logistics, Theo Dõi Công Nợ</t>
        </is>
      </c>
      <c r="M10225" t="inlineStr">
        <is>
          <t>Bonus, Healthcare Plan, Training, Team Activities, Others</t>
        </is>
      </c>
      <c r="N10225" s="8">
        <f>HYPERLINK("https://www.vietnamworks.com/nhan-vien-sales-2022388-jv","Xem chi tiết")</f>
        <v/>
      </c>
    </row>
    <row r="10226">
      <c r="B10226" s="9" t="n">
        <v>10224</v>
      </c>
      <c r="C10226" s="10" t="inlineStr">
        <is>
          <t>Giám Sát Sản Xuất (Bộ Phận Dập Nguội/ Cán Ren)</t>
        </is>
      </c>
      <c r="D10226" s="10" t="inlineStr">
        <is>
          <t>Bremick Việt Nam</t>
        </is>
      </c>
      <c r="E10226" s="10" t="inlineStr">
        <is>
          <t>Thương lượng</t>
        </is>
      </c>
      <c r="F10226" s="10" t="inlineStr">
        <is>
          <t>Bình Dương</t>
        </is>
      </c>
      <c r="G10226" s="10" t="inlineStr">
        <is>
          <t>Trưởng phòng</t>
        </is>
      </c>
      <c r="H10226" s="10" t="inlineStr">
        <is>
          <t>12/03/2026</t>
        </is>
      </c>
      <c r="I10226" s="10" t="inlineStr">
        <is>
          <t>11/04/2026</t>
        </is>
      </c>
      <c r="J10226" s="10" t="inlineStr">
        <is>
          <t>17/03/2026</t>
        </is>
      </c>
      <c r="K10226" s="10" t="inlineStr">
        <is>
          <t>N/A</t>
        </is>
      </c>
      <c r="L10226" s="10" t="inlineStr">
        <is>
          <t>Cơ Khí, Kiểm Soát Chất Lượng, Giám Sát Sản Xuất, ISO 9001, Lãnh Đạo</t>
        </is>
      </c>
      <c r="M10226" s="10" t="inlineStr">
        <is>
          <t>Paid Leave, Training, Transportation</t>
        </is>
      </c>
      <c r="N10226" s="11">
        <f>HYPERLINK("https://www.vietnamworks.com/giam-sat-san-xuat-bo-phan-dap-nguoi-can-ren-2022382-jv","Xem chi tiết")</f>
        <v/>
      </c>
      <c r="O10226" s="10" t="n"/>
    </row>
    <row r="10227">
      <c r="B10227" s="7" t="n">
        <v>10225</v>
      </c>
      <c r="C10227" t="inlineStr">
        <is>
          <t>Business Development Lead (IT Outsourcing, Fluent in English)</t>
        </is>
      </c>
      <c r="D10227" t="inlineStr">
        <is>
          <t>ITECHWX COMPANY LIMITED</t>
        </is>
      </c>
      <c r="E10227" t="inlineStr">
        <is>
          <t>Thương lượng</t>
        </is>
      </c>
      <c r="F10227" t="inlineStr">
        <is>
          <t>Hồ Chí Minh</t>
        </is>
      </c>
      <c r="G10227" t="inlineStr">
        <is>
          <t>Trưởng phòng</t>
        </is>
      </c>
      <c r="H10227" t="inlineStr">
        <is>
          <t>12/03/2026</t>
        </is>
      </c>
      <c r="I10227" t="inlineStr">
        <is>
          <t>11/04/2026</t>
        </is>
      </c>
      <c r="J10227" t="inlineStr">
        <is>
          <t>17/03/2026</t>
        </is>
      </c>
      <c r="K10227" t="inlineStr">
        <is>
          <t>N/A</t>
        </is>
      </c>
      <c r="L10227" t="inlineStr">
        <is>
          <t>Business Development, Client Relation, Market Forecast, Sales Planning, Strategic Analysis</t>
        </is>
      </c>
      <c r="M10227" t="inlineStr">
        <is>
          <t>Healthcare Plan, Paid Leave, Laptop, Team Activities, Others</t>
        </is>
      </c>
      <c r="N10227" s="8">
        <f>HYPERLINK("https://www.vietnamworks.com/business-development-lead-it-outsourcing-fluent-in-english-2022387-jv","Xem chi tiết")</f>
        <v/>
      </c>
    </row>
    <row r="10228">
      <c r="B10228" s="9" t="n">
        <v>10226</v>
      </c>
      <c r="C10228" s="10" t="inlineStr">
        <is>
          <t>Nhân Viên Thiết Kế Cơ Khí (Tủ Bảng Điện)</t>
        </is>
      </c>
      <c r="D10228" s="10" t="inlineStr">
        <is>
          <t>Công ty cổ phần kỹ thuật công nghiệp Á Châu</t>
        </is>
      </c>
      <c r="E10228" s="10" t="inlineStr">
        <is>
          <t>Thương lượng</t>
        </is>
      </c>
      <c r="F10228" s="10" t="inlineStr">
        <is>
          <t>Hà Nội</t>
        </is>
      </c>
      <c r="G10228" s="10" t="inlineStr">
        <is>
          <t>Mới Tốt Nghiệp</t>
        </is>
      </c>
      <c r="H10228" s="10" t="inlineStr">
        <is>
          <t>12/03/2026</t>
        </is>
      </c>
      <c r="I10228" s="10" t="inlineStr">
        <is>
          <t>11/04/2026</t>
        </is>
      </c>
      <c r="J10228" s="10" t="inlineStr">
        <is>
          <t>17/03/2026</t>
        </is>
      </c>
      <c r="K10228" s="10" t="inlineStr">
        <is>
          <t>N/A</t>
        </is>
      </c>
      <c r="L10228" s="10" t="inlineStr">
        <is>
          <t>Thiết Kế CAD 3D, SolidWorks, Inventor, Mastercam, Thiết Kế Cơ Khí</t>
        </is>
      </c>
      <c r="M10228" s="10" t="inlineStr">
        <is>
          <t>Bonus, Healthcare Plan, Training, Travel Opportunities, Others</t>
        </is>
      </c>
      <c r="N10228" s="11">
        <f>HYPERLINK("https://www.vietnamworks.com/nhan-vien-thiet-ke-co-khi-tu-bang-dien--2022386-jv","Xem chi tiết")</f>
        <v/>
      </c>
      <c r="O10228" s="10" t="n"/>
    </row>
    <row r="10229">
      <c r="B10229" s="7" t="n">
        <v>10227</v>
      </c>
      <c r="C10229" t="inlineStr">
        <is>
          <t>Senior Quality Controller</t>
        </is>
      </c>
      <c r="D10229" t="inlineStr">
        <is>
          <t>Source Of Asia</t>
        </is>
      </c>
      <c r="E10229" t="inlineStr">
        <is>
          <t>Thương lượng</t>
        </is>
      </c>
      <c r="F10229" t="inlineStr">
        <is>
          <t>Hồ Chí Minh</t>
        </is>
      </c>
      <c r="G10229" t="inlineStr">
        <is>
          <t>Nhân viên</t>
        </is>
      </c>
      <c r="H10229" t="inlineStr">
        <is>
          <t>12/03/2026</t>
        </is>
      </c>
      <c r="I10229" t="inlineStr">
        <is>
          <t>11/04/2026</t>
        </is>
      </c>
      <c r="J10229" t="inlineStr">
        <is>
          <t>17/03/2026</t>
        </is>
      </c>
      <c r="K10229" t="inlineStr">
        <is>
          <t>N/A</t>
        </is>
      </c>
      <c r="L10229" t="inlineStr">
        <is>
          <t>Communication Skills, Furniture, Quality Assurance, Quality Control, Sourcing</t>
        </is>
      </c>
      <c r="M10229" t="inlineStr">
        <is>
          <t>Others</t>
        </is>
      </c>
      <c r="N10229" s="8">
        <f>HYPERLINK("https://www.vietnamworks.com/senior-quality-controller-2022389-jv","Xem chi tiết")</f>
        <v/>
      </c>
    </row>
    <row r="10230">
      <c r="B10230" s="9" t="n">
        <v>10228</v>
      </c>
      <c r="C10230" s="10" t="inlineStr">
        <is>
          <t>PM Engineer ( Quản lý dự án Cơ khí)</t>
        </is>
      </c>
      <c r="D10230" s="10" t="inlineStr">
        <is>
          <t>CÔNG TY TNHH S.I E&amp;C VIỆT NAM</t>
        </is>
      </c>
      <c r="E10230" s="10" t="inlineStr">
        <is>
          <t>18tr-30tr ₫/tháng</t>
        </is>
      </c>
      <c r="F10230" s="10" t="inlineStr">
        <is>
          <t>Đồng Nai</t>
        </is>
      </c>
      <c r="G10230" s="10" t="inlineStr">
        <is>
          <t>Nhân viên</t>
        </is>
      </c>
      <c r="H10230" s="10" t="inlineStr">
        <is>
          <t>12/03/2026</t>
        </is>
      </c>
      <c r="I10230" s="10" t="inlineStr">
        <is>
          <t>11/04/2026</t>
        </is>
      </c>
      <c r="J10230" s="10" t="inlineStr">
        <is>
          <t>17/03/2026</t>
        </is>
      </c>
      <c r="K10230" s="10" t="inlineStr">
        <is>
          <t>N/A</t>
        </is>
      </c>
      <c r="L10230" s="10" t="inlineStr">
        <is>
          <t>Dự Toán, Lập Tiến Độ Dự Án, Quản Lý Dự Án</t>
        </is>
      </c>
      <c r="M10230" s="10" t="inlineStr">
        <is>
          <t>Bonus, Paid Leave, Transportation</t>
        </is>
      </c>
      <c r="N10230" s="11">
        <f>HYPERLINK("https://www.vietnamworks.com/pm-engineer-quan-ly-du-an-co-khi-2022390-jv","Xem chi tiết")</f>
        <v/>
      </c>
      <c r="O10230" s="10" t="n"/>
    </row>
    <row r="10231">
      <c r="B10231" s="7" t="n">
        <v>10229</v>
      </c>
      <c r="C10231" t="inlineStr">
        <is>
          <t>Nhân Viên Hỗ Trợ Giao Nhận (Operations Support Agent, PUD) - Nội Bài/ HCM</t>
        </is>
      </c>
      <c r="D10231" t="inlineStr">
        <is>
          <t>FedEx Express Vietnam Co., Ltd.</t>
        </is>
      </c>
      <c r="E10231" t="inlineStr">
        <is>
          <t>Thương lượng</t>
        </is>
      </c>
      <c r="F10231" t="inlineStr">
        <is>
          <t>Hà Nội, Hồ Chí Minh</t>
        </is>
      </c>
      <c r="G10231" t="inlineStr">
        <is>
          <t>Nhân viên</t>
        </is>
      </c>
      <c r="H10231" t="inlineStr">
        <is>
          <t>12/03/2026</t>
        </is>
      </c>
      <c r="I10231" t="inlineStr">
        <is>
          <t>11/04/2026</t>
        </is>
      </c>
      <c r="J10231" t="inlineStr">
        <is>
          <t>17/03/2026</t>
        </is>
      </c>
      <c r="K10231" t="inlineStr">
        <is>
          <t>N/A</t>
        </is>
      </c>
      <c r="L10231" t="inlineStr">
        <is>
          <t>Giao Nhận Hàng Hóa, Theo Dõi Tồn Kho, Xuất Nhập Khẩu Hàng Hóa, Điều Phối Hàng Hoá, Điều Phối Vận Tải</t>
        </is>
      </c>
      <c r="M10231" t="inlineStr">
        <is>
          <t>Bonus, Healthcare Plan, Training, Awards, Vouchers, Others</t>
        </is>
      </c>
      <c r="N10231" s="8">
        <f>HYPERLINK("https://www.vietnamworks.com/nhan-vien-ho-tro-giao-nhan-operations-support-agent-pud-noi-bai-hcm-2022392-jv","Xem chi tiết")</f>
        <v/>
      </c>
    </row>
    <row r="10232">
      <c r="B10232" s="9" t="n">
        <v>10230</v>
      </c>
      <c r="C10232" s="10" t="inlineStr">
        <is>
          <t>Nhân Viên Hỗ Trợ Khai Thác (Operations Support Agent, Sorting) - Nội Bài/ HCM</t>
        </is>
      </c>
      <c r="D10232" s="10" t="inlineStr">
        <is>
          <t>FedEx Express Vietnam Co., Ltd.</t>
        </is>
      </c>
      <c r="E10232" s="10" t="inlineStr">
        <is>
          <t>Thương lượng</t>
        </is>
      </c>
      <c r="F10232" s="10" t="inlineStr">
        <is>
          <t>Hà Nội, Hồ Chí Minh</t>
        </is>
      </c>
      <c r="G10232" s="10" t="inlineStr">
        <is>
          <t>Nhân viên</t>
        </is>
      </c>
      <c r="H10232" s="10" t="inlineStr">
        <is>
          <t>12/03/2026</t>
        </is>
      </c>
      <c r="I10232" s="10" t="inlineStr">
        <is>
          <t>11/04/2026</t>
        </is>
      </c>
      <c r="J10232" s="10" t="inlineStr">
        <is>
          <t>17/03/2026</t>
        </is>
      </c>
      <c r="K10232" s="10" t="inlineStr">
        <is>
          <t>N/A</t>
        </is>
      </c>
      <c r="L10232" s="10" t="inlineStr">
        <is>
          <t>Khai Thác Hàng Hóa, Kiểm Kê Kho Hàng, Quản Lý Giao Hàng, Quản Lý Dữ Liệu, Điều Phối Giao Hàng</t>
        </is>
      </c>
      <c r="M10232" s="10" t="inlineStr">
        <is>
          <t>Bonus, Healthcare Plan, Training, Awards, Vouchers, Others</t>
        </is>
      </c>
      <c r="N10232" s="11">
        <f>HYPERLINK("https://www.vietnamworks.com/nhan-vien-ho-tro-khai-thac-operations-support-agent-sorting-noi-bai-hcm-2022393-jv","Xem chi tiết")</f>
        <v/>
      </c>
      <c r="O10232" s="10" t="n"/>
    </row>
    <row r="10233">
      <c r="B10233" s="7" t="n">
        <v>10231</v>
      </c>
      <c r="C10233" t="inlineStr">
        <is>
          <t>Tuyển Dụng Kỹ Sư - QS</t>
        </is>
      </c>
      <c r="D10233" t="inlineStr">
        <is>
          <t>Công ty TNHH Robert &amp; Partners</t>
        </is>
      </c>
      <c r="E10233" t="inlineStr">
        <is>
          <t>Thương lượng</t>
        </is>
      </c>
      <c r="F10233" t="inlineStr">
        <is>
          <t>Hồ Chí Minh</t>
        </is>
      </c>
      <c r="G10233" t="inlineStr">
        <is>
          <t>Nhân viên</t>
        </is>
      </c>
      <c r="H10233" t="inlineStr">
        <is>
          <t>12/03/2026</t>
        </is>
      </c>
      <c r="I10233" t="inlineStr">
        <is>
          <t>11/04/2026</t>
        </is>
      </c>
      <c r="J10233" t="inlineStr">
        <is>
          <t>17/03/2026</t>
        </is>
      </c>
      <c r="K10233" t="inlineStr">
        <is>
          <t>N/A</t>
        </is>
      </c>
      <c r="L10233" t="inlineStr">
        <is>
          <t>AutoCAD, Construction Drawing, Graphic Design, Internal Audit, QS</t>
        </is>
      </c>
      <c r="M10233" t="inlineStr">
        <is>
          <t>Bonus, Healthcare Plan, Laptop</t>
        </is>
      </c>
      <c r="N10233" s="8">
        <f>HYPERLINK("https://www.vietnamworks.com/tuyen-dung-ky-su-qs--2022402-jv","Xem chi tiết")</f>
        <v/>
      </c>
    </row>
    <row r="10234">
      <c r="B10234" s="9" t="n">
        <v>10232</v>
      </c>
      <c r="C10234" s="10" t="inlineStr">
        <is>
          <t>Quản Lý Đơn Hàng/ Merchandiser (Bags And Luggage) 5 Years Experiences</t>
        </is>
      </c>
      <c r="D10234" s="10" t="inlineStr">
        <is>
          <t>THE REPRESENTATIVE OFFICE OF PARK OUTDOOR CO., LTD IN HO CHI MINH CITY</t>
        </is>
      </c>
      <c r="E10234" s="10" t="inlineStr">
        <is>
          <t>Thương lượng</t>
        </is>
      </c>
      <c r="F10234" s="10" t="inlineStr">
        <is>
          <t>Hồ Chí Minh</t>
        </is>
      </c>
      <c r="G10234" s="10" t="inlineStr">
        <is>
          <t>Nhân viên</t>
        </is>
      </c>
      <c r="H10234" s="10" t="inlineStr">
        <is>
          <t>12/03/2026</t>
        </is>
      </c>
      <c r="I10234" s="10" t="inlineStr">
        <is>
          <t>11/04/2026</t>
        </is>
      </c>
      <c r="J10234" s="10" t="inlineStr">
        <is>
          <t>17/03/2026</t>
        </is>
      </c>
      <c r="K10234" s="10" t="inlineStr">
        <is>
          <t>N/A</t>
        </is>
      </c>
      <c r="L10234" s="10" t="inlineStr">
        <is>
          <t>Bags And Luggage, Order Processing, Customer Handling, English, Merchandising</t>
        </is>
      </c>
      <c r="M10234" s="10" t="inlineStr">
        <is>
          <t>Bonus, Healthcare Plan, Paid Leave, Others</t>
        </is>
      </c>
      <c r="N10234" s="11">
        <f>HYPERLINK("https://www.vietnamworks.com/quan-ly-djon-hang-merchandiser-bags-and-luggage-5-years-experiences-2022395-jv","Xem chi tiết")</f>
        <v/>
      </c>
      <c r="O10234" s="10" t="n"/>
    </row>
    <row r="10235">
      <c r="B10235" s="7" t="n">
        <v>10233</v>
      </c>
      <c r="C10235" t="inlineStr">
        <is>
          <t>HR Officer</t>
        </is>
      </c>
      <c r="D10235" t="inlineStr">
        <is>
          <t>LG Electronics Vietnam Hai Phong - Sales &amp; Marketing Company</t>
        </is>
      </c>
      <c r="E10235" t="inlineStr">
        <is>
          <t>Thương lượng</t>
        </is>
      </c>
      <c r="F10235" t="inlineStr">
        <is>
          <t>Hà Nội</t>
        </is>
      </c>
      <c r="G10235" t="inlineStr">
        <is>
          <t>Nhân viên</t>
        </is>
      </c>
      <c r="H10235" t="inlineStr">
        <is>
          <t>12/03/2026</t>
        </is>
      </c>
      <c r="I10235" t="inlineStr">
        <is>
          <t>11/04/2026</t>
        </is>
      </c>
      <c r="J10235" t="inlineStr">
        <is>
          <t>17/03/2026</t>
        </is>
      </c>
      <c r="K10235" t="inlineStr">
        <is>
          <t>N/A</t>
        </is>
      </c>
      <c r="L10235" t="inlineStr">
        <is>
          <t>Recruitment, Human Resources, Nhân Sự, General HR Management</t>
        </is>
      </c>
      <c r="M10235" t="inlineStr">
        <is>
          <t>Bonus, Paid Leave, Canteen</t>
        </is>
      </c>
      <c r="N10235" s="8">
        <f>HYPERLINK("https://www.vietnamworks.com/hr-officer--2022403-jv","Xem chi tiết")</f>
        <v/>
      </c>
    </row>
    <row r="10236">
      <c r="B10236" s="9" t="n">
        <v>10234</v>
      </c>
      <c r="C10236" s="10" t="inlineStr">
        <is>
          <t>Digital Supply Chain Staff</t>
        </is>
      </c>
      <c r="D10236" s="10" t="inlineStr">
        <is>
          <t>CÔNG TY TNHH COSCO SHIPPING LINES (VIỆT NAM)</t>
        </is>
      </c>
      <c r="E10236" s="10" t="inlineStr">
        <is>
          <t>Thương lượng</t>
        </is>
      </c>
      <c r="F10236" s="10" t="inlineStr">
        <is>
          <t>Hải Phòng</t>
        </is>
      </c>
      <c r="G10236" s="10" t="inlineStr">
        <is>
          <t>Nhân viên</t>
        </is>
      </c>
      <c r="H10236" s="10" t="inlineStr">
        <is>
          <t>12/03/2026</t>
        </is>
      </c>
      <c r="I10236" s="10" t="inlineStr">
        <is>
          <t>11/04/2026</t>
        </is>
      </c>
      <c r="J10236" s="10" t="inlineStr">
        <is>
          <t>17/03/2026</t>
        </is>
      </c>
      <c r="K10236" s="10" t="inlineStr">
        <is>
          <t>N/A</t>
        </is>
      </c>
      <c r="L10236" s="10" t="inlineStr">
        <is>
          <t>Shipping Lines, Vessel Operations, Booking Container, Cargo, Chinese</t>
        </is>
      </c>
      <c r="M10236" s="10" t="inlineStr">
        <is>
          <t>Bonus, Healthcare Plan, Others</t>
        </is>
      </c>
      <c r="N10236" s="11">
        <f>HYPERLINK("https://www.vietnamworks.com/digital-supply-chain-staff-2022398-jv","Xem chi tiết")</f>
        <v/>
      </c>
      <c r="O10236" s="10" t="n"/>
    </row>
    <row r="10237">
      <c r="B10237" s="7" t="n">
        <v>10235</v>
      </c>
      <c r="C10237" t="inlineStr">
        <is>
          <t>Nhân Viên Sales Booking Dịch Vụ Milem The Spa</t>
        </is>
      </c>
      <c r="D10237" t="inlineStr">
        <is>
          <t>CÔNG TY TNHH TRANG THIẾT BỊ Y TẾ MINH HOÀNG</t>
        </is>
      </c>
      <c r="E10237" t="inlineStr">
        <is>
          <t>$$ 400-800 /tháng</t>
        </is>
      </c>
      <c r="F10237" t="inlineStr">
        <is>
          <t>Hồ Chí Minh</t>
        </is>
      </c>
      <c r="G10237" t="inlineStr">
        <is>
          <t>Nhân viên</t>
        </is>
      </c>
      <c r="H10237" t="inlineStr">
        <is>
          <t>12/03/2026</t>
        </is>
      </c>
      <c r="I10237" t="inlineStr">
        <is>
          <t>11/04/2026</t>
        </is>
      </c>
      <c r="J10237" t="inlineStr">
        <is>
          <t>17/03/2026</t>
        </is>
      </c>
      <c r="K10237" t="inlineStr">
        <is>
          <t>N/A</t>
        </is>
      </c>
      <c r="L10237" t="inlineStr">
        <is>
          <t>Tìm Kiếm Khách Hàng, Tư Vấn Bán Hàng, Tư Vấn Chăm Sóc Da, Hiểu Biết Về Mỹ Phẩm</t>
        </is>
      </c>
      <c r="M10237" t="inlineStr">
        <is>
          <t>Bonus, Canteen, Others</t>
        </is>
      </c>
      <c r="N10237" s="8">
        <f>HYPERLINK("https://www.vietnamworks.com/nhan-vien-sales-booking-dich-vu-milem-the-spa-2022401-jv","Xem chi tiết")</f>
        <v/>
      </c>
    </row>
    <row r="10238">
      <c r="B10238" s="9" t="n">
        <v>10236</v>
      </c>
      <c r="C10238" s="10" t="inlineStr">
        <is>
          <t>Nhân Viên Bảo Trì - Tây Ninh</t>
        </is>
      </c>
      <c r="D10238" s="10" t="inlineStr">
        <is>
          <t>Vietnam Intersnack Cashew Co., Ltd</t>
        </is>
      </c>
      <c r="E10238" s="10" t="inlineStr">
        <is>
          <t>Thương lượng</t>
        </is>
      </c>
      <c r="F10238" s="10" t="inlineStr">
        <is>
          <t>Tây Ninh</t>
        </is>
      </c>
      <c r="G10238" s="10" t="inlineStr">
        <is>
          <t>Nhân viên</t>
        </is>
      </c>
      <c r="H10238" s="10" t="inlineStr">
        <is>
          <t>12/03/2026</t>
        </is>
      </c>
      <c r="I10238" s="10" t="inlineStr">
        <is>
          <t>11/04/2026</t>
        </is>
      </c>
      <c r="J10238" s="10" t="inlineStr">
        <is>
          <t>17/03/2026</t>
        </is>
      </c>
      <c r="K10238" s="10" t="inlineStr">
        <is>
          <t>N/A</t>
        </is>
      </c>
      <c r="L10238" s="10" t="inlineStr">
        <is>
          <t>Tác Phong Làm Việc Nhanh Nhẹn, Tinh Thần Làm Việc Nhóm</t>
        </is>
      </c>
      <c r="M10238" s="10" t="inlineStr">
        <is>
          <t>Healthcare Plan, Paid Leave, Training</t>
        </is>
      </c>
      <c r="N10238" s="11">
        <f>HYPERLINK("https://www.vietnamworks.com/nhan-vien-bao-tri-tay-ninh-2022404-jv","Xem chi tiết")</f>
        <v/>
      </c>
      <c r="O10238" s="10" t="n"/>
    </row>
    <row r="10239">
      <c r="B10239" s="7" t="n">
        <v>10237</v>
      </c>
      <c r="C10239" t="inlineStr">
        <is>
          <t>Chuyên Gia Quản Trị Rủi Ro Kiến Trúc Giải Pháp Cấp 2, Bộ Phận Quản Trị Rủi Ro Kiến Trúc Hệ Thống, Phòng Quản Trị Rủi Ro Công Nghệ Thông Tin và Ngân Hàng Số, Khối Quản Trị Rủi Ro</t>
        </is>
      </c>
      <c r="D10239" t="inlineStr">
        <is>
          <t>Ngân Hàng TMCP Đại Chúng Việt Nam</t>
        </is>
      </c>
      <c r="E10239" t="inlineStr">
        <is>
          <t>$$ 1,500-2,000 /tháng</t>
        </is>
      </c>
      <c r="F10239" t="inlineStr">
        <is>
          <t>Hà Nội</t>
        </is>
      </c>
      <c r="G10239" t="inlineStr">
        <is>
          <t>Trưởng phòng</t>
        </is>
      </c>
      <c r="H10239" t="inlineStr">
        <is>
          <t>12/03/2026</t>
        </is>
      </c>
      <c r="I10239" t="inlineStr">
        <is>
          <t>11/04/2026</t>
        </is>
      </c>
      <c r="J10239" t="inlineStr">
        <is>
          <t>17/03/2026</t>
        </is>
      </c>
      <c r="K10239" t="inlineStr">
        <is>
          <t>N/A</t>
        </is>
      </c>
      <c r="L10239" t="inlineStr">
        <is>
          <t>Công Nghệ Thông Tin, Kiến Trúc Giải Pháp</t>
        </is>
      </c>
      <c r="M10239" t="inlineStr">
        <is>
          <t>Bonus, Healthcare Plan, Canteen</t>
        </is>
      </c>
      <c r="N10239" s="8">
        <f>HYPERLINK("https://www.vietnamworks.com/chuyen-gia-quan-tri-rui-ro-kien-truc-giai-phap-cap-2-bo-phan-quan-tri-rui-ro-kien-truc-he-thong-phong-quan-tri-rui-ro-cong-nghe-thong-tin-va-ngan-hang-so-khoi-quan-tri-rui-ro-2022394-jv","Xem chi tiết")</f>
        <v/>
      </c>
    </row>
    <row r="10240">
      <c r="B10240" s="9" t="n">
        <v>10238</v>
      </c>
      <c r="C10240" s="10" t="inlineStr">
        <is>
          <t>HR &amp; Admin Executive (Hành Chính Nhân Sự) English Required</t>
        </is>
      </c>
      <c r="D10240" s="10" t="inlineStr">
        <is>
          <t>Công ty TNHH Robert &amp; Partners</t>
        </is>
      </c>
      <c r="E10240" s="10" t="inlineStr">
        <is>
          <t>Thương lượng</t>
        </is>
      </c>
      <c r="F10240" s="10" t="inlineStr">
        <is>
          <t>Hồ Chí Minh</t>
        </is>
      </c>
      <c r="G10240" s="10" t="inlineStr">
        <is>
          <t>Nhân viên</t>
        </is>
      </c>
      <c r="H10240" s="10" t="inlineStr">
        <is>
          <t>12/03/2026</t>
        </is>
      </c>
      <c r="I10240" s="10" t="inlineStr">
        <is>
          <t>11/04/2026</t>
        </is>
      </c>
      <c r="J10240" s="10" t="inlineStr">
        <is>
          <t>17/03/2026</t>
        </is>
      </c>
      <c r="K10240" s="10" t="inlineStr">
        <is>
          <t>N/A</t>
        </is>
      </c>
      <c r="L10240" s="10" t="inlineStr">
        <is>
          <t>Human Resources, Business Administration, Microsoft Office, Communication Skills, Collaboration</t>
        </is>
      </c>
      <c r="M10240" s="10" t="inlineStr">
        <is>
          <t>Bonus, Healthcare Plan, Training, Laptop, Others</t>
        </is>
      </c>
      <c r="N10240" s="11">
        <f>HYPERLINK("https://www.vietnamworks.com/hr-and-admin-executive-hanh-chinh-nhan-su-english-required-2022399-jv","Xem chi tiết")</f>
        <v/>
      </c>
      <c r="O10240" s="10" t="n"/>
    </row>
    <row r="10241">
      <c r="B10241" s="7" t="n">
        <v>10239</v>
      </c>
      <c r="C10241" t="inlineStr">
        <is>
          <t>Nhân Viên Kinh Doanh/ Sales Executive</t>
        </is>
      </c>
      <c r="D10241" t="inlineStr">
        <is>
          <t>Công ty TNHH Eroc Commerce (Việt Nam)</t>
        </is>
      </c>
      <c r="E10241" t="inlineStr">
        <is>
          <t>20tr-30tr ₫/tháng</t>
        </is>
      </c>
      <c r="F10241" t="inlineStr">
        <is>
          <t>Hồ Chí Minh</t>
        </is>
      </c>
      <c r="G10241" t="inlineStr">
        <is>
          <t>Nhân viên</t>
        </is>
      </c>
      <c r="H10241" t="inlineStr">
        <is>
          <t>12/03/2026</t>
        </is>
      </c>
      <c r="I10241" t="inlineStr">
        <is>
          <t>11/04/2026</t>
        </is>
      </c>
      <c r="J10241" t="inlineStr">
        <is>
          <t>17/03/2026</t>
        </is>
      </c>
      <c r="K10241" t="inlineStr">
        <is>
          <t>N/A</t>
        </is>
      </c>
      <c r="L10241" t="inlineStr">
        <is>
          <t>Bán Hàng, Sales Engineering, Energy Engineering, Chăm Sóc Khách Hàng, Bán Hàng Công Nghiệp</t>
        </is>
      </c>
      <c r="M10241" t="inlineStr">
        <is>
          <t>Bonus, Travel Opportunities, Others</t>
        </is>
      </c>
      <c r="N10241" s="8">
        <f>HYPERLINK("https://www.vietnamworks.com/nhan-vien-kinh-doanh-sales-executive-2022400-jv","Xem chi tiết")</f>
        <v/>
      </c>
    </row>
    <row r="10242">
      <c r="B10242" s="9" t="n">
        <v>10240</v>
      </c>
      <c r="C10242" s="10" t="inlineStr">
        <is>
          <t>Nhân Viên Kiểm Soát Nội Bộ</t>
        </is>
      </c>
      <c r="D10242" s="10" t="inlineStr">
        <is>
          <t>Viettel VTX</t>
        </is>
      </c>
      <c r="E10242" s="10" t="inlineStr">
        <is>
          <t>Thương lượng</t>
        </is>
      </c>
      <c r="F10242" s="10" t="inlineStr">
        <is>
          <t>Hà Nội</t>
        </is>
      </c>
      <c r="G10242" s="10" t="inlineStr">
        <is>
          <t>Nhân viên</t>
        </is>
      </c>
      <c r="H10242" s="10" t="inlineStr">
        <is>
          <t>12/03/2026</t>
        </is>
      </c>
      <c r="I10242" s="10" t="inlineStr">
        <is>
          <t>11/04/2026</t>
        </is>
      </c>
      <c r="J10242" s="10" t="inlineStr">
        <is>
          <t>17/03/2026</t>
        </is>
      </c>
      <c r="K10242" s="10" t="inlineStr">
        <is>
          <t>N/A</t>
        </is>
      </c>
      <c r="L10242" s="10" t="inlineStr">
        <is>
          <t>Giao Tiếp, Kế Toán, Kiểm Soát Nội Bộ, Kiểm Toán, Kinh Tế</t>
        </is>
      </c>
      <c r="M10242" s="10" t="inlineStr">
        <is>
          <t>Healthcare Plan, Training, Others</t>
        </is>
      </c>
      <c r="N10242" s="11">
        <f>HYPERLINK("https://www.vietnamworks.com/nhan-vien-kiem-soat-noi-bo-2022408-jv","Xem chi tiết")</f>
        <v/>
      </c>
      <c r="O10242" s="10" t="n"/>
    </row>
    <row r="10243">
      <c r="B10243" s="7" t="n">
        <v>10241</v>
      </c>
      <c r="C10243" t="inlineStr">
        <is>
          <t>Junior Multimedia Designer</t>
        </is>
      </c>
      <c r="D10243" t="inlineStr">
        <is>
          <t>Rugby School Hanoi</t>
        </is>
      </c>
      <c r="E10243" t="inlineStr">
        <is>
          <t>Thương lượng</t>
        </is>
      </c>
      <c r="F10243" t="inlineStr">
        <is>
          <t>Hà Nội</t>
        </is>
      </c>
      <c r="G10243" t="inlineStr">
        <is>
          <t>Mới Tốt Nghiệp</t>
        </is>
      </c>
      <c r="H10243" t="inlineStr">
        <is>
          <t>12/03/2026</t>
        </is>
      </c>
      <c r="I10243" t="inlineStr">
        <is>
          <t>11/04/2026</t>
        </is>
      </c>
      <c r="J10243" t="inlineStr">
        <is>
          <t>17/03/2026</t>
        </is>
      </c>
      <c r="K10243" t="inlineStr">
        <is>
          <t>N/A</t>
        </is>
      </c>
      <c r="L10243" t="inlineStr">
        <is>
          <t>Multimedia Design, Adobe Creative Suite, Video Editing, Graphic Design, Communication Skills</t>
        </is>
      </c>
      <c r="M10243" t="inlineStr">
        <is>
          <t>Healthcare Plan, Paid Leave, Training</t>
        </is>
      </c>
      <c r="N10243" s="8">
        <f>HYPERLINK("https://www.vietnamworks.com/junior-multimedia-designer-2022406-jv","Xem chi tiết")</f>
        <v/>
      </c>
    </row>
    <row r="10244">
      <c r="B10244" s="9" t="n">
        <v>10242</v>
      </c>
      <c r="C10244" s="10" t="inlineStr">
        <is>
          <t>Trưởng Phòng IE (Bà Rịa - Vũng Tàu Cũ)</t>
        </is>
      </c>
      <c r="D10244" s="10" t="inlineStr">
        <is>
          <t>Công Ty TNHH Dong In Entech VN</t>
        </is>
      </c>
      <c r="E10244" s="10" t="inlineStr">
        <is>
          <t>$$ 500-1,500 /tháng</t>
        </is>
      </c>
      <c r="F10244" s="10" t="inlineStr">
        <is>
          <t>Bà Rịa - Vũng Tàu, Hồ Chí Minh</t>
        </is>
      </c>
      <c r="G10244" s="10" t="inlineStr">
        <is>
          <t>Trưởng phòng</t>
        </is>
      </c>
      <c r="H10244" s="10" t="inlineStr">
        <is>
          <t>12/03/2026</t>
        </is>
      </c>
      <c r="I10244" s="10" t="inlineStr">
        <is>
          <t>11/04/2026</t>
        </is>
      </c>
      <c r="J10244" s="10" t="inlineStr">
        <is>
          <t>17/03/2026</t>
        </is>
      </c>
      <c r="K10244" s="10" t="inlineStr">
        <is>
          <t>N/A</t>
        </is>
      </c>
      <c r="L10244" s="10" t="inlineStr">
        <is>
          <t>Quản Lý Sản Xuất, Phân tích dữ liệu, Lập Kế Hoạch, Excel, IE</t>
        </is>
      </c>
      <c r="M10244" s="10" t="inlineStr">
        <is>
          <t>Bonus, Healthcare Plan, Paid Leave</t>
        </is>
      </c>
      <c r="N10244" s="11">
        <f>HYPERLINK("https://www.vietnamworks.com/truong-phong-ie-ba-ria-vung-tau-cu-2022410-jv","Xem chi tiết")</f>
        <v/>
      </c>
      <c r="O10244" s="10" t="n"/>
    </row>
    <row r="10245">
      <c r="B10245" s="7" t="n">
        <v>10243</v>
      </c>
      <c r="C10245" t="inlineStr">
        <is>
          <t>Kỹ Thuật Viên Vận Hành Máy Cơ Khí</t>
        </is>
      </c>
      <c r="D10245" t="inlineStr">
        <is>
          <t>Công Ty TNHH Pandora Production Việt Nam</t>
        </is>
      </c>
      <c r="E10245" t="inlineStr">
        <is>
          <t>Thương lượng</t>
        </is>
      </c>
      <c r="F10245" t="inlineStr">
        <is>
          <t>Hồ Chí Minh</t>
        </is>
      </c>
      <c r="G10245" t="inlineStr">
        <is>
          <t>Nhân viên</t>
        </is>
      </c>
      <c r="H10245" t="inlineStr">
        <is>
          <t>12/03/2026</t>
        </is>
      </c>
      <c r="I10245" t="inlineStr">
        <is>
          <t>11/04/2026</t>
        </is>
      </c>
      <c r="J10245" t="inlineStr">
        <is>
          <t>17/03/2026</t>
        </is>
      </c>
      <c r="K10245" t="inlineStr">
        <is>
          <t>N/A</t>
        </is>
      </c>
      <c r="L10245" t="inlineStr">
        <is>
          <t>Vận Hành, Vận Hành Máy CNC, Vận Hành Máy Phay, Vận Hành Máy Tiện, Đọc Hiểu Bản Vẽ Kỹ Thuật</t>
        </is>
      </c>
      <c r="M10245" t="inlineStr">
        <is>
          <t>Transportation, Canteen</t>
        </is>
      </c>
      <c r="N10245" s="8">
        <f>HYPERLINK("https://www.vietnamworks.com/ky-thuat-vien-van-hanh-may-co-khi-2022409-jv","Xem chi tiết")</f>
        <v/>
      </c>
    </row>
    <row r="10246">
      <c r="B10246" s="9" t="n">
        <v>10244</v>
      </c>
      <c r="C10246" s="10" t="inlineStr">
        <is>
          <t>Giám Đốc Kinh Doanh</t>
        </is>
      </c>
      <c r="D10246" s="10" t="inlineStr">
        <is>
          <t>Công Ty Cổ Phần Unico Vina</t>
        </is>
      </c>
      <c r="E10246" s="10" t="inlineStr">
        <is>
          <t>50tr-80tr ₫/tháng</t>
        </is>
      </c>
      <c r="F10246" s="10" t="inlineStr">
        <is>
          <t>Hồ Chí Minh</t>
        </is>
      </c>
      <c r="G10246" s="10" t="inlineStr">
        <is>
          <t>Giám Đốc và Cấp Cao Hơn</t>
        </is>
      </c>
      <c r="H10246" s="10" t="inlineStr">
        <is>
          <t>12/03/2026</t>
        </is>
      </c>
      <c r="I10246" s="10" t="inlineStr">
        <is>
          <t>11/04/2026</t>
        </is>
      </c>
      <c r="J10246" s="10" t="inlineStr">
        <is>
          <t>17/03/2026</t>
        </is>
      </c>
      <c r="K10246" s="10" t="inlineStr">
        <is>
          <t>N/A</t>
        </is>
      </c>
      <c r="L10246" s="10" t="inlineStr">
        <is>
          <t>Quản Lý Kinh Doanh, Bán Hàng Dự Án, Phân tích dữ liệu, Lãnh Đạo, Tiếng Anh</t>
        </is>
      </c>
      <c r="M10246" s="10" t="inlineStr">
        <is>
          <t>Bonus, Healthcare Plan, Travel Opportunities, Team Activities, Others</t>
        </is>
      </c>
      <c r="N10246" s="11">
        <f>HYPERLINK("https://www.vietnamworks.com/giam-djoc-kinh-doanh-2022397-jv","Xem chi tiết")</f>
        <v/>
      </c>
      <c r="O10246" s="10" t="n"/>
    </row>
    <row r="10247">
      <c r="B10247" s="7" t="n">
        <v>10245</v>
      </c>
      <c r="C10247" t="inlineStr">
        <is>
          <t>BIM Design Engineer</t>
        </is>
      </c>
      <c r="D10247" t="inlineStr">
        <is>
          <t>MT Hojgaard Vietnam Co., Ltd.</t>
        </is>
      </c>
      <c r="E10247" t="inlineStr">
        <is>
          <t>Thương lượng</t>
        </is>
      </c>
      <c r="F10247" t="inlineStr">
        <is>
          <t>Hồ Chí Minh</t>
        </is>
      </c>
      <c r="G10247" t="inlineStr">
        <is>
          <t>Nhân viên</t>
        </is>
      </c>
      <c r="H10247" t="inlineStr">
        <is>
          <t>12/03/2026</t>
        </is>
      </c>
      <c r="I10247" t="inlineStr">
        <is>
          <t>11/04/2026</t>
        </is>
      </c>
      <c r="J10247" t="inlineStr">
        <is>
          <t>17/03/2026</t>
        </is>
      </c>
      <c r="K10247" t="inlineStr">
        <is>
          <t>N/A</t>
        </is>
      </c>
      <c r="L10247" t="inlineStr">
        <is>
          <t>Civil Engineering, BIM Revit, Construction, Revit Architecture, API</t>
        </is>
      </c>
      <c r="M10247" t="inlineStr">
        <is>
          <t>Bonus, Healthcare Plan, Training</t>
        </is>
      </c>
      <c r="N10247" s="8">
        <f>HYPERLINK("https://www.vietnamworks.com/bim-design-engineer-2022407-jv","Xem chi tiết")</f>
        <v/>
      </c>
    </row>
    <row r="10248">
      <c r="B10248" s="9" t="n">
        <v>10246</v>
      </c>
      <c r="C10248" s="10" t="inlineStr">
        <is>
          <t>Chuyên Gia Quản Lý Dữ Liệu Rủi Ro Cấp 3, Bộ Phận Quản Trị Rủi Ro Bảo Mật và Dữ Liệu, Phòng Quản Trị Rủi Ro CNTT và Nhs</t>
        </is>
      </c>
      <c r="D10248" s="10" t="inlineStr">
        <is>
          <t>Ngân Hàng TMCP Đại Chúng Việt Nam</t>
        </is>
      </c>
      <c r="E10248" s="10" t="inlineStr">
        <is>
          <t>$$ 1,500-2,000 /tháng</t>
        </is>
      </c>
      <c r="F10248" s="10" t="inlineStr">
        <is>
          <t>Hà Nội</t>
        </is>
      </c>
      <c r="G10248" s="10" t="inlineStr">
        <is>
          <t>Trưởng phòng</t>
        </is>
      </c>
      <c r="H10248" s="10" t="inlineStr">
        <is>
          <t>12/03/2026</t>
        </is>
      </c>
      <c r="I10248" s="10" t="inlineStr">
        <is>
          <t>11/04/2026</t>
        </is>
      </c>
      <c r="J10248" s="10" t="inlineStr">
        <is>
          <t>17/03/2026</t>
        </is>
      </c>
      <c r="K10248" s="10" t="inlineStr">
        <is>
          <t>N/A</t>
        </is>
      </c>
      <c r="L10248" s="10" t="inlineStr">
        <is>
          <t>An Ninh Thông Tin</t>
        </is>
      </c>
      <c r="M10248" s="10" t="inlineStr">
        <is>
          <t>Bonus, Healthcare Plan, Canteen</t>
        </is>
      </c>
      <c r="N10248" s="11">
        <f>HYPERLINK("https://www.vietnamworks.com/chuyen-gia-quan-ly-du-lieu-rui-ro-cap-3-bo-phan-quan-tri-rui-ro-bao-mat-va-du-lieu-phong-quan-tri-rui-ro-cntt-va-nhs-2022405-jv","Xem chi tiết")</f>
        <v/>
      </c>
      <c r="O10248" s="10" t="n"/>
    </row>
    <row r="10249">
      <c r="B10249" s="7" t="n">
        <v>10247</v>
      </c>
      <c r="C10249" t="inlineStr">
        <is>
          <t>Kế Toán Thuế</t>
        </is>
      </c>
      <c r="D10249" t="inlineStr">
        <is>
          <t>CQ TDT Asia JSC</t>
        </is>
      </c>
      <c r="E10249" t="inlineStr">
        <is>
          <t>20tr-30tr ₫/tháng</t>
        </is>
      </c>
      <c r="F10249" t="inlineStr">
        <is>
          <t>Hà Nội</t>
        </is>
      </c>
      <c r="G10249" t="inlineStr">
        <is>
          <t>Nhân viên</t>
        </is>
      </c>
      <c r="H10249" t="inlineStr">
        <is>
          <t>12/03/2026</t>
        </is>
      </c>
      <c r="I10249" t="inlineStr">
        <is>
          <t>11/04/2026</t>
        </is>
      </c>
      <c r="J10249" t="inlineStr">
        <is>
          <t>17/03/2026</t>
        </is>
      </c>
      <c r="K10249" t="inlineStr">
        <is>
          <t>N/A</t>
        </is>
      </c>
      <c r="L10249" t="inlineStr">
        <is>
          <t>Tài Chính, Phân Tích Số Liệu, Báo Cáo Thuế, Kế Toán Thuế, Luật Thuế</t>
        </is>
      </c>
      <c r="M10249" t="inlineStr">
        <is>
          <t>Bonus, Healthcare Plan, Paid Leave, Training, Laptop, Team Activities, Others</t>
        </is>
      </c>
      <c r="N10249" s="8">
        <f>HYPERLINK("https://www.vietnamworks.com/ke-toan-thue-2022411-jv","Xem chi tiết")</f>
        <v/>
      </c>
    </row>
    <row r="10250">
      <c r="B10250" s="9" t="n">
        <v>10248</v>
      </c>
      <c r="C10250" s="10" t="inlineStr">
        <is>
          <t>Quản Lý Sản Xuất (Bà Rịa - Vũng Tàu Cũ)</t>
        </is>
      </c>
      <c r="D10250" s="10" t="inlineStr">
        <is>
          <t>Công Ty TNHH Dong In Entech VN</t>
        </is>
      </c>
      <c r="E10250" s="10" t="inlineStr">
        <is>
          <t>Thương lượng</t>
        </is>
      </c>
      <c r="F10250" s="10" t="inlineStr">
        <is>
          <t>Hồ Chí Minh, Bà Rịa - Vũng Tàu</t>
        </is>
      </c>
      <c r="G10250" s="10" t="inlineStr">
        <is>
          <t>Trưởng phòng</t>
        </is>
      </c>
      <c r="H10250" s="10" t="inlineStr">
        <is>
          <t>12/03/2026</t>
        </is>
      </c>
      <c r="I10250" s="10" t="inlineStr">
        <is>
          <t>11/04/2026</t>
        </is>
      </c>
      <c r="J10250" s="10" t="inlineStr">
        <is>
          <t>17/03/2026</t>
        </is>
      </c>
      <c r="K10250" s="10" t="inlineStr">
        <is>
          <t>N/A</t>
        </is>
      </c>
      <c r="L10250" s="10" t="inlineStr">
        <is>
          <t>Quản Lý Sản Xuất, Kỹ Thuật, Lưu Trình Sản Xuất, Cải Tiến Năng Lực Sản Xuất, Giám Sát Chất Lượng</t>
        </is>
      </c>
      <c r="M10250" s="10" t="inlineStr">
        <is>
          <t>Bonus, Healthcare Plan, Paid Leave, Others</t>
        </is>
      </c>
      <c r="N10250" s="11">
        <f>HYPERLINK("https://www.vietnamworks.com/quan-ly-san-xuat-ba-ria-vung-tau-cu-2022419-jv","Xem chi tiết")</f>
        <v/>
      </c>
      <c r="O10250" s="10" t="n"/>
    </row>
    <row r="10251">
      <c r="B10251" s="7" t="n">
        <v>10249</v>
      </c>
      <c r="C10251" t="inlineStr">
        <is>
          <t>Chuyên Viên Truyền Thông Nội Bộ (Ưu Tiên Nữ )</t>
        </is>
      </c>
      <c r="D10251" t="inlineStr">
        <is>
          <t>Công Ty Cổ Phần Thực Phẩm Hữu Nghị</t>
        </is>
      </c>
      <c r="E10251" t="inlineStr">
        <is>
          <t>12tr-16tr ₫/tháng</t>
        </is>
      </c>
      <c r="F10251" t="inlineStr">
        <is>
          <t>Hà Nội</t>
        </is>
      </c>
      <c r="G10251" t="inlineStr">
        <is>
          <t>Nhân viên</t>
        </is>
      </c>
      <c r="H10251" t="inlineStr">
        <is>
          <t>12/03/2026</t>
        </is>
      </c>
      <c r="I10251" t="inlineStr">
        <is>
          <t>11/04/2026</t>
        </is>
      </c>
      <c r="J10251" t="inlineStr">
        <is>
          <t>17/03/2026</t>
        </is>
      </c>
      <c r="K10251" t="inlineStr">
        <is>
          <t>N/A</t>
        </is>
      </c>
      <c r="L10251" t="inlineStr">
        <is>
          <t>Event Organizing, Marketing, Dẫn Chương Trình, Kế Hoạch Truyền Thông, Truyền Thông Nội Bộ</t>
        </is>
      </c>
      <c r="M10251" t="inlineStr">
        <is>
          <t>Bonus, Transportation, Canteen</t>
        </is>
      </c>
      <c r="N10251" s="8">
        <f>HYPERLINK("https://www.vietnamworks.com/chuyen-vien-truyen-thong-noi-bo-uu-tien-nu-2022412-jv","Xem chi tiết")</f>
        <v/>
      </c>
    </row>
    <row r="10252">
      <c r="B10252" s="9" t="n">
        <v>10250</v>
      </c>
      <c r="C10252" s="10" t="inlineStr">
        <is>
          <t>Cultural Affairs Specialist, Hanoi-2026-08</t>
        </is>
      </c>
      <c r="D10252" s="10" t="inlineStr">
        <is>
          <t>U.S. Mission Vietnam – U.S. Embassy In Hanoi</t>
        </is>
      </c>
      <c r="E10252" s="10" t="inlineStr">
        <is>
          <t>Thương lượng</t>
        </is>
      </c>
      <c r="F10252" s="10" t="inlineStr">
        <is>
          <t>Hà Nội</t>
        </is>
      </c>
      <c r="G10252" s="10" t="inlineStr">
        <is>
          <t>Nhân viên</t>
        </is>
      </c>
      <c r="H10252" s="10" t="inlineStr">
        <is>
          <t>12/03/2026</t>
        </is>
      </c>
      <c r="I10252" s="10" t="inlineStr">
        <is>
          <t>11/04/2026</t>
        </is>
      </c>
      <c r="J10252" s="10" t="inlineStr">
        <is>
          <t>17/03/2026</t>
        </is>
      </c>
      <c r="K10252" s="10" t="inlineStr">
        <is>
          <t>N/A</t>
        </is>
      </c>
      <c r="L10252" s="10" t="inlineStr">
        <is>
          <t>English, Communications Affairs, Cultural Insights, Education Management, Teaching</t>
        </is>
      </c>
      <c r="M10252" s="10" t="inlineStr">
        <is>
          <t>Bonus, Healthcare Plan, Others</t>
        </is>
      </c>
      <c r="N10252" s="11">
        <f>HYPERLINK("https://www.vietnamworks.com/cultural-affairs-specialist-hanoi-2026-08-2022430-jv","Xem chi tiết")</f>
        <v/>
      </c>
      <c r="O10252" s="10" t="n"/>
    </row>
    <row r="10253">
      <c r="B10253" s="7" t="n">
        <v>10251</v>
      </c>
      <c r="C10253" t="inlineStr">
        <is>
          <t>Office Support Officer</t>
        </is>
      </c>
      <c r="D10253" t="inlineStr">
        <is>
          <t>Rugby School Hanoi</t>
        </is>
      </c>
      <c r="E10253" t="inlineStr">
        <is>
          <t>Thương lượng</t>
        </is>
      </c>
      <c r="F10253" t="inlineStr">
        <is>
          <t>Hà Nội</t>
        </is>
      </c>
      <c r="G10253" t="inlineStr">
        <is>
          <t>Nhân viên</t>
        </is>
      </c>
      <c r="H10253" t="inlineStr">
        <is>
          <t>12/03/2026</t>
        </is>
      </c>
      <c r="I10253" t="inlineStr">
        <is>
          <t>11/04/2026</t>
        </is>
      </c>
      <c r="J10253" t="inlineStr">
        <is>
          <t>17/03/2026</t>
        </is>
      </c>
      <c r="K10253" t="inlineStr">
        <is>
          <t>N/A</t>
        </is>
      </c>
      <c r="L10253" t="inlineStr">
        <is>
          <t>Critical Thinking, Teamwork, Time Management, IT Application, Bilingual Proficiency</t>
        </is>
      </c>
      <c r="M10253" t="inlineStr">
        <is>
          <t>Healthcare Plan, Paid Leave, Training</t>
        </is>
      </c>
      <c r="N10253" s="8">
        <f>HYPERLINK("https://www.vietnamworks.com/office-support-officer-2022422-jv","Xem chi tiết")</f>
        <v/>
      </c>
    </row>
    <row r="10254">
      <c r="B10254" s="9" t="n">
        <v>10252</v>
      </c>
      <c r="C10254" s="10" t="inlineStr">
        <is>
          <t>Sales Executive_ Construction &amp; Infrastructure Industry (Machinery Sales)</t>
        </is>
      </c>
      <c r="D10254" s="10" t="inlineStr">
        <is>
          <t>Rieckermann Vietnam Ltd., Co.</t>
        </is>
      </c>
      <c r="E10254" s="10" t="inlineStr">
        <is>
          <t>$$ 900-1,500 /tháng</t>
        </is>
      </c>
      <c r="F10254" s="10" t="inlineStr">
        <is>
          <t>Hồ Chí Minh</t>
        </is>
      </c>
      <c r="G10254" s="10" t="inlineStr">
        <is>
          <t>Nhân viên</t>
        </is>
      </c>
      <c r="H10254" s="10" t="inlineStr">
        <is>
          <t>12/03/2026</t>
        </is>
      </c>
      <c r="I10254" s="10" t="inlineStr">
        <is>
          <t>11/04/2026</t>
        </is>
      </c>
      <c r="J10254" s="10" t="inlineStr">
        <is>
          <t>17/03/2026</t>
        </is>
      </c>
      <c r="K10254" s="10" t="inlineStr">
        <is>
          <t>N/A</t>
        </is>
      </c>
      <c r="L10254" s="10" t="inlineStr">
        <is>
          <t>B2B Sales, Sales, English, Construction Material, Business Development</t>
        </is>
      </c>
      <c r="M10254" s="10" t="inlineStr">
        <is>
          <t>Bonus, Paid Leave, Team Activities, Others</t>
        </is>
      </c>
      <c r="N10254" s="11">
        <f>HYPERLINK("https://www.vietnamworks.com/sales-executive_-construction-and-infrastructure-industry-machinery-sales-2022431-jv","Xem chi tiết")</f>
        <v/>
      </c>
      <c r="O10254" s="10" t="n"/>
    </row>
    <row r="10255">
      <c r="B10255" s="7" t="n">
        <v>10253</v>
      </c>
      <c r="C10255" t="inlineStr">
        <is>
          <t>Business Development Manager</t>
        </is>
      </c>
      <c r="D10255" t="inlineStr">
        <is>
          <t>CÔNG TY TNHH GEBRUDER WEISS</t>
        </is>
      </c>
      <c r="E10255" t="inlineStr">
        <is>
          <t>Thương lượng</t>
        </is>
      </c>
      <c r="F10255" t="inlineStr">
        <is>
          <t>Hà Nội</t>
        </is>
      </c>
      <c r="G10255" t="inlineStr">
        <is>
          <t>Trưởng phòng</t>
        </is>
      </c>
      <c r="H10255" t="inlineStr">
        <is>
          <t>12/03/2026</t>
        </is>
      </c>
      <c r="I10255" t="inlineStr">
        <is>
          <t>11/04/2026</t>
        </is>
      </c>
      <c r="J10255" t="inlineStr">
        <is>
          <t>17/03/2026</t>
        </is>
      </c>
      <c r="K10255" t="inlineStr">
        <is>
          <t>N/A</t>
        </is>
      </c>
      <c r="L10255" t="inlineStr">
        <is>
          <t>Customer Relation, Freight Forwarding Sales, Logistics operations, Sales Operations</t>
        </is>
      </c>
      <c r="M10255" t="inlineStr">
        <is>
          <t>Bonus, Healthcare Plan, Paid Leave, Travel Opportunities</t>
        </is>
      </c>
      <c r="N10255" s="8">
        <f>HYPERLINK("https://www.vietnamworks.com/business-development-manager-2022415-jv","Xem chi tiết")</f>
        <v/>
      </c>
    </row>
    <row r="10256">
      <c r="B10256" s="9" t="n">
        <v>10254</v>
      </c>
      <c r="C10256" s="10" t="inlineStr">
        <is>
          <t>ICT Database Administration Supervisor</t>
        </is>
      </c>
      <c r="D10256" s="10" t="inlineStr">
        <is>
          <t>Shinhan Vietnam Finance Company Limited</t>
        </is>
      </c>
      <c r="E10256" s="10" t="inlineStr">
        <is>
          <t>Thương lượng</t>
        </is>
      </c>
      <c r="F10256" s="10" t="inlineStr">
        <is>
          <t>Hồ Chí Minh</t>
        </is>
      </c>
      <c r="G10256" s="10" t="inlineStr">
        <is>
          <t>Nhân viên</t>
        </is>
      </c>
      <c r="H10256" s="10" t="inlineStr">
        <is>
          <t>12/03/2026</t>
        </is>
      </c>
      <c r="I10256" s="10" t="inlineStr">
        <is>
          <t>11/04/2026</t>
        </is>
      </c>
      <c r="J10256" s="10" t="inlineStr">
        <is>
          <t>17/03/2026</t>
        </is>
      </c>
      <c r="K10256" s="10" t="inlineStr">
        <is>
          <t>N/A</t>
        </is>
      </c>
      <c r="L10256" s="10" t="inlineStr">
        <is>
          <t>Oracle, ETL, SQL, MongoDB, My SQL</t>
        </is>
      </c>
      <c r="M10256" s="10" t="inlineStr">
        <is>
          <t>Bonus, Healthcare Plan, Paid Leave</t>
        </is>
      </c>
      <c r="N10256" s="11">
        <f>HYPERLINK("https://www.vietnamworks.com/ict-database-administration-supervisor-2022425-jv","Xem chi tiết")</f>
        <v/>
      </c>
      <c r="O10256" s="10" t="n"/>
    </row>
    <row r="10257">
      <c r="B10257" s="7" t="n">
        <v>10255</v>
      </c>
      <c r="C10257" t="inlineStr">
        <is>
          <t>Tuyển Dụng CSR/ Compliance Staff (Audit &amp; ISO) (Bà Rịa - Vũng Tàu Cũ)</t>
        </is>
      </c>
      <c r="D10257" t="inlineStr">
        <is>
          <t>Công Ty TNHH Dong In Entech VN</t>
        </is>
      </c>
      <c r="E10257" t="inlineStr">
        <is>
          <t>Thương lượng</t>
        </is>
      </c>
      <c r="F10257" t="inlineStr">
        <is>
          <t>Hồ Chí Minh, Bà Rịa - Vũng Tàu</t>
        </is>
      </c>
      <c r="G10257" t="inlineStr">
        <is>
          <t>Nhân viên</t>
        </is>
      </c>
      <c r="H10257" t="inlineStr">
        <is>
          <t>12/03/2026</t>
        </is>
      </c>
      <c r="I10257" t="inlineStr">
        <is>
          <t>11/04/2026</t>
        </is>
      </c>
      <c r="J10257" t="inlineStr">
        <is>
          <t>17/03/2026</t>
        </is>
      </c>
      <c r="K10257" t="inlineStr">
        <is>
          <t>N/A</t>
        </is>
      </c>
      <c r="L10257" t="inlineStr">
        <is>
          <t>Csr Knowledge, Social Compliance Auditing, Audit Process, ISO Management, English Communication</t>
        </is>
      </c>
      <c r="M10257" t="inlineStr">
        <is>
          <t>Bonus, Healthcare Plan, Paid Leave, Others</t>
        </is>
      </c>
      <c r="N10257" s="8">
        <f>HYPERLINK("https://www.vietnamworks.com/tuyen-dung-csr-compliance-staff-audit-and-iso-ba-ria-vung-tau-cu-2022413-jv","Xem chi tiết")</f>
        <v/>
      </c>
    </row>
    <row r="10258">
      <c r="B10258" s="9" t="n">
        <v>10256</v>
      </c>
      <c r="C10258" s="10" t="inlineStr">
        <is>
          <t>Quản Lý Dự Án - Có Xe Đưa Đón Tuyến Hải Dương - Hưng Yên</t>
        </is>
      </c>
      <c r="D10258" s="10" t="inlineStr">
        <is>
          <t>Công Ty TNHH Điện Tử UMC Việt Nam</t>
        </is>
      </c>
      <c r="E10258" s="10" t="inlineStr">
        <is>
          <t>$$ 450-550 /tháng</t>
        </is>
      </c>
      <c r="F10258" s="10" t="inlineStr">
        <is>
          <t>Bắc Ninh, Hải Phòng, Hưng Yên</t>
        </is>
      </c>
      <c r="G10258" s="10" t="inlineStr">
        <is>
          <t>Nhân viên</t>
        </is>
      </c>
      <c r="H10258" s="10" t="inlineStr">
        <is>
          <t>12/03/2026</t>
        </is>
      </c>
      <c r="I10258" s="10" t="inlineStr">
        <is>
          <t>11/04/2026</t>
        </is>
      </c>
      <c r="J10258" s="10" t="inlineStr">
        <is>
          <t>17/03/2026</t>
        </is>
      </c>
      <c r="K10258" s="10" t="inlineStr">
        <is>
          <t>N/A</t>
        </is>
      </c>
      <c r="L10258" s="10" t="inlineStr">
        <is>
          <t>Phát Triển Sản Phẩm, Quản Lý Dự Án, Kiểm Soát Công Đoạn, Quản Lý Sản Xuất, Cải Tiến Năng Lực Sản Xuất</t>
        </is>
      </c>
      <c r="M10258" s="10" t="inlineStr">
        <is>
          <t>Bonus, Healthcare Plan, Paid Leave</t>
        </is>
      </c>
      <c r="N10258" s="11">
        <f>HYPERLINK("https://www.vietnamworks.com/quan-ly-du-an-co-xe-dua-don-tuyen-hai-duong-hung-yen--2022433-jv","Xem chi tiết")</f>
        <v/>
      </c>
      <c r="O10258" s="10" t="n"/>
    </row>
    <row r="10259">
      <c r="B10259" s="7" t="n">
        <v>10257</v>
      </c>
      <c r="C10259" t="inlineStr">
        <is>
          <t>Logistics Officer</t>
        </is>
      </c>
      <c r="D10259" t="inlineStr">
        <is>
          <t>Spin Master (Vietnam) Company Limited</t>
        </is>
      </c>
      <c r="E10259" t="inlineStr">
        <is>
          <t>Thương lượng</t>
        </is>
      </c>
      <c r="F10259" t="inlineStr">
        <is>
          <t>Hải Phòng</t>
        </is>
      </c>
      <c r="G10259" t="inlineStr">
        <is>
          <t>Nhân viên</t>
        </is>
      </c>
      <c r="H10259" t="inlineStr">
        <is>
          <t>12/03/2026</t>
        </is>
      </c>
      <c r="I10259" t="inlineStr">
        <is>
          <t>11/04/2026</t>
        </is>
      </c>
      <c r="J10259" t="inlineStr">
        <is>
          <t>17/03/2026</t>
        </is>
      </c>
      <c r="K10259" t="inlineStr">
        <is>
          <t>N/A</t>
        </is>
      </c>
      <c r="L10259" t="inlineStr">
        <is>
          <t>Logistics Management, Logistics Control, Logistics, Shipping Logistics</t>
        </is>
      </c>
      <c r="M10259" t="inlineStr">
        <is>
          <t>Bonus, Healthcare Plan, Paid Leave</t>
        </is>
      </c>
      <c r="N10259" s="8">
        <f>HYPERLINK("https://www.vietnamworks.com/logistics-officer-54--2022434-jv","Xem chi tiết")</f>
        <v/>
      </c>
    </row>
    <row r="10260">
      <c r="B10260" s="9" t="n">
        <v>10258</v>
      </c>
      <c r="C10260" s="10" t="inlineStr">
        <is>
          <t>Content Moderator</t>
        </is>
      </c>
      <c r="D10260" s="10" t="inlineStr">
        <is>
          <t>Concentrix</t>
        </is>
      </c>
      <c r="E10260" s="10" t="inlineStr">
        <is>
          <t>10tr-12tr ₫/tháng</t>
        </is>
      </c>
      <c r="F10260" s="10" t="inlineStr">
        <is>
          <t>Hồ Chí Minh</t>
        </is>
      </c>
      <c r="G10260" s="10" t="inlineStr">
        <is>
          <t>Nhân viên</t>
        </is>
      </c>
      <c r="H10260" s="10" t="inlineStr">
        <is>
          <t>12/03/2026</t>
        </is>
      </c>
      <c r="I10260" s="10" t="inlineStr">
        <is>
          <t>11/04/2026</t>
        </is>
      </c>
      <c r="J10260" s="10" t="inlineStr">
        <is>
          <t>17/03/2026</t>
        </is>
      </c>
      <c r="K10260" s="10" t="inlineStr">
        <is>
          <t>N/A</t>
        </is>
      </c>
      <c r="L10260" s="10" t="inlineStr">
        <is>
          <t>Content Moderator, Content Review, Social Media, Content Analysis, Trust &amp; Safety</t>
        </is>
      </c>
      <c r="M10260" s="10" t="inlineStr">
        <is>
          <t>Bonus, Healthcare Plan, Paid Leave, Team Activities, Others</t>
        </is>
      </c>
      <c r="N10260" s="11">
        <f>HYPERLINK("https://www.vietnamworks.com/content-moderator--2022432-jv","Xem chi tiết")</f>
        <v/>
      </c>
      <c r="O10260" s="10" t="n"/>
    </row>
    <row r="10261">
      <c r="B10261" s="7" t="n">
        <v>10259</v>
      </c>
      <c r="C10261" t="inlineStr">
        <is>
          <t>Business Development Executive (B2B Software Solutions)</t>
        </is>
      </c>
      <c r="D10261" t="inlineStr">
        <is>
          <t>CÔNG TY CỔ PHẦN CÔNG NGHỆ IHOUZZ</t>
        </is>
      </c>
      <c r="E10261" t="inlineStr">
        <is>
          <t>Thương lượng</t>
        </is>
      </c>
      <c r="F10261" t="inlineStr">
        <is>
          <t>Hồ Chí Minh, Hà Nội</t>
        </is>
      </c>
      <c r="G10261" t="inlineStr">
        <is>
          <t>Nhân viên</t>
        </is>
      </c>
      <c r="H10261" t="inlineStr">
        <is>
          <t>12/03/2026</t>
        </is>
      </c>
      <c r="I10261" t="inlineStr">
        <is>
          <t>11/04/2026</t>
        </is>
      </c>
      <c r="J10261" t="inlineStr">
        <is>
          <t>17/03/2026</t>
        </is>
      </c>
      <c r="K10261" t="inlineStr">
        <is>
          <t>N/A</t>
        </is>
      </c>
      <c r="L10261" t="inlineStr">
        <is>
          <t>Kế Toán Thanh Toán, Kế Toán Thu Chi, Kế Toán Thuế, Bất Động Sản, Hành Chính Nhân Sự</t>
        </is>
      </c>
      <c r="M10261" t="inlineStr">
        <is>
          <t>Bonus, Healthcare Plan, Team Activities, Others</t>
        </is>
      </c>
      <c r="N10261" s="8">
        <f>HYPERLINK("https://www.vietnamworks.com/business-development-executive-b2b-software-solutions-2022423-jv","Xem chi tiết")</f>
        <v/>
      </c>
    </row>
    <row r="10262">
      <c r="B10262" s="9" t="n">
        <v>10260</v>
      </c>
      <c r="C10262" s="10" t="inlineStr">
        <is>
          <t>Trưởng Phòng Marketing</t>
        </is>
      </c>
      <c r="D10262" s="10" t="inlineStr">
        <is>
          <t>Công ty TNHH MTV Giáo Dục Việt Mỹ</t>
        </is>
      </c>
      <c r="E10262" s="10" t="inlineStr">
        <is>
          <t>20tr-30tr ₫/tháng</t>
        </is>
      </c>
      <c r="F10262" s="10" t="inlineStr">
        <is>
          <t>Đồng Nai</t>
        </is>
      </c>
      <c r="G10262" s="10" t="inlineStr">
        <is>
          <t>Trưởng phòng</t>
        </is>
      </c>
      <c r="H10262" s="10" t="inlineStr">
        <is>
          <t>12/03/2026</t>
        </is>
      </c>
      <c r="I10262" s="10" t="inlineStr">
        <is>
          <t>11/04/2026</t>
        </is>
      </c>
      <c r="J10262" s="10" t="inlineStr">
        <is>
          <t>17/03/2026</t>
        </is>
      </c>
      <c r="K10262" s="10" t="inlineStr">
        <is>
          <t>N/A</t>
        </is>
      </c>
      <c r="L10262" s="10" t="inlineStr">
        <is>
          <t>Content Management, Digital Marketing, Event Planning, Marketing Strategy, Team Management</t>
        </is>
      </c>
      <c r="M10262" s="10" t="inlineStr">
        <is>
          <t>Bonus, Paid Leave, Travel Opportunities, Vouchers, Others</t>
        </is>
      </c>
      <c r="N10262" s="11">
        <f>HYPERLINK("https://www.vietnamworks.com/truong-phong-marketing-2022426-jv","Xem chi tiết")</f>
        <v/>
      </c>
      <c r="O10262" s="10" t="n"/>
    </row>
    <row r="10263">
      <c r="B10263" s="7" t="n">
        <v>10261</v>
      </c>
      <c r="C10263" t="inlineStr">
        <is>
          <t>HR Intern</t>
        </is>
      </c>
      <c r="D10263" t="inlineStr">
        <is>
          <t>Công Ty TNHH Sản Xuất First Solar Việt Nam</t>
        </is>
      </c>
      <c r="E10263" t="inlineStr">
        <is>
          <t>Thương lượng</t>
        </is>
      </c>
      <c r="F10263" t="inlineStr">
        <is>
          <t>Hồ Chí Minh</t>
        </is>
      </c>
      <c r="G10263" t="inlineStr">
        <is>
          <t>Thực tập sinh/Sinh viên</t>
        </is>
      </c>
      <c r="H10263" t="inlineStr">
        <is>
          <t>12/03/2026</t>
        </is>
      </c>
      <c r="I10263" t="inlineStr">
        <is>
          <t>11/04/2026</t>
        </is>
      </c>
      <c r="J10263" t="inlineStr">
        <is>
          <t>17/03/2026</t>
        </is>
      </c>
      <c r="K10263" t="inlineStr">
        <is>
          <t>N/A</t>
        </is>
      </c>
      <c r="L10263" t="inlineStr">
        <is>
          <t>N/A</t>
        </is>
      </c>
      <c r="M10263" t="inlineStr">
        <is>
          <t>Training, Laptop, Transportation, Canteen, Others</t>
        </is>
      </c>
      <c r="N10263" s="8">
        <f>HYPERLINK("https://www.vietnamworks.com/hr-intern-2022421-jv","Xem chi tiết")</f>
        <v/>
      </c>
    </row>
    <row r="10264">
      <c r="B10264" s="9" t="n">
        <v>10262</v>
      </c>
      <c r="C10264" s="10" t="inlineStr">
        <is>
          <t>Marketing &amp; Admissions Officer</t>
        </is>
      </c>
      <c r="D10264" s="10" t="inlineStr">
        <is>
          <t>Rugby School Hanoi</t>
        </is>
      </c>
      <c r="E10264" s="10" t="inlineStr">
        <is>
          <t>Thương lượng</t>
        </is>
      </c>
      <c r="F10264" s="10" t="inlineStr">
        <is>
          <t>Hà Nội</t>
        </is>
      </c>
      <c r="G10264" s="10" t="inlineStr">
        <is>
          <t>Nhân viên</t>
        </is>
      </c>
      <c r="H10264" s="10" t="inlineStr">
        <is>
          <t>12/03/2026</t>
        </is>
      </c>
      <c r="I10264" s="10" t="inlineStr">
        <is>
          <t>11/04/2026</t>
        </is>
      </c>
      <c r="J10264" s="10" t="inlineStr">
        <is>
          <t>17/03/2026</t>
        </is>
      </c>
      <c r="K10264" s="10" t="inlineStr">
        <is>
          <t>N/A</t>
        </is>
      </c>
      <c r="L10264" s="10" t="inlineStr">
        <is>
          <t>Copywriting, Content Marketing, Communication Skills, Branding Strategy, Event Organizing</t>
        </is>
      </c>
      <c r="M10264" s="10" t="inlineStr">
        <is>
          <t>Healthcare Plan, Paid Leave, Training</t>
        </is>
      </c>
      <c r="N10264" s="11">
        <f>HYPERLINK("https://www.vietnamworks.com/marketing-andamp-admissions-officer-2022417-jv","Xem chi tiết")</f>
        <v/>
      </c>
      <c r="O10264" s="10" t="n"/>
    </row>
    <row r="10265">
      <c r="B10265" s="7" t="n">
        <v>10263</v>
      </c>
      <c r="C10265" t="inlineStr">
        <is>
          <t>Production Technician</t>
        </is>
      </c>
      <c r="D10265" t="inlineStr">
        <is>
          <t>Avery Dennison Vietnam</t>
        </is>
      </c>
      <c r="E10265" t="inlineStr">
        <is>
          <t>Thương lượng</t>
        </is>
      </c>
      <c r="F10265" t="inlineStr">
        <is>
          <t>Hồ Chí Minh</t>
        </is>
      </c>
      <c r="G10265" t="inlineStr">
        <is>
          <t>Nhân viên</t>
        </is>
      </c>
      <c r="H10265" t="inlineStr">
        <is>
          <t>12/03/2026</t>
        </is>
      </c>
      <c r="I10265" t="inlineStr">
        <is>
          <t>11/04/2026</t>
        </is>
      </c>
      <c r="J10265" t="inlineStr">
        <is>
          <t>17/03/2026</t>
        </is>
      </c>
      <c r="K10265" t="inlineStr">
        <is>
          <t>N/A</t>
        </is>
      </c>
      <c r="L10265" t="inlineStr">
        <is>
          <t>Mechanical Troubleshooting, Offset Printing\r\r, Production Reports, Quality Control, Safety Training</t>
        </is>
      </c>
      <c r="M10265" t="inlineStr">
        <is>
          <t>Bonus</t>
        </is>
      </c>
      <c r="N10265" s="8">
        <f>HYPERLINK("https://www.vietnamworks.com/production-technician-2022427-jv","Xem chi tiết")</f>
        <v/>
      </c>
    </row>
    <row r="10266">
      <c r="B10266" s="9" t="n">
        <v>10264</v>
      </c>
      <c r="C10266" s="10" t="inlineStr">
        <is>
          <t>Phó Phòng Phát Triển Đối Tác Chiến Lược M&amp;A Bất Động Sản</t>
        </is>
      </c>
      <c r="D10266" s="10" t="inlineStr">
        <is>
          <t>Công Ty Cổ Phần Tập Đoàn BRG</t>
        </is>
      </c>
      <c r="E10266" s="10" t="inlineStr">
        <is>
          <t>Thương lượng</t>
        </is>
      </c>
      <c r="F10266" s="10" t="inlineStr">
        <is>
          <t>Hà Nội</t>
        </is>
      </c>
      <c r="G10266" s="10" t="inlineStr">
        <is>
          <t>Nhân viên</t>
        </is>
      </c>
      <c r="H10266" s="10" t="inlineStr">
        <is>
          <t>12/03/2026</t>
        </is>
      </c>
      <c r="I10266" s="10" t="inlineStr">
        <is>
          <t>11/04/2026</t>
        </is>
      </c>
      <c r="J10266" s="10" t="inlineStr">
        <is>
          <t>17/03/2026</t>
        </is>
      </c>
      <c r="K10266" s="10" t="inlineStr">
        <is>
          <t>N/A</t>
        </is>
      </c>
      <c r="L10266" s="10" t="inlineStr">
        <is>
          <t>Đề Xuất Chính Sách Bán Hàng, Bất Động Sản, Nghiên Cứu Sản Phẩm</t>
        </is>
      </c>
      <c r="M10266" s="10" t="inlineStr">
        <is>
          <t>Bonus, Healthcare Plan, Travel Opportunities</t>
        </is>
      </c>
      <c r="N10266" s="11">
        <f>HYPERLINK("https://www.vietnamworks.com/pho-phong-phat-trien-doi-tac-chien-luoc-m-a-bat-dong-san-2022445-jv","Xem chi tiết")</f>
        <v/>
      </c>
      <c r="O10266" s="10" t="n"/>
    </row>
    <row r="10267">
      <c r="B10267" s="7" t="n">
        <v>10265</v>
      </c>
      <c r="C10267" t="inlineStr">
        <is>
          <t>Quản Lý Dự Án (Project Manager Pm) (Công Ty Product, 3-5 Năm KN)</t>
        </is>
      </c>
      <c r="D10267" t="inlineStr">
        <is>
          <t>CÔNG TY CỔ PHẦN CÔNG NGHỆ PAVANA</t>
        </is>
      </c>
      <c r="E10267" t="inlineStr">
        <is>
          <t>Tới 40tr ₫/tháng</t>
        </is>
      </c>
      <c r="F10267" t="inlineStr">
        <is>
          <t>Hà Nội</t>
        </is>
      </c>
      <c r="G10267" t="inlineStr">
        <is>
          <t>Trưởng phòng</t>
        </is>
      </c>
      <c r="H10267" t="inlineStr">
        <is>
          <t>12/03/2026</t>
        </is>
      </c>
      <c r="I10267" t="inlineStr">
        <is>
          <t>11/04/2026</t>
        </is>
      </c>
      <c r="J10267" t="inlineStr">
        <is>
          <t>17/03/2026</t>
        </is>
      </c>
      <c r="K10267" t="inlineStr">
        <is>
          <t>N/A</t>
        </is>
      </c>
      <c r="L10267" t="inlineStr">
        <is>
          <t>Project Management, Jira, Trello, Redmine, Communication</t>
        </is>
      </c>
      <c r="M10267" t="inlineStr">
        <is>
          <t>Bonus, Healthcare Plan, Training, Team Activities, Others</t>
        </is>
      </c>
      <c r="N10267" s="8">
        <f>HYPERLINK("https://www.vietnamworks.com/quan-ly-du-an-project-manager-pm-cong-ty-product-3-5-nam-kn-2022444-jv","Xem chi tiết")</f>
        <v/>
      </c>
    </row>
    <row r="10268">
      <c r="B10268" s="9" t="n">
        <v>10266</v>
      </c>
      <c r="C10268" s="10" t="inlineStr">
        <is>
          <t>Distillery Assistant</t>
        </is>
      </c>
      <c r="D10268" s="10" t="inlineStr">
        <is>
          <t>Về Để Đi Whisky</t>
        </is>
      </c>
      <c r="E10268" s="10" t="inlineStr">
        <is>
          <t>15tr-20tr ₫/tháng</t>
        </is>
      </c>
      <c r="F10268" s="10" t="inlineStr">
        <is>
          <t>Hưng Yên</t>
        </is>
      </c>
      <c r="G10268" s="10" t="inlineStr">
        <is>
          <t>Nhân viên</t>
        </is>
      </c>
      <c r="H10268" s="10" t="inlineStr">
        <is>
          <t>12/03/2026</t>
        </is>
      </c>
      <c r="I10268" s="10" t="inlineStr">
        <is>
          <t>11/04/2026</t>
        </is>
      </c>
      <c r="J10268" s="10" t="inlineStr">
        <is>
          <t>17/03/2026</t>
        </is>
      </c>
      <c r="K10268" s="10" t="inlineStr">
        <is>
          <t>N/A</t>
        </is>
      </c>
      <c r="L10268" s="10" t="inlineStr">
        <is>
          <t>Distilling Process, Production, Cross-Functional Coordination, Data Entry &amp; Reporting, Inventory Tracking &amp; Control</t>
        </is>
      </c>
      <c r="M10268" s="10" t="inlineStr">
        <is>
          <t>Others</t>
        </is>
      </c>
      <c r="N10268" s="11">
        <f>HYPERLINK("https://www.vietnamworks.com/distillery-assistant-2022438-jv","Xem chi tiết")</f>
        <v/>
      </c>
      <c r="O10268" s="10" t="n"/>
    </row>
    <row r="10269">
      <c r="B10269" s="7" t="n">
        <v>10267</v>
      </c>
      <c r="C10269" t="inlineStr">
        <is>
          <t>Trade Marketing Manager</t>
        </is>
      </c>
      <c r="D10269" t="inlineStr">
        <is>
          <t>Công Ty TNHH Fonterra Brands Việt Nam</t>
        </is>
      </c>
      <c r="E10269" t="inlineStr">
        <is>
          <t>Thương lượng</t>
        </is>
      </c>
      <c r="F10269" t="inlineStr">
        <is>
          <t>Hồ Chí Minh</t>
        </is>
      </c>
      <c r="G10269" t="inlineStr">
        <is>
          <t>Trưởng phòng</t>
        </is>
      </c>
      <c r="H10269" t="inlineStr">
        <is>
          <t>12/03/2026</t>
        </is>
      </c>
      <c r="I10269" t="inlineStr">
        <is>
          <t>11/04/2026</t>
        </is>
      </c>
      <c r="J10269" t="inlineStr">
        <is>
          <t>17/03/2026</t>
        </is>
      </c>
      <c r="K10269" t="inlineStr">
        <is>
          <t>N/A</t>
        </is>
      </c>
      <c r="L10269" t="inlineStr">
        <is>
          <t>Sales Strategy, Market Analysis, Leadership, Business Management, Trade Marketing</t>
        </is>
      </c>
      <c r="M10269" t="inlineStr">
        <is>
          <t>Bonus, Healthcare Plan, Paid Leave</t>
        </is>
      </c>
      <c r="N10269" s="8">
        <f>HYPERLINK("https://www.vietnamworks.com/trade-marketing-manager-2022414-jv","Xem chi tiết")</f>
        <v/>
      </c>
    </row>
    <row r="10270">
      <c r="B10270" s="9" t="n">
        <v>10268</v>
      </c>
      <c r="C10270" s="10" t="inlineStr">
        <is>
          <t>Chuyên Viên Kế Toán Công Nợ</t>
        </is>
      </c>
      <c r="D10270" s="10" t="inlineStr">
        <is>
          <t>Công Ty Cổ Phần Thực Phẩm Hữu Nghị</t>
        </is>
      </c>
      <c r="E10270" s="10" t="inlineStr">
        <is>
          <t>12tr-14tr ₫/tháng</t>
        </is>
      </c>
      <c r="F10270" s="10" t="inlineStr">
        <is>
          <t>Hà Nội</t>
        </is>
      </c>
      <c r="G10270" s="10" t="inlineStr">
        <is>
          <t>Nhân viên</t>
        </is>
      </c>
      <c r="H10270" s="10" t="inlineStr">
        <is>
          <t>12/03/2026</t>
        </is>
      </c>
      <c r="I10270" s="10" t="inlineStr">
        <is>
          <t>11/04/2026</t>
        </is>
      </c>
      <c r="J10270" s="10" t="inlineStr">
        <is>
          <t>17/03/2026</t>
        </is>
      </c>
      <c r="K10270" s="10" t="inlineStr">
        <is>
          <t>N/A</t>
        </is>
      </c>
      <c r="L10270" s="10" t="inlineStr">
        <is>
          <t>Kiểm Toán, Báo Cáo Công Nợ, Hạch Toán, Thu Hồi Công Nợ, Kế Toán Công Nợ</t>
        </is>
      </c>
      <c r="M10270" s="10" t="inlineStr">
        <is>
          <t>Bonus</t>
        </is>
      </c>
      <c r="N10270" s="11">
        <f>HYPERLINK("https://www.vietnamworks.com/chuyen-vien-ke-toan-cong-no--2022437-jv","Xem chi tiết")</f>
        <v/>
      </c>
      <c r="O10270" s="10" t="n"/>
    </row>
    <row r="10271">
      <c r="B10271" s="7" t="n">
        <v>10269</v>
      </c>
      <c r="C10271" t="inlineStr">
        <is>
          <t>Maintenance Staff</t>
        </is>
      </c>
      <c r="D10271" t="inlineStr">
        <is>
          <t>MODELLEISENBAHN VIET NAM ONE MEMBER LIMITED LIABILITY COMPANY</t>
        </is>
      </c>
      <c r="E10271" t="inlineStr">
        <is>
          <t>12tr-13tr ₫/tháng</t>
        </is>
      </c>
      <c r="F10271" t="inlineStr">
        <is>
          <t>Bình Dương, Hồ Chí Minh</t>
        </is>
      </c>
      <c r="G10271" t="inlineStr">
        <is>
          <t>Nhân viên</t>
        </is>
      </c>
      <c r="H10271" t="inlineStr">
        <is>
          <t>12/03/2026</t>
        </is>
      </c>
      <c r="I10271" t="inlineStr">
        <is>
          <t>11/04/2026</t>
        </is>
      </c>
      <c r="J10271" t="inlineStr">
        <is>
          <t>17/03/2026</t>
        </is>
      </c>
      <c r="K10271" t="inlineStr">
        <is>
          <t>N/A</t>
        </is>
      </c>
      <c r="L10271" t="inlineStr">
        <is>
          <t>Analytical Skills, AutoCAD, Injection Molding, MS Excel, Repair Machinery</t>
        </is>
      </c>
      <c r="M10271" t="inlineStr">
        <is>
          <t>Bonus, Healthcare Plan, Others</t>
        </is>
      </c>
      <c r="N10271" s="8">
        <f>HYPERLINK("https://www.vietnamworks.com/maintenance-staff-2022448-jv","Xem chi tiết")</f>
        <v/>
      </c>
    </row>
    <row r="10272">
      <c r="B10272" s="9" t="n">
        <v>10270</v>
      </c>
      <c r="C10272" s="10" t="inlineStr">
        <is>
          <t>Structural Design Engineer</t>
        </is>
      </c>
      <c r="D10272" s="10" t="inlineStr">
        <is>
          <t>MT Hojgaard Vietnam Co., Ltd.</t>
        </is>
      </c>
      <c r="E10272" s="10" t="inlineStr">
        <is>
          <t>Thương lượng</t>
        </is>
      </c>
      <c r="F10272" s="10" t="inlineStr">
        <is>
          <t>Hồ Chí Minh</t>
        </is>
      </c>
      <c r="G10272" s="10" t="inlineStr">
        <is>
          <t>Nhân viên</t>
        </is>
      </c>
      <c r="H10272" s="10" t="inlineStr">
        <is>
          <t>12/03/2026</t>
        </is>
      </c>
      <c r="I10272" s="10" t="inlineStr">
        <is>
          <t>11/04/2026</t>
        </is>
      </c>
      <c r="J10272" s="10" t="inlineStr">
        <is>
          <t>17/03/2026</t>
        </is>
      </c>
      <c r="K10272" s="10" t="inlineStr">
        <is>
          <t>N/A</t>
        </is>
      </c>
      <c r="L10272" s="10" t="inlineStr">
        <is>
          <t>Structural Design, Civil, Structural Analysis, Structural Engineering, BIM</t>
        </is>
      </c>
      <c r="M10272" s="10" t="inlineStr">
        <is>
          <t>Bonus, Healthcare Plan, Training</t>
        </is>
      </c>
      <c r="N10272" s="11">
        <f>HYPERLINK("https://www.vietnamworks.com/structural-design-engineer--2022428-jv","Xem chi tiết")</f>
        <v/>
      </c>
      <c r="O10272" s="10" t="n"/>
    </row>
    <row r="10273">
      <c r="B10273" s="7" t="n">
        <v>10271</v>
      </c>
      <c r="C10273" t="inlineStr">
        <is>
          <t>Nhân Viên Thiết Kế Cơ Khí (Phòng R&amp;D)</t>
        </is>
      </c>
      <c r="D10273" t="inlineStr">
        <is>
          <t>Công Ty Cổ Phần Tập đoàn Mutosi</t>
        </is>
      </c>
      <c r="E10273" t="inlineStr">
        <is>
          <t>12tr-15tr ₫/tháng</t>
        </is>
      </c>
      <c r="F10273" t="inlineStr">
        <is>
          <t>Hà Nội</t>
        </is>
      </c>
      <c r="G10273" t="inlineStr">
        <is>
          <t>Nhân viên</t>
        </is>
      </c>
      <c r="H10273" t="inlineStr">
        <is>
          <t>12/03/2026</t>
        </is>
      </c>
      <c r="I10273" t="inlineStr">
        <is>
          <t>11/04/2026</t>
        </is>
      </c>
      <c r="J10273" t="inlineStr">
        <is>
          <t>17/03/2026</t>
        </is>
      </c>
      <c r="K10273" t="inlineStr">
        <is>
          <t>N/A</t>
        </is>
      </c>
      <c r="L10273" t="inlineStr">
        <is>
          <t>Kỹ Thuật, Cơ Khí, R&amp;D, Sản xuất, Thiết Kế Cơ Khí</t>
        </is>
      </c>
      <c r="M10273" t="inlineStr">
        <is>
          <t>Bonus, Paid Leave, Training, Transportation, Others</t>
        </is>
      </c>
      <c r="N10273" s="8">
        <f>HYPERLINK("https://www.vietnamworks.com/nhan-vien-thiet-ke-co-khi-phong-randd-2022449-jv","Xem chi tiết")</f>
        <v/>
      </c>
    </row>
    <row r="10274">
      <c r="B10274" s="9" t="n">
        <v>10272</v>
      </c>
      <c r="C10274" s="10" t="inlineStr">
        <is>
          <t>Key Account Manager</t>
        </is>
      </c>
      <c r="D10274" s="10" t="inlineStr">
        <is>
          <t>CÔNG TY TNHH GEBRUDER WEISS</t>
        </is>
      </c>
      <c r="E10274" s="10" t="inlineStr">
        <is>
          <t>Thương lượng</t>
        </is>
      </c>
      <c r="F10274" s="10" t="inlineStr">
        <is>
          <t>Hà Nội</t>
        </is>
      </c>
      <c r="G10274" s="10" t="inlineStr">
        <is>
          <t>Trưởng phòng</t>
        </is>
      </c>
      <c r="H10274" s="10" t="inlineStr">
        <is>
          <t>12/03/2026</t>
        </is>
      </c>
      <c r="I10274" s="10" t="inlineStr">
        <is>
          <t>11/04/2026</t>
        </is>
      </c>
      <c r="J10274" s="10" t="inlineStr">
        <is>
          <t>17/03/2026</t>
        </is>
      </c>
      <c r="K10274" s="10" t="inlineStr">
        <is>
          <t>N/A</t>
        </is>
      </c>
      <c r="L10274" s="10" t="inlineStr">
        <is>
          <t>Customer Engagement, English, International Trade, Market Research, Relationship Management</t>
        </is>
      </c>
      <c r="M10274" s="10" t="inlineStr">
        <is>
          <t>Bonus, Healthcare Plan, Paid Leave, Travel Opportunities</t>
        </is>
      </c>
      <c r="N10274" s="11">
        <f>HYPERLINK("https://www.vietnamworks.com/key-account-manager-2022418-jv","Xem chi tiết")</f>
        <v/>
      </c>
      <c r="O10274" s="10" t="n"/>
    </row>
    <row r="10275">
      <c r="B10275" s="7" t="n">
        <v>10273</v>
      </c>
      <c r="C10275" t="inlineStr">
        <is>
          <t>[HCM] Chuyên Viên Tư Vấn B2B| Data Khách Hàng Có Sẵn | Open for Fresher &amp; 2-Month Training Program</t>
        </is>
      </c>
      <c r="D10275" t="inlineStr">
        <is>
          <t>Navigos Group</t>
        </is>
      </c>
      <c r="E10275" t="inlineStr">
        <is>
          <t>$$ 300-500 /tháng</t>
        </is>
      </c>
      <c r="F10275" t="inlineStr">
        <is>
          <t>Hồ Chí Minh</t>
        </is>
      </c>
      <c r="G10275" t="inlineStr">
        <is>
          <t>Mới Tốt Nghiệp</t>
        </is>
      </c>
      <c r="H10275" t="inlineStr">
        <is>
          <t>12/03/2026</t>
        </is>
      </c>
      <c r="I10275" t="inlineStr">
        <is>
          <t>11/04/2026</t>
        </is>
      </c>
      <c r="J10275" t="inlineStr">
        <is>
          <t>17/03/2026</t>
        </is>
      </c>
      <c r="K10275" t="inlineStr">
        <is>
          <t>N/A</t>
        </is>
      </c>
      <c r="L10275" t="inlineStr">
        <is>
          <t>B2B Sales, Tư Vấn, Telesales, Khả năng chịu áp lực, Giao Tiếp Tốt</t>
        </is>
      </c>
      <c r="M10275" t="inlineStr">
        <is>
          <t>Healthcare Plan, Paid Leave, Awards</t>
        </is>
      </c>
      <c r="N10275" s="8">
        <f>HYPERLINK("https://www.vietnamworks.com/hcm-chuyen-vien-tu-van-b2b-data-khach-hang-co-san-open-for-fresher-2-month-training-program-2022420-jv","Xem chi tiết")</f>
        <v/>
      </c>
    </row>
    <row r="10276">
      <c r="B10276" s="9" t="n">
        <v>10274</v>
      </c>
      <c r="C10276" s="10" t="inlineStr">
        <is>
          <t>[TP Vũng Tàu] Phó Giám Đốc Hành Chính</t>
        </is>
      </c>
      <c r="D10276" s="10" t="inlineStr">
        <is>
          <t>CÔNG TY CỔ PHẦN PHÁT TRIỂN NHÀ BÀ RỊA - VŨNG TÀU</t>
        </is>
      </c>
      <c r="E10276" s="10" t="inlineStr">
        <is>
          <t>Tới 580tr ₫/năm</t>
        </is>
      </c>
      <c r="F10276" s="10" t="inlineStr">
        <is>
          <t>Bà Rịa - Vũng Tàu, Hồ Chí Minh</t>
        </is>
      </c>
      <c r="G10276" s="10" t="inlineStr">
        <is>
          <t>Giám Đốc và Cấp Cao Hơn</t>
        </is>
      </c>
      <c r="H10276" s="10" t="inlineStr">
        <is>
          <t>12/03/2026</t>
        </is>
      </c>
      <c r="I10276" s="10" t="inlineStr">
        <is>
          <t>11/04/2026</t>
        </is>
      </c>
      <c r="J10276" s="10" t="inlineStr">
        <is>
          <t>17/03/2026</t>
        </is>
      </c>
      <c r="K10276" s="10" t="inlineStr">
        <is>
          <t>N/A</t>
        </is>
      </c>
      <c r="L10276" s="10" t="inlineStr">
        <is>
          <t>Quản Lý Hành Chính, Quản Lý Nhân Sự, Hoạch Định Chiến Lược, Quản Lý Ngân Sách, Tiếng Anh</t>
        </is>
      </c>
      <c r="M10276" s="10" t="inlineStr">
        <is>
          <t>Healthcare Plan, Training, Team Activities, Others</t>
        </is>
      </c>
      <c r="N10276" s="11">
        <f>HYPERLINK("https://www.vietnamworks.com/tp-vung-tau-pho-giam-doc-hanh-chinh-2022451-jv","Xem chi tiết")</f>
        <v/>
      </c>
      <c r="O10276" s="10" t="n"/>
    </row>
    <row r="10277">
      <c r="B10277" s="7" t="n">
        <v>10275</v>
      </c>
      <c r="C10277" t="inlineStr">
        <is>
          <t>Kế Toán Nội Bộ (Quản Lý Công Nợ)</t>
        </is>
      </c>
      <c r="D10277" t="inlineStr">
        <is>
          <t>Công Ty TNHH Icel Logistics</t>
        </is>
      </c>
      <c r="E10277" t="inlineStr">
        <is>
          <t>8tr-12tr ₫/tháng</t>
        </is>
      </c>
      <c r="F10277" t="inlineStr">
        <is>
          <t>Hà Nội</t>
        </is>
      </c>
      <c r="G10277" t="inlineStr">
        <is>
          <t>Nhân viên</t>
        </is>
      </c>
      <c r="H10277" t="inlineStr">
        <is>
          <t>12/03/2026</t>
        </is>
      </c>
      <c r="I10277" t="inlineStr">
        <is>
          <t>11/04/2026</t>
        </is>
      </c>
      <c r="J10277" t="inlineStr">
        <is>
          <t>17/03/2026</t>
        </is>
      </c>
      <c r="K10277" t="inlineStr">
        <is>
          <t>N/A</t>
        </is>
      </c>
      <c r="L10277" t="inlineStr">
        <is>
          <t>Kế Toán, Quản Lý Công Nợ, Kế Toán Nội Bộ, Excel, Tài Chính</t>
        </is>
      </c>
      <c r="M10277" t="inlineStr">
        <is>
          <t>Bonus, Healthcare Plan, Paid Leave, Others</t>
        </is>
      </c>
      <c r="N10277" s="8">
        <f>HYPERLINK("https://www.vietnamworks.com/ke-toan-noi-bo-quan-ly-cong-no-2022452-jv","Xem chi tiết")</f>
        <v/>
      </c>
    </row>
    <row r="10278">
      <c r="B10278" s="9" t="n">
        <v>10276</v>
      </c>
      <c r="C10278" s="10" t="inlineStr">
        <is>
          <t>Cán Bộ Nhân Sự Phụ Trách Tuyển Dụng</t>
        </is>
      </c>
      <c r="D10278" s="10" t="inlineStr">
        <is>
          <t>Tổ Chức Giáo Dục FPT</t>
        </is>
      </c>
      <c r="E10278" s="10" t="inlineStr">
        <is>
          <t>Thương lượng</t>
        </is>
      </c>
      <c r="F10278" s="10" t="inlineStr">
        <is>
          <t>Gia Lai</t>
        </is>
      </c>
      <c r="G10278" s="10" t="inlineStr">
        <is>
          <t>Nhân viên</t>
        </is>
      </c>
      <c r="H10278" s="10" t="inlineStr">
        <is>
          <t>12/03/2026</t>
        </is>
      </c>
      <c r="I10278" s="10" t="inlineStr">
        <is>
          <t>11/04/2026</t>
        </is>
      </c>
      <c r="J10278" s="10" t="inlineStr">
        <is>
          <t>17/03/2026</t>
        </is>
      </c>
      <c r="K10278" s="10" t="inlineStr">
        <is>
          <t>N/A</t>
        </is>
      </c>
      <c r="L10278" s="10" t="inlineStr">
        <is>
          <t>Giao Tiếp, Kinh Tế, Quản Trị Kinh Doanh, Quản Trị Nguồn Nhân Lực, Tiếng Anh thành thạo</t>
        </is>
      </c>
      <c r="M10278" s="10" t="inlineStr">
        <is>
          <t>Healthcare Plan, Training, Others</t>
        </is>
      </c>
      <c r="N10278" s="11">
        <f>HYPERLINK("https://www.vietnamworks.com/can-bo-nhan-su-phu-trach-tuyen-dung-2022450-jv","Xem chi tiết")</f>
        <v/>
      </c>
      <c r="O10278" s="10" t="n"/>
    </row>
    <row r="10279">
      <c r="B10279" s="7" t="n">
        <v>10277</v>
      </c>
      <c r="C10279" t="inlineStr">
        <is>
          <t>Chuyên Viên Nhân Sự (Mạnh C&amp;B)</t>
        </is>
      </c>
      <c r="D10279" t="inlineStr">
        <is>
          <t>Parkway Dental</t>
        </is>
      </c>
      <c r="E10279" t="inlineStr">
        <is>
          <t>$$ 500-500 /tháng</t>
        </is>
      </c>
      <c r="F10279" t="inlineStr">
        <is>
          <t>Hà Nội</t>
        </is>
      </c>
      <c r="G10279" t="inlineStr">
        <is>
          <t>Nhân viên</t>
        </is>
      </c>
      <c r="H10279" t="inlineStr">
        <is>
          <t>12/03/2026</t>
        </is>
      </c>
      <c r="I10279" t="inlineStr">
        <is>
          <t>11/04/2026</t>
        </is>
      </c>
      <c r="J10279" t="inlineStr">
        <is>
          <t>17/03/2026</t>
        </is>
      </c>
      <c r="K10279" t="inlineStr">
        <is>
          <t>N/A</t>
        </is>
      </c>
      <c r="L10279" t="inlineStr">
        <is>
          <t>Nhân Sự, Luật Lao Động, Chính Sách Nhân Sự, HR, C&amp;B</t>
        </is>
      </c>
      <c r="M10279" t="inlineStr">
        <is>
          <t>Bonus, Training, Team Activities</t>
        </is>
      </c>
      <c r="N10279" s="8">
        <f>HYPERLINK("https://www.vietnamworks.com/chuyen-vien-nhan-su-manh-c-b--2022447-jv","Xem chi tiết")</f>
        <v/>
      </c>
    </row>
    <row r="10280">
      <c r="B10280" s="9" t="n">
        <v>10278</v>
      </c>
      <c r="C10280" s="10" t="inlineStr">
        <is>
          <t>Key Accounts Executive</t>
        </is>
      </c>
      <c r="D10280" s="10" t="inlineStr">
        <is>
          <t>Công Ty TNHH Fonterra Brands Việt Nam</t>
        </is>
      </c>
      <c r="E10280" s="10" t="inlineStr">
        <is>
          <t>Thương lượng</t>
        </is>
      </c>
      <c r="F10280" s="10" t="inlineStr">
        <is>
          <t>Hồ Chí Minh</t>
        </is>
      </c>
      <c r="G10280" s="10" t="inlineStr">
        <is>
          <t>Nhân viên</t>
        </is>
      </c>
      <c r="H10280" s="10" t="inlineStr">
        <is>
          <t>12/03/2026</t>
        </is>
      </c>
      <c r="I10280" s="10" t="inlineStr">
        <is>
          <t>11/04/2026</t>
        </is>
      </c>
      <c r="J10280" s="10" t="inlineStr">
        <is>
          <t>17/03/2026</t>
        </is>
      </c>
      <c r="K10280" s="10" t="inlineStr">
        <is>
          <t>N/A</t>
        </is>
      </c>
      <c r="L10280" s="10" t="inlineStr">
        <is>
          <t>FMCG, English, MS Office, F&amp;B, Sales Operation</t>
        </is>
      </c>
      <c r="M10280" s="10" t="inlineStr">
        <is>
          <t>Bonus, Healthcare Plan, Paid Leave</t>
        </is>
      </c>
      <c r="N10280" s="11">
        <f>HYPERLINK("https://www.vietnamworks.com/key-accounts-executive--2022416-jv","Xem chi tiết")</f>
        <v/>
      </c>
      <c r="O10280" s="10" t="n"/>
    </row>
    <row r="10281">
      <c r="B10281" s="7" t="n">
        <v>10279</v>
      </c>
      <c r="C10281" t="inlineStr">
        <is>
          <t>Chuyên Viên Xử Lý Hồ Sơ Visa (Tiếng Anh/tiếng Trung)</t>
        </is>
      </c>
      <c r="D10281" t="inlineStr">
        <is>
          <t>Công Ty TNHH Aden Services (Việt Nam) - CN Hà Nội</t>
        </is>
      </c>
      <c r="E10281" t="inlineStr">
        <is>
          <t>12tr-15tr ₫/tháng</t>
        </is>
      </c>
      <c r="F10281" t="inlineStr">
        <is>
          <t>Hà Nội</t>
        </is>
      </c>
      <c r="G10281" t="inlineStr">
        <is>
          <t>Nhân viên</t>
        </is>
      </c>
      <c r="H10281" t="inlineStr">
        <is>
          <t>12/03/2026</t>
        </is>
      </c>
      <c r="I10281" t="inlineStr">
        <is>
          <t>11/04/2026</t>
        </is>
      </c>
      <c r="J10281" t="inlineStr">
        <is>
          <t>17/03/2026</t>
        </is>
      </c>
      <c r="K10281" t="inlineStr">
        <is>
          <t>N/A</t>
        </is>
      </c>
      <c r="L10281" t="inlineStr">
        <is>
          <t>Tiếng Anh, Tiếng Trung, Tin Học Văn Phòng, Xử Lý Hồ Sơ, HSK4</t>
        </is>
      </c>
      <c r="M10281" t="inlineStr">
        <is>
          <t>Bonus, Training, Others</t>
        </is>
      </c>
      <c r="N10281" s="8">
        <f>HYPERLINK("https://www.vietnamworks.com/chuyen-vien-xu-ly-ho-so-visa-tieng-anh-tieng-trung-2022436-jv","Xem chi tiết")</f>
        <v/>
      </c>
    </row>
    <row r="10282">
      <c r="B10282" s="9" t="n">
        <v>10280</v>
      </c>
      <c r="C10282" s="10" t="inlineStr">
        <is>
          <t>Total Rewards Supervisor (Securities Industry)</t>
        </is>
      </c>
      <c r="D10282" s="10" t="inlineStr">
        <is>
          <t>Công Ty Cổ Phần Chứng Khoán Phú Hưng (PHS)</t>
        </is>
      </c>
      <c r="E10282" s="10" t="inlineStr">
        <is>
          <t>Thương lượng</t>
        </is>
      </c>
      <c r="F10282" s="10" t="inlineStr">
        <is>
          <t>Hồ Chí Minh</t>
        </is>
      </c>
      <c r="G10282" s="10" t="inlineStr">
        <is>
          <t>Nhân viên</t>
        </is>
      </c>
      <c r="H10282" s="10" t="inlineStr">
        <is>
          <t>12/03/2026</t>
        </is>
      </c>
      <c r="I10282" s="10" t="inlineStr">
        <is>
          <t>11/04/2026</t>
        </is>
      </c>
      <c r="J10282" s="10" t="inlineStr">
        <is>
          <t>17/03/2026</t>
        </is>
      </c>
      <c r="K10282" s="10" t="inlineStr">
        <is>
          <t>N/A</t>
        </is>
      </c>
      <c r="L10282" s="10" t="inlineStr">
        <is>
          <t>Analytical Skills, Communication Skills, Compensation &amp; Benefits, Project Management, Salary Benchmarking</t>
        </is>
      </c>
      <c r="M10282" s="10" t="inlineStr">
        <is>
          <t>Bonus, Healthcare Plan, Paid Leave, Training, Team Activities, Others</t>
        </is>
      </c>
      <c r="N10282" s="11">
        <f>HYPERLINK("https://www.vietnamworks.com/total-rewards-supervisor-securities-industry-2022442-jv","Xem chi tiết")</f>
        <v/>
      </c>
      <c r="O10282" s="10" t="n"/>
    </row>
    <row r="10283">
      <c r="B10283" s="7" t="n">
        <v>10281</v>
      </c>
      <c r="C10283" t="inlineStr">
        <is>
          <t>Trưởng Phòng Quản Lý Kinh Doanh</t>
        </is>
      </c>
      <c r="D10283" t="inlineStr">
        <is>
          <t>Tập Đoàn Nam Cường</t>
        </is>
      </c>
      <c r="E10283" t="inlineStr">
        <is>
          <t>Thương lượng</t>
        </is>
      </c>
      <c r="F10283" t="inlineStr">
        <is>
          <t>Hà Nội</t>
        </is>
      </c>
      <c r="G10283" t="inlineStr">
        <is>
          <t>Trưởng phòng</t>
        </is>
      </c>
      <c r="H10283" t="inlineStr">
        <is>
          <t>12/03/2026</t>
        </is>
      </c>
      <c r="I10283" t="inlineStr">
        <is>
          <t>11/04/2026</t>
        </is>
      </c>
      <c r="J10283" t="inlineStr">
        <is>
          <t>17/03/2026</t>
        </is>
      </c>
      <c r="K10283" t="inlineStr">
        <is>
          <t>N/A</t>
        </is>
      </c>
      <c r="L10283" t="inlineStr">
        <is>
          <t>Quản Trị Kinh Doanh, Kinh Doanh Bất Động Sản, Lập Kế Hoạch Kinh Doanh, Định Giá Bất Động Sản, Giao Tiếp</t>
        </is>
      </c>
      <c r="M10283" t="inlineStr">
        <is>
          <t>Bonus, Training, Travel Opportunities, Transportation, Others</t>
        </is>
      </c>
      <c r="N10283" s="8">
        <f>HYPERLINK("https://www.vietnamworks.com/truong-phong-quan-ly-kinh-doanh-2022453-jv","Xem chi tiết")</f>
        <v/>
      </c>
    </row>
    <row r="10284">
      <c r="B10284" s="9" t="n">
        <v>10282</v>
      </c>
      <c r="C10284" s="10" t="inlineStr">
        <is>
          <t>Quản Lý Kinh Doanh – Khu Vực TP.HCM, Miền Bắc, Miền Trung</t>
        </is>
      </c>
      <c r="D10284" s="10" t="inlineStr">
        <is>
          <t>CÔNG TY CỔ PHẦN THIẾT BỊ NHA KHOA KỸ THUẬT CAO DENTPRO</t>
        </is>
      </c>
      <c r="E10284" s="10" t="inlineStr">
        <is>
          <t>$$ 10tr-30tr /tháng</t>
        </is>
      </c>
      <c r="F10284" s="10" t="inlineStr">
        <is>
          <t>Hồ Chí Minh</t>
        </is>
      </c>
      <c r="G10284" s="10" t="inlineStr">
        <is>
          <t>Nhân viên</t>
        </is>
      </c>
      <c r="H10284" s="10" t="inlineStr">
        <is>
          <t>12/03/2026</t>
        </is>
      </c>
      <c r="I10284" s="10" t="inlineStr">
        <is>
          <t>11/04/2026</t>
        </is>
      </c>
      <c r="J10284" s="10" t="inlineStr">
        <is>
          <t>17/03/2026</t>
        </is>
      </c>
      <c r="K10284" s="10" t="inlineStr">
        <is>
          <t>N/A</t>
        </is>
      </c>
      <c r="L10284" s="10" t="inlineStr">
        <is>
          <t>Kỹ năng giao tiếp, Kỹ Năng Làm Việc- Quản Lý Nhóm, Kỹ năng lập kế hoạch, Kỹ năng phối hợp, Phân Tích Dữ Liệu</t>
        </is>
      </c>
      <c r="M10284" s="10" t="inlineStr">
        <is>
          <t>Healthcare Plan, Paid Leave, Others</t>
        </is>
      </c>
      <c r="N10284" s="11">
        <f>HYPERLINK("https://www.vietnamworks.com/quan-ly-kinh-doanh-khu-vuc-tp-hcm-mien-bac-mien-trung-2022456-jv","Xem chi tiết")</f>
        <v/>
      </c>
      <c r="O10284" s="10" t="n"/>
    </row>
    <row r="10285">
      <c r="B10285" s="7" t="n">
        <v>10283</v>
      </c>
      <c r="C10285" t="inlineStr">
        <is>
          <t>Kỹ Sư Kinh Tế Xây Dựng</t>
        </is>
      </c>
      <c r="D10285" t="inlineStr">
        <is>
          <t>Archivina</t>
        </is>
      </c>
      <c r="E10285" t="inlineStr">
        <is>
          <t>10tr-18tr ₫/tháng</t>
        </is>
      </c>
      <c r="F10285" t="inlineStr">
        <is>
          <t>Hà Nội</t>
        </is>
      </c>
      <c r="G10285" t="inlineStr">
        <is>
          <t>Mới Tốt Nghiệp</t>
        </is>
      </c>
      <c r="H10285" t="inlineStr">
        <is>
          <t>12/03/2026</t>
        </is>
      </c>
      <c r="I10285" t="inlineStr">
        <is>
          <t>11/04/2026</t>
        </is>
      </c>
      <c r="J10285" t="inlineStr">
        <is>
          <t>17/03/2026</t>
        </is>
      </c>
      <c r="K10285" t="inlineStr">
        <is>
          <t>N/A</t>
        </is>
      </c>
      <c r="L10285" t="inlineStr">
        <is>
          <t>Kinh Tế Xây Dựng, AutoCAD, Bóc Tách Khối Lượng, Dự Toán, Quản Lý Vốn Đầu Tư</t>
        </is>
      </c>
      <c r="M10285" t="inlineStr">
        <is>
          <t>Bonus, Healthcare Plan, Training, Team Activities</t>
        </is>
      </c>
      <c r="N10285" s="8">
        <f>HYPERLINK("https://www.vietnamworks.com/ky-su-kinh-te-xay-dung-2022454-jv","Xem chi tiết")</f>
        <v/>
      </c>
    </row>
    <row r="10286">
      <c r="B10286" s="9" t="n">
        <v>10284</v>
      </c>
      <c r="C10286" s="10" t="inlineStr">
        <is>
          <t>Kỹ Sư Xây Dựng</t>
        </is>
      </c>
      <c r="D10286" s="10" t="inlineStr">
        <is>
          <t>CÔNG TY TNHH KIẾN TRÚC LEGOS</t>
        </is>
      </c>
      <c r="E10286" s="10" t="inlineStr">
        <is>
          <t>15tr-17tr ₫/tháng</t>
        </is>
      </c>
      <c r="F10286" s="10" t="inlineStr">
        <is>
          <t>Hà Nội</t>
        </is>
      </c>
      <c r="G10286" s="10" t="inlineStr">
        <is>
          <t>Nhân viên</t>
        </is>
      </c>
      <c r="H10286" s="10" t="inlineStr">
        <is>
          <t>12/03/2026</t>
        </is>
      </c>
      <c r="I10286" s="10" t="inlineStr">
        <is>
          <t>11/04/2026</t>
        </is>
      </c>
      <c r="J10286" s="10" t="inlineStr">
        <is>
          <t>17/03/2026</t>
        </is>
      </c>
      <c r="K10286" s="10" t="inlineStr">
        <is>
          <t>N/A</t>
        </is>
      </c>
      <c r="L10286" s="10" t="inlineStr">
        <is>
          <t>Autocad, Kiến Trúc Sư, Kỹ Sư Xây Dựng, Sáng Tạo, Sketchup</t>
        </is>
      </c>
      <c r="M10286" s="10" t="inlineStr">
        <is>
          <t>Canteen, Others</t>
        </is>
      </c>
      <c r="N10286" s="11">
        <f>HYPERLINK("https://www.vietnamworks.com/ky-su-xay-dung-2022461-jv","Xem chi tiết")</f>
        <v/>
      </c>
      <c r="O10286" s="10" t="n"/>
    </row>
    <row r="10287">
      <c r="B10287" s="7" t="n">
        <v>10285</v>
      </c>
      <c r="C10287" t="inlineStr">
        <is>
          <t>Admin and HR Manager/ Trưởng Bộ Phận Hành Chính và Nhân Sự</t>
        </is>
      </c>
      <c r="D10287" t="inlineStr">
        <is>
          <t>Công Ty TNHH May Mặc Đồ Bơi Thống Nhất</t>
        </is>
      </c>
      <c r="E10287" t="inlineStr">
        <is>
          <t>Thương lượng</t>
        </is>
      </c>
      <c r="F10287" t="inlineStr">
        <is>
          <t>Khánh Hòa</t>
        </is>
      </c>
      <c r="G10287" t="inlineStr">
        <is>
          <t>Trưởng phòng</t>
        </is>
      </c>
      <c r="H10287" t="inlineStr">
        <is>
          <t>12/03/2026</t>
        </is>
      </c>
      <c r="I10287" t="inlineStr">
        <is>
          <t>11/04/2026</t>
        </is>
      </c>
      <c r="J10287" t="inlineStr">
        <is>
          <t>17/03/2026</t>
        </is>
      </c>
      <c r="K10287" t="inlineStr">
        <is>
          <t>N/A</t>
        </is>
      </c>
      <c r="L10287" t="inlineStr">
        <is>
          <t>Vietnam Labor Laws, English, C&amp;B, Employee Relation, Recruitment Management</t>
        </is>
      </c>
      <c r="M10287" t="inlineStr">
        <is>
          <t>Bonus, Healthcare Plan, Transportation</t>
        </is>
      </c>
      <c r="N10287" s="8">
        <f>HYPERLINK("https://www.vietnamworks.com/admin-and-hr-manager-truong-bo-phan-hanh-chinh-va-nhan-su-2022467-jv","Xem chi tiết")</f>
        <v/>
      </c>
    </row>
    <row r="10288">
      <c r="B10288" s="9" t="n">
        <v>10286</v>
      </c>
      <c r="C10288" s="10" t="inlineStr">
        <is>
          <t>Medical Manager</t>
        </is>
      </c>
      <c r="D10288" s="10" t="inlineStr">
        <is>
          <t>The Vigo</t>
        </is>
      </c>
      <c r="E10288" s="10" t="inlineStr">
        <is>
          <t>$$ 1,700-2,000 /tháng</t>
        </is>
      </c>
      <c r="F10288" s="10" t="inlineStr">
        <is>
          <t>Hồ Chí Minh</t>
        </is>
      </c>
      <c r="G10288" s="10" t="inlineStr">
        <is>
          <t>Trưởng phòng</t>
        </is>
      </c>
      <c r="H10288" s="10" t="inlineStr">
        <is>
          <t>12/03/2026</t>
        </is>
      </c>
      <c r="I10288" s="10" t="inlineStr">
        <is>
          <t>11/04/2026</t>
        </is>
      </c>
      <c r="J10288" s="10" t="inlineStr">
        <is>
          <t>17/03/2026</t>
        </is>
      </c>
      <c r="K10288" s="10" t="inlineStr">
        <is>
          <t>N/A</t>
        </is>
      </c>
      <c r="L10288" s="10" t="inlineStr">
        <is>
          <t>Pharmacy, Medical, Healthcare Management, Medical Doctor, Medical Affairs</t>
        </is>
      </c>
      <c r="M10288" s="10" t="inlineStr">
        <is>
          <t>Bonus, Training, Team Activities</t>
        </is>
      </c>
      <c r="N10288" s="11">
        <f>HYPERLINK("https://www.vietnamworks.com/medical-manager--2022472-jv","Xem chi tiết")</f>
        <v/>
      </c>
      <c r="O10288" s="10" t="n"/>
    </row>
    <row r="10289">
      <c r="B10289" s="7" t="n">
        <v>10287</v>
      </c>
      <c r="C10289" t="inlineStr">
        <is>
          <t>Trợ Lý Giám Đốc</t>
        </is>
      </c>
      <c r="D10289" t="inlineStr">
        <is>
          <t>Công ty cổ phần Lux Decor Việt Nam</t>
        </is>
      </c>
      <c r="E10289" t="inlineStr">
        <is>
          <t>Thương lượng</t>
        </is>
      </c>
      <c r="F10289" t="inlineStr">
        <is>
          <t>Hà Nội</t>
        </is>
      </c>
      <c r="G10289" t="inlineStr">
        <is>
          <t>Trưởng phòng</t>
        </is>
      </c>
      <c r="H10289" t="inlineStr">
        <is>
          <t>12/03/2026</t>
        </is>
      </c>
      <c r="I10289" t="inlineStr">
        <is>
          <t>11/04/2026</t>
        </is>
      </c>
      <c r="J10289" t="inlineStr">
        <is>
          <t>17/03/2026</t>
        </is>
      </c>
      <c r="K10289" t="inlineStr">
        <is>
          <t>N/A</t>
        </is>
      </c>
      <c r="L10289" t="inlineStr">
        <is>
          <t>Kinh Tế, Tài Chính, Giao Tiếp, Trợ Lý, Điều Phối</t>
        </is>
      </c>
      <c r="M10289" t="inlineStr">
        <is>
          <t>Bonus, Healthcare Plan, Training, Travel Opportunities, Others</t>
        </is>
      </c>
      <c r="N10289" s="8">
        <f>HYPERLINK("https://www.vietnamworks.com/tro-ly-giam-djoc-2022463-jv","Xem chi tiết")</f>
        <v/>
      </c>
    </row>
    <row r="10290">
      <c r="B10290" s="9" t="n">
        <v>10288</v>
      </c>
      <c r="C10290" s="10" t="inlineStr">
        <is>
          <t>Odoo Developer</t>
        </is>
      </c>
      <c r="D10290" s="10" t="inlineStr">
        <is>
          <t>ATT Vietnam</t>
        </is>
      </c>
      <c r="E10290" s="10" t="inlineStr">
        <is>
          <t>Thương lượng</t>
        </is>
      </c>
      <c r="F10290" s="10" t="inlineStr">
        <is>
          <t>Hà Nội</t>
        </is>
      </c>
      <c r="G10290" s="10" t="inlineStr">
        <is>
          <t>Nhân viên</t>
        </is>
      </c>
      <c r="H10290" s="10" t="inlineStr">
        <is>
          <t>12/03/2026</t>
        </is>
      </c>
      <c r="I10290" s="10" t="inlineStr">
        <is>
          <t>11/04/2026</t>
        </is>
      </c>
      <c r="J10290" s="10" t="inlineStr">
        <is>
          <t>17/03/2026</t>
        </is>
      </c>
      <c r="K10290" s="10" t="inlineStr">
        <is>
          <t>N/A</t>
        </is>
      </c>
      <c r="L10290" s="10" t="inlineStr">
        <is>
          <t>Odoo, ERP, CRM</t>
        </is>
      </c>
      <c r="M10290" s="10" t="inlineStr">
        <is>
          <t>Mobile, Transportation</t>
        </is>
      </c>
      <c r="N10290" s="11">
        <f>HYPERLINK("https://www.vietnamworks.com/odoo-developer--2022475-jv","Xem chi tiết")</f>
        <v/>
      </c>
      <c r="O10290" s="10" t="n"/>
    </row>
    <row r="10291">
      <c r="B10291" s="7" t="n">
        <v>10289</v>
      </c>
      <c r="C10291" t="inlineStr">
        <is>
          <t>Accounting Staff</t>
        </is>
      </c>
      <c r="D10291" t="inlineStr">
        <is>
          <t>LG Electronics Vietnam Hai Phong - Sales &amp; Marketing Company</t>
        </is>
      </c>
      <c r="E10291" t="inlineStr">
        <is>
          <t>Thương lượng</t>
        </is>
      </c>
      <c r="F10291" t="inlineStr">
        <is>
          <t>Hà Nội</t>
        </is>
      </c>
      <c r="G10291" t="inlineStr">
        <is>
          <t>Nhân viên</t>
        </is>
      </c>
      <c r="H10291" t="inlineStr">
        <is>
          <t>12/03/2026</t>
        </is>
      </c>
      <c r="I10291" t="inlineStr">
        <is>
          <t>11/04/2026</t>
        </is>
      </c>
      <c r="J10291" t="inlineStr">
        <is>
          <t>17/03/2026</t>
        </is>
      </c>
      <c r="K10291" t="inlineStr">
        <is>
          <t>N/A</t>
        </is>
      </c>
      <c r="L10291" t="inlineStr">
        <is>
          <t>Accounting System, General Accounting, Kế Toán</t>
        </is>
      </c>
      <c r="M10291" t="inlineStr">
        <is>
          <t>Bonus, Paid Leave, Canteen</t>
        </is>
      </c>
      <c r="N10291" s="8">
        <f>HYPERLINK("https://www.vietnamworks.com/accounting-staff-213--2022479-jv","Xem chi tiết")</f>
        <v/>
      </c>
    </row>
    <row r="10292">
      <c r="B10292" s="9" t="n">
        <v>10290</v>
      </c>
      <c r="C10292" s="10" t="inlineStr">
        <is>
          <t>[Project Sales B2B] Nhân Viên Kinh Doanh Dự Án</t>
        </is>
      </c>
      <c r="D10292" s="10" t="inlineStr">
        <is>
          <t>CÔNG TY TNHH JOMOO KITCHEN &amp; BATH VIỆT NAM</t>
        </is>
      </c>
      <c r="E10292" s="10" t="inlineStr">
        <is>
          <t>Thương lượng</t>
        </is>
      </c>
      <c r="F10292" s="10" t="inlineStr">
        <is>
          <t>Hà Nội, Hồ Chí Minh</t>
        </is>
      </c>
      <c r="G10292" s="10" t="inlineStr">
        <is>
          <t>Nhân viên</t>
        </is>
      </c>
      <c r="H10292" s="10" t="inlineStr">
        <is>
          <t>12/03/2026</t>
        </is>
      </c>
      <c r="I10292" s="10" t="inlineStr">
        <is>
          <t>11/04/2026</t>
        </is>
      </c>
      <c r="J10292" s="10" t="inlineStr">
        <is>
          <t>17/03/2026</t>
        </is>
      </c>
      <c r="K10292" s="10" t="inlineStr">
        <is>
          <t>N/A</t>
        </is>
      </c>
      <c r="L10292" s="10" t="inlineStr">
        <is>
          <t>Biên Dịch Tiếng Trung, Dự án, Kinh Doanh, Phát Triển Kinh Doanh, Thiết Bị Vệ Sinh</t>
        </is>
      </c>
      <c r="M10292" s="10" t="inlineStr">
        <is>
          <t>Bonus, Healthcare Plan, Paid Leave</t>
        </is>
      </c>
      <c r="N10292" s="11">
        <f>HYPERLINK("https://www.vietnamworks.com/project-sales-b2b-nhan-vien-kinh-doanh-du-an--2022468-jv","Xem chi tiết")</f>
        <v/>
      </c>
      <c r="O10292" s="10" t="n"/>
    </row>
    <row r="10293">
      <c r="B10293" s="7" t="n">
        <v>10291</v>
      </c>
      <c r="C10293" t="inlineStr">
        <is>
          <t>Kỹ Thuật Viên Tiêu Chuẩn Chất Lượng Sản Phẩm/product Quality Standard Technician</t>
        </is>
      </c>
      <c r="D10293" t="inlineStr">
        <is>
          <t>Wendelbo SEA JSC</t>
        </is>
      </c>
      <c r="E10293" t="inlineStr">
        <is>
          <t>Thương lượng</t>
        </is>
      </c>
      <c r="F10293" t="inlineStr">
        <is>
          <t>Bình Dương</t>
        </is>
      </c>
      <c r="G10293" t="inlineStr">
        <is>
          <t>Nhân viên</t>
        </is>
      </c>
      <c r="H10293" t="inlineStr">
        <is>
          <t>12/03/2026</t>
        </is>
      </c>
      <c r="I10293" t="inlineStr">
        <is>
          <t>11/04/2026</t>
        </is>
      </c>
      <c r="J10293" t="inlineStr">
        <is>
          <t>17/03/2026</t>
        </is>
      </c>
      <c r="K10293" t="inlineStr">
        <is>
          <t>N/A</t>
        </is>
      </c>
      <c r="L10293" t="inlineStr">
        <is>
          <t>Kiểm Soát Chất Lượng, Product Testing, Product Quality Assurance, Product Quality Management, Prototype</t>
        </is>
      </c>
      <c r="M10293" t="inlineStr">
        <is>
          <t>Bonus, Healthcare Plan, Travel Opportunities</t>
        </is>
      </c>
      <c r="N10293" s="8">
        <f>HYPERLINK("https://www.vietnamworks.com/ky-thuat-vien-tieu-chuan-chat-luong-san-phamproduct-quality-standard-technician-2022478-jv","Xem chi tiết")</f>
        <v/>
      </c>
    </row>
    <row r="10294">
      <c r="B10294" s="9" t="n">
        <v>10292</v>
      </c>
      <c r="C10294" s="10" t="inlineStr">
        <is>
          <t>Nhân Viên Sales Admin (Yêu Cầu Tiếng Trung)</t>
        </is>
      </c>
      <c r="D10294" s="10" t="inlineStr">
        <is>
          <t>CÔNG TY TNHH VMD HVAC VIỆT NAM</t>
        </is>
      </c>
      <c r="E10294" s="10" t="inlineStr">
        <is>
          <t>12tr-20tr ₫/tháng</t>
        </is>
      </c>
      <c r="F10294" s="10" t="inlineStr">
        <is>
          <t>Hà Nội</t>
        </is>
      </c>
      <c r="G10294" s="10" t="inlineStr">
        <is>
          <t>Nhân viên</t>
        </is>
      </c>
      <c r="H10294" s="10" t="inlineStr">
        <is>
          <t>12/03/2026</t>
        </is>
      </c>
      <c r="I10294" s="10" t="inlineStr">
        <is>
          <t>11/04/2026</t>
        </is>
      </c>
      <c r="J10294" s="10" t="inlineStr">
        <is>
          <t>17/03/2026</t>
        </is>
      </c>
      <c r="K10294" s="10" t="inlineStr">
        <is>
          <t>N/A</t>
        </is>
      </c>
      <c r="L10294" s="10" t="inlineStr">
        <is>
          <t>HSK 5, Sales Admin, Sales Administration, Sales Support, Tiếng Trung</t>
        </is>
      </c>
      <c r="M10294" s="10" t="inlineStr">
        <is>
          <t>Bonus, Healthcare Plan, Training, Canteen, Others</t>
        </is>
      </c>
      <c r="N10294" s="11">
        <f>HYPERLINK("https://www.vietnamworks.com/nhan-vien-sales-admin-yeu-cau-tieng-trung-2022486-jv","Xem chi tiết")</f>
        <v/>
      </c>
      <c r="O10294" s="10" t="n"/>
    </row>
    <row r="10295">
      <c r="B10295" s="7" t="n">
        <v>10293</v>
      </c>
      <c r="C10295" t="inlineStr">
        <is>
          <t xml:space="preserve">Brand Manager </t>
        </is>
      </c>
      <c r="D10295" t="inlineStr">
        <is>
          <t>The Vigo</t>
        </is>
      </c>
      <c r="E10295" t="inlineStr">
        <is>
          <t>45tr-60tr ₫/tháng</t>
        </is>
      </c>
      <c r="F10295" t="inlineStr">
        <is>
          <t>Hồ Chí Minh</t>
        </is>
      </c>
      <c r="G10295" t="inlineStr">
        <is>
          <t>Trưởng phòng</t>
        </is>
      </c>
      <c r="H10295" t="inlineStr">
        <is>
          <t>12/03/2026</t>
        </is>
      </c>
      <c r="I10295" t="inlineStr">
        <is>
          <t>11/04/2026</t>
        </is>
      </c>
      <c r="J10295" t="inlineStr">
        <is>
          <t>17/03/2026</t>
        </is>
      </c>
      <c r="K10295" t="inlineStr">
        <is>
          <t>N/A</t>
        </is>
      </c>
      <c r="L10295" t="inlineStr">
        <is>
          <t>Communication, Integrated Marketing, Market Research, Marketing Strategy, Team Management</t>
        </is>
      </c>
      <c r="M10295" t="inlineStr">
        <is>
          <t>Bonus, Healthcare Plan, Training, Team Activities</t>
        </is>
      </c>
      <c r="N10295" s="8">
        <f>HYPERLINK("https://www.vietnamworks.com/brand-manager-2022473-jv","Xem chi tiết")</f>
        <v/>
      </c>
    </row>
    <row r="10296">
      <c r="B10296" s="9" t="n">
        <v>10294</v>
      </c>
      <c r="C10296" s="10" t="inlineStr">
        <is>
          <t>Kỹ Sư Tự Động Hóa (Plc, Robot)</t>
        </is>
      </c>
      <c r="D10296" s="10" t="inlineStr">
        <is>
          <t>Công Ty Cổ Phần Công Nghiệp Weldcom</t>
        </is>
      </c>
      <c r="E10296" s="10" t="inlineStr">
        <is>
          <t>15tr-25tr ₫/tháng</t>
        </is>
      </c>
      <c r="F10296" s="10" t="inlineStr">
        <is>
          <t>Hà Nội, Hà Tĩnh</t>
        </is>
      </c>
      <c r="G10296" s="10" t="inlineStr">
        <is>
          <t>Nhân viên</t>
        </is>
      </c>
      <c r="H10296" s="10" t="inlineStr">
        <is>
          <t>12/03/2026</t>
        </is>
      </c>
      <c r="I10296" s="10" t="inlineStr">
        <is>
          <t>11/04/2026</t>
        </is>
      </c>
      <c r="J10296" s="10" t="inlineStr">
        <is>
          <t>17/03/2026</t>
        </is>
      </c>
      <c r="K10296" s="10" t="inlineStr">
        <is>
          <t>N/A</t>
        </is>
      </c>
      <c r="L10296" s="10" t="inlineStr">
        <is>
          <t>PLC, Robot, HMI, Machine Vision, Robot Tự Động Hoá</t>
        </is>
      </c>
      <c r="M10296" s="10" t="inlineStr">
        <is>
          <t>Bonus, Healthcare Plan, Paid Leave, Training, Team Activities</t>
        </is>
      </c>
      <c r="N10296" s="11">
        <f>HYPERLINK("https://www.vietnamworks.com/ky-su-tu-djong-hoa-plc-robot-2022485-jv","Xem chi tiết")</f>
        <v/>
      </c>
      <c r="O10296" s="10" t="n"/>
    </row>
    <row r="10297">
      <c r="B10297" s="7" t="n">
        <v>10295</v>
      </c>
      <c r="C10297" t="inlineStr">
        <is>
          <t>Nhân Viên Kinh Doanh (Ngành Công Nghiệp Thực Phẩm - Lương Hấp Dẫn Trên 10 Triệu +++)</t>
        </is>
      </c>
      <c r="D10297" t="inlineStr">
        <is>
          <t>CÔNG TY TNHH TM DV F.I.C</t>
        </is>
      </c>
      <c r="E10297" t="inlineStr">
        <is>
          <t>$$ 400-600 /tháng</t>
        </is>
      </c>
      <c r="F10297" t="inlineStr">
        <is>
          <t>Hồ Chí Minh</t>
        </is>
      </c>
      <c r="G10297" t="inlineStr">
        <is>
          <t>Nhân viên</t>
        </is>
      </c>
      <c r="H10297" t="inlineStr">
        <is>
          <t>12/03/2026</t>
        </is>
      </c>
      <c r="I10297" t="inlineStr">
        <is>
          <t>11/04/2026</t>
        </is>
      </c>
      <c r="J10297" t="inlineStr">
        <is>
          <t>17/03/2026</t>
        </is>
      </c>
      <c r="K10297" t="inlineStr">
        <is>
          <t>N/A</t>
        </is>
      </c>
      <c r="L10297" t="inlineStr">
        <is>
          <t>Báo Cáo Kinh Doanh, Giao Tiếp Khách Hàng, Tư Vấn Sản Phẩm, Kinh Doanh, Công Nghệ Thực Phẩm</t>
        </is>
      </c>
      <c r="M10297" t="inlineStr">
        <is>
          <t>Bonus, Paid Leave, Awards</t>
        </is>
      </c>
      <c r="N10297" s="8">
        <f>HYPERLINK("https://www.vietnamworks.com/nhan-vien-kinh-doanh-nganh-cong-nghiep-thuc-pham-luong-hap-dan-tren-10-trieu--2022480-jv","Xem chi tiết")</f>
        <v/>
      </c>
    </row>
    <row r="10298">
      <c r="B10298" s="9" t="n">
        <v>10296</v>
      </c>
      <c r="C10298" s="10" t="inlineStr">
        <is>
          <t>Nhân Viên Phát Triển Sản Phẩm Mới [Pre Production Operation, Văn Phòng, Tiếng Nhật N3]</t>
        </is>
      </c>
      <c r="D10298" s="10" t="inlineStr">
        <is>
          <t>Công Ty TNHH Việt Nam Nippon Seiki</t>
        </is>
      </c>
      <c r="E10298" s="10" t="inlineStr">
        <is>
          <t>Thương lượng</t>
        </is>
      </c>
      <c r="F10298" s="10" t="inlineStr">
        <is>
          <t>Hà Nội</t>
        </is>
      </c>
      <c r="G10298" s="10" t="inlineStr">
        <is>
          <t>Mới Tốt Nghiệp</t>
        </is>
      </c>
      <c r="H10298" s="10" t="inlineStr">
        <is>
          <t>12/03/2026</t>
        </is>
      </c>
      <c r="I10298" s="10" t="inlineStr">
        <is>
          <t>11/04/2026</t>
        </is>
      </c>
      <c r="J10298" s="10" t="inlineStr">
        <is>
          <t>17/03/2026</t>
        </is>
      </c>
      <c r="K10298" s="10" t="inlineStr">
        <is>
          <t>N/A</t>
        </is>
      </c>
      <c r="L10298" s="10" t="inlineStr">
        <is>
          <t>Tiếng Nhật, Hành chính văn phòng, Thu Mua, Production Operations Management</t>
        </is>
      </c>
      <c r="M10298" s="10" t="inlineStr">
        <is>
          <t>Bonus, Training, Travel Opportunities</t>
        </is>
      </c>
      <c r="N10298" s="11">
        <f>HYPERLINK("https://www.vietnamworks.com/nhan-vien-phat-trien-san-pham-moi-pre-production-operation-van-phong-tieng-nhat-n3-2022459-jv","Xem chi tiết")</f>
        <v/>
      </c>
      <c r="O10298" s="10" t="n"/>
    </row>
    <row r="10299">
      <c r="B10299" s="7" t="n">
        <v>10297</v>
      </c>
      <c r="C10299" t="inlineStr">
        <is>
          <t>Trưởng Phòng Kinh Doanh</t>
        </is>
      </c>
      <c r="D10299" t="inlineStr">
        <is>
          <t>VinWonders</t>
        </is>
      </c>
      <c r="E10299" t="inlineStr">
        <is>
          <t>Từ $ 3,000 /tháng</t>
        </is>
      </c>
      <c r="F10299" t="inlineStr">
        <is>
          <t>Hồ Chí Minh, Hà Nội</t>
        </is>
      </c>
      <c r="G10299" t="inlineStr">
        <is>
          <t>Trưởng phòng</t>
        </is>
      </c>
      <c r="H10299" t="inlineStr">
        <is>
          <t>12/03/2026</t>
        </is>
      </c>
      <c r="I10299" t="inlineStr">
        <is>
          <t>11/04/2026</t>
        </is>
      </c>
      <c r="J10299" t="inlineStr">
        <is>
          <t>17/03/2026</t>
        </is>
      </c>
      <c r="K10299" t="inlineStr">
        <is>
          <t>N/A</t>
        </is>
      </c>
      <c r="L10299" t="inlineStr">
        <is>
          <t>Quản Lý Công Viên, Sales Management, Sales Coaching</t>
        </is>
      </c>
      <c r="M10299" t="inlineStr">
        <is>
          <t>Bonus, Healthcare Plan, Vouchers</t>
        </is>
      </c>
      <c r="N10299" s="8">
        <f>HYPERLINK("https://www.vietnamworks.com/truong-phong-kinh-doanh--2022458-jv","Xem chi tiết")</f>
        <v/>
      </c>
    </row>
    <row r="10300">
      <c r="B10300" s="9" t="n">
        <v>10298</v>
      </c>
      <c r="C10300" s="10" t="inlineStr">
        <is>
          <t>[VSIP - Bắc Ninh] Kỹ Sư Thiết Kế Cơ Khí (Thành Thạo Tiếng Anh Hoặc Tiếng Nhật)</t>
        </is>
      </c>
      <c r="D10300" s="10" t="inlineStr">
        <is>
          <t>Công Ty TNHH Fujikin Việt Nam - Chi Nhánh Nhà Máy Bắc Ninh</t>
        </is>
      </c>
      <c r="E10300" s="10" t="inlineStr">
        <is>
          <t>Thương lượng</t>
        </is>
      </c>
      <c r="F10300" s="10" t="inlineStr">
        <is>
          <t>Bắc Ninh</t>
        </is>
      </c>
      <c r="G10300" s="10" t="inlineStr">
        <is>
          <t>Nhân viên</t>
        </is>
      </c>
      <c r="H10300" s="10" t="inlineStr">
        <is>
          <t>12/03/2026</t>
        </is>
      </c>
      <c r="I10300" s="10" t="inlineStr">
        <is>
          <t>11/04/2026</t>
        </is>
      </c>
      <c r="J10300" s="10" t="inlineStr">
        <is>
          <t>17/03/2026</t>
        </is>
      </c>
      <c r="K10300" s="10" t="inlineStr">
        <is>
          <t>N/A</t>
        </is>
      </c>
      <c r="L10300" s="10" t="inlineStr">
        <is>
          <t>Thiết Kế 3D, SolidWorks, AutoCAD, Kỹ Thuật Cơ Khí, Giao Tiếp Tiếng Anh</t>
        </is>
      </c>
      <c r="M10300" s="10" t="inlineStr">
        <is>
          <t>Bonus, Healthcare Plan, Training, Team Activities, Transportation, Canteen, Others</t>
        </is>
      </c>
      <c r="N10300" s="11">
        <f>HYPERLINK("https://www.vietnamworks.com/vsip-bac-ninh-ky-su-thiet-ke-co-khi-thanh-thao-tieng-anh-hoac-tieng-nhat-2022470-jv","Xem chi tiết")</f>
        <v/>
      </c>
      <c r="O10300" s="10" t="n"/>
    </row>
    <row r="10301">
      <c r="B10301" s="7" t="n">
        <v>10299</v>
      </c>
      <c r="C10301" t="inlineStr">
        <is>
          <t>Head of Growth Marketing</t>
        </is>
      </c>
      <c r="D10301" t="inlineStr">
        <is>
          <t>CÔNG TY CỔ PHẦN CÔNG NGHỆ IHOUZZ</t>
        </is>
      </c>
      <c r="E10301" t="inlineStr">
        <is>
          <t>Thương lượng</t>
        </is>
      </c>
      <c r="F10301" t="inlineStr">
        <is>
          <t>Hà Nội</t>
        </is>
      </c>
      <c r="G10301" t="inlineStr">
        <is>
          <t>Nhân viên</t>
        </is>
      </c>
      <c r="H10301" t="inlineStr">
        <is>
          <t>12/03/2026</t>
        </is>
      </c>
      <c r="I10301" t="inlineStr">
        <is>
          <t>11/04/2026</t>
        </is>
      </c>
      <c r="J10301" t="inlineStr">
        <is>
          <t>17/03/2026</t>
        </is>
      </c>
      <c r="K10301" t="inlineStr">
        <is>
          <t>N/A</t>
        </is>
      </c>
      <c r="L10301" t="inlineStr">
        <is>
          <t>B2B Marketing, Digital Marketing, Growth Marketing, Marketing, Marketing Strategy</t>
        </is>
      </c>
      <c r="M10301" t="inlineStr">
        <is>
          <t>Bonus, Healthcare Plan, Team Activities, Others</t>
        </is>
      </c>
      <c r="N10301" s="8">
        <f>HYPERLINK("https://www.vietnamworks.com/head-of-growth-marketing-2022464-jv","Xem chi tiết")</f>
        <v/>
      </c>
    </row>
    <row r="10302">
      <c r="B10302" s="9" t="n">
        <v>10300</v>
      </c>
      <c r="C10302" s="10" t="inlineStr">
        <is>
          <t>Accountant</t>
        </is>
      </c>
      <c r="D10302" s="10" t="inlineStr">
        <is>
          <t>Matson Navigation Inc.</t>
        </is>
      </c>
      <c r="E10302" s="10" t="inlineStr">
        <is>
          <t>$$ 1,000-1,500 /tháng</t>
        </is>
      </c>
      <c r="F10302" s="10" t="inlineStr">
        <is>
          <t>Hồ Chí Minh</t>
        </is>
      </c>
      <c r="G10302" s="10" t="inlineStr">
        <is>
          <t>Nhân viên</t>
        </is>
      </c>
      <c r="H10302" s="10" t="inlineStr">
        <is>
          <t>12/03/2026</t>
        </is>
      </c>
      <c r="I10302" s="10" t="inlineStr">
        <is>
          <t>11/04/2026</t>
        </is>
      </c>
      <c r="J10302" s="10" t="inlineStr">
        <is>
          <t>17/03/2026</t>
        </is>
      </c>
      <c r="K10302" s="10" t="inlineStr">
        <is>
          <t>N/A</t>
        </is>
      </c>
      <c r="L10302" s="10" t="inlineStr">
        <is>
          <t>Accounting, English Language Proficiency, Reporting, Tax Compliance, Vietnamese Law</t>
        </is>
      </c>
      <c r="M10302" s="10" t="inlineStr">
        <is>
          <t>Bonus, Healthcare Plan, Paid Leave</t>
        </is>
      </c>
      <c r="N10302" s="11">
        <f>HYPERLINK("https://www.vietnamworks.com/accountant-2022483-jv","Xem chi tiết")</f>
        <v/>
      </c>
      <c r="O10302" s="10" t="n"/>
    </row>
    <row r="10303">
      <c r="B10303" s="7" t="n">
        <v>10301</v>
      </c>
      <c r="C10303" t="inlineStr">
        <is>
          <t>HR Admin Manager</t>
        </is>
      </c>
      <c r="D10303" t="inlineStr">
        <is>
          <t>Vietnamworks' Client</t>
        </is>
      </c>
      <c r="E10303" t="inlineStr">
        <is>
          <t>Từ $ 3,000 /tháng</t>
        </is>
      </c>
      <c r="F10303" t="inlineStr">
        <is>
          <t>Đồng Nai</t>
        </is>
      </c>
      <c r="G10303" t="inlineStr">
        <is>
          <t>Trưởng phòng</t>
        </is>
      </c>
      <c r="H10303" t="inlineStr">
        <is>
          <t>12/03/2026</t>
        </is>
      </c>
      <c r="I10303" t="inlineStr">
        <is>
          <t>11/04/2026</t>
        </is>
      </c>
      <c r="J10303" t="inlineStr">
        <is>
          <t>17/03/2026</t>
        </is>
      </c>
      <c r="K10303" t="inlineStr">
        <is>
          <t>N/A</t>
        </is>
      </c>
      <c r="L10303" t="inlineStr">
        <is>
          <t>Recruitment, Compensation &amp; Benefits, HR Administration, Hr Digital Transformation, People Development</t>
        </is>
      </c>
      <c r="M10303" t="inlineStr">
        <is>
          <t>Bonus, Training, Transportation</t>
        </is>
      </c>
      <c r="N10303" s="8">
        <f>HYPERLINK("https://www.vietnamworks.com/hr-admin-manager-2022484-jv","Xem chi tiết")</f>
        <v/>
      </c>
    </row>
    <row r="10304">
      <c r="B10304" s="9" t="n">
        <v>10302</v>
      </c>
      <c r="C10304" s="10" t="inlineStr">
        <is>
          <t>Purchasing Specialist</t>
        </is>
      </c>
      <c r="D10304" s="10" t="inlineStr">
        <is>
          <t>TPF Group</t>
        </is>
      </c>
      <c r="E10304" s="10" t="inlineStr">
        <is>
          <t>$$ 500-1,000 /tháng</t>
        </is>
      </c>
      <c r="F10304" s="10" t="inlineStr">
        <is>
          <t>Hồ Chí Minh</t>
        </is>
      </c>
      <c r="G10304" s="10" t="inlineStr">
        <is>
          <t>Nhân viên</t>
        </is>
      </c>
      <c r="H10304" s="10" t="inlineStr">
        <is>
          <t>12/03/2026</t>
        </is>
      </c>
      <c r="I10304" s="10" t="inlineStr">
        <is>
          <t>11/04/2026</t>
        </is>
      </c>
      <c r="J10304" s="10" t="inlineStr">
        <is>
          <t>17/03/2026</t>
        </is>
      </c>
      <c r="K10304" s="10" t="inlineStr">
        <is>
          <t>N/A</t>
        </is>
      </c>
      <c r="L10304" s="10" t="inlineStr">
        <is>
          <t>Thu Mua, Purchase Management, Mua Hàng, Purchasing, Quotation Making</t>
        </is>
      </c>
      <c r="M10304" s="10" t="inlineStr">
        <is>
          <t>Healthcare Plan, Paid Leave, Canteen</t>
        </is>
      </c>
      <c r="N10304" s="11">
        <f>HYPERLINK("https://www.vietnamworks.com/purchasing-specialist--2022455-jv","Xem chi tiết")</f>
        <v/>
      </c>
      <c r="O10304" s="10" t="n"/>
    </row>
    <row r="10305">
      <c r="B10305" s="7" t="n">
        <v>10303</v>
      </c>
      <c r="C10305" t="inlineStr">
        <is>
          <t>Quản Lý Trung Tâm Thương Mại</t>
        </is>
      </c>
      <c r="D10305" t="inlineStr">
        <is>
          <t>Công Ty TNHH Dịch Vụ Và Quản Lý Mipec</t>
        </is>
      </c>
      <c r="E10305" t="inlineStr">
        <is>
          <t>Thương lượng</t>
        </is>
      </c>
      <c r="F10305" t="inlineStr">
        <is>
          <t>Hà Nội</t>
        </is>
      </c>
      <c r="G10305" t="inlineStr">
        <is>
          <t>Trưởng phòng</t>
        </is>
      </c>
      <c r="H10305" t="inlineStr">
        <is>
          <t>12/03/2026</t>
        </is>
      </c>
      <c r="I10305" t="inlineStr">
        <is>
          <t>11/04/2026</t>
        </is>
      </c>
      <c r="J10305" t="inlineStr">
        <is>
          <t>17/03/2026</t>
        </is>
      </c>
      <c r="K10305" t="inlineStr">
        <is>
          <t>N/A</t>
        </is>
      </c>
      <c r="L10305" t="inlineStr">
        <is>
          <t>Thương Mại Dự Án, Xử Lý Sự Cố, Quản Lý Rủi Ro, Quản Lý, Quản lý hoạt động</t>
        </is>
      </c>
      <c r="M10305" t="inlineStr">
        <is>
          <t>Bonus, Healthcare Plan, Others</t>
        </is>
      </c>
      <c r="N10305" s="8">
        <f>HYPERLINK("https://www.vietnamworks.com/quan-ly-trung-tam-thuong-mai--2022471-jv","Xem chi tiết")</f>
        <v/>
      </c>
    </row>
    <row r="10306">
      <c r="B10306" s="9" t="n">
        <v>10304</v>
      </c>
      <c r="C10306" s="10" t="inlineStr">
        <is>
          <t>Chuyên Viên Phát Triển Sản Phẩm Chứng Khoán</t>
        </is>
      </c>
      <c r="D10306" s="10" t="inlineStr">
        <is>
          <t>Công Ty Cổ Phần Chứng Khoán Phú Hưng (PHS)</t>
        </is>
      </c>
      <c r="E10306" s="10" t="inlineStr">
        <is>
          <t>Thương lượng</t>
        </is>
      </c>
      <c r="F10306" s="10" t="inlineStr">
        <is>
          <t>Hồ Chí Minh</t>
        </is>
      </c>
      <c r="G10306" s="10" t="inlineStr">
        <is>
          <t>Nhân viên</t>
        </is>
      </c>
      <c r="H10306" s="10" t="inlineStr">
        <is>
          <t>12/03/2026</t>
        </is>
      </c>
      <c r="I10306" s="10" t="inlineStr">
        <is>
          <t>11/04/2026</t>
        </is>
      </c>
      <c r="J10306" s="10" t="inlineStr">
        <is>
          <t>17/03/2026</t>
        </is>
      </c>
      <c r="K10306" s="10" t="inlineStr">
        <is>
          <t>N/A</t>
        </is>
      </c>
      <c r="L10306" s="10" t="inlineStr">
        <is>
          <t>Biến Đổi Dữ Liệu, Công Cụ BI, Nghiên Cứu và Phân Tích Dữ Liệu, Phân Tích Thị Trường, Sử Dụng Excel</t>
        </is>
      </c>
      <c r="M10306" s="10" t="inlineStr">
        <is>
          <t>Bonus, Healthcare Plan, Paid Leave, Training, Team Activities, Others</t>
        </is>
      </c>
      <c r="N10306" s="11">
        <f>HYPERLINK("https://www.vietnamworks.com/chuyen-vien-phat-trien-san-pham-chung-khoan-2022457-jv","Xem chi tiết")</f>
        <v/>
      </c>
      <c r="O10306" s="10" t="n"/>
    </row>
    <row r="10307">
      <c r="B10307" s="7" t="n">
        <v>10305</v>
      </c>
      <c r="C10307" t="inlineStr">
        <is>
          <t>Sales Staff (Chinese) - Nhân Viên Phòng Kinh Doanh Tiếng Trung (Lương 700-900$)</t>
        </is>
      </c>
      <c r="D10307" t="inlineStr">
        <is>
          <t>Công ty TNHH Taiyo Ink Vietnam</t>
        </is>
      </c>
      <c r="E10307" t="inlineStr">
        <is>
          <t>$$ 700-900 /tháng</t>
        </is>
      </c>
      <c r="F10307" t="inlineStr">
        <is>
          <t>Hà Nội</t>
        </is>
      </c>
      <c r="G10307" t="inlineStr">
        <is>
          <t>Nhân viên</t>
        </is>
      </c>
      <c r="H10307" t="inlineStr">
        <is>
          <t>12/03/2026</t>
        </is>
      </c>
      <c r="I10307" t="inlineStr">
        <is>
          <t>11/04/2026</t>
        </is>
      </c>
      <c r="J10307" t="inlineStr">
        <is>
          <t>17/03/2026</t>
        </is>
      </c>
      <c r="K10307" t="inlineStr">
        <is>
          <t>N/A</t>
        </is>
      </c>
      <c r="L10307" t="inlineStr">
        <is>
          <t>Tiếng Trung, Sales Admin, Sales Assistance, Giao Tiếp  Và Thuyết Phục, Chăm sóc &amp; Tư vấn khách hàng</t>
        </is>
      </c>
      <c r="M10307" t="inlineStr">
        <is>
          <t>Bonus, Healthcare Plan, Laptop, Travel Opportunities, Transportation, Canteen</t>
        </is>
      </c>
      <c r="N10307" s="8">
        <f>HYPERLINK("https://www.vietnamworks.com/sales-staff-chinese-nhan-vien-phong-kinh-doanh-tieng-trung-luong-700-900dollar-2022477-jv","Xem chi tiết")</f>
        <v/>
      </c>
    </row>
    <row r="10308">
      <c r="B10308" s="9" t="n">
        <v>10306</v>
      </c>
      <c r="C10308" s="10" t="inlineStr">
        <is>
          <t>Kế Toán Nội Bộ [Urgent]</t>
        </is>
      </c>
      <c r="D10308" s="10" t="inlineStr">
        <is>
          <t>Công ty cổ phần dược phẩm Sao Y</t>
        </is>
      </c>
      <c r="E10308" s="10" t="inlineStr">
        <is>
          <t>Thương lượng</t>
        </is>
      </c>
      <c r="F10308" s="10" t="inlineStr">
        <is>
          <t>Hà Nội</t>
        </is>
      </c>
      <c r="G10308" s="10" t="inlineStr">
        <is>
          <t>Nhân viên</t>
        </is>
      </c>
      <c r="H10308" s="10" t="inlineStr">
        <is>
          <t>12/03/2026</t>
        </is>
      </c>
      <c r="I10308" s="10" t="inlineStr">
        <is>
          <t>11/04/2026</t>
        </is>
      </c>
      <c r="J10308" s="10" t="inlineStr">
        <is>
          <t>17/03/2026</t>
        </is>
      </c>
      <c r="K10308" s="10" t="inlineStr">
        <is>
          <t>N/A</t>
        </is>
      </c>
      <c r="L10308" s="10" t="inlineStr">
        <is>
          <t>Excel, Phần mềm kế toán, Quản Lý Hóa Đơn Chứng Từ, Đối Chiếu Chứng Từ, Kế toán nội bộ cơ bản</t>
        </is>
      </c>
      <c r="M10308" s="10" t="inlineStr">
        <is>
          <t>Bonus</t>
        </is>
      </c>
      <c r="N10308" s="11">
        <f>HYPERLINK("https://www.vietnamworks.com/ke-toan-noi-bo-urgent-2022506-jv","Xem chi tiết")</f>
        <v/>
      </c>
      <c r="O10308" s="10" t="n"/>
    </row>
    <row r="10309">
      <c r="B10309" s="7" t="n">
        <v>10307</v>
      </c>
      <c r="C10309" t="inlineStr">
        <is>
          <t>Nhân Viên Telesales B2B (Khách Hàng Nhà Thuốc / Shop Mẹ Bé)</t>
        </is>
      </c>
      <c r="D10309" t="inlineStr">
        <is>
          <t>CÔNG TY TNHH THASCO INTERNATIONAL</t>
        </is>
      </c>
      <c r="E10309" t="inlineStr">
        <is>
          <t>Thương lượng</t>
        </is>
      </c>
      <c r="F10309" t="inlineStr">
        <is>
          <t>Hồ Chí Minh</t>
        </is>
      </c>
      <c r="G10309" t="inlineStr">
        <is>
          <t>Mới Tốt Nghiệp</t>
        </is>
      </c>
      <c r="H10309" t="inlineStr">
        <is>
          <t>12/03/2026</t>
        </is>
      </c>
      <c r="I10309" t="inlineStr">
        <is>
          <t>11/04/2026</t>
        </is>
      </c>
      <c r="J10309" t="inlineStr">
        <is>
          <t>17/03/2026</t>
        </is>
      </c>
      <c r="K10309" t="inlineStr">
        <is>
          <t>N/A</t>
        </is>
      </c>
      <c r="L10309" t="inlineStr">
        <is>
          <t>Giao Tiếp, năng động, Quản Lý Telesales, Thuyết Phục, Tư Vấn</t>
        </is>
      </c>
      <c r="M10309" t="inlineStr">
        <is>
          <t>Bonus, Healthcare Plan, Training, Travel Opportunities, Others</t>
        </is>
      </c>
      <c r="N10309" s="8">
        <f>HYPERLINK("https://www.vietnamworks.com/nhan-vien-telesales-b2b-khach-hang-nha-thuoc-shop-me-be-2022508-jv","Xem chi tiết")</f>
        <v/>
      </c>
    </row>
    <row r="10310">
      <c r="B10310" s="9" t="n">
        <v>10308</v>
      </c>
      <c r="C10310" s="10" t="inlineStr">
        <is>
          <t>Marketing Staff</t>
        </is>
      </c>
      <c r="D10310" s="10" t="inlineStr">
        <is>
          <t>Amata City Long Thanh Joint Stock Company</t>
        </is>
      </c>
      <c r="E10310" s="10" t="inlineStr">
        <is>
          <t>Thương lượng</t>
        </is>
      </c>
      <c r="F10310" s="10" t="inlineStr">
        <is>
          <t>Hồ Chí Minh, Đồng Nai, Bình Dương</t>
        </is>
      </c>
      <c r="G10310" s="10" t="inlineStr">
        <is>
          <t>Nhân viên</t>
        </is>
      </c>
      <c r="H10310" s="10" t="inlineStr">
        <is>
          <t>12/03/2026</t>
        </is>
      </c>
      <c r="I10310" s="10" t="inlineStr">
        <is>
          <t>11/04/2026</t>
        </is>
      </c>
      <c r="J10310" s="10" t="inlineStr">
        <is>
          <t>17/03/2026</t>
        </is>
      </c>
      <c r="K10310" s="10" t="inlineStr">
        <is>
          <t>N/A</t>
        </is>
      </c>
      <c r="L10310" s="10" t="inlineStr">
        <is>
          <t>Branding, Design, Marketing Content, Market Research, Communications</t>
        </is>
      </c>
      <c r="M10310" s="10" t="inlineStr">
        <is>
          <t>Bonus, Healthcare Plan, Paid Leave</t>
        </is>
      </c>
      <c r="N10310" s="11">
        <f>HYPERLINK("https://www.vietnamworks.com/marketing-staff--2022502-jv","Xem chi tiết")</f>
        <v/>
      </c>
      <c r="O10310" s="10" t="n"/>
    </row>
    <row r="10311">
      <c r="B10311" s="7" t="n">
        <v>10309</v>
      </c>
      <c r="C10311" t="inlineStr">
        <is>
          <t>Kiến Trúc Sư Triển Khai Thiết Kế Kiến Trúc Upto 35Tr</t>
        </is>
      </c>
      <c r="D10311" t="inlineStr">
        <is>
          <t>Công ty Cổ phần Tập đoàn Xây dựng SCG</t>
        </is>
      </c>
      <c r="E10311" t="inlineStr">
        <is>
          <t>25tr-35tr ₫/tháng</t>
        </is>
      </c>
      <c r="F10311" t="inlineStr">
        <is>
          <t>Hà Nội</t>
        </is>
      </c>
      <c r="G10311" t="inlineStr">
        <is>
          <t>Nhân viên</t>
        </is>
      </c>
      <c r="H10311" t="inlineStr">
        <is>
          <t>12/03/2026</t>
        </is>
      </c>
      <c r="I10311" t="inlineStr">
        <is>
          <t>11/04/2026</t>
        </is>
      </c>
      <c r="J10311" t="inlineStr">
        <is>
          <t>17/03/2026</t>
        </is>
      </c>
      <c r="K10311" t="inlineStr">
        <is>
          <t>N/A</t>
        </is>
      </c>
      <c r="L10311" t="inlineStr">
        <is>
          <t>AutoCAD, Construction Drawing, Revit, Thiết Kế Kiến Trúc, Triển Khai Thiết Kế</t>
        </is>
      </c>
      <c r="M10311" t="inlineStr">
        <is>
          <t>Bonus, Healthcare Plan, Paid Leave, Training</t>
        </is>
      </c>
      <c r="N10311" s="8">
        <f>HYPERLINK("https://www.vietnamworks.com/kien-truc-su-trien-khai-thiet-ke-kien-truc-upto-35tr-2022490-jv","Xem chi tiết")</f>
        <v/>
      </c>
    </row>
    <row r="10312">
      <c r="B10312" s="9" t="n">
        <v>10310</v>
      </c>
      <c r="C10312" s="10" t="inlineStr">
        <is>
          <t>Trưởng Phòng Marketing</t>
        </is>
      </c>
      <c r="D10312" s="10" t="inlineStr">
        <is>
          <t>CÔNG TY CỔ PHẦN DỊCH VỤ THƯƠNG MẠI ĐIỆN TỬ N &amp; H</t>
        </is>
      </c>
      <c r="E10312" s="10" t="inlineStr">
        <is>
          <t>Thương lượng</t>
        </is>
      </c>
      <c r="F10312" s="10" t="inlineStr">
        <is>
          <t>Hồ Chí Minh</t>
        </is>
      </c>
      <c r="G10312" s="10" t="inlineStr">
        <is>
          <t>Trưởng phòng</t>
        </is>
      </c>
      <c r="H10312" s="10" t="inlineStr">
        <is>
          <t>12/03/2026</t>
        </is>
      </c>
      <c r="I10312" s="10" t="inlineStr">
        <is>
          <t>11/04/2026</t>
        </is>
      </c>
      <c r="J10312" s="10" t="inlineStr">
        <is>
          <t>17/03/2026</t>
        </is>
      </c>
      <c r="K10312" s="10" t="inlineStr">
        <is>
          <t>N/A</t>
        </is>
      </c>
      <c r="L10312" s="10" t="inlineStr">
        <is>
          <t>Digital Marketing, Nghiên Cứu Thị Trường, Phân Tích Dữ Liệu, Phát Triển Khách Hàng, Phát Triển Thương Hiệu</t>
        </is>
      </c>
      <c r="M10312" s="10" t="inlineStr">
        <is>
          <t>Bonus, Healthcare Plan, Training, Awards, Others</t>
        </is>
      </c>
      <c r="N10312" s="11">
        <f>HYPERLINK("https://www.vietnamworks.com/truong-phong-marketing-2022493-jv","Xem chi tiết")</f>
        <v/>
      </c>
      <c r="O10312" s="10" t="n"/>
    </row>
    <row r="10313">
      <c r="B10313" s="7" t="n">
        <v>10311</v>
      </c>
      <c r="C10313" t="inlineStr">
        <is>
          <t>Kỹ Sư Thiết Kế Cơ Khí - TK Jig Gá/ Máy Tự Động- Thu Nhập 15 - 30 Tr</t>
        </is>
      </c>
      <c r="D10313" t="inlineStr">
        <is>
          <t>Công Ty Cổ Phần Công Nghiệp Weldcom</t>
        </is>
      </c>
      <c r="E10313" t="inlineStr">
        <is>
          <t>$$ 700-1,500 /tháng</t>
        </is>
      </c>
      <c r="F10313" t="inlineStr">
        <is>
          <t>Hà Nội, Hưng Yên</t>
        </is>
      </c>
      <c r="G10313" t="inlineStr">
        <is>
          <t>Nhân viên</t>
        </is>
      </c>
      <c r="H10313" t="inlineStr">
        <is>
          <t>12/03/2026</t>
        </is>
      </c>
      <c r="I10313" t="inlineStr">
        <is>
          <t>11/04/2026</t>
        </is>
      </c>
      <c r="J10313" t="inlineStr">
        <is>
          <t>17/03/2026</t>
        </is>
      </c>
      <c r="K10313" t="inlineStr">
        <is>
          <t>N/A</t>
        </is>
      </c>
      <c r="L10313" t="inlineStr">
        <is>
          <t>Mechanical Engineering, Cơ Khí Chế Tạo, Thiết Kế Cơ Khí 3D, Thiết Kế Cơ Khí 2D, AutoCAD Drawing</t>
        </is>
      </c>
      <c r="M10313" t="inlineStr">
        <is>
          <t>Bonus, Paid Leave, Training</t>
        </is>
      </c>
      <c r="N10313" s="8">
        <f>HYPERLINK("https://www.vietnamworks.com/ky-su-thiet-ke-co-khi-tk-jig-ga-may-tu-dong-thu-nhap-15-30-tr--2022487-jv","Xem chi tiết")</f>
        <v/>
      </c>
    </row>
    <row r="10314">
      <c r="B10314" s="9" t="n">
        <v>10312</v>
      </c>
      <c r="C10314" s="10" t="inlineStr">
        <is>
          <t>Senior Chief Mechatronics / Electronics System Architect</t>
        </is>
      </c>
      <c r="D10314" s="10" t="inlineStr">
        <is>
          <t>Aardwolf Industries LLC</t>
        </is>
      </c>
      <c r="E10314" s="10" t="inlineStr">
        <is>
          <t>Thương lượng</t>
        </is>
      </c>
      <c r="F10314" s="10" t="inlineStr">
        <is>
          <t>Bình Dương</t>
        </is>
      </c>
      <c r="G10314" s="10" t="inlineStr">
        <is>
          <t>Trưởng phòng</t>
        </is>
      </c>
      <c r="H10314" s="10" t="inlineStr">
        <is>
          <t>12/03/2026</t>
        </is>
      </c>
      <c r="I10314" s="10" t="inlineStr">
        <is>
          <t>11/04/2026</t>
        </is>
      </c>
      <c r="J10314" s="10" t="inlineStr">
        <is>
          <t>17/03/2026</t>
        </is>
      </c>
      <c r="K10314" s="10" t="inlineStr">
        <is>
          <t>N/A</t>
        </is>
      </c>
      <c r="L10314" s="10" t="inlineStr">
        <is>
          <t>Software System Architecture, PCB Design, Embedded Systems, Industrial Control System, Technical Lead</t>
        </is>
      </c>
      <c r="M10314" s="10" t="inlineStr">
        <is>
          <t>Bonus, Healthcare Plan, Others</t>
        </is>
      </c>
      <c r="N10314" s="11">
        <f>HYPERLINK("https://www.vietnamworks.com/senior-chief-mechatronics-electronics-system-architect-2022504-jv","Xem chi tiết")</f>
        <v/>
      </c>
      <c r="O10314" s="10" t="n"/>
    </row>
    <row r="10315">
      <c r="B10315" s="7" t="n">
        <v>10313</v>
      </c>
      <c r="C10315" t="inlineStr">
        <is>
          <t>Trợ Lý Giám Đốc [Urgent]</t>
        </is>
      </c>
      <c r="D10315" t="inlineStr">
        <is>
          <t>Công ty cổ phần dược phẩm Sao Y</t>
        </is>
      </c>
      <c r="E10315" t="inlineStr">
        <is>
          <t>Thương lượng</t>
        </is>
      </c>
      <c r="F10315" t="inlineStr">
        <is>
          <t>Hà Nội</t>
        </is>
      </c>
      <c r="G10315" t="inlineStr">
        <is>
          <t>Nhân viên</t>
        </is>
      </c>
      <c r="H10315" t="inlineStr">
        <is>
          <t>12/03/2026</t>
        </is>
      </c>
      <c r="I10315" t="inlineStr">
        <is>
          <t>11/04/2026</t>
        </is>
      </c>
      <c r="J10315" t="inlineStr">
        <is>
          <t>17/03/2026</t>
        </is>
      </c>
      <c r="K10315" t="inlineStr">
        <is>
          <t>N/A</t>
        </is>
      </c>
      <c r="L10315" t="inlineStr">
        <is>
          <t>Dược, Hoàn Thiện Hồ Sơ, Trợ lý Giám Đốc, Hành Chính, Dược Phẩm</t>
        </is>
      </c>
      <c r="M10315" t="inlineStr">
        <is>
          <t>Bonus</t>
        </is>
      </c>
      <c r="N10315" s="8">
        <f>HYPERLINK("https://www.vietnamworks.com/tro-ly-giam-doc-urgent-2022511-jv","Xem chi tiết")</f>
        <v/>
      </c>
    </row>
    <row r="10316">
      <c r="B10316" s="9" t="n">
        <v>10314</v>
      </c>
      <c r="C10316" s="10" t="inlineStr">
        <is>
          <t>Senior Business Development Manager (F/m/x)</t>
        </is>
      </c>
      <c r="D10316" s="10" t="inlineStr">
        <is>
          <t>Công ty TNHH Ecoligo</t>
        </is>
      </c>
      <c r="E10316" s="10" t="inlineStr">
        <is>
          <t>Thương lượng</t>
        </is>
      </c>
      <c r="F10316" s="10" t="inlineStr">
        <is>
          <t>Hồ Chí Minh</t>
        </is>
      </c>
      <c r="G10316" s="10" t="inlineStr">
        <is>
          <t>Trưởng phòng</t>
        </is>
      </c>
      <c r="H10316" s="10" t="inlineStr">
        <is>
          <t>12/03/2026</t>
        </is>
      </c>
      <c r="I10316" s="10" t="inlineStr">
        <is>
          <t>11/04/2026</t>
        </is>
      </c>
      <c r="J10316" s="10" t="inlineStr">
        <is>
          <t>17/03/2026</t>
        </is>
      </c>
      <c r="K10316" s="10" t="inlineStr">
        <is>
          <t>N/A</t>
        </is>
      </c>
      <c r="L10316" s="10" t="inlineStr">
        <is>
          <t>National Sales Development, Solar &amp; Energy Market Expertise, Stakeholder Relationship, Commercial Negotiation, Effective Communication</t>
        </is>
      </c>
      <c r="M10316" s="10" t="inlineStr">
        <is>
          <t>Healthcare Plan, Paid Leave, Training, Team Activities, Others</t>
        </is>
      </c>
      <c r="N10316" s="11">
        <f>HYPERLINK("https://www.vietnamworks.com/senior-business-development-manager-fmx-2022505-jv","Xem chi tiết")</f>
        <v/>
      </c>
      <c r="O10316" s="10" t="n"/>
    </row>
    <row r="10317">
      <c r="B10317" s="7" t="n">
        <v>10315</v>
      </c>
      <c r="C10317" t="inlineStr">
        <is>
          <t>Kế Toán Thuế - Urgent</t>
        </is>
      </c>
      <c r="D10317" t="inlineStr">
        <is>
          <t>Công ty cổ phần dược phẩm Sao Y</t>
        </is>
      </c>
      <c r="E10317" t="inlineStr">
        <is>
          <t>Thương lượng</t>
        </is>
      </c>
      <c r="F10317" t="inlineStr">
        <is>
          <t>Hà Nội</t>
        </is>
      </c>
      <c r="G10317" t="inlineStr">
        <is>
          <t>Nhân viên</t>
        </is>
      </c>
      <c r="H10317" t="inlineStr">
        <is>
          <t>12/03/2026</t>
        </is>
      </c>
      <c r="I10317" t="inlineStr">
        <is>
          <t>11/04/2026</t>
        </is>
      </c>
      <c r="J10317" t="inlineStr">
        <is>
          <t>17/03/2026</t>
        </is>
      </c>
      <c r="K10317" t="inlineStr">
        <is>
          <t>N/A</t>
        </is>
      </c>
      <c r="L10317" t="inlineStr">
        <is>
          <t>Báo Cáo Thuế, Kê Khai Thuế, Luật Thuế, Thuế &amp; Pháp lý, Kế toán thuế - Quyết toán thuế</t>
        </is>
      </c>
      <c r="M10317" t="inlineStr">
        <is>
          <t>Bonus</t>
        </is>
      </c>
      <c r="N10317" s="8">
        <f>HYPERLINK("https://www.vietnamworks.com/ke-toan-thue-urgent--2022507-jv","Xem chi tiết")</f>
        <v/>
      </c>
    </row>
    <row r="10318">
      <c r="B10318" s="9" t="n">
        <v>10316</v>
      </c>
      <c r="C10318" s="10" t="inlineStr">
        <is>
          <t>Maintenance Planner - Vân Tảo, Thường Tín, Hà Nội</t>
        </is>
      </c>
      <c r="D10318" s="10" t="inlineStr">
        <is>
          <t>HEINEKEN Vietnam</t>
        </is>
      </c>
      <c r="E10318" s="10" t="inlineStr">
        <is>
          <t>Thương lượng</t>
        </is>
      </c>
      <c r="F10318" s="10" t="inlineStr">
        <is>
          <t>Hà Nội</t>
        </is>
      </c>
      <c r="G10318" s="10" t="inlineStr">
        <is>
          <t>Nhân viên</t>
        </is>
      </c>
      <c r="H10318" s="10" t="inlineStr">
        <is>
          <t>12/03/2026</t>
        </is>
      </c>
      <c r="I10318" s="10" t="inlineStr">
        <is>
          <t>11/04/2026</t>
        </is>
      </c>
      <c r="J10318" s="10" t="inlineStr">
        <is>
          <t>17/03/2026</t>
        </is>
      </c>
      <c r="K10318" s="10" t="inlineStr">
        <is>
          <t>N/A</t>
        </is>
      </c>
      <c r="L10318" s="10" t="inlineStr">
        <is>
          <t>Tự Động Hóa, Electrical</t>
        </is>
      </c>
      <c r="M10318" s="10" t="inlineStr">
        <is>
          <t>Healthcare Plan, Paid Leave, Canteen</t>
        </is>
      </c>
      <c r="N10318" s="11">
        <f>HYPERLINK("https://www.vietnamworks.com/maintenance-planner-van-tao-thuong-tin-ha-noi-2022501-jv","Xem chi tiết")</f>
        <v/>
      </c>
      <c r="O10318" s="10" t="n"/>
    </row>
    <row r="10319">
      <c r="B10319" s="7" t="n">
        <v>10317</v>
      </c>
      <c r="C10319" t="inlineStr">
        <is>
          <t>Nhân Viên Kinh Doanh Nội Địa (B2B) Làm Việc Tại Văn Phòng Thu Nhập 20-25 Triệu</t>
        </is>
      </c>
      <c r="D10319" t="inlineStr">
        <is>
          <t>Công Ty Cổ Phần Khoáng Sản Công Nghiệp Yên Bái (YBM)</t>
        </is>
      </c>
      <c r="E10319" t="inlineStr">
        <is>
          <t>20tr-25tr ₫/tháng</t>
        </is>
      </c>
      <c r="F10319" t="inlineStr">
        <is>
          <t>Hà Nội</t>
        </is>
      </c>
      <c r="G10319" t="inlineStr">
        <is>
          <t>Nhân viên</t>
        </is>
      </c>
      <c r="H10319" t="inlineStr">
        <is>
          <t>12/03/2026</t>
        </is>
      </c>
      <c r="I10319" t="inlineStr">
        <is>
          <t>11/04/2026</t>
        </is>
      </c>
      <c r="J10319" t="inlineStr">
        <is>
          <t>17/03/2026</t>
        </is>
      </c>
      <c r="K10319" t="inlineStr">
        <is>
          <t>N/A</t>
        </is>
      </c>
      <c r="L10319" t="inlineStr">
        <is>
          <t>Quan Hệ Khách Hàng, B2B, Phát Triển Khách Hàng, Bán Hàng, Tìm Kiếm Khách Hàng</t>
        </is>
      </c>
      <c r="M10319" t="inlineStr">
        <is>
          <t>Bonus, Healthcare Plan, Canteen</t>
        </is>
      </c>
      <c r="N10319" s="8">
        <f>HYPERLINK("https://www.vietnamworks.com/nhan-vien-kinh-doanh-noi-dia-b2b-lam-viec-tai-van-phong-thu-nhap-20-25-trieu--2022514-jv","Xem chi tiết")</f>
        <v/>
      </c>
    </row>
    <row r="10320">
      <c r="B10320" s="9" t="n">
        <v>10318</v>
      </c>
      <c r="C10320" s="10" t="inlineStr">
        <is>
          <t>Chief Accountant</t>
        </is>
      </c>
      <c r="D10320" s="10" t="inlineStr">
        <is>
          <t>CÔNG TY TNHH COMFORT SOFA</t>
        </is>
      </c>
      <c r="E10320" s="10" t="inlineStr">
        <is>
          <t>Thương lượng</t>
        </is>
      </c>
      <c r="F10320" s="10" t="inlineStr">
        <is>
          <t>Đồng Nai</t>
        </is>
      </c>
      <c r="G10320" s="10" t="inlineStr">
        <is>
          <t>Trưởng phòng</t>
        </is>
      </c>
      <c r="H10320" s="10" t="inlineStr">
        <is>
          <t>12/03/2026</t>
        </is>
      </c>
      <c r="I10320" s="10" t="inlineStr">
        <is>
          <t>11/04/2026</t>
        </is>
      </c>
      <c r="J10320" s="10" t="inlineStr">
        <is>
          <t>17/03/2026</t>
        </is>
      </c>
      <c r="K10320" s="10" t="inlineStr">
        <is>
          <t>N/A</t>
        </is>
      </c>
      <c r="L10320" s="10" t="inlineStr">
        <is>
          <t>Accounting, Financial Reporting, Tax Compliance, Cost Control, Analytical Skills</t>
        </is>
      </c>
      <c r="M10320" s="10" t="inlineStr">
        <is>
          <t>Bonus, Healthcare Plan, Team Activities, Others</t>
        </is>
      </c>
      <c r="N10320" s="11">
        <f>HYPERLINK("https://www.vietnamworks.com/chief-accountant-2022510-jv","Xem chi tiết")</f>
        <v/>
      </c>
      <c r="O10320" s="10" t="n"/>
    </row>
    <row r="10321">
      <c r="B10321" s="7" t="n">
        <v>10319</v>
      </c>
      <c r="C10321" t="inlineStr">
        <is>
          <t>Senior Engineer</t>
        </is>
      </c>
      <c r="D10321" t="inlineStr">
        <is>
          <t>CÔNG TY TNHH MAVI CIE</t>
        </is>
      </c>
      <c r="E10321" t="inlineStr">
        <is>
          <t>25tr-35tr ₫/tháng</t>
        </is>
      </c>
      <c r="F10321" t="inlineStr">
        <is>
          <t>Bình Dương</t>
        </is>
      </c>
      <c r="G10321" t="inlineStr">
        <is>
          <t>Trưởng phòng</t>
        </is>
      </c>
      <c r="H10321" t="inlineStr">
        <is>
          <t>12/03/2026</t>
        </is>
      </c>
      <c r="I10321" t="inlineStr">
        <is>
          <t>11/04/2026</t>
        </is>
      </c>
      <c r="J10321" t="inlineStr">
        <is>
          <t>17/03/2026</t>
        </is>
      </c>
      <c r="K10321" t="inlineStr">
        <is>
          <t>N/A</t>
        </is>
      </c>
      <c r="L10321" t="inlineStr">
        <is>
          <t>Autocad, Inventor, Mechanical Analysis, Photoshop, Problem-solving</t>
        </is>
      </c>
      <c r="M10321" t="inlineStr">
        <is>
          <t>Bonus, Healthcare Plan, Paid Leave, Training, Others</t>
        </is>
      </c>
      <c r="N10321" s="8">
        <f>HYPERLINK("https://www.vietnamworks.com/senior-engineer-2022509-jv","Xem chi tiết")</f>
        <v/>
      </c>
    </row>
    <row r="10322">
      <c r="B10322" s="9" t="n">
        <v>10320</v>
      </c>
      <c r="C10322" s="10" t="inlineStr">
        <is>
          <t>Nhân Viên Kỹ Thuật Máy FAT, SMT (Không Yêu Cầu Kinh Nghiệm)</t>
        </is>
      </c>
      <c r="D10322" s="10" t="inlineStr">
        <is>
          <t>Công Ty TNHH Điện Tử UMC Việt Nam</t>
        </is>
      </c>
      <c r="E10322" s="10" t="inlineStr">
        <is>
          <t>$$ 400-500 /tháng</t>
        </is>
      </c>
      <c r="F10322" s="10" t="inlineStr">
        <is>
          <t>Bắc Ninh, Hải Phòng, Hưng Yên</t>
        </is>
      </c>
      <c r="G10322" s="10" t="inlineStr">
        <is>
          <t>Nhân viên</t>
        </is>
      </c>
      <c r="H10322" s="10" t="inlineStr">
        <is>
          <t>12/03/2026</t>
        </is>
      </c>
      <c r="I10322" s="10" t="inlineStr">
        <is>
          <t>11/04/2026</t>
        </is>
      </c>
      <c r="J10322" s="10" t="inlineStr">
        <is>
          <t>17/03/2026</t>
        </is>
      </c>
      <c r="K10322" s="10" t="inlineStr">
        <is>
          <t>N/A</t>
        </is>
      </c>
      <c r="L10322" s="10" t="inlineStr">
        <is>
          <t>Máy Móc Sản Xuất, Điện Tử, Sửa Chữa, Thiết Kế Mạch Điện Tử, Bảo Dưỡng</t>
        </is>
      </c>
      <c r="M10322" s="10" t="inlineStr">
        <is>
          <t>Training</t>
        </is>
      </c>
      <c r="N10322" s="11">
        <f>HYPERLINK("https://www.vietnamworks.com/nhan-vien-ky-thuat-may-fat-smt-khong-yeu-cau-kinh-nghiem--2022489-jv","Xem chi tiết")</f>
        <v/>
      </c>
      <c r="O10322" s="10" t="n"/>
    </row>
    <row r="10323">
      <c r="B10323" s="7" t="n">
        <v>10321</v>
      </c>
      <c r="C10323" t="inlineStr">
        <is>
          <t>Chuyên Viên Kinh Doanh Thị Trường Keo Dán Gạch Weber</t>
        </is>
      </c>
      <c r="D10323" t="inlineStr">
        <is>
          <t>Công ty TNHH công nghiệp Vĩnh Tường miền bắc Việt Nam</t>
        </is>
      </c>
      <c r="E10323" t="inlineStr">
        <is>
          <t>Thương lượng</t>
        </is>
      </c>
      <c r="F10323" t="inlineStr">
        <is>
          <t>Quảng Ngãi, Lâm Đồng, Vĩnh Long</t>
        </is>
      </c>
      <c r="G10323" t="inlineStr">
        <is>
          <t>Nhân viên</t>
        </is>
      </c>
      <c r="H10323" t="inlineStr">
        <is>
          <t>12/03/2026</t>
        </is>
      </c>
      <c r="I10323" t="inlineStr">
        <is>
          <t>11/04/2026</t>
        </is>
      </c>
      <c r="J10323" t="inlineStr">
        <is>
          <t>17/03/2026</t>
        </is>
      </c>
      <c r="K10323" t="inlineStr">
        <is>
          <t>N/A</t>
        </is>
      </c>
      <c r="L10323" t="inlineStr">
        <is>
          <t>Bán Hàng, Kinh Doanh Khu Vực, Bán Hàng Phân Phối, Chăm Sóc Khách Hàng, Phát Triển Thị Trường</t>
        </is>
      </c>
      <c r="M10323" t="inlineStr">
        <is>
          <t>Healthcare Plan, Training, Laptop</t>
        </is>
      </c>
      <c r="N10323" s="8">
        <f>HYPERLINK("https://www.vietnamworks.com/chuyen-vien-kinh-doanh-thi-truong-keo-dan-gach-weber--2022492-jv","Xem chi tiết")</f>
        <v/>
      </c>
    </row>
    <row r="10324">
      <c r="B10324" s="9" t="n">
        <v>10322</v>
      </c>
      <c r="C10324" s="10" t="inlineStr">
        <is>
          <t>Kỹ Sư Thiết Kế Kết Cấu Công Trình Xây Dựng</t>
        </is>
      </c>
      <c r="D10324" s="10" t="inlineStr">
        <is>
          <t>Công Ty TNHH STRUCTURES Việt Nam</t>
        </is>
      </c>
      <c r="E10324" s="10" t="inlineStr">
        <is>
          <t>Thương lượng</t>
        </is>
      </c>
      <c r="F10324" s="10" t="inlineStr">
        <is>
          <t>Hồ Chí Minh, Hà Nội</t>
        </is>
      </c>
      <c r="G10324" s="10" t="inlineStr">
        <is>
          <t>Nhân viên</t>
        </is>
      </c>
      <c r="H10324" s="10" t="inlineStr">
        <is>
          <t>12/03/2026</t>
        </is>
      </c>
      <c r="I10324" s="10" t="inlineStr">
        <is>
          <t>11/04/2026</t>
        </is>
      </c>
      <c r="J10324" s="10" t="inlineStr">
        <is>
          <t>17/03/2026</t>
        </is>
      </c>
      <c r="K10324" s="10" t="inlineStr">
        <is>
          <t>N/A</t>
        </is>
      </c>
      <c r="L10324" s="10" t="inlineStr">
        <is>
          <t>Kết Cấu Kiến Trúc, BIM Revit, AutoCAD, Structural Design, Civil Construction</t>
        </is>
      </c>
      <c r="M10324" s="10" t="inlineStr">
        <is>
          <t>Bonus, Healthcare Plan, Others</t>
        </is>
      </c>
      <c r="N10324" s="11">
        <f>HYPERLINK("https://www.vietnamworks.com/ky-su-thiet-ke-ket-cau-cong-trinh-xay-dung--2022519-jv","Xem chi tiết")</f>
        <v/>
      </c>
      <c r="O10324" s="10" t="n"/>
    </row>
    <row r="10325">
      <c r="B10325" s="7" t="n">
        <v>10323</v>
      </c>
      <c r="C10325" t="inlineStr">
        <is>
          <t>| Tân Phát Etek | - Tuyển Gấp - Nhân Viên Kinh Doanh Dự Án [Thu Nhập Hấp Dẫn]</t>
        </is>
      </c>
      <c r="D10325" t="inlineStr">
        <is>
          <t>Công Ty Cổ Phần Công Nghệ Thiết Bị Tân Phát</t>
        </is>
      </c>
      <c r="E10325" t="inlineStr">
        <is>
          <t>Thương lượng</t>
        </is>
      </c>
      <c r="F10325" t="inlineStr">
        <is>
          <t>Hà Nội</t>
        </is>
      </c>
      <c r="G10325" t="inlineStr">
        <is>
          <t>Nhân viên</t>
        </is>
      </c>
      <c r="H10325" t="inlineStr">
        <is>
          <t>12/03/2026</t>
        </is>
      </c>
      <c r="I10325" t="inlineStr">
        <is>
          <t>11/04/2026</t>
        </is>
      </c>
      <c r="J10325" t="inlineStr">
        <is>
          <t>17/03/2026</t>
        </is>
      </c>
      <c r="K10325" t="inlineStr">
        <is>
          <t>N/A</t>
        </is>
      </c>
      <c r="L10325" t="inlineStr">
        <is>
          <t>Nghiệm Thu, Kinh Doanh, Kinh Doanh Dự Án, Dự án</t>
        </is>
      </c>
      <c r="M10325" t="inlineStr">
        <is>
          <t>Bonus, Healthcare Plan, Training</t>
        </is>
      </c>
      <c r="N10325" s="8">
        <f>HYPERLINK("https://www.vietnamworks.com/tan-phat-etek-tuyen-gap-nhan-vien-kinh-doanh-du-an-thu-nhap-hap-dan-2022516-jv","Xem chi tiết")</f>
        <v/>
      </c>
    </row>
    <row r="10326">
      <c r="B10326" s="9" t="n">
        <v>10324</v>
      </c>
      <c r="C10326" s="10" t="inlineStr">
        <is>
          <t>Chuyên Viên Cao Cấp Phân Tích Doanh Nghiệp</t>
        </is>
      </c>
      <c r="D10326" s="10" t="inlineStr">
        <is>
          <t>Công Ty Cổ Phần Chứng Khoán Up</t>
        </is>
      </c>
      <c r="E10326" s="10" t="inlineStr">
        <is>
          <t>$$ 1,000-1,500 /tháng</t>
        </is>
      </c>
      <c r="F10326" s="10" t="inlineStr">
        <is>
          <t>Hà Nội</t>
        </is>
      </c>
      <c r="G10326" s="10" t="inlineStr">
        <is>
          <t>Nhân viên</t>
        </is>
      </c>
      <c r="H10326" s="10" t="inlineStr">
        <is>
          <t>12/03/2026</t>
        </is>
      </c>
      <c r="I10326" s="10" t="inlineStr">
        <is>
          <t>11/04/2026</t>
        </is>
      </c>
      <c r="J10326" s="10" t="inlineStr">
        <is>
          <t>17/03/2026</t>
        </is>
      </c>
      <c r="K10326" s="10" t="inlineStr">
        <is>
          <t>N/A</t>
        </is>
      </c>
      <c r="L10326" s="10" t="inlineStr">
        <is>
          <t>Báo Cáo Tài Chính, Mô Hình Tài Chính</t>
        </is>
      </c>
      <c r="M10326" s="10" t="inlineStr">
        <is>
          <t>Bonus, Healthcare Plan, Paid Leave</t>
        </is>
      </c>
      <c r="N10326" s="11">
        <f>HYPERLINK("https://www.vietnamworks.com/chuyen-vien-cao-cap-phan-tich-doanh-nghiep-2022518-jv","Xem chi tiết")</f>
        <v/>
      </c>
      <c r="O10326" s="10" t="n"/>
    </row>
    <row r="10327">
      <c r="B10327" s="7" t="n">
        <v>10325</v>
      </c>
      <c r="C10327" t="inlineStr">
        <is>
          <t>Production Planning Supervisor</t>
        </is>
      </c>
      <c r="D10327" t="inlineStr">
        <is>
          <t>Vietnamworks' Client</t>
        </is>
      </c>
      <c r="E10327" t="inlineStr">
        <is>
          <t>Thương lượng</t>
        </is>
      </c>
      <c r="F10327" t="inlineStr">
        <is>
          <t>Hồ Chí Minh</t>
        </is>
      </c>
      <c r="G10327" t="inlineStr">
        <is>
          <t>Nhân viên</t>
        </is>
      </c>
      <c r="H10327" t="inlineStr">
        <is>
          <t>12/03/2026</t>
        </is>
      </c>
      <c r="I10327" t="inlineStr">
        <is>
          <t>11/04/2026</t>
        </is>
      </c>
      <c r="J10327" t="inlineStr">
        <is>
          <t>17/03/2026</t>
        </is>
      </c>
      <c r="K10327" t="inlineStr">
        <is>
          <t>N/A</t>
        </is>
      </c>
      <c r="L10327" t="inlineStr">
        <is>
          <t>Production Planning, Material Planning, Demand Planning, Data Analysis, Team Management</t>
        </is>
      </c>
      <c r="M10327" t="inlineStr">
        <is>
          <t>Bonus, Healthcare Plan, Paid Leave</t>
        </is>
      </c>
      <c r="N10327" s="8">
        <f>HYPERLINK("https://www.vietnamworks.com/production-planning-supervisor--2022515-jv","Xem chi tiết")</f>
        <v/>
      </c>
    </row>
    <row r="10328">
      <c r="B10328" s="9" t="n">
        <v>10326</v>
      </c>
      <c r="C10328" s="10" t="inlineStr">
        <is>
          <t>Customer Service Admin</t>
        </is>
      </c>
      <c r="D10328" s="10" t="inlineStr">
        <is>
          <t>Konica Minolta Business SOLUTIONS VN</t>
        </is>
      </c>
      <c r="E10328" s="10" t="inlineStr">
        <is>
          <t>Thương lượng</t>
        </is>
      </c>
      <c r="F10328" s="10" t="inlineStr">
        <is>
          <t>Hồ Chí Minh</t>
        </is>
      </c>
      <c r="G10328" s="10" t="inlineStr">
        <is>
          <t>Mới Tốt Nghiệp</t>
        </is>
      </c>
      <c r="H10328" s="10" t="inlineStr">
        <is>
          <t>12/03/2026</t>
        </is>
      </c>
      <c r="I10328" s="10" t="inlineStr">
        <is>
          <t>11/04/2026</t>
        </is>
      </c>
      <c r="J10328" s="10" t="inlineStr">
        <is>
          <t>17/03/2026</t>
        </is>
      </c>
      <c r="K10328" s="10" t="inlineStr">
        <is>
          <t>N/A</t>
        </is>
      </c>
      <c r="L10328" s="10" t="inlineStr">
        <is>
          <t>Customer Service, SAP, English Communication, Call Center</t>
        </is>
      </c>
      <c r="M10328" s="10" t="inlineStr">
        <is>
          <t>Bonus, Healthcare Plan, Paid Leave, Travel Opportunities, Team Activities, Others</t>
        </is>
      </c>
      <c r="N10328" s="11">
        <f>HYPERLINK("https://www.vietnamworks.com/customer-service-admin-2022532-jv","Xem chi tiết")</f>
        <v/>
      </c>
      <c r="O10328" s="10" t="n"/>
    </row>
    <row r="10329">
      <c r="B10329" s="7" t="n">
        <v>10327</v>
      </c>
      <c r="C10329" t="inlineStr">
        <is>
          <t>Expert, Digital Marketing</t>
        </is>
      </c>
      <c r="D10329" t="inlineStr">
        <is>
          <t>Techcombank</t>
        </is>
      </c>
      <c r="E10329" t="inlineStr">
        <is>
          <t>Thương lượng</t>
        </is>
      </c>
      <c r="F10329" t="inlineStr">
        <is>
          <t>Hà Nội</t>
        </is>
      </c>
      <c r="G10329" t="inlineStr">
        <is>
          <t>Nhân viên</t>
        </is>
      </c>
      <c r="H10329" t="inlineStr">
        <is>
          <t>12/03/2026</t>
        </is>
      </c>
      <c r="I10329" t="inlineStr">
        <is>
          <t>11/04/2026</t>
        </is>
      </c>
      <c r="J10329" t="inlineStr">
        <is>
          <t>17/03/2026</t>
        </is>
      </c>
      <c r="K10329" t="inlineStr">
        <is>
          <t>N/A</t>
        </is>
      </c>
      <c r="L10329" t="inlineStr">
        <is>
          <t>Creative Content, Digital Marketing Tools, Project Management, Digital Marketing &amp; Ads, Marketing</t>
        </is>
      </c>
      <c r="M10329" t="inlineStr">
        <is>
          <t>Others</t>
        </is>
      </c>
      <c r="N10329" s="8">
        <f>HYPERLINK("https://www.vietnamworks.com/expert-digital-marketing-2022520-jv","Xem chi tiết")</f>
        <v/>
      </c>
    </row>
    <row r="10330">
      <c r="B10330" s="9" t="n">
        <v>10328</v>
      </c>
      <c r="C10330" s="10" t="inlineStr">
        <is>
          <t>Kiến Trúc Sư Triển Khai (AutoCAD / Revit)</t>
        </is>
      </c>
      <c r="D10330" s="10" t="inlineStr">
        <is>
          <t>công ty cổ phần thiết kế và xây dựng Dong A group</t>
        </is>
      </c>
      <c r="E10330" s="10" t="inlineStr">
        <is>
          <t>12tr-20tr ₫/tháng</t>
        </is>
      </c>
      <c r="F10330" s="10" t="inlineStr">
        <is>
          <t>Hà Nội</t>
        </is>
      </c>
      <c r="G10330" s="10" t="inlineStr">
        <is>
          <t>Nhân viên</t>
        </is>
      </c>
      <c r="H10330" s="10" t="inlineStr">
        <is>
          <t>12/03/2026</t>
        </is>
      </c>
      <c r="I10330" s="10" t="inlineStr">
        <is>
          <t>11/04/2026</t>
        </is>
      </c>
      <c r="J10330" s="10" t="inlineStr">
        <is>
          <t>17/03/2026</t>
        </is>
      </c>
      <c r="K10330" s="10" t="inlineStr">
        <is>
          <t>N/A</t>
        </is>
      </c>
      <c r="L10330" s="10" t="inlineStr">
        <is>
          <t>AutoCAD, Revit, Sketchup, MEP Design, Triển Khai Bản Vẽ Xây Dựng</t>
        </is>
      </c>
      <c r="M10330" s="10" t="inlineStr">
        <is>
          <t>Bonus, Healthcare Plan, Paid Leave, Travel Opportunities, Others</t>
        </is>
      </c>
      <c r="N10330" s="11">
        <f>HYPERLINK("https://www.vietnamworks.com/kien-truc-su-trien-khai-autocad-revit-2022537-jv","Xem chi tiết")</f>
        <v/>
      </c>
      <c r="O10330" s="10" t="n"/>
    </row>
    <row r="10331">
      <c r="B10331" s="7" t="n">
        <v>10329</v>
      </c>
      <c r="C10331" t="inlineStr">
        <is>
          <t>Nhân Viên Kinh Doanh (Không Yc Kinh Nghiệm)| Lương Cứng 12.3Tr + Data Khách Hàng | Thu Nhập 20–30Tr+</t>
        </is>
      </c>
      <c r="D10331" t="inlineStr">
        <is>
          <t>Tập Đoàn Inox Gia Anh</t>
        </is>
      </c>
      <c r="E10331" t="inlineStr">
        <is>
          <t>20tr-30tr ₫/tháng</t>
        </is>
      </c>
      <c r="F10331" t="inlineStr">
        <is>
          <t>Hà Nội</t>
        </is>
      </c>
      <c r="G10331" t="inlineStr">
        <is>
          <t>Mới Tốt Nghiệp</t>
        </is>
      </c>
      <c r="H10331" t="inlineStr">
        <is>
          <t>12/03/2026</t>
        </is>
      </c>
      <c r="I10331" t="inlineStr">
        <is>
          <t>11/04/2026</t>
        </is>
      </c>
      <c r="J10331" t="inlineStr">
        <is>
          <t>17/03/2026</t>
        </is>
      </c>
      <c r="K10331" t="inlineStr">
        <is>
          <t>N/A</t>
        </is>
      </c>
      <c r="L10331" t="inlineStr">
        <is>
          <t>Tìm Kiếm Khách Hàng, Chăm Sóc Khách Hàng, Khảo Sát Thị Trường, Tư Vấn Sản Phẩm, Phát Triển Khách Hàng</t>
        </is>
      </c>
      <c r="M10331" t="inlineStr">
        <is>
          <t>Bonus, Healthcare Plan, Team Activities</t>
        </is>
      </c>
      <c r="N10331" s="8">
        <f>HYPERLINK("https://www.vietnamworks.com/nhan-vien-kinh-doanh-khong-yc-kinh-nghiem-luong-cung-12-3tr-data-khach-hang-thu-nhap-20-30tr-2022521-jv","Xem chi tiết")</f>
        <v/>
      </c>
    </row>
    <row r="10332">
      <c r="B10332" s="9" t="n">
        <v>10330</v>
      </c>
      <c r="C10332" s="10" t="inlineStr">
        <is>
          <t>Trưởng Bộ Phận Quản Lý Chất Lượng/ QC/ QA/ QHSE</t>
        </is>
      </c>
      <c r="D10332" s="10" t="inlineStr">
        <is>
          <t>Công Ty Cổ Phần Tập Đoàn Austdoor</t>
        </is>
      </c>
      <c r="E10332" s="10" t="inlineStr">
        <is>
          <t>13tr-20tr ₫/tháng</t>
        </is>
      </c>
      <c r="F10332" s="10" t="inlineStr">
        <is>
          <t>Đồng Nai</t>
        </is>
      </c>
      <c r="G10332" s="10" t="inlineStr">
        <is>
          <t>Trưởng phòng</t>
        </is>
      </c>
      <c r="H10332" s="10" t="inlineStr">
        <is>
          <t>12/03/2026</t>
        </is>
      </c>
      <c r="I10332" s="10" t="inlineStr">
        <is>
          <t>11/04/2026</t>
        </is>
      </c>
      <c r="J10332" s="10" t="inlineStr">
        <is>
          <t>17/03/2026</t>
        </is>
      </c>
      <c r="K10332" s="10" t="inlineStr">
        <is>
          <t>N/A</t>
        </is>
      </c>
      <c r="L10332" s="10" t="inlineStr">
        <is>
          <t>Quản Lý Hệ Thống Chất Lượng, Kiểm Soát Chất Lượng, Giám Sát Chất Lượng, Xác Định Chất Lượng, Đánh Giá Chất Lượng</t>
        </is>
      </c>
      <c r="M10332" s="10" t="inlineStr">
        <is>
          <t>Bonus, Healthcare Plan, Others</t>
        </is>
      </c>
      <c r="N10332" s="11">
        <f>HYPERLINK("https://www.vietnamworks.com/truong-bo-phan-quan-ly-chat-luong-qc-qa-qhse-2022531-jv","Xem chi tiết")</f>
        <v/>
      </c>
      <c r="O10332" s="10" t="n"/>
    </row>
    <row r="10333">
      <c r="B10333" s="7" t="n">
        <v>10331</v>
      </c>
      <c r="C10333" t="inlineStr">
        <is>
          <t>General Manager - Building Operations</t>
        </is>
      </c>
      <c r="D10333" t="inlineStr">
        <is>
          <t>International Business Center Company Limited</t>
        </is>
      </c>
      <c r="E10333" t="inlineStr">
        <is>
          <t>Thương lượng</t>
        </is>
      </c>
      <c r="F10333" t="inlineStr">
        <is>
          <t>Hồ Chí Minh</t>
        </is>
      </c>
      <c r="G10333" t="inlineStr">
        <is>
          <t>Trưởng phòng</t>
        </is>
      </c>
      <c r="H10333" t="inlineStr">
        <is>
          <t>12/03/2026</t>
        </is>
      </c>
      <c r="I10333" t="inlineStr">
        <is>
          <t>11/04/2026</t>
        </is>
      </c>
      <c r="J10333" t="inlineStr">
        <is>
          <t>17/03/2026</t>
        </is>
      </c>
      <c r="K10333" t="inlineStr">
        <is>
          <t>N/A</t>
        </is>
      </c>
      <c r="L10333" t="inlineStr">
        <is>
          <t>Building Management, Property Management, Team Management, Technical Management, Quản Lý Toà Nhà</t>
        </is>
      </c>
      <c r="M10333" t="inlineStr">
        <is>
          <t>Bonus, Healthcare Plan, Awards, Others</t>
        </is>
      </c>
      <c r="N10333" s="8">
        <f>HYPERLINK("https://www.vietnamworks.com/general-manager-building-operations-2022524-jv","Xem chi tiết")</f>
        <v/>
      </c>
    </row>
    <row r="10334">
      <c r="B10334" s="9" t="n">
        <v>10332</v>
      </c>
      <c r="C10334" s="10" t="inlineStr">
        <is>
          <t>Nhân Viên Bán Hàng Thời Trang Cao Cấp (Client Advisor)</t>
        </is>
      </c>
      <c r="D10334" s="10" t="inlineStr">
        <is>
          <t>Global Link</t>
        </is>
      </c>
      <c r="E10334" s="10" t="inlineStr">
        <is>
          <t>Thương lượng</t>
        </is>
      </c>
      <c r="F10334" s="10" t="inlineStr">
        <is>
          <t>Hà Nội, Hồ Chí Minh</t>
        </is>
      </c>
      <c r="G10334" s="10" t="inlineStr">
        <is>
          <t>Nhân viên</t>
        </is>
      </c>
      <c r="H10334" s="10" t="inlineStr">
        <is>
          <t>12/03/2026</t>
        </is>
      </c>
      <c r="I10334" s="10" t="inlineStr">
        <is>
          <t>11/04/2026</t>
        </is>
      </c>
      <c r="J10334" s="10" t="inlineStr">
        <is>
          <t>17/03/2026</t>
        </is>
      </c>
      <c r="K10334" s="10" t="inlineStr">
        <is>
          <t>N/A</t>
        </is>
      </c>
      <c r="L10334" s="10" t="inlineStr">
        <is>
          <t>Chăm Sóc Khách Hàng, Quản Trị Hàng Hóa, Thái Độ Tốt, Tiếng Anh Căn Bản, Tư Vấn Bán Hàng</t>
        </is>
      </c>
      <c r="M10334" s="10" t="inlineStr">
        <is>
          <t>Bonus</t>
        </is>
      </c>
      <c r="N10334" s="11">
        <f>HYPERLINK("https://www.vietnamworks.com/nhan-vien-ban-hang-thoi-trang-cao-cap-client-advisor-2022526-jv","Xem chi tiết")</f>
        <v/>
      </c>
      <c r="O10334" s="10" t="n"/>
    </row>
    <row r="10335">
      <c r="B10335" s="7" t="n">
        <v>10333</v>
      </c>
      <c r="C10335" t="inlineStr">
        <is>
          <t>Nhân Viên Kinh Doanh B2B (Vật Tư &amp; Sàn Công Nghiệp Được Đào Tạo)</t>
        </is>
      </c>
      <c r="D10335" t="inlineStr">
        <is>
          <t>CÔNG TY TNHH CÔNG NGHIỆP NAI PHÚC VIỆT NAM</t>
        </is>
      </c>
      <c r="E10335" t="inlineStr">
        <is>
          <t>15tr-40tr ₫/tháng</t>
        </is>
      </c>
      <c r="F10335" t="inlineStr">
        <is>
          <t>Hồ Chí Minh, Bình Dương</t>
        </is>
      </c>
      <c r="G10335" t="inlineStr">
        <is>
          <t>Mới Tốt Nghiệp</t>
        </is>
      </c>
      <c r="H10335" t="inlineStr">
        <is>
          <t>12/03/2026</t>
        </is>
      </c>
      <c r="I10335" t="inlineStr">
        <is>
          <t>11/04/2026</t>
        </is>
      </c>
      <c r="J10335" t="inlineStr">
        <is>
          <t>17/03/2026</t>
        </is>
      </c>
      <c r="K10335" t="inlineStr">
        <is>
          <t>N/A</t>
        </is>
      </c>
      <c r="L10335" t="inlineStr">
        <is>
          <t>Sales B2B, Hệ Thống Công Nghiệp, Giao Tiếp Tiếng Anh, Tiếng Trung Giao Tiếp, năng động</t>
        </is>
      </c>
      <c r="M10335" t="inlineStr">
        <is>
          <t>Bonus, Healthcare Plan, Training, Travel Opportunities, Others</t>
        </is>
      </c>
      <c r="N10335" s="8">
        <f>HYPERLINK("https://www.vietnamworks.com/nhan-vien-kinh-doanh-b2b-vat-tu-san-cong-nghiep-duoc-dao-tao-2022543-jv","Xem chi tiết")</f>
        <v/>
      </c>
    </row>
    <row r="10336">
      <c r="B10336" s="9" t="n">
        <v>10334</v>
      </c>
      <c r="C10336" s="10" t="inlineStr">
        <is>
          <t>Chuyên Gia Phát Triển Mạng Lưới</t>
        </is>
      </c>
      <c r="D10336" s="10" t="inlineStr">
        <is>
          <t>Techcombank</t>
        </is>
      </c>
      <c r="E10336" s="10" t="inlineStr">
        <is>
          <t>$$ 1,200-3,500 /tháng</t>
        </is>
      </c>
      <c r="F10336" s="10" t="inlineStr">
        <is>
          <t>Hà Nội</t>
        </is>
      </c>
      <c r="G10336" s="10" t="inlineStr">
        <is>
          <t>Nhân viên</t>
        </is>
      </c>
      <c r="H10336" s="10" t="inlineStr">
        <is>
          <t>12/03/2026</t>
        </is>
      </c>
      <c r="I10336" s="10" t="inlineStr">
        <is>
          <t>11/04/2026</t>
        </is>
      </c>
      <c r="J10336" s="10" t="inlineStr">
        <is>
          <t>17/03/2026</t>
        </is>
      </c>
      <c r="K10336" s="10" t="inlineStr">
        <is>
          <t>N/A</t>
        </is>
      </c>
      <c r="L10336" s="10" t="inlineStr">
        <is>
          <t>Bán hàng, Phát Triển Mạng Lưới, Phát Triển Mạng Lưới ATM, Xây dựng chiến dịch, Oracle</t>
        </is>
      </c>
      <c r="M10336" s="10" t="inlineStr">
        <is>
          <t>Bonus, Healthcare Plan, Paid Leave</t>
        </is>
      </c>
      <c r="N10336" s="11">
        <f>HYPERLINK("https://www.vietnamworks.com/chuyen-gia-phat-trien-mang-luoi--2022523-jv","Xem chi tiết")</f>
        <v/>
      </c>
      <c r="O10336" s="10" t="n"/>
    </row>
    <row r="10337">
      <c r="B10337" s="7" t="n">
        <v>10335</v>
      </c>
      <c r="C10337" t="inlineStr">
        <is>
          <t>Marketing Manager</t>
        </is>
      </c>
      <c r="D10337" t="inlineStr">
        <is>
          <t>CÔNG TY CỔ PHẦN QUẢN LÝ QUỸ PHÚ HƯNG</t>
        </is>
      </c>
      <c r="E10337" t="inlineStr">
        <is>
          <t>Thương lượng</t>
        </is>
      </c>
      <c r="F10337" t="inlineStr">
        <is>
          <t>Hồ Chí Minh</t>
        </is>
      </c>
      <c r="G10337" t="inlineStr">
        <is>
          <t>Trưởng phòng</t>
        </is>
      </c>
      <c r="H10337" t="inlineStr">
        <is>
          <t>12/03/2026</t>
        </is>
      </c>
      <c r="I10337" t="inlineStr">
        <is>
          <t>11/04/2026</t>
        </is>
      </c>
      <c r="J10337" t="inlineStr">
        <is>
          <t>17/03/2026</t>
        </is>
      </c>
      <c r="K10337" t="inlineStr">
        <is>
          <t>N/A</t>
        </is>
      </c>
      <c r="L10337" t="inlineStr">
        <is>
          <t>Brand Awareness, Communication Strategy</t>
        </is>
      </c>
      <c r="M10337" t="inlineStr">
        <is>
          <t>Bonus, Healthcare Plan, Paid Leave, Team Activities, Others</t>
        </is>
      </c>
      <c r="N10337" s="8">
        <f>HYPERLINK("https://www.vietnamworks.com/marketing-manager-2022530-jv","Xem chi tiết")</f>
        <v/>
      </c>
    </row>
    <row r="10338">
      <c r="B10338" s="9" t="n">
        <v>10336</v>
      </c>
      <c r="C10338" s="10" t="inlineStr">
        <is>
          <t>Nhân Viên Kinh Doanh</t>
        </is>
      </c>
      <c r="D10338" s="10" t="inlineStr">
        <is>
          <t>CÔNG TY CỔ PHẦN PHÁT TRIỂN CÔNG NGHỆ TECHPRO</t>
        </is>
      </c>
      <c r="E10338" s="10" t="inlineStr">
        <is>
          <t>Thương lượng</t>
        </is>
      </c>
      <c r="F10338" s="10" t="inlineStr">
        <is>
          <t>Hà Nội, Hồ Chí Minh</t>
        </is>
      </c>
      <c r="G10338" s="10" t="inlineStr">
        <is>
          <t>Nhân viên</t>
        </is>
      </c>
      <c r="H10338" s="10" t="inlineStr">
        <is>
          <t>12/03/2026</t>
        </is>
      </c>
      <c r="I10338" s="10" t="inlineStr">
        <is>
          <t>11/04/2026</t>
        </is>
      </c>
      <c r="J10338" s="10" t="inlineStr">
        <is>
          <t>17/03/2026</t>
        </is>
      </c>
      <c r="K10338" s="10" t="inlineStr">
        <is>
          <t>N/A</t>
        </is>
      </c>
      <c r="L10338" s="10" t="inlineStr">
        <is>
          <t>Kỹ Năng Chốt Sale, Kỹ Năng Thuyết Trình, Kỹ năng đàm phán, Thuyết Phục Bán Hàng</t>
        </is>
      </c>
      <c r="M10338" s="10" t="inlineStr">
        <is>
          <t>Bonus, Healthcare Plan, Training, Team Activities, Others</t>
        </is>
      </c>
      <c r="N10338" s="11">
        <f>HYPERLINK("https://www.vietnamworks.com/nhan-vien-kinh-doanh-2022536-jv","Xem chi tiết")</f>
        <v/>
      </c>
      <c r="O10338" s="10" t="n"/>
    </row>
    <row r="10339">
      <c r="B10339" s="7" t="n">
        <v>10337</v>
      </c>
      <c r="C10339" t="inlineStr">
        <is>
          <t>Chuyên Viên Quản Trị Rủi Ro &amp; Vận Hành Giao Dịch Hàng Hóa</t>
        </is>
      </c>
      <c r="D10339" t="inlineStr">
        <is>
          <t>CÔNG TY CỔ PHẦN ĐẦU TƯ VÀNG PHÚ QUÝ</t>
        </is>
      </c>
      <c r="E10339" t="inlineStr">
        <is>
          <t>10tr-15tr ₫/tháng</t>
        </is>
      </c>
      <c r="F10339" t="inlineStr">
        <is>
          <t>Hà Nội</t>
        </is>
      </c>
      <c r="G10339" t="inlineStr">
        <is>
          <t>Nhân viên</t>
        </is>
      </c>
      <c r="H10339" t="inlineStr">
        <is>
          <t>12/03/2026</t>
        </is>
      </c>
      <c r="I10339" t="inlineStr">
        <is>
          <t>11/04/2026</t>
        </is>
      </c>
      <c r="J10339" t="inlineStr">
        <is>
          <t>17/03/2026</t>
        </is>
      </c>
      <c r="K10339" t="inlineStr">
        <is>
          <t>N/A</t>
        </is>
      </c>
      <c r="L10339" t="inlineStr">
        <is>
          <t>Quản Lý Giao Dịch, Quản Lý Rủi Ro, Kỹ Thuật, Phân Tích Bản Vẽ, Giao Tiếp</t>
        </is>
      </c>
      <c r="M10339" t="inlineStr">
        <is>
          <t>Bonus, Travel Opportunities, Canteen</t>
        </is>
      </c>
      <c r="N10339" s="8">
        <f>HYPERLINK("https://www.vietnamworks.com/chuyen-vien-quan-tri-rui-ro-and-van-hanh-giao-dich-hang-hoa-2022522-jv","Xem chi tiết")</f>
        <v/>
      </c>
    </row>
    <row r="10340">
      <c r="B10340" s="9" t="n">
        <v>10338</v>
      </c>
      <c r="C10340" s="10" t="inlineStr">
        <is>
          <t>Chuyên Viên Tư Vấn Đầu Tư Hàng Hóa Phái Sinh</t>
        </is>
      </c>
      <c r="D10340" s="10" t="inlineStr">
        <is>
          <t>CÔNG TY CỔ PHẦN ĐẦU TƯ VÀNG PHÚ QUÝ</t>
        </is>
      </c>
      <c r="E10340" s="10" t="inlineStr">
        <is>
          <t>20tr-45tr ₫/tháng</t>
        </is>
      </c>
      <c r="F10340" s="10" t="inlineStr">
        <is>
          <t>Hà Nội</t>
        </is>
      </c>
      <c r="G10340" s="10" t="inlineStr">
        <is>
          <t>Nhân viên</t>
        </is>
      </c>
      <c r="H10340" s="10" t="inlineStr">
        <is>
          <t>12/03/2026</t>
        </is>
      </c>
      <c r="I10340" s="10" t="inlineStr">
        <is>
          <t>11/04/2026</t>
        </is>
      </c>
      <c r="J10340" s="10" t="inlineStr">
        <is>
          <t>17/03/2026</t>
        </is>
      </c>
      <c r="K10340" s="10" t="inlineStr">
        <is>
          <t>N/A</t>
        </is>
      </c>
      <c r="L10340" s="10" t="inlineStr">
        <is>
          <t>Tư Vấn Khách Hàng, Phân Tích Thị Trường, Microsoft Office, Giao Tiếp</t>
        </is>
      </c>
      <c r="M10340" s="10" t="inlineStr">
        <is>
          <t>Bonus, Training, Travel Opportunities, Canteen</t>
        </is>
      </c>
      <c r="N10340" s="11">
        <f>HYPERLINK("https://www.vietnamworks.com/chuyen-vien-tu-van-djau-tu-hang-hoa-phai-sinh-2022525-jv","Xem chi tiết")</f>
        <v/>
      </c>
      <c r="O10340" s="10" t="n"/>
    </row>
    <row r="10341">
      <c r="B10341" s="7" t="n">
        <v>10339</v>
      </c>
      <c r="C10341" t="inlineStr">
        <is>
          <t>[HCM] Business Development Fresher/intern | B2B Training Program</t>
        </is>
      </c>
      <c r="D10341" t="inlineStr">
        <is>
          <t>Navigos Group</t>
        </is>
      </c>
      <c r="E10341" t="inlineStr">
        <is>
          <t>$$ 300-500 /tháng</t>
        </is>
      </c>
      <c r="F10341" t="inlineStr">
        <is>
          <t>Hồ Chí Minh</t>
        </is>
      </c>
      <c r="G10341" t="inlineStr">
        <is>
          <t>Mới Tốt Nghiệp</t>
        </is>
      </c>
      <c r="H10341" t="inlineStr">
        <is>
          <t>12/03/2026</t>
        </is>
      </c>
      <c r="I10341" t="inlineStr">
        <is>
          <t>11/04/2026</t>
        </is>
      </c>
      <c r="J10341" t="inlineStr">
        <is>
          <t>17/03/2026</t>
        </is>
      </c>
      <c r="K10341" t="inlineStr">
        <is>
          <t>N/A</t>
        </is>
      </c>
      <c r="L10341" t="inlineStr">
        <is>
          <t>B2B Sales, Tư Vấn, Telesales, Khả năng chịu áp lực, Giao Tiếp Tốt</t>
        </is>
      </c>
      <c r="M10341" t="inlineStr">
        <is>
          <t>Healthcare Plan, Paid Leave, Awards</t>
        </is>
      </c>
      <c r="N10341" s="8">
        <f>HYPERLINK("https://www.vietnamworks.com/hcm-business-development-fresher-intern-b2b-training-program-2022527-jv","Xem chi tiết")</f>
        <v/>
      </c>
    </row>
    <row r="10342">
      <c r="B10342" s="9" t="n">
        <v>10340</v>
      </c>
      <c r="C10342" s="10" t="inlineStr">
        <is>
          <t>Nhân Viên Kỹ Thuật Sản Xuất (PE)</t>
        </is>
      </c>
      <c r="D10342" s="10" t="inlineStr">
        <is>
          <t>Tohoku Pioneer Vietnam Co., Ltd</t>
        </is>
      </c>
      <c r="E10342" s="10" t="inlineStr">
        <is>
          <t>Thương lượng</t>
        </is>
      </c>
      <c r="F10342" s="10" t="inlineStr">
        <is>
          <t>Hải Phòng</t>
        </is>
      </c>
      <c r="G10342" s="10" t="inlineStr">
        <is>
          <t>Nhân viên</t>
        </is>
      </c>
      <c r="H10342" s="10" t="inlineStr">
        <is>
          <t>12/03/2026</t>
        </is>
      </c>
      <c r="I10342" s="10" t="inlineStr">
        <is>
          <t>11/04/2026</t>
        </is>
      </c>
      <c r="J10342" s="10" t="inlineStr">
        <is>
          <t>17/03/2026</t>
        </is>
      </c>
      <c r="K10342" s="10" t="inlineStr">
        <is>
          <t>N/A</t>
        </is>
      </c>
      <c r="L10342" s="10" t="inlineStr">
        <is>
          <t>Autocad, Kỹ Thuật Sản Xuất, Quản Lý Sản Xuất, Cải Tiến Quy Trình Sản Xuất, Đọc Bản Vẽ Kỹ Thuật</t>
        </is>
      </c>
      <c r="M10342" s="10" t="inlineStr">
        <is>
          <t>Bonus, Healthcare Plan, Training, Canteen, Others</t>
        </is>
      </c>
      <c r="N10342" s="11">
        <f>HYPERLINK("https://www.vietnamworks.com/nhan-vien-ky-thuat-san-xuat-pe-2022542-jv","Xem chi tiết")</f>
        <v/>
      </c>
      <c r="O10342" s="10" t="n"/>
    </row>
    <row r="10343">
      <c r="B10343" s="7" t="n">
        <v>10341</v>
      </c>
      <c r="C10343" t="inlineStr">
        <is>
          <t>AutoCAD Designer / Nhân Viên Thiết Kế Bản Vẽ (Cơ Khí – Automotive)</t>
        </is>
      </c>
      <c r="D10343" t="inlineStr">
        <is>
          <t>Công Ty TNHH Suntech Vina</t>
        </is>
      </c>
      <c r="E10343" t="inlineStr">
        <is>
          <t>9tr-15tr ₫/tháng</t>
        </is>
      </c>
      <c r="F10343" t="inlineStr">
        <is>
          <t>Hồ Chí Minh, Bình Dương</t>
        </is>
      </c>
      <c r="G10343" t="inlineStr">
        <is>
          <t>Nhân viên</t>
        </is>
      </c>
      <c r="H10343" t="inlineStr">
        <is>
          <t>12/03/2026</t>
        </is>
      </c>
      <c r="I10343" t="inlineStr">
        <is>
          <t>11/04/2026</t>
        </is>
      </c>
      <c r="J10343" t="inlineStr">
        <is>
          <t>17/03/2026</t>
        </is>
      </c>
      <c r="K10343" t="inlineStr">
        <is>
          <t>N/A</t>
        </is>
      </c>
      <c r="L10343" t="inlineStr">
        <is>
          <t>AutoCAD 2D, Cơ Khí, Thiết Kế Bản Vẽ, Mechanical Design, CAD Drafting</t>
        </is>
      </c>
      <c r="M10343" t="inlineStr">
        <is>
          <t>Bonus, Healthcare Plan, Team Activities</t>
        </is>
      </c>
      <c r="N10343" s="8">
        <f>HYPERLINK("https://www.vietnamworks.com/autocad-designer-nhan-vien-thiet-ke-ban-ve-co-khi-automotive-2022534-jv","Xem chi tiết")</f>
        <v/>
      </c>
    </row>
    <row r="10344">
      <c r="B10344" s="9" t="n">
        <v>10342</v>
      </c>
      <c r="C10344" s="10" t="inlineStr">
        <is>
          <t>Kỹ Sư Lập Trình PLC (Team Leader) - Quản Lý Các Dự Án Dây Chuyền Công Nghiệp (Lương Từ $1200 - $2500)</t>
        </is>
      </c>
      <c r="D10344" s="10" t="inlineStr">
        <is>
          <t>Công Ty Cổ Phần Công Nghệ Thiết Bị Tân Phát</t>
        </is>
      </c>
      <c r="E10344" s="10" t="inlineStr">
        <is>
          <t>$$ 1,200-2,500 /tháng</t>
        </is>
      </c>
      <c r="F10344" s="10" t="inlineStr">
        <is>
          <t>Hà Nội</t>
        </is>
      </c>
      <c r="G10344" s="10" t="inlineStr">
        <is>
          <t>Trưởng phòng</t>
        </is>
      </c>
      <c r="H10344" s="10" t="inlineStr">
        <is>
          <t>12/03/2026</t>
        </is>
      </c>
      <c r="I10344" s="10" t="inlineStr">
        <is>
          <t>11/04/2026</t>
        </is>
      </c>
      <c r="J10344" s="10" t="inlineStr">
        <is>
          <t>17/03/2026</t>
        </is>
      </c>
      <c r="K10344" s="10" t="inlineStr">
        <is>
          <t>N/A</t>
        </is>
      </c>
      <c r="L10344" s="10" t="inlineStr">
        <is>
          <t>Quản Lý Dự Án, Thiết Bị Công Nghiệp, PLC, Cơ Điện, Lập Trình Robot Công Nghiệp</t>
        </is>
      </c>
      <c r="M10344" s="10" t="inlineStr">
        <is>
          <t>Bonus, Healthcare Plan, Training</t>
        </is>
      </c>
      <c r="N10344" s="11">
        <f>HYPERLINK("https://www.vietnamworks.com/ky-su-lap-trinh-plc-team-leader-quan-ly-cac-du-an-day-chuyen-cong-nghiep-luong-tu-1200-2500--2022535-jv","Xem chi tiết")</f>
        <v/>
      </c>
      <c r="O10344" s="10" t="n"/>
    </row>
    <row r="10345">
      <c r="B10345" s="7" t="n">
        <v>10343</v>
      </c>
      <c r="C10345" t="inlineStr">
        <is>
          <t>Chuyên Viên Kinh Doanh Máy Tiếng Anh hoặc Tiếng Nhật (Lương Lên Tới 20 Triệu/ Tháng)</t>
        </is>
      </c>
      <c r="D10345" t="inlineStr">
        <is>
          <t>Công Ty Cổ Phần Meiko Automation</t>
        </is>
      </c>
      <c r="E10345" t="inlineStr">
        <is>
          <t>Tới 20tr ₫/tháng</t>
        </is>
      </c>
      <c r="F10345" t="inlineStr">
        <is>
          <t>Hà Nội</t>
        </is>
      </c>
      <c r="G10345" t="inlineStr">
        <is>
          <t>Nhân viên</t>
        </is>
      </c>
      <c r="H10345" t="inlineStr">
        <is>
          <t>12/03/2026</t>
        </is>
      </c>
      <c r="I10345" t="inlineStr">
        <is>
          <t>11/04/2026</t>
        </is>
      </c>
      <c r="J10345" t="inlineStr">
        <is>
          <t>17/03/2026</t>
        </is>
      </c>
      <c r="K10345" t="inlineStr">
        <is>
          <t>N/A</t>
        </is>
      </c>
      <c r="L10345" t="inlineStr">
        <is>
          <t>Auto Cad, Bán Hàng Kỹ Thuật, Quản Lý Đơn Hàng, Sales Planning, Tiếng Nhật N4</t>
        </is>
      </c>
      <c r="M10345" t="inlineStr">
        <is>
          <t>Bonus, Healthcare Plan, Paid Leave, Awards, Team Activities</t>
        </is>
      </c>
      <c r="N10345" s="8">
        <f>HYPERLINK("https://www.vietnamworks.com/chuyen-vien-kinh-doanh-may-tieng-anh-hoac-tieng-nhat-luong-len-toi-20-trieu-thang-2022544-jv","Xem chi tiết")</f>
        <v/>
      </c>
    </row>
    <row r="10346">
      <c r="B10346" s="9" t="n">
        <v>10344</v>
      </c>
      <c r="C10346" s="10" t="inlineStr">
        <is>
          <t>Sales Supervisor</t>
        </is>
      </c>
      <c r="D10346" s="10" t="inlineStr">
        <is>
          <t>YUNEXPRESS LOGISTICS VIETNAM COMPANY LIMITED</t>
        </is>
      </c>
      <c r="E10346" s="10" t="inlineStr">
        <is>
          <t>$$ 800-3,000 /tháng</t>
        </is>
      </c>
      <c r="F10346" s="10" t="inlineStr">
        <is>
          <t>Hồ Chí Minh, Hà Nội</t>
        </is>
      </c>
      <c r="G10346" s="10" t="inlineStr">
        <is>
          <t>Nhân viên</t>
        </is>
      </c>
      <c r="H10346" s="10" t="inlineStr">
        <is>
          <t>12/03/2026</t>
        </is>
      </c>
      <c r="I10346" s="10" t="inlineStr">
        <is>
          <t>11/04/2026</t>
        </is>
      </c>
      <c r="J10346" s="10" t="inlineStr">
        <is>
          <t>17/03/2026</t>
        </is>
      </c>
      <c r="K10346" s="10" t="inlineStr">
        <is>
          <t>N/A</t>
        </is>
      </c>
      <c r="L10346" s="10" t="inlineStr">
        <is>
          <t>Communication Skills, Logistics Training, Market Analysis, Problem-solving, Sales Development</t>
        </is>
      </c>
      <c r="M10346" s="10" t="inlineStr">
        <is>
          <t>Bonus, Paid Leave, Training, Team Activities</t>
        </is>
      </c>
      <c r="N10346" s="11">
        <f>HYPERLINK("https://www.vietnamworks.com/sales-supervisor-2022538-jv","Xem chi tiết")</f>
        <v/>
      </c>
      <c r="O10346" s="10" t="n"/>
    </row>
    <row r="10347">
      <c r="B10347" s="7" t="n">
        <v>10345</v>
      </c>
      <c r="C10347" t="inlineStr">
        <is>
          <t>Structural Steel Engineer</t>
        </is>
      </c>
      <c r="D10347" t="inlineStr">
        <is>
          <t>Ascension 6</t>
        </is>
      </c>
      <c r="E10347" t="inlineStr">
        <is>
          <t>Thương lượng</t>
        </is>
      </c>
      <c r="F10347" t="inlineStr">
        <is>
          <t>Hồ Chí Minh</t>
        </is>
      </c>
      <c r="G10347" t="inlineStr">
        <is>
          <t>Mới Tốt Nghiệp</t>
        </is>
      </c>
      <c r="H10347" t="inlineStr">
        <is>
          <t>12/03/2026</t>
        </is>
      </c>
      <c r="I10347" t="inlineStr">
        <is>
          <t>11/04/2026</t>
        </is>
      </c>
      <c r="J10347" t="inlineStr">
        <is>
          <t>17/03/2026</t>
        </is>
      </c>
      <c r="K10347" t="inlineStr">
        <is>
          <t>N/A</t>
        </is>
      </c>
      <c r="L10347" t="inlineStr">
        <is>
          <t>Space Gass, AutoCAD, Structural Analysis, Structural Design, Technical Advice</t>
        </is>
      </c>
      <c r="M10347" t="inlineStr">
        <is>
          <t>Training, Laptop, Travel Opportunities, Team Activities, Others</t>
        </is>
      </c>
      <c r="N10347" s="8">
        <f>HYPERLINK("https://www.vietnamworks.com/structural-steel-engineer-2022540-jv","Xem chi tiết")</f>
        <v/>
      </c>
    </row>
    <row r="10348">
      <c r="B10348" s="9" t="n">
        <v>10346</v>
      </c>
      <c r="C10348" s="10" t="inlineStr">
        <is>
          <t>QA Engineer (Junior to Senior Level)</t>
        </is>
      </c>
      <c r="D10348" s="10" t="inlineStr">
        <is>
          <t>Công Ty TNHH LG Display Việt Nam Hải Phòng</t>
        </is>
      </c>
      <c r="E10348" s="10" t="inlineStr">
        <is>
          <t>Thương lượng</t>
        </is>
      </c>
      <c r="F10348" s="10" t="inlineStr">
        <is>
          <t>Hải Phòng</t>
        </is>
      </c>
      <c r="G10348" s="10" t="inlineStr">
        <is>
          <t>Mới Tốt Nghiệp</t>
        </is>
      </c>
      <c r="H10348" s="10" t="inlineStr">
        <is>
          <t>12/03/2026</t>
        </is>
      </c>
      <c r="I10348" s="10" t="inlineStr">
        <is>
          <t>11/04/2026</t>
        </is>
      </c>
      <c r="J10348" s="10" t="inlineStr">
        <is>
          <t>17/03/2026</t>
        </is>
      </c>
      <c r="K10348" s="10" t="inlineStr">
        <is>
          <t>N/A</t>
        </is>
      </c>
      <c r="L10348" s="10" t="inlineStr">
        <is>
          <t>Data Analysis, Minitab Statistical, Quality Control, QC, English/Korean</t>
        </is>
      </c>
      <c r="M10348" s="10" t="inlineStr">
        <is>
          <t>Bonus, Transportation, Others</t>
        </is>
      </c>
      <c r="N10348" s="11">
        <f>HYPERLINK("https://www.vietnamworks.com/qa-engineer-junior-to-senior-level-2022549-jv","Xem chi tiết")</f>
        <v/>
      </c>
      <c r="O10348" s="10" t="n"/>
    </row>
    <row r="10349">
      <c r="B10349" s="7" t="n">
        <v>10347</v>
      </c>
      <c r="C10349" t="inlineStr">
        <is>
          <t>Nhân Viên IT</t>
        </is>
      </c>
      <c r="D10349" t="inlineStr">
        <is>
          <t>CÔNG TY TNHH CÔNG NGHỆ ARIZON (VIỆT NAM)</t>
        </is>
      </c>
      <c r="E10349" t="inlineStr">
        <is>
          <t>$$ 500-700 /tháng</t>
        </is>
      </c>
      <c r="F10349" t="inlineStr">
        <is>
          <t>Hưng Yên</t>
        </is>
      </c>
      <c r="G10349" t="inlineStr">
        <is>
          <t>Nhân viên</t>
        </is>
      </c>
      <c r="H10349" t="inlineStr">
        <is>
          <t>12/03/2026</t>
        </is>
      </c>
      <c r="I10349" t="inlineStr">
        <is>
          <t>11/04/2026</t>
        </is>
      </c>
      <c r="J10349" t="inlineStr">
        <is>
          <t>17/03/2026</t>
        </is>
      </c>
      <c r="K10349" t="inlineStr">
        <is>
          <t>N/A</t>
        </is>
      </c>
      <c r="L10349" t="inlineStr">
        <is>
          <t>Soạn Thảo Tài Liệu, Khắc Phục Lỗi Phần Mềm, Phát Triển Truyền Thông, MES, MES Database</t>
        </is>
      </c>
      <c r="M10349" t="inlineStr">
        <is>
          <t>Bonus, Healthcare Plan, Others</t>
        </is>
      </c>
      <c r="N10349" s="8">
        <f>HYPERLINK("https://www.vietnamworks.com/nhan-vien-it-2022548-jv","Xem chi tiết")</f>
        <v/>
      </c>
    </row>
    <row r="10350">
      <c r="B10350" s="9" t="n">
        <v>10348</v>
      </c>
      <c r="C10350" s="10" t="inlineStr">
        <is>
          <t>Phiên Dịch Viên Cho Bộ Phận Kỹ Thuật (Hàn - Trung/ Hàn - Nhật)</t>
        </is>
      </c>
      <c r="D10350" s="10" t="inlineStr">
        <is>
          <t>Công ty TNHH CRESYN Hà Nội - Nhà máy Bắc Ninh</t>
        </is>
      </c>
      <c r="E10350" s="10" t="inlineStr">
        <is>
          <t>Từ $ 1,000 /tháng</t>
        </is>
      </c>
      <c r="F10350" s="10" t="inlineStr">
        <is>
          <t>Bắc Ninh</t>
        </is>
      </c>
      <c r="G10350" s="10" t="inlineStr">
        <is>
          <t>Nhân viên</t>
        </is>
      </c>
      <c r="H10350" s="10" t="inlineStr">
        <is>
          <t>12/03/2026</t>
        </is>
      </c>
      <c r="I10350" s="10" t="inlineStr">
        <is>
          <t>11/04/2026</t>
        </is>
      </c>
      <c r="J10350" s="10" t="inlineStr">
        <is>
          <t>17/03/2026</t>
        </is>
      </c>
      <c r="K10350" s="10" t="inlineStr">
        <is>
          <t>N/A</t>
        </is>
      </c>
      <c r="L10350" s="10" t="inlineStr">
        <is>
          <t>Phiên Dịch Sản Xuất, Phiên Dịch Kỹ Thuật, Biên Phiên Dịch, Tiếng Hàn, Tiếng Trung</t>
        </is>
      </c>
      <c r="M10350" s="10" t="inlineStr">
        <is>
          <t>Bonus, Healthcare Plan, Others</t>
        </is>
      </c>
      <c r="N10350" s="11">
        <f>HYPERLINK("https://www.vietnamworks.com/phien-dich-vien-cho-bo-phan-ky-thuat-han-trung-han-nhat--2022557-jv","Xem chi tiết")</f>
        <v/>
      </c>
      <c r="O10350" s="10" t="n"/>
    </row>
    <row r="10351">
      <c r="B10351" s="7" t="n">
        <v>10349</v>
      </c>
      <c r="C10351" t="inlineStr">
        <is>
          <t>Nhân Viên Kinh Doanh Thị Trường Ngành Vật Liệu Xây Dựng – Kênh Đại Lý</t>
        </is>
      </c>
      <c r="D10351" t="inlineStr">
        <is>
          <t>Công Ty Cổ Phần Apollo Silicone</t>
        </is>
      </c>
      <c r="E10351" t="inlineStr">
        <is>
          <t>Thương lượng</t>
        </is>
      </c>
      <c r="F10351" t="inlineStr">
        <is>
          <t>Hà Nội</t>
        </is>
      </c>
      <c r="G10351" t="inlineStr">
        <is>
          <t>Nhân viên</t>
        </is>
      </c>
      <c r="H10351" t="inlineStr">
        <is>
          <t>12/03/2026</t>
        </is>
      </c>
      <c r="I10351" t="inlineStr">
        <is>
          <t>11/04/2026</t>
        </is>
      </c>
      <c r="J10351" t="inlineStr">
        <is>
          <t>17/03/2026</t>
        </is>
      </c>
      <c r="K10351" t="inlineStr">
        <is>
          <t>N/A</t>
        </is>
      </c>
      <c r="L10351" t="inlineStr">
        <is>
          <t>Phát Triển Thị Trường, Chăm Sóc Khách Hàng, Kinh Doanh, Nghiên Cứu Khách Hàng, Nghiên Cứu Xu Hướng</t>
        </is>
      </c>
      <c r="M10351" t="inlineStr">
        <is>
          <t>Bonus</t>
        </is>
      </c>
      <c r="N10351" s="8">
        <f>HYPERLINK("https://www.vietnamworks.com/nhan-vien-kinh-doanh-thi-truong-nganh-vat-lieu-xay-dung-kenh-dai-ly-2022556-jv","Xem chi tiết")</f>
        <v/>
      </c>
    </row>
    <row r="10352">
      <c r="B10352" s="9" t="n">
        <v>10350</v>
      </c>
      <c r="C10352" s="10" t="inlineStr">
        <is>
          <t>Nhân Viên Phụ Trách Nghiên Cứu Và Phát Triển (R&amp;D)</t>
        </is>
      </c>
      <c r="D10352" s="10" t="inlineStr">
        <is>
          <t>CÔNG TY CỔ PHẦN CÔNG NGHỆ SINH HỌC HURO</t>
        </is>
      </c>
      <c r="E10352" s="10" t="inlineStr">
        <is>
          <t>Thương lượng</t>
        </is>
      </c>
      <c r="F10352" s="10" t="inlineStr">
        <is>
          <t>Tây Ninh, Hồ Chí Minh, Long An</t>
        </is>
      </c>
      <c r="G10352" s="10" t="inlineStr">
        <is>
          <t>Nhân viên</t>
        </is>
      </c>
      <c r="H10352" s="10" t="inlineStr">
        <is>
          <t>12/03/2026</t>
        </is>
      </c>
      <c r="I10352" s="10" t="inlineStr">
        <is>
          <t>11/04/2026</t>
        </is>
      </c>
      <c r="J10352" s="10" t="inlineStr">
        <is>
          <t>17/03/2026</t>
        </is>
      </c>
      <c r="K10352" s="10" t="inlineStr">
        <is>
          <t>N/A</t>
        </is>
      </c>
      <c r="L10352" s="10" t="inlineStr">
        <is>
          <t>Công Nghệ Sinh Học, Sinh Học Phân Tử, Cải Tiến Sản Phẩm, Dược, Nghiên Cứu Phát Triển</t>
        </is>
      </c>
      <c r="M10352" s="10" t="inlineStr">
        <is>
          <t>Bonus, Healthcare Plan, Travel Opportunities, Canteen, Others</t>
        </is>
      </c>
      <c r="N10352" s="11">
        <f>HYPERLINK("https://www.vietnamworks.com/nhan-vien-phu-trach-nghien-cuu-va-phat-trien-randd-2022547-jv","Xem chi tiết")</f>
        <v/>
      </c>
      <c r="O10352" s="10" t="n"/>
    </row>
    <row r="10353">
      <c r="B10353" s="7" t="n">
        <v>10351</v>
      </c>
      <c r="C10353" t="inlineStr">
        <is>
          <t>Demand Planning Specialist</t>
        </is>
      </c>
      <c r="D10353" t="inlineStr">
        <is>
          <t>Mondelēz Kinh Đô Việt Nam</t>
        </is>
      </c>
      <c r="E10353" t="inlineStr">
        <is>
          <t>Thương lượng</t>
        </is>
      </c>
      <c r="F10353" t="inlineStr">
        <is>
          <t>Hồ Chí Minh</t>
        </is>
      </c>
      <c r="G10353" t="inlineStr">
        <is>
          <t>Nhân viên</t>
        </is>
      </c>
      <c r="H10353" t="inlineStr">
        <is>
          <t>12/03/2026</t>
        </is>
      </c>
      <c r="I10353" t="inlineStr">
        <is>
          <t>11/04/2026</t>
        </is>
      </c>
      <c r="J10353" t="inlineStr">
        <is>
          <t>17/03/2026</t>
        </is>
      </c>
      <c r="K10353" t="inlineStr">
        <is>
          <t>N/A</t>
        </is>
      </c>
      <c r="L10353" t="inlineStr">
        <is>
          <t>Communication Skills, English Language Proficiency, Forecasting, SAP IBP, Supply Planning</t>
        </is>
      </c>
      <c r="M10353" t="inlineStr">
        <is>
          <t>Bonus, Healthcare Plan, Paid Leave, Laptop, Others</t>
        </is>
      </c>
      <c r="N10353" s="8">
        <f>HYPERLINK("https://www.vietnamworks.com/demand-planning-specialist-2022588-jv","Xem chi tiết")</f>
        <v/>
      </c>
    </row>
    <row r="10354">
      <c r="B10354" s="9" t="n">
        <v>10352</v>
      </c>
      <c r="C10354" s="10" t="inlineStr">
        <is>
          <t>Kỹ Sư QS / Kỹ Sư Xây Dựng (Được Đào Tạo)</t>
        </is>
      </c>
      <c r="D10354" s="10" t="inlineStr">
        <is>
          <t>CÔNG TY TNHH CÔNG NGHIỆP NAI PHÚC VIỆT NAM</t>
        </is>
      </c>
      <c r="E10354" s="10" t="inlineStr">
        <is>
          <t>12tr-25tr ₫/tháng</t>
        </is>
      </c>
      <c r="F10354" s="10" t="inlineStr">
        <is>
          <t>Hồ Chí Minh</t>
        </is>
      </c>
      <c r="G10354" s="10" t="inlineStr">
        <is>
          <t>Nhân viên</t>
        </is>
      </c>
      <c r="H10354" s="10" t="inlineStr">
        <is>
          <t>12/03/2026</t>
        </is>
      </c>
      <c r="I10354" s="10" t="inlineStr">
        <is>
          <t>11/04/2026</t>
        </is>
      </c>
      <c r="J10354" s="10" t="inlineStr">
        <is>
          <t>17/03/2026</t>
        </is>
      </c>
      <c r="K10354" s="10" t="inlineStr">
        <is>
          <t>N/A</t>
        </is>
      </c>
      <c r="L10354" s="10" t="inlineStr">
        <is>
          <t>AutoCAD, Microsoft Office, Civil Engineering, Architecture Design, Communications</t>
        </is>
      </c>
      <c r="M10354" s="10" t="inlineStr">
        <is>
          <t>Bonus, Healthcare Plan, Training, Others</t>
        </is>
      </c>
      <c r="N10354" s="11">
        <f>HYPERLINK("https://www.vietnamworks.com/ky-su-qs-ky-su-xay-dung-duoc-dao-tao-2022565-jv","Xem chi tiết")</f>
        <v/>
      </c>
      <c r="O10354" s="10" t="n"/>
    </row>
    <row r="10355">
      <c r="B10355" s="7" t="n">
        <v>10353</v>
      </c>
      <c r="C10355" t="inlineStr">
        <is>
          <t>[Hà Nam] Sales Admin Hỗ Trợ Kinh Doanh Tiếng Nhật/ Trung/ Hàn/ Anh (Làm Việc T2-T6) - Lương Hấp Dẫn $600 - $1000/tháng</t>
        </is>
      </c>
      <c r="D10355" t="inlineStr">
        <is>
          <t>Seoul Semiconductor Vina</t>
        </is>
      </c>
      <c r="E10355" t="inlineStr">
        <is>
          <t>$$ 600-1,000 /tháng</t>
        </is>
      </c>
      <c r="F10355" t="inlineStr">
        <is>
          <t>Hà Nam, Hà Nội, Hưng Yên</t>
        </is>
      </c>
      <c r="G10355" t="inlineStr">
        <is>
          <t>Mới Tốt Nghiệp</t>
        </is>
      </c>
      <c r="H10355" t="inlineStr">
        <is>
          <t>12/03/2026</t>
        </is>
      </c>
      <c r="I10355" t="inlineStr">
        <is>
          <t>11/04/2026</t>
        </is>
      </c>
      <c r="J10355" t="inlineStr">
        <is>
          <t>17/03/2026</t>
        </is>
      </c>
      <c r="K10355" t="inlineStr">
        <is>
          <t>N/A</t>
        </is>
      </c>
      <c r="L10355" t="inlineStr">
        <is>
          <t>Korean, Sales Support, Order Management, Shipment Management, Forecast Management</t>
        </is>
      </c>
      <c r="M10355" t="inlineStr">
        <is>
          <t>Bonus, Training, Transportation</t>
        </is>
      </c>
      <c r="N10355" s="8">
        <f>HYPERLINK("https://www.vietnamworks.com/ha-nam-sales-admin-ho-tro-kinh-doanh-tieng-nhat-trung-han-anh-lam-viec-t2-t6-luong-hap-dan-600-1000-thang--2022563-jv","Xem chi tiết")</f>
        <v/>
      </c>
    </row>
    <row r="10356">
      <c r="B10356" s="9" t="n">
        <v>10354</v>
      </c>
      <c r="C10356" s="10" t="inlineStr">
        <is>
          <t>Airlines Passenger Sales - Executive</t>
        </is>
      </c>
      <c r="D10356" s="10" t="inlineStr">
        <is>
          <t>Hãng hàng không ALL NIPPON AIRWAYS Co.,LTD  tại Việt Nam</t>
        </is>
      </c>
      <c r="E10356" s="10" t="inlineStr">
        <is>
          <t>Thương lượng</t>
        </is>
      </c>
      <c r="F10356" s="10" t="inlineStr">
        <is>
          <t>Hà Nội</t>
        </is>
      </c>
      <c r="G10356" s="10" t="inlineStr">
        <is>
          <t>Mới Tốt Nghiệp</t>
        </is>
      </c>
      <c r="H10356" s="10" t="inlineStr">
        <is>
          <t>12/03/2026</t>
        </is>
      </c>
      <c r="I10356" s="10" t="inlineStr">
        <is>
          <t>11/04/2026</t>
        </is>
      </c>
      <c r="J10356" s="10" t="inlineStr">
        <is>
          <t>17/03/2026</t>
        </is>
      </c>
      <c r="K10356" s="10" t="inlineStr">
        <is>
          <t>N/A</t>
        </is>
      </c>
      <c r="L10356" s="10" t="inlineStr">
        <is>
          <t>Sales Development, Kinh Doanh, Product Sales Skills, Sales Channel Support, Tư Vấn Kinh Doanh</t>
        </is>
      </c>
      <c r="M10356" s="10" t="inlineStr">
        <is>
          <t>Bonus, Healthcare Plan, Paid Leave, Training, Others</t>
        </is>
      </c>
      <c r="N10356" s="11">
        <f>HYPERLINK("https://www.vietnamworks.com/airlines-passenger-sales-executive-2022587-jv","Xem chi tiết")</f>
        <v/>
      </c>
      <c r="O10356" s="10" t="n"/>
    </row>
    <row r="10357">
      <c r="B10357" s="7" t="n">
        <v>10355</v>
      </c>
      <c r="C10357" t="inlineStr">
        <is>
          <t>Nhân Viên Pha Chế - Chí Viễn Coffee</t>
        </is>
      </c>
      <c r="D10357" t="inlineStr">
        <is>
          <t>Công ty cổ phần quảng cáo Goclick</t>
        </is>
      </c>
      <c r="E10357" t="inlineStr">
        <is>
          <t>Thương lượng</t>
        </is>
      </c>
      <c r="F10357" t="inlineStr">
        <is>
          <t>Hồ Chí Minh</t>
        </is>
      </c>
      <c r="G10357" t="inlineStr">
        <is>
          <t>Nhân viên</t>
        </is>
      </c>
      <c r="H10357" t="inlineStr">
        <is>
          <t>12/03/2026</t>
        </is>
      </c>
      <c r="I10357" t="inlineStr">
        <is>
          <t>11/04/2026</t>
        </is>
      </c>
      <c r="J10357" t="inlineStr">
        <is>
          <t>17/03/2026</t>
        </is>
      </c>
      <c r="K10357" t="inlineStr">
        <is>
          <t>N/A</t>
        </is>
      </c>
      <c r="L10357" t="inlineStr">
        <is>
          <t>Barista Training, Giao Tiếp, Kết Nối Khách Hàng, Pha Chế Trà, Push Sale Hiệu Quả</t>
        </is>
      </c>
      <c r="M10357" t="inlineStr">
        <is>
          <t>Bonus</t>
        </is>
      </c>
      <c r="N10357" s="8">
        <f>HYPERLINK("https://www.vietnamworks.com/nhan-vien-pha-che-chi-vien-coffee-2022567-jv","Xem chi tiết")</f>
        <v/>
      </c>
    </row>
    <row r="10358">
      <c r="B10358" s="9" t="n">
        <v>10356</v>
      </c>
      <c r="C10358" s="10" t="inlineStr">
        <is>
          <t>Cashier</t>
        </is>
      </c>
      <c r="D10358" s="10" t="inlineStr">
        <is>
          <t>Matson Navigation Inc.</t>
        </is>
      </c>
      <c r="E10358" s="10" t="inlineStr">
        <is>
          <t>$$ 500-800 /tháng</t>
        </is>
      </c>
      <c r="F10358" s="10" t="inlineStr">
        <is>
          <t>Hồ Chí Minh</t>
        </is>
      </c>
      <c r="G10358" s="10" t="inlineStr">
        <is>
          <t>Nhân viên</t>
        </is>
      </c>
      <c r="H10358" s="10" t="inlineStr">
        <is>
          <t>12/03/2026</t>
        </is>
      </c>
      <c r="I10358" s="10" t="inlineStr">
        <is>
          <t>11/04/2026</t>
        </is>
      </c>
      <c r="J10358" s="10" t="inlineStr">
        <is>
          <t>17/03/2026</t>
        </is>
      </c>
      <c r="K10358" s="10" t="inlineStr">
        <is>
          <t>N/A</t>
        </is>
      </c>
      <c r="L10358" s="10" t="inlineStr">
        <is>
          <t>Air/Sea Shipments Handling, Cash Management, Cash Payment, Cash Transfer, English Language Proficiency</t>
        </is>
      </c>
      <c r="M10358" s="10" t="inlineStr">
        <is>
          <t>Bonus, Healthcare Plan, Paid Leave</t>
        </is>
      </c>
      <c r="N10358" s="11">
        <f>HYPERLINK("https://www.vietnamworks.com/cashier-2022566-jv","Xem chi tiết")</f>
        <v/>
      </c>
      <c r="O10358" s="10" t="n"/>
    </row>
    <row r="10359">
      <c r="B10359" s="7" t="n">
        <v>10357</v>
      </c>
      <c r="C10359" t="inlineStr">
        <is>
          <t>Nhân Viên Cải Tiến Sản Xuất</t>
        </is>
      </c>
      <c r="D10359" t="inlineStr">
        <is>
          <t>Sumitomo Electric Interconnect Products (Vietnam), Ltd. [Sepv]</t>
        </is>
      </c>
      <c r="E10359" t="inlineStr">
        <is>
          <t>Thương lượng</t>
        </is>
      </c>
      <c r="F10359" t="inlineStr">
        <is>
          <t>Hà Nội, Bắc Ninh, Bắc Giang</t>
        </is>
      </c>
      <c r="G10359" t="inlineStr">
        <is>
          <t>Nhân viên</t>
        </is>
      </c>
      <c r="H10359" t="inlineStr">
        <is>
          <t>12/03/2026</t>
        </is>
      </c>
      <c r="I10359" t="inlineStr">
        <is>
          <t>11/04/2026</t>
        </is>
      </c>
      <c r="J10359" t="inlineStr">
        <is>
          <t>17/03/2026</t>
        </is>
      </c>
      <c r="K10359" t="inlineStr">
        <is>
          <t>N/A</t>
        </is>
      </c>
      <c r="L10359" t="inlineStr">
        <is>
          <t>Cải Tiến Thiết Bị, AutoCAD, Cải Tiến Quy Trình Sản Xuất, Mechanical Engineering, Cải Tiến Dây Chuyền Sản Xuất</t>
        </is>
      </c>
      <c r="M10359" t="inlineStr">
        <is>
          <t>Bonus, Healthcare Plan, Transportation</t>
        </is>
      </c>
      <c r="N10359" s="8">
        <f>HYPERLINK("https://www.vietnamworks.com/nhan-vien-cai-tien-san-xuat--2022555-jv","Xem chi tiết")</f>
        <v/>
      </c>
    </row>
    <row r="10360">
      <c r="B10360" s="9" t="n">
        <v>10358</v>
      </c>
      <c r="C10360" s="10" t="inlineStr">
        <is>
          <t>[Gấp] Nhân Viên Sales Làm Việc Tại Hà Nội</t>
        </is>
      </c>
      <c r="D10360" s="10" t="inlineStr">
        <is>
          <t>Sumitomo Electric Interconnect Products (Vietnam), Ltd. [Sepv]</t>
        </is>
      </c>
      <c r="E10360" s="10" t="inlineStr">
        <is>
          <t>Thương lượng</t>
        </is>
      </c>
      <c r="F10360" s="10" t="inlineStr">
        <is>
          <t>Hà Nội</t>
        </is>
      </c>
      <c r="G10360" s="10" t="inlineStr">
        <is>
          <t>Nhân viên</t>
        </is>
      </c>
      <c r="H10360" s="10" t="inlineStr">
        <is>
          <t>12/03/2026</t>
        </is>
      </c>
      <c r="I10360" s="10" t="inlineStr">
        <is>
          <t>11/04/2026</t>
        </is>
      </c>
      <c r="J10360" s="10" t="inlineStr">
        <is>
          <t>17/03/2026</t>
        </is>
      </c>
      <c r="K10360" s="10" t="inlineStr">
        <is>
          <t>N/A</t>
        </is>
      </c>
      <c r="L10360" s="10" t="inlineStr">
        <is>
          <t>Kinh Doanh, Business Development, Industrial Robotic, Automotive Sales, Korean Language</t>
        </is>
      </c>
      <c r="M10360" s="10" t="inlineStr">
        <is>
          <t>Bonus, Healthcare Plan, Transportation</t>
        </is>
      </c>
      <c r="N10360" s="11">
        <f>HYPERLINK("https://www.vietnamworks.com/gap-nhan-vien-sales-lam-viec-tai-ha-noi--2022553-jv","Xem chi tiết")</f>
        <v/>
      </c>
      <c r="O10360" s="10" t="n"/>
    </row>
    <row r="10361">
      <c r="B10361" s="7" t="n">
        <v>10359</v>
      </c>
      <c r="C10361" t="inlineStr">
        <is>
          <t>Nhân Viên Theo Dõi Đơn Hàng – Tiếng Trung</t>
        </is>
      </c>
      <c r="D10361" t="inlineStr">
        <is>
          <t>CÔNG TY TNHH TB NGUYỄN</t>
        </is>
      </c>
      <c r="E10361" t="inlineStr">
        <is>
          <t>12tr-15tr ₫/tháng</t>
        </is>
      </c>
      <c r="F10361" t="inlineStr">
        <is>
          <t>Hồ Chí Minh</t>
        </is>
      </c>
      <c r="G10361" t="inlineStr">
        <is>
          <t>Nhân viên</t>
        </is>
      </c>
      <c r="H10361" t="inlineStr">
        <is>
          <t>12/03/2026</t>
        </is>
      </c>
      <c r="I10361" t="inlineStr">
        <is>
          <t>11/04/2026</t>
        </is>
      </c>
      <c r="J10361" t="inlineStr">
        <is>
          <t>17/03/2026</t>
        </is>
      </c>
      <c r="K10361" t="inlineStr">
        <is>
          <t>N/A</t>
        </is>
      </c>
      <c r="L10361" t="inlineStr">
        <is>
          <t>Kỹ năng giao tiếp, Theo Dõi Đơn Hàng, Thống Kê Excel, Tiếng Trung Hsk5, Xử lý đơn hàng</t>
        </is>
      </c>
      <c r="M10361" t="inlineStr">
        <is>
          <t>Bonus, Team Activities, Others</t>
        </is>
      </c>
      <c r="N10361" s="8">
        <f>HYPERLINK("https://www.vietnamworks.com/nhan-vien-theo-doi-djon-hang-tieng-trung-2022586-jv","Xem chi tiết")</f>
        <v/>
      </c>
    </row>
    <row r="10362">
      <c r="B10362" s="9" t="n">
        <v>10360</v>
      </c>
      <c r="C10362" s="10" t="inlineStr">
        <is>
          <t>Assistant Teacher (Temporary - 3 Months)</t>
        </is>
      </c>
      <c r="D10362" s="10" t="inlineStr">
        <is>
          <t>Kinderworld International Group (Singapore International School)</t>
        </is>
      </c>
      <c r="E10362" s="10" t="inlineStr">
        <is>
          <t>Thương lượng</t>
        </is>
      </c>
      <c r="F10362" s="10" t="inlineStr">
        <is>
          <t>Hồ Chí Minh</t>
        </is>
      </c>
      <c r="G10362" s="10" t="inlineStr">
        <is>
          <t>Mới Tốt Nghiệp</t>
        </is>
      </c>
      <c r="H10362" s="10" t="inlineStr">
        <is>
          <t>12/03/2026</t>
        </is>
      </c>
      <c r="I10362" s="10" t="inlineStr">
        <is>
          <t>11/04/2026</t>
        </is>
      </c>
      <c r="J10362" s="10" t="inlineStr">
        <is>
          <t>17/03/2026</t>
        </is>
      </c>
      <c r="K10362" s="10" t="inlineStr">
        <is>
          <t>N/A</t>
        </is>
      </c>
      <c r="L10362" s="10" t="inlineStr">
        <is>
          <t>Class Administration, Assistant, Trợ Giảng, Anh Văn Giao Tiếp, Dạy Tiếng Anh</t>
        </is>
      </c>
      <c r="M10362" s="10" t="inlineStr">
        <is>
          <t>Bonus, Healthcare Plan, Paid Leave</t>
        </is>
      </c>
      <c r="N10362" s="11">
        <f>HYPERLINK("https://www.vietnamworks.com/assistant-teacher-temporary-3-months-2022576-jv","Xem chi tiết")</f>
        <v/>
      </c>
      <c r="O10362" s="10" t="n"/>
    </row>
    <row r="10363">
      <c r="B10363" s="7" t="n">
        <v>10361</v>
      </c>
      <c r="C10363" t="inlineStr">
        <is>
          <t>Phó Trưởng Ca Sản Xuất [Thu Nhập 10 Tr~ ] ( A.chief)</t>
        </is>
      </c>
      <c r="D10363" t="inlineStr">
        <is>
          <t>Cty TNHH Enshu Việt Nam</t>
        </is>
      </c>
      <c r="E10363" t="inlineStr">
        <is>
          <t>8tr-10tr ₫/tháng</t>
        </is>
      </c>
      <c r="F10363" t="inlineStr">
        <is>
          <t>Bắc Ninh</t>
        </is>
      </c>
      <c r="G10363" t="inlineStr">
        <is>
          <t>Nhân viên</t>
        </is>
      </c>
      <c r="H10363" t="inlineStr">
        <is>
          <t>12/03/2026</t>
        </is>
      </c>
      <c r="I10363" t="inlineStr">
        <is>
          <t>11/04/2026</t>
        </is>
      </c>
      <c r="J10363" t="inlineStr">
        <is>
          <t>17/03/2026</t>
        </is>
      </c>
      <c r="K10363" t="inlineStr">
        <is>
          <t>N/A</t>
        </is>
      </c>
      <c r="L10363" t="inlineStr">
        <is>
          <t>Gia Công Cơ Khí, Gia Công CNC, Đọc Hiểu Bản Vẽ, Cơ Khí, Kế Hoạch Sản Xuất</t>
        </is>
      </c>
      <c r="M10363" t="inlineStr">
        <is>
          <t>Travel Opportunities, Transportation</t>
        </is>
      </c>
      <c r="N10363" s="8">
        <f>HYPERLINK("https://www.vietnamworks.com/pho-truong-ca-san-xuat-thu-nhap-10-tr-a-chief--2022573-jv","Xem chi tiết")</f>
        <v/>
      </c>
    </row>
    <row r="10364">
      <c r="B10364" s="9" t="n">
        <v>10362</v>
      </c>
      <c r="C10364" s="10" t="inlineStr">
        <is>
          <t>Nhân Viên Kỹ Thuật Sản Xuất [Lương Thỏa Thuận Từ 10 Tr ~]</t>
        </is>
      </c>
      <c r="D10364" s="10" t="inlineStr">
        <is>
          <t>Cty TNHH Enshu Việt Nam</t>
        </is>
      </c>
      <c r="E10364" s="10" t="inlineStr">
        <is>
          <t>Tới 10tr ₫/tháng</t>
        </is>
      </c>
      <c r="F10364" s="10" t="inlineStr">
        <is>
          <t>Bắc Ninh</t>
        </is>
      </c>
      <c r="G10364" s="10" t="inlineStr">
        <is>
          <t>Nhân viên</t>
        </is>
      </c>
      <c r="H10364" s="10" t="inlineStr">
        <is>
          <t>12/03/2026</t>
        </is>
      </c>
      <c r="I10364" s="10" t="inlineStr">
        <is>
          <t>11/04/2026</t>
        </is>
      </c>
      <c r="J10364" s="10" t="inlineStr">
        <is>
          <t>17/03/2026</t>
        </is>
      </c>
      <c r="K10364" s="10" t="inlineStr">
        <is>
          <t>N/A</t>
        </is>
      </c>
      <c r="L10364" s="10" t="inlineStr">
        <is>
          <t>Lập Trình CNC, AutoCAD, Mastercam, Cơ Khí, Kỹ Thuật Sản Xuất</t>
        </is>
      </c>
      <c r="M10364" s="10" t="inlineStr">
        <is>
          <t>Training, Travel Opportunities, Team Activities, Transportation</t>
        </is>
      </c>
      <c r="N10364" s="11">
        <f>HYPERLINK("https://www.vietnamworks.com/nhan-vien-ky-thuat-san-xuat-luong-thoa-thuan-tu-10-tr-2022571-jv","Xem chi tiết")</f>
        <v/>
      </c>
      <c r="O10364" s="10" t="n"/>
    </row>
    <row r="10365">
      <c r="B10365" s="7" t="n">
        <v>10363</v>
      </c>
      <c r="C10365" t="inlineStr">
        <is>
          <t>Senior Officer, Risk Management</t>
        </is>
      </c>
      <c r="D10365" t="inlineStr">
        <is>
          <t>CÔNG TY TNHH BẢO HIỂM SHINHAN LIFE VIỆT NAM</t>
        </is>
      </c>
      <c r="E10365" t="inlineStr">
        <is>
          <t>Thương lượng</t>
        </is>
      </c>
      <c r="F10365" t="inlineStr">
        <is>
          <t>Hồ Chí Minh</t>
        </is>
      </c>
      <c r="G10365" t="inlineStr">
        <is>
          <t>Nhân viên</t>
        </is>
      </c>
      <c r="H10365" t="inlineStr">
        <is>
          <t>12/03/2026</t>
        </is>
      </c>
      <c r="I10365" t="inlineStr">
        <is>
          <t>11/04/2026</t>
        </is>
      </c>
      <c r="J10365" t="inlineStr">
        <is>
          <t>17/03/2026</t>
        </is>
      </c>
      <c r="K10365" t="inlineStr">
        <is>
          <t>N/A</t>
        </is>
      </c>
      <c r="L10365" t="inlineStr">
        <is>
          <t>Communication Skills, Logical Thinking, Responsibility, Risk Management, Teamwork</t>
        </is>
      </c>
      <c r="M10365" t="inlineStr">
        <is>
          <t>Bonus</t>
        </is>
      </c>
      <c r="N10365" s="8">
        <f>HYPERLINK("https://www.vietnamworks.com/senior-officer-risk-management-2022598-jv","Xem chi tiết")</f>
        <v/>
      </c>
    </row>
    <row r="10366">
      <c r="B10366" s="9" t="n">
        <v>10364</v>
      </c>
      <c r="C10366" s="10" t="inlineStr">
        <is>
          <t>Production Supervisor Pharmaceutical Plant Vsip1</t>
        </is>
      </c>
      <c r="D10366" s="10" t="inlineStr">
        <is>
          <t>Abbott</t>
        </is>
      </c>
      <c r="E10366" s="10" t="inlineStr">
        <is>
          <t>Thương lượng</t>
        </is>
      </c>
      <c r="F10366" s="10" t="inlineStr">
        <is>
          <t>Bình Dương</t>
        </is>
      </c>
      <c r="G10366" s="10" t="inlineStr">
        <is>
          <t>Trưởng phòng</t>
        </is>
      </c>
      <c r="H10366" s="10" t="inlineStr">
        <is>
          <t>12/03/2026</t>
        </is>
      </c>
      <c r="I10366" s="10" t="inlineStr">
        <is>
          <t>11/04/2026</t>
        </is>
      </c>
      <c r="J10366" s="10" t="inlineStr">
        <is>
          <t>17/03/2026</t>
        </is>
      </c>
      <c r="K10366" s="10" t="inlineStr">
        <is>
          <t>N/A</t>
        </is>
      </c>
      <c r="L10366" s="10" t="inlineStr">
        <is>
          <t>pharmaceutical, Production</t>
        </is>
      </c>
      <c r="M10366" s="10" t="inlineStr">
        <is>
          <t>Bonus, Healthcare Plan, Laptop, Transportation, Canteen</t>
        </is>
      </c>
      <c r="N10366" s="11">
        <f>HYPERLINK("https://www.vietnamworks.com/production-supervisor-pharmaceutical-plant-vsip1--2022578-jv","Xem chi tiết")</f>
        <v/>
      </c>
      <c r="O10366" s="10" t="n"/>
    </row>
    <row r="10367">
      <c r="B10367" s="7" t="n">
        <v>10365</v>
      </c>
      <c r="C10367" t="inlineStr">
        <is>
          <t>Chuyên Viên Thiết Kế và Quay Dựng</t>
        </is>
      </c>
      <c r="D10367" t="inlineStr">
        <is>
          <t>Công Ty Cổ Phần Tinh Tươm</t>
        </is>
      </c>
      <c r="E10367" t="inlineStr">
        <is>
          <t>Thương lượng</t>
        </is>
      </c>
      <c r="F10367" t="inlineStr">
        <is>
          <t>Hà Nội</t>
        </is>
      </c>
      <c r="G10367" t="inlineStr">
        <is>
          <t>Nhân viên</t>
        </is>
      </c>
      <c r="H10367" t="inlineStr">
        <is>
          <t>12/03/2026</t>
        </is>
      </c>
      <c r="I10367" t="inlineStr">
        <is>
          <t>11/04/2026</t>
        </is>
      </c>
      <c r="J10367" t="inlineStr">
        <is>
          <t>17/03/2026</t>
        </is>
      </c>
      <c r="K10367" t="inlineStr">
        <is>
          <t>N/A</t>
        </is>
      </c>
      <c r="L10367" t="inlineStr">
        <is>
          <t>Quay Dựng Video, Graphic Design, Adobe Premiere Pro, Adobe Illustrator, Adobe Photoshop</t>
        </is>
      </c>
      <c r="M10367" t="inlineStr">
        <is>
          <t>Bonus, Paid Leave, Training</t>
        </is>
      </c>
      <c r="N10367" s="8">
        <f>HYPERLINK("https://www.vietnamworks.com/chuyen-vien-thiet-ke-va-quay-dung-2022581-jv","Xem chi tiết")</f>
        <v/>
      </c>
    </row>
    <row r="10368">
      <c r="B10368" s="9" t="n">
        <v>10366</v>
      </c>
      <c r="C10368" s="10" t="inlineStr">
        <is>
          <t>Trưởng Phòng QC (Quản Lý Chất Lượng)</t>
        </is>
      </c>
      <c r="D10368" s="10" t="inlineStr">
        <is>
          <t>Công Ty Cổ Phần Cơ Khí Chính Xác Smart Việt Nam</t>
        </is>
      </c>
      <c r="E10368" s="10" t="inlineStr">
        <is>
          <t>15tr-20tr ₫/tháng</t>
        </is>
      </c>
      <c r="F10368" s="10" t="inlineStr">
        <is>
          <t>Hà Nội</t>
        </is>
      </c>
      <c r="G10368" s="10" t="inlineStr">
        <is>
          <t>Trưởng phòng</t>
        </is>
      </c>
      <c r="H10368" s="10" t="inlineStr">
        <is>
          <t>12/03/2026</t>
        </is>
      </c>
      <c r="I10368" s="10" t="inlineStr">
        <is>
          <t>11/04/2026</t>
        </is>
      </c>
      <c r="J10368" s="10" t="inlineStr">
        <is>
          <t>17/03/2026</t>
        </is>
      </c>
      <c r="K10368" s="10" t="inlineStr">
        <is>
          <t>N/A</t>
        </is>
      </c>
      <c r="L10368" s="10" t="inlineStr">
        <is>
          <t>Gia Công Cơ Khí, Kiểm Tra Chất Lượng, Giám Sát Chất Lượng, Sản Xuất, Đảm Bảo Chất Lượng</t>
        </is>
      </c>
      <c r="M10368" s="10" t="inlineStr">
        <is>
          <t>Bonus, Healthcare Plan, Paid Leave, Awards, Team Activities, Transportation, Others</t>
        </is>
      </c>
      <c r="N10368" s="11">
        <f>HYPERLINK("https://www.vietnamworks.com/truong-phong-qc-quan-ly-chat-luong-2022558-jv","Xem chi tiết")</f>
        <v/>
      </c>
      <c r="O10368" s="10" t="n"/>
    </row>
    <row r="10369">
      <c r="B10369" s="7" t="n">
        <v>10367</v>
      </c>
      <c r="C10369" t="inlineStr">
        <is>
          <t>TABP Executive</t>
        </is>
      </c>
      <c r="D10369" t="inlineStr">
        <is>
          <t>Công Ty Cổ phẩn MASAN MEATLife</t>
        </is>
      </c>
      <c r="E10369" t="inlineStr">
        <is>
          <t>Thương lượng</t>
        </is>
      </c>
      <c r="F10369" t="inlineStr">
        <is>
          <t>Hà Nội, Hà Nam</t>
        </is>
      </c>
      <c r="G10369" t="inlineStr">
        <is>
          <t>Nhân viên</t>
        </is>
      </c>
      <c r="H10369" t="inlineStr">
        <is>
          <t>12/03/2026</t>
        </is>
      </c>
      <c r="I10369" t="inlineStr">
        <is>
          <t>11/04/2026</t>
        </is>
      </c>
      <c r="J10369" t="inlineStr">
        <is>
          <t>17/03/2026</t>
        </is>
      </c>
      <c r="K10369" t="inlineStr">
        <is>
          <t>N/A</t>
        </is>
      </c>
      <c r="L10369" t="inlineStr">
        <is>
          <t>Tuyển Dụng Phổ Thông, Tuyển Dụng Số Lượng Lớn, HRBP Tasks, Nhân Sự Tổng Hợp</t>
        </is>
      </c>
      <c r="M10369" t="inlineStr">
        <is>
          <t>Bonus, Healthcare Plan, Training</t>
        </is>
      </c>
      <c r="N10369" s="8">
        <f>HYPERLINK("https://www.vietnamworks.com/tabp-executive-2022602-jv","Xem chi tiết")</f>
        <v/>
      </c>
    </row>
    <row r="10370">
      <c r="B10370" s="9" t="n">
        <v>10368</v>
      </c>
      <c r="C10370" s="10" t="inlineStr">
        <is>
          <t>[Tuyển Gấp] Kỹ Sư Kinh Tế Xây Dựng-Hà Nội</t>
        </is>
      </c>
      <c r="D10370" s="10" t="inlineStr">
        <is>
          <t>Hoàng Huy Group</t>
        </is>
      </c>
      <c r="E10370" s="10" t="inlineStr">
        <is>
          <t>15tr-22tr ₫/tháng</t>
        </is>
      </c>
      <c r="F10370" s="10" t="inlineStr">
        <is>
          <t>Hà Nội</t>
        </is>
      </c>
      <c r="G10370" s="10" t="inlineStr">
        <is>
          <t>Nhân viên</t>
        </is>
      </c>
      <c r="H10370" s="10" t="inlineStr">
        <is>
          <t>12/03/2026</t>
        </is>
      </c>
      <c r="I10370" s="10" t="inlineStr">
        <is>
          <t>11/04/2026</t>
        </is>
      </c>
      <c r="J10370" s="10" t="inlineStr">
        <is>
          <t>17/03/2026</t>
        </is>
      </c>
      <c r="K10370" s="10" t="inlineStr">
        <is>
          <t>N/A</t>
        </is>
      </c>
      <c r="L10370" s="10" t="inlineStr">
        <is>
          <t>Quản Trị Kinh Doanh, Khảo Sát Thị Trường, Phát Triển Kinh Doanh, Quản Lý Kinh Doanh, Kinh Doanh</t>
        </is>
      </c>
      <c r="M10370" s="10" t="inlineStr">
        <is>
          <t>Bonus, Healthcare Plan, Training</t>
        </is>
      </c>
      <c r="N10370" s="11">
        <f>HYPERLINK("https://www.vietnamworks.com/tuyen-gap-ky-su-kinh-te-xay-dung-ha-noi-2022580-jv","Xem chi tiết")</f>
        <v/>
      </c>
      <c r="O10370" s="10" t="n"/>
    </row>
    <row r="10371">
      <c r="B10371" s="7" t="n">
        <v>10369</v>
      </c>
      <c r="C10371" t="inlineStr">
        <is>
          <t>IT/IS Account Manager</t>
        </is>
      </c>
      <c r="D10371" t="inlineStr">
        <is>
          <t>NAB Innovation Centre Vietnam</t>
        </is>
      </c>
      <c r="E10371" t="inlineStr">
        <is>
          <t>Thương lượng</t>
        </is>
      </c>
      <c r="F10371" t="inlineStr">
        <is>
          <t>Hồ Chí Minh</t>
        </is>
      </c>
      <c r="G10371" t="inlineStr">
        <is>
          <t>Trưởng phòng</t>
        </is>
      </c>
      <c r="H10371" t="inlineStr">
        <is>
          <t>12/03/2026</t>
        </is>
      </c>
      <c r="I10371" t="inlineStr">
        <is>
          <t>11/04/2026</t>
        </is>
      </c>
      <c r="J10371" t="inlineStr">
        <is>
          <t>17/03/2026</t>
        </is>
      </c>
      <c r="K10371" t="inlineStr">
        <is>
          <t>N/A</t>
        </is>
      </c>
      <c r="L10371" t="inlineStr">
        <is>
          <t>Account Management, Contract Negotiation, IT Governance, IT Service Management, Stakeholder Management</t>
        </is>
      </c>
      <c r="M10371" t="inlineStr">
        <is>
          <t>Bonus, Healthcare Plan, Paid Leave, Training, Team Activities, Others</t>
        </is>
      </c>
      <c r="N10371" s="8">
        <f>HYPERLINK("https://www.vietnamworks.com/itis-account-manager-2022589-jv","Xem chi tiết")</f>
        <v/>
      </c>
    </row>
    <row r="10372">
      <c r="B10372" s="9" t="n">
        <v>10370</v>
      </c>
      <c r="C10372" s="10" t="inlineStr">
        <is>
          <t>[HCM] Import Staff (Doc-Cus)</t>
        </is>
      </c>
      <c r="D10372" s="10" t="inlineStr">
        <is>
          <t>a. Hartrodt Logistics (Vietnam) Co., Ltd</t>
        </is>
      </c>
      <c r="E10372" s="10" t="inlineStr">
        <is>
          <t>Thương lượng</t>
        </is>
      </c>
      <c r="F10372" s="10" t="inlineStr">
        <is>
          <t>Hồ Chí Minh</t>
        </is>
      </c>
      <c r="G10372" s="10" t="inlineStr">
        <is>
          <t>Nhân viên</t>
        </is>
      </c>
      <c r="H10372" s="10" t="inlineStr">
        <is>
          <t>12/03/2026</t>
        </is>
      </c>
      <c r="I10372" s="10" t="inlineStr">
        <is>
          <t>11/04/2026</t>
        </is>
      </c>
      <c r="J10372" s="10" t="inlineStr">
        <is>
          <t>17/03/2026</t>
        </is>
      </c>
      <c r="K10372" s="10" t="inlineStr">
        <is>
          <t>N/A</t>
        </is>
      </c>
      <c r="L10372" s="10" t="inlineStr">
        <is>
          <t>English, Shipment Management, Import Declaration, Complaint Handling, Logistics</t>
        </is>
      </c>
      <c r="M10372" s="10" t="inlineStr">
        <is>
          <t>Healthcare Plan, Paid Leave, Others</t>
        </is>
      </c>
      <c r="N10372" s="11">
        <f>HYPERLINK("https://www.vietnamworks.com/hcm-import-staff-doc-cus--2022575-jv","Xem chi tiết")</f>
        <v/>
      </c>
      <c r="O10372" s="10" t="n"/>
    </row>
    <row r="10373">
      <c r="B10373" s="7" t="n">
        <v>10371</v>
      </c>
      <c r="C10373" t="inlineStr">
        <is>
          <t>HR Operation Executive</t>
        </is>
      </c>
      <c r="D10373" t="inlineStr">
        <is>
          <t>Abbott</t>
        </is>
      </c>
      <c r="E10373" t="inlineStr">
        <is>
          <t>Thương lượng</t>
        </is>
      </c>
      <c r="F10373" t="inlineStr">
        <is>
          <t>Hồ Chí Minh</t>
        </is>
      </c>
      <c r="G10373" t="inlineStr">
        <is>
          <t>Nhân viên</t>
        </is>
      </c>
      <c r="H10373" t="inlineStr">
        <is>
          <t>12/03/2026</t>
        </is>
      </c>
      <c r="I10373" t="inlineStr">
        <is>
          <t>11/04/2026</t>
        </is>
      </c>
      <c r="J10373" t="inlineStr">
        <is>
          <t>17/03/2026</t>
        </is>
      </c>
      <c r="K10373" t="inlineStr">
        <is>
          <t>N/A</t>
        </is>
      </c>
      <c r="L10373" t="inlineStr">
        <is>
          <t>English Communication, HR Operation, Human Resources</t>
        </is>
      </c>
      <c r="M10373" t="inlineStr">
        <is>
          <t>Bonus, Healthcare Plan, Training</t>
        </is>
      </c>
      <c r="N10373" s="8">
        <f>HYPERLINK("https://www.vietnamworks.com/hr-operation-executive--2022574-jv","Xem chi tiết")</f>
        <v/>
      </c>
    </row>
    <row r="10374">
      <c r="B10374" s="9" t="n">
        <v>10372</v>
      </c>
      <c r="C10374" s="10" t="inlineStr">
        <is>
          <t>Cán Bộ Nhân Sự Tổng Hợp</t>
        </is>
      </c>
      <c r="D10374" s="10" t="inlineStr">
        <is>
          <t>Đại Học FPT TP.HCM</t>
        </is>
      </c>
      <c r="E10374" s="10" t="inlineStr">
        <is>
          <t>Từ $ 500 /tháng</t>
        </is>
      </c>
      <c r="F10374" s="10" t="inlineStr">
        <is>
          <t>Hồ Chí Minh</t>
        </is>
      </c>
      <c r="G10374" s="10" t="inlineStr">
        <is>
          <t>Nhân viên</t>
        </is>
      </c>
      <c r="H10374" s="10" t="inlineStr">
        <is>
          <t>12/03/2026</t>
        </is>
      </c>
      <c r="I10374" s="10" t="inlineStr">
        <is>
          <t>11/04/2026</t>
        </is>
      </c>
      <c r="J10374" s="10" t="inlineStr">
        <is>
          <t>17/03/2026</t>
        </is>
      </c>
      <c r="K10374" s="10" t="inlineStr">
        <is>
          <t>N/A</t>
        </is>
      </c>
      <c r="L10374" s="10" t="inlineStr">
        <is>
          <t>Bhxh, Giao Tiếp Tiếng Anh, Luật Lao Động, Lương &amp; Phúc lợi, Thuế</t>
        </is>
      </c>
      <c r="M10374" s="10" t="inlineStr">
        <is>
          <t>Healthcare Plan, Training, Others</t>
        </is>
      </c>
      <c r="N10374" s="11">
        <f>HYPERLINK("https://www.vietnamworks.com/can-bo-nhan-su-tong-hop-2022604-jv","Xem chi tiết")</f>
        <v/>
      </c>
      <c r="O10374" s="10" t="n"/>
    </row>
    <row r="10375">
      <c r="B10375" s="7" t="n">
        <v>10373</v>
      </c>
      <c r="C10375" t="inlineStr">
        <is>
          <t>Executive Air Cargo</t>
        </is>
      </c>
      <c r="D10375" t="inlineStr">
        <is>
          <t>Cargo - Partner Logistics Viet Nam Co., Ltd.</t>
        </is>
      </c>
      <c r="E10375" t="inlineStr">
        <is>
          <t>Thương lượng</t>
        </is>
      </c>
      <c r="F10375" t="inlineStr">
        <is>
          <t>Hồ Chí Minh</t>
        </is>
      </c>
      <c r="G10375" t="inlineStr">
        <is>
          <t>Nhân viên</t>
        </is>
      </c>
      <c r="H10375" t="inlineStr">
        <is>
          <t>12/03/2026</t>
        </is>
      </c>
      <c r="I10375" t="inlineStr">
        <is>
          <t>11/04/2026</t>
        </is>
      </c>
      <c r="J10375" t="inlineStr">
        <is>
          <t>17/03/2026</t>
        </is>
      </c>
      <c r="K10375" t="inlineStr">
        <is>
          <t>N/A</t>
        </is>
      </c>
      <c r="L10375" t="inlineStr">
        <is>
          <t>Logistics, Air Shipments, Air Freight, Inbound Freight Management, Communication Skills</t>
        </is>
      </c>
      <c r="M10375" t="inlineStr">
        <is>
          <t>Bonus, Healthcare Plan, Training</t>
        </is>
      </c>
      <c r="N10375" s="8">
        <f>HYPERLINK("https://www.vietnamworks.com/executive-air-cargo--2022605-jv","Xem chi tiết")</f>
        <v/>
      </c>
    </row>
    <row r="10376">
      <c r="B10376" s="9" t="n">
        <v>10374</v>
      </c>
      <c r="C10376" s="10" t="inlineStr">
        <is>
          <t>Database Officer (English and/ Or Japanese)</t>
        </is>
      </c>
      <c r="D10376" s="10" t="inlineStr">
        <is>
          <t>EXO Travel Vietnam</t>
        </is>
      </c>
      <c r="E10376" s="10" t="inlineStr">
        <is>
          <t>Thương lượng</t>
        </is>
      </c>
      <c r="F10376" s="10" t="inlineStr">
        <is>
          <t>Hồ Chí Minh, Hà Nội, Đà Nẵng</t>
        </is>
      </c>
      <c r="G10376" s="10" t="inlineStr">
        <is>
          <t>Nhân viên</t>
        </is>
      </c>
      <c r="H10376" s="10" t="inlineStr">
        <is>
          <t>12/03/2026</t>
        </is>
      </c>
      <c r="I10376" s="10" t="inlineStr">
        <is>
          <t>11/04/2026</t>
        </is>
      </c>
      <c r="J10376" s="10" t="inlineStr">
        <is>
          <t>17/03/2026</t>
        </is>
      </c>
      <c r="K10376" s="10" t="inlineStr">
        <is>
          <t>N/A</t>
        </is>
      </c>
      <c r="L10376" s="10" t="inlineStr">
        <is>
          <t>Data Entry, Data, English, Japanese, Tourism</t>
        </is>
      </c>
      <c r="M10376" s="10" t="inlineStr">
        <is>
          <t>Bonus, Healthcare Plan, Training</t>
        </is>
      </c>
      <c r="N10376" s="11">
        <f>HYPERLINK("https://www.vietnamworks.com/database-officer-english-and-or-japanese-2022606-jv","Xem chi tiết")</f>
        <v/>
      </c>
      <c r="O10376" s="10" t="n"/>
    </row>
    <row r="10377">
      <c r="B10377" s="7" t="n">
        <v>10375</v>
      </c>
      <c r="C10377" t="inlineStr">
        <is>
          <t>Kế Toán Trưởng</t>
        </is>
      </c>
      <c r="D10377" t="inlineStr">
        <is>
          <t>CÔNG TY TNHH THỰC PHẨM QUỐC TẾ LÊ MINH</t>
        </is>
      </c>
      <c r="E10377" t="inlineStr">
        <is>
          <t>20tr-30tr ₫/tháng</t>
        </is>
      </c>
      <c r="F10377" t="inlineStr">
        <is>
          <t>Hà Nội</t>
        </is>
      </c>
      <c r="G10377" t="inlineStr">
        <is>
          <t>Trưởng phòng</t>
        </is>
      </c>
      <c r="H10377" t="inlineStr">
        <is>
          <t>12/03/2026</t>
        </is>
      </c>
      <c r="I10377" t="inlineStr">
        <is>
          <t>11/04/2026</t>
        </is>
      </c>
      <c r="J10377" t="inlineStr">
        <is>
          <t>17/03/2026</t>
        </is>
      </c>
      <c r="K10377" t="inlineStr">
        <is>
          <t>N/A</t>
        </is>
      </c>
      <c r="L10377" t="inlineStr">
        <is>
          <t>Kế Toán, Quản Lý Nhóm, Tài Chính, Báo Cáo Tài Chính, Kiểm Tra Số Liệu</t>
        </is>
      </c>
      <c r="M10377" t="inlineStr">
        <is>
          <t>Bonus, Healthcare Plan, Team Activities, Others</t>
        </is>
      </c>
      <c r="N10377" s="8">
        <f>HYPERLINK("https://www.vietnamworks.com/ke-toan-truong-2022591-jv","Xem chi tiết")</f>
        <v/>
      </c>
    </row>
    <row r="10378">
      <c r="B10378" s="9" t="n">
        <v>10376</v>
      </c>
      <c r="C10378" s="10" t="inlineStr">
        <is>
          <t>Nhân Viên Kinh Doanh Quốc Tế Thu Nhập Từ 30 - 45 Triệu/tháng</t>
        </is>
      </c>
      <c r="D10378" s="10" t="inlineStr">
        <is>
          <t>CÔNG TY CỔ PHẦN THIẾT BỊ Y TẾ MEDIVINA</t>
        </is>
      </c>
      <c r="E10378" s="10" t="inlineStr">
        <is>
          <t>30tr-45tr ₫/tháng</t>
        </is>
      </c>
      <c r="F10378" s="10" t="inlineStr">
        <is>
          <t>Hà Nội</t>
        </is>
      </c>
      <c r="G10378" s="10" t="inlineStr">
        <is>
          <t>Nhân viên</t>
        </is>
      </c>
      <c r="H10378" s="10" t="inlineStr">
        <is>
          <t>12/03/2026</t>
        </is>
      </c>
      <c r="I10378" s="10" t="inlineStr">
        <is>
          <t>11/04/2026</t>
        </is>
      </c>
      <c r="J10378" s="10" t="inlineStr">
        <is>
          <t>17/03/2026</t>
        </is>
      </c>
      <c r="K10378" s="10" t="inlineStr">
        <is>
          <t>N/A</t>
        </is>
      </c>
      <c r="L10378" s="10" t="inlineStr">
        <is>
          <t>Nghiên Cứu Thị Trường, Kinh Doanh Quốc Tế, Kinh Doanh, Bán Hàng, Sale &amp; Business development</t>
        </is>
      </c>
      <c r="M10378" s="10" t="inlineStr">
        <is>
          <t>Bonus, Training, Team Activities, Others</t>
        </is>
      </c>
      <c r="N10378" s="11">
        <f>HYPERLINK("https://www.vietnamworks.com/nhan-vien-kinh-doanh-quoc-te-thu-nhap-tu-30-45-trieuthang-2022595-jv","Xem chi tiết")</f>
        <v/>
      </c>
      <c r="O10378" s="10" t="n"/>
    </row>
    <row r="10379">
      <c r="B10379" s="7" t="n">
        <v>10377</v>
      </c>
      <c r="C10379" t="inlineStr">
        <is>
          <t>Legislation &amp; Operations Specialist</t>
        </is>
      </c>
      <c r="D10379" t="inlineStr">
        <is>
          <t>Saigon South International School</t>
        </is>
      </c>
      <c r="E10379" t="inlineStr">
        <is>
          <t>Thương lượng</t>
        </is>
      </c>
      <c r="F10379" t="inlineStr">
        <is>
          <t>Hồ Chí Minh</t>
        </is>
      </c>
      <c r="G10379" t="inlineStr">
        <is>
          <t>Nhân viên</t>
        </is>
      </c>
      <c r="H10379" t="inlineStr">
        <is>
          <t>12/03/2026</t>
        </is>
      </c>
      <c r="I10379" t="inlineStr">
        <is>
          <t>11/04/2026</t>
        </is>
      </c>
      <c r="J10379" t="inlineStr">
        <is>
          <t>17/03/2026</t>
        </is>
      </c>
      <c r="K10379" t="inlineStr">
        <is>
          <t>N/A</t>
        </is>
      </c>
      <c r="L10379" t="inlineStr">
        <is>
          <t>Fluent Communication Skills, Lean Knowledge, Organizational skills, Problem-solving, Regulatory Compliance</t>
        </is>
      </c>
      <c r="M10379" t="inlineStr">
        <is>
          <t>Healthcare Plan, Paid Leave, Training, Library, Laptop, Travel Opportunities, Canteen</t>
        </is>
      </c>
      <c r="N10379" s="8">
        <f>HYPERLINK("https://www.vietnamworks.com/legislation-and-operations-specialist-2022592-jv","Xem chi tiết")</f>
        <v/>
      </c>
    </row>
    <row r="10380">
      <c r="B10380" s="9" t="n">
        <v>10378</v>
      </c>
      <c r="C10380" s="10" t="inlineStr">
        <is>
          <t>Logistics Sales</t>
        </is>
      </c>
      <c r="D10380" s="10" t="inlineStr">
        <is>
          <t>DA WU SUPPLY CHAIN MANAGEMENT COMPANY LIMITED</t>
        </is>
      </c>
      <c r="E10380" s="10" t="inlineStr">
        <is>
          <t>Thương lượng</t>
        </is>
      </c>
      <c r="F10380" s="10" t="inlineStr">
        <is>
          <t>Hồ Chí Minh</t>
        </is>
      </c>
      <c r="G10380" s="10" t="inlineStr">
        <is>
          <t>Mới Tốt Nghiệp</t>
        </is>
      </c>
      <c r="H10380" s="10" t="inlineStr">
        <is>
          <t>12/03/2026</t>
        </is>
      </c>
      <c r="I10380" s="10" t="inlineStr">
        <is>
          <t>11/04/2026</t>
        </is>
      </c>
      <c r="J10380" s="10" t="inlineStr">
        <is>
          <t>17/03/2026</t>
        </is>
      </c>
      <c r="K10380" s="10" t="inlineStr">
        <is>
          <t>N/A</t>
        </is>
      </c>
      <c r="L10380" s="10" t="inlineStr">
        <is>
          <t>Sales Development, Channel Relationship Management, Quotation Preparation, Foreign Trade, Sales Logistics</t>
        </is>
      </c>
      <c r="M10380" s="10" t="inlineStr">
        <is>
          <t>Bonus, Healthcare Plan, Travel Opportunities, Team Activities, Vouchers</t>
        </is>
      </c>
      <c r="N10380" s="11">
        <f>HYPERLINK("https://www.vietnamworks.com/logistics-sales-2022607-jv","Xem chi tiết")</f>
        <v/>
      </c>
      <c r="O10380" s="10" t="n"/>
    </row>
    <row r="10381">
      <c r="B10381" s="7" t="n">
        <v>10379</v>
      </c>
      <c r="C10381" t="inlineStr">
        <is>
          <t>Nhân Viên Mua Hàng</t>
        </is>
      </c>
      <c r="D10381" t="inlineStr">
        <is>
          <t>CÔNG TY TNHH TB NGUYỄN</t>
        </is>
      </c>
      <c r="E10381" t="inlineStr">
        <is>
          <t>10tr-15tr ₫/tháng</t>
        </is>
      </c>
      <c r="F10381" t="inlineStr">
        <is>
          <t>Hồ Chí Minh</t>
        </is>
      </c>
      <c r="G10381" t="inlineStr">
        <is>
          <t>Nhân viên</t>
        </is>
      </c>
      <c r="H10381" t="inlineStr">
        <is>
          <t>12/03/2026</t>
        </is>
      </c>
      <c r="I10381" t="inlineStr">
        <is>
          <t>11/04/2026</t>
        </is>
      </c>
      <c r="J10381" t="inlineStr">
        <is>
          <t>17/03/2026</t>
        </is>
      </c>
      <c r="K10381" t="inlineStr">
        <is>
          <t>N/A</t>
        </is>
      </c>
      <c r="L10381" t="inlineStr">
        <is>
          <t>Kỹ năng giao tiếp, Kỹ năng đàm phán, Quản Lý Thời Gian, Thu Mua Hàng Hóa, Vì tính văn phòng</t>
        </is>
      </c>
      <c r="M10381" t="inlineStr">
        <is>
          <t>Bonus, Team Activities, Others</t>
        </is>
      </c>
      <c r="N10381" s="8">
        <f>HYPERLINK("https://www.vietnamworks.com/nhan-vien-mua-hang-2022608-jv","Xem chi tiết")</f>
        <v/>
      </c>
    </row>
    <row r="10382">
      <c r="B10382" s="9" t="n">
        <v>10380</v>
      </c>
      <c r="C10382" s="10" t="inlineStr">
        <is>
          <t>Kỹ Sư Quản Lý Chất Lượng (QA/QC)</t>
        </is>
      </c>
      <c r="D10382" s="10" t="inlineStr">
        <is>
          <t>Công ty Cổ phần Đăng Việt E&amp;C</t>
        </is>
      </c>
      <c r="E10382" s="10" t="inlineStr">
        <is>
          <t>Thương lượng</t>
        </is>
      </c>
      <c r="F10382" s="10" t="inlineStr">
        <is>
          <t>Bình Dương</t>
        </is>
      </c>
      <c r="G10382" s="10" t="inlineStr">
        <is>
          <t>Nhân viên</t>
        </is>
      </c>
      <c r="H10382" s="10" t="inlineStr">
        <is>
          <t>12/03/2026</t>
        </is>
      </c>
      <c r="I10382" s="10" t="inlineStr">
        <is>
          <t>11/04/2026</t>
        </is>
      </c>
      <c r="J10382" s="10" t="inlineStr">
        <is>
          <t>17/03/2026</t>
        </is>
      </c>
      <c r="K10382" s="10" t="inlineStr">
        <is>
          <t>N/A</t>
        </is>
      </c>
      <c r="L10382" s="10" t="inlineStr">
        <is>
          <t>Giám Sát Thi Công, Nghiệm Thu Khối Lượng, Quản Lý Công Trình Xây Dựng, Quản Lý Dự Án, Định Mức Vật Tư</t>
        </is>
      </c>
      <c r="M10382" s="10" t="inlineStr">
        <is>
          <t>Paid Leave</t>
        </is>
      </c>
      <c r="N10382" s="11">
        <f>HYPERLINK("https://www.vietnamworks.com/ky-su-quan-ly-chat-luong-qaqc-2022621-jv","Xem chi tiết")</f>
        <v/>
      </c>
      <c r="O10382" s="10" t="n"/>
    </row>
    <row r="10383">
      <c r="B10383" s="7" t="n">
        <v>10381</v>
      </c>
      <c r="C10383" t="inlineStr">
        <is>
          <t>Sales Representative</t>
        </is>
      </c>
      <c r="D10383" t="inlineStr">
        <is>
          <t>CÔNG TY TNHH EVER RICH</t>
        </is>
      </c>
      <c r="E10383" t="inlineStr">
        <is>
          <t>Thương lượng</t>
        </is>
      </c>
      <c r="F10383" t="inlineStr">
        <is>
          <t>Hồ Chí Minh</t>
        </is>
      </c>
      <c r="G10383" t="inlineStr">
        <is>
          <t>Nhân viên</t>
        </is>
      </c>
      <c r="H10383" t="inlineStr">
        <is>
          <t>12/03/2026</t>
        </is>
      </c>
      <c r="I10383" t="inlineStr">
        <is>
          <t>11/04/2026</t>
        </is>
      </c>
      <c r="J10383" t="inlineStr">
        <is>
          <t>17/03/2026</t>
        </is>
      </c>
      <c r="K10383" t="inlineStr">
        <is>
          <t>N/A</t>
        </is>
      </c>
      <c r="L10383" t="inlineStr">
        <is>
          <t>B2B Sales, Hóa Chất, Technical Sales, Kinh Doanh, International Business</t>
        </is>
      </c>
      <c r="M10383" t="inlineStr">
        <is>
          <t>Bonus, Healthcare Plan, Laptop, Others</t>
        </is>
      </c>
      <c r="N10383" s="8">
        <f>HYPERLINK("https://www.vietnamworks.com/sales-representative-2022619-jv","Xem chi tiết")</f>
        <v/>
      </c>
    </row>
    <row r="10384">
      <c r="B10384" s="9" t="n">
        <v>10382</v>
      </c>
      <c r="C10384" s="10" t="inlineStr">
        <is>
          <t>Kỹ Sư Cơ Điện (Thu Nhập Hấp Dẫn - Upto 30Tr)</t>
        </is>
      </c>
      <c r="D10384" s="10" t="inlineStr">
        <is>
          <t>CÔNG TY TNHH XÂY DỰNG TILING</t>
        </is>
      </c>
      <c r="E10384" s="10" t="inlineStr">
        <is>
          <t>Tới 30tr ₫/tháng</t>
        </is>
      </c>
      <c r="F10384" s="10" t="inlineStr">
        <is>
          <t>Hà Nội</t>
        </is>
      </c>
      <c r="G10384" s="10" t="inlineStr">
        <is>
          <t>Nhân viên</t>
        </is>
      </c>
      <c r="H10384" s="10" t="inlineStr">
        <is>
          <t>12/03/2026</t>
        </is>
      </c>
      <c r="I10384" s="10" t="inlineStr">
        <is>
          <t>11/04/2026</t>
        </is>
      </c>
      <c r="J10384" s="10" t="inlineStr">
        <is>
          <t>17/03/2026</t>
        </is>
      </c>
      <c r="K10384" s="10" t="inlineStr">
        <is>
          <t>N/A</t>
        </is>
      </c>
      <c r="L10384" s="10" t="inlineStr">
        <is>
          <t>Giám Sát Thi Công, AutoCAD, M&amp;E, Nghiệm Thu, Shop Drawing</t>
        </is>
      </c>
      <c r="M10384" s="10" t="inlineStr">
        <is>
          <t>Bonus, Healthcare Plan, Others</t>
        </is>
      </c>
      <c r="N10384" s="11">
        <f>HYPERLINK("https://www.vietnamworks.com/ky-su-co-djien-thu-nhap-hap-dan-upto-30tr-2022618-jv","Xem chi tiết")</f>
        <v/>
      </c>
      <c r="O10384" s="10" t="n"/>
    </row>
    <row r="10385">
      <c r="B10385" s="7" t="n">
        <v>10383</v>
      </c>
      <c r="C10385" t="inlineStr">
        <is>
          <t>Chuyên Viên Kinh Doanh (Thiết Bị/ Thiết Bị Khoa Học) - Sales Engineer</t>
        </is>
      </c>
      <c r="D10385" t="inlineStr">
        <is>
          <t>Công ty cổ phần đầu tư và công nghệ HTI</t>
        </is>
      </c>
      <c r="E10385" t="inlineStr">
        <is>
          <t>Thương lượng</t>
        </is>
      </c>
      <c r="F10385" t="inlineStr">
        <is>
          <t>Hà Nội</t>
        </is>
      </c>
      <c r="G10385" t="inlineStr">
        <is>
          <t>Nhân viên</t>
        </is>
      </c>
      <c r="H10385" t="inlineStr">
        <is>
          <t>12/03/2026</t>
        </is>
      </c>
      <c r="I10385" t="inlineStr">
        <is>
          <t>11/04/2026</t>
        </is>
      </c>
      <c r="J10385" t="inlineStr">
        <is>
          <t>17/03/2026</t>
        </is>
      </c>
      <c r="K10385" t="inlineStr">
        <is>
          <t>N/A</t>
        </is>
      </c>
      <c r="L10385" t="inlineStr">
        <is>
          <t>Báo Giá, Chăm Sóc Khách Hàng, Phát Triển Khách Hàng, Tìm Kiếm Khách Hàng, Tư Vấn Kỹ Thuật</t>
        </is>
      </c>
      <c r="M10385" t="inlineStr">
        <is>
          <t>Healthcare Plan, Training, Travel Opportunities, Others</t>
        </is>
      </c>
      <c r="N10385" s="8">
        <f>HYPERLINK("https://www.vietnamworks.com/chuyen-vien-kinh-doanh-thiet-bi-thiet-bi-khoa-hoc-sales-engineer-2022638-jv","Xem chi tiết")</f>
        <v/>
      </c>
    </row>
    <row r="10386">
      <c r="B10386" s="9" t="n">
        <v>10384</v>
      </c>
      <c r="C10386" s="10" t="inlineStr">
        <is>
          <t>Sales Admin For Medical Equipments (Shorterm – 8 Months)</t>
        </is>
      </c>
      <c r="D10386" s="10" t="inlineStr">
        <is>
          <t>Charles Wembley (S.e.a) CO., Pte. LTD.</t>
        </is>
      </c>
      <c r="E10386" s="10" t="inlineStr">
        <is>
          <t>Thương lượng</t>
        </is>
      </c>
      <c r="F10386" s="10" t="inlineStr">
        <is>
          <t>Hà Nội</t>
        </is>
      </c>
      <c r="G10386" s="10" t="inlineStr">
        <is>
          <t>Nhân viên</t>
        </is>
      </c>
      <c r="H10386" s="10" t="inlineStr">
        <is>
          <t>12/03/2026</t>
        </is>
      </c>
      <c r="I10386" s="10" t="inlineStr">
        <is>
          <t>11/04/2026</t>
        </is>
      </c>
      <c r="J10386" s="10" t="inlineStr">
        <is>
          <t>17/03/2026</t>
        </is>
      </c>
      <c r="K10386" s="10" t="inlineStr">
        <is>
          <t>N/A</t>
        </is>
      </c>
      <c r="L10386" s="10" t="inlineStr">
        <is>
          <t>Medical Device, Contract Administration, Quotation Preparation</t>
        </is>
      </c>
      <c r="M10386" s="10" t="inlineStr">
        <is>
          <t>Bonus, Training, Canteen, Others</t>
        </is>
      </c>
      <c r="N10386" s="11">
        <f>HYPERLINK("https://www.vietnamworks.com/sales-admin-for-medical-equipments-shorterm-8-months-2022632-jv","Xem chi tiết")</f>
        <v/>
      </c>
      <c r="O10386" s="10" t="n"/>
    </row>
    <row r="10387">
      <c r="B10387" s="7" t="n">
        <v>10385</v>
      </c>
      <c r="C10387" t="inlineStr">
        <is>
          <t>[Hải Phòng] Nhân viên Kinh doanh Bất động sản cao cấp</t>
        </is>
      </c>
      <c r="D10387" t="inlineStr">
        <is>
          <t>Gamuda Land Vietnam LLC</t>
        </is>
      </c>
      <c r="E10387" t="inlineStr">
        <is>
          <t>Thương lượng</t>
        </is>
      </c>
      <c r="F10387" t="inlineStr">
        <is>
          <t>Hải Phòng</t>
        </is>
      </c>
      <c r="G10387" t="inlineStr">
        <is>
          <t>Nhân viên</t>
        </is>
      </c>
      <c r="H10387" t="inlineStr">
        <is>
          <t>12/03/2026</t>
        </is>
      </c>
      <c r="I10387" t="inlineStr">
        <is>
          <t>11/04/2026</t>
        </is>
      </c>
      <c r="J10387" t="inlineStr">
        <is>
          <t>17/03/2026</t>
        </is>
      </c>
      <c r="K10387" t="inlineStr">
        <is>
          <t>N/A</t>
        </is>
      </c>
      <c r="L10387" t="inlineStr">
        <is>
          <t>Bất động sản cao cấp, Nhân viên kinh doanh, Real Estate Projects, Sales, Sales bất động sản</t>
        </is>
      </c>
      <c r="M10387" t="inlineStr">
        <is>
          <t>Healthcare Plan, Training, Laptop</t>
        </is>
      </c>
      <c r="N10387" s="8">
        <f>HYPERLINK("https://www.vietnamworks.com/hai-phong-nhan-vien-kinh-doanh-bat-djong-san-cao-cap-2022622-jv","Xem chi tiết")</f>
        <v/>
      </c>
    </row>
    <row r="10388">
      <c r="B10388" s="9" t="n">
        <v>10386</v>
      </c>
      <c r="C10388" s="10" t="inlineStr">
        <is>
          <t>Nhân Viên Chứng Từ Xuất Nhập Khẩu</t>
        </is>
      </c>
      <c r="D10388" s="10" t="inlineStr">
        <is>
          <t>CÔNG TY TNHH TB NGUYỄN</t>
        </is>
      </c>
      <c r="E10388" s="10" t="inlineStr">
        <is>
          <t>13tr-17tr ₫/tháng</t>
        </is>
      </c>
      <c r="F10388" s="10" t="inlineStr">
        <is>
          <t>Hồ Chí Minh</t>
        </is>
      </c>
      <c r="G10388" s="10" t="inlineStr">
        <is>
          <t>Nhân viên</t>
        </is>
      </c>
      <c r="H10388" s="10" t="inlineStr">
        <is>
          <t>12/03/2026</t>
        </is>
      </c>
      <c r="I10388" s="10" t="inlineStr">
        <is>
          <t>11/04/2026</t>
        </is>
      </c>
      <c r="J10388" s="10" t="inlineStr">
        <is>
          <t>17/03/2026</t>
        </is>
      </c>
      <c r="K10388" s="10" t="inlineStr">
        <is>
          <t>N/A</t>
        </is>
      </c>
      <c r="L10388" s="10" t="inlineStr">
        <is>
          <t>Chứng từ, Giao Tiếp, Nhập Liệu, Xử Lý Tình Huống, Xuất Nhập Khẩu</t>
        </is>
      </c>
      <c r="M10388" s="10" t="inlineStr">
        <is>
          <t>Bonus, Team Activities, Others</t>
        </is>
      </c>
      <c r="N10388" s="11">
        <f>HYPERLINK("https://www.vietnamworks.com/nhan-vien-chung-tu-xuat-nhap-khau-2022610-jv","Xem chi tiết")</f>
        <v/>
      </c>
      <c r="O10388" s="10" t="n"/>
    </row>
    <row r="10389">
      <c r="B10389" s="7" t="n">
        <v>10387</v>
      </c>
      <c r="C10389" t="inlineStr">
        <is>
          <t>Chuyên Viên Vận Hành Nền Tảng Dịch Vụ (Chinese)</t>
        </is>
      </c>
      <c r="D10389" t="inlineStr">
        <is>
          <t>OPPO Vietnam</t>
        </is>
      </c>
      <c r="E10389" t="inlineStr">
        <is>
          <t>$$ 450-800 /tháng</t>
        </is>
      </c>
      <c r="F10389" t="inlineStr">
        <is>
          <t>Hồ Chí Minh</t>
        </is>
      </c>
      <c r="G10389" t="inlineStr">
        <is>
          <t>Nhân viên</t>
        </is>
      </c>
      <c r="H10389" t="inlineStr">
        <is>
          <t>12/03/2026</t>
        </is>
      </c>
      <c r="I10389" t="inlineStr">
        <is>
          <t>11/04/2026</t>
        </is>
      </c>
      <c r="J10389" t="inlineStr">
        <is>
          <t>17/03/2026</t>
        </is>
      </c>
      <c r="K10389" t="inlineStr">
        <is>
          <t>N/A</t>
        </is>
      </c>
      <c r="L10389" t="inlineStr">
        <is>
          <t>Kỹ năng giao tiếp, Lập Trình, Quản Lý Dự Án, Tiếng Trung thành thạo</t>
        </is>
      </c>
      <c r="M10389" t="inlineStr">
        <is>
          <t>Training, Others</t>
        </is>
      </c>
      <c r="N10389" s="8">
        <f>HYPERLINK("https://www.vietnamworks.com/chuyen-vien-van-hanh-nen-tang-dich-vu-chinese-2022613-jv","Xem chi tiết")</f>
        <v/>
      </c>
    </row>
    <row r="10390">
      <c r="B10390" s="9" t="n">
        <v>10388</v>
      </c>
      <c r="C10390" s="10" t="inlineStr">
        <is>
          <t>Điều Phối Viên Kế Hoạch Dự Án/ Project Planning Controller</t>
        </is>
      </c>
      <c r="D10390" s="10" t="inlineStr">
        <is>
          <t>Tổng Công Ty Phát Triển Đô Thị Kinh Bắc (KBC)</t>
        </is>
      </c>
      <c r="E10390" s="10" t="inlineStr">
        <is>
          <t>Thương lượng</t>
        </is>
      </c>
      <c r="F10390" s="10" t="inlineStr">
        <is>
          <t>Hưng Yên, Hà Nội</t>
        </is>
      </c>
      <c r="G10390" s="10" t="inlineStr">
        <is>
          <t>Nhân viên</t>
        </is>
      </c>
      <c r="H10390" s="10" t="inlineStr">
        <is>
          <t>12/03/2026</t>
        </is>
      </c>
      <c r="I10390" s="10" t="inlineStr">
        <is>
          <t>11/04/2026</t>
        </is>
      </c>
      <c r="J10390" s="10" t="inlineStr">
        <is>
          <t>17/03/2026</t>
        </is>
      </c>
      <c r="K10390" s="10" t="inlineStr">
        <is>
          <t>N/A</t>
        </is>
      </c>
      <c r="L10390" s="10" t="inlineStr">
        <is>
          <t>Quản Lý Dự Án, Lập Kế Hoạch, Ms Project, Theo Dõi Tiến Độ, Tiếng Anh</t>
        </is>
      </c>
      <c r="M10390" s="10" t="inlineStr">
        <is>
          <t>Bonus, Healthcare Plan, Travel Opportunities</t>
        </is>
      </c>
      <c r="N10390" s="11">
        <f>HYPERLINK("https://www.vietnamworks.com/djieu-phoi-vien-ke-hoach-du-an-project-planning-controller-2022617-jv","Xem chi tiết")</f>
        <v/>
      </c>
      <c r="O10390" s="10" t="n"/>
    </row>
    <row r="10391">
      <c r="B10391" s="7" t="n">
        <v>10389</v>
      </c>
      <c r="C10391" t="inlineStr">
        <is>
          <t>Corporate and Event Staff</t>
        </is>
      </c>
      <c r="D10391" t="inlineStr">
        <is>
          <t>AJINOMOTO VIETNAM COMPANY</t>
        </is>
      </c>
      <c r="E10391" t="inlineStr">
        <is>
          <t>Thương lượng</t>
        </is>
      </c>
      <c r="F10391" t="inlineStr">
        <is>
          <t>Hồ Chí Minh</t>
        </is>
      </c>
      <c r="G10391" t="inlineStr">
        <is>
          <t>Nhân viên</t>
        </is>
      </c>
      <c r="H10391" t="inlineStr">
        <is>
          <t>12/03/2026</t>
        </is>
      </c>
      <c r="I10391" t="inlineStr">
        <is>
          <t>11/04/2026</t>
        </is>
      </c>
      <c r="J10391" t="inlineStr">
        <is>
          <t>17/03/2026</t>
        </is>
      </c>
      <c r="K10391" t="inlineStr">
        <is>
          <t>N/A</t>
        </is>
      </c>
      <c r="L10391" t="inlineStr">
        <is>
          <t>Business Administration, Communication, Event Management, General Administration, MS Office</t>
        </is>
      </c>
      <c r="M10391" t="inlineStr">
        <is>
          <t>Bonus, Healthcare Plan, Training, Canteen</t>
        </is>
      </c>
      <c r="N10391" s="8">
        <f>HYPERLINK("https://www.vietnamworks.com/corporate-and-event-staff-2022629-jv","Xem chi tiết")</f>
        <v/>
      </c>
    </row>
    <row r="10392">
      <c r="B10392" s="9" t="n">
        <v>10390</v>
      </c>
      <c r="C10392" s="10" t="inlineStr">
        <is>
          <t>Trình Dược Viên</t>
        </is>
      </c>
      <c r="D10392" s="10" t="inlineStr">
        <is>
          <t>CÔNG TY TNHH DƯỢC PHẨM Y TẾ MK</t>
        </is>
      </c>
      <c r="E10392" s="10" t="inlineStr">
        <is>
          <t>10tr-12tr ₫/tháng</t>
        </is>
      </c>
      <c r="F10392" s="10" t="inlineStr">
        <is>
          <t>Đà Nẵng</t>
        </is>
      </c>
      <c r="G10392" s="10" t="inlineStr">
        <is>
          <t>Nhân viên</t>
        </is>
      </c>
      <c r="H10392" s="10" t="inlineStr">
        <is>
          <t>12/03/2026</t>
        </is>
      </c>
      <c r="I10392" s="10" t="inlineStr">
        <is>
          <t>11/04/2026</t>
        </is>
      </c>
      <c r="J10392" s="10" t="inlineStr">
        <is>
          <t>17/03/2026</t>
        </is>
      </c>
      <c r="K10392" s="10" t="inlineStr">
        <is>
          <t>N/A</t>
        </is>
      </c>
      <c r="L10392" s="10" t="inlineStr">
        <is>
          <t>Chủ Động Trong Công Việc, Dược, Kỹ năng giao tiếp, Quản Lý Quan Hệ Khách Hàng, Tin Học Căn Bản</t>
        </is>
      </c>
      <c r="M10392" s="10" t="inlineStr">
        <is>
          <t>Bonus, Healthcare Plan, Team Activities, Others</t>
        </is>
      </c>
      <c r="N10392" s="11">
        <f>HYPERLINK("https://www.vietnamworks.com/trinh-duoc-vien-2022637-jv","Xem chi tiết")</f>
        <v/>
      </c>
      <c r="O10392" s="10" t="n"/>
    </row>
    <row r="10393">
      <c r="B10393" s="7" t="n">
        <v>10391</v>
      </c>
      <c r="C10393" t="inlineStr">
        <is>
          <t>Junior IT Operations Coordinator</t>
        </is>
      </c>
      <c r="D10393" t="inlineStr">
        <is>
          <t>Shuttlerock Vietnam</t>
        </is>
      </c>
      <c r="E10393" t="inlineStr">
        <is>
          <t>Thương lượng</t>
        </is>
      </c>
      <c r="F10393" t="inlineStr">
        <is>
          <t>Hồ Chí Minh</t>
        </is>
      </c>
      <c r="G10393" t="inlineStr">
        <is>
          <t>Mới Tốt Nghiệp</t>
        </is>
      </c>
      <c r="H10393" t="inlineStr">
        <is>
          <t>12/03/2026</t>
        </is>
      </c>
      <c r="I10393" t="inlineStr">
        <is>
          <t>11/04/2026</t>
        </is>
      </c>
      <c r="J10393" t="inlineStr">
        <is>
          <t>17/03/2026</t>
        </is>
      </c>
      <c r="K10393" t="inlineStr">
        <is>
          <t>N/A</t>
        </is>
      </c>
      <c r="L10393" t="inlineStr">
        <is>
          <t>English, IT Administration, IT Governance, Technical Support, Bussiness Analyst</t>
        </is>
      </c>
      <c r="M10393" t="inlineStr">
        <is>
          <t>Training, Team Activities, Others</t>
        </is>
      </c>
      <c r="N10393" s="8">
        <f>HYPERLINK("https://www.vietnamworks.com/junior-it-operations-coordinator-2022616-jv","Xem chi tiết")</f>
        <v/>
      </c>
    </row>
    <row r="10394">
      <c r="B10394" s="9" t="n">
        <v>10392</v>
      </c>
      <c r="C10394" s="10" t="inlineStr">
        <is>
          <t>Sales Logistics</t>
        </is>
      </c>
      <c r="D10394" s="10" t="inlineStr">
        <is>
          <t>CÔNG TY TNHH VẬN TẢI SNS</t>
        </is>
      </c>
      <c r="E10394" s="10" t="inlineStr">
        <is>
          <t>Thương lượng</t>
        </is>
      </c>
      <c r="F10394" s="10" t="inlineStr">
        <is>
          <t>Hồ Chí Minh</t>
        </is>
      </c>
      <c r="G10394" s="10" t="inlineStr">
        <is>
          <t>Nhân viên</t>
        </is>
      </c>
      <c r="H10394" s="10" t="inlineStr">
        <is>
          <t>12/03/2026</t>
        </is>
      </c>
      <c r="I10394" s="10" t="inlineStr">
        <is>
          <t>11/04/2026</t>
        </is>
      </c>
      <c r="J10394" s="10" t="inlineStr">
        <is>
          <t>17/03/2026</t>
        </is>
      </c>
      <c r="K10394" s="10" t="inlineStr">
        <is>
          <t>N/A</t>
        </is>
      </c>
      <c r="L10394" s="10" t="inlineStr">
        <is>
          <t>Giao Tiếp, Kinh Doanh Logistics, Thu Hồi Công Nợ, Tìm Kiếm Khách Hàng, Vận Chuyển Quốc Tế</t>
        </is>
      </c>
      <c r="M10394" s="10" t="inlineStr">
        <is>
          <t>Bonus, Healthcare Plan, Training, Team Activities, Others</t>
        </is>
      </c>
      <c r="N10394" s="11">
        <f>HYPERLINK("https://www.vietnamworks.com/sales-logistics-2022635-jv","Xem chi tiết")</f>
        <v/>
      </c>
      <c r="O10394" s="10" t="n"/>
    </row>
    <row r="10395">
      <c r="B10395" s="7" t="n">
        <v>10393</v>
      </c>
      <c r="C10395" t="inlineStr">
        <is>
          <t>Quản Lý Dự Án</t>
        </is>
      </c>
      <c r="D10395" t="inlineStr">
        <is>
          <t>Công Ty Cổ Phần Thương Mại Tư Vấn Và Xây Dựng Vĩnh Hưng</t>
        </is>
      </c>
      <c r="E10395" t="inlineStr">
        <is>
          <t>Thương lượng</t>
        </is>
      </c>
      <c r="F10395" t="inlineStr">
        <is>
          <t>Hà Nội, Hưng Yên</t>
        </is>
      </c>
      <c r="G10395" t="inlineStr">
        <is>
          <t>Trưởng phòng</t>
        </is>
      </c>
      <c r="H10395" t="inlineStr">
        <is>
          <t>12/03/2026</t>
        </is>
      </c>
      <c r="I10395" t="inlineStr">
        <is>
          <t>11/04/2026</t>
        </is>
      </c>
      <c r="J10395" t="inlineStr">
        <is>
          <t>17/03/2026</t>
        </is>
      </c>
      <c r="K10395" t="inlineStr">
        <is>
          <t>N/A</t>
        </is>
      </c>
      <c r="L10395" t="inlineStr">
        <is>
          <t>Quản Lý Dự Án, Auto Cad, Giám Sát Thi Công, Kinh Tế Xây Dựng, Xây Dựng Dân Dụng</t>
        </is>
      </c>
      <c r="M10395" t="inlineStr">
        <is>
          <t>Bonus, Healthcare Plan, Training, Team Activities, Others</t>
        </is>
      </c>
      <c r="N10395" s="8">
        <f>HYPERLINK("https://www.vietnamworks.com/quan-ly-du-an-2022630-jv","Xem chi tiết")</f>
        <v/>
      </c>
    </row>
    <row r="10396">
      <c r="B10396" s="9" t="n">
        <v>10394</v>
      </c>
      <c r="C10396" s="10" t="inlineStr">
        <is>
          <t>Nhân Viên Kinh Doanh Hồ Chí Minh - HCM Sales Staff</t>
        </is>
      </c>
      <c r="D10396" s="10" t="inlineStr">
        <is>
          <t>Bando Manufacturing (Viet Nam) Co.,Ltd</t>
        </is>
      </c>
      <c r="E10396" s="10" t="inlineStr">
        <is>
          <t>$$ 300-500 /tháng</t>
        </is>
      </c>
      <c r="F10396" s="10" t="inlineStr">
        <is>
          <t>Hồ Chí Minh</t>
        </is>
      </c>
      <c r="G10396" s="10" t="inlineStr">
        <is>
          <t>Nhân viên</t>
        </is>
      </c>
      <c r="H10396" s="10" t="inlineStr">
        <is>
          <t>12/03/2026</t>
        </is>
      </c>
      <c r="I10396" s="10" t="inlineStr">
        <is>
          <t>11/04/2026</t>
        </is>
      </c>
      <c r="J10396" s="10" t="inlineStr">
        <is>
          <t>17/03/2026</t>
        </is>
      </c>
      <c r="K10396" s="10" t="inlineStr">
        <is>
          <t>N/A</t>
        </is>
      </c>
      <c r="L10396" s="10" t="inlineStr">
        <is>
          <t>Sales Technical, English proficiency, Sales Strategy, Sales Reporting, Trade Promotion</t>
        </is>
      </c>
      <c r="M10396" s="10" t="inlineStr">
        <is>
          <t>Bonus, Travel Opportunities</t>
        </is>
      </c>
      <c r="N10396" s="11">
        <f>HYPERLINK("https://www.vietnamworks.com/nhan-vien-kinh-doanh-ho-chi-minh-hcm-sales-staff--2022609-jv","Xem chi tiết")</f>
        <v/>
      </c>
      <c r="O10396" s="10" t="n"/>
    </row>
    <row r="10397">
      <c r="B10397" s="7" t="n">
        <v>10395</v>
      </c>
      <c r="C10397" t="inlineStr">
        <is>
          <t>Sales Support Cum IT</t>
        </is>
      </c>
      <c r="D10397" t="inlineStr">
        <is>
          <t>SM - Cyclo (Việt Nam) Co., Ltd.</t>
        </is>
      </c>
      <c r="E10397" t="inlineStr">
        <is>
          <t>Thương lượng</t>
        </is>
      </c>
      <c r="F10397" t="inlineStr">
        <is>
          <t>Hồ Chí Minh</t>
        </is>
      </c>
      <c r="G10397" t="inlineStr">
        <is>
          <t>Nhân viên</t>
        </is>
      </c>
      <c r="H10397" t="inlineStr">
        <is>
          <t>12/03/2026</t>
        </is>
      </c>
      <c r="I10397" t="inlineStr">
        <is>
          <t>11/04/2026</t>
        </is>
      </c>
      <c r="J10397" t="inlineStr">
        <is>
          <t>17/03/2026</t>
        </is>
      </c>
      <c r="K10397" t="inlineStr">
        <is>
          <t>N/A</t>
        </is>
      </c>
      <c r="L10397" t="inlineStr">
        <is>
          <t>Automation Engineering, CRM Development, IT Operations, M&amp;E, Technical Engineering</t>
        </is>
      </c>
      <c r="M10397" t="inlineStr">
        <is>
          <t>Bonus</t>
        </is>
      </c>
      <c r="N10397" s="8">
        <f>HYPERLINK("https://www.vietnamworks.com/sales-support-cum-it-2022636-jv","Xem chi tiết")</f>
        <v/>
      </c>
    </row>
    <row r="10398">
      <c r="B10398" s="9" t="n">
        <v>10396</v>
      </c>
      <c r="C10398" s="10" t="inlineStr">
        <is>
          <t>IT Audit Expert</t>
        </is>
      </c>
      <c r="D10398" s="10" t="inlineStr">
        <is>
          <t>Công Ty Tài Chính TNHH Ngân Hàng TMCP Sài Gòn - Hà Nội (SHBFinance)</t>
        </is>
      </c>
      <c r="E10398" s="10" t="inlineStr">
        <is>
          <t>Thương lượng</t>
        </is>
      </c>
      <c r="F10398" s="10" t="inlineStr">
        <is>
          <t>Hà Nội</t>
        </is>
      </c>
      <c r="G10398" s="10" t="inlineStr">
        <is>
          <t>Trưởng phòng</t>
        </is>
      </c>
      <c r="H10398" s="10" t="inlineStr">
        <is>
          <t>12/03/2026</t>
        </is>
      </c>
      <c r="I10398" s="10" t="inlineStr">
        <is>
          <t>11/04/2026</t>
        </is>
      </c>
      <c r="J10398" s="10" t="inlineStr">
        <is>
          <t>17/03/2026</t>
        </is>
      </c>
      <c r="K10398" s="10" t="inlineStr">
        <is>
          <t>N/A</t>
        </is>
      </c>
      <c r="L10398" s="10" t="inlineStr">
        <is>
          <t>IT Audit, Internal Audit, Internal IT Audit, IT Auditing, Kiểm toán</t>
        </is>
      </c>
      <c r="M10398" s="10" t="inlineStr">
        <is>
          <t>Bonus, Healthcare Plan, Travel Opportunities</t>
        </is>
      </c>
      <c r="N10398" s="11">
        <f>HYPERLINK("https://www.vietnamworks.com/it-audit-expert-2022639-jv","Xem chi tiết")</f>
        <v/>
      </c>
      <c r="O10398" s="10" t="n"/>
    </row>
    <row r="10399">
      <c r="B10399" s="7" t="n">
        <v>10397</v>
      </c>
      <c r="C10399" t="inlineStr">
        <is>
          <t>Product Development Manager</t>
        </is>
      </c>
      <c r="D10399" t="inlineStr">
        <is>
          <t>CÔNG TY CỔ PHẦN CHUỖI NHÀ HÀNG SVN</t>
        </is>
      </c>
      <c r="E10399" t="inlineStr">
        <is>
          <t>Thương lượng</t>
        </is>
      </c>
      <c r="F10399" t="inlineStr">
        <is>
          <t>Hà Nội</t>
        </is>
      </c>
      <c r="G10399" t="inlineStr">
        <is>
          <t>Trưởng phòng</t>
        </is>
      </c>
      <c r="H10399" t="inlineStr">
        <is>
          <t>12/03/2026</t>
        </is>
      </c>
      <c r="I10399" t="inlineStr">
        <is>
          <t>11/04/2026</t>
        </is>
      </c>
      <c r="J10399" t="inlineStr">
        <is>
          <t>17/03/2026</t>
        </is>
      </c>
      <c r="K10399" t="inlineStr">
        <is>
          <t>N/A</t>
        </is>
      </c>
      <c r="L10399" t="inlineStr">
        <is>
          <t>Menu Creation and Development, VSATTP, Product Development, FnB, Plan</t>
        </is>
      </c>
      <c r="M10399" t="inlineStr">
        <is>
          <t>Paid Leave, Vouchers</t>
        </is>
      </c>
      <c r="N10399" s="8">
        <f>HYPERLINK("https://www.vietnamworks.com/product-development-manager--2022640-jv","Xem chi tiết")</f>
        <v/>
      </c>
    </row>
    <row r="10400">
      <c r="B10400" s="9" t="n">
        <v>10398</v>
      </c>
      <c r="C10400" s="10" t="inlineStr">
        <is>
          <t>Architectural Design Executive/ Senior Executive</t>
        </is>
      </c>
      <c r="D10400" s="10" t="inlineStr">
        <is>
          <t>Công ty TNHH Toshin Development Việt Nam</t>
        </is>
      </c>
      <c r="E10400" s="10" t="inlineStr">
        <is>
          <t>25tr-30tr ₫/tháng</t>
        </is>
      </c>
      <c r="F10400" s="10" t="inlineStr">
        <is>
          <t>Hà Nội</t>
        </is>
      </c>
      <c r="G10400" s="10" t="inlineStr">
        <is>
          <t>Nhân viên</t>
        </is>
      </c>
      <c r="H10400" s="10" t="inlineStr">
        <is>
          <t>12/03/2026</t>
        </is>
      </c>
      <c r="I10400" s="10" t="inlineStr">
        <is>
          <t>11/04/2026</t>
        </is>
      </c>
      <c r="J10400" s="10" t="inlineStr">
        <is>
          <t>17/03/2026</t>
        </is>
      </c>
      <c r="K10400" s="10" t="inlineStr">
        <is>
          <t>N/A</t>
        </is>
      </c>
      <c r="L10400" s="10" t="inlineStr">
        <is>
          <t>Architecture Design, Construction Supervision, CAD, Bidding, Safety Assessment</t>
        </is>
      </c>
      <c r="M10400" s="10" t="inlineStr">
        <is>
          <t>Bonus, Healthcare Plan, Others</t>
        </is>
      </c>
      <c r="N10400" s="11">
        <f>HYPERLINK("https://www.vietnamworks.com/architectural-design-executive-senior-executive-2022643-jv","Xem chi tiết")</f>
        <v/>
      </c>
      <c r="O10400" s="10" t="n"/>
    </row>
    <row r="10401">
      <c r="B10401" s="7" t="n">
        <v>10399</v>
      </c>
      <c r="C10401" t="inlineStr">
        <is>
          <t>Chuyên viên Giám Sát Dịch Vụ - Vận hành tòa nhà</t>
        </is>
      </c>
      <c r="D10401" t="inlineStr">
        <is>
          <t>Công Ty TNHH Phát Triển Phú Mỹ Hưng</t>
        </is>
      </c>
      <c r="E10401" t="inlineStr">
        <is>
          <t>$$ 400-600 /tháng</t>
        </is>
      </c>
      <c r="F10401" t="inlineStr">
        <is>
          <t>Hồ Chí Minh</t>
        </is>
      </c>
      <c r="G10401" t="inlineStr">
        <is>
          <t>Nhân viên</t>
        </is>
      </c>
      <c r="H10401" t="inlineStr">
        <is>
          <t>12/03/2026</t>
        </is>
      </c>
      <c r="I10401" t="inlineStr">
        <is>
          <t>11/04/2026</t>
        </is>
      </c>
      <c r="J10401" t="inlineStr">
        <is>
          <t>17/03/2026</t>
        </is>
      </c>
      <c r="K10401" t="inlineStr">
        <is>
          <t>N/A</t>
        </is>
      </c>
      <c r="L10401" t="inlineStr">
        <is>
          <t>Chăm Sóc Khách Hàng, Giám Sát Dịch Vụ, Quản Lý Toà Nhà</t>
        </is>
      </c>
      <c r="M10401" t="inlineStr">
        <is>
          <t>Bonus</t>
        </is>
      </c>
      <c r="N10401" s="8">
        <f>HYPERLINK("https://www.vietnamworks.com/chuyen-vien-giam-sat-dich-vu-van-hanh-toa-nha-2022641-jv","Xem chi tiết")</f>
        <v/>
      </c>
    </row>
    <row r="10402">
      <c r="B10402" s="9" t="n">
        <v>10400</v>
      </c>
      <c r="C10402" s="10" t="inlineStr">
        <is>
          <t>Senior Sales Engineer / Assistant Sales Manager</t>
        </is>
      </c>
      <c r="D10402" s="10" t="inlineStr">
        <is>
          <t>Dou Yee Enterprises(s) Pte Ltd</t>
        </is>
      </c>
      <c r="E10402" s="10" t="inlineStr">
        <is>
          <t>Thương lượng</t>
        </is>
      </c>
      <c r="F10402" s="10" t="inlineStr">
        <is>
          <t>Hà Nội</t>
        </is>
      </c>
      <c r="G10402" s="10" t="inlineStr">
        <is>
          <t>Nhân viên</t>
        </is>
      </c>
      <c r="H10402" s="10" t="inlineStr">
        <is>
          <t>12/03/2026</t>
        </is>
      </c>
      <c r="I10402" s="10" t="inlineStr">
        <is>
          <t>11/04/2026</t>
        </is>
      </c>
      <c r="J10402" s="10" t="inlineStr">
        <is>
          <t>17/03/2026</t>
        </is>
      </c>
      <c r="K10402" s="10" t="inlineStr">
        <is>
          <t>N/A</t>
        </is>
      </c>
      <c r="L10402" s="10" t="inlineStr">
        <is>
          <t>Sales &amp; Business Development, Sales, Customer Negotiation</t>
        </is>
      </c>
      <c r="M10402" s="10" t="inlineStr">
        <is>
          <t>Bonus, Healthcare Plan, Others</t>
        </is>
      </c>
      <c r="N10402" s="11">
        <f>HYPERLINK("https://www.vietnamworks.com/senior-sales-engineer-assistant-sales-manager-2022625-jv","Xem chi tiết")</f>
        <v/>
      </c>
      <c r="O10402" s="10" t="n"/>
    </row>
    <row r="10403">
      <c r="B10403" s="7" t="n">
        <v>10401</v>
      </c>
      <c r="C10403" t="inlineStr">
        <is>
          <t>Chuyên Viên Hành Chính Nhân Sự</t>
        </is>
      </c>
      <c r="D10403" t="inlineStr">
        <is>
          <t>Design-Net VN Co.,ltd.</t>
        </is>
      </c>
      <c r="E10403" t="inlineStr">
        <is>
          <t>Thương lượng</t>
        </is>
      </c>
      <c r="F10403" t="inlineStr">
        <is>
          <t>Hồ Chí Minh</t>
        </is>
      </c>
      <c r="G10403" t="inlineStr">
        <is>
          <t>Nhân viên</t>
        </is>
      </c>
      <c r="H10403" t="inlineStr">
        <is>
          <t>12/03/2026</t>
        </is>
      </c>
      <c r="I10403" t="inlineStr">
        <is>
          <t>11/04/2026</t>
        </is>
      </c>
      <c r="J10403" t="inlineStr">
        <is>
          <t>17/03/2026</t>
        </is>
      </c>
      <c r="K10403" t="inlineStr">
        <is>
          <t>N/A</t>
        </is>
      </c>
      <c r="L10403" t="inlineStr">
        <is>
          <t>Quản Lý Chi Phí, Tính Lương, Hành Chính Nhân Sự, Tiếng Nhật N2, MS Office</t>
        </is>
      </c>
      <c r="M10403" t="inlineStr">
        <is>
          <t>Bonus, Healthcare Plan, Others</t>
        </is>
      </c>
      <c r="N10403" s="8">
        <f>HYPERLINK("https://www.vietnamworks.com/chuyen-vien-hanh-chinh-nhan-su-2022649-jv","Xem chi tiết")</f>
        <v/>
      </c>
    </row>
    <row r="10404">
      <c r="B10404" s="9" t="n">
        <v>10402</v>
      </c>
      <c r="C10404" s="10" t="inlineStr">
        <is>
          <t>Kỹ Sư Hạ Tầng Kỹ Thuật Giao Thông</t>
        </is>
      </c>
      <c r="D10404" s="10" t="inlineStr">
        <is>
          <t>CÔNG TY CỔ PHẦN TẬP ĐOÀN ĐẦU TƯ HOÀNG GIA VIỆT NAM</t>
        </is>
      </c>
      <c r="E10404" s="10" t="inlineStr">
        <is>
          <t>Thương lượng</t>
        </is>
      </c>
      <c r="F10404" s="10" t="inlineStr">
        <is>
          <t>Long An</t>
        </is>
      </c>
      <c r="G10404" s="10" t="inlineStr">
        <is>
          <t>Nhân viên</t>
        </is>
      </c>
      <c r="H10404" s="10" t="inlineStr">
        <is>
          <t>12/03/2026</t>
        </is>
      </c>
      <c r="I10404" s="10" t="inlineStr">
        <is>
          <t>11/04/2026</t>
        </is>
      </c>
      <c r="J10404" s="10" t="inlineStr">
        <is>
          <t>17/03/2026</t>
        </is>
      </c>
      <c r="K10404" s="10" t="inlineStr">
        <is>
          <t>N/A</t>
        </is>
      </c>
      <c r="L10404" s="10" t="inlineStr">
        <is>
          <t>Hạ Tầng Kỹ Thuật, Giao thông, Xây Dựng, AutoCAD, Thi Công Hạ Tầng</t>
        </is>
      </c>
      <c r="M10404" s="10" t="inlineStr">
        <is>
          <t>Bonus, Healthcare Plan, Laptop, Travel Opportunities, Team Activities, Transportation, Vouchers, Others</t>
        </is>
      </c>
      <c r="N10404" s="11">
        <f>HYPERLINK("https://www.vietnamworks.com/ky-su-ha-tang-ky-thuat-giao-thong-2022655-jv","Xem chi tiết")</f>
        <v/>
      </c>
      <c r="O10404" s="10" t="n"/>
    </row>
    <row r="10405">
      <c r="B10405" s="7" t="n">
        <v>10403</v>
      </c>
      <c r="C10405" t="inlineStr">
        <is>
          <t>Production Staff (New Factory)</t>
        </is>
      </c>
      <c r="D10405" t="inlineStr">
        <is>
          <t>Công ty TNHH Panasonic Electric Works Việt Nam</t>
        </is>
      </c>
      <c r="E10405" t="inlineStr">
        <is>
          <t>Thương lượng</t>
        </is>
      </c>
      <c r="F10405" t="inlineStr">
        <is>
          <t>Hồ Chí Minh</t>
        </is>
      </c>
      <c r="G10405" t="inlineStr">
        <is>
          <t>Nhân viên</t>
        </is>
      </c>
      <c r="H10405" t="inlineStr">
        <is>
          <t>12/03/2026</t>
        </is>
      </c>
      <c r="I10405" t="inlineStr">
        <is>
          <t>11/04/2026</t>
        </is>
      </c>
      <c r="J10405" t="inlineStr">
        <is>
          <t>17/03/2026</t>
        </is>
      </c>
      <c r="K10405" t="inlineStr">
        <is>
          <t>N/A</t>
        </is>
      </c>
      <c r="L10405" t="inlineStr">
        <is>
          <t>Analytical Skills, Electronics, Industrial Production Management, Mechanical Engineering, SAP</t>
        </is>
      </c>
      <c r="M10405" t="inlineStr">
        <is>
          <t>Bonus, Healthcare Plan, Paid Leave, Training, Team Activities</t>
        </is>
      </c>
      <c r="N10405" s="8">
        <f>HYPERLINK("https://www.vietnamworks.com/production-staff-new-factory-2022651-jv","Xem chi tiết")</f>
        <v/>
      </c>
    </row>
    <row r="10406">
      <c r="B10406" s="9" t="n">
        <v>10404</v>
      </c>
      <c r="C10406" s="10" t="inlineStr">
        <is>
          <t>Sales Engineer</t>
        </is>
      </c>
      <c r="D10406" s="10" t="inlineStr">
        <is>
          <t>SM - Cyclo (Việt Nam) Co., Ltd.</t>
        </is>
      </c>
      <c r="E10406" s="10" t="inlineStr">
        <is>
          <t>Thương lượng</t>
        </is>
      </c>
      <c r="F10406" s="10" t="inlineStr">
        <is>
          <t>Hồ Chí Minh</t>
        </is>
      </c>
      <c r="G10406" s="10" t="inlineStr">
        <is>
          <t>Nhân viên</t>
        </is>
      </c>
      <c r="H10406" s="10" t="inlineStr">
        <is>
          <t>12/03/2026</t>
        </is>
      </c>
      <c r="I10406" s="10" t="inlineStr">
        <is>
          <t>11/04/2026</t>
        </is>
      </c>
      <c r="J10406" s="10" t="inlineStr">
        <is>
          <t>17/03/2026</t>
        </is>
      </c>
      <c r="K10406" s="10" t="inlineStr">
        <is>
          <t>N/A</t>
        </is>
      </c>
      <c r="L10406" s="10" t="inlineStr">
        <is>
          <t>Communication Skills, Customer Engagement, Electrical Engineering, Mechanical Engineering, Technical Sales</t>
        </is>
      </c>
      <c r="M10406" s="10" t="inlineStr">
        <is>
          <t>Bonus</t>
        </is>
      </c>
      <c r="N10406" s="11">
        <f>HYPERLINK("https://www.vietnamworks.com/sales-engineer-2022653-jv","Xem chi tiết")</f>
        <v/>
      </c>
      <c r="O10406" s="10" t="n"/>
    </row>
    <row r="10407">
      <c r="B10407" s="7" t="n">
        <v>10405</v>
      </c>
      <c r="C10407" t="inlineStr">
        <is>
          <t>SAP Consultant (FICO)</t>
        </is>
      </c>
      <c r="D10407" t="inlineStr">
        <is>
          <t>CyberLogitec Vietnam Co., Ltd.</t>
        </is>
      </c>
      <c r="E10407" t="inlineStr">
        <is>
          <t>Thương lượng</t>
        </is>
      </c>
      <c r="F10407" t="inlineStr">
        <is>
          <t>Hồ Chí Minh</t>
        </is>
      </c>
      <c r="G10407" t="inlineStr">
        <is>
          <t>Nhân viên</t>
        </is>
      </c>
      <c r="H10407" t="inlineStr">
        <is>
          <t>12/03/2026</t>
        </is>
      </c>
      <c r="I10407" t="inlineStr">
        <is>
          <t>11/04/2026</t>
        </is>
      </c>
      <c r="J10407" t="inlineStr">
        <is>
          <t>17/03/2026</t>
        </is>
      </c>
      <c r="K10407" t="inlineStr">
        <is>
          <t>N/A</t>
        </is>
      </c>
      <c r="L10407" t="inlineStr">
        <is>
          <t>SAP FI, Financial Accounting, Management Accounting, SAP FICO, ABAP</t>
        </is>
      </c>
      <c r="M10407" t="inlineStr">
        <is>
          <t>Bonus, Healthcare Plan, Training</t>
        </is>
      </c>
      <c r="N10407" s="8">
        <f>HYPERLINK("https://www.vietnamworks.com/sap-consultant-fico--2022642-jv","Xem chi tiết")</f>
        <v/>
      </c>
    </row>
    <row r="10408">
      <c r="B10408" s="9" t="n">
        <v>10406</v>
      </c>
      <c r="C10408" s="10" t="inlineStr">
        <is>
          <t>Business Developer - Invertek Lead</t>
        </is>
      </c>
      <c r="D10408" s="10" t="inlineStr">
        <is>
          <t>SM - Cyclo (Việt Nam) Co., Ltd.</t>
        </is>
      </c>
      <c r="E10408" s="10" t="inlineStr">
        <is>
          <t>Thương lượng</t>
        </is>
      </c>
      <c r="F10408" s="10" t="inlineStr">
        <is>
          <t>Hồ Chí Minh, Hà Nội</t>
        </is>
      </c>
      <c r="G10408" s="10" t="inlineStr">
        <is>
          <t>Nhân viên</t>
        </is>
      </c>
      <c r="H10408" s="10" t="inlineStr">
        <is>
          <t>12/03/2026</t>
        </is>
      </c>
      <c r="I10408" s="10" t="inlineStr">
        <is>
          <t>11/04/2026</t>
        </is>
      </c>
      <c r="J10408" s="10" t="inlineStr">
        <is>
          <t>17/03/2026</t>
        </is>
      </c>
      <c r="K10408" s="10" t="inlineStr">
        <is>
          <t>N/A</t>
        </is>
      </c>
      <c r="L10408" s="10" t="inlineStr">
        <is>
          <t>Automation, Automation Control Engineering, Automation Software, Power Transmission, Vfds</t>
        </is>
      </c>
      <c r="M10408" s="10" t="inlineStr">
        <is>
          <t>Bonus</t>
        </is>
      </c>
      <c r="N10408" s="11">
        <f>HYPERLINK("https://www.vietnamworks.com/business-developer-invertek-lead-2022645-jv","Xem chi tiết")</f>
        <v/>
      </c>
      <c r="O10408" s="10" t="n"/>
    </row>
    <row r="10409">
      <c r="B10409" s="7" t="n">
        <v>10407</v>
      </c>
      <c r="C10409" t="inlineStr">
        <is>
          <t>Regional Analytics Lead (Salary Upto 55 Million Vnd/month)</t>
        </is>
      </c>
      <c r="D10409" t="inlineStr">
        <is>
          <t>CÔNG TY TNHH COLLECTIUS CMS VIỆT NAM</t>
        </is>
      </c>
      <c r="E10409" t="inlineStr">
        <is>
          <t>Thương lượng</t>
        </is>
      </c>
      <c r="F10409" t="inlineStr">
        <is>
          <t>Hồ Chí Minh</t>
        </is>
      </c>
      <c r="G10409" t="inlineStr">
        <is>
          <t>Nhân viên</t>
        </is>
      </c>
      <c r="H10409" t="inlineStr">
        <is>
          <t>12/03/2026</t>
        </is>
      </c>
      <c r="I10409" t="inlineStr">
        <is>
          <t>11/04/2026</t>
        </is>
      </c>
      <c r="J10409" t="inlineStr">
        <is>
          <t>17/03/2026</t>
        </is>
      </c>
      <c r="K10409" t="inlineStr">
        <is>
          <t>N/A</t>
        </is>
      </c>
      <c r="L10409" t="inlineStr">
        <is>
          <t>Data Stewardship, SQL, Power BI, Python, Analytical Skills</t>
        </is>
      </c>
      <c r="M10409" t="inlineStr">
        <is>
          <t>Bonus, Healthcare Plan, Paid Leave</t>
        </is>
      </c>
      <c r="N10409" s="8">
        <f>HYPERLINK("https://www.vietnamworks.com/regional-analytics-lead-salary-upto-55-million-vnd-month-2022646-jv","Xem chi tiết")</f>
        <v/>
      </c>
    </row>
    <row r="10410">
      <c r="B10410" s="9" t="n">
        <v>10408</v>
      </c>
      <c r="C10410" s="10" t="inlineStr">
        <is>
          <t>Giám Sát Thi Công - Site Engineering (SE)</t>
        </is>
      </c>
      <c r="D10410" s="10" t="inlineStr">
        <is>
          <t>Công ty Cổ phần Đăng Việt E&amp;C</t>
        </is>
      </c>
      <c r="E10410" s="10" t="inlineStr">
        <is>
          <t>Thương lượng</t>
        </is>
      </c>
      <c r="F10410" s="10" t="inlineStr">
        <is>
          <t>Bình Dương</t>
        </is>
      </c>
      <c r="G10410" s="10" t="inlineStr">
        <is>
          <t>Nhân viên</t>
        </is>
      </c>
      <c r="H10410" s="10" t="inlineStr">
        <is>
          <t>12/03/2026</t>
        </is>
      </c>
      <c r="I10410" s="10" t="inlineStr">
        <is>
          <t>11/04/2026</t>
        </is>
      </c>
      <c r="J10410" s="10" t="inlineStr">
        <is>
          <t>17/03/2026</t>
        </is>
      </c>
      <c r="K10410" s="10" t="inlineStr">
        <is>
          <t>N/A</t>
        </is>
      </c>
      <c r="L10410" s="10" t="inlineStr">
        <is>
          <t>Bóc Tách Khối Lượng, Kiểm Soát Chất Lượng Thi Công, công trình xây dựng, Kỹ Thuật Xây Dựng, Shop Drawing</t>
        </is>
      </c>
      <c r="M10410" s="10" t="inlineStr">
        <is>
          <t>Bonus, Paid Leave, Others</t>
        </is>
      </c>
      <c r="N10410" s="11">
        <f>HYPERLINK("https://www.vietnamworks.com/giam-sat-thi-cong-site-engineering-se-2022615-jv","Xem chi tiết")</f>
        <v/>
      </c>
      <c r="O10410" s="10" t="n"/>
    </row>
    <row r="10411">
      <c r="B10411" s="7" t="n">
        <v>10409</v>
      </c>
      <c r="C10411" t="inlineStr">
        <is>
          <t>Academic Coordinator - Chuyên Viên Điều Phối Học Thuật</t>
        </is>
      </c>
      <c r="D10411" t="inlineStr">
        <is>
          <t>Công Ty TNHH Quốc Tế ( Trung Tâm Anh Ngữ AMA Vũng Tàu)</t>
        </is>
      </c>
      <c r="E10411" t="inlineStr">
        <is>
          <t>Thương lượng</t>
        </is>
      </c>
      <c r="F10411" t="inlineStr">
        <is>
          <t>Hồ Chí Minh</t>
        </is>
      </c>
      <c r="G10411" t="inlineStr">
        <is>
          <t>Nhân viên</t>
        </is>
      </c>
      <c r="H10411" t="inlineStr">
        <is>
          <t>12/03/2026</t>
        </is>
      </c>
      <c r="I10411" t="inlineStr">
        <is>
          <t>11/04/2026</t>
        </is>
      </c>
      <c r="J10411" t="inlineStr">
        <is>
          <t>17/03/2026</t>
        </is>
      </c>
      <c r="K10411" t="inlineStr">
        <is>
          <t>N/A</t>
        </is>
      </c>
      <c r="L10411" t="inlineStr">
        <is>
          <t>Giảng Dạy, MS Office, Quản Lý Dữ Liệu, Quản Lý Giáo Dục, Quản Lý Học Thuật</t>
        </is>
      </c>
      <c r="M10411" t="inlineStr">
        <is>
          <t>Bonus, Healthcare Plan, Training, Others</t>
        </is>
      </c>
      <c r="N10411" s="8">
        <f>HYPERLINK("https://www.vietnamworks.com/academic-coordinator-chuyen-vien-djieu-phoi-hoc-thuat-2022656-jv","Xem chi tiết")</f>
        <v/>
      </c>
    </row>
    <row r="10412">
      <c r="B10412" s="9" t="n">
        <v>10410</v>
      </c>
      <c r="C10412" s="10" t="inlineStr">
        <is>
          <t>Giám Đốc Tài Chính (Công Ty Sản Xuất Ống Đồng)</t>
        </is>
      </c>
      <c r="D10412" s="10" t="inlineStr">
        <is>
          <t>Công Ty Cổ Phần Ống Đồng Toàn Phát</t>
        </is>
      </c>
      <c r="E10412" s="10" t="inlineStr">
        <is>
          <t>Thương lượng</t>
        </is>
      </c>
      <c r="F10412" s="10" t="inlineStr">
        <is>
          <t>Hà Nội, Hưng Yên</t>
        </is>
      </c>
      <c r="G10412" s="10" t="inlineStr">
        <is>
          <t>Giám Đốc và Cấp Cao Hơn</t>
        </is>
      </c>
      <c r="H10412" s="10" t="inlineStr">
        <is>
          <t>12/03/2026</t>
        </is>
      </c>
      <c r="I10412" s="10" t="inlineStr">
        <is>
          <t>11/04/2026</t>
        </is>
      </c>
      <c r="J10412" s="10" t="inlineStr">
        <is>
          <t>17/03/2026</t>
        </is>
      </c>
      <c r="K10412" s="10" t="inlineStr">
        <is>
          <t>N/A</t>
        </is>
      </c>
      <c r="L10412" s="10" t="inlineStr">
        <is>
          <t>Phân Tích Dữ Liệu, Quản Trị Giá Thành, Quản Trị Rủi Ro, Thẩm Định Đầu Tư, Xây Dựng Chiến Lược</t>
        </is>
      </c>
      <c r="M10412" s="10" t="inlineStr">
        <is>
          <t>Team Activities, Others</t>
        </is>
      </c>
      <c r="N10412" s="11">
        <f>HYPERLINK("https://www.vietnamworks.com/giam-doc-tai-chinh-cong-ty-san-xuat-ong-dong-2022657-jv","Xem chi tiết")</f>
        <v/>
      </c>
      <c r="O10412" s="10" t="n"/>
    </row>
    <row r="10413">
      <c r="B10413" s="7" t="n">
        <v>10411</v>
      </c>
      <c r="C10413" t="inlineStr">
        <is>
          <t>Trợ Lý Kinh Doanh Chứng Từ/ Sales Assistant (Tiếng Trung) Hồ Chí Minh</t>
        </is>
      </c>
      <c r="D10413" t="inlineStr">
        <is>
          <t>CÔNG TY TNHH THƯƠNG MẠI TÀI NGUYÊN THIÊN NHIÊN VIỆT NAM</t>
        </is>
      </c>
      <c r="E10413" t="inlineStr">
        <is>
          <t>Thương lượng</t>
        </is>
      </c>
      <c r="F10413" t="inlineStr">
        <is>
          <t>Hồ Chí Minh</t>
        </is>
      </c>
      <c r="G10413" t="inlineStr">
        <is>
          <t>Nhân viên</t>
        </is>
      </c>
      <c r="H10413" t="inlineStr">
        <is>
          <t>12/03/2026</t>
        </is>
      </c>
      <c r="I10413" t="inlineStr">
        <is>
          <t>11/04/2026</t>
        </is>
      </c>
      <c r="J10413" t="inlineStr">
        <is>
          <t>17/03/2026</t>
        </is>
      </c>
      <c r="K10413" t="inlineStr">
        <is>
          <t>N/A</t>
        </is>
      </c>
      <c r="L10413" t="inlineStr">
        <is>
          <t>Chinese, Import &amp; Export, Sales Admin, Sales Assistant</t>
        </is>
      </c>
      <c r="M10413" t="inlineStr">
        <is>
          <t>Bonus, Healthcare Plan, Paid Leave, Training, Laptop</t>
        </is>
      </c>
      <c r="N10413" s="8">
        <f>HYPERLINK("https://www.vietnamworks.com/tro-ly-kinh-doanh-chung-tu-sales-assistant-tieng-trung-ho-chi-minh-2022659-jv","Xem chi tiết")</f>
        <v/>
      </c>
    </row>
    <row r="10414">
      <c r="B10414" s="9" t="n">
        <v>10412</v>
      </c>
      <c r="C10414" s="10" t="inlineStr">
        <is>
          <t>[Hải Phòng] Nhân Viên Hành Chính Lễ Tân</t>
        </is>
      </c>
      <c r="D10414" s="10" t="inlineStr">
        <is>
          <t>Bee Logistics Corporation</t>
        </is>
      </c>
      <c r="E10414" s="10" t="inlineStr">
        <is>
          <t>$$ 350-500 /tháng</t>
        </is>
      </c>
      <c r="F10414" s="10" t="inlineStr">
        <is>
          <t>Hải Phòng</t>
        </is>
      </c>
      <c r="G10414" s="10" t="inlineStr">
        <is>
          <t>Nhân viên</t>
        </is>
      </c>
      <c r="H10414" s="10" t="inlineStr">
        <is>
          <t>12/03/2026</t>
        </is>
      </c>
      <c r="I10414" s="10" t="inlineStr">
        <is>
          <t>11/04/2026</t>
        </is>
      </c>
      <c r="J10414" s="10" t="inlineStr">
        <is>
          <t>17/03/2026</t>
        </is>
      </c>
      <c r="K10414" s="10" t="inlineStr">
        <is>
          <t>N/A</t>
        </is>
      </c>
      <c r="L10414" s="10" t="inlineStr">
        <is>
          <t>Hành Chính Lễ Tân, Hành Chính, Hành chính văn phòng</t>
        </is>
      </c>
      <c r="M10414" s="10" t="inlineStr">
        <is>
          <t>Bonus, Laptop, Travel Opportunities</t>
        </is>
      </c>
      <c r="N10414" s="11">
        <f>HYPERLINK("https://www.vietnamworks.com/hai-phong-nhan-vien-hanh-chinh-le-tan-2022667-jv","Xem chi tiết")</f>
        <v/>
      </c>
      <c r="O10414" s="10" t="n"/>
    </row>
    <row r="10415">
      <c r="B10415" s="7" t="n">
        <v>10413</v>
      </c>
      <c r="C10415" t="inlineStr">
        <is>
          <t>Giám Đốc Nhân Sự (Mức Lương Từ 60 - 80 Triệu/tháng)</t>
        </is>
      </c>
      <c r="D10415" t="inlineStr">
        <is>
          <t>Công Ty Cổ Phần Anvy</t>
        </is>
      </c>
      <c r="E10415" t="inlineStr">
        <is>
          <t>$$ 60tr-80tr /tháng</t>
        </is>
      </c>
      <c r="F10415" t="inlineStr">
        <is>
          <t>Hà Nội</t>
        </is>
      </c>
      <c r="G10415" t="inlineStr">
        <is>
          <t>Giám Đốc và Cấp Cao Hơn</t>
        </is>
      </c>
      <c r="H10415" t="inlineStr">
        <is>
          <t>12/03/2026</t>
        </is>
      </c>
      <c r="I10415" t="inlineStr">
        <is>
          <t>11/04/2026</t>
        </is>
      </c>
      <c r="J10415" t="inlineStr">
        <is>
          <t>17/03/2026</t>
        </is>
      </c>
      <c r="K10415" t="inlineStr">
        <is>
          <t>N/A</t>
        </is>
      </c>
      <c r="L10415" t="inlineStr">
        <is>
          <t>Hành Chính, Quản Trị Nguồn Nhân Lực, Dược, Nhân Sự, Tuyển Dụng</t>
        </is>
      </c>
      <c r="M10415" t="inlineStr">
        <is>
          <t>Bonus, Awards, Vouchers</t>
        </is>
      </c>
      <c r="N10415" s="8">
        <f>HYPERLINK("https://www.vietnamworks.com/giam-doc-nhan-su-muc-luong-tu-60-80-trieu-thang-2022665-jv","Xem chi tiết")</f>
        <v/>
      </c>
    </row>
    <row r="10416">
      <c r="B10416" s="9" t="n">
        <v>10414</v>
      </c>
      <c r="C10416" s="10" t="inlineStr">
        <is>
          <t>Account Strategist, Engage &amp; Mid-Market Sales, Google Customer Solutions</t>
        </is>
      </c>
      <c r="D10416" s="10" t="inlineStr">
        <is>
          <t>Google</t>
        </is>
      </c>
      <c r="E10416" s="10" t="inlineStr">
        <is>
          <t>Thương lượng</t>
        </is>
      </c>
      <c r="F10416" s="10" t="inlineStr">
        <is>
          <t>Hồ Chí Minh</t>
        </is>
      </c>
      <c r="G10416" s="10" t="inlineStr">
        <is>
          <t>Nhân viên</t>
        </is>
      </c>
      <c r="H10416" s="10" t="inlineStr">
        <is>
          <t>12/03/2026</t>
        </is>
      </c>
      <c r="I10416" s="10" t="inlineStr">
        <is>
          <t>11/04/2026</t>
        </is>
      </c>
      <c r="J10416" s="10" t="inlineStr">
        <is>
          <t>17/03/2026</t>
        </is>
      </c>
      <c r="K10416" s="10" t="inlineStr">
        <is>
          <t>N/A</t>
        </is>
      </c>
      <c r="L10416" s="10" t="inlineStr">
        <is>
          <t>Account Management, Analytical Skills, Communication Skills, Consultative Approach, Digital Advertising</t>
        </is>
      </c>
      <c r="M10416" s="10" t="inlineStr">
        <is>
          <t>Bonus, Healthcare Plan, Paid Leave</t>
        </is>
      </c>
      <c r="N10416" s="11">
        <f>HYPERLINK("https://www.vietnamworks.com/account-strategist-engage-and-mid-market-sales-google-customer-solutions-2022644-jv","Xem chi tiết")</f>
        <v/>
      </c>
      <c r="O10416" s="10" t="n"/>
    </row>
    <row r="10417">
      <c r="B10417" s="7" t="n">
        <v>10415</v>
      </c>
      <c r="C10417" t="inlineStr">
        <is>
          <t>Kỹ Sư Quản Lý Tiến Độ</t>
        </is>
      </c>
      <c r="D10417" t="inlineStr">
        <is>
          <t>Công Ty Cổ Phần Tư Vấn Xây Dựng Điện 2 (PECC2)</t>
        </is>
      </c>
      <c r="E10417" t="inlineStr">
        <is>
          <t>20tr-35tr ₫/tháng</t>
        </is>
      </c>
      <c r="F10417" t="inlineStr">
        <is>
          <t>Hồ Chí Minh</t>
        </is>
      </c>
      <c r="G10417" t="inlineStr">
        <is>
          <t>Nhân viên</t>
        </is>
      </c>
      <c r="H10417" t="inlineStr">
        <is>
          <t>12/03/2026</t>
        </is>
      </c>
      <c r="I10417" t="inlineStr">
        <is>
          <t>11/04/2026</t>
        </is>
      </c>
      <c r="J10417" t="inlineStr">
        <is>
          <t>17/03/2026</t>
        </is>
      </c>
      <c r="K10417" t="inlineStr">
        <is>
          <t>N/A</t>
        </is>
      </c>
      <c r="L10417" t="inlineStr">
        <is>
          <t>Theo Dõi Tiến Độ, Quản Lý Dự Án, EPC, Primavera P6, Microsoft Project</t>
        </is>
      </c>
      <c r="M10417" t="inlineStr">
        <is>
          <t>Bonus, Healthcare Plan, Training, Kindergarten, Others</t>
        </is>
      </c>
      <c r="N10417" s="8">
        <f>HYPERLINK("https://www.vietnamworks.com/ky-su-quan-ly-tien-do--2022658-jv","Xem chi tiết")</f>
        <v/>
      </c>
    </row>
    <row r="10418">
      <c r="B10418" s="9" t="n">
        <v>10416</v>
      </c>
      <c r="C10418" s="10" t="inlineStr">
        <is>
          <t>Purchasing Staff (SAP Support)</t>
        </is>
      </c>
      <c r="D10418" s="10" t="inlineStr">
        <is>
          <t>Panasonic Appliances Vietnam</t>
        </is>
      </c>
      <c r="E10418" s="10" t="inlineStr">
        <is>
          <t>Thương lượng</t>
        </is>
      </c>
      <c r="F10418" s="10" t="inlineStr">
        <is>
          <t>Hưng Yên</t>
        </is>
      </c>
      <c r="G10418" s="10" t="inlineStr">
        <is>
          <t>Nhân viên</t>
        </is>
      </c>
      <c r="H10418" s="10" t="inlineStr">
        <is>
          <t>12/03/2026</t>
        </is>
      </c>
      <c r="I10418" s="10" t="inlineStr">
        <is>
          <t>11/04/2026</t>
        </is>
      </c>
      <c r="J10418" s="10" t="inlineStr">
        <is>
          <t>17/03/2026</t>
        </is>
      </c>
      <c r="K10418" s="10" t="inlineStr">
        <is>
          <t>N/A</t>
        </is>
      </c>
      <c r="L10418" s="10" t="inlineStr">
        <is>
          <t>Admin, BOM, Supplier Management, Material, SAP Master Data</t>
        </is>
      </c>
      <c r="M10418" s="10" t="inlineStr">
        <is>
          <t>Bonus, Healthcare Plan, Transportation</t>
        </is>
      </c>
      <c r="N10418" s="11">
        <f>HYPERLINK("https://www.vietnamworks.com/purchasing-staff-sap-support-2022671-jv","Xem chi tiết")</f>
        <v/>
      </c>
      <c r="O10418" s="10" t="n"/>
    </row>
    <row r="10419">
      <c r="B10419" s="7" t="n">
        <v>10417</v>
      </c>
      <c r="C10419" t="inlineStr">
        <is>
          <t>Process Engineer - Australian Company - Binh Duong</t>
        </is>
      </c>
      <c r="D10419" t="inlineStr">
        <is>
          <t>Rheem Viet Nam LTD.</t>
        </is>
      </c>
      <c r="E10419" t="inlineStr">
        <is>
          <t>Thương lượng</t>
        </is>
      </c>
      <c r="F10419" t="inlineStr">
        <is>
          <t>Bình Dương, Hồ Chí Minh, Đồng Nai</t>
        </is>
      </c>
      <c r="G10419" t="inlineStr">
        <is>
          <t>Nhân viên</t>
        </is>
      </c>
      <c r="H10419" t="inlineStr">
        <is>
          <t>12/03/2026</t>
        </is>
      </c>
      <c r="I10419" t="inlineStr">
        <is>
          <t>11/04/2026</t>
        </is>
      </c>
      <c r="J10419" t="inlineStr">
        <is>
          <t>17/03/2026</t>
        </is>
      </c>
      <c r="K10419" t="inlineStr">
        <is>
          <t>N/A</t>
        </is>
      </c>
      <c r="L10419" t="inlineStr">
        <is>
          <t>Project Management, Process Engineer, Production, Mechanical, QA</t>
        </is>
      </c>
      <c r="M10419" t="inlineStr">
        <is>
          <t>Bonus, Awards, Laptop</t>
        </is>
      </c>
      <c r="N10419" s="8">
        <f>HYPERLINK("https://www.vietnamworks.com/process-engineer-australian-company-binh-duong--2022668-jv","Xem chi tiết")</f>
        <v/>
      </c>
    </row>
    <row r="10420">
      <c r="B10420" s="9" t="n">
        <v>10418</v>
      </c>
      <c r="C10420" s="10" t="inlineStr">
        <is>
          <t>Nhân Viên Phục Vụ Hàng Hóa</t>
        </is>
      </c>
      <c r="D10420" s="10" t="inlineStr">
        <is>
          <t>Vietnamworks’ Client</t>
        </is>
      </c>
      <c r="E10420" s="10" t="inlineStr">
        <is>
          <t>$$ 500-1,000 /tháng</t>
        </is>
      </c>
      <c r="F10420" s="10" t="inlineStr">
        <is>
          <t>Hà Nội</t>
        </is>
      </c>
      <c r="G10420" s="10" t="inlineStr">
        <is>
          <t>Nhân viên</t>
        </is>
      </c>
      <c r="H10420" s="10" t="inlineStr">
        <is>
          <t>12/03/2026</t>
        </is>
      </c>
      <c r="I10420" s="10" t="inlineStr">
        <is>
          <t>11/04/2026</t>
        </is>
      </c>
      <c r="J10420" s="10" t="inlineStr">
        <is>
          <t>17/03/2026</t>
        </is>
      </c>
      <c r="K10420" s="10" t="inlineStr">
        <is>
          <t>N/A</t>
        </is>
      </c>
      <c r="L10420" s="10" t="inlineStr">
        <is>
          <t>Khai Thác Hàng Hóa, Hàng Không, Dịch Vụ Logistics, Logistic Quốc Tế, Chuỗi cung ứng và logistics</t>
        </is>
      </c>
      <c r="M10420" s="10" t="inlineStr">
        <is>
          <t>Bonus</t>
        </is>
      </c>
      <c r="N10420" s="11">
        <f>HYPERLINK("https://www.vietnamworks.com/nhan-vien-phuc-vu-hang-hoa-2022672-jv","Xem chi tiết")</f>
        <v/>
      </c>
      <c r="O10420" s="10" t="n"/>
    </row>
    <row r="10421">
      <c r="B10421" s="7" t="n">
        <v>10419</v>
      </c>
      <c r="C10421" t="inlineStr">
        <is>
          <t>Chuyên Viên Đào Tạo</t>
        </is>
      </c>
      <c r="D10421" t="inlineStr">
        <is>
          <t>Công Ty Cổ Phần Chuỗi Thực Phẩm TH</t>
        </is>
      </c>
      <c r="E10421" t="inlineStr">
        <is>
          <t>Thương lượng</t>
        </is>
      </c>
      <c r="F10421" t="inlineStr">
        <is>
          <t>Hồ Chí Minh</t>
        </is>
      </c>
      <c r="G10421" t="inlineStr">
        <is>
          <t>Nhân viên</t>
        </is>
      </c>
      <c r="H10421" t="inlineStr">
        <is>
          <t>12/03/2026</t>
        </is>
      </c>
      <c r="I10421" t="inlineStr">
        <is>
          <t>11/04/2026</t>
        </is>
      </c>
      <c r="J10421" t="inlineStr">
        <is>
          <t>17/03/2026</t>
        </is>
      </c>
      <c r="K10421" t="inlineStr">
        <is>
          <t>N/A</t>
        </is>
      </c>
      <c r="L10421" t="inlineStr">
        <is>
          <t>Kỹ năng lập kế hoạch, Kỹ năng xử lý tình huống</t>
        </is>
      </c>
      <c r="M10421" t="inlineStr">
        <is>
          <t>Bonus, Healthcare Plan, Others</t>
        </is>
      </c>
      <c r="N10421" s="8">
        <f>HYPERLINK("https://www.vietnamworks.com/chuyen-vien-djao-tao-2022680-jv","Xem chi tiết")</f>
        <v/>
      </c>
    </row>
    <row r="10422">
      <c r="B10422" s="9" t="n">
        <v>10420</v>
      </c>
      <c r="C10422" s="10" t="inlineStr">
        <is>
          <t>Nhân Viên Kinh Doanh Thu Nhập Hấp Dẫn</t>
        </is>
      </c>
      <c r="D10422" s="10" t="inlineStr">
        <is>
          <t>Công Ty Cổ Phần Michem Việt Nam</t>
        </is>
      </c>
      <c r="E10422" s="10" t="inlineStr">
        <is>
          <t>Thương lượng</t>
        </is>
      </c>
      <c r="F10422" s="10" t="inlineStr">
        <is>
          <t>Hà Nội</t>
        </is>
      </c>
      <c r="G10422" s="10" t="inlineStr">
        <is>
          <t>Mới Tốt Nghiệp</t>
        </is>
      </c>
      <c r="H10422" s="10" t="inlineStr">
        <is>
          <t>12/03/2026</t>
        </is>
      </c>
      <c r="I10422" s="10" t="inlineStr">
        <is>
          <t>11/04/2026</t>
        </is>
      </c>
      <c r="J10422" s="10" t="inlineStr">
        <is>
          <t>17/03/2026</t>
        </is>
      </c>
      <c r="K10422" s="10" t="inlineStr">
        <is>
          <t>N/A</t>
        </is>
      </c>
      <c r="L10422" s="10" t="inlineStr">
        <is>
          <t>Kinh Doanh Hóa Chất, Bán Hàng, Ceramic Sales, Lập Kế Hoạch Bán Hàng, Tìm Kiếm Khách Hàng</t>
        </is>
      </c>
      <c r="M10422" s="10" t="inlineStr">
        <is>
          <t>Bonus, Healthcare Plan, Training</t>
        </is>
      </c>
      <c r="N10422" s="11">
        <f>HYPERLINK("https://www.vietnamworks.com/nhan-vien-kinh-doanh-thu-nhap-hap-dan--2022691-jv","Xem chi tiết")</f>
        <v/>
      </c>
      <c r="O10422" s="10" t="n"/>
    </row>
    <row r="10423">
      <c r="B10423" s="7" t="n">
        <v>10421</v>
      </c>
      <c r="C10423" t="inlineStr">
        <is>
          <t>Trưởng Phòng Kinh Doanh Phụ Kiện Ô Tô (Head Of Automotive Accessories Sales)</t>
        </is>
      </c>
      <c r="D10423" t="inlineStr">
        <is>
          <t>Tập Đoàn Việt Group</t>
        </is>
      </c>
      <c r="E10423" t="inlineStr">
        <is>
          <t>20tr-40tr ₫/tháng</t>
        </is>
      </c>
      <c r="F10423" t="inlineStr">
        <is>
          <t>Hà Nội</t>
        </is>
      </c>
      <c r="G10423" t="inlineStr">
        <is>
          <t>Trưởng phòng</t>
        </is>
      </c>
      <c r="H10423" t="inlineStr">
        <is>
          <t>12/03/2026</t>
        </is>
      </c>
      <c r="I10423" t="inlineStr">
        <is>
          <t>11/04/2026</t>
        </is>
      </c>
      <c r="J10423" t="inlineStr">
        <is>
          <t>17/03/2026</t>
        </is>
      </c>
      <c r="K10423" t="inlineStr">
        <is>
          <t>N/A</t>
        </is>
      </c>
      <c r="L10423" t="inlineStr">
        <is>
          <t>Giải Quyết Vấn Đề, Kỹ năng giao tiếp, Kỹ năng đàm phán, Lãnh Đạo, Phân Tích Thị Trường</t>
        </is>
      </c>
      <c r="M10423" t="inlineStr">
        <is>
          <t>Bonus, Healthcare Plan, Team Activities, Others</t>
        </is>
      </c>
      <c r="N10423" s="8">
        <f>HYPERLINK("https://www.vietnamworks.com/truong-phong-kinh-doanh-phu-kien-o-to-head-of-automotive-accessories-sales-2022692-jv","Xem chi tiết")</f>
        <v/>
      </c>
    </row>
    <row r="10424">
      <c r="B10424" s="9" t="n">
        <v>10422</v>
      </c>
      <c r="C10424" s="10" t="inlineStr">
        <is>
          <t>Trưởng Phòng Kinh Doanh (Senior Sales Manager)</t>
        </is>
      </c>
      <c r="D10424" s="10" t="inlineStr">
        <is>
          <t>Fujiya Manufacturing (Vietnam) Co., Ltd.</t>
        </is>
      </c>
      <c r="E10424" s="10" t="inlineStr">
        <is>
          <t>$$ 2,000-2,500 /tháng</t>
        </is>
      </c>
      <c r="F10424" s="10" t="inlineStr">
        <is>
          <t>Bình Dương, Hồ Chí Minh</t>
        </is>
      </c>
      <c r="G10424" s="10" t="inlineStr">
        <is>
          <t>Trưởng phòng</t>
        </is>
      </c>
      <c r="H10424" s="10" t="inlineStr">
        <is>
          <t>12/03/2026</t>
        </is>
      </c>
      <c r="I10424" s="10" t="inlineStr">
        <is>
          <t>11/04/2026</t>
        </is>
      </c>
      <c r="J10424" s="10" t="inlineStr">
        <is>
          <t>17/03/2026</t>
        </is>
      </c>
      <c r="K10424" s="10" t="inlineStr">
        <is>
          <t>N/A</t>
        </is>
      </c>
      <c r="L10424" s="10" t="inlineStr">
        <is>
          <t>Quản Lý Kinh Doanh, Kinh Doanh B2B, Hoạch Định Chiến Lược, Phân Tích Thị Trường, Phát Triển Đội Ngũ Kinh Doanh</t>
        </is>
      </c>
      <c r="M10424" s="10" t="inlineStr">
        <is>
          <t>Bonus, Travel Opportunities, Transportation</t>
        </is>
      </c>
      <c r="N10424" s="11">
        <f>HYPERLINK("https://www.vietnamworks.com/truong-phong-kinh-doanh-senior-sales-manager-2022682-jv","Xem chi tiết")</f>
        <v/>
      </c>
      <c r="O10424" s="10" t="n"/>
    </row>
    <row r="10425">
      <c r="B10425" s="7" t="n">
        <v>10423</v>
      </c>
      <c r="C10425" t="inlineStr">
        <is>
          <t>QA/ QC Supervisor</t>
        </is>
      </c>
      <c r="D10425" t="inlineStr">
        <is>
          <t>Response Viet Nam co.ltd</t>
        </is>
      </c>
      <c r="E10425" t="inlineStr">
        <is>
          <t>Thương lượng</t>
        </is>
      </c>
      <c r="F10425" t="inlineStr">
        <is>
          <t>Bình Dương</t>
        </is>
      </c>
      <c r="G10425" t="inlineStr">
        <is>
          <t>Nhân viên</t>
        </is>
      </c>
      <c r="H10425" t="inlineStr">
        <is>
          <t>12/03/2026</t>
        </is>
      </c>
      <c r="I10425" t="inlineStr">
        <is>
          <t>11/04/2026</t>
        </is>
      </c>
      <c r="J10425" t="inlineStr">
        <is>
          <t>17/03/2026</t>
        </is>
      </c>
      <c r="K10425" t="inlineStr">
        <is>
          <t>N/A</t>
        </is>
      </c>
      <c r="L10425" t="inlineStr">
        <is>
          <t>English, Quality Control, Quality Management, SOP, Supplier Management</t>
        </is>
      </c>
      <c r="M10425" t="inlineStr">
        <is>
          <t>Healthcare Plan, Transportation, Canteen</t>
        </is>
      </c>
      <c r="N10425" s="8">
        <f>HYPERLINK("https://www.vietnamworks.com/qa-qc-supervisor-2022679-jv","Xem chi tiết")</f>
        <v/>
      </c>
    </row>
    <row r="10426">
      <c r="B10426" s="9" t="n">
        <v>10424</v>
      </c>
      <c r="C10426" s="10" t="inlineStr">
        <is>
          <t>Chuyên Viên Pháp Chế</t>
        </is>
      </c>
      <c r="D10426" s="10" t="inlineStr">
        <is>
          <t>Công Ty Cổ Phần Địa Ốc Thăng Long</t>
        </is>
      </c>
      <c r="E10426" s="10" t="inlineStr">
        <is>
          <t>20tr-25tr ₫/tháng</t>
        </is>
      </c>
      <c r="F10426" s="10" t="inlineStr">
        <is>
          <t>Hồ Chí Minh</t>
        </is>
      </c>
      <c r="G10426" s="10" t="inlineStr">
        <is>
          <t>Nhân viên</t>
        </is>
      </c>
      <c r="H10426" s="10" t="inlineStr">
        <is>
          <t>12/03/2026</t>
        </is>
      </c>
      <c r="I10426" s="10" t="inlineStr">
        <is>
          <t>11/04/2026</t>
        </is>
      </c>
      <c r="J10426" s="10" t="inlineStr">
        <is>
          <t>17/03/2026</t>
        </is>
      </c>
      <c r="K10426" s="10" t="inlineStr">
        <is>
          <t>N/A</t>
        </is>
      </c>
      <c r="L10426" s="10" t="inlineStr">
        <is>
          <t>Luật, Tư Vấn Pháp Lý, Pháp Chế, pháp chế bất động sản, Pháp Chế Doanh Nghiệp</t>
        </is>
      </c>
      <c r="M10426" s="10" t="inlineStr">
        <is>
          <t>Bonus, Healthcare Plan, Others</t>
        </is>
      </c>
      <c r="N10426" s="11">
        <f>HYPERLINK("https://www.vietnamworks.com/chuyen-vien-phap-che-2022687-jv","Xem chi tiết")</f>
        <v/>
      </c>
      <c r="O10426" s="10" t="n"/>
    </row>
    <row r="10427">
      <c r="B10427" s="7" t="n">
        <v>10425</v>
      </c>
      <c r="C10427" t="inlineStr">
        <is>
          <t>HR Manager</t>
        </is>
      </c>
      <c r="D10427" t="inlineStr">
        <is>
          <t>SNA Marianapolis International School</t>
        </is>
      </c>
      <c r="E10427" t="inlineStr">
        <is>
          <t>Thương lượng</t>
        </is>
      </c>
      <c r="F10427" t="inlineStr">
        <is>
          <t>Đồng Nai</t>
        </is>
      </c>
      <c r="G10427" t="inlineStr">
        <is>
          <t>Trưởng phòng</t>
        </is>
      </c>
      <c r="H10427" t="inlineStr">
        <is>
          <t>12/03/2026</t>
        </is>
      </c>
      <c r="I10427" t="inlineStr">
        <is>
          <t>11/04/2026</t>
        </is>
      </c>
      <c r="J10427" t="inlineStr">
        <is>
          <t>17/03/2026</t>
        </is>
      </c>
      <c r="K10427" t="inlineStr">
        <is>
          <t>N/A</t>
        </is>
      </c>
      <c r="L10427" t="inlineStr">
        <is>
          <t>Analytical Skills, Collaboration, Effective Communication, Leadership, Project Management</t>
        </is>
      </c>
      <c r="M10427" t="inlineStr">
        <is>
          <t>Paid Leave, Laptop, Transportation, Canteen</t>
        </is>
      </c>
      <c r="N10427" s="8">
        <f>HYPERLINK("https://www.vietnamworks.com/hr-manager-2022693-jv","Xem chi tiết")</f>
        <v/>
      </c>
    </row>
    <row r="10428">
      <c r="B10428" s="9" t="n">
        <v>10426</v>
      </c>
      <c r="C10428" s="10" t="inlineStr">
        <is>
          <t>Chuyên viên Thẩm định Khách hàng cá nhân - Retail Customer Appraisal Specialist - Khối Thẩm định (HO26.71)</t>
        </is>
      </c>
      <c r="D10428" s="10" t="inlineStr">
        <is>
          <t>NGÂN HÀNG TMCP QUÂN ĐỘI – MBBANK</t>
        </is>
      </c>
      <c r="E10428" s="10" t="inlineStr">
        <is>
          <t>Thương lượng</t>
        </is>
      </c>
      <c r="F10428" s="10" t="inlineStr">
        <is>
          <t>Hà Nội</t>
        </is>
      </c>
      <c r="G10428" s="10" t="inlineStr">
        <is>
          <t>Nhân viên</t>
        </is>
      </c>
      <c r="H10428" s="10" t="inlineStr">
        <is>
          <t>12/03/2026</t>
        </is>
      </c>
      <c r="I10428" s="10" t="inlineStr">
        <is>
          <t>11/04/2026</t>
        </is>
      </c>
      <c r="J10428" s="10" t="inlineStr">
        <is>
          <t>17/03/2026</t>
        </is>
      </c>
      <c r="K10428" s="10" t="inlineStr">
        <is>
          <t>N/A</t>
        </is>
      </c>
      <c r="L10428" s="10" t="inlineStr">
        <is>
          <t>Cho vay, Corporate Finance, Credit Analyst, Finance Analyst, Tín Dụng Cá Nhân</t>
        </is>
      </c>
      <c r="M10428" s="10" t="inlineStr">
        <is>
          <t>Bonus, Paid Leave, Training, Awards, Library, Vouchers, Others</t>
        </is>
      </c>
      <c r="N10428" s="11">
        <f>HYPERLINK("https://www.vietnamworks.com/chuyen-vien-tham-djinh-khach-hang-ca-nhan-retail-customer-appraisal-specialist-khoi-tham-djinh-ho26-71-2022681-jv","Xem chi tiết")</f>
        <v/>
      </c>
      <c r="O10428" s="10" t="n"/>
    </row>
    <row r="10429">
      <c r="B10429" s="7" t="n">
        <v>10427</v>
      </c>
      <c r="C10429" t="inlineStr">
        <is>
          <t>Nhân Viên Kỹ Thuật Tòa Nhà</t>
        </is>
      </c>
      <c r="D10429" t="inlineStr">
        <is>
          <t>Mapletree Vietnam Management Consultancy Co., Ltd</t>
        </is>
      </c>
      <c r="E10429" t="inlineStr">
        <is>
          <t>Thương lượng</t>
        </is>
      </c>
      <c r="F10429" t="inlineStr">
        <is>
          <t>Hồ Chí Minh</t>
        </is>
      </c>
      <c r="G10429" t="inlineStr">
        <is>
          <t>Nhân viên</t>
        </is>
      </c>
      <c r="H10429" t="inlineStr">
        <is>
          <t>12/03/2026</t>
        </is>
      </c>
      <c r="I10429" t="inlineStr">
        <is>
          <t>11/04/2026</t>
        </is>
      </c>
      <c r="J10429" t="inlineStr">
        <is>
          <t>17/03/2026</t>
        </is>
      </c>
      <c r="K10429" t="inlineStr">
        <is>
          <t>N/A</t>
        </is>
      </c>
      <c r="L10429" t="inlineStr">
        <is>
          <t>Kỹ Thuật Toà Nhà, Bảo Trì, Điện, Điện Lạnh, Cơ Khí</t>
        </is>
      </c>
      <c r="M10429" t="inlineStr">
        <is>
          <t>Healthcare Plan, Paid Leave, Awards</t>
        </is>
      </c>
      <c r="N10429" s="8">
        <f>HYPERLINK("https://www.vietnamworks.com/nhan-vien-ky-thuat-toa-nha--2022685-jv","Xem chi tiết")</f>
        <v/>
      </c>
    </row>
    <row r="10430">
      <c r="B10430" s="9" t="n">
        <v>10428</v>
      </c>
      <c r="C10430" s="10" t="inlineStr">
        <is>
          <t>Kỹ Sư Quản Lý Chất Lượng</t>
        </is>
      </c>
      <c r="D10430" s="10" t="inlineStr">
        <is>
          <t>Công Ty Cổ Phần Tư Vấn Xây Dựng Điện 2 (PECC2)</t>
        </is>
      </c>
      <c r="E10430" s="10" t="inlineStr">
        <is>
          <t>20tr-35tr ₫/tháng</t>
        </is>
      </c>
      <c r="F10430" s="10" t="inlineStr">
        <is>
          <t>Hồ Chí Minh</t>
        </is>
      </c>
      <c r="G10430" s="10" t="inlineStr">
        <is>
          <t>Nhân viên</t>
        </is>
      </c>
      <c r="H10430" s="10" t="inlineStr">
        <is>
          <t>12/03/2026</t>
        </is>
      </c>
      <c r="I10430" s="10" t="inlineStr">
        <is>
          <t>11/04/2026</t>
        </is>
      </c>
      <c r="J10430" s="10" t="inlineStr">
        <is>
          <t>17/03/2026</t>
        </is>
      </c>
      <c r="K10430" s="10" t="inlineStr">
        <is>
          <t>N/A</t>
        </is>
      </c>
      <c r="L10430" s="10" t="inlineStr">
        <is>
          <t>Quality Control, Quality Assurance, QC, QA, Quản lý chất lượng</t>
        </is>
      </c>
      <c r="M10430" s="10" t="inlineStr">
        <is>
          <t>Bonus, Healthcare Plan, Training, Team Activities, Others</t>
        </is>
      </c>
      <c r="N10430" s="11">
        <f>HYPERLINK("https://www.vietnamworks.com/ky-su-quan-ly-chat-luong--2022683-jv","Xem chi tiết")</f>
        <v/>
      </c>
      <c r="O10430" s="10" t="n"/>
    </row>
    <row r="10431">
      <c r="B10431" s="7" t="n">
        <v>10429</v>
      </c>
      <c r="C10431" t="inlineStr">
        <is>
          <t>Chuyên viên cao cấp Bảo mật dữ liệu - Khối Dữ liệu - Senior Data Security - Data Division - Khối Dữ liệu (HO26.72)</t>
        </is>
      </c>
      <c r="D10431" t="inlineStr">
        <is>
          <t>NGÂN HÀNG TMCP QUÂN ĐỘI – MBBANK</t>
        </is>
      </c>
      <c r="E10431" t="inlineStr">
        <is>
          <t>Thương lượng</t>
        </is>
      </c>
      <c r="F10431" t="inlineStr">
        <is>
          <t>Hà Nội</t>
        </is>
      </c>
      <c r="G10431" t="inlineStr">
        <is>
          <t>Nhân viên</t>
        </is>
      </c>
      <c r="H10431" t="inlineStr">
        <is>
          <t>12/03/2026</t>
        </is>
      </c>
      <c r="I10431" t="inlineStr">
        <is>
          <t>11/04/2026</t>
        </is>
      </c>
      <c r="J10431" t="inlineStr">
        <is>
          <t>17/03/2026</t>
        </is>
      </c>
      <c r="K10431" t="inlineStr">
        <is>
          <t>N/A</t>
        </is>
      </c>
      <c r="L10431" t="inlineStr">
        <is>
          <t>An Toàn Thông Tin, Bảo Mật Dữ Liệu, Cloud Security, Data Masking, Information security</t>
        </is>
      </c>
      <c r="M10431" t="inlineStr">
        <is>
          <t>Bonus, Paid Leave, Training, Awards, Library, Vouchers, Others</t>
        </is>
      </c>
      <c r="N10431" s="8">
        <f>HYPERLINK("https://www.vietnamworks.com/chuyen-vien-cao-cap-bao-mat-du-lieu-khoi-du-lieu-senior-data-security-data-division-khoi-du-lieu-ho26-72-2022696-jv","Xem chi tiết")</f>
        <v/>
      </c>
    </row>
    <row r="10432">
      <c r="B10432" s="9" t="n">
        <v>10430</v>
      </c>
      <c r="C10432" s="10" t="inlineStr">
        <is>
          <t>Learning &amp; Development Executive</t>
        </is>
      </c>
      <c r="D10432" s="10" t="inlineStr">
        <is>
          <t>Lotte Shopping Plaza Vietnam</t>
        </is>
      </c>
      <c r="E10432" s="10" t="inlineStr">
        <is>
          <t>Thương lượng</t>
        </is>
      </c>
      <c r="F10432" s="10" t="inlineStr">
        <is>
          <t>Hà Nội</t>
        </is>
      </c>
      <c r="G10432" s="10" t="inlineStr">
        <is>
          <t>Nhân viên</t>
        </is>
      </c>
      <c r="H10432" s="10" t="inlineStr">
        <is>
          <t>12/03/2026</t>
        </is>
      </c>
      <c r="I10432" s="10" t="inlineStr">
        <is>
          <t>11/04/2026</t>
        </is>
      </c>
      <c r="J10432" s="10" t="inlineStr">
        <is>
          <t>17/03/2026</t>
        </is>
      </c>
      <c r="K10432" s="10" t="inlineStr">
        <is>
          <t>N/A</t>
        </is>
      </c>
      <c r="L10432" s="10" t="inlineStr">
        <is>
          <t>Learning &amp; Development, Training, eLearning, Internal Event</t>
        </is>
      </c>
      <c r="M10432" s="10" t="inlineStr">
        <is>
          <t>Bonus, Healthcare Plan, Paid Leave, Team Activities</t>
        </is>
      </c>
      <c r="N10432" s="11">
        <f>HYPERLINK("https://www.vietnamworks.com/learning-and-development-executive-2022695-jv","Xem chi tiết")</f>
        <v/>
      </c>
      <c r="O10432" s="10" t="n"/>
    </row>
    <row r="10433">
      <c r="B10433" s="7" t="n">
        <v>10431</v>
      </c>
      <c r="C10433" t="inlineStr">
        <is>
          <t>Chuyên viên Quản lý dự án - Project Manager (PM) - Khối Dữ liệu (HO26.75)</t>
        </is>
      </c>
      <c r="D10433" t="inlineStr">
        <is>
          <t>NGÂN HÀNG TMCP QUÂN ĐỘI – MBBANK</t>
        </is>
      </c>
      <c r="E10433" t="inlineStr">
        <is>
          <t>Thương lượng</t>
        </is>
      </c>
      <c r="F10433" t="inlineStr">
        <is>
          <t>Hà Nội</t>
        </is>
      </c>
      <c r="G10433" t="inlineStr">
        <is>
          <t>Nhân viên</t>
        </is>
      </c>
      <c r="H10433" t="inlineStr">
        <is>
          <t>12/03/2026</t>
        </is>
      </c>
      <c r="I10433" t="inlineStr">
        <is>
          <t>11/04/2026</t>
        </is>
      </c>
      <c r="J10433" t="inlineStr">
        <is>
          <t>17/03/2026</t>
        </is>
      </c>
      <c r="K10433" t="inlineStr">
        <is>
          <t>N/A</t>
        </is>
      </c>
      <c r="L10433" t="inlineStr">
        <is>
          <t>Cho vay, Corporate Finance, Credit Analyst, Finance Analyst, Tín Dụng Cá Nhân</t>
        </is>
      </c>
      <c r="M10433" t="inlineStr">
        <is>
          <t>Bonus, Paid Leave, Training, Awards, Library, Vouchers, Others</t>
        </is>
      </c>
      <c r="N10433" s="8">
        <f>HYPERLINK("https://www.vietnamworks.com/chuyen-vien-quan-ly-du-an-project-manager-pm-khoi-du-lieu-ho26-75-2022699-jv","Xem chi tiết")</f>
        <v/>
      </c>
    </row>
    <row r="10434">
      <c r="B10434" s="9" t="n">
        <v>10432</v>
      </c>
      <c r="C10434" s="10" t="inlineStr">
        <is>
          <t>Backend Developer (Golang) - Middle</t>
        </is>
      </c>
      <c r="D10434" s="10" t="inlineStr">
        <is>
          <t>Công Ty Cổ Phần Sunteco</t>
        </is>
      </c>
      <c r="E10434" s="10" t="inlineStr">
        <is>
          <t>20tr-25tr ₫/tháng</t>
        </is>
      </c>
      <c r="F10434" s="10" t="inlineStr">
        <is>
          <t>Hà Nội</t>
        </is>
      </c>
      <c r="G10434" s="10" t="inlineStr">
        <is>
          <t>Mới Tốt Nghiệp</t>
        </is>
      </c>
      <c r="H10434" s="10" t="inlineStr">
        <is>
          <t>12/03/2026</t>
        </is>
      </c>
      <c r="I10434" s="10" t="inlineStr">
        <is>
          <t>11/04/2026</t>
        </is>
      </c>
      <c r="J10434" s="10" t="inlineStr">
        <is>
          <t>17/03/2026</t>
        </is>
      </c>
      <c r="K10434" s="10" t="inlineStr">
        <is>
          <t>N/A</t>
        </is>
      </c>
      <c r="L10434" s="10" t="inlineStr">
        <is>
          <t>Backend, Docker, Golang, Python</t>
        </is>
      </c>
      <c r="M10434" s="10" t="inlineStr">
        <is>
          <t>Bonus, Healthcare Plan</t>
        </is>
      </c>
      <c r="N10434" s="11">
        <f>HYPERLINK("https://www.vietnamworks.com/backend-developer-golang-middle-2022701-jv","Xem chi tiết")</f>
        <v/>
      </c>
      <c r="O10434" s="10" t="n"/>
    </row>
    <row r="10435">
      <c r="B10435" s="7" t="n">
        <v>10433</v>
      </c>
      <c r="C10435" t="inlineStr">
        <is>
          <t>Chuyên viên, Chuyên viên Cao cấp Khoa học Dữ liệu - Data Scientist - Data Scientist - Khối Dữ liệu (HO26.77)</t>
        </is>
      </c>
      <c r="D10435" t="inlineStr">
        <is>
          <t>NGÂN HÀNG TMCP QUÂN ĐỘI – MBBANK</t>
        </is>
      </c>
      <c r="E10435" t="inlineStr">
        <is>
          <t>Thương lượng</t>
        </is>
      </c>
      <c r="F10435" t="inlineStr">
        <is>
          <t>Hà Nội</t>
        </is>
      </c>
      <c r="G10435" t="inlineStr">
        <is>
          <t>Nhân viên</t>
        </is>
      </c>
      <c r="H10435" t="inlineStr">
        <is>
          <t>12/03/2026</t>
        </is>
      </c>
      <c r="I10435" t="inlineStr">
        <is>
          <t>11/04/2026</t>
        </is>
      </c>
      <c r="J10435" t="inlineStr">
        <is>
          <t>17/03/2026</t>
        </is>
      </c>
      <c r="K10435" t="inlineStr">
        <is>
          <t>N/A</t>
        </is>
      </c>
      <c r="L10435" t="inlineStr">
        <is>
          <t>Deep Learning, Keras, Machine Learning, MATLAB, PySpark</t>
        </is>
      </c>
      <c r="M10435" t="inlineStr">
        <is>
          <t>Bonus, Paid Leave, Training, Awards, Library, Vouchers, Others</t>
        </is>
      </c>
      <c r="N10435" s="8">
        <f>HYPERLINK("https://www.vietnamworks.com/chuyen-vien-chuyen-vien-cao-cap-khoa-hoc-du-lieu-data-scientist-data-scientist-khoi-du-lieu-ho26-77-2022702-jv","Xem chi tiết")</f>
        <v/>
      </c>
    </row>
    <row r="10436">
      <c r="B10436" s="9" t="n">
        <v>10434</v>
      </c>
      <c r="C10436" s="10" t="inlineStr">
        <is>
          <t>NPI Process Development Engineer</t>
        </is>
      </c>
      <c r="D10436" s="10" t="inlineStr">
        <is>
          <t>Công Ty TNHH LG Innotek Việt Nam Hải Phòng</t>
        </is>
      </c>
      <c r="E10436" s="10" t="inlineStr">
        <is>
          <t>Thương lượng</t>
        </is>
      </c>
      <c r="F10436" s="10" t="inlineStr">
        <is>
          <t>Hải Phòng</t>
        </is>
      </c>
      <c r="G10436" s="10" t="inlineStr">
        <is>
          <t>Mới Tốt Nghiệp</t>
        </is>
      </c>
      <c r="H10436" s="10" t="inlineStr">
        <is>
          <t>12/03/2026</t>
        </is>
      </c>
      <c r="I10436" s="10" t="inlineStr">
        <is>
          <t>11/04/2026</t>
        </is>
      </c>
      <c r="J10436" s="10" t="inlineStr">
        <is>
          <t>17/03/2026</t>
        </is>
      </c>
      <c r="K10436" s="10" t="inlineStr">
        <is>
          <t>N/A</t>
        </is>
      </c>
      <c r="L10436" s="10" t="inlineStr">
        <is>
          <t>Automation, Mechanical, Mechatronics Engineering, Process Improvement, English</t>
        </is>
      </c>
      <c r="M10436" s="10" t="inlineStr">
        <is>
          <t>Bonus, Healthcare Plan, Team Activities</t>
        </is>
      </c>
      <c r="N10436" s="11">
        <f>HYPERLINK("https://www.vietnamworks.com/npi-process-development-engineer-2022707-jv","Xem chi tiết")</f>
        <v/>
      </c>
      <c r="O10436" s="10" t="n"/>
    </row>
    <row r="10437">
      <c r="B10437" s="7" t="n">
        <v>10435</v>
      </c>
      <c r="C10437" t="inlineStr">
        <is>
          <t>Nhân Viên Ứng Dụng Sản Phẩm Medical Application Specialist</t>
        </is>
      </c>
      <c r="D10437" t="inlineStr">
        <is>
          <t>Charles Wembley (S.e.a) CO., Pte. LTD.</t>
        </is>
      </c>
      <c r="E10437" t="inlineStr">
        <is>
          <t>14tr-18tr ₫/tháng</t>
        </is>
      </c>
      <c r="F10437" t="inlineStr">
        <is>
          <t>Hà Nội</t>
        </is>
      </c>
      <c r="G10437" t="inlineStr">
        <is>
          <t>Nhân viên</t>
        </is>
      </c>
      <c r="H10437" t="inlineStr">
        <is>
          <t>12/03/2026</t>
        </is>
      </c>
      <c r="I10437" t="inlineStr">
        <is>
          <t>11/04/2026</t>
        </is>
      </c>
      <c r="J10437" t="inlineStr">
        <is>
          <t>17/03/2026</t>
        </is>
      </c>
      <c r="K10437" t="inlineStr">
        <is>
          <t>N/A</t>
        </is>
      </c>
      <c r="L10437" t="inlineStr">
        <is>
          <t>Điện Tử Y Sinh, Biomedical Engineering, Clinical Applications, Medical Device, Medical Equipments</t>
        </is>
      </c>
      <c r="M10437" t="inlineStr">
        <is>
          <t>Bonus, Training, Canteen, Others</t>
        </is>
      </c>
      <c r="N10437" s="8">
        <f>HYPERLINK("https://www.vietnamworks.com/nhan-vien-ung-dung-san-pham-medical-application-specialist-2022711-jv","Xem chi tiết")</f>
        <v/>
      </c>
    </row>
    <row r="10438">
      <c r="B10438" s="9" t="n">
        <v>10436</v>
      </c>
      <c r="C10438" s="10" t="inlineStr">
        <is>
          <t>Chuyên Viên Dự Toán Mặt Dựng Nhôm Kính Nội Thất _ Estimation / QS Tender (Facade &amp; Interior)</t>
        </is>
      </c>
      <c r="D10438" s="10" t="inlineStr">
        <is>
          <t>China Construction Shenzhen Decoration Co.,Ltd</t>
        </is>
      </c>
      <c r="E10438" s="10" t="inlineStr">
        <is>
          <t>Thương lượng</t>
        </is>
      </c>
      <c r="F10438" s="10" t="inlineStr">
        <is>
          <t>Hà Nội</t>
        </is>
      </c>
      <c r="G10438" s="10" t="inlineStr">
        <is>
          <t>Nhân viên</t>
        </is>
      </c>
      <c r="H10438" s="10" t="inlineStr">
        <is>
          <t>12/03/2026</t>
        </is>
      </c>
      <c r="I10438" s="10" t="inlineStr">
        <is>
          <t>11/04/2026</t>
        </is>
      </c>
      <c r="J10438" s="10" t="inlineStr">
        <is>
          <t>17/03/2026</t>
        </is>
      </c>
      <c r="K10438" s="10" t="inlineStr">
        <is>
          <t>N/A</t>
        </is>
      </c>
      <c r="L10438" s="10" t="inlineStr">
        <is>
          <t>Quantity take-off, Tendering, Cost Estimation, Contract Management, Communication Skills</t>
        </is>
      </c>
      <c r="M10438" s="10" t="inlineStr">
        <is>
          <t>Bonus, Healthcare Plan, Paid Leave</t>
        </is>
      </c>
      <c r="N10438" s="11">
        <f>HYPERLINK("https://www.vietnamworks.com/chuyen-vien-du-toan-mat-dung-nhom-kinh-noi-that-_-estimation-qs-tender-facade-and-interior-2022712-jv","Xem chi tiết")</f>
        <v/>
      </c>
      <c r="O10438" s="10" t="n"/>
    </row>
    <row r="10439">
      <c r="B10439" s="7" t="n">
        <v>10437</v>
      </c>
      <c r="C10439" t="inlineStr">
        <is>
          <t>Trưởng Bộ Phận Điện Lạnh</t>
        </is>
      </c>
      <c r="D10439" t="inlineStr">
        <is>
          <t>Công ty cổ phần Trang (TrangCorp)</t>
        </is>
      </c>
      <c r="E10439" t="inlineStr">
        <is>
          <t>Thương lượng</t>
        </is>
      </c>
      <c r="F10439" t="inlineStr">
        <is>
          <t>Hồ Chí Minh</t>
        </is>
      </c>
      <c r="G10439" t="inlineStr">
        <is>
          <t>Trưởng phòng</t>
        </is>
      </c>
      <c r="H10439" t="inlineStr">
        <is>
          <t>12/03/2026</t>
        </is>
      </c>
      <c r="I10439" t="inlineStr">
        <is>
          <t>11/04/2026</t>
        </is>
      </c>
      <c r="J10439" t="inlineStr">
        <is>
          <t>17/03/2026</t>
        </is>
      </c>
      <c r="K10439" t="inlineStr">
        <is>
          <t>N/A</t>
        </is>
      </c>
      <c r="L10439" t="inlineStr">
        <is>
          <t>Giao Tiếp Chủ Động, Làm Việc Nhóm, Lập Kế Hoạch, Quản Lý, Xử Lý Sự Cố</t>
        </is>
      </c>
      <c r="M10439" t="inlineStr">
        <is>
          <t>Healthcare Plan, Paid Leave, Training, Travel Opportunities, Canteen</t>
        </is>
      </c>
      <c r="N10439" s="8">
        <f>HYPERLINK("https://www.vietnamworks.com/truong-bo-phan-djien-lanh-2022719-jv","Xem chi tiết")</f>
        <v/>
      </c>
    </row>
    <row r="10440">
      <c r="B10440" s="9" t="n">
        <v>10438</v>
      </c>
      <c r="C10440" s="10" t="inlineStr">
        <is>
          <t>Chuyên viên Quản lý chất lượng dữ liệu - Data Quality Management Specialist - Khối Dữ liệu (HO26.73)</t>
        </is>
      </c>
      <c r="D10440" s="10" t="inlineStr">
        <is>
          <t>NGÂN HÀNG TMCP QUÂN ĐỘI – MBBANK</t>
        </is>
      </c>
      <c r="E10440" s="10" t="inlineStr">
        <is>
          <t>Thương lượng</t>
        </is>
      </c>
      <c r="F10440" s="10" t="inlineStr">
        <is>
          <t>Hà Nội</t>
        </is>
      </c>
      <c r="G10440" s="10" t="inlineStr">
        <is>
          <t>Nhân viên</t>
        </is>
      </c>
      <c r="H10440" s="10" t="inlineStr">
        <is>
          <t>12/03/2026</t>
        </is>
      </c>
      <c r="I10440" s="10" t="inlineStr">
        <is>
          <t>11/04/2026</t>
        </is>
      </c>
      <c r="J10440" s="10" t="inlineStr">
        <is>
          <t>17/03/2026</t>
        </is>
      </c>
      <c r="K10440" s="10" t="inlineStr">
        <is>
          <t>N/A</t>
        </is>
      </c>
      <c r="L10440" s="10" t="inlineStr">
        <is>
          <t>Cho vay, Corporate Finance, Credit Analyst, Finance Analyst, Tín Dụng Cá Nhân</t>
        </is>
      </c>
      <c r="M10440" s="10" t="inlineStr">
        <is>
          <t>Bonus, Paid Leave, Training, Awards, Library, Vouchers, Others</t>
        </is>
      </c>
      <c r="N10440" s="11">
        <f>HYPERLINK("https://www.vietnamworks.com/chuyen-vien-quan-ly-chat-luong-du-lieu-data-quality-management-specialist-khoi-du-lieu-ho26-73-2022705-jv","Xem chi tiết")</f>
        <v/>
      </c>
      <c r="O10440" s="10" t="n"/>
    </row>
    <row r="10441">
      <c r="B10441" s="7" t="n">
        <v>10439</v>
      </c>
      <c r="C10441" t="inlineStr">
        <is>
          <t>Kỹ sư Dữ liệu - Data Engineer - Data Engineer - Khối Dữ liệu (HO26.78)</t>
        </is>
      </c>
      <c r="D10441" t="inlineStr">
        <is>
          <t>NGÂN HÀNG TMCP QUÂN ĐỘI – MBBANK</t>
        </is>
      </c>
      <c r="E10441" t="inlineStr">
        <is>
          <t>Thương lượng</t>
        </is>
      </c>
      <c r="F10441" t="inlineStr">
        <is>
          <t>Hà Nội</t>
        </is>
      </c>
      <c r="G10441" t="inlineStr">
        <is>
          <t>Nhân viên</t>
        </is>
      </c>
      <c r="H10441" t="inlineStr">
        <is>
          <t>12/03/2026</t>
        </is>
      </c>
      <c r="I10441" t="inlineStr">
        <is>
          <t>11/04/2026</t>
        </is>
      </c>
      <c r="J10441" t="inlineStr">
        <is>
          <t>17/03/2026</t>
        </is>
      </c>
      <c r="K10441" t="inlineStr">
        <is>
          <t>N/A</t>
        </is>
      </c>
      <c r="L10441" t="inlineStr">
        <is>
          <t>BI TABLEAU, Cloud, Netezza, Oracle Certificate, Oracle Database</t>
        </is>
      </c>
      <c r="M10441" t="inlineStr">
        <is>
          <t>Bonus, Paid Leave, Training, Awards, Library, Vouchers, Others</t>
        </is>
      </c>
      <c r="N10441" s="8">
        <f>HYPERLINK("https://www.vietnamworks.com/ky-su-du-lieu-data-engineer-data-engineer-khoi-du-lieu-ho26-78-2022703-jv","Xem chi tiết")</f>
        <v/>
      </c>
    </row>
    <row r="10442">
      <c r="B10442" s="9" t="n">
        <v>10440</v>
      </c>
      <c r="C10442" s="10" t="inlineStr">
        <is>
          <t>(Casual) Associate Lecturer, Advertising Copywriting</t>
        </is>
      </c>
      <c r="D10442" s="10" t="inlineStr">
        <is>
          <t>RMIT University Vietnam</t>
        </is>
      </c>
      <c r="E10442" s="10" t="inlineStr">
        <is>
          <t>Thương lượng</t>
        </is>
      </c>
      <c r="F10442" s="10" t="inlineStr">
        <is>
          <t>Hà Nội</t>
        </is>
      </c>
      <c r="G10442" s="10" t="inlineStr">
        <is>
          <t>Nhân viên</t>
        </is>
      </c>
      <c r="H10442" s="10" t="inlineStr">
        <is>
          <t>12/03/2026</t>
        </is>
      </c>
      <c r="I10442" s="10" t="inlineStr">
        <is>
          <t>11/04/2026</t>
        </is>
      </c>
      <c r="J10442" s="10" t="inlineStr">
        <is>
          <t>17/03/2026</t>
        </is>
      </c>
      <c r="K10442" s="10" t="inlineStr">
        <is>
          <t>N/A</t>
        </is>
      </c>
      <c r="L10442" s="10" t="inlineStr">
        <is>
          <t>Curriculum Development, Interpersonal Skills, Teaching Experience, Advertising, Media Communication</t>
        </is>
      </c>
      <c r="M10442" s="10" t="inlineStr">
        <is>
          <t>Bonus, Others</t>
        </is>
      </c>
      <c r="N10442" s="11">
        <f>HYPERLINK("https://www.vietnamworks.com/-casual-associate-lecturer-advertising-copywriting-2022714-jv","Xem chi tiết")</f>
        <v/>
      </c>
      <c r="O10442" s="10" t="n"/>
    </row>
    <row r="10443">
      <c r="B10443" s="7" t="n">
        <v>10441</v>
      </c>
      <c r="C10443" t="inlineStr">
        <is>
          <t>EHS Intern, Binh Duong</t>
        </is>
      </c>
      <c r="D10443" t="inlineStr">
        <is>
          <t>Stanley Black &amp; Decker Vietnam</t>
        </is>
      </c>
      <c r="E10443" t="inlineStr">
        <is>
          <t>Thương lượng</t>
        </is>
      </c>
      <c r="F10443" t="inlineStr">
        <is>
          <t>Bình Dương</t>
        </is>
      </c>
      <c r="G10443" t="inlineStr">
        <is>
          <t>Mới Tốt Nghiệp</t>
        </is>
      </c>
      <c r="H10443" t="inlineStr">
        <is>
          <t>12/03/2026</t>
        </is>
      </c>
      <c r="I10443" t="inlineStr">
        <is>
          <t>11/04/2026</t>
        </is>
      </c>
      <c r="J10443" t="inlineStr">
        <is>
          <t>17/03/2026</t>
        </is>
      </c>
      <c r="K10443" t="inlineStr">
        <is>
          <t>N/A</t>
        </is>
      </c>
      <c r="L10443" t="inlineStr">
        <is>
          <t>5S, Bảo Hộ Lao Động, EHS, ISO 14001, Kỹ Thuật Môi Trường</t>
        </is>
      </c>
      <c r="M10443" t="inlineStr">
        <is>
          <t>Training, Team Activities</t>
        </is>
      </c>
      <c r="N10443" s="8">
        <f>HYPERLINK("https://www.vietnamworks.com/ehs-intern-binh-duong-2022723-jv","Xem chi tiết")</f>
        <v/>
      </c>
    </row>
    <row r="10444">
      <c r="B10444" s="9" t="n">
        <v>10442</v>
      </c>
      <c r="C10444" s="10" t="inlineStr">
        <is>
          <t>Chuyên viên Phân tích và thiết kế Mô hình dữ liệu - Data Analyst - Khối Dữ liệu (HO26.76)</t>
        </is>
      </c>
      <c r="D10444" s="10" t="inlineStr">
        <is>
          <t>NGÂN HÀNG TMCP QUÂN ĐỘI – MBBANK</t>
        </is>
      </c>
      <c r="E10444" s="10" t="inlineStr">
        <is>
          <t>Thương lượng</t>
        </is>
      </c>
      <c r="F10444" s="10" t="inlineStr">
        <is>
          <t>Hà Nội</t>
        </is>
      </c>
      <c r="G10444" s="10" t="inlineStr">
        <is>
          <t>Nhân viên</t>
        </is>
      </c>
      <c r="H10444" s="10" t="inlineStr">
        <is>
          <t>12/03/2026</t>
        </is>
      </c>
      <c r="I10444" s="10" t="inlineStr">
        <is>
          <t>11/04/2026</t>
        </is>
      </c>
      <c r="J10444" s="10" t="inlineStr">
        <is>
          <t>17/03/2026</t>
        </is>
      </c>
      <c r="K10444" s="10" t="inlineStr">
        <is>
          <t>N/A</t>
        </is>
      </c>
      <c r="L10444" s="10" t="inlineStr">
        <is>
          <t>Core Banking, DWH, ODS, Power BI, SQL</t>
        </is>
      </c>
      <c r="M10444" s="10" t="inlineStr">
        <is>
          <t>Bonus, Paid Leave, Training, Awards, Library, Vouchers, Others</t>
        </is>
      </c>
      <c r="N10444" s="11">
        <f>HYPERLINK("https://www.vietnamworks.com/chuyen-vien-phan-tich-va-thiet-ke-mo-hinh-du-lieu-data-analyst-khoi-du-lieu-ho26-76-2022716-jv","Xem chi tiết")</f>
        <v/>
      </c>
      <c r="O10444" s="10" t="n"/>
    </row>
    <row r="10445">
      <c r="B10445" s="7" t="n">
        <v>10443</v>
      </c>
      <c r="C10445" t="inlineStr">
        <is>
          <t>Chuyên viên Báo cáo tuân thủ - Compliance Reporting Officer - Khối Dữ liệu (HO26.74)</t>
        </is>
      </c>
      <c r="D10445" t="inlineStr">
        <is>
          <t>NGÂN HÀNG TMCP QUÂN ĐỘI – MBBANK</t>
        </is>
      </c>
      <c r="E10445" t="inlineStr">
        <is>
          <t>Thương lượng</t>
        </is>
      </c>
      <c r="F10445" t="inlineStr">
        <is>
          <t>Hà Nội</t>
        </is>
      </c>
      <c r="G10445" t="inlineStr">
        <is>
          <t>Nhân viên</t>
        </is>
      </c>
      <c r="H10445" t="inlineStr">
        <is>
          <t>12/03/2026</t>
        </is>
      </c>
      <c r="I10445" t="inlineStr">
        <is>
          <t>11/04/2026</t>
        </is>
      </c>
      <c r="J10445" t="inlineStr">
        <is>
          <t>17/03/2026</t>
        </is>
      </c>
      <c r="K10445" t="inlineStr">
        <is>
          <t>N/A</t>
        </is>
      </c>
      <c r="L10445" t="inlineStr">
        <is>
          <t>Data Visualization, Oracle, Power BI, SQL, Tableau</t>
        </is>
      </c>
      <c r="M10445" t="inlineStr">
        <is>
          <t>Bonus, Paid Leave, Training, Awards, Library, Vouchers, Others</t>
        </is>
      </c>
      <c r="N10445" s="8">
        <f>HYPERLINK("https://www.vietnamworks.com/chuyen-vien-bao-cao-tuan-thu-compliance-reporting-officer-khoi-du-lieu-ho26-74-2022706-jv","Xem chi tiết")</f>
        <v/>
      </c>
    </row>
    <row r="10446">
      <c r="B10446" s="9" t="n">
        <v>10444</v>
      </c>
      <c r="C10446" s="10" t="inlineStr">
        <is>
          <t>Store Manager</t>
        </is>
      </c>
      <c r="D10446" s="10" t="inlineStr">
        <is>
          <t>KKV</t>
        </is>
      </c>
      <c r="E10446" s="10" t="inlineStr">
        <is>
          <t>25tr-35tr ₫/tháng</t>
        </is>
      </c>
      <c r="F10446" s="10" t="inlineStr">
        <is>
          <t>Hồ Chí Minh</t>
        </is>
      </c>
      <c r="G10446" s="10" t="inlineStr">
        <is>
          <t>Trưởng phòng</t>
        </is>
      </c>
      <c r="H10446" s="10" t="inlineStr">
        <is>
          <t>12/03/2026</t>
        </is>
      </c>
      <c r="I10446" s="10" t="inlineStr">
        <is>
          <t>11/04/2026</t>
        </is>
      </c>
      <c r="J10446" s="10" t="inlineStr">
        <is>
          <t>17/03/2026</t>
        </is>
      </c>
      <c r="K10446" s="10" t="inlineStr">
        <is>
          <t>N/A</t>
        </is>
      </c>
      <c r="L10446" s="10" t="inlineStr">
        <is>
          <t>Data Analysis, English Language Proficiency, Planning Capability, Risk Management, Store Management</t>
        </is>
      </c>
      <c r="M10446" s="10" t="inlineStr">
        <is>
          <t>Bonus, Paid Leave, Training, Team Activities, Others</t>
        </is>
      </c>
      <c r="N10446" s="11">
        <f>HYPERLINK("https://www.vietnamworks.com/store-manager-2022709-jv","Xem chi tiết")</f>
        <v/>
      </c>
      <c r="O10446" s="10" t="n"/>
    </row>
    <row r="10447">
      <c r="B10447" s="7" t="n">
        <v>10445</v>
      </c>
      <c r="C10447" t="inlineStr">
        <is>
          <t>Automation Manager</t>
        </is>
      </c>
      <c r="D10447" t="inlineStr">
        <is>
          <t>Công Ty Cổ phẩn MASAN MEATLife</t>
        </is>
      </c>
      <c r="E10447" t="inlineStr">
        <is>
          <t>Thương lượng</t>
        </is>
      </c>
      <c r="F10447" t="inlineStr">
        <is>
          <t>Hà Nam, Bình Dương, Long An</t>
        </is>
      </c>
      <c r="G10447" t="inlineStr">
        <is>
          <t>Trưởng phòng</t>
        </is>
      </c>
      <c r="H10447" t="inlineStr">
        <is>
          <t>12/03/2026</t>
        </is>
      </c>
      <c r="I10447" t="inlineStr">
        <is>
          <t>11/04/2026</t>
        </is>
      </c>
      <c r="J10447" t="inlineStr">
        <is>
          <t>17/03/2026</t>
        </is>
      </c>
      <c r="K10447" t="inlineStr">
        <is>
          <t>N/A</t>
        </is>
      </c>
      <c r="L10447" t="inlineStr">
        <is>
          <t>Automation Engineering, Electrical Engineering, Industrial Automation, Project Management, Strategic Thinking</t>
        </is>
      </c>
      <c r="M10447" t="inlineStr">
        <is>
          <t>Bonus, Healthcare Plan</t>
        </is>
      </c>
      <c r="N10447" s="8">
        <f>HYPERLINK("https://www.vietnamworks.com/automation-manager-2022722-jv","Xem chi tiết")</f>
        <v/>
      </c>
    </row>
    <row r="10448">
      <c r="B10448" s="9" t="n">
        <v>10446</v>
      </c>
      <c r="C10448" s="10" t="inlineStr">
        <is>
          <t>Wildlife Major Crime Case Officer</t>
        </is>
      </c>
      <c r="D10448" s="10" t="inlineStr">
        <is>
          <t>Education For Nature - Vietnam (ENV)</t>
        </is>
      </c>
      <c r="E10448" s="10" t="inlineStr">
        <is>
          <t>Thương lượng</t>
        </is>
      </c>
      <c r="F10448" s="10" t="inlineStr">
        <is>
          <t>Hà Nội</t>
        </is>
      </c>
      <c r="G10448" s="10" t="inlineStr">
        <is>
          <t>Nhân viên</t>
        </is>
      </c>
      <c r="H10448" s="10" t="inlineStr">
        <is>
          <t>12/03/2026</t>
        </is>
      </c>
      <c r="I10448" s="10" t="inlineStr">
        <is>
          <t>11/04/2026</t>
        </is>
      </c>
      <c r="J10448" s="10" t="inlineStr">
        <is>
          <t>17/03/2026</t>
        </is>
      </c>
      <c r="K10448" s="10" t="inlineStr">
        <is>
          <t>N/A</t>
        </is>
      </c>
      <c r="L10448" s="10" t="inlineStr">
        <is>
          <t>Research skills, English Fluency, Communication Skills, Attention To Detail, Crime Analysis</t>
        </is>
      </c>
      <c r="M10448" s="10" t="inlineStr">
        <is>
          <t>Bonus, Paid Leave, Training, Awards, Library, Others</t>
        </is>
      </c>
      <c r="N10448" s="11">
        <f>HYPERLINK("https://www.vietnamworks.com/wildlife-major-crime-case-officer-2022708-jv","Xem chi tiết")</f>
        <v/>
      </c>
      <c r="O10448" s="10" t="n"/>
    </row>
    <row r="10449">
      <c r="B10449" s="7" t="n">
        <v>10447</v>
      </c>
      <c r="C10449" t="inlineStr">
        <is>
          <t>Continuous Improvement Manager (CI)</t>
        </is>
      </c>
      <c r="D10449" t="inlineStr">
        <is>
          <t>Công Ty Cổ phẩn MASAN MEATLife</t>
        </is>
      </c>
      <c r="E10449" t="inlineStr">
        <is>
          <t>Thương lượng</t>
        </is>
      </c>
      <c r="F10449" t="inlineStr">
        <is>
          <t>Hà Nam, Long An, Bình Dương</t>
        </is>
      </c>
      <c r="G10449" t="inlineStr">
        <is>
          <t>Trưởng phòng</t>
        </is>
      </c>
      <c r="H10449" t="inlineStr">
        <is>
          <t>12/03/2026</t>
        </is>
      </c>
      <c r="I10449" t="inlineStr">
        <is>
          <t>11/04/2026</t>
        </is>
      </c>
      <c r="J10449" t="inlineStr">
        <is>
          <t>17/03/2026</t>
        </is>
      </c>
      <c r="K10449" t="inlineStr">
        <is>
          <t>N/A</t>
        </is>
      </c>
      <c r="L10449" t="inlineStr">
        <is>
          <t>Data Analysis, IT Optimization, Lean Manufacturing, Problem-solving, Six Sigma</t>
        </is>
      </c>
      <c r="M10449" t="inlineStr">
        <is>
          <t>Others</t>
        </is>
      </c>
      <c r="N10449" s="8">
        <f>HYPERLINK("https://www.vietnamworks.com/continuous-improvement-manager-ci-2022724-jv","Xem chi tiết")</f>
        <v/>
      </c>
    </row>
    <row r="10450">
      <c r="B10450" s="9" t="n">
        <v>10448</v>
      </c>
      <c r="C10450" s="10" t="inlineStr">
        <is>
          <t>Purchasing Manager - Fashion &amp; Textile Sourcing</t>
        </is>
      </c>
      <c r="D10450" s="10" t="inlineStr">
        <is>
          <t>Ginkgo T-shirts</t>
        </is>
      </c>
      <c r="E10450" s="10" t="inlineStr">
        <is>
          <t>Thương lượng</t>
        </is>
      </c>
      <c r="F10450" s="10" t="inlineStr">
        <is>
          <t>Hồ Chí Minh</t>
        </is>
      </c>
      <c r="G10450" s="10" t="inlineStr">
        <is>
          <t>Trưởng phòng</t>
        </is>
      </c>
      <c r="H10450" s="10" t="inlineStr">
        <is>
          <t>12/03/2026</t>
        </is>
      </c>
      <c r="I10450" s="10" t="inlineStr">
        <is>
          <t>11/04/2026</t>
        </is>
      </c>
      <c r="J10450" s="10" t="inlineStr">
        <is>
          <t>17/03/2026</t>
        </is>
      </c>
      <c r="K10450" s="10" t="inlineStr">
        <is>
          <t>N/A</t>
        </is>
      </c>
      <c r="L10450" s="10" t="inlineStr">
        <is>
          <t>Procurement, Textile Industry Knowledge, Supplier Management, Purchasing, Textile materials</t>
        </is>
      </c>
      <c r="M10450" s="10" t="inlineStr">
        <is>
          <t>Bonus, Healthcare Plan, Others</t>
        </is>
      </c>
      <c r="N10450" s="11">
        <f>HYPERLINK("https://www.vietnamworks.com/purchasing-manager-fashion-textile-sourcing-2022720-jv","Xem chi tiết")</f>
        <v/>
      </c>
      <c r="O10450" s="10" t="n"/>
    </row>
    <row r="10451">
      <c r="B10451" s="7" t="n">
        <v>10449</v>
      </c>
      <c r="C10451" t="inlineStr">
        <is>
          <t>Customer Service Specialist (9-month Temporary Contract)</t>
        </is>
      </c>
      <c r="D10451" t="inlineStr">
        <is>
          <t>CÔNG TY TNHH AB AGRI VIỆT NAM</t>
        </is>
      </c>
      <c r="E10451" t="inlineStr">
        <is>
          <t>$$ 100-100 /tháng</t>
        </is>
      </c>
      <c r="F10451" t="inlineStr">
        <is>
          <t>Hồ Chí Minh</t>
        </is>
      </c>
      <c r="G10451" t="inlineStr">
        <is>
          <t>Nhân viên</t>
        </is>
      </c>
      <c r="H10451" t="inlineStr">
        <is>
          <t>12/03/2026</t>
        </is>
      </c>
      <c r="I10451" t="inlineStr">
        <is>
          <t>11/04/2026</t>
        </is>
      </c>
      <c r="J10451" t="inlineStr">
        <is>
          <t>17/03/2026</t>
        </is>
      </c>
      <c r="K10451" t="inlineStr">
        <is>
          <t>N/A</t>
        </is>
      </c>
      <c r="L10451" t="inlineStr">
        <is>
          <t>Custom Declaration, English Communication, Import-Export Procedure, Microsoft Office, Vietnam National Single Window</t>
        </is>
      </c>
      <c r="M10451" t="inlineStr">
        <is>
          <t>Bonus, Healthcare Plan, Others</t>
        </is>
      </c>
      <c r="N10451" s="8">
        <f>HYPERLINK("https://www.vietnamworks.com/customer-service-specialist-9-month-temporary-contract-2022626-jv","Xem chi tiết")</f>
        <v/>
      </c>
    </row>
    <row r="10452">
      <c r="B10452" s="9" t="n">
        <v>10450</v>
      </c>
      <c r="C10452" s="10" t="inlineStr">
        <is>
          <t>Sales Admin (Customer Service)</t>
        </is>
      </c>
      <c r="D10452" s="10" t="inlineStr">
        <is>
          <t>CÔNG TY TNHH HOÁ CHẤT MERCURY</t>
        </is>
      </c>
      <c r="E10452" s="10" t="inlineStr">
        <is>
          <t>Thương lượng</t>
        </is>
      </c>
      <c r="F10452" s="10" t="inlineStr">
        <is>
          <t>Hồ Chí Minh</t>
        </is>
      </c>
      <c r="G10452" s="10" t="inlineStr">
        <is>
          <t>Nhân viên</t>
        </is>
      </c>
      <c r="H10452" s="10" t="inlineStr">
        <is>
          <t>12/03/2026</t>
        </is>
      </c>
      <c r="I10452" s="10" t="inlineStr">
        <is>
          <t>11/04/2026</t>
        </is>
      </c>
      <c r="J10452" s="10" t="inlineStr">
        <is>
          <t>17/03/2026</t>
        </is>
      </c>
      <c r="K10452" s="10" t="inlineStr">
        <is>
          <t>N/A</t>
        </is>
      </c>
      <c r="L10452" s="10" t="inlineStr">
        <is>
          <t>Logistics, Customer Service, Supply Chain Management, Xuất Nhập Khẩu, Chứng từ</t>
        </is>
      </c>
      <c r="M10452" s="10" t="inlineStr">
        <is>
          <t>Bonus, Healthcare Plan, Others</t>
        </is>
      </c>
      <c r="N10452" s="11">
        <f>HYPERLINK("https://www.vietnamworks.com/sales-admin-customer-service-2022721-jv","Xem chi tiết")</f>
        <v/>
      </c>
      <c r="O10452" s="10" t="n"/>
    </row>
    <row r="10453">
      <c r="B10453" s="7" t="n">
        <v>10451</v>
      </c>
      <c r="C10453" t="inlineStr">
        <is>
          <t>Kỹ Sư Thủy Công</t>
        </is>
      </c>
      <c r="D10453" t="inlineStr">
        <is>
          <t>Công Ty Cổ Phần Tư Vấn Xây Dựng Điện 2 (PECC2)</t>
        </is>
      </c>
      <c r="E10453" t="inlineStr">
        <is>
          <t>13tr-30tr ₫/tháng</t>
        </is>
      </c>
      <c r="F10453" t="inlineStr">
        <is>
          <t>Hồ Chí Minh</t>
        </is>
      </c>
      <c r="G10453" t="inlineStr">
        <is>
          <t>Nhân viên</t>
        </is>
      </c>
      <c r="H10453" t="inlineStr">
        <is>
          <t>12/03/2026</t>
        </is>
      </c>
      <c r="I10453" t="inlineStr">
        <is>
          <t>11/04/2026</t>
        </is>
      </c>
      <c r="J10453" t="inlineStr">
        <is>
          <t>17/03/2026</t>
        </is>
      </c>
      <c r="K10453" t="inlineStr">
        <is>
          <t>N/A</t>
        </is>
      </c>
      <c r="L10453" t="inlineStr">
        <is>
          <t>Giám Sát Thi Công, Thuỷ lợi, Kỹ Sư Công Trình Thủy, Hạ Tầng Kỹ Thuật, Hydraulic engineering</t>
        </is>
      </c>
      <c r="M10453" t="inlineStr">
        <is>
          <t>Bonus, Healthcare Plan, Training, Team Activities, Others</t>
        </is>
      </c>
      <c r="N10453" s="8">
        <f>HYPERLINK("https://www.vietnamworks.com/ky-su-thuy-cong-2022620-jv","Xem chi tiết")</f>
        <v/>
      </c>
    </row>
    <row r="10454">
      <c r="B10454" s="9" t="n">
        <v>10452</v>
      </c>
      <c r="C10454" s="10" t="inlineStr">
        <is>
          <t>[HCM/ HN] Sales B2B Executive/ Good Income - Chuyên Viên Kinh Doanh</t>
        </is>
      </c>
      <c r="D10454" s="10" t="inlineStr">
        <is>
          <t>Dym Medical Center Vietnam Company Limited (Japanese Company)</t>
        </is>
      </c>
      <c r="E10454" s="10" t="inlineStr">
        <is>
          <t>Từ $ 500 /tháng</t>
        </is>
      </c>
      <c r="F10454" s="10" t="inlineStr">
        <is>
          <t>Hồ Chí Minh, Hà Nội</t>
        </is>
      </c>
      <c r="G10454" s="10" t="inlineStr">
        <is>
          <t>Nhân viên</t>
        </is>
      </c>
      <c r="H10454" s="10" t="inlineStr">
        <is>
          <t>12/03/2026</t>
        </is>
      </c>
      <c r="I10454" s="10" t="inlineStr">
        <is>
          <t>11/04/2026</t>
        </is>
      </c>
      <c r="J10454" s="10" t="inlineStr">
        <is>
          <t>17/03/2026</t>
        </is>
      </c>
      <c r="K10454" s="10" t="inlineStr">
        <is>
          <t>N/A</t>
        </is>
      </c>
      <c r="L10454" s="10" t="inlineStr">
        <is>
          <t>Business Development, B2B, B2B Sales, B2B Commercial Business, Sales</t>
        </is>
      </c>
      <c r="M10454" s="10" t="inlineStr">
        <is>
          <t>Bonus, Healthcare Plan, Laptop</t>
        </is>
      </c>
      <c r="N10454" s="11">
        <f>HYPERLINK("https://www.vietnamworks.com/hcm-hn-sales-b2b-executive-good-income-chuyen-vien-kinh-doanh-2022717-jv","Xem chi tiết")</f>
        <v/>
      </c>
      <c r="O10454" s="10" t="n"/>
    </row>
    <row r="10455">
      <c r="B10455" s="7" t="n">
        <v>10453</v>
      </c>
      <c r="C10455" t="inlineStr">
        <is>
          <t>Chuyên viên Cao cấp Kiến trúc Giải pháp Dữ liệu - Data Architect - Khối Dữ liệu (HO26.79)</t>
        </is>
      </c>
      <c r="D10455" t="inlineStr">
        <is>
          <t>NGÂN HÀNG TMCP QUÂN ĐỘI – MBBANK</t>
        </is>
      </c>
      <c r="E10455" t="inlineStr">
        <is>
          <t>Thương lượng</t>
        </is>
      </c>
      <c r="F10455" t="inlineStr">
        <is>
          <t>Hà Nội</t>
        </is>
      </c>
      <c r="G10455" t="inlineStr">
        <is>
          <t>Nhân viên</t>
        </is>
      </c>
      <c r="H10455" t="inlineStr">
        <is>
          <t>12/03/2026</t>
        </is>
      </c>
      <c r="I10455" t="inlineStr">
        <is>
          <t>11/04/2026</t>
        </is>
      </c>
      <c r="J10455" t="inlineStr">
        <is>
          <t>17/03/2026</t>
        </is>
      </c>
      <c r="K10455" t="inlineStr">
        <is>
          <t>N/A</t>
        </is>
      </c>
      <c r="L10455" t="inlineStr">
        <is>
          <t>MongoDB, Oracle, PostgreSQL, Redis, S3</t>
        </is>
      </c>
      <c r="M10455" t="inlineStr">
        <is>
          <t>Bonus, Paid Leave, Training, Awards, Library, Vouchers, Others</t>
        </is>
      </c>
      <c r="N10455" s="8">
        <f>HYPERLINK("https://www.vietnamworks.com/chuyen-vien-cao-cap-kien-truc-giai-phap-du-lieu-data-architect-khoi-du-lieu-ho26-79-2022704-jv","Xem chi tiết")</f>
        <v/>
      </c>
    </row>
    <row r="10456">
      <c r="B10456" s="9" t="n">
        <v>10454</v>
      </c>
      <c r="C10456" s="10" t="inlineStr">
        <is>
          <t>Software Engineer</t>
        </is>
      </c>
      <c r="D10456" s="10" t="inlineStr">
        <is>
          <t>Millbran</t>
        </is>
      </c>
      <c r="E10456" s="10" t="inlineStr">
        <is>
          <t>$$ 600-800 /tháng</t>
        </is>
      </c>
      <c r="F10456" s="10" t="inlineStr">
        <is>
          <t>Hà Nội, Hồ Chí Minh, Đà Nẵng</t>
        </is>
      </c>
      <c r="G10456" s="10" t="inlineStr">
        <is>
          <t>Nhân viên</t>
        </is>
      </c>
      <c r="H10456" s="10" t="inlineStr">
        <is>
          <t>12/03/2026</t>
        </is>
      </c>
      <c r="I10456" s="10" t="inlineStr">
        <is>
          <t>11/04/2026</t>
        </is>
      </c>
      <c r="J10456" s="10" t="inlineStr">
        <is>
          <t>17/03/2026</t>
        </is>
      </c>
      <c r="K10456" s="10" t="inlineStr">
        <is>
          <t>N/A</t>
        </is>
      </c>
      <c r="L10456" s="10" t="inlineStr">
        <is>
          <t>English Language Proficiency, JavaScript, software</t>
        </is>
      </c>
      <c r="M10456" s="10" t="inlineStr">
        <is>
          <t>Paid Leave, Laptop</t>
        </is>
      </c>
      <c r="N10456" s="11">
        <f>HYPERLINK("https://www.vietnamworks.com/software-engineer--2022730-jv","Xem chi tiết")</f>
        <v/>
      </c>
      <c r="O10456" s="10" t="n"/>
    </row>
    <row r="10457">
      <c r="B10457" s="7" t="n">
        <v>10455</v>
      </c>
      <c r="C10457" t="inlineStr">
        <is>
          <t>Sales Executive</t>
        </is>
      </c>
      <c r="D10457" t="inlineStr">
        <is>
          <t>ATT Vietnam</t>
        </is>
      </c>
      <c r="E10457" t="inlineStr">
        <is>
          <t>Thương lượng</t>
        </is>
      </c>
      <c r="F10457" t="inlineStr">
        <is>
          <t>Hà Nội</t>
        </is>
      </c>
      <c r="G10457" t="inlineStr">
        <is>
          <t>Nhân viên</t>
        </is>
      </c>
      <c r="H10457" t="inlineStr">
        <is>
          <t>12/03/2026</t>
        </is>
      </c>
      <c r="I10457" t="inlineStr">
        <is>
          <t>11/04/2026</t>
        </is>
      </c>
      <c r="J10457" t="inlineStr">
        <is>
          <t>17/03/2026</t>
        </is>
      </c>
      <c r="K10457" t="inlineStr">
        <is>
          <t>N/A</t>
        </is>
      </c>
      <c r="L10457" t="inlineStr">
        <is>
          <t>CRM, Salesforce, Business Development, Marketing Plan, Strategic Devolopment</t>
        </is>
      </c>
      <c r="M10457" t="inlineStr">
        <is>
          <t>Mobile, Transportation</t>
        </is>
      </c>
      <c r="N10457" s="8">
        <f>HYPERLINK("https://www.vietnamworks.com/sales-executive--2022735-jv","Xem chi tiết")</f>
        <v/>
      </c>
    </row>
    <row r="10458">
      <c r="B10458" s="9" t="n">
        <v>10456</v>
      </c>
      <c r="C10458" s="10" t="inlineStr">
        <is>
          <t>Nhân Viên Hành Chính Nhân Sự</t>
        </is>
      </c>
      <c r="D10458" s="10" t="inlineStr">
        <is>
          <t>Công ty Cổ phần Đầu tư, Phát triển Nhà và Hạ tầng - TKV</t>
        </is>
      </c>
      <c r="E10458" s="10" t="inlineStr">
        <is>
          <t>Từ 9tr ₫/tháng</t>
        </is>
      </c>
      <c r="F10458" s="10" t="inlineStr">
        <is>
          <t>Hà Nội</t>
        </is>
      </c>
      <c r="G10458" s="10" t="inlineStr">
        <is>
          <t>Mới Tốt Nghiệp</t>
        </is>
      </c>
      <c r="H10458" s="10" t="inlineStr">
        <is>
          <t>12/03/2026</t>
        </is>
      </c>
      <c r="I10458" s="10" t="inlineStr">
        <is>
          <t>11/04/2026</t>
        </is>
      </c>
      <c r="J10458" s="10" t="inlineStr">
        <is>
          <t>17/03/2026</t>
        </is>
      </c>
      <c r="K10458" s="10" t="inlineStr">
        <is>
          <t>N/A</t>
        </is>
      </c>
      <c r="L10458" s="10" t="inlineStr">
        <is>
          <t>Tin Học Văn Phòng, General Administration, Giao Tiếp, Hành Chính Nhân Sự, Lễ Tân</t>
        </is>
      </c>
      <c r="M10458" s="10" t="inlineStr">
        <is>
          <t>Bonus, Healthcare Plan, Paid Leave, Travel Opportunities, Others</t>
        </is>
      </c>
      <c r="N10458" s="11">
        <f>HYPERLINK("https://www.vietnamworks.com/nhan-vien-hanh-chinh-nhan-su-2022725-jv","Xem chi tiết")</f>
        <v/>
      </c>
      <c r="O10458" s="10" t="n"/>
    </row>
    <row r="10459">
      <c r="B10459" s="7" t="n">
        <v>10457</v>
      </c>
      <c r="C10459" t="inlineStr">
        <is>
          <t>Garment Accessories Sale Executive</t>
        </is>
      </c>
      <c r="D10459" t="inlineStr">
        <is>
          <t>CÔNG TY TNHH TESSELLATION BÌNH DƯƠNG</t>
        </is>
      </c>
      <c r="E10459" t="inlineStr">
        <is>
          <t>Thương lượng</t>
        </is>
      </c>
      <c r="F10459" t="inlineStr">
        <is>
          <t>Bình Dương</t>
        </is>
      </c>
      <c r="G10459" t="inlineStr">
        <is>
          <t>Nhân viên</t>
        </is>
      </c>
      <c r="H10459" t="inlineStr">
        <is>
          <t>12/03/2026</t>
        </is>
      </c>
      <c r="I10459" t="inlineStr">
        <is>
          <t>11/04/2026</t>
        </is>
      </c>
      <c r="J10459" t="inlineStr">
        <is>
          <t>17/03/2026</t>
        </is>
      </c>
      <c r="K10459" t="inlineStr">
        <is>
          <t>N/A</t>
        </is>
      </c>
      <c r="L10459" t="inlineStr">
        <is>
          <t>English fluency, Sales Hunter, Sale Support</t>
        </is>
      </c>
      <c r="M10459" t="inlineStr">
        <is>
          <t>Laptop</t>
        </is>
      </c>
      <c r="N10459" s="8">
        <f>HYPERLINK("https://www.vietnamworks.com/garment-accessories-sale-executive-2022736-jv","Xem chi tiết")</f>
        <v/>
      </c>
    </row>
    <row r="10460">
      <c r="B10460" s="9" t="n">
        <v>10458</v>
      </c>
      <c r="C10460" s="10" t="inlineStr">
        <is>
          <t>Production Supervisor (New Factory)</t>
        </is>
      </c>
      <c r="D10460" s="10" t="inlineStr">
        <is>
          <t>Công ty TNHH Panasonic Electric Works Việt Nam</t>
        </is>
      </c>
      <c r="E10460" s="10" t="inlineStr">
        <is>
          <t>Thương lượng</t>
        </is>
      </c>
      <c r="F10460" s="10" t="inlineStr">
        <is>
          <t>Hồ Chí Minh</t>
        </is>
      </c>
      <c r="G10460" s="10" t="inlineStr">
        <is>
          <t>Nhân viên</t>
        </is>
      </c>
      <c r="H10460" s="10" t="inlineStr">
        <is>
          <t>12/03/2026</t>
        </is>
      </c>
      <c r="I10460" s="10" t="inlineStr">
        <is>
          <t>11/04/2026</t>
        </is>
      </c>
      <c r="J10460" s="10" t="inlineStr">
        <is>
          <t>17/03/2026</t>
        </is>
      </c>
      <c r="K10460" s="10" t="inlineStr">
        <is>
          <t>N/A</t>
        </is>
      </c>
      <c r="L10460" s="10" t="inlineStr">
        <is>
          <t>Analytical Skills, Industrial Engineering, Mechanical Engineering, Microsoft Office, Sap Proficiency</t>
        </is>
      </c>
      <c r="M10460" s="10" t="inlineStr">
        <is>
          <t>Bonus, Healthcare Plan, Paid Leave, Training, Team Activities</t>
        </is>
      </c>
      <c r="N10460" s="11">
        <f>HYPERLINK("https://www.vietnamworks.com/production-supervisor-new-factory-2022744-jv","Xem chi tiết")</f>
        <v/>
      </c>
      <c r="O10460" s="10" t="n"/>
    </row>
    <row r="10461">
      <c r="B10461" s="7" t="n">
        <v>10459</v>
      </c>
      <c r="C10461" t="inlineStr">
        <is>
          <t>Sales Executive (Logistics)</t>
        </is>
      </c>
      <c r="D10461" t="inlineStr">
        <is>
          <t>Sunimex import export service trading company limited</t>
        </is>
      </c>
      <c r="E10461" t="inlineStr">
        <is>
          <t>Tới $ 600 /tháng</t>
        </is>
      </c>
      <c r="F10461" t="inlineStr">
        <is>
          <t>Hồ Chí Minh</t>
        </is>
      </c>
      <c r="G10461" t="inlineStr">
        <is>
          <t>Nhân viên</t>
        </is>
      </c>
      <c r="H10461" t="inlineStr">
        <is>
          <t>12/03/2026</t>
        </is>
      </c>
      <c r="I10461" t="inlineStr">
        <is>
          <t>11/04/2026</t>
        </is>
      </c>
      <c r="J10461" t="inlineStr">
        <is>
          <t>17/03/2026</t>
        </is>
      </c>
      <c r="K10461" t="inlineStr">
        <is>
          <t>N/A</t>
        </is>
      </c>
      <c r="L10461" t="inlineStr">
        <is>
          <t>Logistics, International Business, Import-Export, Negotiation, Relationship Maintaining</t>
        </is>
      </c>
      <c r="M10461" t="inlineStr">
        <is>
          <t>Bonus, Healthcare Plan, Paid Leave, Team Activities, Others</t>
        </is>
      </c>
      <c r="N10461" s="8">
        <f>HYPERLINK("https://www.vietnamworks.com/sales-executive-logistics-2022755-jv","Xem chi tiết")</f>
        <v/>
      </c>
    </row>
    <row r="10462">
      <c r="B10462" s="9" t="n">
        <v>10460</v>
      </c>
      <c r="C10462" s="10" t="inlineStr">
        <is>
          <t>Nhân Viên QS/ Quản Lý Dự Án Cơ Điện (Chấp Nhận SV Mới Ra Trường)</t>
        </is>
      </c>
      <c r="D10462" s="10" t="inlineStr">
        <is>
          <t>Công Ty Cổ Phần Xây Dựng Alphaco Hà Nội</t>
        </is>
      </c>
      <c r="E10462" s="10" t="inlineStr">
        <is>
          <t>15tr-25tr ₫/tháng</t>
        </is>
      </c>
      <c r="F10462" s="10" t="inlineStr">
        <is>
          <t>Hà Nội</t>
        </is>
      </c>
      <c r="G10462" s="10" t="inlineStr">
        <is>
          <t>Mới Tốt Nghiệp</t>
        </is>
      </c>
      <c r="H10462" s="10" t="inlineStr">
        <is>
          <t>12/03/2026</t>
        </is>
      </c>
      <c r="I10462" s="10" t="inlineStr">
        <is>
          <t>11/04/2026</t>
        </is>
      </c>
      <c r="J10462" s="10" t="inlineStr">
        <is>
          <t>17/03/2026</t>
        </is>
      </c>
      <c r="K10462" s="10" t="inlineStr">
        <is>
          <t>N/A</t>
        </is>
      </c>
      <c r="L10462" s="10" t="inlineStr">
        <is>
          <t>Quản Lý Dự Án, Bóc Tách Khối Lượng, QS, Tìm Kiếm Nhà Thầu Thi Công, Đầu Tư Xây Dựng</t>
        </is>
      </c>
      <c r="M10462" s="10" t="inlineStr">
        <is>
          <t>Bonus, Healthcare Plan, Training, Others</t>
        </is>
      </c>
      <c r="N10462" s="11">
        <f>HYPERLINK("https://www.vietnamworks.com/nhan-vien-qs-quan-ly-du-an-co-dien-chap-nhan-sv-moi-ra-truong-2022746-jv","Xem chi tiết")</f>
        <v/>
      </c>
      <c r="O10462" s="10" t="n"/>
    </row>
    <row r="10463">
      <c r="B10463" s="7" t="n">
        <v>10461</v>
      </c>
      <c r="C10463" t="inlineStr">
        <is>
          <t>Chuyên Viên/Chuyên Viên Chính/Chuyên Viên Cấp Cao Quan Hệ Khách Hàng (Mảng Khách Hàng Cá Nhân)</t>
        </is>
      </c>
      <c r="D10463" t="inlineStr">
        <is>
          <t>Ngân Hàng TMCP Quốc Dân ( NCB )</t>
        </is>
      </c>
      <c r="E10463" t="inlineStr">
        <is>
          <t>Thương lượng</t>
        </is>
      </c>
      <c r="F10463" t="inlineStr">
        <is>
          <t>Hà Nội, Hồ Chí Minh</t>
        </is>
      </c>
      <c r="G10463" t="inlineStr">
        <is>
          <t>Nhân viên</t>
        </is>
      </c>
      <c r="H10463" t="inlineStr">
        <is>
          <t>12/03/2026</t>
        </is>
      </c>
      <c r="I10463" t="inlineStr">
        <is>
          <t>11/04/2026</t>
        </is>
      </c>
      <c r="J10463" t="inlineStr">
        <is>
          <t>17/03/2026</t>
        </is>
      </c>
      <c r="K10463" t="inlineStr">
        <is>
          <t>N/A</t>
        </is>
      </c>
      <c r="L10463" t="inlineStr">
        <is>
          <t>Tài Chính Doanh Nghiệp, Tài Chính Ngân Hàng, Quản Trị Kinh Doanh, Khách Hàng Cá Nhân, Quan Hệ Khách Hàng</t>
        </is>
      </c>
      <c r="M10463" t="inlineStr">
        <is>
          <t>Bonus, Training, Awards, Others</t>
        </is>
      </c>
      <c r="N10463" s="8">
        <f>HYPERLINK("https://www.vietnamworks.com/chuyen-vienchuyen-vien-chinhchuyen-vien-cap-cao-quan-he-khach-hang-mang-khach-hang-ca-nhan-2022748-jv","Xem chi tiết")</f>
        <v/>
      </c>
    </row>
    <row r="10464">
      <c r="B10464" s="9" t="n">
        <v>10462</v>
      </c>
      <c r="C10464" s="10" t="inlineStr">
        <is>
          <t>QC Leader (Trưởng Nhóm QC)</t>
        </is>
      </c>
      <c r="D10464" s="10" t="inlineStr">
        <is>
          <t>Công ty TNHH The Square Vina</t>
        </is>
      </c>
      <c r="E10464" s="10" t="inlineStr">
        <is>
          <t>Thương lượng</t>
        </is>
      </c>
      <c r="F10464" s="10" t="inlineStr">
        <is>
          <t>Bà Rịa - Vũng Tàu</t>
        </is>
      </c>
      <c r="G10464" s="10" t="inlineStr">
        <is>
          <t>Mới Tốt Nghiệp</t>
        </is>
      </c>
      <c r="H10464" s="10" t="inlineStr">
        <is>
          <t>12/03/2026</t>
        </is>
      </c>
      <c r="I10464" s="10" t="inlineStr">
        <is>
          <t>11/04/2026</t>
        </is>
      </c>
      <c r="J10464" s="10" t="inlineStr">
        <is>
          <t>17/03/2026</t>
        </is>
      </c>
      <c r="K10464" s="10" t="inlineStr">
        <is>
          <t>N/A</t>
        </is>
      </c>
      <c r="L10464" s="10" t="inlineStr">
        <is>
          <t>Xử Lý Sự Cố, Phân Tích Dữ Liệu, Quản lý chất lượng, SOP, Đánh Giá Hiệu Suất</t>
        </is>
      </c>
      <c r="M10464" s="10" t="inlineStr">
        <is>
          <t>Bonus, Healthcare Plan, Travel Opportunities</t>
        </is>
      </c>
      <c r="N10464" s="11">
        <f>HYPERLINK("https://www.vietnamworks.com/qc-leader-truong-nhom-qc-2022741-jv","Xem chi tiết")</f>
        <v/>
      </c>
      <c r="O10464" s="10" t="n"/>
    </row>
    <row r="10465">
      <c r="B10465" s="7" t="n">
        <v>10463</v>
      </c>
      <c r="C10465" t="inlineStr">
        <is>
          <t>Chuyên Viên/Chuyên Viên Chính/Chuyên Viên Cấp Cao Quan Hệ Khách Hàng (Mảng Khách Hàng Ưu Tiên)</t>
        </is>
      </c>
      <c r="D10465" t="inlineStr">
        <is>
          <t>Ngân Hàng TMCP Quốc Dân ( NCB )</t>
        </is>
      </c>
      <c r="E10465" t="inlineStr">
        <is>
          <t>Thương lượng</t>
        </is>
      </c>
      <c r="F10465" t="inlineStr">
        <is>
          <t>Hà Nội, Hồ Chí Minh</t>
        </is>
      </c>
      <c r="G10465" t="inlineStr">
        <is>
          <t>Nhân viên</t>
        </is>
      </c>
      <c r="H10465" t="inlineStr">
        <is>
          <t>12/03/2026</t>
        </is>
      </c>
      <c r="I10465" t="inlineStr">
        <is>
          <t>11/04/2026</t>
        </is>
      </c>
      <c r="J10465" t="inlineStr">
        <is>
          <t>17/03/2026</t>
        </is>
      </c>
      <c r="K10465" t="inlineStr">
        <is>
          <t>N/A</t>
        </is>
      </c>
      <c r="L10465" t="inlineStr">
        <is>
          <t>Tài Chính Ngân Hàng, Kinh Tế, Kế Toán, Quản Trị Kinh Doanh, Giao Tiếp</t>
        </is>
      </c>
      <c r="M10465" t="inlineStr">
        <is>
          <t>Bonus, Healthcare Plan, Training, Awards, Laptop, Others</t>
        </is>
      </c>
      <c r="N10465" s="8">
        <f>HYPERLINK("https://www.vietnamworks.com/chuyen-vienchuyen-vien-chinhchuyen-vien-cap-cao-quan-he-khach-hang-mang-khach-hang-uu-tien-2022740-jv","Xem chi tiết")</f>
        <v/>
      </c>
    </row>
    <row r="10466">
      <c r="B10466" s="9" t="n">
        <v>10464</v>
      </c>
      <c r="C10466" s="10" t="inlineStr">
        <is>
          <t>Mechanical Engineer (New Factory)</t>
        </is>
      </c>
      <c r="D10466" s="10" t="inlineStr">
        <is>
          <t>Công ty TNHH Panasonic Electric Works Việt Nam</t>
        </is>
      </c>
      <c r="E10466" s="10" t="inlineStr">
        <is>
          <t>Thương lượng</t>
        </is>
      </c>
      <c r="F10466" s="10" t="inlineStr">
        <is>
          <t>Bình Dương</t>
        </is>
      </c>
      <c r="G10466" s="10" t="inlineStr">
        <is>
          <t>Nhân viên</t>
        </is>
      </c>
      <c r="H10466" s="10" t="inlineStr">
        <is>
          <t>12/03/2026</t>
        </is>
      </c>
      <c r="I10466" s="10" t="inlineStr">
        <is>
          <t>11/04/2026</t>
        </is>
      </c>
      <c r="J10466" s="10" t="inlineStr">
        <is>
          <t>17/03/2026</t>
        </is>
      </c>
      <c r="K10466" s="10" t="inlineStr">
        <is>
          <t>N/A</t>
        </is>
      </c>
      <c r="L10466" s="10" t="inlineStr">
        <is>
          <t>3D Design, Automation Equipment Design, Mechanical Engineering, Pneumatic System, Teamwork</t>
        </is>
      </c>
      <c r="M10466" s="10" t="inlineStr">
        <is>
          <t>Bonus, Healthcare Plan, Training, Team Activities, Others</t>
        </is>
      </c>
      <c r="N10466" s="11">
        <f>HYPERLINK("https://www.vietnamworks.com/mechanical-engineer-new-factory-2022745-jv","Xem chi tiết")</f>
        <v/>
      </c>
      <c r="O10466" s="10" t="n"/>
    </row>
    <row r="10467">
      <c r="B10467" s="7" t="n">
        <v>10465</v>
      </c>
      <c r="C10467" t="inlineStr">
        <is>
          <t>Chuyên Viên Nhân Sự Tổng Hợp (HR Executive)</t>
        </is>
      </c>
      <c r="D10467" t="inlineStr">
        <is>
          <t>Công Ty Cổ Phần Tập Đoàn Phú Thái Holdings</t>
        </is>
      </c>
      <c r="E10467" t="inlineStr">
        <is>
          <t>17tr-20tr ₫/tháng</t>
        </is>
      </c>
      <c r="F10467" t="inlineStr">
        <is>
          <t>Hà Nội</t>
        </is>
      </c>
      <c r="G10467" t="inlineStr">
        <is>
          <t>Nhân viên</t>
        </is>
      </c>
      <c r="H10467" t="inlineStr">
        <is>
          <t>12/03/2026</t>
        </is>
      </c>
      <c r="I10467" t="inlineStr">
        <is>
          <t>11/04/2026</t>
        </is>
      </c>
      <c r="J10467" t="inlineStr">
        <is>
          <t>17/03/2026</t>
        </is>
      </c>
      <c r="K10467" t="inlineStr">
        <is>
          <t>N/A</t>
        </is>
      </c>
      <c r="L10467" t="inlineStr">
        <is>
          <t>HR, Luật Bảo Hiểm, Luật Lao Động, Nhân Sự Tổng Hợp, Tuyển Dụng</t>
        </is>
      </c>
      <c r="M10467" t="inlineStr">
        <is>
          <t>Bonus</t>
        </is>
      </c>
      <c r="N10467" s="8">
        <f>HYPERLINK("https://www.vietnamworks.com/chuyen-vien-nhan-su-tong-hop-hr-executive-2022737-jv","Xem chi tiết")</f>
        <v/>
      </c>
    </row>
    <row r="10468">
      <c r="B10468" s="9" t="n">
        <v>10466</v>
      </c>
      <c r="C10468" s="10" t="inlineStr">
        <is>
          <t>Nhân Viên Thiết Kế Đấu Thầu Cơ Điện (Chấp Nhận SV Mới Ra Trường)</t>
        </is>
      </c>
      <c r="D10468" s="10" t="inlineStr">
        <is>
          <t>Công Ty Cổ Phần Xây Dựng Alphaco Hà Nội</t>
        </is>
      </c>
      <c r="E10468" s="10" t="inlineStr">
        <is>
          <t>Thương lượng</t>
        </is>
      </c>
      <c r="F10468" s="10" t="inlineStr">
        <is>
          <t>Hà Nội</t>
        </is>
      </c>
      <c r="G10468" s="10" t="inlineStr">
        <is>
          <t>Mới Tốt Nghiệp</t>
        </is>
      </c>
      <c r="H10468" s="10" t="inlineStr">
        <is>
          <t>12/03/2026</t>
        </is>
      </c>
      <c r="I10468" s="10" t="inlineStr">
        <is>
          <t>11/04/2026</t>
        </is>
      </c>
      <c r="J10468" s="10" t="inlineStr">
        <is>
          <t>17/03/2026</t>
        </is>
      </c>
      <c r="K10468" s="10" t="inlineStr">
        <is>
          <t>N/A</t>
        </is>
      </c>
      <c r="L10468" s="10" t="inlineStr">
        <is>
          <t>Thiết Kế Hệ Thống Điện, Bóc Tách Khối Lượng, Hồ Sơ Đấu Thầu, M&amp;E, PCCC</t>
        </is>
      </c>
      <c r="M10468" s="10" t="inlineStr">
        <is>
          <t>Bonus, Healthcare Plan, Training, Others</t>
        </is>
      </c>
      <c r="N10468" s="11">
        <f>HYPERLINK("https://www.vietnamworks.com/nhan-vien-thiet-ke-dau-thau-co-dien-chap-nhan-sv-moi-ra-truong-2022749-jv","Xem chi tiết")</f>
        <v/>
      </c>
      <c r="O10468" s="10" t="n"/>
    </row>
    <row r="10469">
      <c r="B10469" s="7" t="n">
        <v>10467</v>
      </c>
      <c r="C10469" t="inlineStr">
        <is>
          <t>Chuyên Gia Phát Triển Dịch Vụ Thanh Toán (PO - Travel App) - Ngân Hàng Số</t>
        </is>
      </c>
      <c r="D10469" t="inlineStr">
        <is>
          <t>Ngân Hàng TMCP Đại Chúng Việt Nam</t>
        </is>
      </c>
      <c r="E10469" t="inlineStr">
        <is>
          <t>Thương lượng</t>
        </is>
      </c>
      <c r="F10469" t="inlineStr">
        <is>
          <t>Hà Nội</t>
        </is>
      </c>
      <c r="G10469" t="inlineStr">
        <is>
          <t>Nhân viên</t>
        </is>
      </c>
      <c r="H10469" t="inlineStr">
        <is>
          <t>12/03/2026</t>
        </is>
      </c>
      <c r="I10469" t="inlineStr">
        <is>
          <t>11/04/2026</t>
        </is>
      </c>
      <c r="J10469" t="inlineStr">
        <is>
          <t>17/03/2026</t>
        </is>
      </c>
      <c r="K10469" t="inlineStr">
        <is>
          <t>N/A</t>
        </is>
      </c>
      <c r="L10469" t="inlineStr">
        <is>
          <t>Banking System, Thiết Kế Phần Mềm, Smartvista, Fintech &amp; Banking Applications, Digital Bank</t>
        </is>
      </c>
      <c r="M10469" t="inlineStr">
        <is>
          <t>Bonus, Healthcare Plan, Paid Leave, Laptop, Travel Opportunities, Others</t>
        </is>
      </c>
      <c r="N10469" s="8">
        <f>HYPERLINK("https://www.vietnamworks.com/chuyen-gia-phat-trien-dich-vu-thanh-toan-po-travel-app-ngan-hang-so-2022731-jv","Xem chi tiết")</f>
        <v/>
      </c>
    </row>
    <row r="10470">
      <c r="B10470" s="9" t="n">
        <v>10468</v>
      </c>
      <c r="C10470" s="10" t="inlineStr">
        <is>
          <t>Kiến Trúc Sư</t>
        </is>
      </c>
      <c r="D10470" s="10" t="inlineStr">
        <is>
          <t>CÔNG TY CỔ PHẦN KIẾN TRÚC VÀ ĐẦU TƯ XÂY DỰNG ACI VIỆT NAM</t>
        </is>
      </c>
      <c r="E10470" s="10" t="inlineStr">
        <is>
          <t>15tr-20tr ₫/tháng</t>
        </is>
      </c>
      <c r="F10470" s="10" t="inlineStr">
        <is>
          <t>Hà Nội</t>
        </is>
      </c>
      <c r="G10470" s="10" t="inlineStr">
        <is>
          <t>Nhân viên</t>
        </is>
      </c>
      <c r="H10470" s="10" t="inlineStr">
        <is>
          <t>12/03/2026</t>
        </is>
      </c>
      <c r="I10470" s="10" t="inlineStr">
        <is>
          <t>11/04/2026</t>
        </is>
      </c>
      <c r="J10470" s="10" t="inlineStr">
        <is>
          <t>17/03/2026</t>
        </is>
      </c>
      <c r="K10470" s="10" t="inlineStr">
        <is>
          <t>N/A</t>
        </is>
      </c>
      <c r="L10470" s="10" t="inlineStr">
        <is>
          <t>AutoCAD, Revit, Sketchup, 3DSMAX, Photoshop</t>
        </is>
      </c>
      <c r="M10470" s="10" t="inlineStr">
        <is>
          <t>Bonus, Healthcare Plan, Others</t>
        </is>
      </c>
      <c r="N10470" s="11">
        <f>HYPERLINK("https://www.vietnamworks.com/kien-truc-su-2022762-jv","Xem chi tiết")</f>
        <v/>
      </c>
      <c r="O10470" s="10" t="n"/>
    </row>
    <row r="10471">
      <c r="B10471" s="7" t="n">
        <v>10469</v>
      </c>
      <c r="C10471" t="inlineStr">
        <is>
          <t>Senior IT Audit</t>
        </is>
      </c>
      <c r="D10471" t="inlineStr">
        <is>
          <t>Dai-Ichi Life Vietnam</t>
        </is>
      </c>
      <c r="E10471" t="inlineStr">
        <is>
          <t>Thương lượng</t>
        </is>
      </c>
      <c r="F10471" t="inlineStr">
        <is>
          <t>Hồ Chí Minh</t>
        </is>
      </c>
      <c r="G10471" t="inlineStr">
        <is>
          <t>Nhân viên</t>
        </is>
      </c>
      <c r="H10471" t="inlineStr">
        <is>
          <t>12/03/2026</t>
        </is>
      </c>
      <c r="I10471" t="inlineStr">
        <is>
          <t>11/04/2026</t>
        </is>
      </c>
      <c r="J10471" t="inlineStr">
        <is>
          <t>17/03/2026</t>
        </is>
      </c>
      <c r="K10471" t="inlineStr">
        <is>
          <t>N/A</t>
        </is>
      </c>
      <c r="L10471" t="inlineStr">
        <is>
          <t>IT Audit, IT Auditing, Internal IT Audit</t>
        </is>
      </c>
      <c r="M10471" t="inlineStr">
        <is>
          <t>Bonus, Healthcare Plan, Paid Leave</t>
        </is>
      </c>
      <c r="N10471" s="8">
        <f>HYPERLINK("https://www.vietnamworks.com/senior-it-audit-2022753-jv","Xem chi tiết")</f>
        <v/>
      </c>
    </row>
    <row r="10472">
      <c r="B10472" s="9" t="n">
        <v>10470</v>
      </c>
      <c r="C10472" s="10" t="inlineStr">
        <is>
          <t xml:space="preserve">Chuyên Viên Thiết Kế Nội Thất </t>
        </is>
      </c>
      <c r="D10472" s="10" t="inlineStr">
        <is>
          <t>Công ty Cổ Phần Nội Thất DBhomes</t>
        </is>
      </c>
      <c r="E10472" s="10" t="inlineStr">
        <is>
          <t>20tr-25tr ₫/tháng</t>
        </is>
      </c>
      <c r="F10472" s="10" t="inlineStr">
        <is>
          <t>Hồ Chí Minh, Hà Nội</t>
        </is>
      </c>
      <c r="G10472" s="10" t="inlineStr">
        <is>
          <t>Nhân viên</t>
        </is>
      </c>
      <c r="H10472" s="10" t="inlineStr">
        <is>
          <t>12/03/2026</t>
        </is>
      </c>
      <c r="I10472" s="10" t="inlineStr">
        <is>
          <t>11/04/2026</t>
        </is>
      </c>
      <c r="J10472" s="10" t="inlineStr">
        <is>
          <t>17/03/2026</t>
        </is>
      </c>
      <c r="K10472" s="10" t="inlineStr">
        <is>
          <t>N/A</t>
        </is>
      </c>
      <c r="L10472" s="10" t="inlineStr">
        <is>
          <t>Autocad, Giao Tiếp, Photoshop, Thiết Kế Nội Thất</t>
        </is>
      </c>
      <c r="M10472" s="10" t="inlineStr">
        <is>
          <t>Bonus, Healthcare Plan, Training</t>
        </is>
      </c>
      <c r="N10472" s="11">
        <f>HYPERLINK("https://www.vietnamworks.com/chuyen-vien-thiet-ke-noi-that-2022756-jv","Xem chi tiết")</f>
        <v/>
      </c>
      <c r="O10472" s="10" t="n"/>
    </row>
    <row r="10473">
      <c r="B10473" s="7" t="n">
        <v>10471</v>
      </c>
      <c r="C10473" t="inlineStr">
        <is>
          <t>Recruitment Officer &amp; HR Admin Support</t>
        </is>
      </c>
      <c r="D10473" t="inlineStr">
        <is>
          <t>AFG Viet Nam</t>
        </is>
      </c>
      <c r="E10473" t="inlineStr">
        <is>
          <t>Thương lượng</t>
        </is>
      </c>
      <c r="F10473" t="inlineStr">
        <is>
          <t>Hà Nội</t>
        </is>
      </c>
      <c r="G10473" t="inlineStr">
        <is>
          <t>Nhân viên</t>
        </is>
      </c>
      <c r="H10473" t="inlineStr">
        <is>
          <t>12/03/2026</t>
        </is>
      </c>
      <c r="I10473" t="inlineStr">
        <is>
          <t>11/04/2026</t>
        </is>
      </c>
      <c r="J10473" t="inlineStr">
        <is>
          <t>17/03/2026</t>
        </is>
      </c>
      <c r="K10473" t="inlineStr">
        <is>
          <t>N/A</t>
        </is>
      </c>
      <c r="L10473" t="inlineStr">
        <is>
          <t>F&amp;B Business, HR Administration, Hành Chính Nhân Sự, Recruitment</t>
        </is>
      </c>
      <c r="M10473" t="inlineStr">
        <is>
          <t>Bonus, Laptop, Team Activities</t>
        </is>
      </c>
      <c r="N10473" s="8">
        <f>HYPERLINK("https://www.vietnamworks.com/recruitment-officer-and-hr-admin-support-2022760-jv","Xem chi tiết")</f>
        <v/>
      </c>
    </row>
    <row r="10474">
      <c r="B10474" s="9" t="n">
        <v>10472</v>
      </c>
      <c r="C10474" s="10" t="inlineStr">
        <is>
          <t>Kỹ Sư Thiết Kế/ Giám Sát Xây Dựng</t>
        </is>
      </c>
      <c r="D10474" s="10" t="inlineStr">
        <is>
          <t>Công Ty Cổ Phần Tư Vấn Xây Dựng Điện 2 (PECC2)</t>
        </is>
      </c>
      <c r="E10474" s="10" t="inlineStr">
        <is>
          <t>15tr-35tr ₫/tháng</t>
        </is>
      </c>
      <c r="F10474" s="10" t="inlineStr">
        <is>
          <t>Hồ Chí Minh</t>
        </is>
      </c>
      <c r="G10474" s="10" t="inlineStr">
        <is>
          <t>Nhân viên</t>
        </is>
      </c>
      <c r="H10474" s="10" t="inlineStr">
        <is>
          <t>12/03/2026</t>
        </is>
      </c>
      <c r="I10474" s="10" t="inlineStr">
        <is>
          <t>11/04/2026</t>
        </is>
      </c>
      <c r="J10474" s="10" t="inlineStr">
        <is>
          <t>17/03/2026</t>
        </is>
      </c>
      <c r="K10474" s="10" t="inlineStr">
        <is>
          <t>N/A</t>
        </is>
      </c>
      <c r="L10474" s="10" t="inlineStr">
        <is>
          <t>Thiết Kế Xây Dựng, Giám Sát Xây Dựng, Cầu Đường, Kết Cấu Thép, Kết Cấu Nền Móng</t>
        </is>
      </c>
      <c r="M10474" s="10" t="inlineStr">
        <is>
          <t>Bonus, Healthcare Plan, Training, Team Activities, Others</t>
        </is>
      </c>
      <c r="N10474" s="11">
        <f>HYPERLINK("https://www.vietnamworks.com/ky-su-thiet-ke-giam-sat-xay-dung-2022733-jv","Xem chi tiết")</f>
        <v/>
      </c>
      <c r="O10474" s="10" t="n"/>
    </row>
    <row r="10475">
      <c r="B10475" s="7" t="n">
        <v>10473</v>
      </c>
      <c r="C10475" t="inlineStr">
        <is>
          <t>Trưởng Bộ Phận Nghiên Cứu và Phát Triển Sản Phẩm Tín Dụng - Khối Khách Hàng Doanh Nghiệp</t>
        </is>
      </c>
      <c r="D10475" t="inlineStr">
        <is>
          <t>Ngân Hàng TMCP Đại Chúng Việt Nam</t>
        </is>
      </c>
      <c r="E10475" t="inlineStr">
        <is>
          <t>$$ 1,200-2,000 /tháng</t>
        </is>
      </c>
      <c r="F10475" t="inlineStr">
        <is>
          <t>Hà Nội</t>
        </is>
      </c>
      <c r="G10475" t="inlineStr">
        <is>
          <t>Trưởng phòng</t>
        </is>
      </c>
      <c r="H10475" t="inlineStr">
        <is>
          <t>12/03/2026</t>
        </is>
      </c>
      <c r="I10475" t="inlineStr">
        <is>
          <t>11/04/2026</t>
        </is>
      </c>
      <c r="J10475" t="inlineStr">
        <is>
          <t>17/03/2026</t>
        </is>
      </c>
      <c r="K10475" t="inlineStr">
        <is>
          <t>N/A</t>
        </is>
      </c>
      <c r="L10475" t="inlineStr">
        <is>
          <t>Ngân hàng, Tín Dụng Doanh Nghiệp, Tài Chính, Phân Tích Sản Phẩm</t>
        </is>
      </c>
      <c r="M10475" t="inlineStr">
        <is>
          <t>Bonus, Healthcare Plan, Canteen</t>
        </is>
      </c>
      <c r="N10475" s="8">
        <f>HYPERLINK("https://www.vietnamworks.com/truong-bo-phan-nghien-cuu-va-phat-trien-san-pham-tin-dung-khoi-khach-hang-doanh-nghiep--2022758-jv","Xem chi tiết")</f>
        <v/>
      </c>
    </row>
    <row r="10476">
      <c r="B10476" s="9" t="n">
        <v>10474</v>
      </c>
      <c r="C10476" s="10" t="inlineStr">
        <is>
          <t>Customer Partner Representative</t>
        </is>
      </c>
      <c r="D10476" s="10" t="inlineStr">
        <is>
          <t>B. Braun</t>
        </is>
      </c>
      <c r="E10476" s="10" t="inlineStr">
        <is>
          <t>Thương lượng</t>
        </is>
      </c>
      <c r="F10476" s="10" t="inlineStr">
        <is>
          <t>Hồ Chí Minh, Đà Nẵng, Cần Thơ</t>
        </is>
      </c>
      <c r="G10476" s="10" t="inlineStr">
        <is>
          <t>Nhân viên</t>
        </is>
      </c>
      <c r="H10476" s="10" t="inlineStr">
        <is>
          <t>12/03/2026</t>
        </is>
      </c>
      <c r="I10476" s="10" t="inlineStr">
        <is>
          <t>11/04/2026</t>
        </is>
      </c>
      <c r="J10476" s="10" t="inlineStr">
        <is>
          <t>17/03/2026</t>
        </is>
      </c>
      <c r="K10476" s="10" t="inlineStr">
        <is>
          <t>N/A</t>
        </is>
      </c>
      <c r="L10476" s="10" t="inlineStr">
        <is>
          <t>pharmaceutical, Sales, Medical Device, Managing Business Growth, Functional Knowledge</t>
        </is>
      </c>
      <c r="M10476" s="10" t="inlineStr">
        <is>
          <t>Bonus, Healthcare Plan, Training</t>
        </is>
      </c>
      <c r="N10476" s="11">
        <f>HYPERLINK("https://www.vietnamworks.com/customer-partner-representative--2022774-jv","Xem chi tiết")</f>
        <v/>
      </c>
      <c r="O10476" s="10" t="n"/>
    </row>
    <row r="10477">
      <c r="B10477" s="7" t="n">
        <v>10475</v>
      </c>
      <c r="C10477" t="inlineStr">
        <is>
          <t>[ Hot Job] Nam Nhân Viên Kế Toán Tổng Hơp (18-20 Triệu/tháng)</t>
        </is>
      </c>
      <c r="D10477" t="inlineStr">
        <is>
          <t>Công Ty CP Tôn Mạ Vnsteel Thăng Long</t>
        </is>
      </c>
      <c r="E10477" t="inlineStr">
        <is>
          <t>18tr-20tr ₫/tháng</t>
        </is>
      </c>
      <c r="F10477" t="inlineStr">
        <is>
          <t>Hà Nội</t>
        </is>
      </c>
      <c r="G10477" t="inlineStr">
        <is>
          <t>Nhân viên</t>
        </is>
      </c>
      <c r="H10477" t="inlineStr">
        <is>
          <t>12/03/2026</t>
        </is>
      </c>
      <c r="I10477" t="inlineStr">
        <is>
          <t>11/04/2026</t>
        </is>
      </c>
      <c r="J10477" t="inlineStr">
        <is>
          <t>17/03/2026</t>
        </is>
      </c>
      <c r="K10477" t="inlineStr">
        <is>
          <t>N/A</t>
        </is>
      </c>
      <c r="L10477" t="inlineStr">
        <is>
          <t>Nghiệp Vụ Kế Toán, Đối Chiếu Chứng Từ, Lưu Trữ Chứng Từ, Nhập Liệu Chứng Từ, Kiểm Toán</t>
        </is>
      </c>
      <c r="M10477" t="inlineStr">
        <is>
          <t>Bonus, Healthcare Plan, Paid Leave</t>
        </is>
      </c>
      <c r="N10477" s="8">
        <f>HYPERLINK("https://www.vietnamworks.com/hot-job-nam-nhan-vien-ke-toan-tong-hop-18-20-trieu-thang--2022778-jv","Xem chi tiết")</f>
        <v/>
      </c>
    </row>
    <row r="10478">
      <c r="B10478" s="9" t="n">
        <v>10476</v>
      </c>
      <c r="C10478" s="10" t="inlineStr">
        <is>
          <t>Kế Toán Tổng Hợp</t>
        </is>
      </c>
      <c r="D10478" s="10" t="inlineStr">
        <is>
          <t>CÔNG TY TNHH SẢN XUẤT VÀ THƯƠNG MẠI THỜI TRANG CÂY LEO</t>
        </is>
      </c>
      <c r="E10478" s="10" t="inlineStr">
        <is>
          <t>18tr-25tr ₫/tháng</t>
        </is>
      </c>
      <c r="F10478" s="10" t="inlineStr">
        <is>
          <t>Hà Nội</t>
        </is>
      </c>
      <c r="G10478" s="10" t="inlineStr">
        <is>
          <t>Nhân viên</t>
        </is>
      </c>
      <c r="H10478" s="10" t="inlineStr">
        <is>
          <t>12/03/2026</t>
        </is>
      </c>
      <c r="I10478" s="10" t="inlineStr">
        <is>
          <t>11/04/2026</t>
        </is>
      </c>
      <c r="J10478" s="10" t="inlineStr">
        <is>
          <t>17/03/2026</t>
        </is>
      </c>
      <c r="K10478" s="10" t="inlineStr">
        <is>
          <t>N/A</t>
        </is>
      </c>
      <c r="L10478" s="10" t="inlineStr">
        <is>
          <t>Kế Toán Tổng Hợp, Kế Toán Thuế, Báo Cáo Tài Chính, Thương Mại Điện Tử, Hạch Toán Khấu Hao</t>
        </is>
      </c>
      <c r="M10478" s="10" t="inlineStr">
        <is>
          <t>Bonus, Healthcare Plan, Others</t>
        </is>
      </c>
      <c r="N10478" s="11">
        <f>HYPERLINK("https://www.vietnamworks.com/ke-toan-tong-hop-2022764-jv","Xem chi tiết")</f>
        <v/>
      </c>
      <c r="O10478" s="10" t="n"/>
    </row>
    <row r="10479">
      <c r="B10479" s="7" t="n">
        <v>10477</v>
      </c>
      <c r="C10479" t="inlineStr">
        <is>
          <t>Accountant - Nhân Viên Kế Toán (Freight Forwarding/Logistics)</t>
        </is>
      </c>
      <c r="D10479" t="inlineStr">
        <is>
          <t>CÔNG TY TNHH MTS LOGISTICS</t>
        </is>
      </c>
      <c r="E10479" t="inlineStr">
        <is>
          <t>Thương lượng</t>
        </is>
      </c>
      <c r="F10479" t="inlineStr">
        <is>
          <t>Hồ Chí Minh</t>
        </is>
      </c>
      <c r="G10479" t="inlineStr">
        <is>
          <t>Nhân viên</t>
        </is>
      </c>
      <c r="H10479" t="inlineStr">
        <is>
          <t>12/03/2026</t>
        </is>
      </c>
      <c r="I10479" t="inlineStr">
        <is>
          <t>11/04/2026</t>
        </is>
      </c>
      <c r="J10479" t="inlineStr">
        <is>
          <t>17/03/2026</t>
        </is>
      </c>
      <c r="K10479" t="inlineStr">
        <is>
          <t>N/A</t>
        </is>
      </c>
      <c r="L10479" t="inlineStr">
        <is>
          <t>Accounting, Accounting Background, Accounting Standards, Kế toán, Kế Toán Tài Chính</t>
        </is>
      </c>
      <c r="M10479" t="inlineStr">
        <is>
          <t>Bonus, Healthcare Plan, Laptop, Team Activities, Others</t>
        </is>
      </c>
      <c r="N10479" s="8">
        <f>HYPERLINK("https://www.vietnamworks.com/accountant-nhan-vien-ke-toan-freight-forwardinglogistics-2022765-jv","Xem chi tiết")</f>
        <v/>
      </c>
    </row>
    <row r="10480">
      <c r="B10480" s="9" t="n">
        <v>10478</v>
      </c>
      <c r="C10480" s="10" t="inlineStr">
        <is>
          <t>Trưởng Nhóm Nhân Sự</t>
        </is>
      </c>
      <c r="D10480" s="10" t="inlineStr">
        <is>
          <t>CÔNG TY TNHH SẢN XUẤT VÀ THƯƠNG MẠI THỜI TRANG CÂY LEO</t>
        </is>
      </c>
      <c r="E10480" s="10" t="inlineStr">
        <is>
          <t>15tr-25tr ₫/tháng</t>
        </is>
      </c>
      <c r="F10480" s="10" t="inlineStr">
        <is>
          <t>Hà Nội</t>
        </is>
      </c>
      <c r="G10480" s="10" t="inlineStr">
        <is>
          <t>Trưởng phòng</t>
        </is>
      </c>
      <c r="H10480" s="10" t="inlineStr">
        <is>
          <t>12/03/2026</t>
        </is>
      </c>
      <c r="I10480" s="10" t="inlineStr">
        <is>
          <t>11/04/2026</t>
        </is>
      </c>
      <c r="J10480" s="10" t="inlineStr">
        <is>
          <t>17/03/2026</t>
        </is>
      </c>
      <c r="K10480" s="10" t="inlineStr">
        <is>
          <t>N/A</t>
        </is>
      </c>
      <c r="L10480" s="10" t="inlineStr">
        <is>
          <t>Chiến Lược Tuyển Dụng, Phỏng Vấn, Quản Lý Nhân Sự, Sàng Lọc Hồ Sơ, Đào Tạo Nội Bộ</t>
        </is>
      </c>
      <c r="M10480" s="10" t="inlineStr">
        <is>
          <t>Bonus, Healthcare Plan, Others</t>
        </is>
      </c>
      <c r="N10480" s="11">
        <f>HYPERLINK("https://www.vietnamworks.com/truong-nhom-nhan-su-2022767-jv","Xem chi tiết")</f>
        <v/>
      </c>
      <c r="O10480" s="10" t="n"/>
    </row>
    <row r="10481">
      <c r="B10481" s="7" t="n">
        <v>10479</v>
      </c>
      <c r="C10481" t="inlineStr">
        <is>
          <t>Executive, Tax Accounting (FMCG)</t>
        </is>
      </c>
      <c r="D10481" t="inlineStr">
        <is>
          <t>KAO Vietnam Co., Ltd</t>
        </is>
      </c>
      <c r="E10481" t="inlineStr">
        <is>
          <t>Thương lượng</t>
        </is>
      </c>
      <c r="F10481" t="inlineStr">
        <is>
          <t>Hồ Chí Minh</t>
        </is>
      </c>
      <c r="G10481" t="inlineStr">
        <is>
          <t>Nhân viên</t>
        </is>
      </c>
      <c r="H10481" t="inlineStr">
        <is>
          <t>12/03/2026</t>
        </is>
      </c>
      <c r="I10481" t="inlineStr">
        <is>
          <t>11/04/2026</t>
        </is>
      </c>
      <c r="J10481" t="inlineStr">
        <is>
          <t>17/03/2026</t>
        </is>
      </c>
      <c r="K10481" t="inlineStr">
        <is>
          <t>N/A</t>
        </is>
      </c>
      <c r="L10481" t="inlineStr">
        <is>
          <t>Tax Law, English, Tax &amp; Auditing, CIT &amp; PIT Finalization, Tax Inspection</t>
        </is>
      </c>
      <c r="M10481" t="inlineStr">
        <is>
          <t>Bonus</t>
        </is>
      </c>
      <c r="N10481" s="8">
        <f>HYPERLINK("https://www.vietnamworks.com/executive-tax-accounting-fmcg-2022772-jv","Xem chi tiết")</f>
        <v/>
      </c>
    </row>
    <row r="10482">
      <c r="B10482" s="9" t="n">
        <v>10480</v>
      </c>
      <c r="C10482" s="10" t="inlineStr">
        <is>
          <t>Planning Specialist / Chuyên Viên Kế Hoạch Sản Xuất (Tiếng Anh hoặc Tiếng Trung)</t>
        </is>
      </c>
      <c r="D10482" s="10" t="inlineStr">
        <is>
          <t>Công Ty TNHH Amphenol Highspeed IO Technology Việt Nam</t>
        </is>
      </c>
      <c r="E10482" s="10" t="inlineStr">
        <is>
          <t>Thương lượng</t>
        </is>
      </c>
      <c r="F10482" s="10" t="inlineStr">
        <is>
          <t>Bắc Ninh</t>
        </is>
      </c>
      <c r="G10482" s="10" t="inlineStr">
        <is>
          <t>Nhân viên</t>
        </is>
      </c>
      <c r="H10482" s="10" t="inlineStr">
        <is>
          <t>12/03/2026</t>
        </is>
      </c>
      <c r="I10482" s="10" t="inlineStr">
        <is>
          <t>11/04/2026</t>
        </is>
      </c>
      <c r="J10482" s="10" t="inlineStr">
        <is>
          <t>17/03/2026</t>
        </is>
      </c>
      <c r="K10482" s="10" t="inlineStr">
        <is>
          <t>N/A</t>
        </is>
      </c>
      <c r="L10482" s="10" t="inlineStr">
        <is>
          <t>Radio Frequency, Signal Integrity, PCB Design, Electronics, Testing</t>
        </is>
      </c>
      <c r="M10482" s="10" t="inlineStr">
        <is>
          <t>Bonus, Paid Leave, Training</t>
        </is>
      </c>
      <c r="N10482" s="11">
        <f>HYPERLINK("https://www.vietnamworks.com/planning-specialist-chuyen-vien-ke-hoach-san-xuat-tieng-anh-hoac-tieng-trung-2022775-jv","Xem chi tiết")</f>
        <v/>
      </c>
      <c r="O10482" s="10" t="n"/>
    </row>
    <row r="10483">
      <c r="B10483" s="7" t="n">
        <v>10481</v>
      </c>
      <c r="C10483" t="inlineStr">
        <is>
          <t>CAD BIM Engineer (Allplan) Kỹ Sư Triển Khai Bản Vẽ Kết Cấu</t>
        </is>
      </c>
      <c r="D10483" t="inlineStr">
        <is>
          <t>CÔNG TY TNHH MAC ZT VIỆT NAM</t>
        </is>
      </c>
      <c r="E10483" t="inlineStr">
        <is>
          <t>Thương lượng</t>
        </is>
      </c>
      <c r="F10483" t="inlineStr">
        <is>
          <t>Hồ Chí Minh</t>
        </is>
      </c>
      <c r="G10483" t="inlineStr">
        <is>
          <t>Nhân viên</t>
        </is>
      </c>
      <c r="H10483" t="inlineStr">
        <is>
          <t>12/03/2026</t>
        </is>
      </c>
      <c r="I10483" t="inlineStr">
        <is>
          <t>11/04/2026</t>
        </is>
      </c>
      <c r="J10483" t="inlineStr">
        <is>
          <t>17/03/2026</t>
        </is>
      </c>
      <c r="K10483" t="inlineStr">
        <is>
          <t>N/A</t>
        </is>
      </c>
      <c r="L10483" t="inlineStr">
        <is>
          <t>3D Modeling, Technical Document Writing, Structural Drawing, Allplan</t>
        </is>
      </c>
      <c r="M10483" t="inlineStr">
        <is>
          <t>Bonus, Healthcare Plan, Paid Leave, Awards, Others</t>
        </is>
      </c>
      <c r="N10483" s="8">
        <f>HYPERLINK("https://www.vietnamworks.com/cad-bim-engineer-allplan-ky-su-trien-khai-ban-ve-ket-cau-2022763-jv","Xem chi tiết")</f>
        <v/>
      </c>
    </row>
    <row r="10484">
      <c r="B10484" s="9" t="n">
        <v>10482</v>
      </c>
      <c r="C10484" s="10" t="inlineStr">
        <is>
          <t>Nhân Viên Quản Lý Hồ Sơ - Document Controller</t>
        </is>
      </c>
      <c r="D10484" s="10" t="inlineStr">
        <is>
          <t>Tổng Công Ty Phát Triển Đô Thị Kinh Bắc (KBC)</t>
        </is>
      </c>
      <c r="E10484" s="10" t="inlineStr">
        <is>
          <t>Thương lượng</t>
        </is>
      </c>
      <c r="F10484" s="10" t="inlineStr">
        <is>
          <t>Hà Nội, Hưng Yên</t>
        </is>
      </c>
      <c r="G10484" s="10" t="inlineStr">
        <is>
          <t>Nhân viên</t>
        </is>
      </c>
      <c r="H10484" s="10" t="inlineStr">
        <is>
          <t>12/03/2026</t>
        </is>
      </c>
      <c r="I10484" s="10" t="inlineStr">
        <is>
          <t>11/04/2026</t>
        </is>
      </c>
      <c r="J10484" s="10" t="inlineStr">
        <is>
          <t>17/03/2026</t>
        </is>
      </c>
      <c r="K10484" s="10" t="inlineStr">
        <is>
          <t>N/A</t>
        </is>
      </c>
      <c r="L10484" s="10" t="inlineStr">
        <is>
          <t>Construction Management, Construction Project, Document Checking, Document Control, Legal Document</t>
        </is>
      </c>
      <c r="M10484" s="10" t="inlineStr">
        <is>
          <t>Bonus, Healthcare Plan, Travel Opportunities</t>
        </is>
      </c>
      <c r="N10484" s="11">
        <f>HYPERLINK("https://www.vietnamworks.com/nhan-vien-quan-ly-ho-so-document-controller-2022776-jv","Xem chi tiết")</f>
        <v/>
      </c>
      <c r="O10484" s="10" t="n"/>
    </row>
    <row r="10485">
      <c r="B10485" s="7" t="n">
        <v>10483</v>
      </c>
      <c r="C10485" t="inlineStr">
        <is>
          <t>Python Coding Large-Scale Proejct (Remote)</t>
        </is>
      </c>
      <c r="D10485" t="inlineStr">
        <is>
          <t>Ebit</t>
        </is>
      </c>
      <c r="E10485" t="inlineStr">
        <is>
          <t>Thương lượng</t>
        </is>
      </c>
      <c r="F10485" t="inlineStr">
        <is>
          <t>Hà Nội</t>
        </is>
      </c>
      <c r="G10485" t="inlineStr">
        <is>
          <t>Mới Tốt Nghiệp</t>
        </is>
      </c>
      <c r="H10485" t="inlineStr">
        <is>
          <t>12/03/2026</t>
        </is>
      </c>
      <c r="I10485" t="inlineStr">
        <is>
          <t>11/04/2026</t>
        </is>
      </c>
      <c r="J10485" t="inlineStr">
        <is>
          <t>17/03/2026</t>
        </is>
      </c>
      <c r="K10485" t="inlineStr">
        <is>
          <t>N/A</t>
        </is>
      </c>
      <c r="L10485" t="inlineStr">
        <is>
          <t>English Fluency, Development, Python, Java, DevOps</t>
        </is>
      </c>
      <c r="M10485" t="inlineStr">
        <is>
          <t>Others</t>
        </is>
      </c>
      <c r="N10485" s="8">
        <f>HYPERLINK("https://www.vietnamworks.com/python-coding-large-scale-proejct-remote-2022784-jv","Xem chi tiết")</f>
        <v/>
      </c>
    </row>
    <row r="10486">
      <c r="B10486" s="9" t="n">
        <v>10484</v>
      </c>
      <c r="C10486" s="10" t="inlineStr">
        <is>
          <t>HR Data Analyst (Female)</t>
        </is>
      </c>
      <c r="D10486" s="10" t="inlineStr">
        <is>
          <t>Vietnam Australia International School (Vas)</t>
        </is>
      </c>
      <c r="E10486" s="10" t="inlineStr">
        <is>
          <t>Thương lượng</t>
        </is>
      </c>
      <c r="F10486" s="10" t="inlineStr">
        <is>
          <t>Hồ Chí Minh</t>
        </is>
      </c>
      <c r="G10486" s="10" t="inlineStr">
        <is>
          <t>Nhân viên</t>
        </is>
      </c>
      <c r="H10486" s="10" t="inlineStr">
        <is>
          <t>12/03/2026</t>
        </is>
      </c>
      <c r="I10486" s="10" t="inlineStr">
        <is>
          <t>11/04/2026</t>
        </is>
      </c>
      <c r="J10486" s="10" t="inlineStr">
        <is>
          <t>17/03/2026</t>
        </is>
      </c>
      <c r="K10486" s="10" t="inlineStr">
        <is>
          <t>N/A</t>
        </is>
      </c>
      <c r="L10486" s="10" t="inlineStr">
        <is>
          <t>Data Analysis, Data Science, Power BI, HR Reports, HRIS</t>
        </is>
      </c>
      <c r="M10486" s="10" t="inlineStr">
        <is>
          <t>Bonus, Healthcare Plan, Canteen</t>
        </is>
      </c>
      <c r="N10486" s="11">
        <f>HYPERLINK("https://www.vietnamworks.com/hr-data-analyst-female--2022769-jv","Xem chi tiết")</f>
        <v/>
      </c>
      <c r="O10486" s="10" t="n"/>
    </row>
    <row r="10487">
      <c r="B10487" s="7" t="n">
        <v>10485</v>
      </c>
      <c r="C10487" t="inlineStr">
        <is>
          <t>Kế Toán Trưởng</t>
        </is>
      </c>
      <c r="D10487" t="inlineStr">
        <is>
          <t>Representative Office of Nirotech Limited In Hanoi</t>
        </is>
      </c>
      <c r="E10487" t="inlineStr">
        <is>
          <t>Thương lượng</t>
        </is>
      </c>
      <c r="F10487" t="inlineStr">
        <is>
          <t>Hà Nội</t>
        </is>
      </c>
      <c r="G10487" t="inlineStr">
        <is>
          <t>Trưởng phòng</t>
        </is>
      </c>
      <c r="H10487" t="inlineStr">
        <is>
          <t>12/03/2026</t>
        </is>
      </c>
      <c r="I10487" t="inlineStr">
        <is>
          <t>11/04/2026</t>
        </is>
      </c>
      <c r="J10487" t="inlineStr">
        <is>
          <t>17/03/2026</t>
        </is>
      </c>
      <c r="K10487" t="inlineStr">
        <is>
          <t>N/A</t>
        </is>
      </c>
      <c r="L10487" t="inlineStr">
        <is>
          <t>Kế Toán Trưởng, Kế toán - Kiểm toán, Báo cáo tài chính &amp; Thuế, Accounting Management​, MISA</t>
        </is>
      </c>
      <c r="M10487" t="inlineStr">
        <is>
          <t>Bonus, Healthcare Plan, Training, Others</t>
        </is>
      </c>
      <c r="N10487" s="8">
        <f>HYPERLINK("https://www.vietnamworks.com/ke-toan-truong-2022781-jv","Xem chi tiết")</f>
        <v/>
      </c>
    </row>
    <row r="10488">
      <c r="B10488" s="9" t="n">
        <v>10486</v>
      </c>
      <c r="C10488" s="10" t="inlineStr">
        <is>
          <t>Villa Site Manager/ Quản Lý Thi Công - Biệt Thự</t>
        </is>
      </c>
      <c r="D10488" s="10" t="inlineStr">
        <is>
          <t>Tổng Công Ty Phát Triển Đô Thị Kinh Bắc (KBC)</t>
        </is>
      </c>
      <c r="E10488" s="10" t="inlineStr">
        <is>
          <t>Thương lượng</t>
        </is>
      </c>
      <c r="F10488" s="10" t="inlineStr">
        <is>
          <t>Hưng Yên, Hà Nội</t>
        </is>
      </c>
      <c r="G10488" s="10" t="inlineStr">
        <is>
          <t>Trưởng phòng</t>
        </is>
      </c>
      <c r="H10488" s="10" t="inlineStr">
        <is>
          <t>12/03/2026</t>
        </is>
      </c>
      <c r="I10488" s="10" t="inlineStr">
        <is>
          <t>11/04/2026</t>
        </is>
      </c>
      <c r="J10488" s="10" t="inlineStr">
        <is>
          <t>17/03/2026</t>
        </is>
      </c>
      <c r="K10488" s="10" t="inlineStr">
        <is>
          <t>N/A</t>
        </is>
      </c>
      <c r="L10488" s="10" t="inlineStr">
        <is>
          <t>Quản Lý Dự Án, Quản Lý Thi Công, Villa Design, Villa Management, Đảm Bảo Chất Lượng</t>
        </is>
      </c>
      <c r="M10488" s="10" t="inlineStr">
        <is>
          <t>Bonus, Healthcare Plan, Travel Opportunities</t>
        </is>
      </c>
      <c r="N10488" s="11">
        <f>HYPERLINK("https://www.vietnamworks.com/villa-site-manager-quan-ly-thi-cong-biet-thu-2022782-jv","Xem chi tiết")</f>
        <v/>
      </c>
      <c r="O10488" s="10" t="n"/>
    </row>
    <row r="10489">
      <c r="B10489" s="7" t="n">
        <v>10487</v>
      </c>
      <c r="C10489" t="inlineStr">
        <is>
          <t>Chuyên Viên Pháp Lý/ Công Bố Sản Phẩm (Tiếng Trung) - Lương Lên Tới 30 Triệu/ Tháng</t>
        </is>
      </c>
      <c r="D10489" t="inlineStr">
        <is>
          <t>CÔNG TY TNHH NƯỚC GIẢI KHÁT EASTROC (VIỆT NAM)</t>
        </is>
      </c>
      <c r="E10489" t="inlineStr">
        <is>
          <t>20tr-30tr ₫/tháng</t>
        </is>
      </c>
      <c r="F10489" t="inlineStr">
        <is>
          <t>Hồ Chí Minh</t>
        </is>
      </c>
      <c r="G10489" t="inlineStr">
        <is>
          <t>Nhân viên</t>
        </is>
      </c>
      <c r="H10489" t="inlineStr">
        <is>
          <t>12/03/2026</t>
        </is>
      </c>
      <c r="I10489" t="inlineStr">
        <is>
          <t>11/04/2026</t>
        </is>
      </c>
      <c r="J10489" t="inlineStr">
        <is>
          <t>17/03/2026</t>
        </is>
      </c>
      <c r="K10489" t="inlineStr">
        <is>
          <t>N/A</t>
        </is>
      </c>
      <c r="L10489" t="inlineStr">
        <is>
          <t>Pháp Lý, Pháp Quy Thực Phẩm, Quy Định An Toàn Thực Phẩm, Thực phẩm, Tiếng Trung</t>
        </is>
      </c>
      <c r="M10489" t="inlineStr">
        <is>
          <t>Bonus, Healthcare Plan, Training, Team Activities, Others</t>
        </is>
      </c>
      <c r="N10489" s="8">
        <f>HYPERLINK("https://www.vietnamworks.com/chuyen-vien-phap-ly-cong-bo-san-pham-tieng-trung-luong-len-toi-30-trieu-thang-2022766-jv","Xem chi tiết")</f>
        <v/>
      </c>
    </row>
    <row r="10490">
      <c r="B10490" s="9" t="n">
        <v>10488</v>
      </c>
      <c r="C10490" s="10" t="inlineStr">
        <is>
          <t>Kế Toán Trưởng Công Ty Thành Viên</t>
        </is>
      </c>
      <c r="D10490" s="10" t="inlineStr">
        <is>
          <t>Tập Đoàn Ecopark</t>
        </is>
      </c>
      <c r="E10490" s="10" t="inlineStr">
        <is>
          <t>Thương lượng</t>
        </is>
      </c>
      <c r="F10490" s="10" t="inlineStr">
        <is>
          <t>Hưng Yên, Hà Nội</t>
        </is>
      </c>
      <c r="G10490" s="10" t="inlineStr">
        <is>
          <t>Trưởng phòng</t>
        </is>
      </c>
      <c r="H10490" s="10" t="inlineStr">
        <is>
          <t>12/03/2026</t>
        </is>
      </c>
      <c r="I10490" s="10" t="inlineStr">
        <is>
          <t>11/04/2026</t>
        </is>
      </c>
      <c r="J10490" s="10" t="inlineStr">
        <is>
          <t>17/03/2026</t>
        </is>
      </c>
      <c r="K10490" s="10" t="inlineStr">
        <is>
          <t>N/A</t>
        </is>
      </c>
      <c r="L10490" s="10" t="inlineStr">
        <is>
          <t>Phân Tích Tài Chính, Báo Cáo Thuế, Lập Báo Cáo Tài Chính, Quản Trị Doanh Nghiệp, Tài Chính Kế Toán</t>
        </is>
      </c>
      <c r="M10490" s="10" t="inlineStr">
        <is>
          <t>Bonus, Healthcare Plan, Transportation</t>
        </is>
      </c>
      <c r="N10490" s="11">
        <f>HYPERLINK("https://www.vietnamworks.com/ke-toan-truong-cong-ty-thanh-vien-2022777-jv","Xem chi tiết")</f>
        <v/>
      </c>
      <c r="O10490" s="10" t="n"/>
    </row>
    <row r="10491">
      <c r="B10491" s="7" t="n">
        <v>10489</v>
      </c>
      <c r="C10491" t="inlineStr">
        <is>
          <t>Accounting Executive (1-year Freelance Contract)</t>
        </is>
      </c>
      <c r="D10491" t="inlineStr">
        <is>
          <t>Công Ty TNHH Money Forward Việt Nam</t>
        </is>
      </c>
      <c r="E10491" t="inlineStr">
        <is>
          <t>Thương lượng</t>
        </is>
      </c>
      <c r="F10491" t="inlineStr">
        <is>
          <t>Hồ Chí Minh</t>
        </is>
      </c>
      <c r="G10491" t="inlineStr">
        <is>
          <t>Mới Tốt Nghiệp</t>
        </is>
      </c>
      <c r="H10491" t="inlineStr">
        <is>
          <t>12/03/2026</t>
        </is>
      </c>
      <c r="I10491" t="inlineStr">
        <is>
          <t>11/04/2026</t>
        </is>
      </c>
      <c r="J10491" t="inlineStr">
        <is>
          <t>17/03/2026</t>
        </is>
      </c>
      <c r="K10491" t="inlineStr">
        <is>
          <t>N/A</t>
        </is>
      </c>
      <c r="L10491" t="inlineStr">
        <is>
          <t>Attention To Detail, General Accounting Principals, Microsoft Excel, Microsoft Word</t>
        </is>
      </c>
      <c r="M10491" t="inlineStr">
        <is>
          <t>Others</t>
        </is>
      </c>
      <c r="N10491" s="8">
        <f>HYPERLINK("https://www.vietnamworks.com/accounting-executive-1-year-freelance-contract-2022780-jv","Xem chi tiết")</f>
        <v/>
      </c>
    </row>
    <row r="10492">
      <c r="B10492" s="9" t="n">
        <v>10490</v>
      </c>
      <c r="C10492" s="10" t="inlineStr">
        <is>
          <t>Kế Toán Trưởng (Thu Nhập 23 – 30 Triệu++ | Thưởng Dự Án)</t>
        </is>
      </c>
      <c r="D10492" s="10" t="inlineStr">
        <is>
          <t>Công ty Cổ Phần đầu tư VIC Việt Nam</t>
        </is>
      </c>
      <c r="E10492" s="10" t="inlineStr">
        <is>
          <t>23tr-30tr ₫/tháng</t>
        </is>
      </c>
      <c r="F10492" s="10" t="inlineStr">
        <is>
          <t>Hà Nội</t>
        </is>
      </c>
      <c r="G10492" s="10" t="inlineStr">
        <is>
          <t>Trưởng phòng</t>
        </is>
      </c>
      <c r="H10492" s="10" t="inlineStr">
        <is>
          <t>12/03/2026</t>
        </is>
      </c>
      <c r="I10492" s="10" t="inlineStr">
        <is>
          <t>11/04/2026</t>
        </is>
      </c>
      <c r="J10492" s="10" t="inlineStr">
        <is>
          <t>17/03/2026</t>
        </is>
      </c>
      <c r="K10492" s="10" t="inlineStr">
        <is>
          <t>N/A</t>
        </is>
      </c>
      <c r="L10492" s="10" t="inlineStr">
        <is>
          <t>Hạch Toán, Lập Báo Cáo, Luật Thuế, Phần Mềm Kế Toán, Tài Chính Doanh Nghiệp</t>
        </is>
      </c>
      <c r="M10492" s="10" t="inlineStr">
        <is>
          <t>Bonus, Paid Leave, Training, Laptop, Team Activities, Others</t>
        </is>
      </c>
      <c r="N10492" s="11">
        <f>HYPERLINK("https://www.vietnamworks.com/ke-toan-truong-thu-nhap-23-30-trieu-or-thuong-du-an-2022786-jv","Xem chi tiết")</f>
        <v/>
      </c>
      <c r="O10492" s="10" t="n"/>
    </row>
    <row r="10493">
      <c r="B10493" s="7" t="n">
        <v>10491</v>
      </c>
      <c r="C10493" t="inlineStr">
        <is>
          <t>Clearance Broker Lead - Nội Bài/ HCM</t>
        </is>
      </c>
      <c r="D10493" t="inlineStr">
        <is>
          <t>FedEx Express Vietnam Co., Ltd.</t>
        </is>
      </c>
      <c r="E10493" t="inlineStr">
        <is>
          <t>Thương lượng</t>
        </is>
      </c>
      <c r="F10493" t="inlineStr">
        <is>
          <t>Hà Nội, Hồ Chí Minh</t>
        </is>
      </c>
      <c r="G10493" t="inlineStr">
        <is>
          <t>Nhân viên</t>
        </is>
      </c>
      <c r="H10493" t="inlineStr">
        <is>
          <t>12/03/2026</t>
        </is>
      </c>
      <c r="I10493" t="inlineStr">
        <is>
          <t>11/04/2026</t>
        </is>
      </c>
      <c r="J10493" t="inlineStr">
        <is>
          <t>17/03/2026</t>
        </is>
      </c>
      <c r="K10493" t="inlineStr">
        <is>
          <t>N/A</t>
        </is>
      </c>
      <c r="L10493" t="inlineStr">
        <is>
          <t>Customs, Customs Brokerage, Customs Clearance, Customs Handling, Customshouse Broker License</t>
        </is>
      </c>
      <c r="M10493" t="inlineStr">
        <is>
          <t>Bonus, Healthcare Plan, Training, Awards, Vouchers, Others</t>
        </is>
      </c>
      <c r="N10493" s="8">
        <f>HYPERLINK("https://www.vietnamworks.com/clearance-broker-lead-noi-bai-hcm-2022771-jv","Xem chi tiết")</f>
        <v/>
      </c>
    </row>
    <row r="10494">
      <c r="B10494" s="9" t="n">
        <v>10492</v>
      </c>
      <c r="C10494" s="10" t="inlineStr">
        <is>
          <t>Marketing Manager - Group Brand</t>
        </is>
      </c>
      <c r="D10494" s="10" t="inlineStr">
        <is>
          <t>Amway Vietnam Co., Ltd.</t>
        </is>
      </c>
      <c r="E10494" s="10" t="inlineStr">
        <is>
          <t>Thương lượng</t>
        </is>
      </c>
      <c r="F10494" s="10" t="inlineStr">
        <is>
          <t>Hồ Chí Minh</t>
        </is>
      </c>
      <c r="G10494" s="10" t="inlineStr">
        <is>
          <t>Trưởng phòng</t>
        </is>
      </c>
      <c r="H10494" s="10" t="inlineStr">
        <is>
          <t>12/03/2026</t>
        </is>
      </c>
      <c r="I10494" s="10" t="inlineStr">
        <is>
          <t>11/04/2026</t>
        </is>
      </c>
      <c r="J10494" s="10" t="inlineStr">
        <is>
          <t>17/03/2026</t>
        </is>
      </c>
      <c r="K10494" s="10" t="inlineStr">
        <is>
          <t>N/A</t>
        </is>
      </c>
      <c r="L10494" s="10" t="inlineStr">
        <is>
          <t>Brand Management, Product Marketing, Strategy Development, Market Analysis, Budgeting</t>
        </is>
      </c>
      <c r="M10494" s="10" t="inlineStr">
        <is>
          <t>Bonus, Healthcare Plan, Training</t>
        </is>
      </c>
      <c r="N10494" s="11">
        <f>HYPERLINK("https://www.vietnamworks.com/marketing-manager-group-brand--2022779-jv","Xem chi tiết")</f>
        <v/>
      </c>
      <c r="O10494" s="10" t="n"/>
    </row>
    <row r="10495">
      <c r="B10495" s="7" t="n">
        <v>10493</v>
      </c>
      <c r="C10495" t="inlineStr">
        <is>
          <t>Kỹ Sư Thiết Kế Xây Dựng (Dự Án Lưới Điện)</t>
        </is>
      </c>
      <c r="D10495" t="inlineStr">
        <is>
          <t>Công Ty Cổ Phần Tư Vấn Xây Dựng Điện 2 (PECC2)</t>
        </is>
      </c>
      <c r="E10495" t="inlineStr">
        <is>
          <t>15tr-35tr ₫/tháng</t>
        </is>
      </c>
      <c r="F10495" t="inlineStr">
        <is>
          <t>Hồ Chí Minh</t>
        </is>
      </c>
      <c r="G10495" t="inlineStr">
        <is>
          <t>Nhân viên</t>
        </is>
      </c>
      <c r="H10495" t="inlineStr">
        <is>
          <t>12/03/2026</t>
        </is>
      </c>
      <c r="I10495" t="inlineStr">
        <is>
          <t>11/04/2026</t>
        </is>
      </c>
      <c r="J10495" t="inlineStr">
        <is>
          <t>17/03/2026</t>
        </is>
      </c>
      <c r="K10495" t="inlineStr">
        <is>
          <t>N/A</t>
        </is>
      </c>
      <c r="L10495" t="inlineStr">
        <is>
          <t>Xây Dựng Dân Dụng và Công Nghiệp, Trạm Biến Áp, Kết Cấu Công Trình, Kết Cấu Nền Móng, Lập Bản Vẽ Thi Công</t>
        </is>
      </c>
      <c r="M10495" t="inlineStr">
        <is>
          <t>Bonus, Healthcare Plan, Training, Team Activities, Others</t>
        </is>
      </c>
      <c r="N10495" s="8">
        <f>HYPERLINK("https://www.vietnamworks.com/ky-su-thiet-ke-xay-dung-du-an-luoi-dien-2022785-jv","Xem chi tiết")</f>
        <v/>
      </c>
    </row>
    <row r="10496">
      <c r="B10496" s="9" t="n">
        <v>10494</v>
      </c>
      <c r="C10496" s="10" t="inlineStr">
        <is>
          <t>Indirect Purchasing Manager - Binh Duong</t>
        </is>
      </c>
      <c r="D10496" s="10" t="inlineStr">
        <is>
          <t>Michael Page Vietnam</t>
        </is>
      </c>
      <c r="E10496" s="10" t="inlineStr">
        <is>
          <t>$$ 2,000-2,000 /tháng</t>
        </is>
      </c>
      <c r="F10496" s="10" t="inlineStr">
        <is>
          <t>Bình Dương</t>
        </is>
      </c>
      <c r="G10496" s="10" t="inlineStr">
        <is>
          <t>Trưởng phòng</t>
        </is>
      </c>
      <c r="H10496" s="10" t="inlineStr">
        <is>
          <t>12/03/2026</t>
        </is>
      </c>
      <c r="I10496" s="10" t="inlineStr">
        <is>
          <t>11/04/2026</t>
        </is>
      </c>
      <c r="J10496" s="10" t="inlineStr">
        <is>
          <t>17/03/2026</t>
        </is>
      </c>
      <c r="K10496" s="10" t="inlineStr">
        <is>
          <t>N/A</t>
        </is>
      </c>
      <c r="L10496" s="10" t="inlineStr">
        <is>
          <t>Purchasing, Negotiation, English, Procurement</t>
        </is>
      </c>
      <c r="M10496" s="10" t="inlineStr">
        <is>
          <t>Bonus, Transportation, Canteen</t>
        </is>
      </c>
      <c r="N10496" s="11">
        <f>HYPERLINK("https://www.vietnamworks.com/indirect-purchasing-manager-binh-duong-2022790-jv","Xem chi tiết")</f>
        <v/>
      </c>
      <c r="O10496" s="10" t="n"/>
    </row>
    <row r="10497">
      <c r="B10497" s="7" t="n">
        <v>10495</v>
      </c>
      <c r="C10497" t="inlineStr">
        <is>
          <t>Nhân Viên Sales Admin</t>
        </is>
      </c>
      <c r="D10497" t="inlineStr">
        <is>
          <t>CÔNG TY CỔ PHẦN GỖ AN CƯỜNG</t>
        </is>
      </c>
      <c r="E10497" t="inlineStr">
        <is>
          <t>10tr-14tr ₫/tháng</t>
        </is>
      </c>
      <c r="F10497" t="inlineStr">
        <is>
          <t>Hồ Chí Minh</t>
        </is>
      </c>
      <c r="G10497" t="inlineStr">
        <is>
          <t>Nhân viên</t>
        </is>
      </c>
      <c r="H10497" t="inlineStr">
        <is>
          <t>12/03/2026</t>
        </is>
      </c>
      <c r="I10497" t="inlineStr">
        <is>
          <t>11/04/2026</t>
        </is>
      </c>
      <c r="J10497" t="inlineStr">
        <is>
          <t>17/03/2026</t>
        </is>
      </c>
      <c r="K10497" t="inlineStr">
        <is>
          <t>N/A</t>
        </is>
      </c>
      <c r="L10497" t="inlineStr">
        <is>
          <t>Tư Vấn Kinh Doanh, Hỗ Trợ Kinh Doanh, Quản Lý Đơn Hàng, Sales Admin, Tiếng Anh</t>
        </is>
      </c>
      <c r="M10497" t="inlineStr">
        <is>
          <t>Bonus, Healthcare Plan, Paid Leave, Training, Laptop, Others</t>
        </is>
      </c>
      <c r="N10497" s="8">
        <f>HYPERLINK("https://www.vietnamworks.com/nhan-vien-sales-admin-2022794-jv","Xem chi tiết")</f>
        <v/>
      </c>
    </row>
    <row r="10498">
      <c r="B10498" s="9" t="n">
        <v>10496</v>
      </c>
      <c r="C10498" s="10" t="inlineStr">
        <is>
          <t>Kỹ Thuật Cơ Khí Thủy Lực (14-17 Tháng Lương/năm, Đào Tạo Chuẩn Hãng)</t>
        </is>
      </c>
      <c r="D10498" s="10" t="inlineStr">
        <is>
          <t>Công Ty Cổ Phần Quốc Tế Thăng Long P&amp;t</t>
        </is>
      </c>
      <c r="E10498" s="10" t="inlineStr">
        <is>
          <t>$$ 600-1,000 /tháng</t>
        </is>
      </c>
      <c r="F10498" s="10" t="inlineStr">
        <is>
          <t>Hà Nội</t>
        </is>
      </c>
      <c r="G10498" s="10" t="inlineStr">
        <is>
          <t>Nhân viên</t>
        </is>
      </c>
      <c r="H10498" s="10" t="inlineStr">
        <is>
          <t>12/03/2026</t>
        </is>
      </c>
      <c r="I10498" s="10" t="inlineStr">
        <is>
          <t>11/04/2026</t>
        </is>
      </c>
      <c r="J10498" s="10" t="inlineStr">
        <is>
          <t>17/03/2026</t>
        </is>
      </c>
      <c r="K10498" s="10" t="inlineStr">
        <is>
          <t>N/A</t>
        </is>
      </c>
      <c r="L10498" s="10" t="inlineStr">
        <is>
          <t>Dịch Vụ Kỹ Thuật, Cơ Khí, Vận Hành Hệ Thống Bơm, Bảo Trì Hệ Thống, Thủy Lực</t>
        </is>
      </c>
      <c r="M10498" s="10" t="inlineStr">
        <is>
          <t>Bonus, Canteen, Vouchers</t>
        </is>
      </c>
      <c r="N10498" s="11">
        <f>HYPERLINK("https://www.vietnamworks.com/ky-thuat-co-khi-thuy-luc-14-17-thang-luong-nam-dao-tao-chuan-hang-2022789-jv","Xem chi tiết")</f>
        <v/>
      </c>
      <c r="O10498" s="10" t="n"/>
    </row>
    <row r="10499">
      <c r="B10499" s="7" t="n">
        <v>10497</v>
      </c>
      <c r="C10499" t="inlineStr">
        <is>
          <t>Kỹ Sư Giám Sát Thi Công &amp; Chuyên Viên Kinh Doanh Dự Án Y Tế</t>
        </is>
      </c>
      <c r="D10499" t="inlineStr">
        <is>
          <t>Công ty cổ phần đầu tư và thương mại Minh Phú Việt Nam</t>
        </is>
      </c>
      <c r="E10499" t="inlineStr">
        <is>
          <t>12tr-20tr ₫/tháng</t>
        </is>
      </c>
      <c r="F10499" t="inlineStr">
        <is>
          <t>Hà Nội</t>
        </is>
      </c>
      <c r="G10499" t="inlineStr">
        <is>
          <t>Nhân viên</t>
        </is>
      </c>
      <c r="H10499" t="inlineStr">
        <is>
          <t>12/03/2026</t>
        </is>
      </c>
      <c r="I10499" t="inlineStr">
        <is>
          <t>11/04/2026</t>
        </is>
      </c>
      <c r="J10499" t="inlineStr">
        <is>
          <t>17/03/2026</t>
        </is>
      </c>
      <c r="K10499" t="inlineStr">
        <is>
          <t>N/A</t>
        </is>
      </c>
      <c r="L10499" t="inlineStr">
        <is>
          <t>Autocad, Giao Tiếp, Kinh Doanh Thiết Bị Y Tế, MEP, Đàm Phán</t>
        </is>
      </c>
      <c r="M10499" t="inlineStr">
        <is>
          <t>Bonus, Healthcare Plan, Training, Others</t>
        </is>
      </c>
      <c r="N10499" s="8">
        <f>HYPERLINK("https://www.vietnamworks.com/ky-su-giam-sat-thi-cong-and-chuyen-vien-kinh-doanh-du-an-y-te-2022795-jv","Xem chi tiết")</f>
        <v/>
      </c>
    </row>
    <row r="10500">
      <c r="B10500" s="9" t="n">
        <v>10498</v>
      </c>
      <c r="C10500" s="10" t="inlineStr">
        <is>
          <t>Content - Community Specialist</t>
        </is>
      </c>
      <c r="D10500" s="10" t="inlineStr">
        <is>
          <t>OPPO Vietnam</t>
        </is>
      </c>
      <c r="E10500" s="10" t="inlineStr">
        <is>
          <t>Thương lượng</t>
        </is>
      </c>
      <c r="F10500" s="10" t="inlineStr">
        <is>
          <t>Hồ Chí Minh</t>
        </is>
      </c>
      <c r="G10500" s="10" t="inlineStr">
        <is>
          <t>Nhân viên</t>
        </is>
      </c>
      <c r="H10500" s="10" t="inlineStr">
        <is>
          <t>12/03/2026</t>
        </is>
      </c>
      <c r="I10500" s="10" t="inlineStr">
        <is>
          <t>11/04/2026</t>
        </is>
      </c>
      <c r="J10500" s="10" t="inlineStr">
        <is>
          <t>17/03/2026</t>
        </is>
      </c>
      <c r="K10500" s="10" t="inlineStr">
        <is>
          <t>N/A</t>
        </is>
      </c>
      <c r="L10500" s="10" t="inlineStr">
        <is>
          <t>Adaptability, Community Development, Interpersonal Skills, Social Media Management, Team Management</t>
        </is>
      </c>
      <c r="M10500" s="10" t="inlineStr">
        <is>
          <t>Bonus, Healthcare Plan, Training, Team Activities, Vouchers</t>
        </is>
      </c>
      <c r="N10500" s="11">
        <f>HYPERLINK("https://www.vietnamworks.com/content-community-specialist-2022822-jv","Xem chi tiết")</f>
        <v/>
      </c>
      <c r="O10500" s="10" t="n"/>
    </row>
    <row r="10501">
      <c r="B10501" s="7" t="n">
        <v>10499</v>
      </c>
      <c r="C10501" t="inlineStr">
        <is>
          <t>Finance Intern</t>
        </is>
      </c>
      <c r="D10501" t="inlineStr">
        <is>
          <t>BAT Vietnam</t>
        </is>
      </c>
      <c r="E10501" t="inlineStr">
        <is>
          <t>Thương lượng</t>
        </is>
      </c>
      <c r="F10501" t="inlineStr">
        <is>
          <t>Hồ Chí Minh</t>
        </is>
      </c>
      <c r="G10501" t="inlineStr">
        <is>
          <t>Thực tập sinh/Sinh viên</t>
        </is>
      </c>
      <c r="H10501" t="inlineStr">
        <is>
          <t>12/03/2026</t>
        </is>
      </c>
      <c r="I10501" t="inlineStr">
        <is>
          <t>11/04/2026</t>
        </is>
      </c>
      <c r="J10501" t="inlineStr">
        <is>
          <t>17/03/2026</t>
        </is>
      </c>
      <c r="K10501" t="inlineStr">
        <is>
          <t>N/A</t>
        </is>
      </c>
      <c r="L10501" t="inlineStr">
        <is>
          <t>Accounting, Auditing, Business Administration, Eager To Learn, Finance</t>
        </is>
      </c>
      <c r="M10501" t="inlineStr">
        <is>
          <t>Bonus, Training, Transportation, Canteen</t>
        </is>
      </c>
      <c r="N10501" s="8">
        <f>HYPERLINK("https://www.vietnamworks.com/finance-intern-2022797-jv","Xem chi tiết")</f>
        <v/>
      </c>
    </row>
    <row r="10502">
      <c r="B10502" s="9" t="n">
        <v>10500</v>
      </c>
      <c r="C10502" s="10" t="inlineStr">
        <is>
          <t>Phó Phòng Kế Toán</t>
        </is>
      </c>
      <c r="D10502" s="10" t="inlineStr">
        <is>
          <t>Công ty cổ phần tập đoàn đầu tư Thăng Long</t>
        </is>
      </c>
      <c r="E10502" s="10" t="inlineStr">
        <is>
          <t>Thương lượng</t>
        </is>
      </c>
      <c r="F10502" s="10" t="inlineStr">
        <is>
          <t>Hà Nội</t>
        </is>
      </c>
      <c r="G10502" s="10" t="inlineStr">
        <is>
          <t>Trưởng phòng</t>
        </is>
      </c>
      <c r="H10502" s="10" t="inlineStr">
        <is>
          <t>12/03/2026</t>
        </is>
      </c>
      <c r="I10502" s="10" t="inlineStr">
        <is>
          <t>11/04/2026</t>
        </is>
      </c>
      <c r="J10502" s="10" t="inlineStr">
        <is>
          <t>17/03/2026</t>
        </is>
      </c>
      <c r="K10502" s="10" t="inlineStr">
        <is>
          <t>N/A</t>
        </is>
      </c>
      <c r="L10502" s="10" t="inlineStr">
        <is>
          <t>Kiểm Toán, Phân Tích Tài Chính, Báo Cáo Tài Chính, Hạch Toán, Tài Chính Kế Toán</t>
        </is>
      </c>
      <c r="M10502" s="10" t="inlineStr">
        <is>
          <t>Bonus, Paid Leave, Travel Opportunities</t>
        </is>
      </c>
      <c r="N10502" s="11">
        <f>HYPERLINK("https://www.vietnamworks.com/pho-phong-ke-toan-2022812-jv","Xem chi tiết")</f>
        <v/>
      </c>
      <c r="O10502" s="10" t="n"/>
    </row>
    <row r="10503">
      <c r="B10503" s="7" t="n">
        <v>10501</v>
      </c>
      <c r="C10503" t="inlineStr">
        <is>
          <t>Group Investment Lead</t>
        </is>
      </c>
      <c r="D10503" t="inlineStr">
        <is>
          <t>Công Ty Cổ Phần Openasia</t>
        </is>
      </c>
      <c r="E10503" t="inlineStr">
        <is>
          <t>Thương lượng</t>
        </is>
      </c>
      <c r="F10503" t="inlineStr">
        <is>
          <t>Hà Nội</t>
        </is>
      </c>
      <c r="G10503" t="inlineStr">
        <is>
          <t>Trưởng phòng</t>
        </is>
      </c>
      <c r="H10503" t="inlineStr">
        <is>
          <t>12/03/2026</t>
        </is>
      </c>
      <c r="I10503" t="inlineStr">
        <is>
          <t>11/04/2026</t>
        </is>
      </c>
      <c r="J10503" t="inlineStr">
        <is>
          <t>17/03/2026</t>
        </is>
      </c>
      <c r="K10503" t="inlineStr">
        <is>
          <t>N/A</t>
        </is>
      </c>
      <c r="L10503" t="inlineStr">
        <is>
          <t>Stakeholder Mangement, Investment Knowledge, Analytical Skills, Market Research</t>
        </is>
      </c>
      <c r="M10503" t="inlineStr">
        <is>
          <t>Bonus, Healthcare Plan, Paid Leave</t>
        </is>
      </c>
      <c r="N10503" s="8">
        <f>HYPERLINK("https://www.vietnamworks.com/group-investment-lead-2022800-jv","Xem chi tiết")</f>
        <v/>
      </c>
    </row>
    <row r="10504">
      <c r="B10504" s="9" t="n">
        <v>10502</v>
      </c>
      <c r="C10504" s="10" t="inlineStr">
        <is>
          <t>Warehouse Supervisors</t>
        </is>
      </c>
      <c r="D10504" s="10" t="inlineStr">
        <is>
          <t>CÔNG TY TNHH AMPHENOL TECHNOLOGY VIỆT NAM</t>
        </is>
      </c>
      <c r="E10504" s="10" t="inlineStr">
        <is>
          <t>Thương lượng</t>
        </is>
      </c>
      <c r="F10504" s="10" t="inlineStr">
        <is>
          <t>Quốc tế</t>
        </is>
      </c>
      <c r="G10504" s="10" t="inlineStr">
        <is>
          <t>Trưởng phòng</t>
        </is>
      </c>
      <c r="H10504" s="10" t="inlineStr">
        <is>
          <t>12/03/2026</t>
        </is>
      </c>
      <c r="I10504" s="10" t="inlineStr">
        <is>
          <t>11/04/2026</t>
        </is>
      </c>
      <c r="J10504" s="10" t="inlineStr">
        <is>
          <t>17/03/2026</t>
        </is>
      </c>
      <c r="K10504" s="10" t="inlineStr">
        <is>
          <t>N/A</t>
        </is>
      </c>
      <c r="L10504" s="10" t="inlineStr">
        <is>
          <t>ERP Operation, WMS systems, English, Warehouse Management, Giám Sát Kho</t>
        </is>
      </c>
      <c r="M10504" s="10" t="inlineStr">
        <is>
          <t>Bonus, Healthcare Plan, Laptop</t>
        </is>
      </c>
      <c r="N10504" s="11">
        <f>HYPERLINK("https://www.vietnamworks.com/warehouse-supervisors--2022806-jv","Xem chi tiết")</f>
        <v/>
      </c>
      <c r="O10504" s="10" t="n"/>
    </row>
    <row r="10505">
      <c r="B10505" s="7" t="n">
        <v>10503</v>
      </c>
      <c r="C10505" t="inlineStr">
        <is>
          <t>Nhân Viên Phụ Trách IT Nhà Máy</t>
        </is>
      </c>
      <c r="D10505" t="inlineStr">
        <is>
          <t>CÔNG TY TNHH ĐỒ CHƠI THÔNG MINH SUN VIGOR VIỆT NAM</t>
        </is>
      </c>
      <c r="E10505" t="inlineStr">
        <is>
          <t>Thương lượng</t>
        </is>
      </c>
      <c r="F10505" t="inlineStr">
        <is>
          <t>Hải Phòng</t>
        </is>
      </c>
      <c r="G10505" t="inlineStr">
        <is>
          <t>Nhân viên</t>
        </is>
      </c>
      <c r="H10505" t="inlineStr">
        <is>
          <t>12/03/2026</t>
        </is>
      </c>
      <c r="I10505" t="inlineStr">
        <is>
          <t>11/04/2026</t>
        </is>
      </c>
      <c r="J10505" t="inlineStr">
        <is>
          <t>17/03/2026</t>
        </is>
      </c>
      <c r="K10505" t="inlineStr">
        <is>
          <t>N/A</t>
        </is>
      </c>
      <c r="L10505" t="inlineStr">
        <is>
          <t>Technical Support, IT Helpdesk, Network Management, Basic English, IT Support</t>
        </is>
      </c>
      <c r="M10505" t="inlineStr">
        <is>
          <t>Bonus, Healthcare Plan, Paid Leave, Transportation, Others</t>
        </is>
      </c>
      <c r="N10505" s="8">
        <f>HYPERLINK("https://www.vietnamworks.com/nhan-vien-phu-trach-it-nha-may-2022815-jv","Xem chi tiết")</f>
        <v/>
      </c>
    </row>
    <row r="10506">
      <c r="B10506" s="9" t="n">
        <v>10504</v>
      </c>
      <c r="C10506" s="10" t="inlineStr">
        <is>
          <t>Chuyên Gia Quản Trị Dữ Liệu/ Kiến Trúc Dữ Liệu</t>
        </is>
      </c>
      <c r="D10506" s="10" t="inlineStr">
        <is>
          <t>Ngân hàng TMCP Kiên Long</t>
        </is>
      </c>
      <c r="E10506" s="10" t="inlineStr">
        <is>
          <t>Thương lượng</t>
        </is>
      </c>
      <c r="F10506" s="10" t="inlineStr">
        <is>
          <t>Hà Nội, Hồ Chí Minh</t>
        </is>
      </c>
      <c r="G10506" s="10" t="inlineStr">
        <is>
          <t>Nhân viên</t>
        </is>
      </c>
      <c r="H10506" s="10" t="inlineStr">
        <is>
          <t>12/03/2026</t>
        </is>
      </c>
      <c r="I10506" s="10" t="inlineStr">
        <is>
          <t>11/04/2026</t>
        </is>
      </c>
      <c r="J10506" s="10" t="inlineStr">
        <is>
          <t>17/03/2026</t>
        </is>
      </c>
      <c r="K10506" s="10" t="inlineStr">
        <is>
          <t>N/A</t>
        </is>
      </c>
      <c r="L10506" s="10" t="inlineStr">
        <is>
          <t>Data Analysis, Data Management, Data Modeling, ETL Tool, Quality Tools</t>
        </is>
      </c>
      <c r="M10506" s="10" t="inlineStr">
        <is>
          <t>Bonus, Healthcare Plan, Paid Leave, Training, Canteen, Others</t>
        </is>
      </c>
      <c r="N10506" s="11">
        <f>HYPERLINK("https://www.vietnamworks.com/chuyen-gia-quan-tri-du-lieu-kien-truc-du-lieu-2022803-jv","Xem chi tiết")</f>
        <v/>
      </c>
      <c r="O10506" s="10" t="n"/>
    </row>
    <row r="10507">
      <c r="B10507" s="7" t="n">
        <v>10505</v>
      </c>
      <c r="C10507" t="inlineStr">
        <is>
          <t>Vietnamese School Social-Emotional Counselor (Kindergarten Through Grade 8) TH School Chua Boc Campus for Ay 26/27</t>
        </is>
      </c>
      <c r="D10507" t="inlineStr">
        <is>
          <t>TH School</t>
        </is>
      </c>
      <c r="E10507" t="inlineStr">
        <is>
          <t>Thương lượng</t>
        </is>
      </c>
      <c r="F10507" t="inlineStr">
        <is>
          <t>Hà Nội</t>
        </is>
      </c>
      <c r="G10507" t="inlineStr">
        <is>
          <t>Nhân viên</t>
        </is>
      </c>
      <c r="H10507" t="inlineStr">
        <is>
          <t>12/03/2026</t>
        </is>
      </c>
      <c r="I10507" t="inlineStr">
        <is>
          <t>11/04/2026</t>
        </is>
      </c>
      <c r="J10507" t="inlineStr">
        <is>
          <t>17/03/2026</t>
        </is>
      </c>
      <c r="K10507" t="inlineStr">
        <is>
          <t>N/A</t>
        </is>
      </c>
      <c r="L10507" t="inlineStr">
        <is>
          <t>English, Education Counselling, Psychology, Tâm Lý Học Đường, Tư Vấn</t>
        </is>
      </c>
      <c r="M10507" t="inlineStr">
        <is>
          <t>Bonus, Canteen, Others</t>
        </is>
      </c>
      <c r="N10507" s="8">
        <f>HYPERLINK("https://www.vietnamworks.com/vietnamese-school-social-emotional-counselor-kindergarten-through-grade-8-th-school-chua-boc-campus-for-ay-26-27-2022818-jv","Xem chi tiết")</f>
        <v/>
      </c>
    </row>
    <row r="10508">
      <c r="B10508" s="9" t="n">
        <v>10506</v>
      </c>
      <c r="C10508" s="10" t="inlineStr">
        <is>
          <t>Quality Assurance Engineer - Kỹ Sư Đảm Bảo Chất Lượng Ngành Điện Tử (Có Xe Đưa Đón Ở TP.HCM)</t>
        </is>
      </c>
      <c r="D10508" s="10" t="inlineStr">
        <is>
          <t>CÔNG TY TNHH AMPHENOL TECHNOLOGY VIỆT NAM</t>
        </is>
      </c>
      <c r="E10508" s="10" t="inlineStr">
        <is>
          <t>Thương lượng</t>
        </is>
      </c>
      <c r="F10508" s="10" t="inlineStr">
        <is>
          <t>Quốc tế</t>
        </is>
      </c>
      <c r="G10508" s="10" t="inlineStr">
        <is>
          <t>Nhân viên</t>
        </is>
      </c>
      <c r="H10508" s="10" t="inlineStr">
        <is>
          <t>12/03/2026</t>
        </is>
      </c>
      <c r="I10508" s="10" t="inlineStr">
        <is>
          <t>11/04/2026</t>
        </is>
      </c>
      <c r="J10508" s="10" t="inlineStr">
        <is>
          <t>17/03/2026</t>
        </is>
      </c>
      <c r="K10508" s="10" t="inlineStr">
        <is>
          <t>N/A</t>
        </is>
      </c>
      <c r="L10508" s="10" t="inlineStr">
        <is>
          <t>Electrical Engineer, Npi Processes, Quality Control and Compliance, 7QC Tools, PPAP</t>
        </is>
      </c>
      <c r="M10508" s="10" t="inlineStr">
        <is>
          <t>Bonus, Healthcare Plan, Travel Opportunities, Transportation, Others</t>
        </is>
      </c>
      <c r="N10508" s="11">
        <f>HYPERLINK("https://www.vietnamworks.com/quality-assurance-engineer-ky-su-djam-bao-chat-luong-nganh-djien-tu-co-xe-djua-djon-o-tp-hcm-2022814-jv","Xem chi tiết")</f>
        <v/>
      </c>
      <c r="O10508" s="10" t="n"/>
    </row>
    <row r="10509">
      <c r="B10509" s="7" t="n">
        <v>10507</v>
      </c>
      <c r="C10509" t="inlineStr">
        <is>
          <t>Chuyên Viên Kiểm Soát Tài Chính Kế Toán</t>
        </is>
      </c>
      <c r="D10509" t="inlineStr">
        <is>
          <t>Công ty Cổ phần Devyt</t>
        </is>
      </c>
      <c r="E10509" t="inlineStr">
        <is>
          <t>Thương lượng</t>
        </is>
      </c>
      <c r="F10509" t="inlineStr">
        <is>
          <t>Hà Nội</t>
        </is>
      </c>
      <c r="G10509" t="inlineStr">
        <is>
          <t>Giám Đốc và Cấp Cao Hơn</t>
        </is>
      </c>
      <c r="H10509" t="inlineStr">
        <is>
          <t>12/03/2026</t>
        </is>
      </c>
      <c r="I10509" t="inlineStr">
        <is>
          <t>11/04/2026</t>
        </is>
      </c>
      <c r="J10509" t="inlineStr">
        <is>
          <t>17/03/2026</t>
        </is>
      </c>
      <c r="K10509" t="inlineStr">
        <is>
          <t>N/A</t>
        </is>
      </c>
      <c r="L10509" t="inlineStr">
        <is>
          <t>Báo Cáo Tài Chính, Kiểm Soát Tài Chính, Nhận Diện Rủi Ro, Phân Tích Số Liệu, Quản Lý Ngân Sách</t>
        </is>
      </c>
      <c r="M10509" t="inlineStr">
        <is>
          <t>Bonus, Healthcare Plan, Canteen, Others</t>
        </is>
      </c>
      <c r="N10509" s="8">
        <f>HYPERLINK("https://www.vietnamworks.com/chuyen-vien-kiem-soat-tai-chinh-ke-toan-2022807-jv","Xem chi tiết")</f>
        <v/>
      </c>
    </row>
    <row r="10510">
      <c r="B10510" s="9" t="n">
        <v>10508</v>
      </c>
      <c r="C10510" s="10" t="inlineStr">
        <is>
          <t>Chuyên Viên Tài Chính Xây Dựng</t>
        </is>
      </c>
      <c r="D10510" s="10" t="inlineStr">
        <is>
          <t>Công Ty Cổ Phần Tập Đoàn Sunshine</t>
        </is>
      </c>
      <c r="E10510" s="10" t="inlineStr">
        <is>
          <t>20tr-30tr ₫/tháng</t>
        </is>
      </c>
      <c r="F10510" s="10" t="inlineStr">
        <is>
          <t>Hà Nội</t>
        </is>
      </c>
      <c r="G10510" s="10" t="inlineStr">
        <is>
          <t>Mới Tốt Nghiệp</t>
        </is>
      </c>
      <c r="H10510" s="10" t="inlineStr">
        <is>
          <t>12/03/2026</t>
        </is>
      </c>
      <c r="I10510" s="10" t="inlineStr">
        <is>
          <t>11/04/2026</t>
        </is>
      </c>
      <c r="J10510" s="10" t="inlineStr">
        <is>
          <t>17/03/2026</t>
        </is>
      </c>
      <c r="K10510" s="10" t="inlineStr">
        <is>
          <t>N/A</t>
        </is>
      </c>
      <c r="L10510" s="10" t="inlineStr">
        <is>
          <t>Báo Cáo Tài Chính, CFA, Phân Tích Tài Chính, Quản Lý Ngân Sách, Tài Chính Kế Toán</t>
        </is>
      </c>
      <c r="M10510" s="10" t="inlineStr">
        <is>
          <t>Bonus, Healthcare Plan, Others</t>
        </is>
      </c>
      <c r="N10510" s="11">
        <f>HYPERLINK("https://www.vietnamworks.com/chuyen-vien-tai-chinh-xay-dung-2022796-jv","Xem chi tiết")</f>
        <v/>
      </c>
      <c r="O10510" s="10" t="n"/>
    </row>
    <row r="10511">
      <c r="B10511" s="7" t="n">
        <v>10509</v>
      </c>
      <c r="C10511" t="inlineStr">
        <is>
          <t>Team Leader, Graphic Designer (Real Estate Background)</t>
        </is>
      </c>
      <c r="D10511" t="inlineStr">
        <is>
          <t>Công Ty Cổ Phần Đầu Tư Nam Long</t>
        </is>
      </c>
      <c r="E10511" t="inlineStr">
        <is>
          <t>Thương lượng</t>
        </is>
      </c>
      <c r="F10511" t="inlineStr">
        <is>
          <t>Hồ Chí Minh</t>
        </is>
      </c>
      <c r="G10511" t="inlineStr">
        <is>
          <t>Trưởng phòng</t>
        </is>
      </c>
      <c r="H10511" t="inlineStr">
        <is>
          <t>12/03/2026</t>
        </is>
      </c>
      <c r="I10511" t="inlineStr">
        <is>
          <t>11/04/2026</t>
        </is>
      </c>
      <c r="J10511" t="inlineStr">
        <is>
          <t>17/03/2026</t>
        </is>
      </c>
      <c r="K10511" t="inlineStr">
        <is>
          <t>N/A</t>
        </is>
      </c>
      <c r="L10511" t="inlineStr">
        <is>
          <t>Marketing Planning, Digital Marketing, Graphic Design, Advertising Art, Real Estate &amp; Construction</t>
        </is>
      </c>
      <c r="M10511" t="inlineStr">
        <is>
          <t>Bonus, Healthcare Plan, Paid Leave</t>
        </is>
      </c>
      <c r="N10511" s="8">
        <f>HYPERLINK("https://www.vietnamworks.com/team-leader-graphic-designer-real-estate-background-2022811-jv","Xem chi tiết")</f>
        <v/>
      </c>
    </row>
    <row r="10512">
      <c r="B10512" s="9" t="n">
        <v>10510</v>
      </c>
      <c r="C10512" s="10" t="inlineStr">
        <is>
          <t>Kỹ Sư Thiết Kế Điện (Dự Án Lưới Điện)</t>
        </is>
      </c>
      <c r="D10512" s="10" t="inlineStr">
        <is>
          <t>Công Ty Cổ Phần Tư Vấn Xây Dựng Điện 2 (PECC2)</t>
        </is>
      </c>
      <c r="E10512" s="10" t="inlineStr">
        <is>
          <t>15tr-35tr ₫/tháng</t>
        </is>
      </c>
      <c r="F10512" s="10" t="inlineStr">
        <is>
          <t>Hồ Chí Minh</t>
        </is>
      </c>
      <c r="G10512" s="10" t="inlineStr">
        <is>
          <t>Nhân viên</t>
        </is>
      </c>
      <c r="H10512" s="10" t="inlineStr">
        <is>
          <t>12/03/2026</t>
        </is>
      </c>
      <c r="I10512" s="10" t="inlineStr">
        <is>
          <t>11/04/2026</t>
        </is>
      </c>
      <c r="J10512" s="10" t="inlineStr">
        <is>
          <t>17/03/2026</t>
        </is>
      </c>
      <c r="K10512" s="10" t="inlineStr">
        <is>
          <t>N/A</t>
        </is>
      </c>
      <c r="L10512" s="10" t="inlineStr">
        <is>
          <t>Thiết Kế Điện, Trạm Biến Áp, Giám Sát Tác Giả Dự Án, Hệ Thống Điện, Thẩm Tra Thiết Kế</t>
        </is>
      </c>
      <c r="M10512" s="10" t="inlineStr">
        <is>
          <t>Bonus, Healthcare Plan, Training, Team Activities, Others</t>
        </is>
      </c>
      <c r="N10512" s="11">
        <f>HYPERLINK("https://www.vietnamworks.com/ky-su-thiet-ke-dien-du-an-luoi-dien-2022799-jv","Xem chi tiết")</f>
        <v/>
      </c>
      <c r="O10512" s="10" t="n"/>
    </row>
    <row r="10513">
      <c r="B10513" s="7" t="n">
        <v>10511</v>
      </c>
      <c r="C10513" t="inlineStr">
        <is>
          <t>Giám Đốc Ban Kiểm Soát Tiến Độ Xây Dựng</t>
        </is>
      </c>
      <c r="D10513" t="inlineStr">
        <is>
          <t>Công Ty Cổ Phần Tập Đoàn Sunshine</t>
        </is>
      </c>
      <c r="E10513" t="inlineStr">
        <is>
          <t>Thương lượng</t>
        </is>
      </c>
      <c r="F10513" t="inlineStr">
        <is>
          <t>Hà Nội</t>
        </is>
      </c>
      <c r="G10513" t="inlineStr">
        <is>
          <t>Giám Đốc và Cấp Cao Hơn</t>
        </is>
      </c>
      <c r="H10513" t="inlineStr">
        <is>
          <t>12/03/2026</t>
        </is>
      </c>
      <c r="I10513" t="inlineStr">
        <is>
          <t>11/04/2026</t>
        </is>
      </c>
      <c r="J10513" t="inlineStr">
        <is>
          <t>17/03/2026</t>
        </is>
      </c>
      <c r="K10513" t="inlineStr">
        <is>
          <t>N/A</t>
        </is>
      </c>
      <c r="L10513" t="inlineStr">
        <is>
          <t>Bidding &amp; Contract Management, Contract Management, Kinh Tế Xây Dựng, Luật Xây Dựng, Quản Lý Dự Án</t>
        </is>
      </c>
      <c r="M10513" t="inlineStr">
        <is>
          <t>Bonus, Healthcare Plan, Others</t>
        </is>
      </c>
      <c r="N10513" s="8">
        <f>HYPERLINK("https://www.vietnamworks.com/giam-djoc-ban-kiem-soat-tien-djo-xay-dung-2022801-jv","Xem chi tiết")</f>
        <v/>
      </c>
    </row>
    <row r="10514">
      <c r="B10514" s="9" t="n">
        <v>10512</v>
      </c>
      <c r="C10514" s="10" t="inlineStr">
        <is>
          <t>Kỹ Sư Nghiên Cứu Hệ Thống Điện</t>
        </is>
      </c>
      <c r="D10514" s="10" t="inlineStr">
        <is>
          <t>Công Ty Cổ Phần Tư Vấn Xây Dựng Điện 2 (PECC2)</t>
        </is>
      </c>
      <c r="E10514" s="10" t="inlineStr">
        <is>
          <t>15tr-20tr ₫/tháng</t>
        </is>
      </c>
      <c r="F10514" s="10" t="inlineStr">
        <is>
          <t>Hồ Chí Minh</t>
        </is>
      </c>
      <c r="G10514" s="10" t="inlineStr">
        <is>
          <t>Nhân viên</t>
        </is>
      </c>
      <c r="H10514" s="10" t="inlineStr">
        <is>
          <t>12/03/2026</t>
        </is>
      </c>
      <c r="I10514" s="10" t="inlineStr">
        <is>
          <t>11/04/2026</t>
        </is>
      </c>
      <c r="J10514" s="10" t="inlineStr">
        <is>
          <t>17/03/2026</t>
        </is>
      </c>
      <c r="K10514" s="10" t="inlineStr">
        <is>
          <t>N/A</t>
        </is>
      </c>
      <c r="L10514" s="10" t="inlineStr">
        <is>
          <t>Điện Nặng, Hệ Thống Điện, PSS, EMTP, Electrical Engineer</t>
        </is>
      </c>
      <c r="M10514" s="10" t="inlineStr">
        <is>
          <t>Bonus, Healthcare Plan, Training, Team Activities, Others</t>
        </is>
      </c>
      <c r="N10514" s="11">
        <f>HYPERLINK("https://www.vietnamworks.com/ky-su-nghien-cuu-he-thong-dien-2022808-jv","Xem chi tiết")</f>
        <v/>
      </c>
      <c r="O10514" s="10" t="n"/>
    </row>
    <row r="10515">
      <c r="B10515" s="7" t="n">
        <v>10513</v>
      </c>
      <c r="C10515" t="inlineStr">
        <is>
          <t>Giám đốc Nhà hàng</t>
        </is>
      </c>
      <c r="D10515" t="inlineStr">
        <is>
          <t>Công Ty Cổ Phần Tập Đoàn BRG</t>
        </is>
      </c>
      <c r="E10515" t="inlineStr">
        <is>
          <t>Thương lượng</t>
        </is>
      </c>
      <c r="F10515" t="inlineStr">
        <is>
          <t>Hà Nội</t>
        </is>
      </c>
      <c r="G10515" t="inlineStr">
        <is>
          <t>Giám Đốc và Cấp Cao Hơn</t>
        </is>
      </c>
      <c r="H10515" t="inlineStr">
        <is>
          <t>12/03/2026</t>
        </is>
      </c>
      <c r="I10515" t="inlineStr">
        <is>
          <t>11/04/2026</t>
        </is>
      </c>
      <c r="J10515" t="inlineStr">
        <is>
          <t>17/03/2026</t>
        </is>
      </c>
      <c r="K10515" t="inlineStr">
        <is>
          <t>N/A</t>
        </is>
      </c>
      <c r="L10515" t="inlineStr">
        <is>
          <t>Giao Tiếp Tiếng Anh, Kinh Tế, Quản Trị Kinh Doanh, Tài Chính, Thương Mại</t>
        </is>
      </c>
      <c r="M10515" t="inlineStr">
        <is>
          <t>Bonus, Travel Opportunities, Canteen</t>
        </is>
      </c>
      <c r="N10515" s="8">
        <f>HYPERLINK("https://www.vietnamworks.com/giam-djoc-nha-hang-2022841-jv","Xem chi tiết")</f>
        <v/>
      </c>
    </row>
    <row r="10516">
      <c r="B10516" s="9" t="n">
        <v>10514</v>
      </c>
      <c r="C10516" s="10" t="inlineStr">
        <is>
          <t>Sales Admin - Nhân Viên Hỗ Trợ Kinh Doanh</t>
        </is>
      </c>
      <c r="D10516" s="10" t="inlineStr">
        <is>
          <t>Công Ty TNHH Chăn Nuôi Việt Nhật - Công Ty Thành Viên Của Vinamilk</t>
        </is>
      </c>
      <c r="E10516" s="10" t="inlineStr">
        <is>
          <t>$$ 600-700 /tháng</t>
        </is>
      </c>
      <c r="F10516" s="10" t="inlineStr">
        <is>
          <t>Hà Nội</t>
        </is>
      </c>
      <c r="G10516" s="10" t="inlineStr">
        <is>
          <t>Nhân viên</t>
        </is>
      </c>
      <c r="H10516" s="10" t="inlineStr">
        <is>
          <t>12/03/2026</t>
        </is>
      </c>
      <c r="I10516" s="10" t="inlineStr">
        <is>
          <t>11/04/2026</t>
        </is>
      </c>
      <c r="J10516" s="10" t="inlineStr">
        <is>
          <t>17/03/2026</t>
        </is>
      </c>
      <c r="K10516" s="10" t="inlineStr">
        <is>
          <t>N/A</t>
        </is>
      </c>
      <c r="L10516" s="10" t="inlineStr">
        <is>
          <t>Sales Support, Sales Operation, Sales Administration, Hỗ Trợ Kinh Doanh</t>
        </is>
      </c>
      <c r="M10516" s="10" t="inlineStr">
        <is>
          <t>Bonus, Healthcare Plan, Travel Opportunities</t>
        </is>
      </c>
      <c r="N10516" s="11">
        <f>HYPERLINK("https://www.vietnamworks.com/sales-admin-nhan-vien-ho-tro-kinh-doanh-16--2022823-jv","Xem chi tiết")</f>
        <v/>
      </c>
      <c r="O10516" s="10" t="n"/>
    </row>
    <row r="10517">
      <c r="B10517" s="7" t="n">
        <v>10515</v>
      </c>
      <c r="C10517" t="inlineStr">
        <is>
          <t>Nhân Viên Quản Lý Sản Xuất, Quản Lý Công Đoạn - Tiếng Nhật N3</t>
        </is>
      </c>
      <c r="D10517" t="inlineStr">
        <is>
          <t>Công Ty TNHH Kyocera Việt Nam</t>
        </is>
      </c>
      <c r="E10517" t="inlineStr">
        <is>
          <t>Thương lượng</t>
        </is>
      </c>
      <c r="F10517" t="inlineStr">
        <is>
          <t>Hưng Yên, Hải Dương, Hà Nội</t>
        </is>
      </c>
      <c r="G10517" t="inlineStr">
        <is>
          <t>Nhân viên</t>
        </is>
      </c>
      <c r="H10517" t="inlineStr">
        <is>
          <t>12/03/2026</t>
        </is>
      </c>
      <c r="I10517" t="inlineStr">
        <is>
          <t>11/04/2026</t>
        </is>
      </c>
      <c r="J10517" t="inlineStr">
        <is>
          <t>17/03/2026</t>
        </is>
      </c>
      <c r="K10517" t="inlineStr">
        <is>
          <t>N/A</t>
        </is>
      </c>
      <c r="L10517" t="inlineStr">
        <is>
          <t>Quản Lý Sản Xuất, Tiếng Nhật N3, Kế Hoạch Sản Xuất, Tiếng Nhật</t>
        </is>
      </c>
      <c r="M10517" t="inlineStr">
        <is>
          <t>Bonus, Travel Opportunities, Transportation</t>
        </is>
      </c>
      <c r="N10517" s="8">
        <f>HYPERLINK("https://www.vietnamworks.com/nhan-vien-quan-ly-san-xuat-quan-ly-cong-doan-tieng-nhat-n3--2022832-jv","Xem chi tiết")</f>
        <v/>
      </c>
    </row>
    <row r="10518">
      <c r="B10518" s="9" t="n">
        <v>10516</v>
      </c>
      <c r="C10518" s="10" t="inlineStr">
        <is>
          <t>AutoCAD Engineer</t>
        </is>
      </c>
      <c r="D10518" s="10" t="inlineStr">
        <is>
          <t>Praxis Automation VIETNAM CO., LTD</t>
        </is>
      </c>
      <c r="E10518" s="10" t="inlineStr">
        <is>
          <t>Thương lượng</t>
        </is>
      </c>
      <c r="F10518" s="10" t="inlineStr">
        <is>
          <t>Hải Phòng</t>
        </is>
      </c>
      <c r="G10518" s="10" t="inlineStr">
        <is>
          <t>Nhân viên</t>
        </is>
      </c>
      <c r="H10518" s="10" t="inlineStr">
        <is>
          <t>12/03/2026</t>
        </is>
      </c>
      <c r="I10518" s="10" t="inlineStr">
        <is>
          <t>11/04/2026</t>
        </is>
      </c>
      <c r="J10518" s="10" t="inlineStr">
        <is>
          <t>17/03/2026</t>
        </is>
      </c>
      <c r="K10518" s="10" t="inlineStr">
        <is>
          <t>N/A</t>
        </is>
      </c>
      <c r="L10518" s="10" t="inlineStr">
        <is>
          <t>AutoCAD, Circuit Design, Electrical, Mechanical Drawing, Technical Drawing</t>
        </is>
      </c>
      <c r="M10518" s="10" t="inlineStr">
        <is>
          <t>Bonus, Paid Leave, Training, Others</t>
        </is>
      </c>
      <c r="N10518" s="11">
        <f>HYPERLINK("https://www.vietnamworks.com/autocad-engineer-2022833-jv","Xem chi tiết")</f>
        <v/>
      </c>
      <c r="O10518" s="10" t="n"/>
    </row>
    <row r="10519">
      <c r="B10519" s="7" t="n">
        <v>10517</v>
      </c>
      <c r="C10519" t="inlineStr">
        <is>
          <t>Intern - Salesforce, Technology Consulting</t>
        </is>
      </c>
      <c r="D10519" t="inlineStr">
        <is>
          <t>PwC (Vietnam) Ltd.</t>
        </is>
      </c>
      <c r="E10519" t="inlineStr">
        <is>
          <t>Thương lượng</t>
        </is>
      </c>
      <c r="F10519" t="inlineStr">
        <is>
          <t>Hà Nội</t>
        </is>
      </c>
      <c r="G10519" t="inlineStr">
        <is>
          <t>Thực tập sinh/Sinh viên</t>
        </is>
      </c>
      <c r="H10519" t="inlineStr">
        <is>
          <t>12/03/2026</t>
        </is>
      </c>
      <c r="I10519" t="inlineStr">
        <is>
          <t>11/04/2026</t>
        </is>
      </c>
      <c r="J10519" t="inlineStr">
        <is>
          <t>17/03/2026</t>
        </is>
      </c>
      <c r="K10519" t="inlineStr">
        <is>
          <t>N/A</t>
        </is>
      </c>
      <c r="L10519" t="inlineStr">
        <is>
          <t>Critical Thinking, Microsoft Excel, Microsoft PowerPoint, Microsoft Word, Salesforce</t>
        </is>
      </c>
      <c r="M10519" t="inlineStr">
        <is>
          <t>Training, Laptop</t>
        </is>
      </c>
      <c r="N10519" s="8">
        <f>HYPERLINK("https://www.vietnamworks.com/intern-salesforce-technology-consulting-2022835-jv","Xem chi tiết")</f>
        <v/>
      </c>
    </row>
    <row r="10520">
      <c r="B10520" s="9" t="n">
        <v>10518</v>
      </c>
      <c r="C10520" s="10" t="inlineStr">
        <is>
          <t>Logistics Officer - New Netherland Company - Attractive Salary</t>
        </is>
      </c>
      <c r="D10520" s="10" t="inlineStr">
        <is>
          <t>VDL ETG VIETNAM COMPANY LIMITED</t>
        </is>
      </c>
      <c r="E10520" s="10" t="inlineStr">
        <is>
          <t>Thương lượng</t>
        </is>
      </c>
      <c r="F10520" s="10" t="inlineStr">
        <is>
          <t>Quảng Ninh, Hải Phòng</t>
        </is>
      </c>
      <c r="G10520" s="10" t="inlineStr">
        <is>
          <t>Nhân viên</t>
        </is>
      </c>
      <c r="H10520" s="10" t="inlineStr">
        <is>
          <t>12/03/2026</t>
        </is>
      </c>
      <c r="I10520" s="10" t="inlineStr">
        <is>
          <t>11/04/2026</t>
        </is>
      </c>
      <c r="J10520" s="10" t="inlineStr">
        <is>
          <t>17/03/2026</t>
        </is>
      </c>
      <c r="K10520" s="10" t="inlineStr">
        <is>
          <t>N/A</t>
        </is>
      </c>
      <c r="L10520" s="10" t="inlineStr">
        <is>
          <t>English, EPE processing, Logistics</t>
        </is>
      </c>
      <c r="M10520" s="10" t="inlineStr">
        <is>
          <t>Bonus, Healthcare Plan, Paid Leave, Laptop, Transportation</t>
        </is>
      </c>
      <c r="N10520" s="11">
        <f>HYPERLINK("https://www.vietnamworks.com/logistics-officer-new-netherland-company-attractive-salary-2022858-jv","Xem chi tiết")</f>
        <v/>
      </c>
      <c r="O10520" s="10" t="n"/>
    </row>
    <row r="10521">
      <c r="B10521" s="7" t="n">
        <v>10519</v>
      </c>
      <c r="C10521" t="inlineStr">
        <is>
          <t>Nhân Viên Sales Logistics</t>
        </is>
      </c>
      <c r="D10521" t="inlineStr">
        <is>
          <t>Công Ty TNHH Vận Chuyển Hải Thiên (Việt Nam)</t>
        </is>
      </c>
      <c r="E10521" t="inlineStr">
        <is>
          <t>Thương lượng</t>
        </is>
      </c>
      <c r="F10521" t="inlineStr">
        <is>
          <t>Hồ Chí Minh</t>
        </is>
      </c>
      <c r="G10521" t="inlineStr">
        <is>
          <t>Nhân viên</t>
        </is>
      </c>
      <c r="H10521" t="inlineStr">
        <is>
          <t>12/03/2026</t>
        </is>
      </c>
      <c r="I10521" t="inlineStr">
        <is>
          <t>11/04/2026</t>
        </is>
      </c>
      <c r="J10521" t="inlineStr">
        <is>
          <t>17/03/2026</t>
        </is>
      </c>
      <c r="K10521" t="inlineStr">
        <is>
          <t>N/A</t>
        </is>
      </c>
      <c r="L10521" t="inlineStr">
        <is>
          <t>Tìm Kiếm Khách Hàng, Vận Tải Biển, Freight Forwarding Sales, Kinh Doanh Quốc Tế, Sales Logistics</t>
        </is>
      </c>
      <c r="M10521" t="inlineStr">
        <is>
          <t>Bonus, Healthcare Plan, Training, Travel Opportunities, Team Activities, Others</t>
        </is>
      </c>
      <c r="N10521" s="8">
        <f>HYPERLINK("https://www.vietnamworks.com/nhan-vien-sales-logistics-2022830-jv","Xem chi tiết")</f>
        <v/>
      </c>
    </row>
    <row r="10522">
      <c r="B10522" s="9" t="n">
        <v>10520</v>
      </c>
      <c r="C10522" s="10" t="inlineStr">
        <is>
          <t>Nhân Viên Kinh Doanh Sales Executive</t>
        </is>
      </c>
      <c r="D10522" s="10" t="inlineStr">
        <is>
          <t>Keding Enterprises Co., Ltd.</t>
        </is>
      </c>
      <c r="E10522" s="10" t="inlineStr">
        <is>
          <t>$$ 800-1,500 /tháng</t>
        </is>
      </c>
      <c r="F10522" s="10" t="inlineStr">
        <is>
          <t>Hồ Chí Minh</t>
        </is>
      </c>
      <c r="G10522" s="10" t="inlineStr">
        <is>
          <t>Nhân viên</t>
        </is>
      </c>
      <c r="H10522" s="10" t="inlineStr">
        <is>
          <t>12/03/2026</t>
        </is>
      </c>
      <c r="I10522" s="10" t="inlineStr">
        <is>
          <t>11/04/2026</t>
        </is>
      </c>
      <c r="J10522" s="10" t="inlineStr">
        <is>
          <t>17/03/2026</t>
        </is>
      </c>
      <c r="K10522" s="10" t="inlineStr">
        <is>
          <t>N/A</t>
        </is>
      </c>
      <c r="L10522" s="10" t="inlineStr">
        <is>
          <t>Tìm Kiếm Khách Hàng, Kinh Doanh, Chăm Sóc Khách Hàng, Business Development, Bán Hàng</t>
        </is>
      </c>
      <c r="M10522" s="10" t="inlineStr">
        <is>
          <t>Bonus, Training</t>
        </is>
      </c>
      <c r="N10522" s="11">
        <f>HYPERLINK("https://www.vietnamworks.com/nhan-vien-kinh-doanh-sales-executive--2022825-jv","Xem chi tiết")</f>
        <v/>
      </c>
      <c r="O10522" s="10" t="n"/>
    </row>
    <row r="10523">
      <c r="B10523" s="7" t="n">
        <v>10521</v>
      </c>
      <c r="C10523" t="inlineStr">
        <is>
          <t>Trưởng Phòng Tài Chính Kế Toán [Lương Upto 35 Triệu]</t>
        </is>
      </c>
      <c r="D10523" t="inlineStr">
        <is>
          <t>Công ty Cổ phần Thiết bị Mỹ Kim</t>
        </is>
      </c>
      <c r="E10523" t="inlineStr">
        <is>
          <t>Tới 35tr ₫/tháng</t>
        </is>
      </c>
      <c r="F10523" t="inlineStr">
        <is>
          <t>Hà Nội</t>
        </is>
      </c>
      <c r="G10523" t="inlineStr">
        <is>
          <t>Giám Đốc và Cấp Cao Hơn</t>
        </is>
      </c>
      <c r="H10523" t="inlineStr">
        <is>
          <t>10/09/2025</t>
        </is>
      </c>
      <c r="I10523" t="inlineStr">
        <is>
          <t>12/04/2026</t>
        </is>
      </c>
      <c r="J10523" t="inlineStr">
        <is>
          <t>17/03/2026</t>
        </is>
      </c>
      <c r="K10523" t="inlineStr">
        <is>
          <t>N/A</t>
        </is>
      </c>
      <c r="L10523" t="inlineStr">
        <is>
          <t>Thuế, Kiểm Soát Nội Bộ, Quản Lý Tài Chính, Lập Báo Cáo Tài Chính, Kế toán Quản trị</t>
        </is>
      </c>
      <c r="M10523" t="inlineStr">
        <is>
          <t>Bonus, Healthcare Plan, Travel Opportunities</t>
        </is>
      </c>
      <c r="N10523" s="8">
        <f>HYPERLINK("https://www.vietnamworks.com/truong-phong-tai-chinh-ke-toan-luong-upto-35-trieu-1956397-jv","Xem chi tiết")</f>
        <v/>
      </c>
    </row>
    <row r="10524">
      <c r="B10524" s="9" t="n">
        <v>10522</v>
      </c>
      <c r="C10524" s="10" t="inlineStr">
        <is>
          <t>Phó Tổng Giám Đốc Phụ Trách Kinh Doanh (Hà Nội)</t>
        </is>
      </c>
      <c r="D10524" s="10" t="inlineStr">
        <is>
          <t>Công Ty Cổ Phần Chứng Khoán Up</t>
        </is>
      </c>
      <c r="E10524" s="10" t="inlineStr">
        <is>
          <t>$$ 4,000-6,000 /tháng</t>
        </is>
      </c>
      <c r="F10524" s="10" t="inlineStr">
        <is>
          <t>Hà Nội</t>
        </is>
      </c>
      <c r="G10524" s="10" t="inlineStr">
        <is>
          <t>Giám Đốc và Cấp Cao Hơn</t>
        </is>
      </c>
      <c r="H10524" s="10" t="inlineStr">
        <is>
          <t>12/03/2026</t>
        </is>
      </c>
      <c r="I10524" s="10" t="inlineStr">
        <is>
          <t>11/04/2026</t>
        </is>
      </c>
      <c r="J10524" s="10" t="inlineStr">
        <is>
          <t>17/03/2026</t>
        </is>
      </c>
      <c r="K10524" s="10" t="inlineStr">
        <is>
          <t>N/A</t>
        </is>
      </c>
      <c r="L10524" s="10" t="inlineStr">
        <is>
          <t>Chứng Khoán, Môi Giới, Brokerage, Investment Banking, Wealth Management</t>
        </is>
      </c>
      <c r="M10524" s="10" t="inlineStr">
        <is>
          <t>Bonus, Healthcare Plan, Travel Opportunities</t>
        </is>
      </c>
      <c r="N10524" s="11">
        <f>HYPERLINK("https://www.vietnamworks.com/pho-tong-giam-doc-phu-trach-kinh-doanh-ha-noi-2022850-jv","Xem chi tiết")</f>
        <v/>
      </c>
      <c r="O10524" s="10" t="n"/>
    </row>
    <row r="10525">
      <c r="B10525" s="7" t="n">
        <v>10523</v>
      </c>
      <c r="C10525" t="inlineStr">
        <is>
          <t>[Urgent] Accounting - Tax Consultant (Hanoi Office) - Senior/ Associate</t>
        </is>
      </c>
      <c r="D10525" t="inlineStr">
        <is>
          <t>SCS Global Consulting Vietnam Co., Ltd.</t>
        </is>
      </c>
      <c r="E10525" t="inlineStr">
        <is>
          <t>Thương lượng</t>
        </is>
      </c>
      <c r="F10525" t="inlineStr">
        <is>
          <t>Hà Nội</t>
        </is>
      </c>
      <c r="G10525" t="inlineStr">
        <is>
          <t>Nhân viên</t>
        </is>
      </c>
      <c r="H10525" t="inlineStr">
        <is>
          <t>12/03/2026</t>
        </is>
      </c>
      <c r="I10525" t="inlineStr">
        <is>
          <t>11/04/2026</t>
        </is>
      </c>
      <c r="J10525" t="inlineStr">
        <is>
          <t>17/03/2026</t>
        </is>
      </c>
      <c r="K10525" t="inlineStr">
        <is>
          <t>N/A</t>
        </is>
      </c>
      <c r="L10525" t="inlineStr">
        <is>
          <t>Tax Consulting, Accounting Standards, Tax Accounting, English, Accounting System</t>
        </is>
      </c>
      <c r="M10525" t="inlineStr">
        <is>
          <t>Bonus, Healthcare Plan, Travel Opportunities</t>
        </is>
      </c>
      <c r="N10525" s="8">
        <f>HYPERLINK("https://www.vietnamworks.com/urgent-accounting-tax-consultant-hanoi-office-senior-associate-2022852-jv","Xem chi tiết")</f>
        <v/>
      </c>
    </row>
    <row r="10526">
      <c r="B10526" s="9" t="n">
        <v>10524</v>
      </c>
      <c r="C10526" s="10" t="inlineStr">
        <is>
          <t>Trợ Lý Tổng Giám Đốc</t>
        </is>
      </c>
      <c r="D10526" s="10" t="inlineStr">
        <is>
          <t>ABBank - Ngân Hàng TMCP An Bình</t>
        </is>
      </c>
      <c r="E10526" s="10" t="inlineStr">
        <is>
          <t>$$ 200-500 /tháng</t>
        </is>
      </c>
      <c r="F10526" s="10" t="inlineStr">
        <is>
          <t>Hồ Chí Minh</t>
        </is>
      </c>
      <c r="G10526" s="10" t="inlineStr">
        <is>
          <t>Nhân viên</t>
        </is>
      </c>
      <c r="H10526" s="10" t="inlineStr">
        <is>
          <t>12/03/2026</t>
        </is>
      </c>
      <c r="I10526" s="10" t="inlineStr">
        <is>
          <t>11/04/2026</t>
        </is>
      </c>
      <c r="J10526" s="10" t="inlineStr">
        <is>
          <t>17/03/2026</t>
        </is>
      </c>
      <c r="K10526" s="10" t="inlineStr">
        <is>
          <t>N/A</t>
        </is>
      </c>
      <c r="L10526" s="10" t="inlineStr">
        <is>
          <t>Tiếng Anh, Tiếng Trung</t>
        </is>
      </c>
      <c r="M10526" s="10" t="inlineStr">
        <is>
          <t>Bonus, Training, Others</t>
        </is>
      </c>
      <c r="N10526" s="11">
        <f>HYPERLINK("https://www.vietnamworks.com/tro-ly-tong-giam-doc--2022837-jv","Xem chi tiết")</f>
        <v/>
      </c>
      <c r="O10526" s="10" t="n"/>
    </row>
    <row r="10527">
      <c r="B10527" s="7" t="n">
        <v>10525</v>
      </c>
      <c r="C10527" t="inlineStr">
        <is>
          <t>Công Nhân Sản Xuất (Production Worker)</t>
        </is>
      </c>
      <c r="D10527" t="inlineStr">
        <is>
          <t>Công Ty TNHH Musashi Auto Parts Việt Nam</t>
        </is>
      </c>
      <c r="E10527" t="inlineStr">
        <is>
          <t>12tr-18tr ₫/tháng</t>
        </is>
      </c>
      <c r="F10527" t="inlineStr">
        <is>
          <t>Hưng Yên</t>
        </is>
      </c>
      <c r="G10527" t="inlineStr">
        <is>
          <t>Mới Tốt Nghiệp</t>
        </is>
      </c>
      <c r="H10527" t="inlineStr">
        <is>
          <t>12/03/2026</t>
        </is>
      </c>
      <c r="I10527" t="inlineStr">
        <is>
          <t>11/04/2026</t>
        </is>
      </c>
      <c r="J10527" t="inlineStr">
        <is>
          <t>17/03/2026</t>
        </is>
      </c>
      <c r="K10527" t="inlineStr">
        <is>
          <t>N/A</t>
        </is>
      </c>
      <c r="L10527" t="inlineStr">
        <is>
          <t>Bảo Trì Máy, Giao Tiếp, Làm Việc Nhóm, Làm Việc Theo Quy Trình, Sản Xuất Thiết Bị Liên Lạc</t>
        </is>
      </c>
      <c r="M10527" t="inlineStr">
        <is>
          <t>Bonus, Training, Others</t>
        </is>
      </c>
      <c r="N10527" s="8">
        <f>HYPERLINK("https://www.vietnamworks.com/cong-nhan-san-xuat-production-worker-2022816-jv","Xem chi tiết")</f>
        <v/>
      </c>
    </row>
    <row r="10528">
      <c r="B10528" s="9" t="n">
        <v>10526</v>
      </c>
      <c r="C10528" s="10" t="inlineStr">
        <is>
          <t>Nhân Viên Xuất Nhập Khẩu</t>
        </is>
      </c>
      <c r="D10528" s="10" t="inlineStr">
        <is>
          <t>Wistron Neweb CORPORATION (WNC)</t>
        </is>
      </c>
      <c r="E10528" s="10" t="inlineStr">
        <is>
          <t>$$ 600-1,200 /tháng</t>
        </is>
      </c>
      <c r="F10528" s="10" t="inlineStr">
        <is>
          <t>Ninh Bình</t>
        </is>
      </c>
      <c r="G10528" s="10" t="inlineStr">
        <is>
          <t>Nhân viên</t>
        </is>
      </c>
      <c r="H10528" s="10" t="inlineStr">
        <is>
          <t>12/03/2026</t>
        </is>
      </c>
      <c r="I10528" s="10" t="inlineStr">
        <is>
          <t>11/04/2026</t>
        </is>
      </c>
      <c r="J10528" s="10" t="inlineStr">
        <is>
          <t>17/03/2026</t>
        </is>
      </c>
      <c r="K10528" s="10" t="inlineStr">
        <is>
          <t>N/A</t>
        </is>
      </c>
      <c r="L10528" s="10" t="inlineStr">
        <is>
          <t>Incoterm 2000, Quản Lý Đơn Hàng, Tiếng Anh, Tiếng Trung, Xuất Nhập Khẩu</t>
        </is>
      </c>
      <c r="M10528" s="10" t="inlineStr">
        <is>
          <t>Bonus, Healthcare Plan, Paid Leave, Training, Team Activities, Others</t>
        </is>
      </c>
      <c r="N10528" s="11">
        <f>HYPERLINK("https://www.vietnamworks.com/nhan-vien-xuat-nhap-khau-2022827-jv","Xem chi tiết")</f>
        <v/>
      </c>
      <c r="O10528" s="10" t="n"/>
    </row>
    <row r="10529">
      <c r="B10529" s="7" t="n">
        <v>10527</v>
      </c>
      <c r="C10529" t="inlineStr">
        <is>
          <t>Nhân Viên Lễ Tân</t>
        </is>
      </c>
      <c r="D10529" t="inlineStr">
        <is>
          <t>Công Ty Cổ Phần Chứng Khoán SSI</t>
        </is>
      </c>
      <c r="E10529" t="inlineStr">
        <is>
          <t>Thương lượng</t>
        </is>
      </c>
      <c r="F10529" t="inlineStr">
        <is>
          <t>Hồ Chí Minh</t>
        </is>
      </c>
      <c r="G10529" t="inlineStr">
        <is>
          <t>Nhân viên</t>
        </is>
      </c>
      <c r="H10529" t="inlineStr">
        <is>
          <t>12/03/2026</t>
        </is>
      </c>
      <c r="I10529" t="inlineStr">
        <is>
          <t>11/04/2026</t>
        </is>
      </c>
      <c r="J10529" t="inlineStr">
        <is>
          <t>17/03/2026</t>
        </is>
      </c>
      <c r="K10529" t="inlineStr">
        <is>
          <t>N/A</t>
        </is>
      </c>
      <c r="L10529" t="inlineStr">
        <is>
          <t>Hành Chính, Lễ Tân, Reception Service, Tiếng Anh, Tin Học Văn Phòng</t>
        </is>
      </c>
      <c r="M10529" t="inlineStr">
        <is>
          <t>Bonus, Training, Others</t>
        </is>
      </c>
      <c r="N10529" s="8">
        <f>HYPERLINK("https://www.vietnamworks.com/nhan-vien-le-tan--2022853-jv","Xem chi tiết")</f>
        <v/>
      </c>
    </row>
    <row r="10530">
      <c r="B10530" s="9" t="n">
        <v>10528</v>
      </c>
      <c r="C10530" s="10" t="inlineStr">
        <is>
          <t>Chuyên Viên Hỗ Trợ Thu Hồi Nợ | Debt Collection Admin</t>
        </is>
      </c>
      <c r="D10530" s="10" t="inlineStr">
        <is>
          <t>Cake by VPBank</t>
        </is>
      </c>
      <c r="E10530" s="10" t="inlineStr">
        <is>
          <t>Thương lượng</t>
        </is>
      </c>
      <c r="F10530" s="10" t="inlineStr">
        <is>
          <t>Hà Nội</t>
        </is>
      </c>
      <c r="G10530" s="10" t="inlineStr">
        <is>
          <t>Nhân viên</t>
        </is>
      </c>
      <c r="H10530" s="10" t="inlineStr">
        <is>
          <t>12/03/2026</t>
        </is>
      </c>
      <c r="I10530" s="10" t="inlineStr">
        <is>
          <t>11/04/2026</t>
        </is>
      </c>
      <c r="J10530" s="10" t="inlineStr">
        <is>
          <t>17/03/2026</t>
        </is>
      </c>
      <c r="K10530" s="10" t="inlineStr">
        <is>
          <t>N/A</t>
        </is>
      </c>
      <c r="L10530" s="10" t="inlineStr">
        <is>
          <t>Thu Hồi Công Nợ, AR Management, Chăm Sóc Khách Hàng, Admin Support, Call Center</t>
        </is>
      </c>
      <c r="M10530" s="10" t="inlineStr">
        <is>
          <t>Bonus, Healthcare Plan, Paid Leave, Training, Team Activities</t>
        </is>
      </c>
      <c r="N10530" s="11">
        <f>HYPERLINK("https://www.vietnamworks.com/chuyen-vien-ho-tro-thu-hoi-no-or-debt-collection-admin-2022834-jv","Xem chi tiết")</f>
        <v/>
      </c>
      <c r="O10530" s="10" t="n"/>
    </row>
    <row r="10531">
      <c r="B10531" s="7" t="n">
        <v>10529</v>
      </c>
      <c r="C10531" t="inlineStr">
        <is>
          <t>HN/HCMC - Quản lý bán hàng khu vực (Sales Zone Manager)</t>
        </is>
      </c>
      <c r="D10531" t="inlineStr">
        <is>
          <t>CÔNG TY TNHH Ô TÔ BYD (VIỆT NAM)</t>
        </is>
      </c>
      <c r="E10531" t="inlineStr">
        <is>
          <t>Tới 44tr ₫/tháng</t>
        </is>
      </c>
      <c r="F10531" t="inlineStr">
        <is>
          <t>Hồ Chí Minh, Hà Nội</t>
        </is>
      </c>
      <c r="G10531" t="inlineStr">
        <is>
          <t>Nhân viên</t>
        </is>
      </c>
      <c r="H10531" t="inlineStr">
        <is>
          <t>12/03/2026</t>
        </is>
      </c>
      <c r="I10531" t="inlineStr">
        <is>
          <t>11/04/2026</t>
        </is>
      </c>
      <c r="J10531" t="inlineStr">
        <is>
          <t>17/03/2026</t>
        </is>
      </c>
      <c r="K10531" t="inlineStr">
        <is>
          <t>N/A</t>
        </is>
      </c>
      <c r="L10531" t="inlineStr">
        <is>
          <t>Bán Hàng Ô Tô Quản Lý Đại Lý, Bán Hàng Đại Lý, Ô Tô Điện, Quản Lý Bán Hàng Khu Vực, Quản Lý Vùng</t>
        </is>
      </c>
      <c r="M10531" t="inlineStr">
        <is>
          <t>Bonus, Healthcare Plan, Training, Laptop, Team Activities, Others</t>
        </is>
      </c>
      <c r="N10531" s="8">
        <f>HYPERLINK("https://www.vietnamworks.com/hnhcmc-quan-ly-ban-hang-khu-vuc-sales-zone-manager-2022864-jv","Xem chi tiết")</f>
        <v/>
      </c>
    </row>
    <row r="10532">
      <c r="B10532" s="9" t="n">
        <v>10530</v>
      </c>
      <c r="C10532" s="10" t="inlineStr">
        <is>
          <t>Nhân Viên Bảo Trì</t>
        </is>
      </c>
      <c r="D10532" s="10" t="inlineStr">
        <is>
          <t>ALUKO Group</t>
        </is>
      </c>
      <c r="E10532" s="10" t="inlineStr">
        <is>
          <t>Thương lượng</t>
        </is>
      </c>
      <c r="F10532" s="10" t="inlineStr">
        <is>
          <t>Hưng Yên</t>
        </is>
      </c>
      <c r="G10532" s="10" t="inlineStr">
        <is>
          <t>Nhân viên</t>
        </is>
      </c>
      <c r="H10532" s="10" t="inlineStr">
        <is>
          <t>12/03/2026</t>
        </is>
      </c>
      <c r="I10532" s="10" t="inlineStr">
        <is>
          <t>11/04/2026</t>
        </is>
      </c>
      <c r="J10532" s="10" t="inlineStr">
        <is>
          <t>17/03/2026</t>
        </is>
      </c>
      <c r="K10532" s="10" t="inlineStr">
        <is>
          <t>N/A</t>
        </is>
      </c>
      <c r="L10532" s="10" t="inlineStr">
        <is>
          <t>Cơ Điện, Lắp Đặt Điều Hòa, Bảo Trì Điện Lạnh, Sửa Điều Hòa, Bảo Trì</t>
        </is>
      </c>
      <c r="M10532" s="10" t="inlineStr">
        <is>
          <t>Bonus, Healthcare Plan, Transportation</t>
        </is>
      </c>
      <c r="N10532" s="11">
        <f>HYPERLINK("https://www.vietnamworks.com/nhan-vien-bao-tri--2022859-jv","Xem chi tiết")</f>
        <v/>
      </c>
      <c r="O10532" s="10" t="n"/>
    </row>
    <row r="10533">
      <c r="B10533" s="7" t="n">
        <v>10531</v>
      </c>
      <c r="C10533" t="inlineStr">
        <is>
          <t>Engineering Manager</t>
        </is>
      </c>
      <c r="D10533" t="inlineStr">
        <is>
          <t>CÔNG TY TNHH SX BAO BÌ NAM VIỆT</t>
        </is>
      </c>
      <c r="E10533" t="inlineStr">
        <is>
          <t>Thương lượng</t>
        </is>
      </c>
      <c r="F10533" t="inlineStr">
        <is>
          <t>Đồng Nai</t>
        </is>
      </c>
      <c r="G10533" t="inlineStr">
        <is>
          <t>Trưởng phòng</t>
        </is>
      </c>
      <c r="H10533" t="inlineStr">
        <is>
          <t>15/12/2025</t>
        </is>
      </c>
      <c r="I10533" t="inlineStr">
        <is>
          <t>12/04/2026</t>
        </is>
      </c>
      <c r="J10533" t="inlineStr">
        <is>
          <t>17/03/2026</t>
        </is>
      </c>
      <c r="K10533" t="inlineStr">
        <is>
          <t>N/A</t>
        </is>
      </c>
      <c r="L10533" t="inlineStr">
        <is>
          <t>Bảo Trì Cơ Điện, Giám Sát Bảo Trì, Lập Kế Hoạch Bảo Trì, Quản Lý Kỹ Thuật, Điện Công Nghiệp</t>
        </is>
      </c>
      <c r="M10533" t="inlineStr">
        <is>
          <t>Bonus, Healthcare Plan, Paid Leave, Training, Awards, Team Activities, Others</t>
        </is>
      </c>
      <c r="N10533" s="8">
        <f>HYPERLINK("https://www.vietnamworks.com/engineering-manager-1992941-jv","Xem chi tiết")</f>
        <v/>
      </c>
    </row>
    <row r="10534">
      <c r="B10534" s="9" t="n">
        <v>10532</v>
      </c>
      <c r="C10534" s="10" t="inlineStr">
        <is>
          <t>Intern - Change Management Consulting Intern</t>
        </is>
      </c>
      <c r="D10534" s="10" t="inlineStr">
        <is>
          <t>PwC (Vietnam) Ltd.</t>
        </is>
      </c>
      <c r="E10534" s="10" t="inlineStr">
        <is>
          <t>Thương lượng</t>
        </is>
      </c>
      <c r="F10534" s="10" t="inlineStr">
        <is>
          <t>Hà Nội</t>
        </is>
      </c>
      <c r="G10534" s="10" t="inlineStr">
        <is>
          <t>Thực tập sinh/Sinh viên</t>
        </is>
      </c>
      <c r="H10534" s="10" t="inlineStr">
        <is>
          <t>12/03/2026</t>
        </is>
      </c>
      <c r="I10534" s="10" t="inlineStr">
        <is>
          <t>11/04/2026</t>
        </is>
      </c>
      <c r="J10534" s="10" t="inlineStr">
        <is>
          <t>17/03/2026</t>
        </is>
      </c>
      <c r="K10534" s="10" t="inlineStr">
        <is>
          <t>N/A</t>
        </is>
      </c>
      <c r="L10534" s="10" t="inlineStr">
        <is>
          <t>Change Management, Communication Skills, Data Analysis, Microsoft Office, Organizational skills</t>
        </is>
      </c>
      <c r="M10534" s="10" t="inlineStr">
        <is>
          <t>Training, Laptop</t>
        </is>
      </c>
      <c r="N10534" s="11">
        <f>HYPERLINK("https://www.vietnamworks.com/intern-change-management-consulting-intern-2022839-jv","Xem chi tiết")</f>
        <v/>
      </c>
      <c r="O10534" s="10" t="n"/>
    </row>
    <row r="10535">
      <c r="B10535" s="7" t="n">
        <v>10533</v>
      </c>
      <c r="C10535" t="inlineStr">
        <is>
          <t>Chỉ Huy Trưởng Công Trình</t>
        </is>
      </c>
      <c r="D10535" t="inlineStr">
        <is>
          <t>CÔNG TY TNHH TƯ VẤN THIẾT KẾ VÀ XÂY DỰNG HOÀNG LÊ</t>
        </is>
      </c>
      <c r="E10535" t="inlineStr">
        <is>
          <t>25tr-40tr ₫/tháng</t>
        </is>
      </c>
      <c r="F10535" t="inlineStr">
        <is>
          <t>Hồ Chí Minh</t>
        </is>
      </c>
      <c r="G10535" t="inlineStr">
        <is>
          <t>Nhân viên</t>
        </is>
      </c>
      <c r="H10535" t="inlineStr">
        <is>
          <t>15/01/2026</t>
        </is>
      </c>
      <c r="I10535" t="inlineStr">
        <is>
          <t>12/04/2026</t>
        </is>
      </c>
      <c r="J10535" t="inlineStr">
        <is>
          <t>17/03/2026</t>
        </is>
      </c>
      <c r="K10535" t="inlineStr">
        <is>
          <t>N/A</t>
        </is>
      </c>
      <c r="L10535" t="inlineStr">
        <is>
          <t>Xây Dựng, Kiến Trúc Công Trình, Quản Trị, Quản Trị Bitrix, Lãnh Đạo</t>
        </is>
      </c>
      <c r="M10535" t="inlineStr">
        <is>
          <t>Healthcare Plan, Paid Leave, Training, Others</t>
        </is>
      </c>
      <c r="N10535" s="8">
        <f>HYPERLINK("https://www.vietnamworks.com/chi-huy-truong-cong-trinh-2003063-jv","Xem chi tiết")</f>
        <v/>
      </c>
    </row>
    <row r="10536">
      <c r="B10536" s="9" t="n">
        <v>10534</v>
      </c>
      <c r="C10536" s="10" t="inlineStr">
        <is>
          <t>Land Management Specialist</t>
        </is>
      </c>
      <c r="D10536" s="10" t="inlineStr">
        <is>
          <t>THAI BINH CENTRAL CITY DEVELOPMENT JSC</t>
        </is>
      </c>
      <c r="E10536" s="10" t="inlineStr">
        <is>
          <t>Tới 45tr ₫/tháng</t>
        </is>
      </c>
      <c r="F10536" s="10" t="inlineStr">
        <is>
          <t>Hưng Yên, Thái Bình</t>
        </is>
      </c>
      <c r="G10536" s="10" t="inlineStr">
        <is>
          <t>Nhân viên</t>
        </is>
      </c>
      <c r="H10536" s="10" t="inlineStr">
        <is>
          <t>15/01/2026</t>
        </is>
      </c>
      <c r="I10536" s="10" t="inlineStr">
        <is>
          <t>12/04/2026</t>
        </is>
      </c>
      <c r="J10536" s="10" t="inlineStr">
        <is>
          <t>17/03/2026</t>
        </is>
      </c>
      <c r="K10536" s="10" t="inlineStr">
        <is>
          <t>N/A</t>
        </is>
      </c>
      <c r="L10536" s="10" t="inlineStr">
        <is>
          <t>Land Law, AutoCAD, Land Clearance, Land Acquisition, Trắc Địa Công Trình</t>
        </is>
      </c>
      <c r="M10536" s="10" t="inlineStr">
        <is>
          <t>Bonus, Healthcare Plan, Team Activities, Others</t>
        </is>
      </c>
      <c r="N10536" s="11">
        <f>HYPERLINK("https://www.vietnamworks.com/land-management-specialist-2003023-jv","Xem chi tiết")</f>
        <v/>
      </c>
      <c r="O10536" s="10" t="n"/>
    </row>
    <row r="10537">
      <c r="B10537" s="7" t="n">
        <v>10535</v>
      </c>
      <c r="C10537" t="inlineStr">
        <is>
          <t>Customer Services (Camera &amp; Lens) - 3rd Party contract</t>
        </is>
      </c>
      <c r="D10537" t="inlineStr">
        <is>
          <t>Sony Electronics Vietnam</t>
        </is>
      </c>
      <c r="E10537" t="inlineStr">
        <is>
          <t>Thương lượng</t>
        </is>
      </c>
      <c r="F10537" t="inlineStr">
        <is>
          <t>Hồ Chí Minh</t>
        </is>
      </c>
      <c r="G10537" t="inlineStr">
        <is>
          <t>Nhân viên</t>
        </is>
      </c>
      <c r="H10537" t="inlineStr">
        <is>
          <t>21/01/2026</t>
        </is>
      </c>
      <c r="I10537" t="inlineStr">
        <is>
          <t>12/04/2026</t>
        </is>
      </c>
      <c r="J10537" t="inlineStr">
        <is>
          <t>17/03/2026</t>
        </is>
      </c>
      <c r="K10537" t="inlineStr">
        <is>
          <t>N/A</t>
        </is>
      </c>
      <c r="L10537" t="inlineStr">
        <is>
          <t>Chăm Sóc Khách Hàng, Customer Service, Customer Excellence, Administration, Logistics</t>
        </is>
      </c>
      <c r="M10537" t="inlineStr">
        <is>
          <t>Bonus, Training, Transportation</t>
        </is>
      </c>
      <c r="N10537" s="8">
        <f>HYPERLINK("https://www.vietnamworks.com/customer-services-camera-lens-3rd-party-contract-2005028-jv","Xem chi tiết")</f>
        <v/>
      </c>
    </row>
    <row r="10538">
      <c r="B10538" s="9" t="n">
        <v>10536</v>
      </c>
      <c r="C10538" s="10" t="inlineStr">
        <is>
          <t>Sales Representative (3rd Party Contract) - Hai Phong, Da Nang, Can Tho</t>
        </is>
      </c>
      <c r="D10538" s="10" t="inlineStr">
        <is>
          <t>Sony Electronics Vietnam</t>
        </is>
      </c>
      <c r="E10538" s="10" t="inlineStr">
        <is>
          <t>Thương lượng</t>
        </is>
      </c>
      <c r="F10538" s="10" t="inlineStr">
        <is>
          <t>Hải Phòng, Đà Nẵng, Cần Thơ</t>
        </is>
      </c>
      <c r="G10538" s="10" t="inlineStr">
        <is>
          <t>Nhân viên</t>
        </is>
      </c>
      <c r="H10538" s="10" t="inlineStr">
        <is>
          <t>19/01/2026</t>
        </is>
      </c>
      <c r="I10538" s="10" t="inlineStr">
        <is>
          <t>12/04/2026</t>
        </is>
      </c>
      <c r="J10538" s="10" t="inlineStr">
        <is>
          <t>17/03/2026</t>
        </is>
      </c>
      <c r="K10538" s="10" t="inlineStr">
        <is>
          <t>N/A</t>
        </is>
      </c>
      <c r="L10538" s="10" t="inlineStr">
        <is>
          <t>Sales B2C, Quản Lý Tồn Kho, Tin Học Văn Phòng, Khảo Sát Thị Trường, Lập Kế Hoạch Kinh Doanh</t>
        </is>
      </c>
      <c r="M10538" s="10" t="inlineStr">
        <is>
          <t>Bonus, Healthcare Plan, Training</t>
        </is>
      </c>
      <c r="N10538" s="11">
        <f>HYPERLINK("https://www.vietnamworks.com/sales-representative-3rd-party-contract-hai-phong-da-nang-can-tho-2004017-jv","Xem chi tiết")</f>
        <v/>
      </c>
      <c r="O10538" s="10" t="n"/>
    </row>
    <row r="10539">
      <c r="B10539" s="7" t="n">
        <v>10537</v>
      </c>
      <c r="C10539" t="inlineStr">
        <is>
          <t>Chuyên Viên Tuyển Dụng (Lương Upto 20 Triệu)</t>
        </is>
      </c>
      <c r="D10539" t="inlineStr">
        <is>
          <t>Công Ty Cổ Phần Phát Triển Chăn Nuôi Hoà Phát</t>
        </is>
      </c>
      <c r="E10539" t="inlineStr">
        <is>
          <t>15tr-20tr ₫/tháng</t>
        </is>
      </c>
      <c r="F10539" t="inlineStr">
        <is>
          <t>Hà Nội, Bình Phước</t>
        </is>
      </c>
      <c r="G10539" t="inlineStr">
        <is>
          <t>Nhân viên</t>
        </is>
      </c>
      <c r="H10539" t="inlineStr">
        <is>
          <t>14/01/2026</t>
        </is>
      </c>
      <c r="I10539" t="inlineStr">
        <is>
          <t>12/04/2026</t>
        </is>
      </c>
      <c r="J10539" t="inlineStr">
        <is>
          <t>17/03/2026</t>
        </is>
      </c>
      <c r="K10539" t="inlineStr">
        <is>
          <t>N/A</t>
        </is>
      </c>
      <c r="L10539" t="inlineStr">
        <is>
          <t>Tuyển Dụng, Nhân Sự, Hành Chính, Admin, Luật</t>
        </is>
      </c>
      <c r="M10539" t="inlineStr">
        <is>
          <t>Bonus, Healthcare Plan, Others</t>
        </is>
      </c>
      <c r="N10539" s="8">
        <f>HYPERLINK("https://www.vietnamworks.com/chuyen-vien-tuyen-dung-luong-upto-20-trieu--2002406-jv","Xem chi tiết")</f>
        <v/>
      </c>
    </row>
    <row r="10540">
      <c r="B10540" s="9" t="n">
        <v>10538</v>
      </c>
      <c r="C10540" s="10" t="inlineStr">
        <is>
          <t>Principal Architect / Architectural Manager</t>
        </is>
      </c>
      <c r="D10540" s="10" t="inlineStr">
        <is>
          <t>CPG Vietnam Co., Ltd.</t>
        </is>
      </c>
      <c r="E10540" s="10" t="inlineStr">
        <is>
          <t>Thương lượng</t>
        </is>
      </c>
      <c r="F10540" s="10" t="inlineStr">
        <is>
          <t>Hà Nội</t>
        </is>
      </c>
      <c r="G10540" s="10" t="inlineStr">
        <is>
          <t>Trưởng phòng</t>
        </is>
      </c>
      <c r="H10540" s="10" t="inlineStr">
        <is>
          <t>21/01/2026</t>
        </is>
      </c>
      <c r="I10540" s="10" t="inlineStr">
        <is>
          <t>12/04/2026</t>
        </is>
      </c>
      <c r="J10540" s="10" t="inlineStr">
        <is>
          <t>17/03/2026</t>
        </is>
      </c>
      <c r="K10540" s="10" t="inlineStr">
        <is>
          <t>N/A</t>
        </is>
      </c>
      <c r="L10540" s="10" t="inlineStr">
        <is>
          <t>Architectural Design, Design Management, Design Leadership, BIM, Project Management</t>
        </is>
      </c>
      <c r="M10540" s="10" t="inlineStr">
        <is>
          <t>Bonus, Healthcare Plan, Training</t>
        </is>
      </c>
      <c r="N10540" s="11">
        <f>HYPERLINK("https://www.vietnamworks.com/principal-architect-architectural-manager-2004829-jv","Xem chi tiết")</f>
        <v/>
      </c>
      <c r="O10540" s="10" t="n"/>
    </row>
    <row r="10541">
      <c r="B10541" s="7" t="n">
        <v>10539</v>
      </c>
      <c r="C10541" t="inlineStr">
        <is>
          <t>Quản Lý Kinh Doanh Khu Vực Kênh GT Mảng Mỹ Phẩm Khu Vực Miền Nam</t>
        </is>
      </c>
      <c r="D10541" t="inlineStr">
        <is>
          <t>Meishang Cosmetics Vietnam (Colorkey BRAND)</t>
        </is>
      </c>
      <c r="E10541" t="inlineStr">
        <is>
          <t>Thương lượng</t>
        </is>
      </c>
      <c r="F10541" t="inlineStr">
        <is>
          <t>Hồ Chí Minh</t>
        </is>
      </c>
      <c r="G10541" t="inlineStr">
        <is>
          <t>Trưởng phòng</t>
        </is>
      </c>
      <c r="H10541" t="inlineStr">
        <is>
          <t>22/01/2026</t>
        </is>
      </c>
      <c r="I10541" t="inlineStr">
        <is>
          <t>12/04/2026</t>
        </is>
      </c>
      <c r="J10541" t="inlineStr">
        <is>
          <t>17/03/2026</t>
        </is>
      </c>
      <c r="K10541" t="inlineStr">
        <is>
          <t>N/A</t>
        </is>
      </c>
      <c r="L10541" t="inlineStr">
        <is>
          <t>GT Channel, Phân Phối Hàng Hóa, Mỹ Phẩm, Phát Triển Đại Lý</t>
        </is>
      </c>
      <c r="M10541" t="inlineStr">
        <is>
          <t>Others</t>
        </is>
      </c>
      <c r="N10541" s="8">
        <f>HYPERLINK("https://www.vietnamworks.com/quan-ly-kinh-doanh-khu-vuc-kenh-gt-mang-my-pham-khu-vuc-mien-nam-2005352-jv","Xem chi tiết")</f>
        <v/>
      </c>
    </row>
    <row r="10542">
      <c r="B10542" s="9" t="n">
        <v>10540</v>
      </c>
      <c r="C10542" s="10" t="inlineStr">
        <is>
          <t>Processing Officer</t>
        </is>
      </c>
      <c r="D10542" s="10" t="inlineStr">
        <is>
          <t>CÔNG TY TNHH TƯ VẤN GIÁO DỤC VÀ ĐẦU TƯ VISION FIRST</t>
        </is>
      </c>
      <c r="E10542" s="10" t="inlineStr">
        <is>
          <t>Thương lượng</t>
        </is>
      </c>
      <c r="F10542" s="10" t="inlineStr">
        <is>
          <t>Hồ Chí Minh</t>
        </is>
      </c>
      <c r="G10542" s="10" t="inlineStr">
        <is>
          <t>Nhân viên</t>
        </is>
      </c>
      <c r="H10542" s="10" t="inlineStr">
        <is>
          <t>22/01/2026</t>
        </is>
      </c>
      <c r="I10542" s="10" t="inlineStr">
        <is>
          <t>12/04/2026</t>
        </is>
      </c>
      <c r="J10542" s="10" t="inlineStr">
        <is>
          <t>17/03/2026</t>
        </is>
      </c>
      <c r="K10542" s="10" t="inlineStr">
        <is>
          <t>N/A</t>
        </is>
      </c>
      <c r="L10542" s="10" t="inlineStr">
        <is>
          <t>Attention To Detail, Communication Skills, Computer Skills, English Language Proficiency, Visa Application</t>
        </is>
      </c>
      <c r="M10542" s="10" t="inlineStr">
        <is>
          <t>Training, Others</t>
        </is>
      </c>
      <c r="N10542" s="11">
        <f>HYPERLINK("https://www.vietnamworks.com/processing-officer-2005334-jv","Xem chi tiết")</f>
        <v/>
      </c>
      <c r="O10542" s="10" t="n"/>
    </row>
    <row r="10543">
      <c r="B10543" s="7" t="n">
        <v>10541</v>
      </c>
      <c r="C10543" t="inlineStr">
        <is>
          <t>Senior Application Engineer</t>
        </is>
      </c>
      <c r="D10543" t="inlineStr">
        <is>
          <t>CÔNG TY TNHH PCB GRAPHTECH VIỆT NAM</t>
        </is>
      </c>
      <c r="E10543" t="inlineStr">
        <is>
          <t>Thương lượng</t>
        </is>
      </c>
      <c r="F10543" t="inlineStr">
        <is>
          <t>Hồ Chí Minh</t>
        </is>
      </c>
      <c r="G10543" t="inlineStr">
        <is>
          <t>Nhân viên</t>
        </is>
      </c>
      <c r="H10543" t="inlineStr">
        <is>
          <t>20/01/2026</t>
        </is>
      </c>
      <c r="I10543" t="inlineStr">
        <is>
          <t>12/04/2026</t>
        </is>
      </c>
      <c r="J10543" t="inlineStr">
        <is>
          <t>17/03/2026</t>
        </is>
      </c>
      <c r="K10543" t="inlineStr">
        <is>
          <t>N/A</t>
        </is>
      </c>
      <c r="L10543" t="inlineStr">
        <is>
          <t>CAD, CAM, CAE, Altium, Cơ Khí</t>
        </is>
      </c>
      <c r="M10543" t="inlineStr">
        <is>
          <t>Bonus, Healthcare Plan, Training, Others</t>
        </is>
      </c>
      <c r="N10543" s="8">
        <f>HYPERLINK("https://www.vietnamworks.com/senior-application-engineer-2004246-jv","Xem chi tiết")</f>
        <v/>
      </c>
    </row>
    <row r="10544">
      <c r="B10544" s="9" t="n">
        <v>10542</v>
      </c>
      <c r="C10544" s="10" t="inlineStr">
        <is>
          <t>[Tuyển Gấp] Nhân Viên Quản Lý Đơn Hàng/ Merchandiser</t>
        </is>
      </c>
      <c r="D10544" s="10" t="inlineStr">
        <is>
          <t>Công Ty TNHH Tessellation Hòa Bình</t>
        </is>
      </c>
      <c r="E10544" s="10" t="inlineStr">
        <is>
          <t>$$ 12tr-15tr /tháng</t>
        </is>
      </c>
      <c r="F10544" s="10" t="inlineStr">
        <is>
          <t>Phú Thọ, Hà Nội</t>
        </is>
      </c>
      <c r="G10544" s="10" t="inlineStr">
        <is>
          <t>Nhân viên</t>
        </is>
      </c>
      <c r="H10544" s="10" t="inlineStr">
        <is>
          <t>23/01/2026</t>
        </is>
      </c>
      <c r="I10544" s="10" t="inlineStr">
        <is>
          <t>12/04/2026</t>
        </is>
      </c>
      <c r="J10544" s="10" t="inlineStr">
        <is>
          <t>17/03/2026</t>
        </is>
      </c>
      <c r="K10544" s="10" t="inlineStr">
        <is>
          <t>N/A</t>
        </is>
      </c>
      <c r="L10544" s="10" t="inlineStr">
        <is>
          <t>Garment, Quản Lý Đơn Hàng</t>
        </is>
      </c>
      <c r="M10544" s="10" t="inlineStr">
        <is>
          <t>Healthcare Plan, Paid Leave, Training</t>
        </is>
      </c>
      <c r="N10544" s="11">
        <f>HYPERLINK("https://www.vietnamworks.com/tuyen-gap-nhan-vien-quan-ly-don-hang-merchandiser-2005662-jv","Xem chi tiết")</f>
        <v/>
      </c>
      <c r="O10544" s="10" t="n"/>
    </row>
    <row r="10545">
      <c r="B10545" s="7" t="n">
        <v>10543</v>
      </c>
      <c r="C10545" t="inlineStr">
        <is>
          <t>Air India – Passenger Sales Supervisor (Competitive Salary)</t>
        </is>
      </c>
      <c r="D10545" t="inlineStr">
        <is>
          <t>T&amp;T GLOBAL TRAVEL SERVICES CO., LTD</t>
        </is>
      </c>
      <c r="E10545" t="inlineStr">
        <is>
          <t>Thương lượng</t>
        </is>
      </c>
      <c r="F10545" t="inlineStr">
        <is>
          <t>Hà Nội, Hồ Chí Minh</t>
        </is>
      </c>
      <c r="G10545" t="inlineStr">
        <is>
          <t>Trưởng phòng</t>
        </is>
      </c>
      <c r="H10545" t="inlineStr">
        <is>
          <t>22/01/2026</t>
        </is>
      </c>
      <c r="I10545" t="inlineStr">
        <is>
          <t>12/04/2026</t>
        </is>
      </c>
      <c r="J10545" t="inlineStr">
        <is>
          <t>17/03/2026</t>
        </is>
      </c>
      <c r="K10545" t="inlineStr">
        <is>
          <t>N/A</t>
        </is>
      </c>
      <c r="L10545" t="inlineStr">
        <is>
          <t>Travel Management, Airline &amp; Travel Industry  Knowledge, Travel, Passenger Assistance, Tourism and Hospitality Industry</t>
        </is>
      </c>
      <c r="M10545" t="inlineStr">
        <is>
          <t>Bonus, Healthcare Plan, Travel Opportunities</t>
        </is>
      </c>
      <c r="N10545" s="8">
        <f>HYPERLINK("https://www.vietnamworks.com/air-india-passenger-sales-supervisor-competitive-salary-2005180-jv","Xem chi tiết")</f>
        <v/>
      </c>
    </row>
    <row r="10546">
      <c r="B10546" s="9" t="n">
        <v>10544</v>
      </c>
      <c r="C10546" s="10" t="inlineStr">
        <is>
          <t>Trưởng Nhóm Nghiên Cứu và Phát Triển Sản Phẩm</t>
        </is>
      </c>
      <c r="D10546" s="10" t="inlineStr">
        <is>
          <t>Vietnamworks' Client</t>
        </is>
      </c>
      <c r="E10546" s="10" t="inlineStr">
        <is>
          <t>Thương lượng</t>
        </is>
      </c>
      <c r="F10546" s="10" t="inlineStr">
        <is>
          <t>Hà Nội</t>
        </is>
      </c>
      <c r="G10546" s="10" t="inlineStr">
        <is>
          <t>Trưởng phòng</t>
        </is>
      </c>
      <c r="H10546" s="10" t="inlineStr">
        <is>
          <t>14/01/2026</t>
        </is>
      </c>
      <c r="I10546" s="10" t="inlineStr">
        <is>
          <t>12/04/2026</t>
        </is>
      </c>
      <c r="J10546" s="10" t="inlineStr">
        <is>
          <t>17/03/2026</t>
        </is>
      </c>
      <c r="K10546" s="10" t="inlineStr">
        <is>
          <t>N/A</t>
        </is>
      </c>
      <c r="L10546" s="10" t="inlineStr">
        <is>
          <t>Product Development, Phát Triển Sản Phẩm, Mechanical Engineering, Engineering Manager, Manufacturing process</t>
        </is>
      </c>
      <c r="M10546" s="10" t="inlineStr">
        <is>
          <t>Paid Leave, Transportation</t>
        </is>
      </c>
      <c r="N10546" s="11">
        <f>HYPERLINK("https://www.vietnamworks.com/truong-nhom-nghien-cuu-va-phat-trien-san-pham-1--2002401-jv","Xem chi tiết")</f>
        <v/>
      </c>
      <c r="O10546" s="10" t="n"/>
    </row>
    <row r="10547">
      <c r="B10547" s="7" t="n">
        <v>10545</v>
      </c>
      <c r="C10547" t="inlineStr">
        <is>
          <t>System Administration Supervisor</t>
        </is>
      </c>
      <c r="D10547" t="inlineStr">
        <is>
          <t>Shinhan Vietnam Finance Company Limited</t>
        </is>
      </c>
      <c r="E10547" t="inlineStr">
        <is>
          <t>Thương lượng</t>
        </is>
      </c>
      <c r="F10547" t="inlineStr">
        <is>
          <t>Hồ Chí Minh</t>
        </is>
      </c>
      <c r="G10547" t="inlineStr">
        <is>
          <t>Nhân viên</t>
        </is>
      </c>
      <c r="H10547" t="inlineStr">
        <is>
          <t>12/01/2026</t>
        </is>
      </c>
      <c r="I10547" t="inlineStr">
        <is>
          <t>12/04/2026</t>
        </is>
      </c>
      <c r="J10547" t="inlineStr">
        <is>
          <t>17/03/2026</t>
        </is>
      </c>
      <c r="K10547" t="inlineStr">
        <is>
          <t>N/A</t>
        </is>
      </c>
      <c r="L10547" t="inlineStr">
        <is>
          <t>Systems Administration, IT System Administration, Linux</t>
        </is>
      </c>
      <c r="M10547" t="inlineStr">
        <is>
          <t>Bonus, Healthcare Plan, Paid Leave</t>
        </is>
      </c>
      <c r="N10547" s="8">
        <f>HYPERLINK("https://www.vietnamworks.com/system-administration-supervisor--2001437-jv","Xem chi tiết")</f>
        <v/>
      </c>
    </row>
    <row r="10548">
      <c r="B10548" s="9" t="n">
        <v>10546</v>
      </c>
      <c r="C10548" s="10" t="inlineStr">
        <is>
          <t>Kiểm Toán Viên - Cơ Quan Kiểm Toán Nội Bộ</t>
        </is>
      </c>
      <c r="D10548" s="10" t="inlineStr">
        <is>
          <t>Ngân hàng TNHH MTV Việt Nam Hiện Đại (Modern Bank of Vietnam - MBV)</t>
        </is>
      </c>
      <c r="E10548" s="10" t="inlineStr">
        <is>
          <t>Thương lượng</t>
        </is>
      </c>
      <c r="F10548" s="10" t="inlineStr">
        <is>
          <t>Hà Nội</t>
        </is>
      </c>
      <c r="G10548" s="10" t="inlineStr">
        <is>
          <t>Nhân viên</t>
        </is>
      </c>
      <c r="H10548" s="10" t="inlineStr">
        <is>
          <t>22/01/2026</t>
        </is>
      </c>
      <c r="I10548" s="10" t="inlineStr">
        <is>
          <t>12/04/2026</t>
        </is>
      </c>
      <c r="J10548" s="10" t="inlineStr">
        <is>
          <t>17/03/2026</t>
        </is>
      </c>
      <c r="K10548" s="10" t="inlineStr">
        <is>
          <t>N/A</t>
        </is>
      </c>
      <c r="L10548" s="10" t="inlineStr">
        <is>
          <t>Kiểm Toán Nội Bộ, Kiểm Toán, Internal Audit, CPA, Lập Báo Cáo Kiểm Toán</t>
        </is>
      </c>
      <c r="M10548" s="10" t="inlineStr">
        <is>
          <t>Bonus, Healthcare Plan, Paid Leave</t>
        </is>
      </c>
      <c r="N10548" s="11">
        <f>HYPERLINK("https://www.vietnamworks.com/kiem-toan-vien-co-quan-kiem-toan-noi-bo--2005148-jv","Xem chi tiết")</f>
        <v/>
      </c>
      <c r="O10548" s="10" t="n"/>
    </row>
    <row r="10549">
      <c r="B10549" s="7" t="n">
        <v>10547</v>
      </c>
      <c r="C10549" t="inlineStr">
        <is>
          <t>International Sales Specialist B2B</t>
        </is>
      </c>
      <c r="D10549" t="inlineStr">
        <is>
          <t>TurnKey FBA</t>
        </is>
      </c>
      <c r="E10549" t="inlineStr">
        <is>
          <t>Thương lượng</t>
        </is>
      </c>
      <c r="F10549" t="inlineStr">
        <is>
          <t>Hà Nội</t>
        </is>
      </c>
      <c r="G10549" t="inlineStr">
        <is>
          <t>Nhân viên</t>
        </is>
      </c>
      <c r="H10549" t="inlineStr">
        <is>
          <t>23/01/2026</t>
        </is>
      </c>
      <c r="I10549" t="inlineStr">
        <is>
          <t>12/04/2026</t>
        </is>
      </c>
      <c r="J10549" t="inlineStr">
        <is>
          <t>17/03/2026</t>
        </is>
      </c>
      <c r="K10549" t="inlineStr">
        <is>
          <t>N/A</t>
        </is>
      </c>
      <c r="L10549" t="inlineStr">
        <is>
          <t>Revenue Growth, Client Acquisition, E-commerce Management, Sale &amp; Business development, B2B</t>
        </is>
      </c>
      <c r="M10549" t="inlineStr">
        <is>
          <t>Healthcare Plan, Paid Leave, Laptop, Team Activities, Transportation, Canteen, Others</t>
        </is>
      </c>
      <c r="N10549" s="8">
        <f>HYPERLINK("https://www.vietnamworks.com/international-sales-specialist-b2b-2005747-jv","Xem chi tiết")</f>
        <v/>
      </c>
    </row>
    <row r="10550">
      <c r="B10550" s="9" t="n">
        <v>10548</v>
      </c>
      <c r="C10550" s="10" t="inlineStr">
        <is>
          <t>Production Planner</t>
        </is>
      </c>
      <c r="D10550" s="10" t="inlineStr">
        <is>
          <t>Kingspan Viet Nam</t>
        </is>
      </c>
      <c r="E10550" s="10" t="inlineStr">
        <is>
          <t>Thương lượng</t>
        </is>
      </c>
      <c r="F10550" s="10" t="inlineStr">
        <is>
          <t>Bà Rịa - Vũng Tàu</t>
        </is>
      </c>
      <c r="G10550" s="10" t="inlineStr">
        <is>
          <t>Nhân viên</t>
        </is>
      </c>
      <c r="H10550" s="10" t="inlineStr">
        <is>
          <t>23/01/2026</t>
        </is>
      </c>
      <c r="I10550" s="10" t="inlineStr">
        <is>
          <t>12/04/2026</t>
        </is>
      </c>
      <c r="J10550" s="10" t="inlineStr">
        <is>
          <t>17/03/2026</t>
        </is>
      </c>
      <c r="K10550" s="10" t="inlineStr">
        <is>
          <t>N/A</t>
        </is>
      </c>
      <c r="L10550" s="10" t="inlineStr">
        <is>
          <t>Production Planning, ERP Systems, MS Office, English, Production Schedule</t>
        </is>
      </c>
      <c r="M10550" s="10" t="inlineStr">
        <is>
          <t>Bonus</t>
        </is>
      </c>
      <c r="N10550" s="11">
        <f>HYPERLINK("https://www.vietnamworks.com/production-planner-2005720-jv","Xem chi tiết")</f>
        <v/>
      </c>
      <c r="O10550" s="10" t="n"/>
    </row>
    <row r="10551">
      <c r="B10551" s="7" t="n">
        <v>10549</v>
      </c>
      <c r="C10551" t="inlineStr">
        <is>
          <t xml:space="preserve"> Footwear Supply Chain Ops Analyst - Tooling Planning</t>
        </is>
      </c>
      <c r="D10551" t="inlineStr">
        <is>
          <t>Columbia Sportswear Company</t>
        </is>
      </c>
      <c r="E10551" t="inlineStr">
        <is>
          <t>Thương lượng</t>
        </is>
      </c>
      <c r="F10551" t="inlineStr">
        <is>
          <t>Quảng Nam</t>
        </is>
      </c>
      <c r="G10551" t="inlineStr">
        <is>
          <t>Nhân viên</t>
        </is>
      </c>
      <c r="H10551" t="inlineStr">
        <is>
          <t>15/01/2026</t>
        </is>
      </c>
      <c r="I10551" t="inlineStr">
        <is>
          <t>12/04/2026</t>
        </is>
      </c>
      <c r="J10551" t="inlineStr">
        <is>
          <t>17/03/2026</t>
        </is>
      </c>
      <c r="K10551" t="inlineStr">
        <is>
          <t>N/A</t>
        </is>
      </c>
      <c r="L10551" t="inlineStr">
        <is>
          <t>Communication, Customer Focused Design, Logistics, Microsoft Office, Supply Chain Management</t>
        </is>
      </c>
      <c r="M10551" t="inlineStr">
        <is>
          <t>Bonus, Paid Leave, Laptop, Transportation</t>
        </is>
      </c>
      <c r="N10551" s="8">
        <f>HYPERLINK("https://www.vietnamworks.com/footwear-supply-chain-ops-analyst-tooling-planning-2003057-jv","Xem chi tiết")</f>
        <v/>
      </c>
    </row>
    <row r="10552">
      <c r="B10552" s="9" t="n">
        <v>10550</v>
      </c>
      <c r="C10552" s="10" t="inlineStr">
        <is>
          <t>Kỹ Sư Bán Hàng (Nói Tiếng Trung)</t>
        </is>
      </c>
      <c r="D10552" s="10" t="inlineStr">
        <is>
          <t>Ellsworth Adhesives Vietnam Ltd. HCM Office</t>
        </is>
      </c>
      <c r="E10552" s="10" t="inlineStr">
        <is>
          <t>$$ 500-1,500 /tháng</t>
        </is>
      </c>
      <c r="F10552" s="10" t="inlineStr">
        <is>
          <t>Hà Nội, Bắc Ninh, Hồ Chí Minh</t>
        </is>
      </c>
      <c r="G10552" s="10" t="inlineStr">
        <is>
          <t>Nhân viên</t>
        </is>
      </c>
      <c r="H10552" s="10" t="inlineStr">
        <is>
          <t>22/01/2026</t>
        </is>
      </c>
      <c r="I10552" s="10" t="inlineStr">
        <is>
          <t>12/04/2026</t>
        </is>
      </c>
      <c r="J10552" s="10" t="inlineStr">
        <is>
          <t>17/03/2026</t>
        </is>
      </c>
      <c r="K10552" s="10" t="inlineStr">
        <is>
          <t>N/A</t>
        </is>
      </c>
      <c r="L10552" s="10" t="inlineStr">
        <is>
          <t>Chinese Speaking, B2B Sales, Technical Sales, Chemical Product, Electronics Manufacturing</t>
        </is>
      </c>
      <c r="M10552" s="10" t="inlineStr">
        <is>
          <t>Healthcare Plan, Transportation, Others</t>
        </is>
      </c>
      <c r="N10552" s="11">
        <f>HYPERLINK("https://www.vietnamworks.com/ky-su-ban-hang-noi-tieng-trung--2005137-jv","Xem chi tiết")</f>
        <v/>
      </c>
      <c r="O10552" s="10" t="n"/>
    </row>
    <row r="10553">
      <c r="B10553" s="7" t="n">
        <v>10551</v>
      </c>
      <c r="C10553" t="inlineStr">
        <is>
          <t>Chuyên Viên Marketing (Mảng Bất Động Sản)</t>
        </is>
      </c>
      <c r="D10553" t="inlineStr">
        <is>
          <t>Công Ty Cổ Phần Tập Đoàn BRG</t>
        </is>
      </c>
      <c r="E10553" t="inlineStr">
        <is>
          <t>Thương lượng</t>
        </is>
      </c>
      <c r="F10553" t="inlineStr">
        <is>
          <t>Hà Nội</t>
        </is>
      </c>
      <c r="G10553" t="inlineStr">
        <is>
          <t>Nhân viên</t>
        </is>
      </c>
      <c r="H10553" t="inlineStr">
        <is>
          <t>22/01/2026</t>
        </is>
      </c>
      <c r="I10553" t="inlineStr">
        <is>
          <t>12/04/2026</t>
        </is>
      </c>
      <c r="J10553" t="inlineStr">
        <is>
          <t>17/03/2026</t>
        </is>
      </c>
      <c r="K10553" t="inlineStr">
        <is>
          <t>N/A</t>
        </is>
      </c>
      <c r="L10553" t="inlineStr">
        <is>
          <t>Real Estate, Bất Động Sản, Marketing Planning</t>
        </is>
      </c>
      <c r="M10553" t="inlineStr">
        <is>
          <t>Bonus, Healthcare Plan, Travel Opportunities</t>
        </is>
      </c>
      <c r="N10553" s="8">
        <f>HYPERLINK("https://www.vietnamworks.com/chuyen-vien-marketing-mang-bat-dong-san--2005419-jv","Xem chi tiết")</f>
        <v/>
      </c>
    </row>
    <row r="10554">
      <c r="B10554" s="9" t="n">
        <v>10552</v>
      </c>
      <c r="C10554" s="10" t="inlineStr">
        <is>
          <t>Giám Đốc Đầu Tư</t>
        </is>
      </c>
      <c r="D10554" s="10" t="inlineStr">
        <is>
          <t>Công Ty Cổ Phần Tập Đoàn Phú Thái Holdings</t>
        </is>
      </c>
      <c r="E10554" s="10" t="inlineStr">
        <is>
          <t>Thương lượng</t>
        </is>
      </c>
      <c r="F10554" s="10" t="inlineStr">
        <is>
          <t>Hà Nội</t>
        </is>
      </c>
      <c r="G10554" s="10" t="inlineStr">
        <is>
          <t>Giám Đốc và Cấp Cao Hơn</t>
        </is>
      </c>
      <c r="H10554" s="10" t="inlineStr">
        <is>
          <t>23/01/2026</t>
        </is>
      </c>
      <c r="I10554" s="10" t="inlineStr">
        <is>
          <t>12/04/2026</t>
        </is>
      </c>
      <c r="J10554" s="10" t="inlineStr">
        <is>
          <t>17/03/2026</t>
        </is>
      </c>
      <c r="K10554" s="10" t="inlineStr">
        <is>
          <t>N/A</t>
        </is>
      </c>
      <c r="L10554" s="10" t="inlineStr">
        <is>
          <t>Corporate Finance, Nghiên Cứu Thị Trường, Private Equity, Tài Chính, Thẩm Định Giá</t>
        </is>
      </c>
      <c r="M10554" s="10" t="inlineStr">
        <is>
          <t>Bonus, Training, Team Activities</t>
        </is>
      </c>
      <c r="N10554" s="11">
        <f>HYPERLINK("https://www.vietnamworks.com/giam-djoc-djau-tu-2005663-jv","Xem chi tiết")</f>
        <v/>
      </c>
      <c r="O10554" s="10" t="n"/>
    </row>
    <row r="10555">
      <c r="B10555" s="7" t="n">
        <v>10553</v>
      </c>
      <c r="C10555" t="inlineStr">
        <is>
          <t>Nhân Viên An Toàn, PCCC</t>
        </is>
      </c>
      <c r="D10555" t="inlineStr">
        <is>
          <t>INOAC Vietnam CO., LTD.</t>
        </is>
      </c>
      <c r="E10555" t="inlineStr">
        <is>
          <t>Thương lượng</t>
        </is>
      </c>
      <c r="F10555" t="inlineStr">
        <is>
          <t>Hà Nội</t>
        </is>
      </c>
      <c r="G10555" t="inlineStr">
        <is>
          <t>Nhân viên</t>
        </is>
      </c>
      <c r="H10555" t="inlineStr">
        <is>
          <t>26/01/2026</t>
        </is>
      </c>
      <c r="I10555" t="inlineStr">
        <is>
          <t>12/04/2026</t>
        </is>
      </c>
      <c r="J10555" t="inlineStr">
        <is>
          <t>17/03/2026</t>
        </is>
      </c>
      <c r="K10555" t="inlineStr">
        <is>
          <t>N/A</t>
        </is>
      </c>
      <c r="L10555" t="inlineStr">
        <is>
          <t>An Toàn Lao Động, Phòng Cháy Chữa Cháy, Môi Trường, Luật, An Toàn Điện</t>
        </is>
      </c>
      <c r="M10555" t="inlineStr">
        <is>
          <t>Bonus, Training, Transportation</t>
        </is>
      </c>
      <c r="N10555" s="8">
        <f>HYPERLINK("https://www.vietnamworks.com/nhan-vien-an-toan-pccc--2006101-jv","Xem chi tiết")</f>
        <v/>
      </c>
    </row>
    <row r="10556">
      <c r="B10556" s="9" t="n">
        <v>10554</v>
      </c>
      <c r="C10556" s="10" t="inlineStr">
        <is>
          <t>Inbound Travel Online Sales Specialist</t>
        </is>
      </c>
      <c r="D10556" s="10" t="inlineStr">
        <is>
          <t>Asia Travel &amp; Leisure</t>
        </is>
      </c>
      <c r="E10556" s="10" t="inlineStr">
        <is>
          <t>10tr-10tr ₫/tháng</t>
        </is>
      </c>
      <c r="F10556" s="10" t="inlineStr">
        <is>
          <t>Hà Nội</t>
        </is>
      </c>
      <c r="G10556" s="10" t="inlineStr">
        <is>
          <t>Nhân viên</t>
        </is>
      </c>
      <c r="H10556" s="10" t="inlineStr">
        <is>
          <t>23/01/2026</t>
        </is>
      </c>
      <c r="I10556" s="10" t="inlineStr">
        <is>
          <t>12/04/2026</t>
        </is>
      </c>
      <c r="J10556" s="10" t="inlineStr">
        <is>
          <t>17/03/2026</t>
        </is>
      </c>
      <c r="K10556" s="10" t="inlineStr">
        <is>
          <t>N/A</t>
        </is>
      </c>
      <c r="L10556" s="10" t="inlineStr">
        <is>
          <t>Inbound Sales, Tour Online Sales, Travel Consulting, Sales Planning, Travel Booking</t>
        </is>
      </c>
      <c r="M10556" s="10" t="inlineStr">
        <is>
          <t>Bonus, Paid Leave, Team Activities</t>
        </is>
      </c>
      <c r="N10556" s="11">
        <f>HYPERLINK("https://www.vietnamworks.com/inbound-travel-online-sales-specialist-2005844-jv","Xem chi tiết")</f>
        <v/>
      </c>
      <c r="O10556" s="10" t="n"/>
    </row>
    <row r="10557">
      <c r="B10557" s="7" t="n">
        <v>10555</v>
      </c>
      <c r="C10557" t="inlineStr">
        <is>
          <t>HN/HCM - Chuyên Viên Kinh Doanh Thu Nhập Upto 2500$/tháng</t>
        </is>
      </c>
      <c r="D10557" t="inlineStr">
        <is>
          <t>CÔNG TY CP TẬP ĐOÀN VINATECH VIỆT NAM</t>
        </is>
      </c>
      <c r="E10557" t="inlineStr">
        <is>
          <t>$$ 1,000-2,500 /tháng</t>
        </is>
      </c>
      <c r="F10557" t="inlineStr">
        <is>
          <t>Hà Nội, Hồ Chí Minh</t>
        </is>
      </c>
      <c r="G10557" t="inlineStr">
        <is>
          <t>Nhân viên</t>
        </is>
      </c>
      <c r="H10557" t="inlineStr">
        <is>
          <t>26/01/2026</t>
        </is>
      </c>
      <c r="I10557" t="inlineStr">
        <is>
          <t>12/04/2026</t>
        </is>
      </c>
      <c r="J10557" t="inlineStr">
        <is>
          <t>17/03/2026</t>
        </is>
      </c>
      <c r="K10557" t="inlineStr">
        <is>
          <t>N/A</t>
        </is>
      </c>
      <c r="L10557" t="inlineStr">
        <is>
          <t>Kinh Doanh, B2B, Bán Hàng, Tìm Kiếm Khách Hàng</t>
        </is>
      </c>
      <c r="M10557" t="inlineStr">
        <is>
          <t>Bonus, Paid Leave, Training, Others</t>
        </is>
      </c>
      <c r="N10557" s="8">
        <f>HYPERLINK("https://www.vietnamworks.com/hn-hcm-chuyen-vien-kinh-doanh-thu-nhap-upto-2500-thang-2006292-jv","Xem chi tiết")</f>
        <v/>
      </c>
    </row>
    <row r="10558">
      <c r="B10558" s="9" t="n">
        <v>10556</v>
      </c>
      <c r="C10558" s="10" t="inlineStr">
        <is>
          <t>Kỹ Sư Thiết Kế Hệ Thống Điều Hòa Không Khí và Thông Gió (ACMV)</t>
        </is>
      </c>
      <c r="D10558" s="10" t="inlineStr">
        <is>
          <t>CÔNG TY CỔ PHẦN TƯ VẤN VÀ THIẾT KẾ D&amp;B</t>
        </is>
      </c>
      <c r="E10558" s="10" t="inlineStr">
        <is>
          <t>Thương lượng</t>
        </is>
      </c>
      <c r="F10558" s="10" t="inlineStr">
        <is>
          <t>Hồ Chí Minh</t>
        </is>
      </c>
      <c r="G10558" s="10" t="inlineStr">
        <is>
          <t>Nhân viên</t>
        </is>
      </c>
      <c r="H10558" s="10" t="inlineStr">
        <is>
          <t>26/01/2026</t>
        </is>
      </c>
      <c r="I10558" s="10" t="inlineStr">
        <is>
          <t>12/04/2026</t>
        </is>
      </c>
      <c r="J10558" s="10" t="inlineStr">
        <is>
          <t>17/03/2026</t>
        </is>
      </c>
      <c r="K10558" s="10" t="inlineStr">
        <is>
          <t>N/A</t>
        </is>
      </c>
      <c r="L10558" s="10" t="inlineStr">
        <is>
          <t>Acmv Design, Revit, AutoCAD, HVAC System Design, Mechanical design engineer</t>
        </is>
      </c>
      <c r="M10558" s="10" t="inlineStr">
        <is>
          <t>Bonus, Healthcare Plan, Travel Opportunities</t>
        </is>
      </c>
      <c r="N10558" s="11">
        <f>HYPERLINK("https://www.vietnamworks.com/ky-su-thiet-ke-he-thong-dieu-hoa-khong-khi-va-thong-gio-acmv--2006315-jv","Xem chi tiết")</f>
        <v/>
      </c>
      <c r="O10558" s="10" t="n"/>
    </row>
    <row r="10559">
      <c r="B10559" s="7" t="n">
        <v>10557</v>
      </c>
      <c r="C10559" t="inlineStr">
        <is>
          <t>Chuyên Viên Kỹ Thuật Hiện Trường (Cọc Khoan Nhồi) (Lương Đến $1600)</t>
        </is>
      </c>
      <c r="D10559" t="inlineStr">
        <is>
          <t>CÔNG TY CỔ PHẦN ĐẦU TƯ VÀ XÂY DỰNG SGC</t>
        </is>
      </c>
      <c r="E10559" t="inlineStr">
        <is>
          <t>Tới $ 1,600 /tháng</t>
        </is>
      </c>
      <c r="F10559" t="inlineStr">
        <is>
          <t>Hà Nội, Hồ Chí Minh</t>
        </is>
      </c>
      <c r="G10559" t="inlineStr">
        <is>
          <t>Nhân viên</t>
        </is>
      </c>
      <c r="H10559" t="inlineStr">
        <is>
          <t>23/01/2026</t>
        </is>
      </c>
      <c r="I10559" t="inlineStr">
        <is>
          <t>12/04/2026</t>
        </is>
      </c>
      <c r="J10559" t="inlineStr">
        <is>
          <t>17/03/2026</t>
        </is>
      </c>
      <c r="K10559" t="inlineStr">
        <is>
          <t>N/A</t>
        </is>
      </c>
      <c r="L10559" t="inlineStr">
        <is>
          <t>Kỹ Thuật Hiện Trường, Xây Dựng, Cọc Khoan Nhồi, Civil Construction, Nghiệm Thu</t>
        </is>
      </c>
      <c r="M10559" t="inlineStr">
        <is>
          <t>Bonus, Training, Awards</t>
        </is>
      </c>
      <c r="N10559" s="8">
        <f>HYPERLINK("https://www.vietnamworks.com/chuyen-vien-ky-thuat-hien-truong-coc-khoan-nhoi-luong-den-1600-2005902-jv","Xem chi tiết")</f>
        <v/>
      </c>
    </row>
    <row r="10560">
      <c r="B10560" s="9" t="n">
        <v>10558</v>
      </c>
      <c r="C10560" s="10" t="inlineStr">
        <is>
          <t>Learning &amp; Development Manager (L&amp;D Manager)</t>
        </is>
      </c>
      <c r="D10560" s="10" t="inlineStr">
        <is>
          <t>Công Ty Cổ Phần Công Nghệ Sapo</t>
        </is>
      </c>
      <c r="E10560" s="10" t="inlineStr">
        <is>
          <t>Thương lượng</t>
        </is>
      </c>
      <c r="F10560" s="10" t="inlineStr">
        <is>
          <t>Hà Nội</t>
        </is>
      </c>
      <c r="G10560" s="10" t="inlineStr">
        <is>
          <t>Trưởng phòng</t>
        </is>
      </c>
      <c r="H10560" s="10" t="inlineStr">
        <is>
          <t>23/01/2026</t>
        </is>
      </c>
      <c r="I10560" s="10" t="inlineStr">
        <is>
          <t>12/04/2026</t>
        </is>
      </c>
      <c r="J10560" s="10" t="inlineStr">
        <is>
          <t>17/03/2026</t>
        </is>
      </c>
      <c r="K10560" s="10" t="inlineStr">
        <is>
          <t>N/A</t>
        </is>
      </c>
      <c r="L10560" s="10" t="inlineStr">
        <is>
          <t>Quản Trị Nhân Lực, Đào Tạo, Đào Tạo và Phát Triển, Quản Lý Ngân Sách, Xây Dựng Chương Trình Đào Tạo</t>
        </is>
      </c>
      <c r="M10560" s="10" t="inlineStr">
        <is>
          <t>Bonus, Healthcare Plan, Training, Others</t>
        </is>
      </c>
      <c r="N10560" s="11">
        <f>HYPERLINK("https://www.vietnamworks.com/learning-development-manager-l-d-manager-2005918-jv","Xem chi tiết")</f>
        <v/>
      </c>
      <c r="O10560" s="10" t="n"/>
    </row>
    <row r="10561">
      <c r="B10561" s="7" t="n">
        <v>10559</v>
      </c>
      <c r="C10561" t="inlineStr">
        <is>
          <t>Executive Assistant to CEO (Chinese Speaking)</t>
        </is>
      </c>
      <c r="D10561" t="inlineStr">
        <is>
          <t>CÔNG TY TNHH THƯƠNG MẠI ĐIỆN TỬ GOBUY VIỆT NAM</t>
        </is>
      </c>
      <c r="E10561" t="inlineStr">
        <is>
          <t>$$ 1,000-1,500 /tháng</t>
        </is>
      </c>
      <c r="F10561" t="inlineStr">
        <is>
          <t>Hồ Chí Minh</t>
        </is>
      </c>
      <c r="G10561" t="inlineStr">
        <is>
          <t>Nhân viên</t>
        </is>
      </c>
      <c r="H10561" t="inlineStr">
        <is>
          <t>26/01/2026</t>
        </is>
      </c>
      <c r="I10561" t="inlineStr">
        <is>
          <t>12/04/2026</t>
        </is>
      </c>
      <c r="J10561" t="inlineStr">
        <is>
          <t>17/03/2026</t>
        </is>
      </c>
      <c r="K10561" t="inlineStr">
        <is>
          <t>N/A</t>
        </is>
      </c>
      <c r="L10561" t="inlineStr">
        <is>
          <t>Data Analysis, market research, Project Management, 協調能力, 沟通技巧</t>
        </is>
      </c>
      <c r="M10561" t="inlineStr">
        <is>
          <t>Bonus, Healthcare Plan, Paid Leave, Others</t>
        </is>
      </c>
      <c r="N10561" s="8">
        <f>HYPERLINK("https://www.vietnamworks.com/executive-assistant-to-ceo-chinese-speaking-2006143-jv","Xem chi tiết")</f>
        <v/>
      </c>
    </row>
    <row r="10562">
      <c r="B10562" s="9" t="n">
        <v>10560</v>
      </c>
      <c r="C10562" s="10" t="inlineStr">
        <is>
          <t>Engineering Merchandiser</t>
        </is>
      </c>
      <c r="D10562" s="10" t="inlineStr">
        <is>
          <t>ET2C International Limited In HCMC</t>
        </is>
      </c>
      <c r="E10562" s="10" t="inlineStr">
        <is>
          <t>Thương lượng</t>
        </is>
      </c>
      <c r="F10562" s="10" t="inlineStr">
        <is>
          <t>Hồ Chí Minh</t>
        </is>
      </c>
      <c r="G10562" s="10" t="inlineStr">
        <is>
          <t>Nhân viên</t>
        </is>
      </c>
      <c r="H10562" s="10" t="inlineStr">
        <is>
          <t>26/01/2026</t>
        </is>
      </c>
      <c r="I10562" s="10" t="inlineStr">
        <is>
          <t>12/04/2026</t>
        </is>
      </c>
      <c r="J10562" s="10" t="inlineStr">
        <is>
          <t>17/03/2026</t>
        </is>
      </c>
      <c r="K10562" s="10" t="inlineStr">
        <is>
          <t>N/A</t>
        </is>
      </c>
      <c r="L10562" s="10" t="inlineStr">
        <is>
          <t>Order Management, Merchandising, Industrial Components, Hardware product</t>
        </is>
      </c>
      <c r="M10562" s="10" t="inlineStr">
        <is>
          <t>Healthcare Plan, Paid Leave, Laptop</t>
        </is>
      </c>
      <c r="N10562" s="11">
        <f>HYPERLINK("https://www.vietnamworks.com/engineering-merchandiser-2006287-jv","Xem chi tiết")</f>
        <v/>
      </c>
      <c r="O10562" s="10" t="n"/>
    </row>
    <row r="10563">
      <c r="B10563" s="7" t="n">
        <v>10561</v>
      </c>
      <c r="C10563" t="inlineStr">
        <is>
          <t>SMT/ AI Senior Engineer (Salary Upto 35M)</t>
        </is>
      </c>
      <c r="D10563" t="inlineStr">
        <is>
          <t>Công Ty TNHH Công Nghệ Welco Việt Nam</t>
        </is>
      </c>
      <c r="E10563" t="inlineStr">
        <is>
          <t>Tới 35tr ₫/tháng</t>
        </is>
      </c>
      <c r="F10563" t="inlineStr">
        <is>
          <t>Hưng Yên, Hải Dương, Bắc Ninh</t>
        </is>
      </c>
      <c r="G10563" t="inlineStr">
        <is>
          <t>Nhân viên</t>
        </is>
      </c>
      <c r="H10563" t="inlineStr">
        <is>
          <t>26/01/2026</t>
        </is>
      </c>
      <c r="I10563" t="inlineStr">
        <is>
          <t>12/04/2026</t>
        </is>
      </c>
      <c r="J10563" t="inlineStr">
        <is>
          <t>17/03/2026</t>
        </is>
      </c>
      <c r="K10563" t="inlineStr">
        <is>
          <t>N/A</t>
        </is>
      </c>
      <c r="L10563" t="inlineStr">
        <is>
          <t>EHS, ISO, OHSAS 18001, SMT Operation, TS16949</t>
        </is>
      </c>
      <c r="M10563" t="inlineStr">
        <is>
          <t>Bonus, Healthcare Plan, Others</t>
        </is>
      </c>
      <c r="N10563" s="8">
        <f>HYPERLINK("https://www.vietnamworks.com/smt-ai-senior-engineer-salary-upto-35m-2006374-jv","Xem chi tiết")</f>
        <v/>
      </c>
    </row>
    <row r="10564">
      <c r="B10564" s="9" t="n">
        <v>10562</v>
      </c>
      <c r="C10564" s="10" t="inlineStr">
        <is>
          <t>Giám Đốc Chi Nhánh - [BAC A BANK - Chi Nhánh Đồng Tháp]</t>
        </is>
      </c>
      <c r="D10564" s="10" t="inlineStr">
        <is>
          <t>Bắc Á Bank - Https://tuyendung.baca-Bank.vn/</t>
        </is>
      </c>
      <c r="E10564" s="10" t="inlineStr">
        <is>
          <t>Thương lượng</t>
        </is>
      </c>
      <c r="F10564" s="10" t="inlineStr">
        <is>
          <t>Đồng Tháp</t>
        </is>
      </c>
      <c r="G10564" s="10" t="inlineStr">
        <is>
          <t>Giám Đốc và Cấp Cao Hơn</t>
        </is>
      </c>
      <c r="H10564" s="10" t="inlineStr">
        <is>
          <t>26/01/2026</t>
        </is>
      </c>
      <c r="I10564" s="10" t="inlineStr">
        <is>
          <t>12/04/2026</t>
        </is>
      </c>
      <c r="J10564" s="10" t="inlineStr">
        <is>
          <t>17/03/2026</t>
        </is>
      </c>
      <c r="K10564" s="10" t="inlineStr">
        <is>
          <t>N/A</t>
        </is>
      </c>
      <c r="L10564" s="10" t="inlineStr">
        <is>
          <t>Banking, Finance, Retail Banking, Sales, Tài Chính Ngân Hàng</t>
        </is>
      </c>
      <c r="M10564" s="10" t="inlineStr">
        <is>
          <t>Bonus, Healthcare Plan, Paid Leave, Training, Transportation</t>
        </is>
      </c>
      <c r="N10564" s="11">
        <f>HYPERLINK("https://www.vietnamworks.com/giam-djoc-chi-nhanh-bac-a-bank-chi-nhanh-djong-thap-2006396-jv","Xem chi tiết")</f>
        <v/>
      </c>
      <c r="O10564" s="10" t="n"/>
    </row>
    <row r="10565">
      <c r="B10565" s="7" t="n">
        <v>10563</v>
      </c>
      <c r="C10565" t="inlineStr">
        <is>
          <t>Facility Engineer ( Good English)</t>
        </is>
      </c>
      <c r="D10565" t="inlineStr">
        <is>
          <t>Camso Việt Nam</t>
        </is>
      </c>
      <c r="E10565" t="inlineStr">
        <is>
          <t>Thương lượng</t>
        </is>
      </c>
      <c r="F10565" t="inlineStr">
        <is>
          <t>Bình Dương</t>
        </is>
      </c>
      <c r="G10565" t="inlineStr">
        <is>
          <t>Nhân viên</t>
        </is>
      </c>
      <c r="H10565" t="inlineStr">
        <is>
          <t>26/01/2026</t>
        </is>
      </c>
      <c r="I10565" t="inlineStr">
        <is>
          <t>12/04/2026</t>
        </is>
      </c>
      <c r="J10565" t="inlineStr">
        <is>
          <t>17/03/2026</t>
        </is>
      </c>
      <c r="K10565" t="inlineStr">
        <is>
          <t>N/A</t>
        </is>
      </c>
      <c r="L10565" t="inlineStr">
        <is>
          <t>Decision Making, Electrical Maintenance, Predictive Maintenance, Facility Maintenance, Project Management</t>
        </is>
      </c>
      <c r="M10565" t="inlineStr">
        <is>
          <t>Bonus, Healthcare Plan, Paid Leave, Training, Laptop, Team Activities, Transportation</t>
        </is>
      </c>
      <c r="N10565" s="8">
        <f>HYPERLINK("https://www.vietnamworks.com/facility-engineer-good-english--2006277-jv","Xem chi tiết")</f>
        <v/>
      </c>
    </row>
    <row r="10566">
      <c r="B10566" s="9" t="n">
        <v>10564</v>
      </c>
      <c r="C10566" s="10" t="inlineStr">
        <is>
          <t>Relationship Manager (AVP) – Non-Japanese Corporate Banking Department</t>
        </is>
      </c>
      <c r="D10566" s="10" t="inlineStr">
        <is>
          <t>Sumitomo Mitsui Banking Corporation (SMBC)</t>
        </is>
      </c>
      <c r="E10566" s="10" t="inlineStr">
        <is>
          <t>Thương lượng</t>
        </is>
      </c>
      <c r="F10566" s="10" t="inlineStr">
        <is>
          <t>Hồ Chí Minh</t>
        </is>
      </c>
      <c r="G10566" s="10" t="inlineStr">
        <is>
          <t>Trưởng phòng</t>
        </is>
      </c>
      <c r="H10566" s="10" t="inlineStr">
        <is>
          <t>26/01/2026</t>
        </is>
      </c>
      <c r="I10566" s="10" t="inlineStr">
        <is>
          <t>12/04/2026</t>
        </is>
      </c>
      <c r="J10566" s="10" t="inlineStr">
        <is>
          <t>17/03/2026</t>
        </is>
      </c>
      <c r="K10566" s="10" t="inlineStr">
        <is>
          <t>N/A</t>
        </is>
      </c>
      <c r="L10566" s="10" t="inlineStr">
        <is>
          <t>Banking Transaction, Relationship Management, Marketing Planning, Client Relationship, Customer Service</t>
        </is>
      </c>
      <c r="M10566" s="10" t="inlineStr">
        <is>
          <t>Bonus, Healthcare Plan, Paid Leave</t>
        </is>
      </c>
      <c r="N10566" s="11">
        <f>HYPERLINK("https://www.vietnamworks.com/relationship-manager-avp-non-japanese-corporate-banking-department--2006236-jv","Xem chi tiết")</f>
        <v/>
      </c>
      <c r="O10566" s="10" t="n"/>
    </row>
    <row r="10567">
      <c r="B10567" s="7" t="n">
        <v>10565</v>
      </c>
      <c r="C10567" t="inlineStr">
        <is>
          <t>Kỹ Sư Thiết Kế Hệ Thống Điện</t>
        </is>
      </c>
      <c r="D10567" t="inlineStr">
        <is>
          <t>CÔNG TY CỔ PHẦN TƯ VẤN VÀ THIẾT KẾ D&amp;B</t>
        </is>
      </c>
      <c r="E10567" t="inlineStr">
        <is>
          <t>Thương lượng</t>
        </is>
      </c>
      <c r="F10567" t="inlineStr">
        <is>
          <t>Hồ Chí Minh</t>
        </is>
      </c>
      <c r="G10567" t="inlineStr">
        <is>
          <t>Nhân viên</t>
        </is>
      </c>
      <c r="H10567" t="inlineStr">
        <is>
          <t>26/01/2026</t>
        </is>
      </c>
      <c r="I10567" t="inlineStr">
        <is>
          <t>12/04/2026</t>
        </is>
      </c>
      <c r="J10567" t="inlineStr">
        <is>
          <t>17/03/2026</t>
        </is>
      </c>
      <c r="K10567" t="inlineStr">
        <is>
          <t>N/A</t>
        </is>
      </c>
      <c r="L10567" t="inlineStr">
        <is>
          <t>AutoCAD, Hệ Thống Điện, Electrical System Design, Ecodial (Tính toán cấp điện), Thiết Kế Hệ Thống Điện</t>
        </is>
      </c>
      <c r="M10567" t="inlineStr">
        <is>
          <t>Bonus, Healthcare Plan, Travel Opportunities</t>
        </is>
      </c>
      <c r="N10567" s="8">
        <f>HYPERLINK("https://www.vietnamworks.com/ky-su-thiet-ke-he-thong-dien--2006320-jv","Xem chi tiết")</f>
        <v/>
      </c>
    </row>
    <row r="10568">
      <c r="B10568" s="9" t="n">
        <v>10566</v>
      </c>
      <c r="C10568" s="10" t="inlineStr">
        <is>
          <t>Facility Engineer ( Good English)</t>
        </is>
      </c>
      <c r="D10568" s="10" t="inlineStr">
        <is>
          <t>Camso Việt Nam</t>
        </is>
      </c>
      <c r="E10568" s="10" t="inlineStr">
        <is>
          <t>Thương lượng</t>
        </is>
      </c>
      <c r="F10568" s="10" t="inlineStr">
        <is>
          <t>Bình Dương</t>
        </is>
      </c>
      <c r="G10568" s="10" t="inlineStr">
        <is>
          <t>Nhân viên</t>
        </is>
      </c>
      <c r="H10568" s="10" t="inlineStr">
        <is>
          <t>26/01/2026</t>
        </is>
      </c>
      <c r="I10568" s="10" t="inlineStr">
        <is>
          <t>12/04/2026</t>
        </is>
      </c>
      <c r="J10568" s="10" t="inlineStr">
        <is>
          <t>17/03/2026</t>
        </is>
      </c>
      <c r="K10568" s="10" t="inlineStr">
        <is>
          <t>N/A</t>
        </is>
      </c>
      <c r="L10568" s="10" t="inlineStr">
        <is>
          <t>Decision Making, Electrical Maintenance, Facility Maintenance, Predictive Maintenance, Project Management</t>
        </is>
      </c>
      <c r="M10568" s="10" t="inlineStr">
        <is>
          <t>Bonus, Healthcare Plan, Paid Leave, Training, Laptop, Team Activities, Transportation</t>
        </is>
      </c>
      <c r="N10568" s="11">
        <f>HYPERLINK("https://www.vietnamworks.com/facility-engineer-good-english-2006290-jv","Xem chi tiết")</f>
        <v/>
      </c>
      <c r="O10568" s="10" t="n"/>
    </row>
    <row r="10569">
      <c r="B10569" s="7" t="n">
        <v>10567</v>
      </c>
      <c r="C10569" t="inlineStr">
        <is>
          <t>Maintenance Supervisor ( Good English)</t>
        </is>
      </c>
      <c r="D10569" t="inlineStr">
        <is>
          <t>Camso Việt Nam</t>
        </is>
      </c>
      <c r="E10569" t="inlineStr">
        <is>
          <t>Thương lượng</t>
        </is>
      </c>
      <c r="F10569" t="inlineStr">
        <is>
          <t>Bình Dương</t>
        </is>
      </c>
      <c r="G10569" t="inlineStr">
        <is>
          <t>Nhân viên</t>
        </is>
      </c>
      <c r="H10569" t="inlineStr">
        <is>
          <t>26/01/2026</t>
        </is>
      </c>
      <c r="I10569" t="inlineStr">
        <is>
          <t>12/04/2026</t>
        </is>
      </c>
      <c r="J10569" t="inlineStr">
        <is>
          <t>17/03/2026</t>
        </is>
      </c>
      <c r="K10569" t="inlineStr">
        <is>
          <t>N/A</t>
        </is>
      </c>
      <c r="L10569" t="inlineStr">
        <is>
          <t>Analytical Skills, Electrical, English, Predictive Maintenance, Preventive Maintenance</t>
        </is>
      </c>
      <c r="M10569" t="inlineStr">
        <is>
          <t>Bonus, Healthcare Plan, Paid Leave, Training, Laptop, Team Activities, Transportation</t>
        </is>
      </c>
      <c r="N10569" s="8">
        <f>HYPERLINK("https://www.vietnamworks.com/maintenance-supervisor-good-english-2006265-jv","Xem chi tiết")</f>
        <v/>
      </c>
    </row>
    <row r="10570">
      <c r="B10570" s="9" t="n">
        <v>10568</v>
      </c>
      <c r="C10570" s="10" t="inlineStr">
        <is>
          <t>Kỹ Sư Thiết Kế Hệ Thống Cấp Thoát Nước và Chữa Cháy</t>
        </is>
      </c>
      <c r="D10570" s="10" t="inlineStr">
        <is>
          <t>CÔNG TY CỔ PHẦN TƯ VẤN VÀ THIẾT KẾ D&amp;B</t>
        </is>
      </c>
      <c r="E10570" s="10" t="inlineStr">
        <is>
          <t>Thương lượng</t>
        </is>
      </c>
      <c r="F10570" s="10" t="inlineStr">
        <is>
          <t>Hồ Chí Minh</t>
        </is>
      </c>
      <c r="G10570" s="10" t="inlineStr">
        <is>
          <t>Nhân viên</t>
        </is>
      </c>
      <c r="H10570" s="10" t="inlineStr">
        <is>
          <t>26/01/2026</t>
        </is>
      </c>
      <c r="I10570" s="10" t="inlineStr">
        <is>
          <t>12/04/2026</t>
        </is>
      </c>
      <c r="J10570" s="10" t="inlineStr">
        <is>
          <t>17/03/2026</t>
        </is>
      </c>
      <c r="K10570" s="10" t="inlineStr">
        <is>
          <t>N/A</t>
        </is>
      </c>
      <c r="L10570" s="10" t="inlineStr">
        <is>
          <t>AutoCAD, Thiết Kế Cấp Thoát Nước, Pccc Design, Dự Toán Khối Lượng, Hệ thống chữa cháy</t>
        </is>
      </c>
      <c r="M10570" s="10" t="inlineStr">
        <is>
          <t>Bonus, Healthcare Plan, Travel Opportunities</t>
        </is>
      </c>
      <c r="N10570" s="11">
        <f>HYPERLINK("https://www.vietnamworks.com/ky-su-thiet-ke-he-thong-cap-thoat-nuoc-va-chua-chay-2006319-jv","Xem chi tiết")</f>
        <v/>
      </c>
      <c r="O10570" s="10" t="n"/>
    </row>
    <row r="10571">
      <c r="B10571" s="7" t="n">
        <v>10569</v>
      </c>
      <c r="C10571" t="inlineStr">
        <is>
          <t>Nhân Viên Chứng Từ XNK (Nữ)</t>
        </is>
      </c>
      <c r="D10571" t="inlineStr">
        <is>
          <t>CHI NHÁNH CÔNG TY TNHH SANKYU (VIỆT NAM) TẠI HẢI DƯƠNG</t>
        </is>
      </c>
      <c r="E10571" t="inlineStr">
        <is>
          <t>Thương lượng</t>
        </is>
      </c>
      <c r="F10571" t="inlineStr">
        <is>
          <t>Hải Dương</t>
        </is>
      </c>
      <c r="G10571" t="inlineStr">
        <is>
          <t>Mới Tốt Nghiệp</t>
        </is>
      </c>
      <c r="H10571" t="inlineStr">
        <is>
          <t>26/01/2026</t>
        </is>
      </c>
      <c r="I10571" t="inlineStr">
        <is>
          <t>12/04/2026</t>
        </is>
      </c>
      <c r="J10571" t="inlineStr">
        <is>
          <t>17/03/2026</t>
        </is>
      </c>
      <c r="K10571" t="inlineStr">
        <is>
          <t>N/A</t>
        </is>
      </c>
      <c r="L10571" t="inlineStr">
        <is>
          <t>Economics, International Trade, Logistics, Chứng Từ Xuất Nhập Khẩu, Document Management</t>
        </is>
      </c>
      <c r="M10571" t="inlineStr">
        <is>
          <t>Bonus, Healthcare Plan, Training</t>
        </is>
      </c>
      <c r="N10571" s="8">
        <f>HYPERLINK("https://www.vietnamworks.com/nhan-vien-chung-tu-xnk-nu-2006411-jv","Xem chi tiết")</f>
        <v/>
      </c>
    </row>
    <row r="10572">
      <c r="B10572" s="9" t="n">
        <v>10570</v>
      </c>
      <c r="C10572" s="10" t="inlineStr">
        <is>
          <t>Kỹ Sư Nhiệt Lạnh - HVAC Engineer (Thưởng 2 Lần/năm, Health Insurance Cho Bản Thân và Gia Đình)</t>
        </is>
      </c>
      <c r="D10572" s="10" t="inlineStr">
        <is>
          <t>Taikisha Vietnam Engineering Inc.</t>
        </is>
      </c>
      <c r="E10572" s="10" t="inlineStr">
        <is>
          <t>Thương lượng</t>
        </is>
      </c>
      <c r="F10572" s="10" t="inlineStr">
        <is>
          <t>Đồng Nai, Bình Dương, Đà Nẵng</t>
        </is>
      </c>
      <c r="G10572" s="10" t="inlineStr">
        <is>
          <t>Nhân viên</t>
        </is>
      </c>
      <c r="H10572" s="10" t="inlineStr">
        <is>
          <t>23/01/2026</t>
        </is>
      </c>
      <c r="I10572" s="10" t="inlineStr">
        <is>
          <t>12/04/2026</t>
        </is>
      </c>
      <c r="J10572" s="10" t="inlineStr">
        <is>
          <t>17/03/2026</t>
        </is>
      </c>
      <c r="K10572" s="10" t="inlineStr">
        <is>
          <t>N/A</t>
        </is>
      </c>
      <c r="L10572" s="10" t="inlineStr">
        <is>
          <t>HVAC, Nhiệt Lạnh, AutoCAD, Đọc Hiểu Bản Vẽ, Lắp Đặt Hạ Tầng</t>
        </is>
      </c>
      <c r="M10572" s="10" t="inlineStr">
        <is>
          <t>Bonus, Healthcare Plan, Training</t>
        </is>
      </c>
      <c r="N10572" s="11">
        <f>HYPERLINK("https://www.vietnamworks.com/ky-su-nhiet-lanh-hvac-engineer-thuong-2-lan-nam-health-insurance-cho-ban-than-va-gia-dinh-2005852-jv","Xem chi tiết")</f>
        <v/>
      </c>
      <c r="O10572" s="10" t="n"/>
    </row>
    <row r="10573">
      <c r="B10573" s="7" t="n">
        <v>10571</v>
      </c>
      <c r="C10573" t="inlineStr">
        <is>
          <t>Database Administrator (DBA)</t>
        </is>
      </c>
      <c r="D10573" t="inlineStr">
        <is>
          <t>Ngân Hàng TNHH MTV Woori Việt Nam</t>
        </is>
      </c>
      <c r="E10573" t="inlineStr">
        <is>
          <t>Thương lượng</t>
        </is>
      </c>
      <c r="F10573" t="inlineStr">
        <is>
          <t>Hà Nội</t>
        </is>
      </c>
      <c r="G10573" t="inlineStr">
        <is>
          <t>Nhân viên</t>
        </is>
      </c>
      <c r="H10573" t="inlineStr">
        <is>
          <t>26/01/2026</t>
        </is>
      </c>
      <c r="I10573" t="inlineStr">
        <is>
          <t>12/04/2026</t>
        </is>
      </c>
      <c r="J10573" t="inlineStr">
        <is>
          <t>17/03/2026</t>
        </is>
      </c>
      <c r="K10573" t="inlineStr">
        <is>
          <t>N/A</t>
        </is>
      </c>
      <c r="L10573" t="inlineStr">
        <is>
          <t>Database Development, Optimizing Performance, Oracle, PL/SQL, Problem Solving</t>
        </is>
      </c>
      <c r="M10573" t="inlineStr">
        <is>
          <t>Healthcare Plan, Paid Leave, Training, Team Activities, Others</t>
        </is>
      </c>
      <c r="N10573" s="8">
        <f>HYPERLINK("https://www.vietnamworks.com/database-administrator-dba-2006147-jv","Xem chi tiết")</f>
        <v/>
      </c>
    </row>
    <row r="10574">
      <c r="B10574" s="9" t="n">
        <v>10572</v>
      </c>
      <c r="C10574" s="10" t="inlineStr">
        <is>
          <t>Nhân Viên Kế Toán</t>
        </is>
      </c>
      <c r="D10574" s="10" t="inlineStr">
        <is>
          <t>CÔNG TY CỔ PHẦN VẬN TẢI DOLTRUCKS</t>
        </is>
      </c>
      <c r="E10574" s="10" t="inlineStr">
        <is>
          <t>Thương lượng</t>
        </is>
      </c>
      <c r="F10574" s="10" t="inlineStr">
        <is>
          <t>Hồ Chí Minh</t>
        </is>
      </c>
      <c r="G10574" s="10" t="inlineStr">
        <is>
          <t>Nhân viên</t>
        </is>
      </c>
      <c r="H10574" s="10" t="inlineStr">
        <is>
          <t>26/01/2026</t>
        </is>
      </c>
      <c r="I10574" s="10" t="inlineStr">
        <is>
          <t>12/04/2026</t>
        </is>
      </c>
      <c r="J10574" s="10" t="inlineStr">
        <is>
          <t>17/03/2026</t>
        </is>
      </c>
      <c r="K10574" s="10" t="inlineStr">
        <is>
          <t>N/A</t>
        </is>
      </c>
      <c r="L10574" s="10" t="inlineStr">
        <is>
          <t>Kế Toán, Tài Chính, Logistics, Hạch Toán, Tài Chính Doanh Nghiệp</t>
        </is>
      </c>
      <c r="M10574" s="10" t="inlineStr">
        <is>
          <t>Bonus, Healthcare Plan, Training, Team Activities, Others</t>
        </is>
      </c>
      <c r="N10574" s="11">
        <f>HYPERLINK("https://www.vietnamworks.com/nhan-vien-ke-toan-2006441-jv","Xem chi tiết")</f>
        <v/>
      </c>
      <c r="O10574" s="10" t="n"/>
    </row>
    <row r="10575">
      <c r="B10575" s="7" t="n">
        <v>10573</v>
      </c>
      <c r="C10575" t="inlineStr">
        <is>
          <t>Nhân Viên Kinh Doanh Máy Dập Thu Nhập Trên 15 Triệu/1 Tháng (Đi Làm Ngay)</t>
        </is>
      </c>
      <c r="D10575" t="inlineStr">
        <is>
          <t>CÔNG TY TNHH THƯƠNG MẠI KỸ THUẬT DỊCH VỤ PRESTEC</t>
        </is>
      </c>
      <c r="E10575" t="inlineStr">
        <is>
          <t>Thương lượng</t>
        </is>
      </c>
      <c r="F10575" t="inlineStr">
        <is>
          <t>Hồ Chí Minh</t>
        </is>
      </c>
      <c r="G10575" t="inlineStr">
        <is>
          <t>Nhân viên</t>
        </is>
      </c>
      <c r="H10575" t="inlineStr">
        <is>
          <t>09/03/2026</t>
        </is>
      </c>
      <c r="I10575" t="inlineStr">
        <is>
          <t>12/04/2026</t>
        </is>
      </c>
      <c r="J10575" t="inlineStr">
        <is>
          <t>17/03/2026</t>
        </is>
      </c>
      <c r="K10575" t="inlineStr">
        <is>
          <t>N/A</t>
        </is>
      </c>
      <c r="L10575" t="inlineStr">
        <is>
          <t>B2B Technical Sales, Industrial machinery sales, Account Management, B2B Contract Negotiation, Mechanical Equipment</t>
        </is>
      </c>
      <c r="M10575" t="inlineStr">
        <is>
          <t>Bonus, Healthcare Plan, Paid Leave, Training, Transportation, Others</t>
        </is>
      </c>
      <c r="N10575" s="8">
        <f>HYPERLINK("https://www.vietnamworks.com/nhan-vien-kinh-doanh-may-dap-thu-nhap-tren-15-trieu1-thang-dji-lam-ngay-2020547-jv","Xem chi tiết")</f>
        <v/>
      </c>
    </row>
    <row r="10576">
      <c r="B10576" s="9" t="n">
        <v>10574</v>
      </c>
      <c r="C10576" s="10" t="inlineStr">
        <is>
          <t>Kỹ sư dịch vụ kỹ thuật (Electrical / Automation Service Engineer)</t>
        </is>
      </c>
      <c r="D10576" s="10" t="inlineStr">
        <is>
          <t>CÔNG TY TNHH THƯƠNG MẠI KỸ THUẬT DỊCH VỤ PRESTEC</t>
        </is>
      </c>
      <c r="E10576" s="10" t="inlineStr">
        <is>
          <t>10tr-18tr ₫/tháng</t>
        </is>
      </c>
      <c r="F10576" s="10" t="inlineStr">
        <is>
          <t>Hồ Chí Minh</t>
        </is>
      </c>
      <c r="G10576" s="10" t="inlineStr">
        <is>
          <t>Nhân viên</t>
        </is>
      </c>
      <c r="H10576" s="10" t="inlineStr">
        <is>
          <t>09/03/2026</t>
        </is>
      </c>
      <c r="I10576" s="10" t="inlineStr">
        <is>
          <t>12/04/2026</t>
        </is>
      </c>
      <c r="J10576" s="10" t="inlineStr">
        <is>
          <t>17/03/2026</t>
        </is>
      </c>
      <c r="K10576" s="10" t="inlineStr">
        <is>
          <t>N/A</t>
        </is>
      </c>
      <c r="L10576" s="10" t="inlineStr">
        <is>
          <t>Field Service Engineering, PLC Programming, Automation troubleshooting, Industrial Machinery, Pneumatic &amp; Hydraulic Systems</t>
        </is>
      </c>
      <c r="M10576" s="10" t="inlineStr">
        <is>
          <t>Bonus, Healthcare Plan, Paid Leave, Training, Others</t>
        </is>
      </c>
      <c r="N10576" s="11">
        <f>HYPERLINK("https://www.vietnamworks.com/ky-su-dich-vu-ky-thuat-electrical-automation-service-engineer-2020539-jv","Xem chi tiết")</f>
        <v/>
      </c>
      <c r="O10576" s="10" t="n"/>
    </row>
    <row r="10577">
      <c r="B10577" s="7" t="n">
        <v>10575</v>
      </c>
      <c r="C10577" t="inlineStr">
        <is>
          <t>Trưởng Phòng Báo Giá - Logistics Pricing Manager (Chinese Speaking)</t>
        </is>
      </c>
      <c r="D10577" t="inlineStr">
        <is>
          <t>Công Ty TNHH Tiếp Vận Quốc Tế Trusttrans</t>
        </is>
      </c>
      <c r="E10577" t="inlineStr">
        <is>
          <t>18tr-28tr ₫/tháng</t>
        </is>
      </c>
      <c r="F10577" t="inlineStr">
        <is>
          <t>Hồ Chí Minh</t>
        </is>
      </c>
      <c r="G10577" t="inlineStr">
        <is>
          <t>Trưởng phòng</t>
        </is>
      </c>
      <c r="H10577" t="inlineStr">
        <is>
          <t>12/03/2026</t>
        </is>
      </c>
      <c r="I10577" t="inlineStr">
        <is>
          <t>12/04/2026</t>
        </is>
      </c>
      <c r="J10577" t="inlineStr">
        <is>
          <t>17/03/2026</t>
        </is>
      </c>
      <c r="K10577" t="inlineStr">
        <is>
          <t>N/A</t>
        </is>
      </c>
      <c r="L10577" t="inlineStr">
        <is>
          <t>Chinese Speaking, Export Pricing, Supplier Evaluation, Tiếng Trung, Tìm Kiếm Nhà Cung Cấp</t>
        </is>
      </c>
      <c r="M10577" t="inlineStr">
        <is>
          <t>Bonus, Healthcare Plan, Training, Others</t>
        </is>
      </c>
      <c r="N10577" s="8">
        <f>HYPERLINK("https://www.vietnamworks.com/truong-phong-bao-gia-logistics-pricing-manager-chinese-speaking-2022192-jv","Xem chi tiết")</f>
        <v/>
      </c>
    </row>
    <row r="10578">
      <c r="B10578" s="9" t="n">
        <v>10576</v>
      </c>
      <c r="C10578" s="10" t="inlineStr">
        <is>
          <t>Kiến Trúc Sư / Architect</t>
        </is>
      </c>
      <c r="D10578" s="10" t="inlineStr">
        <is>
          <t>Công Ty Cổ Phần Roomplus Global</t>
        </is>
      </c>
      <c r="E10578" s="10" t="inlineStr">
        <is>
          <t>12tr-16tr ₫/tháng</t>
        </is>
      </c>
      <c r="F10578" s="10" t="inlineStr">
        <is>
          <t>Hồ Chí Minh</t>
        </is>
      </c>
      <c r="G10578" s="10" t="inlineStr">
        <is>
          <t>Nhân viên</t>
        </is>
      </c>
      <c r="H10578" s="10" t="inlineStr">
        <is>
          <t>12/03/2026</t>
        </is>
      </c>
      <c r="I10578" s="10" t="inlineStr">
        <is>
          <t>12/04/2026</t>
        </is>
      </c>
      <c r="J10578" s="10" t="inlineStr">
        <is>
          <t>17/03/2026</t>
        </is>
      </c>
      <c r="K10578" s="10" t="inlineStr">
        <is>
          <t>N/A</t>
        </is>
      </c>
      <c r="L10578" s="10" t="inlineStr">
        <is>
          <t>Autocad, Creative Design, Enscape, Photoshop, Sketchup</t>
        </is>
      </c>
      <c r="M10578" s="10" t="inlineStr">
        <is>
          <t>Bonus, Healthcare Plan, Training, Team Activities, Others</t>
        </is>
      </c>
      <c r="N10578" s="11">
        <f>HYPERLINK("https://www.vietnamworks.com/kien-truc-su-architect-2022391-jv","Xem chi tiết")</f>
        <v/>
      </c>
      <c r="O10578" s="10" t="n"/>
    </row>
    <row r="10579">
      <c r="B10579" s="7" t="n">
        <v>10577</v>
      </c>
      <c r="C10579" t="inlineStr">
        <is>
          <t>Nhân Viên Kinh Doanh - Không Cần Kinh Nghiệm (Lương Cứng Lên Tới 15Tr + Hoa Hồng Hấp Dẫn)</t>
        </is>
      </c>
      <c r="D10579" t="inlineStr">
        <is>
          <t>Công Ty Cổ Phần Thiết Bị Tân Việt Phát</t>
        </is>
      </c>
      <c r="E10579" t="inlineStr">
        <is>
          <t>Từ 10tr ₫/tháng</t>
        </is>
      </c>
      <c r="F10579" t="inlineStr">
        <is>
          <t>Hà Nội</t>
        </is>
      </c>
      <c r="G10579" t="inlineStr">
        <is>
          <t>Nhân viên</t>
        </is>
      </c>
      <c r="H10579" t="inlineStr">
        <is>
          <t>11/03/2026</t>
        </is>
      </c>
      <c r="I10579" t="inlineStr">
        <is>
          <t>12/04/2026</t>
        </is>
      </c>
      <c r="J10579" t="inlineStr">
        <is>
          <t>17/03/2026</t>
        </is>
      </c>
      <c r="K10579" t="inlineStr">
        <is>
          <t>N/A</t>
        </is>
      </c>
      <c r="L10579" t="inlineStr">
        <is>
          <t>Kinh Doanh, Bán Hàng, Đàm Phán, Sales Kỹ Thuật, Tìm Kiếm Khách Hàng</t>
        </is>
      </c>
      <c r="M10579" t="inlineStr">
        <is>
          <t>Bonus, Healthcare Plan, Canteen</t>
        </is>
      </c>
      <c r="N10579" s="8">
        <f>HYPERLINK("https://www.vietnamworks.com/nhan-vien-kinh-doanh-khong-can-kinh-nghiem-luong-cung-len-toi-15tr-hoa-hong-hap-dan--2021634-jv","Xem chi tiết")</f>
        <v/>
      </c>
    </row>
    <row r="10580">
      <c r="B10580" s="9" t="n">
        <v>10578</v>
      </c>
      <c r="C10580" s="10" t="inlineStr">
        <is>
          <t>Packaging Design Engineer</t>
        </is>
      </c>
      <c r="D10580" s="10" t="inlineStr">
        <is>
          <t>Spin Master (Vietnam) Company Limited</t>
        </is>
      </c>
      <c r="E10580" s="10" t="inlineStr">
        <is>
          <t>Thương lượng</t>
        </is>
      </c>
      <c r="F10580" s="10" t="inlineStr">
        <is>
          <t>Hải Phòng</t>
        </is>
      </c>
      <c r="G10580" s="10" t="inlineStr">
        <is>
          <t>Nhân viên</t>
        </is>
      </c>
      <c r="H10580" s="10" t="inlineStr">
        <is>
          <t>26/01/2026</t>
        </is>
      </c>
      <c r="I10580" s="10" t="inlineStr">
        <is>
          <t>12/04/2026</t>
        </is>
      </c>
      <c r="J10580" s="10" t="inlineStr">
        <is>
          <t>17/03/2026</t>
        </is>
      </c>
      <c r="K10580" s="10" t="inlineStr">
        <is>
          <t>N/A</t>
        </is>
      </c>
      <c r="L10580" s="10" t="inlineStr">
        <is>
          <t>Packaging Engineering, Packaging, Packaging Solution, Packaging Design, Package Printing</t>
        </is>
      </c>
      <c r="M10580" s="10" t="inlineStr">
        <is>
          <t>Bonus, Healthcare Plan, Others</t>
        </is>
      </c>
      <c r="N10580" s="11">
        <f>HYPERLINK("https://www.vietnamworks.com/packaging-design-engineer--2006449-jv","Xem chi tiết")</f>
        <v/>
      </c>
      <c r="O10580" s="10" t="n"/>
    </row>
    <row r="10581">
      <c r="B10581" s="7" t="n">
        <v>10579</v>
      </c>
      <c r="C10581" t="inlineStr">
        <is>
          <t>Merchandiser (Salary Up to 35,000,000 Vnd/month)</t>
        </is>
      </c>
      <c r="D10581" t="inlineStr">
        <is>
          <t>Case Concepts International Group</t>
        </is>
      </c>
      <c r="E10581" t="inlineStr">
        <is>
          <t>Tới 35tr ₫/tháng</t>
        </is>
      </c>
      <c r="F10581" t="inlineStr">
        <is>
          <t>Vĩnh Long, Hồ Chí Minh, ĐBSCL</t>
        </is>
      </c>
      <c r="G10581" t="inlineStr">
        <is>
          <t>Nhân viên</t>
        </is>
      </c>
      <c r="H10581" t="inlineStr">
        <is>
          <t>12/03/2026</t>
        </is>
      </c>
      <c r="I10581" t="inlineStr">
        <is>
          <t>12/04/2026</t>
        </is>
      </c>
      <c r="J10581" t="inlineStr">
        <is>
          <t>17/03/2026</t>
        </is>
      </c>
      <c r="K10581" t="inlineStr">
        <is>
          <t>N/A</t>
        </is>
      </c>
      <c r="L10581" t="inlineStr">
        <is>
          <t>TEXTILE, Garment, Merchandising, Product Development, Negotiation Skills</t>
        </is>
      </c>
      <c r="M10581" t="inlineStr">
        <is>
          <t>Bonus, Healthcare Plan, Awards</t>
        </is>
      </c>
      <c r="N10581" s="8">
        <f>HYPERLINK("https://www.vietnamworks.com/merchandiser-salary-up-to-35-000-000-vnd-month-2022497-jv","Xem chi tiết")</f>
        <v/>
      </c>
    </row>
    <row r="10582">
      <c r="B10582" s="9" t="n">
        <v>10580</v>
      </c>
      <c r="C10582" s="10" t="inlineStr">
        <is>
          <t>Nhân Viên Quan Hệ Khách Hàng Doanh Nghiệp</t>
        </is>
      </c>
      <c r="D10582" s="10" t="inlineStr">
        <is>
          <t>Chailease International Leasing Co., Ltd. (Head Office)</t>
        </is>
      </c>
      <c r="E10582" s="10" t="inlineStr">
        <is>
          <t>Thương lượng</t>
        </is>
      </c>
      <c r="F10582" s="10" t="inlineStr">
        <is>
          <t>Hồ Chí Minh, Bình Dương, Đồng Nai</t>
        </is>
      </c>
      <c r="G10582" s="10" t="inlineStr">
        <is>
          <t>Nhân viên</t>
        </is>
      </c>
      <c r="H10582" s="10" t="inlineStr">
        <is>
          <t>12/03/2026</t>
        </is>
      </c>
      <c r="I10582" s="10" t="inlineStr">
        <is>
          <t>12/04/2026</t>
        </is>
      </c>
      <c r="J10582" s="10" t="inlineStr">
        <is>
          <t>17/03/2026</t>
        </is>
      </c>
      <c r="K10582" s="10" t="inlineStr">
        <is>
          <t>N/A</t>
        </is>
      </c>
      <c r="L10582" s="10" t="inlineStr">
        <is>
          <t>Tín Dụng Doanh Nghiệp, Tài Chính Ngân Hàng, Tìm Kiếm Khách Hàng, Thẩm Định Tín Dụng, Quan Hệ Khách Hàng</t>
        </is>
      </c>
      <c r="M10582" s="10" t="inlineStr">
        <is>
          <t>Bonus, Healthcare Plan, Travel Opportunities</t>
        </is>
      </c>
      <c r="N10582" s="11">
        <f>HYPERLINK("https://www.vietnamworks.com/nhan-vien-quan-he-khach-hang-doanh-nghiep--2022359-jv","Xem chi tiết")</f>
        <v/>
      </c>
      <c r="O10582" s="10" t="n"/>
    </row>
    <row r="10583">
      <c r="B10583" s="7" t="n">
        <v>10581</v>
      </c>
      <c r="C10583" t="inlineStr">
        <is>
          <t>Phó Phòng Kế Toán</t>
        </is>
      </c>
      <c r="D10583" t="inlineStr">
        <is>
          <t>Công ty Cổ phần Thanh Bình H.T.C Việt Nam</t>
        </is>
      </c>
      <c r="E10583" t="inlineStr">
        <is>
          <t>Thương lượng</t>
        </is>
      </c>
      <c r="F10583" t="inlineStr">
        <is>
          <t>Hà Nội</t>
        </is>
      </c>
      <c r="G10583" t="inlineStr">
        <is>
          <t>Trưởng phòng</t>
        </is>
      </c>
      <c r="H10583" t="inlineStr">
        <is>
          <t>11/03/2026</t>
        </is>
      </c>
      <c r="I10583" t="inlineStr">
        <is>
          <t>12/04/2026</t>
        </is>
      </c>
      <c r="J10583" t="inlineStr">
        <is>
          <t>17/03/2026</t>
        </is>
      </c>
      <c r="K10583" t="inlineStr">
        <is>
          <t>N/A</t>
        </is>
      </c>
      <c r="L10583" t="inlineStr">
        <is>
          <t>Báo Cáo Quản Trị, Báo Cáo Tài Chính, Kế toán, Kiểm Soát Số Liệu, Kiểm Tra Chứng Từ</t>
        </is>
      </c>
      <c r="M10583" t="inlineStr">
        <is>
          <t>Healthcare Plan, Awards, Others</t>
        </is>
      </c>
      <c r="N10583" s="8">
        <f>HYPERLINK("https://www.vietnamworks.com/pho-phong-ke-toan-2021690-jv","Xem chi tiết")</f>
        <v/>
      </c>
    </row>
    <row r="10584">
      <c r="B10584" s="9" t="n">
        <v>10582</v>
      </c>
      <c r="C10584" s="10" t="inlineStr">
        <is>
          <t>HR and Administrative Assistant</t>
        </is>
      </c>
      <c r="D10584" s="10" t="inlineStr">
        <is>
          <t>Matson Navigation Inc.</t>
        </is>
      </c>
      <c r="E10584" s="10" t="inlineStr">
        <is>
          <t>$$ 1,000-1,500 /tháng</t>
        </is>
      </c>
      <c r="F10584" s="10" t="inlineStr">
        <is>
          <t>Hồ Chí Minh</t>
        </is>
      </c>
      <c r="G10584" s="10" t="inlineStr">
        <is>
          <t>Nhân viên</t>
        </is>
      </c>
      <c r="H10584" s="10" t="inlineStr">
        <is>
          <t>11/02/2026</t>
        </is>
      </c>
      <c r="I10584" s="10" t="inlineStr">
        <is>
          <t>12/04/2026</t>
        </is>
      </c>
      <c r="J10584" s="10" t="inlineStr">
        <is>
          <t>17/03/2026</t>
        </is>
      </c>
      <c r="K10584" s="10" t="inlineStr">
        <is>
          <t>N/A</t>
        </is>
      </c>
      <c r="L10584" s="10" t="inlineStr">
        <is>
          <t>Compensation &amp; Benefits, Labor Relationship, Payroll, Recruitment Management, Administration Support</t>
        </is>
      </c>
      <c r="M10584" s="10" t="inlineStr">
        <is>
          <t>Bonus, Healthcare Plan, Paid Leave</t>
        </is>
      </c>
      <c r="N10584" s="11">
        <f>HYPERLINK("https://www.vietnamworks.com/hr-and-administrative-assistant-2011532-jv","Xem chi tiết")</f>
        <v/>
      </c>
      <c r="O10584" s="10" t="n"/>
    </row>
    <row r="10585">
      <c r="B10585" s="7" t="n">
        <v>10583</v>
      </c>
      <c r="C10585" t="inlineStr">
        <is>
          <t>Project Engineer (Toys Industry)</t>
        </is>
      </c>
      <c r="D10585" t="inlineStr">
        <is>
          <t>Spin Master (Vietnam) Company Limited</t>
        </is>
      </c>
      <c r="E10585" t="inlineStr">
        <is>
          <t>Thương lượng</t>
        </is>
      </c>
      <c r="F10585" t="inlineStr">
        <is>
          <t>Hải Phòng</t>
        </is>
      </c>
      <c r="G10585" t="inlineStr">
        <is>
          <t>Nhân viên</t>
        </is>
      </c>
      <c r="H10585" t="inlineStr">
        <is>
          <t>26/01/2026</t>
        </is>
      </c>
      <c r="I10585" t="inlineStr">
        <is>
          <t>12/04/2026</t>
        </is>
      </c>
      <c r="J10585" t="inlineStr">
        <is>
          <t>17/03/2026</t>
        </is>
      </c>
      <c r="K10585" t="inlineStr">
        <is>
          <t>N/A</t>
        </is>
      </c>
      <c r="L10585" t="inlineStr">
        <is>
          <t>Project Management, Injection Molding, Plastic Molding, Toys Manufacturing, Product Development</t>
        </is>
      </c>
      <c r="M10585" t="inlineStr">
        <is>
          <t>Bonus, Healthcare Plan, Training</t>
        </is>
      </c>
      <c r="N10585" s="8">
        <f>HYPERLINK("https://www.vietnamworks.com/project-engineer-toys-industry--2006453-jv","Xem chi tiết")</f>
        <v/>
      </c>
    </row>
    <row r="10586">
      <c r="B10586" s="9" t="n">
        <v>10584</v>
      </c>
      <c r="C10586" s="10" t="inlineStr">
        <is>
          <t>Nhân Viên Pháp Lý Thu Hồi Công Nợ</t>
        </is>
      </c>
      <c r="D10586" s="10" t="inlineStr">
        <is>
          <t>Chailease International Leasing Co., Ltd. (Head Office)</t>
        </is>
      </c>
      <c r="E10586" s="10" t="inlineStr">
        <is>
          <t>Tới 20tr ₫/tháng</t>
        </is>
      </c>
      <c r="F10586" s="10" t="inlineStr">
        <is>
          <t>Cần Thơ, Bình Dương, Hồ Chí Minh</t>
        </is>
      </c>
      <c r="G10586" s="10" t="inlineStr">
        <is>
          <t>Nhân viên</t>
        </is>
      </c>
      <c r="H10586" s="10" t="inlineStr">
        <is>
          <t>12/03/2026</t>
        </is>
      </c>
      <c r="I10586" s="10" t="inlineStr">
        <is>
          <t>12/04/2026</t>
        </is>
      </c>
      <c r="J10586" s="10" t="inlineStr">
        <is>
          <t>17/03/2026</t>
        </is>
      </c>
      <c r="K10586" s="10" t="inlineStr">
        <is>
          <t>N/A</t>
        </is>
      </c>
      <c r="L10586" s="10" t="inlineStr">
        <is>
          <t>Thu Hồi Công Nợ, Thu Hồi Nợ Pháp Lý, Xử Lý Nợ, Tố Tụng, Tiếng Anh</t>
        </is>
      </c>
      <c r="M10586" s="10" t="inlineStr">
        <is>
          <t>Bonus, Healthcare Plan, Awards</t>
        </is>
      </c>
      <c r="N10586" s="11">
        <f>HYPERLINK("https://www.vietnamworks.com/nhan-vien-phap-ly-thu-hoi-cong-no--2022360-jv","Xem chi tiết")</f>
        <v/>
      </c>
      <c r="O10586" s="10" t="n"/>
    </row>
    <row r="10587">
      <c r="B10587" s="7" t="n">
        <v>10585</v>
      </c>
      <c r="C10587" t="inlineStr">
        <is>
          <t>Kỹ Sư Giám Sát Xây Dựng (Làm Việc Tại Bắc Ninh &amp; Thái Nguyên) (Lương Upto 24Tr/ Tháng)</t>
        </is>
      </c>
      <c r="D10587" t="inlineStr">
        <is>
          <t>Công Ty CP Tập Đoàn Bách Việt</t>
        </is>
      </c>
      <c r="E10587" t="inlineStr">
        <is>
          <t>22tr-24tr ₫/tháng</t>
        </is>
      </c>
      <c r="F10587" t="inlineStr">
        <is>
          <t>Bắc Ninh, Thái Nguyên</t>
        </is>
      </c>
      <c r="G10587" t="inlineStr">
        <is>
          <t>Nhân viên</t>
        </is>
      </c>
      <c r="H10587" t="inlineStr">
        <is>
          <t>10/03/2026</t>
        </is>
      </c>
      <c r="I10587" t="inlineStr">
        <is>
          <t>12/04/2026</t>
        </is>
      </c>
      <c r="J10587" t="inlineStr">
        <is>
          <t>17/03/2026</t>
        </is>
      </c>
      <c r="K10587" t="inlineStr">
        <is>
          <t>N/A</t>
        </is>
      </c>
      <c r="L10587" t="inlineStr">
        <is>
          <t>Giám Sát Thi Công, Quản Lý Dự Án, Lắp Đặt Thiết Bị, Kiểm Tra Khối Lượng Dự Toán, Xây Dựng Dân Dụng</t>
        </is>
      </c>
      <c r="M10587" t="inlineStr">
        <is>
          <t>Bonus, Healthcare Plan, Paid Leave</t>
        </is>
      </c>
      <c r="N10587" s="8">
        <f>HYPERLINK("https://www.vietnamworks.com/ky-su-giam-sat-xay-dung-lam-viec-tai-bac-ninh-thai-nguyen-luong-upto-24tr-thang-2021044-jv","Xem chi tiết")</f>
        <v/>
      </c>
    </row>
    <row r="10588">
      <c r="B10588" s="9" t="n">
        <v>10586</v>
      </c>
      <c r="C10588" s="10" t="inlineStr">
        <is>
          <t>Teachers/ Specialist for Secondary School</t>
        </is>
      </c>
      <c r="D10588" s="10" t="inlineStr">
        <is>
          <t>Công Ty TNHH Spring Hill Education</t>
        </is>
      </c>
      <c r="E10588" s="10" t="inlineStr">
        <is>
          <t>$$ 500-1,000 /tháng</t>
        </is>
      </c>
      <c r="F10588" s="10" t="inlineStr">
        <is>
          <t>Hồ Chí Minh</t>
        </is>
      </c>
      <c r="G10588" s="10" t="inlineStr">
        <is>
          <t>Nhân viên</t>
        </is>
      </c>
      <c r="H10588" s="10" t="inlineStr">
        <is>
          <t>11/03/2026</t>
        </is>
      </c>
      <c r="I10588" s="10" t="inlineStr">
        <is>
          <t>12/04/2026</t>
        </is>
      </c>
      <c r="J10588" s="10" t="inlineStr">
        <is>
          <t>17/03/2026</t>
        </is>
      </c>
      <c r="K10588" s="10" t="inlineStr">
        <is>
          <t>N/A</t>
        </is>
      </c>
      <c r="L10588" s="10" t="inlineStr">
        <is>
          <t>Biên Soạn Giáo Trình, Giảng Dạy, Student Development, Teaching Students, Teaching Techniques</t>
        </is>
      </c>
      <c r="M10588" s="10" t="inlineStr">
        <is>
          <t>Bonus, Healthcare Plan, Paid Leave, Training, Team Activities</t>
        </is>
      </c>
      <c r="N10588" s="11">
        <f>HYPERLINK("https://www.vietnamworks.com/teachers-specialist-for-secondary-school-2021871-jv","Xem chi tiết")</f>
        <v/>
      </c>
      <c r="O10588" s="10" t="n"/>
    </row>
    <row r="10589">
      <c r="B10589" s="7" t="n">
        <v>10587</v>
      </c>
      <c r="C10589" t="inlineStr">
        <is>
          <t>Content Marketing Executive (Social &amp; E-commerce)</t>
        </is>
      </c>
      <c r="D10589" t="inlineStr">
        <is>
          <t>CÔNG TY TNHH THASCO INTERNATIONAL</t>
        </is>
      </c>
      <c r="E10589" t="inlineStr">
        <is>
          <t>Thương lượng</t>
        </is>
      </c>
      <c r="F10589" t="inlineStr">
        <is>
          <t>Thừa Thiên Huế</t>
        </is>
      </c>
      <c r="G10589" t="inlineStr">
        <is>
          <t>Nhân viên</t>
        </is>
      </c>
      <c r="H10589" t="inlineStr">
        <is>
          <t>12/03/2026</t>
        </is>
      </c>
      <c r="I10589" t="inlineStr">
        <is>
          <t>12/04/2026</t>
        </is>
      </c>
      <c r="J10589" t="inlineStr">
        <is>
          <t>17/03/2026</t>
        </is>
      </c>
      <c r="K10589" t="inlineStr">
        <is>
          <t>N/A</t>
        </is>
      </c>
      <c r="L10589" t="inlineStr">
        <is>
          <t>Content Marketing, Digital Storytelling, Keyword research, Seo, Social Media</t>
        </is>
      </c>
      <c r="M10589" t="inlineStr">
        <is>
          <t>Bonus, Healthcare Plan, Travel Opportunities, Others</t>
        </is>
      </c>
      <c r="N10589" s="8">
        <f>HYPERLINK("https://www.vietnamworks.com/content-marketing-executive-social-and-e-commerce-2022539-jv","Xem chi tiết")</f>
        <v/>
      </c>
    </row>
    <row r="10590">
      <c r="B10590" s="9" t="n">
        <v>10588</v>
      </c>
      <c r="C10590" s="10" t="inlineStr">
        <is>
          <t>E-commerce Operation (E-commerce Growth Executive)</t>
        </is>
      </c>
      <c r="D10590" s="10" t="inlineStr">
        <is>
          <t>CÔNG TY TNHH THASCO INTERNATIONAL</t>
        </is>
      </c>
      <c r="E10590" s="10" t="inlineStr">
        <is>
          <t>Thương lượng</t>
        </is>
      </c>
      <c r="F10590" s="10" t="inlineStr">
        <is>
          <t>Thừa Thiên Huế</t>
        </is>
      </c>
      <c r="G10590" s="10" t="inlineStr">
        <is>
          <t>Nhân viên</t>
        </is>
      </c>
      <c r="H10590" s="10" t="inlineStr">
        <is>
          <t>12/03/2026</t>
        </is>
      </c>
      <c r="I10590" s="10" t="inlineStr">
        <is>
          <t>12/04/2026</t>
        </is>
      </c>
      <c r="J10590" s="10" t="inlineStr">
        <is>
          <t>17/03/2026</t>
        </is>
      </c>
      <c r="K10590" s="10" t="inlineStr">
        <is>
          <t>N/A</t>
        </is>
      </c>
      <c r="L10590" s="10" t="inlineStr">
        <is>
          <t>Data Analysis, Digital Marketing, E-Commerce Management, Facebook Ads, Tiktok Ads</t>
        </is>
      </c>
      <c r="M10590" s="10" t="inlineStr">
        <is>
          <t>Bonus, Healthcare Plan, Travel Opportunities, Others</t>
        </is>
      </c>
      <c r="N10590" s="11">
        <f>HYPERLINK("https://www.vietnamworks.com/e-commerce-operation-e-commerce-growth-executive-2022554-jv","Xem chi tiết")</f>
        <v/>
      </c>
      <c r="O10590" s="10" t="n"/>
    </row>
    <row r="10591">
      <c r="B10591" s="7" t="n">
        <v>10589</v>
      </c>
      <c r="C10591" t="inlineStr">
        <is>
          <t>Giám Sát Xây Dựng (Mảng Hồ Sơ Chất Lượng) - Đào Tạo Công Việc, Làm Việc Tại Dự Án (Hà Nội, Hồ Tràm, Phú Quốc, Cam Ranh)</t>
        </is>
      </c>
      <c r="D10591" t="inlineStr">
        <is>
          <t>TTT Corporation</t>
        </is>
      </c>
      <c r="E10591" t="inlineStr">
        <is>
          <t>$$ 500-800 /tháng</t>
        </is>
      </c>
      <c r="F10591" t="inlineStr">
        <is>
          <t>Hà Nội, Hồ Chí Minh, Khánh Hòa</t>
        </is>
      </c>
      <c r="G10591" t="inlineStr">
        <is>
          <t>Nhân viên</t>
        </is>
      </c>
      <c r="H10591" t="inlineStr">
        <is>
          <t>11/03/2026</t>
        </is>
      </c>
      <c r="I10591" t="inlineStr">
        <is>
          <t>12/04/2026</t>
        </is>
      </c>
      <c r="J10591" t="inlineStr">
        <is>
          <t>17/03/2026</t>
        </is>
      </c>
      <c r="K10591" t="inlineStr">
        <is>
          <t>N/A</t>
        </is>
      </c>
      <c r="L10591" t="inlineStr">
        <is>
          <t>Quản Lý Hồ Sơ, Tiếng anh cơ bản, Vật Liệu Nội Thất, CAD</t>
        </is>
      </c>
      <c r="M10591" t="inlineStr">
        <is>
          <t>Bonus, Healthcare Plan, Training</t>
        </is>
      </c>
      <c r="N10591" s="8">
        <f>HYPERLINK("https://www.vietnamworks.com/giam-sat-xay-dung-mang-ho-so-chat-luong-dao-tao-cong-viec-lam-viec-tai-du-an-ha-noi-ho-tram-phu-quoc-cam-ranh-2021741-jv","Xem chi tiết")</f>
        <v/>
      </c>
    </row>
    <row r="10592">
      <c r="B10592" s="9" t="n">
        <v>10590</v>
      </c>
      <c r="C10592" s="10" t="inlineStr">
        <is>
          <t>Quản Lý Dự Án Hoàn Thiện - Nội Thất (Dự Án Văn Phòng và Khách Sạn)</t>
        </is>
      </c>
      <c r="D10592" s="10" t="inlineStr">
        <is>
          <t>TTT Corporation</t>
        </is>
      </c>
      <c r="E10592" s="10" t="inlineStr">
        <is>
          <t>$$ 1,000-1,400 /tháng</t>
        </is>
      </c>
      <c r="F10592" s="10" t="inlineStr">
        <is>
          <t>Hồ Chí Minh, Hà Nội</t>
        </is>
      </c>
      <c r="G10592" s="10" t="inlineStr">
        <is>
          <t>Nhân viên</t>
        </is>
      </c>
      <c r="H10592" s="10" t="inlineStr">
        <is>
          <t>11/03/2026</t>
        </is>
      </c>
      <c r="I10592" s="10" t="inlineStr">
        <is>
          <t>12/04/2026</t>
        </is>
      </c>
      <c r="J10592" s="10" t="inlineStr">
        <is>
          <t>17/03/2026</t>
        </is>
      </c>
      <c r="K10592" s="10" t="inlineStr">
        <is>
          <t>N/A</t>
        </is>
      </c>
      <c r="L10592" s="10" t="inlineStr">
        <is>
          <t>Project Management, Teamwork, Budget Control, Project Timeline</t>
        </is>
      </c>
      <c r="M10592" s="10" t="inlineStr">
        <is>
          <t>Bonus, Healthcare Plan, Training</t>
        </is>
      </c>
      <c r="N10592" s="11">
        <f>HYPERLINK("https://www.vietnamworks.com/quan-ly-du-an-hoan-thien-noi-that-du-an-van-phong-va-khach-san--2021745-jv","Xem chi tiết")</f>
        <v/>
      </c>
      <c r="O10592" s="10" t="n"/>
    </row>
    <row r="10593">
      <c r="B10593" s="7" t="n">
        <v>10591</v>
      </c>
      <c r="C10593" t="inlineStr">
        <is>
          <t>Giám Sát Thi Công Dự Án Hoàn Thiện - Nội Thất (Dự Án Hạ Long, Hà Nội, Phú Quốc, Cam Ranh)</t>
        </is>
      </c>
      <c r="D10593" t="inlineStr">
        <is>
          <t>TTT Corporation</t>
        </is>
      </c>
      <c r="E10593" t="inlineStr">
        <is>
          <t>$$ 500-1,000 /tháng</t>
        </is>
      </c>
      <c r="F10593" t="inlineStr">
        <is>
          <t>Quảng Ninh, Hà Nội, Hồ Chí Minh</t>
        </is>
      </c>
      <c r="G10593" t="inlineStr">
        <is>
          <t>Nhân viên</t>
        </is>
      </c>
      <c r="H10593" t="inlineStr">
        <is>
          <t>11/03/2026</t>
        </is>
      </c>
      <c r="I10593" t="inlineStr">
        <is>
          <t>12/04/2026</t>
        </is>
      </c>
      <c r="J10593" t="inlineStr">
        <is>
          <t>17/03/2026</t>
        </is>
      </c>
      <c r="K10593" t="inlineStr">
        <is>
          <t>N/A</t>
        </is>
      </c>
      <c r="L10593" t="inlineStr">
        <is>
          <t>Công Tác Xa, Giám Sát Nội Thất, Giám Sát Thi Công, Giám Sát Tiến Độ, Giao Tiếp Chủ Động</t>
        </is>
      </c>
      <c r="M10593" t="inlineStr">
        <is>
          <t>Bonus, Healthcare Plan, Training</t>
        </is>
      </c>
      <c r="N10593" s="8">
        <f>HYPERLINK("https://www.vietnamworks.com/giam-sat-thi-cong-du-an-hoan-thien-noi-that-du-an-ha-long-ha-noi-phu-quoc-cam-ranh-2021742-jv","Xem chi tiết")</f>
        <v/>
      </c>
    </row>
    <row r="10594">
      <c r="B10594" s="9" t="n">
        <v>10592</v>
      </c>
      <c r="C10594" s="10" t="inlineStr">
        <is>
          <t>Chuyên Viên Pháp Chế Hợp Đồng</t>
        </is>
      </c>
      <c r="D10594" s="10" t="inlineStr">
        <is>
          <t>Công Ty Cổ Phần BM Windows</t>
        </is>
      </c>
      <c r="E10594" s="10" t="inlineStr">
        <is>
          <t>Từ $ 650 /tháng</t>
        </is>
      </c>
      <c r="F10594" s="10" t="inlineStr">
        <is>
          <t>Hồ Chí Minh</t>
        </is>
      </c>
      <c r="G10594" s="10" t="inlineStr">
        <is>
          <t>Nhân viên</t>
        </is>
      </c>
      <c r="H10594" s="10" t="inlineStr">
        <is>
          <t>11/03/2026</t>
        </is>
      </c>
      <c r="I10594" s="10" t="inlineStr">
        <is>
          <t>12/04/2026</t>
        </is>
      </c>
      <c r="J10594" s="10" t="inlineStr">
        <is>
          <t>17/03/2026</t>
        </is>
      </c>
      <c r="K10594" s="10" t="inlineStr">
        <is>
          <t>N/A</t>
        </is>
      </c>
      <c r="L10594" s="10" t="inlineStr">
        <is>
          <t>Pháp Lý Hợp Đồng, Soạn Thảo Văn Bản, Tiếng Anh, Giải Quyết Tranh Chấp, Tư Vấn Pháp Lý</t>
        </is>
      </c>
      <c r="M10594" s="10" t="inlineStr">
        <is>
          <t>Bonus, Healthcare Plan, Training, Team Activities, Others</t>
        </is>
      </c>
      <c r="N10594" s="11">
        <f>HYPERLINK("https://www.vietnamworks.com/chuyen-vien-phap-che-hop-djong-2021660-jv","Xem chi tiết")</f>
        <v/>
      </c>
      <c r="O10594" s="10" t="n"/>
    </row>
    <row r="10595">
      <c r="B10595" s="7" t="n">
        <v>10593</v>
      </c>
      <c r="C10595" t="inlineStr">
        <is>
          <t>Social Media Video Editor</t>
        </is>
      </c>
      <c r="D10595" t="inlineStr">
        <is>
          <t>CÔNG TY TNHH THASCO INTERNATIONAL</t>
        </is>
      </c>
      <c r="E10595" t="inlineStr">
        <is>
          <t>Thương lượng</t>
        </is>
      </c>
      <c r="F10595" t="inlineStr">
        <is>
          <t>Thừa Thiên Huế</t>
        </is>
      </c>
      <c r="G10595" t="inlineStr">
        <is>
          <t>Nhân viên</t>
        </is>
      </c>
      <c r="H10595" t="inlineStr">
        <is>
          <t>12/03/2026</t>
        </is>
      </c>
      <c r="I10595" t="inlineStr">
        <is>
          <t>12/04/2026</t>
        </is>
      </c>
      <c r="J10595" t="inlineStr">
        <is>
          <t>17/03/2026</t>
        </is>
      </c>
      <c r="K10595" t="inlineStr">
        <is>
          <t>N/A</t>
        </is>
      </c>
      <c r="L10595" t="inlineStr">
        <is>
          <t>Adobe Premiere Pro, After Effects, Capcut PC, Digital Storytelling, Video Editing</t>
        </is>
      </c>
      <c r="M10595" t="inlineStr">
        <is>
          <t>Bonus, Healthcare Plan, Travel Opportunities, Others</t>
        </is>
      </c>
      <c r="N10595" s="8">
        <f>HYPERLINK("https://www.vietnamworks.com/social-media-video-editor-2022561-jv","Xem chi tiết")</f>
        <v/>
      </c>
    </row>
    <row r="10596">
      <c r="B10596" s="9" t="n">
        <v>10594</v>
      </c>
      <c r="C10596" s="10" t="inlineStr">
        <is>
          <t>Nhân Viên Kinh Doanh Du Lịch (Sales Executive)</t>
        </is>
      </c>
      <c r="D10596" s="10" t="inlineStr">
        <is>
          <t>CÔNG TY TNHH HULO TRAVEL</t>
        </is>
      </c>
      <c r="E10596" s="10" t="inlineStr">
        <is>
          <t>Thương lượng</t>
        </is>
      </c>
      <c r="F10596" s="10" t="inlineStr">
        <is>
          <t>Hồ Chí Minh</t>
        </is>
      </c>
      <c r="G10596" s="10" t="inlineStr">
        <is>
          <t>Nhân viên</t>
        </is>
      </c>
      <c r="H10596" s="10" t="inlineStr">
        <is>
          <t>12/03/2026</t>
        </is>
      </c>
      <c r="I10596" s="10" t="inlineStr">
        <is>
          <t>12/04/2026</t>
        </is>
      </c>
      <c r="J10596" s="10" t="inlineStr">
        <is>
          <t>17/03/2026</t>
        </is>
      </c>
      <c r="K10596" s="10" t="inlineStr">
        <is>
          <t>N/A</t>
        </is>
      </c>
      <c r="L10596" s="10" t="inlineStr">
        <is>
          <t>Kinh Doanh Du Lịch, Phân Tích Thị Trường, Phát Triển Kinh Doanh, Xây Dựng Mối Quan Hệ, Đàm Phán</t>
        </is>
      </c>
      <c r="M10596" s="10" t="inlineStr">
        <is>
          <t>Bonus, Healthcare Plan, Laptop, Travel Opportunities</t>
        </is>
      </c>
      <c r="N10596" s="11">
        <f>HYPERLINK("https://www.vietnamworks.com/nhan-vien-kinh-doanh-du-lich-sales-executive-2022831-jv","Xem chi tiết")</f>
        <v/>
      </c>
      <c r="O10596" s="10" t="n"/>
    </row>
    <row r="10597">
      <c r="B10597" s="7" t="n">
        <v>10595</v>
      </c>
      <c r="C10597" t="inlineStr">
        <is>
          <t>Kỹ Thuật Vận Hành Máy</t>
        </is>
      </c>
      <c r="D10597" t="inlineStr">
        <is>
          <t>MOTUL VIETNAM</t>
        </is>
      </c>
      <c r="E10597" t="inlineStr">
        <is>
          <t>Thương lượng</t>
        </is>
      </c>
      <c r="F10597" t="inlineStr">
        <is>
          <t>Hồ Chí Minh</t>
        </is>
      </c>
      <c r="G10597" t="inlineStr">
        <is>
          <t>Nhân viên</t>
        </is>
      </c>
      <c r="H10597" t="inlineStr">
        <is>
          <t>13/03/2026</t>
        </is>
      </c>
      <c r="I10597" t="inlineStr">
        <is>
          <t>12/04/2026</t>
        </is>
      </c>
      <c r="J10597" t="inlineStr">
        <is>
          <t>17/03/2026</t>
        </is>
      </c>
      <c r="K10597" t="inlineStr">
        <is>
          <t>N/A</t>
        </is>
      </c>
      <c r="L10597" t="inlineStr">
        <is>
          <t>Sản xuất, Production, HSE, Quản Lý Sản Xuất</t>
        </is>
      </c>
      <c r="M10597" t="inlineStr">
        <is>
          <t>Bonus, Healthcare Plan, Training</t>
        </is>
      </c>
      <c r="N10597" s="8">
        <f>HYPERLINK("https://www.vietnamworks.com/ky-thuat-van-hanh-may--2022868-jv","Xem chi tiết")</f>
        <v/>
      </c>
    </row>
    <row r="10598">
      <c r="B10598" s="9" t="n">
        <v>10596</v>
      </c>
      <c r="C10598" s="10" t="inlineStr">
        <is>
          <t>Accountant Associates (Bkp Service)</t>
        </is>
      </c>
      <c r="D10598" s="10" t="inlineStr">
        <is>
          <t>SAMDO Vietnam Auditing and Consulting Co., Ltd</t>
        </is>
      </c>
      <c r="E10598" s="10" t="inlineStr">
        <is>
          <t>Thương lượng</t>
        </is>
      </c>
      <c r="F10598" s="10" t="inlineStr">
        <is>
          <t>Hồ Chí Minh</t>
        </is>
      </c>
      <c r="G10598" s="10" t="inlineStr">
        <is>
          <t>Nhân viên</t>
        </is>
      </c>
      <c r="H10598" s="10" t="inlineStr">
        <is>
          <t>12/03/2026</t>
        </is>
      </c>
      <c r="I10598" s="10" t="inlineStr">
        <is>
          <t>12/04/2026</t>
        </is>
      </c>
      <c r="J10598" s="10" t="inlineStr">
        <is>
          <t>17/03/2026</t>
        </is>
      </c>
      <c r="K10598" s="10" t="inlineStr">
        <is>
          <t>N/A</t>
        </is>
      </c>
      <c r="L10598" s="10" t="inlineStr">
        <is>
          <t>Korean Language, Accounting Standards, Accounting Principles, Tax Declaration, Bookkeeping</t>
        </is>
      </c>
      <c r="M10598" s="10" t="inlineStr">
        <is>
          <t>Bonus, Healthcare Plan, Others</t>
        </is>
      </c>
      <c r="N10598" s="11">
        <f>HYPERLINK("https://www.vietnamworks.com/accountant-associates-bkp-service--2022710-jv","Xem chi tiết")</f>
        <v/>
      </c>
      <c r="O10598" s="10" t="n"/>
    </row>
    <row r="10599">
      <c r="B10599" s="7" t="n">
        <v>10597</v>
      </c>
      <c r="C10599" t="inlineStr">
        <is>
          <t>Trưởng Phòng Điều Hành (Operations Manager)</t>
        </is>
      </c>
      <c r="D10599" t="inlineStr">
        <is>
          <t>CÔNG TY TNHH HULO TRAVEL</t>
        </is>
      </c>
      <c r="E10599" t="inlineStr">
        <is>
          <t>Thương lượng</t>
        </is>
      </c>
      <c r="F10599" t="inlineStr">
        <is>
          <t>Hồ Chí Minh</t>
        </is>
      </c>
      <c r="G10599" t="inlineStr">
        <is>
          <t>Trưởng phòng</t>
        </is>
      </c>
      <c r="H10599" t="inlineStr">
        <is>
          <t>12/03/2026</t>
        </is>
      </c>
      <c r="I10599" t="inlineStr">
        <is>
          <t>12/04/2026</t>
        </is>
      </c>
      <c r="J10599" t="inlineStr">
        <is>
          <t>17/03/2026</t>
        </is>
      </c>
      <c r="K10599" t="inlineStr">
        <is>
          <t>N/A</t>
        </is>
      </c>
      <c r="L10599" t="inlineStr">
        <is>
          <t>Du Lịch Quốc Tế, Kinh Doanh Du Lịch, Tiếng Anh, Đánh Giá Rủi Ro, Điều Hành Tour</t>
        </is>
      </c>
      <c r="M10599" t="inlineStr">
        <is>
          <t>Bonus, Healthcare Plan, Paid Leave, Training, Laptop, Travel Opportunities</t>
        </is>
      </c>
      <c r="N10599" s="8">
        <f>HYPERLINK("https://www.vietnamworks.com/truong-phong-djieu-hanh-operations-manager-2022754-jv","Xem chi tiết")</f>
        <v/>
      </c>
    </row>
    <row r="10600">
      <c r="B10600" s="9" t="n">
        <v>10598</v>
      </c>
      <c r="C10600" s="10" t="inlineStr">
        <is>
          <t>Reliability Test Engineer</t>
        </is>
      </c>
      <c r="D10600" s="10" t="inlineStr">
        <is>
          <t>Công Ty TNHH Công Nghệ Welco Việt Nam</t>
        </is>
      </c>
      <c r="E10600" s="10" t="inlineStr">
        <is>
          <t>Thương lượng</t>
        </is>
      </c>
      <c r="F10600" s="10" t="inlineStr">
        <is>
          <t>Hải Dương, Bắc Ninh, Hưng Yên</t>
        </is>
      </c>
      <c r="G10600" s="10" t="inlineStr">
        <is>
          <t>Nhân viên</t>
        </is>
      </c>
      <c r="H10600" s="10" t="inlineStr">
        <is>
          <t>13/03/2026</t>
        </is>
      </c>
      <c r="I10600" s="10" t="inlineStr">
        <is>
          <t>12/04/2026</t>
        </is>
      </c>
      <c r="J10600" s="10" t="inlineStr">
        <is>
          <t>17/03/2026</t>
        </is>
      </c>
      <c r="K10600" s="10" t="inlineStr">
        <is>
          <t>N/A</t>
        </is>
      </c>
      <c r="L10600" s="10" t="inlineStr">
        <is>
          <t>English, Internal Lab Testing, Lab Management, Testing, Failure Analysis</t>
        </is>
      </c>
      <c r="M10600" s="10" t="inlineStr">
        <is>
          <t>Bonus, Healthcare Plan, Training, Others</t>
        </is>
      </c>
      <c r="N10600" s="11">
        <f>HYPERLINK("https://www.vietnamworks.com/reliability-test-engineer-2022872-jv","Xem chi tiết")</f>
        <v/>
      </c>
      <c r="O10600" s="10" t="n"/>
    </row>
    <row r="10601">
      <c r="B10601" s="7" t="n">
        <v>10599</v>
      </c>
      <c r="C10601" t="inlineStr">
        <is>
          <t>Food Technologist</t>
        </is>
      </c>
      <c r="D10601" t="inlineStr">
        <is>
          <t>TONKIN PRODUCTS LTD UK</t>
        </is>
      </c>
      <c r="E10601" t="inlineStr">
        <is>
          <t>Thương lượng</t>
        </is>
      </c>
      <c r="F10601" t="inlineStr">
        <is>
          <t>Hồ Chí Minh, Long An</t>
        </is>
      </c>
      <c r="G10601" t="inlineStr">
        <is>
          <t>Nhân viên</t>
        </is>
      </c>
      <c r="H10601" t="inlineStr">
        <is>
          <t>12/03/2026</t>
        </is>
      </c>
      <c r="I10601" t="inlineStr">
        <is>
          <t>12/04/2026</t>
        </is>
      </c>
      <c r="J10601" t="inlineStr">
        <is>
          <t>17/03/2026</t>
        </is>
      </c>
      <c r="K10601" t="inlineStr">
        <is>
          <t>N/A</t>
        </is>
      </c>
      <c r="L10601" t="inlineStr">
        <is>
          <t>Food Manufacturing, QA &amp; QC, Product Development, Food Quality Management, Food Production</t>
        </is>
      </c>
      <c r="M10601" t="inlineStr">
        <is>
          <t>Bonus, Healthcare Plan, Paid Leave, Training, Laptop, Mobile, Team Activities, Transportation, Canteen, Others</t>
        </is>
      </c>
      <c r="N10601" s="8">
        <f>HYPERLINK("https://www.vietnamworks.com/food-technologist-2022599-jv","Xem chi tiết")</f>
        <v/>
      </c>
    </row>
    <row r="10602">
      <c r="B10602" s="9" t="n">
        <v>10600</v>
      </c>
      <c r="C10602" s="10" t="inlineStr">
        <is>
          <t>Nhân Viên Quản Lý Bán Hàng</t>
        </is>
      </c>
      <c r="D10602" s="10" t="inlineStr">
        <is>
          <t>CÔNG TY CỔ PHẦN ACHAN</t>
        </is>
      </c>
      <c r="E10602" s="10" t="inlineStr">
        <is>
          <t>Từ 12.5tr ₫/tháng</t>
        </is>
      </c>
      <c r="F10602" s="10" t="inlineStr">
        <is>
          <t>Hồ Chí Minh</t>
        </is>
      </c>
      <c r="G10602" s="10" t="inlineStr">
        <is>
          <t>Nhân viên</t>
        </is>
      </c>
      <c r="H10602" s="10" t="inlineStr">
        <is>
          <t>12/03/2026</t>
        </is>
      </c>
      <c r="I10602" s="10" t="inlineStr">
        <is>
          <t>12/04/2026</t>
        </is>
      </c>
      <c r="J10602" s="10" t="inlineStr">
        <is>
          <t>17/03/2026</t>
        </is>
      </c>
      <c r="K10602" s="10" t="inlineStr">
        <is>
          <t>N/A</t>
        </is>
      </c>
      <c r="L10602" s="10" t="inlineStr">
        <is>
          <t>Bán Hàng, Quản Lý Bán Hàng, Đào Tạo, Marketing Development, Phát Triển Đội Ngũ Kinh Doanh</t>
        </is>
      </c>
      <c r="M10602" s="10" t="inlineStr">
        <is>
          <t>Bonus, Others</t>
        </is>
      </c>
      <c r="N10602" s="11">
        <f>HYPERLINK("https://www.vietnamworks.com/nhan-vien-quan-ly-ban-hang-2022854-jv","Xem chi tiết")</f>
        <v/>
      </c>
      <c r="O10602" s="10" t="n"/>
    </row>
    <row r="10603">
      <c r="B10603" s="7" t="n">
        <v>10601</v>
      </c>
      <c r="C10603" t="inlineStr">
        <is>
          <t>Digital Graphic Designer</t>
        </is>
      </c>
      <c r="D10603" t="inlineStr">
        <is>
          <t>CÔNG TY TNHH THASCO INTERNATIONAL</t>
        </is>
      </c>
      <c r="E10603" t="inlineStr">
        <is>
          <t>Thương lượng</t>
        </is>
      </c>
      <c r="F10603" t="inlineStr">
        <is>
          <t>Thừa Thiên Huế</t>
        </is>
      </c>
      <c r="G10603" t="inlineStr">
        <is>
          <t>Nhân viên</t>
        </is>
      </c>
      <c r="H10603" t="inlineStr">
        <is>
          <t>12/03/2026</t>
        </is>
      </c>
      <c r="I10603" t="inlineStr">
        <is>
          <t>12/04/2026</t>
        </is>
      </c>
      <c r="J10603" t="inlineStr">
        <is>
          <t>17/03/2026</t>
        </is>
      </c>
      <c r="K10603" t="inlineStr">
        <is>
          <t>N/A</t>
        </is>
      </c>
      <c r="L10603" t="inlineStr">
        <is>
          <t>Adobe Illustrator, Adobe Photoshop, Creative Thinking, Digital Marketing, Figma</t>
        </is>
      </c>
      <c r="M10603" t="inlineStr">
        <is>
          <t>Bonus, Healthcare Plan, Travel Opportunities, Others</t>
        </is>
      </c>
      <c r="N10603" s="8">
        <f>HYPERLINK("https://www.vietnamworks.com/digital-graphic-designer-2022564-jv","Xem chi tiết")</f>
        <v/>
      </c>
    </row>
    <row r="10604">
      <c r="B10604" s="9" t="n">
        <v>10602</v>
      </c>
      <c r="C10604" s="10" t="inlineStr">
        <is>
          <t>Nhân Viên Thiết Kế Nội Thất (Hà Nội Branch)</t>
        </is>
      </c>
      <c r="D10604" s="10" t="inlineStr">
        <is>
          <t>TOTO Vietnam Co., Ltd</t>
        </is>
      </c>
      <c r="E10604" s="10" t="inlineStr">
        <is>
          <t>12tr-15tr ₫/tháng</t>
        </is>
      </c>
      <c r="F10604" s="10" t="inlineStr">
        <is>
          <t>Hà Nội</t>
        </is>
      </c>
      <c r="G10604" s="10" t="inlineStr">
        <is>
          <t>Nhân viên</t>
        </is>
      </c>
      <c r="H10604" s="10" t="inlineStr">
        <is>
          <t>13/03/2026</t>
        </is>
      </c>
      <c r="I10604" s="10" t="inlineStr">
        <is>
          <t>12/04/2026</t>
        </is>
      </c>
      <c r="J10604" s="10" t="inlineStr">
        <is>
          <t>17/03/2026</t>
        </is>
      </c>
      <c r="K10604" s="10" t="inlineStr">
        <is>
          <t>N/A</t>
        </is>
      </c>
      <c r="L10604" s="10" t="inlineStr">
        <is>
          <t>Adobe Illustrator, Auto CAD, Kỹ năng Tiếng Anh, Photoshop, Thiết Kế Nội Thất</t>
        </is>
      </c>
      <c r="M10604" s="10" t="inlineStr">
        <is>
          <t>Healthcare Plan, Paid Leave, Training, Others</t>
        </is>
      </c>
      <c r="N10604" s="11">
        <f>HYPERLINK("https://www.vietnamworks.com/nhan-vien-thiet-ke-noi-that-ha-noi-branch-2022878-jv","Xem chi tiết")</f>
        <v/>
      </c>
      <c r="O10604" s="10" t="n"/>
    </row>
    <row r="10605">
      <c r="B10605" s="7" t="n">
        <v>10603</v>
      </c>
      <c r="C10605" t="inlineStr">
        <is>
          <t>Marketing Staff - Nhân Viên Marketing (Open to Fresher)</t>
        </is>
      </c>
      <c r="D10605" t="inlineStr">
        <is>
          <t>Công Ty Cổ Phần Đô Thị Amata Hạ Long</t>
        </is>
      </c>
      <c r="E10605" t="inlineStr">
        <is>
          <t>Thương lượng</t>
        </is>
      </c>
      <c r="F10605" t="inlineStr">
        <is>
          <t>Quảng Ninh, Phú Thọ, Hải Phòng</t>
        </is>
      </c>
      <c r="G10605" t="inlineStr">
        <is>
          <t>Nhân viên</t>
        </is>
      </c>
      <c r="H10605" t="inlineStr">
        <is>
          <t>12/03/2026</t>
        </is>
      </c>
      <c r="I10605" t="inlineStr">
        <is>
          <t>12/04/2026</t>
        </is>
      </c>
      <c r="J10605" t="inlineStr">
        <is>
          <t>17/03/2026</t>
        </is>
      </c>
      <c r="K10605" t="inlineStr">
        <is>
          <t>N/A</t>
        </is>
      </c>
      <c r="L10605" t="inlineStr">
        <is>
          <t>Marketing, Digital Marketing, Social Media Knowledge, Photo Shooting, Design Photoshop</t>
        </is>
      </c>
      <c r="M10605" t="inlineStr">
        <is>
          <t>Bonus, Healthcare Plan, Others</t>
        </is>
      </c>
      <c r="N10605" s="8">
        <f>HYPERLINK("https://www.vietnamworks.com/marketing-staff-nhan-vien-marketing-open-to-fresher-2022584-jv","Xem chi tiết")</f>
        <v/>
      </c>
    </row>
    <row r="10606">
      <c r="B10606" s="9" t="n">
        <v>10604</v>
      </c>
      <c r="C10606" s="10" t="inlineStr">
        <is>
          <t>[Hà Nội] Nhân Viên Kinh Doanh Logistics - Tiếng Trung</t>
        </is>
      </c>
      <c r="D10606" s="10" t="inlineStr">
        <is>
          <t>Công Ty TNHH Quản Lý Chuỗi Cung Ứng Feiliks Việt Nam</t>
        </is>
      </c>
      <c r="E10606" s="10" t="inlineStr">
        <is>
          <t>$$ 700-1,500 /tháng</t>
        </is>
      </c>
      <c r="F10606" s="10" t="inlineStr">
        <is>
          <t>Hà Nội</t>
        </is>
      </c>
      <c r="G10606" s="10" t="inlineStr">
        <is>
          <t>Nhân viên</t>
        </is>
      </c>
      <c r="H10606" s="10" t="inlineStr">
        <is>
          <t>13/03/2026</t>
        </is>
      </c>
      <c r="I10606" s="10" t="inlineStr">
        <is>
          <t>12/04/2026</t>
        </is>
      </c>
      <c r="J10606" s="10" t="inlineStr">
        <is>
          <t>17/03/2026</t>
        </is>
      </c>
      <c r="K10606" s="10" t="inlineStr">
        <is>
          <t>N/A</t>
        </is>
      </c>
      <c r="L10606" s="10" t="inlineStr">
        <is>
          <t>Tiếng Trung, Logistics, Logistics Sales, Chinese, Forwarding Operation</t>
        </is>
      </c>
      <c r="M10606" s="10" t="inlineStr">
        <is>
          <t>Bonus, Healthcare Plan, Paid Leave</t>
        </is>
      </c>
      <c r="N10606" s="11">
        <f>HYPERLINK("https://www.vietnamworks.com/ha-noi-nhan-vien-kinh-doanh-logistics-tieng-trung--2022870-jv","Xem chi tiết")</f>
        <v/>
      </c>
      <c r="O10606" s="10" t="n"/>
    </row>
    <row r="10607">
      <c r="B10607" s="7" t="n">
        <v>10605</v>
      </c>
      <c r="C10607" t="inlineStr">
        <is>
          <t>Trưởng Nhóm Kinh Doanh Du Lịch</t>
        </is>
      </c>
      <c r="D10607" t="inlineStr">
        <is>
          <t>CÔNG TY TNHH HULO TRAVEL</t>
        </is>
      </c>
      <c r="E10607" t="inlineStr">
        <is>
          <t>Thương lượng</t>
        </is>
      </c>
      <c r="F10607" t="inlineStr">
        <is>
          <t>Hồ Chí Minh</t>
        </is>
      </c>
      <c r="G10607" t="inlineStr">
        <is>
          <t>Trưởng phòng</t>
        </is>
      </c>
      <c r="H10607" t="inlineStr">
        <is>
          <t>12/03/2026</t>
        </is>
      </c>
      <c r="I10607" t="inlineStr">
        <is>
          <t>12/04/2026</t>
        </is>
      </c>
      <c r="J10607" t="inlineStr">
        <is>
          <t>17/03/2026</t>
        </is>
      </c>
      <c r="K10607" t="inlineStr">
        <is>
          <t>N/A</t>
        </is>
      </c>
      <c r="L10607" t="inlineStr">
        <is>
          <t>Du Lịch Outbound, Lập Kế Hoạch Kinh Doanh, Quản Lý Doanh Thu, Xử Lý Khiếu Nại, Đàm Phán</t>
        </is>
      </c>
      <c r="M10607" t="inlineStr">
        <is>
          <t>Bonus, Healthcare Plan, Paid Leave, Training, Laptop, Travel Opportunities</t>
        </is>
      </c>
      <c r="N10607" s="8">
        <f>HYPERLINK("https://www.vietnamworks.com/truong-nhom-kinh-doanh-du-lich-2022813-jv","Xem chi tiết")</f>
        <v/>
      </c>
    </row>
    <row r="10608">
      <c r="B10608" s="9" t="n">
        <v>10606</v>
      </c>
      <c r="C10608" s="10" t="inlineStr">
        <is>
          <t>Food Technical Development Assistant</t>
        </is>
      </c>
      <c r="D10608" s="10" t="inlineStr">
        <is>
          <t>TONKIN PRODUCTS LTD UK</t>
        </is>
      </c>
      <c r="E10608" s="10" t="inlineStr">
        <is>
          <t>Thương lượng</t>
        </is>
      </c>
      <c r="F10608" s="10" t="inlineStr">
        <is>
          <t>Hồ Chí Minh, Long An</t>
        </is>
      </c>
      <c r="G10608" s="10" t="inlineStr">
        <is>
          <t>Nhân viên</t>
        </is>
      </c>
      <c r="H10608" s="10" t="inlineStr">
        <is>
          <t>12/03/2026</t>
        </is>
      </c>
      <c r="I10608" s="10" t="inlineStr">
        <is>
          <t>12/04/2026</t>
        </is>
      </c>
      <c r="J10608" s="10" t="inlineStr">
        <is>
          <t>17/03/2026</t>
        </is>
      </c>
      <c r="K10608" s="10" t="inlineStr">
        <is>
          <t>N/A</t>
        </is>
      </c>
      <c r="L10608" s="10" t="inlineStr">
        <is>
          <t>Product Development, Food Manufacturing, Quality Assurance, NPD, Manufacturing</t>
        </is>
      </c>
      <c r="M10608" s="10" t="inlineStr">
        <is>
          <t>Bonus, Healthcare Plan, Paid Leave, Training, Laptop, Mobile, Team Activities, Transportation, Canteen, Others</t>
        </is>
      </c>
      <c r="N10608" s="11">
        <f>HYPERLINK("https://www.vietnamworks.com/food-technical-development-assistant-2022664-jv","Xem chi tiết")</f>
        <v/>
      </c>
      <c r="O10608" s="10" t="n"/>
    </row>
    <row r="10609">
      <c r="B10609" s="7" t="n">
        <v>10607</v>
      </c>
      <c r="C10609" t="inlineStr">
        <is>
          <t>Kỹ Sư Thiết Kế &amp; Giám Sát Thi Công Hệ Thống PCCC</t>
        </is>
      </c>
      <c r="D10609" t="inlineStr">
        <is>
          <t>CÔNG TY CỔ PHẦN PHÁT TRIỂN CÔNG NGHỆ VIỆT AN</t>
        </is>
      </c>
      <c r="E10609" t="inlineStr">
        <is>
          <t>11tr-22tr ₫/tháng</t>
        </is>
      </c>
      <c r="F10609" t="inlineStr">
        <is>
          <t>Hà Nội</t>
        </is>
      </c>
      <c r="G10609" t="inlineStr">
        <is>
          <t>Mới Tốt Nghiệp</t>
        </is>
      </c>
      <c r="H10609" t="inlineStr">
        <is>
          <t>12/03/2026</t>
        </is>
      </c>
      <c r="I10609" t="inlineStr">
        <is>
          <t>12/04/2026</t>
        </is>
      </c>
      <c r="J10609" t="inlineStr">
        <is>
          <t>17/03/2026</t>
        </is>
      </c>
      <c r="K10609" t="inlineStr">
        <is>
          <t>N/A</t>
        </is>
      </c>
      <c r="L10609" t="inlineStr">
        <is>
          <t>AutoCAD, Kỹ Năng Bóc Tách Khối Lượng, Thiết Kế Hệ Thống, Lập Dự Toán, Phòng Cháy Chữa Cháy</t>
        </is>
      </c>
      <c r="M10609" t="inlineStr">
        <is>
          <t>Bonus, Healthcare Plan, Others</t>
        </is>
      </c>
      <c r="N10609" s="8">
        <f>HYPERLINK("https://www.vietnamworks.com/ky-su-thiet-ke-and-giam-sat-thi-cong-he-thong-pccc-2022845-jv","Xem chi tiết")</f>
        <v/>
      </c>
    </row>
    <row r="10610">
      <c r="B10610" s="9" t="n">
        <v>10608</v>
      </c>
      <c r="C10610" s="10" t="inlineStr">
        <is>
          <t>Chuyên Viên Khai Triển 2D Nội Thất</t>
        </is>
      </c>
      <c r="D10610" s="10" t="inlineStr">
        <is>
          <t>Công Ty TNHH SF HOME</t>
        </is>
      </c>
      <c r="E10610" s="10" t="inlineStr">
        <is>
          <t>18tr-23tr ₫/tháng</t>
        </is>
      </c>
      <c r="F10610" s="10" t="inlineStr">
        <is>
          <t>Hồ Chí Minh</t>
        </is>
      </c>
      <c r="G10610" s="10" t="inlineStr">
        <is>
          <t>Nhân viên</t>
        </is>
      </c>
      <c r="H10610" s="10" t="inlineStr">
        <is>
          <t>12/03/2026</t>
        </is>
      </c>
      <c r="I10610" s="10" t="inlineStr">
        <is>
          <t>12/04/2026</t>
        </is>
      </c>
      <c r="J10610" s="10" t="inlineStr">
        <is>
          <t>17/03/2026</t>
        </is>
      </c>
      <c r="K10610" s="10" t="inlineStr">
        <is>
          <t>N/A</t>
        </is>
      </c>
      <c r="L10610" s="10" t="inlineStr">
        <is>
          <t>2D Design, 3D Design, AutoCAD, Sketchup, Thiết Kế Nội Thất</t>
        </is>
      </c>
      <c r="M10610" s="10" t="inlineStr">
        <is>
          <t>Bonus, Healthcare Plan, Paid Leave, Training, Vouchers, Others</t>
        </is>
      </c>
      <c r="N10610" s="11">
        <f>HYPERLINK("https://www.vietnamworks.com/chuyen-vien-khai-trien-2d-noi-that-2022847-jv","Xem chi tiết")</f>
        <v/>
      </c>
      <c r="O10610" s="10" t="n"/>
    </row>
    <row r="10611">
      <c r="B10611" s="7" t="n">
        <v>10609</v>
      </c>
      <c r="C10611" t="inlineStr">
        <is>
          <t>Hành Chính Lễ Tân</t>
        </is>
      </c>
      <c r="D10611" t="inlineStr">
        <is>
          <t>Asl LAW</t>
        </is>
      </c>
      <c r="E10611" t="inlineStr">
        <is>
          <t>9tr-12tr ₫/tháng</t>
        </is>
      </c>
      <c r="F10611" t="inlineStr">
        <is>
          <t>Hà Nội</t>
        </is>
      </c>
      <c r="G10611" t="inlineStr">
        <is>
          <t>Mới Tốt Nghiệp</t>
        </is>
      </c>
      <c r="H10611" t="inlineStr">
        <is>
          <t>13/03/2026</t>
        </is>
      </c>
      <c r="I10611" t="inlineStr">
        <is>
          <t>12/04/2026</t>
        </is>
      </c>
      <c r="J10611" t="inlineStr">
        <is>
          <t>17/03/2026</t>
        </is>
      </c>
      <c r="K10611" t="inlineStr">
        <is>
          <t>N/A</t>
        </is>
      </c>
      <c r="L10611" t="inlineStr">
        <is>
          <t>Quản Lý Văn Thư, Giao Tiếp Tiếng Anh, Đón Khách, Quản Lý Công Việc, Hành Chính</t>
        </is>
      </c>
      <c r="M10611" t="inlineStr">
        <is>
          <t>Bonus, Healthcare Plan, Paid Leave, Team Activities, Others</t>
        </is>
      </c>
      <c r="N10611" s="8">
        <f>HYPERLINK("https://www.vietnamworks.com/hanh-chinh-le-tan-2022866-jv","Xem chi tiết")</f>
        <v/>
      </c>
    </row>
    <row r="10612">
      <c r="B10612" s="9" t="n">
        <v>10610</v>
      </c>
      <c r="C10612" s="10" t="inlineStr">
        <is>
          <t>Quality Assurance Specialist</t>
        </is>
      </c>
      <c r="D10612" s="10" t="inlineStr">
        <is>
          <t>CÔNG TY TNHH DU LỊCH VÀ LỮ HÀNH IDEON</t>
        </is>
      </c>
      <c r="E10612" s="10" t="inlineStr">
        <is>
          <t>Thương lượng</t>
        </is>
      </c>
      <c r="F10612" s="10" t="inlineStr">
        <is>
          <t>Khánh Hòa</t>
        </is>
      </c>
      <c r="G10612" s="10" t="inlineStr">
        <is>
          <t>Nhân viên</t>
        </is>
      </c>
      <c r="H10612" s="10" t="inlineStr">
        <is>
          <t>12/03/2026</t>
        </is>
      </c>
      <c r="I10612" s="10" t="inlineStr">
        <is>
          <t>12/04/2026</t>
        </is>
      </c>
      <c r="J10612" s="10" t="inlineStr">
        <is>
          <t>17/03/2026</t>
        </is>
      </c>
      <c r="K10612" s="10" t="inlineStr">
        <is>
          <t>N/A</t>
        </is>
      </c>
      <c r="L10612" s="10" t="inlineStr">
        <is>
          <t>ISO 9001, ISO 14001, ISO 45001, MS Office, Analytical Thinking</t>
        </is>
      </c>
      <c r="M10612" s="10" t="inlineStr">
        <is>
          <t>Healthcare Plan, Paid Leave, Laptop</t>
        </is>
      </c>
      <c r="N10612" s="11">
        <f>HYPERLINK("https://www.vietnamworks.com/quality-assurance-specialist-2022829-jv","Xem chi tiết")</f>
        <v/>
      </c>
      <c r="O10612" s="10" t="n"/>
    </row>
    <row r="10613">
      <c r="B10613" s="7" t="n">
        <v>10611</v>
      </c>
      <c r="C10613" t="inlineStr">
        <is>
          <t>Kiến Trúc Sư (Mức Lương Từ 15-25 Triệu)</t>
        </is>
      </c>
      <c r="D10613" t="inlineStr">
        <is>
          <t>Công Ty Cổ Phần Đầu Tư Xây Dựng - Facco</t>
        </is>
      </c>
      <c r="E10613" t="inlineStr">
        <is>
          <t>15tr-25tr ₫/tháng</t>
        </is>
      </c>
      <c r="F10613" t="inlineStr">
        <is>
          <t>Hà Nội</t>
        </is>
      </c>
      <c r="G10613" t="inlineStr">
        <is>
          <t>Nhân viên</t>
        </is>
      </c>
      <c r="H10613" t="inlineStr">
        <is>
          <t>13/03/2026</t>
        </is>
      </c>
      <c r="I10613" t="inlineStr">
        <is>
          <t>12/04/2026</t>
        </is>
      </c>
      <c r="J10613" t="inlineStr">
        <is>
          <t>17/03/2026</t>
        </is>
      </c>
      <c r="K10613" t="inlineStr">
        <is>
          <t>N/A</t>
        </is>
      </c>
      <c r="L10613" t="inlineStr">
        <is>
          <t>AutoCAD, Kiến Trúc - Xây dựng, Kiến Trúc Sư, Revit, Thiết Kế Xây Dựng Nhà Xưởng</t>
        </is>
      </c>
      <c r="M10613" t="inlineStr">
        <is>
          <t>Bonus, Healthcare Plan, Travel Opportunities, Team Activities, Canteen, Others</t>
        </is>
      </c>
      <c r="N10613" s="8">
        <f>HYPERLINK("https://www.vietnamworks.com/kien-truc-su-muc-luong-tu-15-25-trieu-2022873-jv","Xem chi tiết")</f>
        <v/>
      </c>
    </row>
    <row r="10614">
      <c r="B10614" s="9" t="n">
        <v>10612</v>
      </c>
      <c r="C10614" s="10" t="inlineStr">
        <is>
          <t>Admin Staff - Nhân Viên Hành Chánh</t>
        </is>
      </c>
      <c r="D10614" s="10" t="inlineStr">
        <is>
          <t>Amata City Long Thanh Joint Stock Company</t>
        </is>
      </c>
      <c r="E10614" s="10" t="inlineStr">
        <is>
          <t>Thương lượng</t>
        </is>
      </c>
      <c r="F10614" s="10" t="inlineStr">
        <is>
          <t>Đồng Nai, Hồ Chí Minh, Bình Dương</t>
        </is>
      </c>
      <c r="G10614" s="10" t="inlineStr">
        <is>
          <t>Nhân viên</t>
        </is>
      </c>
      <c r="H10614" s="10" t="inlineStr">
        <is>
          <t>13/03/2026</t>
        </is>
      </c>
      <c r="I10614" s="10" t="inlineStr">
        <is>
          <t>12/04/2026</t>
        </is>
      </c>
      <c r="J10614" s="10" t="inlineStr">
        <is>
          <t>17/03/2026</t>
        </is>
      </c>
      <c r="K10614" s="10" t="inlineStr">
        <is>
          <t>N/A</t>
        </is>
      </c>
      <c r="L10614" s="10" t="inlineStr">
        <is>
          <t>English Communication, Computing Proficiency In Ms Office, Organizational skills, Time Management</t>
        </is>
      </c>
      <c r="M10614" s="10" t="inlineStr">
        <is>
          <t>Bonus, Healthcare Plan, Others</t>
        </is>
      </c>
      <c r="N10614" s="11">
        <f>HYPERLINK("https://www.vietnamworks.com/admin-staff-nhan-vien-hanh-chanh-2022877-jv","Xem chi tiết")</f>
        <v/>
      </c>
      <c r="O10614" s="10" t="n"/>
    </row>
    <row r="10615">
      <c r="B10615" s="7" t="n">
        <v>10613</v>
      </c>
      <c r="C10615" t="inlineStr">
        <is>
          <t>Loan Processing Staff (Corporate Credit)</t>
        </is>
      </c>
      <c r="D10615" t="inlineStr">
        <is>
          <t>Bangkok Bank Public Company Limited, Ho Chi Minh City Branch</t>
        </is>
      </c>
      <c r="E10615" t="inlineStr">
        <is>
          <t>Thương lượng</t>
        </is>
      </c>
      <c r="F10615" t="inlineStr">
        <is>
          <t>Hà Nội</t>
        </is>
      </c>
      <c r="G10615" t="inlineStr">
        <is>
          <t>Nhân viên</t>
        </is>
      </c>
      <c r="H10615" t="inlineStr">
        <is>
          <t>13/03/2026</t>
        </is>
      </c>
      <c r="I10615" t="inlineStr">
        <is>
          <t>12/04/2026</t>
        </is>
      </c>
      <c r="J10615" t="inlineStr">
        <is>
          <t>17/03/2026</t>
        </is>
      </c>
      <c r="K10615" t="inlineStr">
        <is>
          <t>N/A</t>
        </is>
      </c>
      <c r="L10615" t="inlineStr">
        <is>
          <t>Credit Admin, Credit System, Loan Agreement, Mortgage Compliance, Credit Control</t>
        </is>
      </c>
      <c r="M10615" t="inlineStr">
        <is>
          <t>Bonus, Healthcare Plan, Team Activities</t>
        </is>
      </c>
      <c r="N10615" s="8">
        <f>HYPERLINK("https://www.vietnamworks.com/loan-processing-staff-corporate-credit-2022882-jv","Xem chi tiết")</f>
        <v/>
      </c>
    </row>
    <row r="10616">
      <c r="B10616" s="9" t="n">
        <v>10614</v>
      </c>
      <c r="C10616" s="10" t="inlineStr">
        <is>
          <t xml:space="preserve">Senior HR Executive </t>
        </is>
      </c>
      <c r="D10616" s="10" t="inlineStr">
        <is>
          <t>FUJIFILM Business Innovation Vietnam</t>
        </is>
      </c>
      <c r="E10616" s="10" t="inlineStr">
        <is>
          <t>Thương lượng</t>
        </is>
      </c>
      <c r="F10616" s="10" t="inlineStr">
        <is>
          <t>Hà Nội</t>
        </is>
      </c>
      <c r="G10616" s="10" t="inlineStr">
        <is>
          <t>Nhân viên</t>
        </is>
      </c>
      <c r="H10616" s="10" t="inlineStr">
        <is>
          <t>13/03/2026</t>
        </is>
      </c>
      <c r="I10616" s="10" t="inlineStr">
        <is>
          <t>12/04/2026</t>
        </is>
      </c>
      <c r="J10616" s="10" t="inlineStr">
        <is>
          <t>17/03/2026</t>
        </is>
      </c>
      <c r="K10616" s="10" t="inlineStr">
        <is>
          <t>N/A</t>
        </is>
      </c>
      <c r="L10616" s="10" t="inlineStr">
        <is>
          <t>Cultural sensitivities, Good English Skills, Interpersonal Skills, Microsoft Office, Recruitment</t>
        </is>
      </c>
      <c r="M10616" s="10" t="inlineStr">
        <is>
          <t>Bonus, Healthcare Plan, Paid Leave, Training, Awards</t>
        </is>
      </c>
      <c r="N10616" s="11">
        <f>HYPERLINK("https://www.vietnamworks.com/senior-hr-executive-2022880-jv","Xem chi tiết")</f>
        <v/>
      </c>
      <c r="O10616" s="10" t="n"/>
    </row>
    <row r="10617">
      <c r="B10617" s="7" t="n">
        <v>10615</v>
      </c>
      <c r="C10617" t="inlineStr">
        <is>
          <t>Kỹ Sư Cải Tiến Kỹ Thuật (Technical Improvement Engineer)</t>
        </is>
      </c>
      <c r="D10617" t="inlineStr">
        <is>
          <t>POSCO VST CO., Ltd</t>
        </is>
      </c>
      <c r="E10617" t="inlineStr">
        <is>
          <t>Thương lượng</t>
        </is>
      </c>
      <c r="F10617" t="inlineStr">
        <is>
          <t>Đồng Nai</t>
        </is>
      </c>
      <c r="G10617" t="inlineStr">
        <is>
          <t>Mới Tốt Nghiệp</t>
        </is>
      </c>
      <c r="H10617" t="inlineStr">
        <is>
          <t>13/03/2026</t>
        </is>
      </c>
      <c r="I10617" t="inlineStr">
        <is>
          <t>12/04/2026</t>
        </is>
      </c>
      <c r="J10617" t="inlineStr">
        <is>
          <t>17/03/2026</t>
        </is>
      </c>
      <c r="K10617" t="inlineStr">
        <is>
          <t>N/A</t>
        </is>
      </c>
      <c r="L10617" t="inlineStr">
        <is>
          <t>Giám Sát Quy Trình Sản Xuất, Kỹ năng giao tiếp, Phân Tích Lỗi, Phát Triển Sản Phẩm</t>
        </is>
      </c>
      <c r="M10617" t="inlineStr">
        <is>
          <t>Healthcare Plan, Training, Transportation, Canteen, Kindergarten, Others</t>
        </is>
      </c>
      <c r="N10617" s="8">
        <f>HYPERLINK("https://www.vietnamworks.com/ky-su-cai-tien-ky-thuat-technical-improvement-engineer-2022894-jv","Xem chi tiết")</f>
        <v/>
      </c>
    </row>
    <row r="10618">
      <c r="B10618" s="9" t="n">
        <v>10616</v>
      </c>
      <c r="C10618" s="10" t="inlineStr">
        <is>
          <t>Senior Content Creator</t>
        </is>
      </c>
      <c r="D10618" s="10" t="inlineStr">
        <is>
          <t>Công ty TNHH SMB Viêt Nam</t>
        </is>
      </c>
      <c r="E10618" s="10" t="inlineStr">
        <is>
          <t>18tr-22tr ₫/tháng</t>
        </is>
      </c>
      <c r="F10618" s="10" t="inlineStr">
        <is>
          <t>Hồ Chí Minh</t>
        </is>
      </c>
      <c r="G10618" s="10" t="inlineStr">
        <is>
          <t>Nhân viên</t>
        </is>
      </c>
      <c r="H10618" s="10" t="inlineStr">
        <is>
          <t>13/03/2026</t>
        </is>
      </c>
      <c r="I10618" s="10" t="inlineStr">
        <is>
          <t>12/04/2026</t>
        </is>
      </c>
      <c r="J10618" s="10" t="inlineStr">
        <is>
          <t>17/03/2026</t>
        </is>
      </c>
      <c r="K10618" s="10" t="inlineStr">
        <is>
          <t>N/A</t>
        </is>
      </c>
      <c r="L10618" s="10" t="inlineStr">
        <is>
          <t>Content Marketing, social media, Script Writing, Digital Storytelling, Creative Thinking</t>
        </is>
      </c>
      <c r="M10618" s="10" t="inlineStr">
        <is>
          <t>Bonus, Healthcare Plan, Paid Leave, Training, Laptop, Travel Opportunities, Others</t>
        </is>
      </c>
      <c r="N10618" s="11">
        <f>HYPERLINK("https://www.vietnamworks.com/senior-content-creator-2022881-jv","Xem chi tiết")</f>
        <v/>
      </c>
      <c r="O10618" s="10" t="n"/>
    </row>
    <row r="10619">
      <c r="B10619" s="7" t="n">
        <v>10617</v>
      </c>
      <c r="C10619" t="inlineStr">
        <is>
          <t>Chuyên Viên Khai Báo C/O &amp; Hải Quan (Forwarder)</t>
        </is>
      </c>
      <c r="D10619" t="inlineStr">
        <is>
          <t>Công Ty TNHH Vận Tải Lhts</t>
        </is>
      </c>
      <c r="E10619" t="inlineStr">
        <is>
          <t>Từ 15tr ₫/tháng</t>
        </is>
      </c>
      <c r="F10619" t="inlineStr">
        <is>
          <t>Hồ Chí Minh</t>
        </is>
      </c>
      <c r="G10619" t="inlineStr">
        <is>
          <t>Nhân viên</t>
        </is>
      </c>
      <c r="H10619" t="inlineStr">
        <is>
          <t>13/03/2026</t>
        </is>
      </c>
      <c r="I10619" t="inlineStr">
        <is>
          <t>12/04/2026</t>
        </is>
      </c>
      <c r="J10619" t="inlineStr">
        <is>
          <t>17/03/2026</t>
        </is>
      </c>
      <c r="K10619" t="inlineStr">
        <is>
          <t>N/A</t>
        </is>
      </c>
      <c r="L10619" t="inlineStr">
        <is>
          <t>Hải Quan, Thủ Tục Hải Quan, Khai Báo Hải Quan, Xuất Nhập Khẩu, Logistics</t>
        </is>
      </c>
      <c r="M10619" t="inlineStr">
        <is>
          <t>Bonus, Paid Leave, Travel Opportunities</t>
        </is>
      </c>
      <c r="N10619" s="8">
        <f>HYPERLINK("https://www.vietnamworks.com/chuyen-vien-khai-bao-c-o-hai-quan-forwarder--2022879-jv","Xem chi tiết")</f>
        <v/>
      </c>
    </row>
    <row r="10620">
      <c r="B10620" s="9" t="n">
        <v>10618</v>
      </c>
      <c r="C10620" s="10" t="inlineStr">
        <is>
          <t>Trưởng Ban Hành Chính (Head Of Administration)</t>
        </is>
      </c>
      <c r="D10620" s="10" t="inlineStr">
        <is>
          <t>Vietnamworks' Client</t>
        </is>
      </c>
      <c r="E10620" s="10" t="inlineStr">
        <is>
          <t>$$ 1,364-2,133 /tháng</t>
        </is>
      </c>
      <c r="F10620" s="10" t="inlineStr">
        <is>
          <t>Hà Nội</t>
        </is>
      </c>
      <c r="G10620" s="10" t="inlineStr">
        <is>
          <t>Trưởng phòng</t>
        </is>
      </c>
      <c r="H10620" s="10" t="inlineStr">
        <is>
          <t>13/03/2026</t>
        </is>
      </c>
      <c r="I10620" s="10" t="inlineStr">
        <is>
          <t>12/04/2026</t>
        </is>
      </c>
      <c r="J10620" s="10" t="inlineStr">
        <is>
          <t>17/03/2026</t>
        </is>
      </c>
      <c r="K10620" s="10" t="inlineStr">
        <is>
          <t>N/A</t>
        </is>
      </c>
      <c r="L10620" s="10" t="inlineStr">
        <is>
          <t>Giao Tiếp Xuất Sắc, Làm việc độc lập, Lãnh Đạo, Quản Lý Hành Chính, Thẩm Định Vấn Đề</t>
        </is>
      </c>
      <c r="M10620" s="10" t="inlineStr">
        <is>
          <t>Bonus, Healthcare Plan, Training, Team Activities, Others</t>
        </is>
      </c>
      <c r="N10620" s="11">
        <f>HYPERLINK("https://www.vietnamworks.com/truong-ban-hanh-chinh-head-of-administration-2022887-jv","Xem chi tiết")</f>
        <v/>
      </c>
      <c r="O10620" s="10" t="n"/>
    </row>
    <row r="10621">
      <c r="B10621" s="7" t="n">
        <v>10619</v>
      </c>
      <c r="C10621" t="inlineStr">
        <is>
          <t>Manufacturing Engineer/ Kỹ Sư Nhà Máy</t>
        </is>
      </c>
      <c r="D10621" t="inlineStr">
        <is>
          <t>CÔNG TY TNHH AMPHENOL TECHNOLOGY VIỆT NAM</t>
        </is>
      </c>
      <c r="E10621" t="inlineStr">
        <is>
          <t>Thương lượng</t>
        </is>
      </c>
      <c r="F10621" t="inlineStr">
        <is>
          <t>Hồ Chí Minh</t>
        </is>
      </c>
      <c r="G10621" t="inlineStr">
        <is>
          <t>Nhân viên</t>
        </is>
      </c>
      <c r="H10621" t="inlineStr">
        <is>
          <t>13/03/2026</t>
        </is>
      </c>
      <c r="I10621" t="inlineStr">
        <is>
          <t>12/04/2026</t>
        </is>
      </c>
      <c r="J10621" t="inlineStr">
        <is>
          <t>17/03/2026</t>
        </is>
      </c>
      <c r="K10621" t="inlineStr">
        <is>
          <t>N/A</t>
        </is>
      </c>
      <c r="L10621" t="inlineStr">
        <is>
          <t>Application Engineering, Data Analysis, Problem Solving, Process Engineer, Technical Drawing</t>
        </is>
      </c>
      <c r="M10621" t="inlineStr">
        <is>
          <t>Bonus, Healthcare Plan, Laptop, Transportation, Others</t>
        </is>
      </c>
      <c r="N10621" s="8">
        <f>HYPERLINK("https://www.vietnamworks.com/manufacturing-engineer-ky-su-nha-may-2022893-jv","Xem chi tiết")</f>
        <v/>
      </c>
    </row>
    <row r="10622">
      <c r="B10622" s="9" t="n">
        <v>10620</v>
      </c>
      <c r="C10622" s="10" t="inlineStr">
        <is>
          <t>Application Engineer</t>
        </is>
      </c>
      <c r="D10622" s="10" t="inlineStr">
        <is>
          <t>FESTO</t>
        </is>
      </c>
      <c r="E10622" s="10" t="inlineStr">
        <is>
          <t>Thương lượng</t>
        </is>
      </c>
      <c r="F10622" s="10" t="inlineStr">
        <is>
          <t>Hà Nội</t>
        </is>
      </c>
      <c r="G10622" s="10" t="inlineStr">
        <is>
          <t>Nhân viên</t>
        </is>
      </c>
      <c r="H10622" s="10" t="inlineStr">
        <is>
          <t>13/03/2026</t>
        </is>
      </c>
      <c r="I10622" s="10" t="inlineStr">
        <is>
          <t>12/04/2026</t>
        </is>
      </c>
      <c r="J10622" s="10" t="inlineStr">
        <is>
          <t>17/03/2026</t>
        </is>
      </c>
      <c r="K10622" s="10" t="inlineStr">
        <is>
          <t>N/A</t>
        </is>
      </c>
      <c r="L10622" s="10" t="inlineStr">
        <is>
          <t>Application Engineering, Mechatronics Engineering, Electrical Automation System, Industrial Automation, Điện Tự Động Hóa</t>
        </is>
      </c>
      <c r="M10622" s="10" t="inlineStr">
        <is>
          <t>Bonus, Training, Awards</t>
        </is>
      </c>
      <c r="N10622" s="11">
        <f>HYPERLINK("https://www.vietnamworks.com/application-engineer--2022886-jv","Xem chi tiết")</f>
        <v/>
      </c>
      <c r="O10622" s="10" t="n"/>
    </row>
    <row r="10623">
      <c r="B10623" s="7" t="n">
        <v>10621</v>
      </c>
      <c r="C10623" t="inlineStr">
        <is>
          <t>Marketing Executive</t>
        </is>
      </c>
      <c r="D10623" t="inlineStr">
        <is>
          <t>CÔNG TY CỔ PHẦN GROUPE SEB VIỆT NAM</t>
        </is>
      </c>
      <c r="E10623" t="inlineStr">
        <is>
          <t>Thương lượng</t>
        </is>
      </c>
      <c r="F10623" t="inlineStr">
        <is>
          <t>Hồ Chí Minh</t>
        </is>
      </c>
      <c r="G10623" t="inlineStr">
        <is>
          <t>Nhân viên</t>
        </is>
      </c>
      <c r="H10623" t="inlineStr">
        <is>
          <t>13/03/2026</t>
        </is>
      </c>
      <c r="I10623" t="inlineStr">
        <is>
          <t>12/04/2026</t>
        </is>
      </c>
      <c r="J10623" t="inlineStr">
        <is>
          <t>17/03/2026</t>
        </is>
      </c>
      <c r="K10623" t="inlineStr">
        <is>
          <t>N/A</t>
        </is>
      </c>
      <c r="L10623" t="inlineStr">
        <is>
          <t>Brand Marketing, Campaign Management, Digital Marketing, Marcom, Marketing Planning</t>
        </is>
      </c>
      <c r="M10623" t="inlineStr">
        <is>
          <t>Bonus, Healthcare Plan, Vouchers</t>
        </is>
      </c>
      <c r="N10623" s="8">
        <f>HYPERLINK("https://www.vietnamworks.com/marketing-executive-2022889-jv","Xem chi tiết")</f>
        <v/>
      </c>
    </row>
    <row r="10624">
      <c r="B10624" s="9" t="n">
        <v>10622</v>
      </c>
      <c r="C10624" s="10" t="inlineStr">
        <is>
          <t>Assistant Production Supervisor / Trợ Lý Giám Sát Sản Xuất Ngành Điện Tử</t>
        </is>
      </c>
      <c r="D10624" s="10" t="inlineStr">
        <is>
          <t>CÔNG TY TNHH AMPHENOL TECHNOLOGY VIỆT NAM</t>
        </is>
      </c>
      <c r="E10624" s="10" t="inlineStr">
        <is>
          <t>Thương lượng</t>
        </is>
      </c>
      <c r="F10624" s="10" t="inlineStr">
        <is>
          <t>Long An</t>
        </is>
      </c>
      <c r="G10624" s="10" t="inlineStr">
        <is>
          <t>Nhân viên</t>
        </is>
      </c>
      <c r="H10624" s="10" t="inlineStr">
        <is>
          <t>13/03/2026</t>
        </is>
      </c>
      <c r="I10624" s="10" t="inlineStr">
        <is>
          <t>12/04/2026</t>
        </is>
      </c>
      <c r="J10624" s="10" t="inlineStr">
        <is>
          <t>17/03/2026</t>
        </is>
      </c>
      <c r="K10624" s="10" t="inlineStr">
        <is>
          <t>N/A</t>
        </is>
      </c>
      <c r="L10624" s="10" t="inlineStr">
        <is>
          <t>Báo Cáo, Quản Lý Sản Xuất, Sắp Xếp Công Việc, Biết Tiếng Trung</t>
        </is>
      </c>
      <c r="M10624" s="10" t="inlineStr">
        <is>
          <t>Bonus, Healthcare Plan, Travel Opportunities, Transportation, Others</t>
        </is>
      </c>
      <c r="N10624" s="11">
        <f>HYPERLINK("https://www.vietnamworks.com/assistant-production-supervisor-tro-ly-giam-sat-san-xuat-nganh-djien-tu-2022898-jv","Xem chi tiết")</f>
        <v/>
      </c>
      <c r="O10624" s="10" t="n"/>
    </row>
    <row r="10625">
      <c r="B10625" s="7" t="n">
        <v>10623</v>
      </c>
      <c r="C10625" t="inlineStr">
        <is>
          <t>Trưởng Phòng Nhân Sự/ HR Manager</t>
        </is>
      </c>
      <c r="D10625" t="inlineStr">
        <is>
          <t>Santa Clara Co.,ltd</t>
        </is>
      </c>
      <c r="E10625" t="inlineStr">
        <is>
          <t>$$ 1,500-2,500 /tháng</t>
        </is>
      </c>
      <c r="F10625" t="inlineStr">
        <is>
          <t>Ninh Bình, Nam Định</t>
        </is>
      </c>
      <c r="G10625" t="inlineStr">
        <is>
          <t>Trưởng phòng</t>
        </is>
      </c>
      <c r="H10625" t="inlineStr">
        <is>
          <t>13/03/2026</t>
        </is>
      </c>
      <c r="I10625" t="inlineStr">
        <is>
          <t>12/04/2026</t>
        </is>
      </c>
      <c r="J10625" t="inlineStr">
        <is>
          <t>17/03/2026</t>
        </is>
      </c>
      <c r="K10625" t="inlineStr">
        <is>
          <t>N/A</t>
        </is>
      </c>
      <c r="L10625" t="inlineStr">
        <is>
          <t>C&amp;B, Compliance Auditing, HR Management, HSE Management, Manufacturing HR</t>
        </is>
      </c>
      <c r="M10625" t="inlineStr">
        <is>
          <t>Bonus, Others</t>
        </is>
      </c>
      <c r="N10625" s="8">
        <f>HYPERLINK("https://www.vietnamworks.com/truong-phong-nhan-su-hr-manager-2022897-jv","Xem chi tiết")</f>
        <v/>
      </c>
    </row>
    <row r="10626">
      <c r="B10626" s="9" t="n">
        <v>10624</v>
      </c>
      <c r="C10626" s="10" t="inlineStr">
        <is>
          <t>Temporary Financial Analyst for Energy Company (Work in Hanoi Office)</t>
        </is>
      </c>
      <c r="D10626" s="10" t="inlineStr">
        <is>
          <t>Vung Ang II Thermal Power LLC</t>
        </is>
      </c>
      <c r="E10626" s="10" t="inlineStr">
        <is>
          <t>Thương lượng</t>
        </is>
      </c>
      <c r="F10626" s="10" t="inlineStr">
        <is>
          <t>Hà Nội, Bắc Ninh</t>
        </is>
      </c>
      <c r="G10626" s="10" t="inlineStr">
        <is>
          <t>Nhân viên</t>
        </is>
      </c>
      <c r="H10626" s="10" t="inlineStr">
        <is>
          <t>13/03/2026</t>
        </is>
      </c>
      <c r="I10626" s="10" t="inlineStr">
        <is>
          <t>12/04/2026</t>
        </is>
      </c>
      <c r="J10626" s="10" t="inlineStr">
        <is>
          <t>17/03/2026</t>
        </is>
      </c>
      <c r="K10626" s="10" t="inlineStr">
        <is>
          <t>N/A</t>
        </is>
      </c>
      <c r="L10626" s="10" t="inlineStr">
        <is>
          <t>Finance Analyst, Auditing &amp; Accounting Knowledge, Loan Project, Financial Modeling, Budget Preparation</t>
        </is>
      </c>
      <c r="M10626" s="10" t="inlineStr">
        <is>
          <t>Bonus, Healthcare Plan, Paid Leave</t>
        </is>
      </c>
      <c r="N10626" s="11">
        <f>HYPERLINK("https://www.vietnamworks.com/temporary-financial-analyst-for-energy-company-work-in-hanoi-office--2022899-jv","Xem chi tiết")</f>
        <v/>
      </c>
      <c r="O10626" s="10" t="n"/>
    </row>
    <row r="10627">
      <c r="B10627" s="7" t="n">
        <v>10625</v>
      </c>
      <c r="C10627" t="inlineStr">
        <is>
          <t>Business Restructuring &amp; Development Section Manager</t>
        </is>
      </c>
      <c r="D10627" t="inlineStr">
        <is>
          <t>Công Ty Cổ Phần ACECOOK Việt Nam</t>
        </is>
      </c>
      <c r="E10627" t="inlineStr">
        <is>
          <t>Thương lượng</t>
        </is>
      </c>
      <c r="F10627" t="inlineStr">
        <is>
          <t>Hồ Chí Minh</t>
        </is>
      </c>
      <c r="G10627" t="inlineStr">
        <is>
          <t>Nhân viên</t>
        </is>
      </c>
      <c r="H10627" t="inlineStr">
        <is>
          <t>13/03/2026</t>
        </is>
      </c>
      <c r="I10627" t="inlineStr">
        <is>
          <t>12/04/2026</t>
        </is>
      </c>
      <c r="J10627" t="inlineStr">
        <is>
          <t>17/03/2026</t>
        </is>
      </c>
      <c r="K10627" t="inlineStr">
        <is>
          <t>N/A</t>
        </is>
      </c>
      <c r="L10627" t="inlineStr">
        <is>
          <t>Business Process Improvement, Data Analysis, English, ERP, Project Management</t>
        </is>
      </c>
      <c r="M10627" t="inlineStr">
        <is>
          <t>Bonus, Healthcare Plan, Training, Others</t>
        </is>
      </c>
      <c r="N10627" s="8">
        <f>HYPERLINK("https://www.vietnamworks.com/business-restructuring-and-development-section-manager-2022900-jv","Xem chi tiết")</f>
        <v/>
      </c>
    </row>
    <row r="10628">
      <c r="B10628" s="9" t="n">
        <v>10626</v>
      </c>
      <c r="C10628" s="10" t="inlineStr">
        <is>
          <t>Chuyên Viên Trưng Bày (Visual Merchandiser)</t>
        </is>
      </c>
      <c r="D10628" s="10" t="inlineStr">
        <is>
          <t>Chi nhánh Tập đoàn Việt Nam - Trung tâm Phát triển sản phẩm và Kinh doanh Vinatex</t>
        </is>
      </c>
      <c r="E10628" s="10" t="inlineStr">
        <is>
          <t>12tr-14tr ₫/tháng</t>
        </is>
      </c>
      <c r="F10628" s="10" t="inlineStr">
        <is>
          <t>Hà Nội</t>
        </is>
      </c>
      <c r="G10628" s="10" t="inlineStr">
        <is>
          <t>Nhân viên</t>
        </is>
      </c>
      <c r="H10628" s="10" t="inlineStr">
        <is>
          <t>13/03/2026</t>
        </is>
      </c>
      <c r="I10628" s="10" t="inlineStr">
        <is>
          <t>12/04/2026</t>
        </is>
      </c>
      <c r="J10628" s="10" t="inlineStr">
        <is>
          <t>17/03/2026</t>
        </is>
      </c>
      <c r="K10628" s="10" t="inlineStr">
        <is>
          <t>N/A</t>
        </is>
      </c>
      <c r="L10628" s="10" t="inlineStr">
        <is>
          <t>Bán Lẻ Thời Trang, Google Drive, Google Sheet</t>
        </is>
      </c>
      <c r="M10628" s="10" t="inlineStr">
        <is>
          <t>Bonus, Healthcare Plan, Others</t>
        </is>
      </c>
      <c r="N10628" s="11">
        <f>HYPERLINK("https://www.vietnamworks.com/chuyen-vien-trung-bay-visual-merchandiser-2022895-jv","Xem chi tiết")</f>
        <v/>
      </c>
      <c r="O10628" s="10" t="n"/>
    </row>
    <row r="10629">
      <c r="B10629" s="7" t="n">
        <v>10627</v>
      </c>
      <c r="C10629" t="inlineStr">
        <is>
          <t>Lập trình viên fullstack</t>
        </is>
      </c>
      <c r="D10629" t="inlineStr">
        <is>
          <t>Công Ty Cổ Phần Bất Động Sản BHS</t>
        </is>
      </c>
      <c r="E10629" t="inlineStr">
        <is>
          <t>15tr-20tr ₫/tháng</t>
        </is>
      </c>
      <c r="F10629" t="inlineStr">
        <is>
          <t>Hà Nội</t>
        </is>
      </c>
      <c r="G10629" t="inlineStr">
        <is>
          <t>Nhân viên</t>
        </is>
      </c>
      <c r="H10629" t="inlineStr">
        <is>
          <t>13/03/2026</t>
        </is>
      </c>
      <c r="I10629" t="inlineStr">
        <is>
          <t>12/04/2026</t>
        </is>
      </c>
      <c r="J10629" t="inlineStr">
        <is>
          <t>17/03/2026</t>
        </is>
      </c>
      <c r="K10629" t="inlineStr">
        <is>
          <t>N/A</t>
        </is>
      </c>
      <c r="L10629" t="inlineStr">
        <is>
          <t>Thành Thạo Phần Mềm +Vb</t>
        </is>
      </c>
      <c r="M10629" t="inlineStr">
        <is>
          <t>Bonus</t>
        </is>
      </c>
      <c r="N10629" s="8">
        <f>HYPERLINK("https://www.vietnamworks.com/lap-trinh-vien-fullstack-2022883-jv","Xem chi tiết")</f>
        <v/>
      </c>
    </row>
    <row r="10630">
      <c r="B10630" s="9" t="n">
        <v>10628</v>
      </c>
      <c r="C10630" s="10" t="inlineStr">
        <is>
          <t>Kỹ Sư Chủ Trì Kết Cấu</t>
        </is>
      </c>
      <c r="D10630" s="10" t="inlineStr">
        <is>
          <t>Công ty CP Tư vấn và Dịch vụ Viettel</t>
        </is>
      </c>
      <c r="E10630" s="10" t="inlineStr">
        <is>
          <t>Tới 30tr ₫/tháng</t>
        </is>
      </c>
      <c r="F10630" s="10" t="inlineStr">
        <is>
          <t>Hà Nội</t>
        </is>
      </c>
      <c r="G10630" s="10" t="inlineStr">
        <is>
          <t>Nhân viên</t>
        </is>
      </c>
      <c r="H10630" s="10" t="inlineStr">
        <is>
          <t>13/03/2026</t>
        </is>
      </c>
      <c r="I10630" s="10" t="inlineStr">
        <is>
          <t>12/04/2026</t>
        </is>
      </c>
      <c r="J10630" s="10" t="inlineStr">
        <is>
          <t>17/03/2026</t>
        </is>
      </c>
      <c r="K10630" s="10" t="inlineStr">
        <is>
          <t>N/A</t>
        </is>
      </c>
      <c r="L10630" s="10" t="inlineStr">
        <is>
          <t>Kĩ Thuật Công Trường, AutoCAD, Kỹ Sư Xây Dựng, Revit, Thiết Kế Kết Cấu</t>
        </is>
      </c>
      <c r="M10630" s="10" t="inlineStr">
        <is>
          <t>Bonus, Healthcare Plan, Others</t>
        </is>
      </c>
      <c r="N10630" s="11">
        <f>HYPERLINK("https://www.vietnamworks.com/ky-su-chu-tri-ket-cau--2022891-jv","Xem chi tiết")</f>
        <v/>
      </c>
      <c r="O10630" s="10" t="n"/>
    </row>
    <row r="10631">
      <c r="B10631" s="7" t="n">
        <v>10629</v>
      </c>
      <c r="C10631" t="inlineStr">
        <is>
          <t>Nhân Viên Kiểm Soát Kinh Doanh</t>
        </is>
      </c>
      <c r="D10631" t="inlineStr">
        <is>
          <t>Công Ty Cổ Phần ACECOOK Việt Nam</t>
        </is>
      </c>
      <c r="E10631" t="inlineStr">
        <is>
          <t>Thương lượng</t>
        </is>
      </c>
      <c r="F10631" t="inlineStr">
        <is>
          <t>Hồ Chí Minh</t>
        </is>
      </c>
      <c r="G10631" t="inlineStr">
        <is>
          <t>Nhân viên</t>
        </is>
      </c>
      <c r="H10631" t="inlineStr">
        <is>
          <t>13/03/2026</t>
        </is>
      </c>
      <c r="I10631" t="inlineStr">
        <is>
          <t>12/04/2026</t>
        </is>
      </c>
      <c r="J10631" t="inlineStr">
        <is>
          <t>17/03/2026</t>
        </is>
      </c>
      <c r="K10631" t="inlineStr">
        <is>
          <t>N/A</t>
        </is>
      </c>
      <c r="L10631" t="inlineStr">
        <is>
          <t>FMCG, Quản Trị Nhân Sự, Phát Triển Đội Ngũ Kinh Doanh, Xây Dựng Chương Trình Đào Tạo, MS Office</t>
        </is>
      </c>
      <c r="M10631" t="inlineStr">
        <is>
          <t>Bonus, Healthcare Plan, Training</t>
        </is>
      </c>
      <c r="N10631" s="8">
        <f>HYPERLINK("https://www.vietnamworks.com/nhan-vien-kiem-soat-kinh-doanh--2022885-jv","Xem chi tiết")</f>
        <v/>
      </c>
    </row>
    <row r="10632">
      <c r="B10632" s="9" t="n">
        <v>10630</v>
      </c>
      <c r="C10632" s="10" t="inlineStr">
        <is>
          <t>Senior Costing Specialist, Footwear (HCM)</t>
        </is>
      </c>
      <c r="D10632" s="10" t="inlineStr">
        <is>
          <t>Amer Sports Vietnam Limited</t>
        </is>
      </c>
      <c r="E10632" s="10" t="inlineStr">
        <is>
          <t>Thương lượng</t>
        </is>
      </c>
      <c r="F10632" s="10" t="inlineStr">
        <is>
          <t>Hồ Chí Minh</t>
        </is>
      </c>
      <c r="G10632" s="10" t="inlineStr">
        <is>
          <t>Nhân viên</t>
        </is>
      </c>
      <c r="H10632" s="10" t="inlineStr">
        <is>
          <t>13/03/2026</t>
        </is>
      </c>
      <c r="I10632" s="10" t="inlineStr">
        <is>
          <t>12/04/2026</t>
        </is>
      </c>
      <c r="J10632" s="10" t="inlineStr">
        <is>
          <t>17/03/2026</t>
        </is>
      </c>
      <c r="K10632" s="10" t="inlineStr">
        <is>
          <t>N/A</t>
        </is>
      </c>
      <c r="L10632" s="10" t="inlineStr">
        <is>
          <t>Cost Analysis, Fob Costing, Footwear, Footwear Costing, Negotiation</t>
        </is>
      </c>
      <c r="M10632" s="10" t="inlineStr">
        <is>
          <t>Bonus</t>
        </is>
      </c>
      <c r="N10632" s="11">
        <f>HYPERLINK("https://www.vietnamworks.com/senior-costing-specialist-footwear-hcm-2022884-jv","Xem chi tiết")</f>
        <v/>
      </c>
      <c r="O10632" s="10" t="n"/>
    </row>
    <row r="10633">
      <c r="B10633" s="7" t="n">
        <v>10631</v>
      </c>
      <c r="C10633" t="inlineStr">
        <is>
          <t>Cán Bộ Tuyển Sinh</t>
        </is>
      </c>
      <c r="D10633" t="inlineStr">
        <is>
          <t>Công Ty CP Nhân Lực Quốc Tế Hoàng Minh</t>
        </is>
      </c>
      <c r="E10633" t="inlineStr">
        <is>
          <t>10tr-15tr ₫/tháng</t>
        </is>
      </c>
      <c r="F10633" t="inlineStr">
        <is>
          <t>Hồ Chí Minh</t>
        </is>
      </c>
      <c r="G10633" t="inlineStr">
        <is>
          <t>Mới Tốt Nghiệp</t>
        </is>
      </c>
      <c r="H10633" t="inlineStr">
        <is>
          <t>13/03/2026</t>
        </is>
      </c>
      <c r="I10633" t="inlineStr">
        <is>
          <t>12/04/2026</t>
        </is>
      </c>
      <c r="J10633" t="inlineStr">
        <is>
          <t>17/03/2026</t>
        </is>
      </c>
      <c r="K10633" t="inlineStr">
        <is>
          <t>N/A</t>
        </is>
      </c>
      <c r="L10633" t="inlineStr">
        <is>
          <t>Chăm sóc học viên, Giáo Dục Đào Tạo</t>
        </is>
      </c>
      <c r="M10633" t="inlineStr">
        <is>
          <t>Bonus, Healthcare Plan, Training, Team Activities, Others</t>
        </is>
      </c>
      <c r="N10633" s="8">
        <f>HYPERLINK("https://www.vietnamworks.com/can-bo-tuyen-sinh--2022903-jv","Xem chi tiết")</f>
        <v/>
      </c>
    </row>
    <row r="10634">
      <c r="B10634" s="9" t="n">
        <v>10632</v>
      </c>
      <c r="C10634" s="10" t="inlineStr">
        <is>
          <t>Cleaning Team Leader</t>
        </is>
      </c>
      <c r="D10634" s="10" t="inlineStr">
        <is>
          <t>Saigon South International School</t>
        </is>
      </c>
      <c r="E10634" s="10" t="inlineStr">
        <is>
          <t>Thương lượng</t>
        </is>
      </c>
      <c r="F10634" s="10" t="inlineStr">
        <is>
          <t>Hồ Chí Minh</t>
        </is>
      </c>
      <c r="G10634" s="10" t="inlineStr">
        <is>
          <t>Nhân viên</t>
        </is>
      </c>
      <c r="H10634" s="10" t="inlineStr">
        <is>
          <t>13/03/2026</t>
        </is>
      </c>
      <c r="I10634" s="10" t="inlineStr">
        <is>
          <t>12/04/2026</t>
        </is>
      </c>
      <c r="J10634" s="10" t="inlineStr">
        <is>
          <t>17/03/2026</t>
        </is>
      </c>
      <c r="K10634" s="10" t="inlineStr">
        <is>
          <t>N/A</t>
        </is>
      </c>
      <c r="L10634" s="10" t="inlineStr">
        <is>
          <t>Hospitality Management, Housekeeping Management, Office Cleaning, Quản Lý Vệ Sinh, Safety And Hygiene Standards</t>
        </is>
      </c>
      <c r="M10634" s="10" t="inlineStr">
        <is>
          <t>Bonus, Healthcare Plan, Paid Leave, Training, Library, Laptop, Canteen</t>
        </is>
      </c>
      <c r="N10634" s="11">
        <f>HYPERLINK("https://www.vietnamworks.com/cleaning-team-leader-2022888-jv","Xem chi tiết")</f>
        <v/>
      </c>
      <c r="O10634" s="10" t="n"/>
    </row>
    <row r="10635">
      <c r="B10635" s="7" t="n">
        <v>10633</v>
      </c>
      <c r="C10635" t="inlineStr">
        <is>
          <t>Advisory Services - Experienced Analyst (Hanoi Office)</t>
        </is>
      </c>
      <c r="D10635" t="inlineStr">
        <is>
          <t>Grant Thornton (Vietnam) Limited</t>
        </is>
      </c>
      <c r="E10635" t="inlineStr">
        <is>
          <t>Thương lượng</t>
        </is>
      </c>
      <c r="F10635" t="inlineStr">
        <is>
          <t>Hà Nội</t>
        </is>
      </c>
      <c r="G10635" t="inlineStr">
        <is>
          <t>Nhân viên</t>
        </is>
      </c>
      <c r="H10635" t="inlineStr">
        <is>
          <t>13/03/2026</t>
        </is>
      </c>
      <c r="I10635" t="inlineStr">
        <is>
          <t>12/04/2026</t>
        </is>
      </c>
      <c r="J10635" t="inlineStr">
        <is>
          <t>17/03/2026</t>
        </is>
      </c>
      <c r="K10635" t="inlineStr">
        <is>
          <t>N/A</t>
        </is>
      </c>
      <c r="L10635" t="inlineStr">
        <is>
          <t>Business Valuation, Financial Due Diligence, Financial Modeling, M&amp;A</t>
        </is>
      </c>
      <c r="M10635" t="inlineStr">
        <is>
          <t>Healthcare Plan, Training, Travel Opportunities</t>
        </is>
      </c>
      <c r="N10635" s="8">
        <f>HYPERLINK("https://www.vietnamworks.com/advisory-services-experienced-analyst-hanoi-office-2022908-jv","Xem chi tiết")</f>
        <v/>
      </c>
    </row>
    <row r="10636">
      <c r="B10636" s="9" t="n">
        <v>10634</v>
      </c>
      <c r="C10636" s="10" t="inlineStr">
        <is>
          <t>[Hà Nội] - CV/CVC/CVCC Quản Lý Hiệu Quả Làm Việc</t>
        </is>
      </c>
      <c r="D10636" s="10" t="inlineStr">
        <is>
          <t>Ngân hàng Lộc Phát Việt Nam LPBank</t>
        </is>
      </c>
      <c r="E10636" s="10" t="inlineStr">
        <is>
          <t>Thương lượng</t>
        </is>
      </c>
      <c r="F10636" s="10" t="inlineStr">
        <is>
          <t>Hà Nội</t>
        </is>
      </c>
      <c r="G10636" s="10" t="inlineStr">
        <is>
          <t>Trưởng phòng</t>
        </is>
      </c>
      <c r="H10636" s="10" t="inlineStr">
        <is>
          <t>13/03/2026</t>
        </is>
      </c>
      <c r="I10636" s="10" t="inlineStr">
        <is>
          <t>12/04/2026</t>
        </is>
      </c>
      <c r="J10636" s="10" t="inlineStr">
        <is>
          <t>17/03/2026</t>
        </is>
      </c>
      <c r="K10636" s="10" t="inlineStr">
        <is>
          <t>N/A</t>
        </is>
      </c>
      <c r="L10636" s="10" t="inlineStr">
        <is>
          <t>Ngân hàng, Quản Lý, OKR, Quản Lý Hiệu Suất, Quản Trị Nguồn Nhân Lực</t>
        </is>
      </c>
      <c r="M10636" s="10" t="inlineStr">
        <is>
          <t>Bonus, Healthcare Plan, Paid Leave, Laptop, Canteen, Others</t>
        </is>
      </c>
      <c r="N10636" s="11">
        <f>HYPERLINK("https://www.vietnamworks.com/ha-noi-cvcvccvcc-quan-ly-hieu-qua-lam-viec-2022890-jv","Xem chi tiết")</f>
        <v/>
      </c>
      <c r="O10636" s="10" t="n"/>
    </row>
    <row r="10637">
      <c r="B10637" s="7" t="n">
        <v>10635</v>
      </c>
      <c r="C10637" t="inlineStr">
        <is>
          <t>Nhân Viên Điều Phối Vận Tải</t>
        </is>
      </c>
      <c r="D10637" t="inlineStr">
        <is>
          <t>CÔNG TY CỔ PHẦN THƯƠNG MẠI VÀ DỊCH VỤ VẬN TẢI TRƯỜNG NAM</t>
        </is>
      </c>
      <c r="E10637" t="inlineStr">
        <is>
          <t>15tr-20tr ₫/tháng</t>
        </is>
      </c>
      <c r="F10637" t="inlineStr">
        <is>
          <t>Hà Nội</t>
        </is>
      </c>
      <c r="G10637" t="inlineStr">
        <is>
          <t>Nhân viên</t>
        </is>
      </c>
      <c r="H10637" t="inlineStr">
        <is>
          <t>13/03/2026</t>
        </is>
      </c>
      <c r="I10637" t="inlineStr">
        <is>
          <t>12/04/2026</t>
        </is>
      </c>
      <c r="J10637" t="inlineStr">
        <is>
          <t>17/03/2026</t>
        </is>
      </c>
      <c r="K10637" t="inlineStr">
        <is>
          <t>N/A</t>
        </is>
      </c>
      <c r="L10637" t="inlineStr">
        <is>
          <t>Logistics, Transport Coordination, Vận Tải, Điều Phối Vận Tải, Điều Phối Xe</t>
        </is>
      </c>
      <c r="M10637" t="inlineStr">
        <is>
          <t>Bonus, Healthcare Plan, Training, Others</t>
        </is>
      </c>
      <c r="N10637" s="8">
        <f>HYPERLINK("https://www.vietnamworks.com/nhan-vien-djieu-phoi-van-tai-2022910-jv","Xem chi tiết")</f>
        <v/>
      </c>
    </row>
    <row r="10638">
      <c r="B10638" s="9" t="n">
        <v>10636</v>
      </c>
      <c r="C10638" s="10" t="inlineStr">
        <is>
          <t>Kỹ Sư Thiết Kế Cơ Khí (Lương Từ 13-18 Triệu)</t>
        </is>
      </c>
      <c r="D10638" s="10" t="inlineStr">
        <is>
          <t>Công ty cổ phần TOMECO An Khang</t>
        </is>
      </c>
      <c r="E10638" s="10" t="inlineStr">
        <is>
          <t>13tr-18tr ₫/tháng</t>
        </is>
      </c>
      <c r="F10638" s="10" t="inlineStr">
        <is>
          <t>Hà Nội</t>
        </is>
      </c>
      <c r="G10638" s="10" t="inlineStr">
        <is>
          <t>Nhân viên</t>
        </is>
      </c>
      <c r="H10638" s="10" t="inlineStr">
        <is>
          <t>13/03/2026</t>
        </is>
      </c>
      <c r="I10638" s="10" t="inlineStr">
        <is>
          <t>12/04/2026</t>
        </is>
      </c>
      <c r="J10638" s="10" t="inlineStr">
        <is>
          <t>17/03/2026</t>
        </is>
      </c>
      <c r="K10638" s="10" t="inlineStr">
        <is>
          <t>N/A</t>
        </is>
      </c>
      <c r="L10638" s="10" t="inlineStr">
        <is>
          <t>Cơ Điện, Auto Cad, CAD 2D, chế tạo cơ khí, Thiết Kế Cơ Khí</t>
        </is>
      </c>
      <c r="M10638" s="10" t="inlineStr">
        <is>
          <t>Bonus, Healthcare Plan, Paid Leave, Training, Team Activities, Transportation, Canteen</t>
        </is>
      </c>
      <c r="N10638" s="11">
        <f>HYPERLINK("https://www.vietnamworks.com/ky-su-thiet-ke-co-khi-luong-tu-13-18-trieu-2022902-jv","Xem chi tiết")</f>
        <v/>
      </c>
      <c r="O10638" s="10" t="n"/>
    </row>
    <row r="10639">
      <c r="B10639" s="7" t="n">
        <v>10637</v>
      </c>
      <c r="C10639" t="inlineStr">
        <is>
          <t>Product Compliance Engineer - Motorcycle</t>
        </is>
      </c>
      <c r="D10639" t="inlineStr">
        <is>
          <t>THE REPRESENTATIVE OFICE OF POLARIS INDUSTRIES INC IN HANOI CITY</t>
        </is>
      </c>
      <c r="E10639" t="inlineStr">
        <is>
          <t>Thương lượng</t>
        </is>
      </c>
      <c r="F10639" t="inlineStr">
        <is>
          <t>Vĩnh Phúc</t>
        </is>
      </c>
      <c r="G10639" t="inlineStr">
        <is>
          <t>Nhân viên</t>
        </is>
      </c>
      <c r="H10639" t="inlineStr">
        <is>
          <t>13/03/2026</t>
        </is>
      </c>
      <c r="I10639" t="inlineStr">
        <is>
          <t>12/04/2026</t>
        </is>
      </c>
      <c r="J10639" t="inlineStr">
        <is>
          <t>17/03/2026</t>
        </is>
      </c>
      <c r="K10639" t="inlineStr">
        <is>
          <t>N/A</t>
        </is>
      </c>
      <c r="L10639" t="inlineStr">
        <is>
          <t>Product Compliance, English, Product Management, Relationship Maintaining, Vehicle Maintenance</t>
        </is>
      </c>
      <c r="M10639" t="inlineStr">
        <is>
          <t>Bonus, Travel Opportunities, Transportation</t>
        </is>
      </c>
      <c r="N10639" s="8">
        <f>HYPERLINK("https://www.vietnamworks.com/product-compliance-engineer-motorcycle-2022907-jv","Xem chi tiết")</f>
        <v/>
      </c>
    </row>
    <row r="10640">
      <c r="B10640" s="9" t="n">
        <v>10638</v>
      </c>
      <c r="C10640" s="10" t="inlineStr">
        <is>
          <t>Marketing Manager</t>
        </is>
      </c>
      <c r="D10640" s="10" t="inlineStr">
        <is>
          <t>Công Ty TNHH Thời Trang Elise</t>
        </is>
      </c>
      <c r="E10640" s="10" t="inlineStr">
        <is>
          <t>Thương lượng</t>
        </is>
      </c>
      <c r="F10640" s="10" t="inlineStr">
        <is>
          <t>Hà Nội</t>
        </is>
      </c>
      <c r="G10640" s="10" t="inlineStr">
        <is>
          <t>Trưởng phòng</t>
        </is>
      </c>
      <c r="H10640" s="10" t="inlineStr">
        <is>
          <t>13/03/2026</t>
        </is>
      </c>
      <c r="I10640" s="10" t="inlineStr">
        <is>
          <t>12/04/2026</t>
        </is>
      </c>
      <c r="J10640" s="10" t="inlineStr">
        <is>
          <t>17/03/2026</t>
        </is>
      </c>
      <c r="K10640" s="10" t="inlineStr">
        <is>
          <t>N/A</t>
        </is>
      </c>
      <c r="L10640" s="10" t="inlineStr">
        <is>
          <t>Branding, Campaign Management, Digital Marketing, Marketing Planning, Marketing Strategy</t>
        </is>
      </c>
      <c r="M10640" s="10" t="inlineStr">
        <is>
          <t>Others</t>
        </is>
      </c>
      <c r="N10640" s="11">
        <f>HYPERLINK("https://www.vietnamworks.com/marketing-manager-2022901-jv","Xem chi tiết")</f>
        <v/>
      </c>
      <c r="O10640" s="10" t="n"/>
    </row>
    <row r="10641">
      <c r="B10641" s="7" t="n">
        <v>10639</v>
      </c>
      <c r="C10641" t="inlineStr">
        <is>
          <t>Kế Toán Tổng Hợp</t>
        </is>
      </c>
      <c r="D10641" t="inlineStr">
        <is>
          <t>Eurowindow Holding</t>
        </is>
      </c>
      <c r="E10641" t="inlineStr">
        <is>
          <t>Thương lượng</t>
        </is>
      </c>
      <c r="F10641" t="inlineStr">
        <is>
          <t>Hà Nội</t>
        </is>
      </c>
      <c r="G10641" t="inlineStr">
        <is>
          <t>Nhân viên</t>
        </is>
      </c>
      <c r="H10641" t="inlineStr">
        <is>
          <t>13/03/2026</t>
        </is>
      </c>
      <c r="I10641" t="inlineStr">
        <is>
          <t>12/04/2026</t>
        </is>
      </c>
      <c r="J10641" t="inlineStr">
        <is>
          <t>17/03/2026</t>
        </is>
      </c>
      <c r="K10641" t="inlineStr">
        <is>
          <t>N/A</t>
        </is>
      </c>
      <c r="L10641" t="inlineStr">
        <is>
          <t xml:space="preserve"> Chứng Từ Kế Toán, Báo Cáo Tài Chính, Báo Cáo Thuế, Theo Dõi Ngân Sách, Đối Chiếu Số Liệu</t>
        </is>
      </c>
      <c r="M10641" t="inlineStr">
        <is>
          <t>Bonus, Healthcare Plan, Paid Leave, Travel Opportunities, Team Activities, Others</t>
        </is>
      </c>
      <c r="N10641" s="8">
        <f>HYPERLINK("https://www.vietnamworks.com/ke-toan-tong-hop-2022912-jv","Xem chi tiết")</f>
        <v/>
      </c>
    </row>
    <row r="10642">
      <c r="B10642" s="9" t="n">
        <v>10640</v>
      </c>
      <c r="C10642" s="10" t="inlineStr">
        <is>
          <t>Nhân Viên QC</t>
        </is>
      </c>
      <c r="D10642" s="10" t="inlineStr">
        <is>
          <t>INOAC Vietnam CO., LTD.</t>
        </is>
      </c>
      <c r="E10642" s="10" t="inlineStr">
        <is>
          <t>Thương lượng</t>
        </is>
      </c>
      <c r="F10642" s="10" t="inlineStr">
        <is>
          <t>Hà Nội</t>
        </is>
      </c>
      <c r="G10642" s="10" t="inlineStr">
        <is>
          <t>Nhân viên</t>
        </is>
      </c>
      <c r="H10642" s="10" t="inlineStr">
        <is>
          <t>13/03/2026</t>
        </is>
      </c>
      <c r="I10642" s="10" t="inlineStr">
        <is>
          <t>31/03/2026</t>
        </is>
      </c>
      <c r="J10642" s="10" t="inlineStr">
        <is>
          <t>17/03/2026</t>
        </is>
      </c>
      <c r="K10642" s="10" t="inlineStr">
        <is>
          <t>N/A</t>
        </is>
      </c>
      <c r="L10642" s="10" t="inlineStr">
        <is>
          <t>QC, QA, Kiểm Soát Chất Lượng, Iatf 16949 Knowledge, ISO Knowledge</t>
        </is>
      </c>
      <c r="M10642" s="10" t="inlineStr">
        <is>
          <t>Bonus, Training, Transportation</t>
        </is>
      </c>
      <c r="N10642" s="11">
        <f>HYPERLINK("https://www.vietnamworks.com/nhan-vien-qc--2022914-jv","Xem chi tiết")</f>
        <v/>
      </c>
      <c r="O10642" s="10" t="n"/>
    </row>
    <row r="10643">
      <c r="B10643" s="7" t="n">
        <v>10641</v>
      </c>
      <c r="C10643" t="inlineStr">
        <is>
          <t>Trưởng Phòng Phân Phối - Công Ty Dược Phẩm</t>
        </is>
      </c>
      <c r="D10643" t="inlineStr">
        <is>
          <t>Công ty Cổ phần Dược phẩm Meracine</t>
        </is>
      </c>
      <c r="E10643" t="inlineStr">
        <is>
          <t>$$ 800-1,500 /tháng</t>
        </is>
      </c>
      <c r="F10643" t="inlineStr">
        <is>
          <t>Hà Nội</t>
        </is>
      </c>
      <c r="G10643" t="inlineStr">
        <is>
          <t>Trưởng phòng</t>
        </is>
      </c>
      <c r="H10643" t="inlineStr">
        <is>
          <t>13/03/2026</t>
        </is>
      </c>
      <c r="I10643" t="inlineStr">
        <is>
          <t>12/04/2026</t>
        </is>
      </c>
      <c r="J10643" t="inlineStr">
        <is>
          <t>17/03/2026</t>
        </is>
      </c>
      <c r="K10643" t="inlineStr">
        <is>
          <t>N/A</t>
        </is>
      </c>
      <c r="L10643" t="inlineStr">
        <is>
          <t>Dược Phẩm, Phân Phối Hàng Hóa, Kho, Giao Hàng, Quản Lý</t>
        </is>
      </c>
      <c r="M10643" t="inlineStr">
        <is>
          <t>Bonus, Training, Team Activities</t>
        </is>
      </c>
      <c r="N10643" s="8">
        <f>HYPERLINK("https://www.vietnamworks.com/truong-phong-phan-phoi-cong-ty-duoc-pham-2022904-jv","Xem chi tiết")</f>
        <v/>
      </c>
    </row>
    <row r="10644">
      <c r="B10644" s="9" t="n">
        <v>10642</v>
      </c>
      <c r="C10644" s="10" t="inlineStr">
        <is>
          <t>Trưởng Phòng Hành Chính Nhân Sự - Thu Nhập Upto 40M/ Tháng</t>
        </is>
      </c>
      <c r="D10644" s="10" t="inlineStr">
        <is>
          <t>Công Ty Cổ Phần Đầu Tư Bất Động Sản Hapulico</t>
        </is>
      </c>
      <c r="E10644" s="10" t="inlineStr">
        <is>
          <t>30tr-40tr ₫/tháng</t>
        </is>
      </c>
      <c r="F10644" s="10" t="inlineStr">
        <is>
          <t>Hà Nội</t>
        </is>
      </c>
      <c r="G10644" s="10" t="inlineStr">
        <is>
          <t>Trưởng phòng</t>
        </is>
      </c>
      <c r="H10644" s="10" t="inlineStr">
        <is>
          <t>13/03/2026</t>
        </is>
      </c>
      <c r="I10644" s="10" t="inlineStr">
        <is>
          <t>12/04/2026</t>
        </is>
      </c>
      <c r="J10644" s="10" t="inlineStr">
        <is>
          <t>17/03/2026</t>
        </is>
      </c>
      <c r="K10644" s="10" t="inlineStr">
        <is>
          <t>N/A</t>
        </is>
      </c>
      <c r="L10644" s="10" t="inlineStr">
        <is>
          <t>Hành Chính Nhân Sự, HR Operations</t>
        </is>
      </c>
      <c r="M10644" s="10" t="inlineStr">
        <is>
          <t>Bonus, Healthcare Plan, Paid Leave, Travel Opportunities</t>
        </is>
      </c>
      <c r="N10644" s="11">
        <f>HYPERLINK("https://www.vietnamworks.com/truong-phong-hanh-chinh-nhan-su-thu-nhap-upto-40m-thang-2022915-jv","Xem chi tiết")</f>
        <v/>
      </c>
      <c r="O10644" s="10" t="n"/>
    </row>
    <row r="10645">
      <c r="B10645" s="7" t="n">
        <v>10643</v>
      </c>
      <c r="C10645" t="inlineStr">
        <is>
          <t>Merchandise Manager (Fashion Retail)</t>
        </is>
      </c>
      <c r="D10645" t="inlineStr">
        <is>
          <t>Công Ty TNHH Thời Trang Elise</t>
        </is>
      </c>
      <c r="E10645" t="inlineStr">
        <is>
          <t>Thương lượng</t>
        </is>
      </c>
      <c r="F10645" t="inlineStr">
        <is>
          <t>Hà Nội</t>
        </is>
      </c>
      <c r="G10645" t="inlineStr">
        <is>
          <t>Trưởng phòng</t>
        </is>
      </c>
      <c r="H10645" t="inlineStr">
        <is>
          <t>13/03/2026</t>
        </is>
      </c>
      <c r="I10645" t="inlineStr">
        <is>
          <t>12/04/2026</t>
        </is>
      </c>
      <c r="J10645" t="inlineStr">
        <is>
          <t>17/03/2026</t>
        </is>
      </c>
      <c r="K10645" t="inlineStr">
        <is>
          <t>N/A</t>
        </is>
      </c>
      <c r="L10645" t="inlineStr">
        <is>
          <t>Commercial, Excel, Fashion Retail, Merchandising, Planning</t>
        </is>
      </c>
      <c r="M10645" t="inlineStr">
        <is>
          <t>Others</t>
        </is>
      </c>
      <c r="N10645" s="8">
        <f>HYPERLINK("https://www.vietnamworks.com/merchandise-manager-fashion-retail-2022906-jv","Xem chi tiết")</f>
        <v/>
      </c>
    </row>
    <row r="10646">
      <c r="B10646" s="9" t="n">
        <v>10644</v>
      </c>
      <c r="C10646" s="10" t="inlineStr">
        <is>
          <t>Uniform Sales Manager (B2B)</t>
        </is>
      </c>
      <c r="D10646" s="10" t="inlineStr">
        <is>
          <t>Công Ty TNHH Thời Trang Elise</t>
        </is>
      </c>
      <c r="E10646" s="10" t="inlineStr">
        <is>
          <t>Thương lượng</t>
        </is>
      </c>
      <c r="F10646" s="10" t="inlineStr">
        <is>
          <t>Hà Nội</t>
        </is>
      </c>
      <c r="G10646" s="10" t="inlineStr">
        <is>
          <t>Trưởng phòng</t>
        </is>
      </c>
      <c r="H10646" s="10" t="inlineStr">
        <is>
          <t>13/03/2026</t>
        </is>
      </c>
      <c r="I10646" s="10" t="inlineStr">
        <is>
          <t>12/04/2026</t>
        </is>
      </c>
      <c r="J10646" s="10" t="inlineStr">
        <is>
          <t>17/03/2026</t>
        </is>
      </c>
      <c r="K10646" s="10" t="inlineStr">
        <is>
          <t>N/A</t>
        </is>
      </c>
      <c r="L10646" s="10" t="inlineStr">
        <is>
          <t>Apparel, B2B Sales, Customer Process, Kinh Doanh, Negotiation Skills</t>
        </is>
      </c>
      <c r="M10646" s="10" t="inlineStr">
        <is>
          <t>Bonus, Healthcare Plan, Training</t>
        </is>
      </c>
      <c r="N10646" s="11">
        <f>HYPERLINK("https://www.vietnamworks.com/uniform-sales-manager-b2b-2022909-jv","Xem chi tiết")</f>
        <v/>
      </c>
      <c r="O10646" s="10" t="n"/>
    </row>
    <row r="10647">
      <c r="B10647" s="7" t="n">
        <v>10645</v>
      </c>
      <c r="C10647" t="inlineStr">
        <is>
          <t>Chuyên Viên Marketing - Marketing Executive</t>
        </is>
      </c>
      <c r="D10647" t="inlineStr">
        <is>
          <t>Capstone Vietnam</t>
        </is>
      </c>
      <c r="E10647" t="inlineStr">
        <is>
          <t>Thương lượng</t>
        </is>
      </c>
      <c r="F10647" t="inlineStr">
        <is>
          <t>Hà Nội, Hồ Chí Minh</t>
        </is>
      </c>
      <c r="G10647" t="inlineStr">
        <is>
          <t>Nhân viên</t>
        </is>
      </c>
      <c r="H10647" t="inlineStr">
        <is>
          <t>13/03/2026</t>
        </is>
      </c>
      <c r="I10647" t="inlineStr">
        <is>
          <t>12/04/2026</t>
        </is>
      </c>
      <c r="J10647" t="inlineStr">
        <is>
          <t>17/03/2026</t>
        </is>
      </c>
      <c r="K10647" t="inlineStr">
        <is>
          <t>N/A</t>
        </is>
      </c>
      <c r="L10647" t="inlineStr">
        <is>
          <t>Digital Marketing, Sáng Tạo Nội Dung, Marketing Campaign, Content creation, Marketing</t>
        </is>
      </c>
      <c r="M10647" t="inlineStr">
        <is>
          <t>Bonus, Healthcare Plan, Training</t>
        </is>
      </c>
      <c r="N10647" s="8">
        <f>HYPERLINK("https://www.vietnamworks.com/chuyen-vien-marketing-marketing-executive-18-1-2-1-1-1-1-1--2022913-jv","Xem chi tiết")</f>
        <v/>
      </c>
    </row>
    <row r="10648">
      <c r="B10648" s="9" t="n">
        <v>10646</v>
      </c>
      <c r="C10648" s="10" t="inlineStr">
        <is>
          <t>Legal Manager - Song Khoai IP (Amata City Ha Long Jsc.)</t>
        </is>
      </c>
      <c r="D10648" s="10" t="inlineStr">
        <is>
          <t>Công Ty Cổ Phần Đô Thị Amata Hạ Long</t>
        </is>
      </c>
      <c r="E10648" s="10" t="inlineStr">
        <is>
          <t>Thương lượng</t>
        </is>
      </c>
      <c r="F10648" s="10" t="inlineStr">
        <is>
          <t>Quảng Ninh, Hải Phòng, Hà Nội</t>
        </is>
      </c>
      <c r="G10648" s="10" t="inlineStr">
        <is>
          <t>Trưởng phòng</t>
        </is>
      </c>
      <c r="H10648" s="10" t="inlineStr">
        <is>
          <t>13/03/2026</t>
        </is>
      </c>
      <c r="I10648" s="10" t="inlineStr">
        <is>
          <t>12/04/2026</t>
        </is>
      </c>
      <c r="J10648" s="10" t="inlineStr">
        <is>
          <t>17/03/2026</t>
        </is>
      </c>
      <c r="K10648" s="10" t="inlineStr">
        <is>
          <t>N/A</t>
        </is>
      </c>
      <c r="L10648" s="10" t="inlineStr">
        <is>
          <t>Legal, Law, Contract, Government Relations, Industrial Project</t>
        </is>
      </c>
      <c r="M10648" s="10" t="inlineStr">
        <is>
          <t>Bonus, Healthcare Plan, Others</t>
        </is>
      </c>
      <c r="N10648" s="11">
        <f>HYPERLINK("https://www.vietnamworks.com/legal-manager-song-khoai-ip-amata-city-ha-long-jsc--2022921-jv","Xem chi tiết")</f>
        <v/>
      </c>
      <c r="O10648" s="10" t="n"/>
    </row>
    <row r="10649">
      <c r="B10649" s="7" t="n">
        <v>10647</v>
      </c>
      <c r="C10649" t="inlineStr">
        <is>
          <t>Nhân Viên Kế Toán - Đi Làm Ngay</t>
        </is>
      </c>
      <c r="D10649" t="inlineStr">
        <is>
          <t>Công Ty Cổ Phần Phát Triển Công Nghiệp Hoàng Dương</t>
        </is>
      </c>
      <c r="E10649" t="inlineStr">
        <is>
          <t>10tr-15tr ₫/tháng</t>
        </is>
      </c>
      <c r="F10649" t="inlineStr">
        <is>
          <t>Hà Nội</t>
        </is>
      </c>
      <c r="G10649" t="inlineStr">
        <is>
          <t>Nhân viên</t>
        </is>
      </c>
      <c r="H10649" t="inlineStr">
        <is>
          <t>13/03/2026</t>
        </is>
      </c>
      <c r="I10649" t="inlineStr">
        <is>
          <t>12/04/2026</t>
        </is>
      </c>
      <c r="J10649" t="inlineStr">
        <is>
          <t>17/03/2026</t>
        </is>
      </c>
      <c r="K10649" t="inlineStr">
        <is>
          <t>N/A</t>
        </is>
      </c>
      <c r="L10649" t="inlineStr">
        <is>
          <t>Hạch Toán, Phần Mềm Kế Toán, Quản Lý Chứng Từ, Theo Dõi Công Nợ, Đối Chiếu Số Liệu</t>
        </is>
      </c>
      <c r="M10649" t="inlineStr">
        <is>
          <t>Bonus, Healthcare Plan, Paid Leave, Training, Awards, Others</t>
        </is>
      </c>
      <c r="N10649" s="8">
        <f>HYPERLINK("https://www.vietnamworks.com/nhan-vien-ke-toan-dji-lam-ngay-2022920-jv","Xem chi tiết")</f>
        <v/>
      </c>
    </row>
    <row r="10650">
      <c r="B10650" s="9" t="n">
        <v>10648</v>
      </c>
      <c r="C10650" s="10" t="inlineStr">
        <is>
          <t>Supervisor (Giám Sát Kinh Doanh) - Vật Tư Y Tế Tim Mạch/ Ngoại Biên</t>
        </is>
      </c>
      <c r="D10650" s="10" t="inlineStr">
        <is>
          <t>CÔNG TY CP THIẾT BỊ Y TẾ ĐỨC NGỌC</t>
        </is>
      </c>
      <c r="E10650" s="10" t="inlineStr">
        <is>
          <t>Từ 15tr ₫/tháng</t>
        </is>
      </c>
      <c r="F10650" s="10" t="inlineStr">
        <is>
          <t>Hồ Chí Minh</t>
        </is>
      </c>
      <c r="G10650" s="10" t="inlineStr">
        <is>
          <t>Trưởng phòng</t>
        </is>
      </c>
      <c r="H10650" s="10" t="inlineStr">
        <is>
          <t>13/03/2026</t>
        </is>
      </c>
      <c r="I10650" s="10" t="inlineStr">
        <is>
          <t>12/04/2026</t>
        </is>
      </c>
      <c r="J10650" s="10" t="inlineStr">
        <is>
          <t>17/03/2026</t>
        </is>
      </c>
      <c r="K10650" s="10" t="inlineStr">
        <is>
          <t>N/A</t>
        </is>
      </c>
      <c r="L10650" s="10" t="inlineStr">
        <is>
          <t>Kinh Doanh, Phân Tích Số Liệu, Giao Tiếp Tiếng Anh, Kế Hoạch Bán Hàng, Thiết Bị Y Tế</t>
        </is>
      </c>
      <c r="M10650" s="10" t="inlineStr">
        <is>
          <t>Bonus, Healthcare Plan, Team Activities, Others</t>
        </is>
      </c>
      <c r="N10650" s="11">
        <f>HYPERLINK("https://www.vietnamworks.com/supervisor-giam-sat-kinh-doanh-vat-tu-y-te-tim-mach-ngoai-bien-2022916-jv","Xem chi tiết")</f>
        <v/>
      </c>
      <c r="O10650" s="10" t="n"/>
    </row>
    <row r="10651">
      <c r="B10651" s="7" t="n">
        <v>10649</v>
      </c>
      <c r="C10651" t="inlineStr">
        <is>
          <t>Production Technician - Kỹ Thuật Viên Sản Xuất</t>
        </is>
      </c>
      <c r="D10651" t="inlineStr">
        <is>
          <t>Công Ty TNHH LEGO Manufacturing Việt Nam</t>
        </is>
      </c>
      <c r="E10651" t="inlineStr">
        <is>
          <t>Thương lượng</t>
        </is>
      </c>
      <c r="F10651" t="inlineStr">
        <is>
          <t>Hồ Chí Minh</t>
        </is>
      </c>
      <c r="G10651" t="inlineStr">
        <is>
          <t>Nhân viên</t>
        </is>
      </c>
      <c r="H10651" t="inlineStr">
        <is>
          <t>13/03/2026</t>
        </is>
      </c>
      <c r="I10651" t="inlineStr">
        <is>
          <t>12/04/2026</t>
        </is>
      </c>
      <c r="J10651" t="inlineStr">
        <is>
          <t>17/03/2026</t>
        </is>
      </c>
      <c r="K10651" t="inlineStr">
        <is>
          <t>N/A</t>
        </is>
      </c>
      <c r="L10651" t="inlineStr">
        <is>
          <t>Vận Hành, Tự Động Hóa, Sản xuất, Kiểm Soát Chất Lượng, Dây Chuyền Sản Xuất</t>
        </is>
      </c>
      <c r="M10651" t="inlineStr">
        <is>
          <t>Bonus, Healthcare Plan, Paid Leave</t>
        </is>
      </c>
      <c r="N10651" s="8">
        <f>HYPERLINK("https://www.vietnamworks.com/production-technician-ky-thuat-vien-san-xuat--2022924-jv","Xem chi tiết")</f>
        <v/>
      </c>
    </row>
    <row r="10652">
      <c r="B10652" s="9" t="n">
        <v>10650</v>
      </c>
      <c r="C10652" s="10" t="inlineStr">
        <is>
          <t>Kỹ Sư IT</t>
        </is>
      </c>
      <c r="D10652" s="10" t="inlineStr">
        <is>
          <t>Công Ty TNHH LITEON Việt Nam</t>
        </is>
      </c>
      <c r="E10652" s="10" t="inlineStr">
        <is>
          <t>Thương lượng</t>
        </is>
      </c>
      <c r="F10652" s="10" t="inlineStr">
        <is>
          <t>Quảng Ninh, Hải Phòng</t>
        </is>
      </c>
      <c r="G10652" s="10" t="inlineStr">
        <is>
          <t>Nhân viên</t>
        </is>
      </c>
      <c r="H10652" s="10" t="inlineStr">
        <is>
          <t>13/03/2026</t>
        </is>
      </c>
      <c r="I10652" s="10" t="inlineStr">
        <is>
          <t>12/04/2026</t>
        </is>
      </c>
      <c r="J10652" s="10" t="inlineStr">
        <is>
          <t>17/03/2026</t>
        </is>
      </c>
      <c r="K10652" s="10" t="inlineStr">
        <is>
          <t>N/A</t>
        </is>
      </c>
      <c r="L10652" s="10" t="inlineStr">
        <is>
          <t>Network, IT System Administration, IT Helpdesk, Công Nghệ Thông Tin, C#</t>
        </is>
      </c>
      <c r="M10652" s="10" t="inlineStr">
        <is>
          <t>Healthcare Plan, Team Activities, Canteen</t>
        </is>
      </c>
      <c r="N10652" s="11">
        <f>HYPERLINK("https://www.vietnamworks.com/ky-su-it--2022930-jv","Xem chi tiết")</f>
        <v/>
      </c>
      <c r="O10652" s="10" t="n"/>
    </row>
    <row r="10653">
      <c r="B10653" s="7" t="n">
        <v>10651</v>
      </c>
      <c r="C10653" t="inlineStr">
        <is>
          <t>Test Engineer</t>
        </is>
      </c>
      <c r="D10653" t="inlineStr">
        <is>
          <t>CÔNG TY TNHH TEXON SEMICONDUCTOR TECHNOLOGIES</t>
        </is>
      </c>
      <c r="E10653" t="inlineStr">
        <is>
          <t>Thương lượng</t>
        </is>
      </c>
      <c r="F10653" t="inlineStr">
        <is>
          <t>Bắc Ninh</t>
        </is>
      </c>
      <c r="G10653" t="inlineStr">
        <is>
          <t>Nhân viên</t>
        </is>
      </c>
      <c r="H10653" t="inlineStr">
        <is>
          <t>13/03/2026</t>
        </is>
      </c>
      <c r="I10653" t="inlineStr">
        <is>
          <t>12/04/2026</t>
        </is>
      </c>
      <c r="J10653" t="inlineStr">
        <is>
          <t>17/03/2026</t>
        </is>
      </c>
      <c r="K10653" t="inlineStr">
        <is>
          <t>N/A</t>
        </is>
      </c>
      <c r="L10653" t="inlineStr">
        <is>
          <t>Test Management, Electrical Management, QC Tools, Semiconductor Equipment, Manufacturing Products</t>
        </is>
      </c>
      <c r="M10653" t="inlineStr">
        <is>
          <t>Travel Opportunities, Vouchers</t>
        </is>
      </c>
      <c r="N10653" s="8">
        <f>HYPERLINK("https://www.vietnamworks.com/test-engineer-2022937-jv","Xem chi tiết")</f>
        <v/>
      </c>
    </row>
    <row r="10654">
      <c r="B10654" s="9" t="n">
        <v>10652</v>
      </c>
      <c r="C10654" s="10" t="inlineStr">
        <is>
          <t>Trưởng Bộ Phận Kỹ Thuật Vận Hành</t>
        </is>
      </c>
      <c r="D10654" s="10" t="inlineStr">
        <is>
          <t>Công Ty Cổ Phần Tập Đoàn Năng Lượng BIM</t>
        </is>
      </c>
      <c r="E10654" s="10" t="inlineStr">
        <is>
          <t>Thương lượng</t>
        </is>
      </c>
      <c r="F10654" s="10" t="inlineStr">
        <is>
          <t>Ninh Thuận</t>
        </is>
      </c>
      <c r="G10654" s="10" t="inlineStr">
        <is>
          <t>Trưởng phòng</t>
        </is>
      </c>
      <c r="H10654" s="10" t="inlineStr">
        <is>
          <t>13/03/2026</t>
        </is>
      </c>
      <c r="I10654" s="10" t="inlineStr">
        <is>
          <t>12/04/2026</t>
        </is>
      </c>
      <c r="J10654" s="10" t="inlineStr">
        <is>
          <t>17/03/2026</t>
        </is>
      </c>
      <c r="K10654" s="10" t="inlineStr">
        <is>
          <t>N/A</t>
        </is>
      </c>
      <c r="L10654" s="10" t="inlineStr">
        <is>
          <t>Tiếng Anh Giao Tiếp, Tin Học Văn Phòng (Word- Excel- Powerpoint)</t>
        </is>
      </c>
      <c r="M10654" s="10" t="inlineStr">
        <is>
          <t>Bonus</t>
        </is>
      </c>
      <c r="N10654" s="11">
        <f>HYPERLINK("https://www.vietnamworks.com/truong-bo-phan-ky-thuat-van-hanh-2022932-jv","Xem chi tiết")</f>
        <v/>
      </c>
      <c r="O10654" s="10" t="n"/>
    </row>
    <row r="10655">
      <c r="B10655" s="7" t="n">
        <v>10653</v>
      </c>
      <c r="C10655" t="inlineStr">
        <is>
          <t>Nhân Viên Kinh Doanh / Sales Engineer (Kỹ Thuật - Công Nghiệp)</t>
        </is>
      </c>
      <c r="D10655" t="inlineStr">
        <is>
          <t>TECHCON VIETNAM JSC</t>
        </is>
      </c>
      <c r="E10655" t="inlineStr">
        <is>
          <t>Từ 15tr ₫/tháng</t>
        </is>
      </c>
      <c r="F10655" t="inlineStr">
        <is>
          <t>Hà Nội, Hồ Chí Minh</t>
        </is>
      </c>
      <c r="G10655" t="inlineStr">
        <is>
          <t>Nhân viên</t>
        </is>
      </c>
      <c r="H10655" t="inlineStr">
        <is>
          <t>13/03/2026</t>
        </is>
      </c>
      <c r="I10655" t="inlineStr">
        <is>
          <t>12/04/2026</t>
        </is>
      </c>
      <c r="J10655" t="inlineStr">
        <is>
          <t>17/03/2026</t>
        </is>
      </c>
      <c r="K10655" t="inlineStr">
        <is>
          <t>N/A</t>
        </is>
      </c>
      <c r="L10655" t="inlineStr">
        <is>
          <t>Giải Pháp Bán Hàng, Máy Móc Công Nghệ, Tiếng Nhật, Cơ Khí, Sales Engineering</t>
        </is>
      </c>
      <c r="M10655" t="inlineStr">
        <is>
          <t>Bonus, Paid Leave, Training, Travel Opportunities, Others</t>
        </is>
      </c>
      <c r="N10655" s="8">
        <f>HYPERLINK("https://www.vietnamworks.com/nhan-vien-kinh-doanh-sales-engineer-ky-thuat-cong-nghiep-2022936-jv","Xem chi tiết")</f>
        <v/>
      </c>
    </row>
    <row r="10656">
      <c r="B10656" s="9" t="n">
        <v>10654</v>
      </c>
      <c r="C10656" s="10" t="inlineStr">
        <is>
          <t>Trưởng Bộ Phận Phát Triển Kinh Doanh (Ngành Hàng Mẹ và Bé)</t>
        </is>
      </c>
      <c r="D10656" s="10" t="inlineStr">
        <is>
          <t>Công Ty TNHH Routine Việt Nam</t>
        </is>
      </c>
      <c r="E10656" s="10" t="inlineStr">
        <is>
          <t>$$ 1,000-1,500 /tháng</t>
        </is>
      </c>
      <c r="F10656" s="10" t="inlineStr">
        <is>
          <t>Hồ Chí Minh</t>
        </is>
      </c>
      <c r="G10656" s="10" t="inlineStr">
        <is>
          <t>Trưởng phòng</t>
        </is>
      </c>
      <c r="H10656" s="10" t="inlineStr">
        <is>
          <t>13/03/2026</t>
        </is>
      </c>
      <c r="I10656" s="10" t="inlineStr">
        <is>
          <t>12/04/2026</t>
        </is>
      </c>
      <c r="J10656" s="10" t="inlineStr">
        <is>
          <t>17/03/2026</t>
        </is>
      </c>
      <c r="K10656" s="10" t="inlineStr">
        <is>
          <t>N/A</t>
        </is>
      </c>
      <c r="L10656" s="10" t="inlineStr">
        <is>
          <t>Tiếng Anh</t>
        </is>
      </c>
      <c r="M10656" s="10" t="inlineStr">
        <is>
          <t>Healthcare Plan, Paid Leave, Laptop</t>
        </is>
      </c>
      <c r="N10656" s="11">
        <f>HYPERLINK("https://www.vietnamworks.com/truong-bo-phan-phat-trien-kinh-doanh-nganh-hang-me-va-be-2022928-jv","Xem chi tiết")</f>
        <v/>
      </c>
      <c r="O10656" s="10" t="n"/>
    </row>
    <row r="10657">
      <c r="B10657" s="7" t="n">
        <v>10655</v>
      </c>
      <c r="C10657" t="inlineStr">
        <is>
          <t>Nhân Viên Điện- Điện Tử</t>
        </is>
      </c>
      <c r="D10657" t="inlineStr">
        <is>
          <t>Brother Industries (Vietnam) Ltd.</t>
        </is>
      </c>
      <c r="E10657" t="inlineStr">
        <is>
          <t>Thương lượng</t>
        </is>
      </c>
      <c r="F10657" t="inlineStr">
        <is>
          <t>Hải Phòng</t>
        </is>
      </c>
      <c r="G10657" t="inlineStr">
        <is>
          <t>Nhân viên</t>
        </is>
      </c>
      <c r="H10657" t="inlineStr">
        <is>
          <t>13/03/2026</t>
        </is>
      </c>
      <c r="I10657" t="inlineStr">
        <is>
          <t>12/04/2026</t>
        </is>
      </c>
      <c r="J10657" t="inlineStr">
        <is>
          <t>17/03/2026</t>
        </is>
      </c>
      <c r="K10657" t="inlineStr">
        <is>
          <t>N/A</t>
        </is>
      </c>
      <c r="L10657" t="inlineStr">
        <is>
          <t>Điện + Điện tử, Kỹ Thuật Điện Tử, Altium Designer, Tin Học Văn Phòng, Quản Lý Thiết Bị</t>
        </is>
      </c>
      <c r="M10657" t="inlineStr">
        <is>
          <t>Travel Opportunities, Team Activities, Transportation</t>
        </is>
      </c>
      <c r="N10657" s="8">
        <f>HYPERLINK("https://www.vietnamworks.com/nhan-vien-dien-dien-tu--2022925-jv","Xem chi tiết")</f>
        <v/>
      </c>
    </row>
    <row r="10658">
      <c r="B10658" s="9" t="n">
        <v>10656</v>
      </c>
      <c r="C10658" s="10" t="inlineStr">
        <is>
          <t>Shift QC Assistant/ Engineer</t>
        </is>
      </c>
      <c r="D10658" s="10" t="inlineStr">
        <is>
          <t>Kingspan Viet Nam</t>
        </is>
      </c>
      <c r="E10658" s="10" t="inlineStr">
        <is>
          <t>Thương lượng</t>
        </is>
      </c>
      <c r="F10658" s="10" t="inlineStr">
        <is>
          <t>Bà Rịa - Vũng Tàu</t>
        </is>
      </c>
      <c r="G10658" s="10" t="inlineStr">
        <is>
          <t>Nhân viên</t>
        </is>
      </c>
      <c r="H10658" s="10" t="inlineStr">
        <is>
          <t>13/03/2026</t>
        </is>
      </c>
      <c r="I10658" s="10" t="inlineStr">
        <is>
          <t>12/04/2026</t>
        </is>
      </c>
      <c r="J10658" s="10" t="inlineStr">
        <is>
          <t>17/03/2026</t>
        </is>
      </c>
      <c r="K10658" s="10" t="inlineStr">
        <is>
          <t>N/A</t>
        </is>
      </c>
      <c r="L10658" s="10" t="inlineStr">
        <is>
          <t>Quality Assurance, ISO Standards, Data Analysis, Process Improvement, Compliance Management</t>
        </is>
      </c>
      <c r="M10658" s="10" t="inlineStr">
        <is>
          <t>Bonus</t>
        </is>
      </c>
      <c r="N10658" s="11">
        <f>HYPERLINK("https://www.vietnamworks.com/shift-qc-assistant-engineer-2022939-jv","Xem chi tiết")</f>
        <v/>
      </c>
      <c r="O10658" s="10" t="n"/>
    </row>
    <row r="10659">
      <c r="B10659" s="7" t="n">
        <v>10657</v>
      </c>
      <c r="C10659" t="inlineStr">
        <is>
          <t>Chuyên Viên C&amp;B - Tuyển Gấp</t>
        </is>
      </c>
      <c r="D10659" t="inlineStr">
        <is>
          <t>Công Ty TNHH Thanh An</t>
        </is>
      </c>
      <c r="E10659" t="inlineStr">
        <is>
          <t>15tr-18tr ₫/tháng</t>
        </is>
      </c>
      <c r="F10659" t="inlineStr">
        <is>
          <t>Hà Nội</t>
        </is>
      </c>
      <c r="G10659" t="inlineStr">
        <is>
          <t>Nhân viên</t>
        </is>
      </c>
      <c r="H10659" t="inlineStr">
        <is>
          <t>13/03/2026</t>
        </is>
      </c>
      <c r="I10659" t="inlineStr">
        <is>
          <t>12/04/2026</t>
        </is>
      </c>
      <c r="J10659" t="inlineStr">
        <is>
          <t>17/03/2026</t>
        </is>
      </c>
      <c r="K10659" t="inlineStr">
        <is>
          <t>N/A</t>
        </is>
      </c>
      <c r="L10659" t="inlineStr">
        <is>
          <t>Bảo Hiểm Xã Hội, Chấm Công, Luật Lao Động, Lưu Trữ Hồ Sơ, Tính Lương</t>
        </is>
      </c>
      <c r="M10659" t="inlineStr">
        <is>
          <t>Bonus, Healthcare Plan, Training, Travel Opportunities, Vouchers</t>
        </is>
      </c>
      <c r="N10659" s="8">
        <f>HYPERLINK("https://www.vietnamworks.com/chuyen-vien-candb-tuyen-gap-2022917-jv","Xem chi tiết")</f>
        <v/>
      </c>
    </row>
    <row r="10660">
      <c r="B10660" s="9" t="n">
        <v>10658</v>
      </c>
      <c r="C10660" s="10" t="inlineStr">
        <is>
          <t>Trợ Lý Nhân Sự (Tiếng Trung)</t>
        </is>
      </c>
      <c r="D10660" s="10" t="inlineStr">
        <is>
          <t>CÔNG TY TNHH THƯƠNG MẠI ĐIỆN TỬ GOBUY VIỆT NAM</t>
        </is>
      </c>
      <c r="E10660" s="10" t="inlineStr">
        <is>
          <t>Thương lượng</t>
        </is>
      </c>
      <c r="F10660" s="10" t="inlineStr">
        <is>
          <t>Hồ Chí Minh</t>
        </is>
      </c>
      <c r="G10660" s="10" t="inlineStr">
        <is>
          <t>Nhân viên</t>
        </is>
      </c>
      <c r="H10660" s="10" t="inlineStr">
        <is>
          <t>13/03/2026</t>
        </is>
      </c>
      <c r="I10660" s="10" t="inlineStr">
        <is>
          <t>12/04/2026</t>
        </is>
      </c>
      <c r="J10660" s="10" t="inlineStr">
        <is>
          <t>17/03/2026</t>
        </is>
      </c>
      <c r="K10660" s="10" t="inlineStr">
        <is>
          <t>N/A</t>
        </is>
      </c>
      <c r="L10660" s="10" t="inlineStr">
        <is>
          <t>Tuyển Dụng, Hành Chính Nhân Sự, Chấm Công, Tiếng Trung</t>
        </is>
      </c>
      <c r="M10660" s="10" t="inlineStr">
        <is>
          <t>Paid Leave, Training, Laptop</t>
        </is>
      </c>
      <c r="N10660" s="11">
        <f>HYPERLINK("https://www.vietnamworks.com/tro-ly-nhan-su-tieng-trung--2022940-jv","Xem chi tiết")</f>
        <v/>
      </c>
      <c r="O10660" s="10" t="n"/>
    </row>
    <row r="10661">
      <c r="B10661" s="7" t="n">
        <v>10659</v>
      </c>
      <c r="C10661" t="inlineStr">
        <is>
          <t>Deputy Leasing Manager (Experience in Shopping Malls / Office Buildings)</t>
        </is>
      </c>
      <c r="D10661" t="inlineStr">
        <is>
          <t>Công ty TNHH Toshin Development Việt Nam</t>
        </is>
      </c>
      <c r="E10661" t="inlineStr">
        <is>
          <t>40tr-50tr ₫/tháng</t>
        </is>
      </c>
      <c r="F10661" t="inlineStr">
        <is>
          <t>Hà Nội</t>
        </is>
      </c>
      <c r="G10661" t="inlineStr">
        <is>
          <t>Trưởng phòng</t>
        </is>
      </c>
      <c r="H10661" t="inlineStr">
        <is>
          <t>13/03/2026</t>
        </is>
      </c>
      <c r="I10661" t="inlineStr">
        <is>
          <t>12/04/2026</t>
        </is>
      </c>
      <c r="J10661" t="inlineStr">
        <is>
          <t>17/03/2026</t>
        </is>
      </c>
      <c r="K10661" t="inlineStr">
        <is>
          <t>N/A</t>
        </is>
      </c>
      <c r="L10661" t="inlineStr">
        <is>
          <t>Commercial Leasing, Tenant Finish, Bất Động Sản cho thuê, Real Estale Marketing, Retail Leasing</t>
        </is>
      </c>
      <c r="M10661" t="inlineStr">
        <is>
          <t>Bonus, Healthcare Plan, Paid Leave</t>
        </is>
      </c>
      <c r="N10661" s="8">
        <f>HYPERLINK("https://www.vietnamworks.com/deputy-leasing-manager-experience-in-shopping-malls-office-buildings-2022942-jv","Xem chi tiết")</f>
        <v/>
      </c>
    </row>
    <row r="10662">
      <c r="B10662" s="9" t="n">
        <v>10660</v>
      </c>
      <c r="C10662" s="10" t="inlineStr">
        <is>
          <t>Factory HSE Manager</t>
        </is>
      </c>
      <c r="D10662" s="10" t="inlineStr">
        <is>
          <t>Vietnam Intersnack Cashew Co., Ltd</t>
        </is>
      </c>
      <c r="E10662" s="10" t="inlineStr">
        <is>
          <t>Thương lượng</t>
        </is>
      </c>
      <c r="F10662" s="10" t="inlineStr">
        <is>
          <t>Bình Thuận</t>
        </is>
      </c>
      <c r="G10662" s="10" t="inlineStr">
        <is>
          <t>Trưởng phòng</t>
        </is>
      </c>
      <c r="H10662" s="10" t="inlineStr">
        <is>
          <t>13/03/2026</t>
        </is>
      </c>
      <c r="I10662" s="10" t="inlineStr">
        <is>
          <t>12/04/2026</t>
        </is>
      </c>
      <c r="J10662" s="10" t="inlineStr">
        <is>
          <t>17/03/2026</t>
        </is>
      </c>
      <c r="K10662" s="10" t="inlineStr">
        <is>
          <t>N/A</t>
        </is>
      </c>
      <c r="L10662" s="10" t="inlineStr">
        <is>
          <t>Environmental Management, HSE Compliance, Leadership, Occupational Safety, Safety Training</t>
        </is>
      </c>
      <c r="M10662" s="10" t="inlineStr">
        <is>
          <t>Canteen</t>
        </is>
      </c>
      <c r="N10662" s="11">
        <f>HYPERLINK("https://www.vietnamworks.com/factory-hse-manager-2022919-jv","Xem chi tiết")</f>
        <v/>
      </c>
      <c r="O10662" s="10" t="n"/>
    </row>
    <row r="10663">
      <c r="B10663" s="7" t="n">
        <v>10661</v>
      </c>
      <c r="C10663" t="inlineStr">
        <is>
          <t>Junior Accountant - Kế toán</t>
        </is>
      </c>
      <c r="D10663" t="inlineStr">
        <is>
          <t>LR-TEK</t>
        </is>
      </c>
      <c r="E10663" t="inlineStr">
        <is>
          <t>Thương lượng</t>
        </is>
      </c>
      <c r="F10663" t="inlineStr">
        <is>
          <t>Hồ Chí Minh</t>
        </is>
      </c>
      <c r="G10663" t="inlineStr">
        <is>
          <t>Mới Tốt Nghiệp</t>
        </is>
      </c>
      <c r="H10663" t="inlineStr">
        <is>
          <t>13/03/2026</t>
        </is>
      </c>
      <c r="I10663" t="inlineStr">
        <is>
          <t>12/04/2026</t>
        </is>
      </c>
      <c r="J10663" t="inlineStr">
        <is>
          <t>17/03/2026</t>
        </is>
      </c>
      <c r="K10663" t="inlineStr">
        <is>
          <t>N/A</t>
        </is>
      </c>
      <c r="L10663" t="inlineStr">
        <is>
          <t>Tài Chính Kế Toán, Kế toán, Kế Toán Chứng Từ, Kế Toán Nội Bộ, Kế Toán Thanh Toán</t>
        </is>
      </c>
      <c r="M10663" t="inlineStr">
        <is>
          <t>Bonus, Healthcare Plan, Training, Team Activities, Others</t>
        </is>
      </c>
      <c r="N10663" s="8">
        <f>HYPERLINK("https://www.vietnamworks.com/junior-accountant-ke-toan-2022927-jv","Xem chi tiết")</f>
        <v/>
      </c>
    </row>
    <row r="10664">
      <c r="B10664" s="9" t="n">
        <v>10662</v>
      </c>
      <c r="C10664" s="10" t="inlineStr">
        <is>
          <t>Kê Toán Tổng Hợp (Upto 25Tr)</t>
        </is>
      </c>
      <c r="D10664" s="10" t="inlineStr">
        <is>
          <t>CÔNG TY CỔ PHẦN ĐẦU TƯ A&amp;B VIỆT NAM</t>
        </is>
      </c>
      <c r="E10664" s="10" t="inlineStr">
        <is>
          <t>Tới 25tr ₫/tháng</t>
        </is>
      </c>
      <c r="F10664" s="10" t="inlineStr">
        <is>
          <t>Hà Nội, Bắc Ninh</t>
        </is>
      </c>
      <c r="G10664" s="10" t="inlineStr">
        <is>
          <t>Nhân viên</t>
        </is>
      </c>
      <c r="H10664" s="10" t="inlineStr">
        <is>
          <t>13/03/2026</t>
        </is>
      </c>
      <c r="I10664" s="10" t="inlineStr">
        <is>
          <t>12/04/2026</t>
        </is>
      </c>
      <c r="J10664" s="10" t="inlineStr">
        <is>
          <t>17/03/2026</t>
        </is>
      </c>
      <c r="K10664" s="10" t="inlineStr">
        <is>
          <t>N/A</t>
        </is>
      </c>
      <c r="L10664" s="10" t="inlineStr">
        <is>
          <t>Kế Toán Xây Dựng, Kế Toán Tổng Hợp, Kế Toán Dự Án, Cost Control, Financial Reporting</t>
        </is>
      </c>
      <c r="M10664" s="10" t="inlineStr">
        <is>
          <t>Bonus, Healthcare Plan, Training</t>
        </is>
      </c>
      <c r="N10664" s="11">
        <f>HYPERLINK("https://www.vietnamworks.com/ke-toan-tong-hop-upto-25tr-2022922-jv","Xem chi tiết")</f>
        <v/>
      </c>
      <c r="O10664" s="10" t="n"/>
    </row>
    <row r="10665">
      <c r="B10665" s="7" t="n">
        <v>10663</v>
      </c>
      <c r="C10665" t="inlineStr">
        <is>
          <t>Affiliate Team Leader</t>
        </is>
      </c>
      <c r="D10665" t="inlineStr">
        <is>
          <t>Công Ty TNHH Onpoint</t>
        </is>
      </c>
      <c r="E10665" t="inlineStr">
        <is>
          <t>Thương lượng</t>
        </is>
      </c>
      <c r="F10665" t="inlineStr">
        <is>
          <t>Hồ Chí Minh</t>
        </is>
      </c>
      <c r="G10665" t="inlineStr">
        <is>
          <t>Nhân viên</t>
        </is>
      </c>
      <c r="H10665" t="inlineStr">
        <is>
          <t>13/03/2026</t>
        </is>
      </c>
      <c r="I10665" t="inlineStr">
        <is>
          <t>12/04/2026</t>
        </is>
      </c>
      <c r="J10665" t="inlineStr">
        <is>
          <t>17/03/2026</t>
        </is>
      </c>
      <c r="K10665" t="inlineStr">
        <is>
          <t>N/A</t>
        </is>
      </c>
      <c r="L10665" t="inlineStr">
        <is>
          <t>Affiliate Marketing, Digital Marketing, Team Management, Data Analysis, Communication</t>
        </is>
      </c>
      <c r="M10665" t="inlineStr">
        <is>
          <t>Bonus, Healthcare Plan, Paid Leave, Laptop, Others</t>
        </is>
      </c>
      <c r="N10665" s="8">
        <f>HYPERLINK("https://www.vietnamworks.com/affiliate-team-leader-2022938-jv","Xem chi tiết")</f>
        <v/>
      </c>
    </row>
    <row r="10666">
      <c r="B10666" s="9" t="n">
        <v>10664</v>
      </c>
      <c r="C10666" s="10" t="inlineStr">
        <is>
          <t>International Sales Executive (Thu Nhập Up to $1200 - Nghỉ T7,cn)</t>
        </is>
      </c>
      <c r="D10666" s="10" t="inlineStr">
        <is>
          <t>Pure Group Production &amp; Trading Co.,ltd</t>
        </is>
      </c>
      <c r="E10666" s="10" t="inlineStr">
        <is>
          <t>$$ 800-1,200 /tháng</t>
        </is>
      </c>
      <c r="F10666" s="10" t="inlineStr">
        <is>
          <t>Hà Nội</t>
        </is>
      </c>
      <c r="G10666" s="10" t="inlineStr">
        <is>
          <t>Nhân viên</t>
        </is>
      </c>
      <c r="H10666" s="10" t="inlineStr">
        <is>
          <t>13/03/2026</t>
        </is>
      </c>
      <c r="I10666" s="10" t="inlineStr">
        <is>
          <t>12/04/2026</t>
        </is>
      </c>
      <c r="J10666" s="10" t="inlineStr">
        <is>
          <t>17/03/2026</t>
        </is>
      </c>
      <c r="K10666" s="10" t="inlineStr">
        <is>
          <t>N/A</t>
        </is>
      </c>
      <c r="L10666" s="10" t="inlineStr">
        <is>
          <t>Kinh Doanh Quốc Tế, Theo Dõi Đơn Hàng, Thủ Tục Hải Quan, Tìm Kiếm Khách Hàng</t>
        </is>
      </c>
      <c r="M10666" s="10" t="inlineStr">
        <is>
          <t>Healthcare Plan, Paid Leave, Training, Travel Opportunities, Others</t>
        </is>
      </c>
      <c r="N10666" s="11">
        <f>HYPERLINK("https://www.vietnamworks.com/international-sales-executive-thu-nhap-up-to-dollar1200-nghi-t7cn-2022943-jv","Xem chi tiết")</f>
        <v/>
      </c>
      <c r="O10666" s="10" t="n"/>
    </row>
    <row r="10667">
      <c r="B10667" s="7" t="n">
        <v>10665</v>
      </c>
      <c r="C10667" t="inlineStr">
        <is>
          <t>Nhân Viên Văn Thư</t>
        </is>
      </c>
      <c r="D10667" t="inlineStr">
        <is>
          <t>Tổng Công Ty Thương Mại Kỹ Thuật Và Đầu Tư – CTCP</t>
        </is>
      </c>
      <c r="E10667" t="inlineStr">
        <is>
          <t>Từ $ 100 /tháng</t>
        </is>
      </c>
      <c r="F10667" t="inlineStr">
        <is>
          <t>Hồ Chí Minh</t>
        </is>
      </c>
      <c r="G10667" t="inlineStr">
        <is>
          <t>Nhân viên</t>
        </is>
      </c>
      <c r="H10667" t="inlineStr">
        <is>
          <t>13/03/2026</t>
        </is>
      </c>
      <c r="I10667" t="inlineStr">
        <is>
          <t>12/04/2026</t>
        </is>
      </c>
      <c r="J10667" t="inlineStr">
        <is>
          <t>17/03/2026</t>
        </is>
      </c>
      <c r="K10667" t="inlineStr">
        <is>
          <t>N/A</t>
        </is>
      </c>
      <c r="L10667" t="inlineStr">
        <is>
          <t>Văn Thư Lưu Trữ, Văn Thư Hành Chính</t>
        </is>
      </c>
      <c r="M10667" t="inlineStr">
        <is>
          <t>Bonus, Healthcare Plan, Awards</t>
        </is>
      </c>
      <c r="N10667" s="8">
        <f>HYPERLINK("https://www.vietnamworks.com/nhan-vien-van-thu--2022947-jv","Xem chi tiết")</f>
        <v/>
      </c>
    </row>
    <row r="10668">
      <c r="B10668" s="9" t="n">
        <v>10666</v>
      </c>
      <c r="C10668" s="10" t="inlineStr">
        <is>
          <t>Sales Engineer (Hà Nội &amp; HCM) - Lương Cứng Upto 20 Triệu + Hoa Hồng Hấp Dẫn</t>
        </is>
      </c>
      <c r="D10668" s="10" t="inlineStr">
        <is>
          <t>Công Ty Cổ Phần Đầu Tư Và Phát Triển Thương Mại Quốc Tế Orgen</t>
        </is>
      </c>
      <c r="E10668" s="10" t="inlineStr">
        <is>
          <t>Từ $ 1,000 /tháng</t>
        </is>
      </c>
      <c r="F10668" s="10" t="inlineStr">
        <is>
          <t>Hà Nội, Hồ Chí Minh</t>
        </is>
      </c>
      <c r="G10668" s="10" t="inlineStr">
        <is>
          <t>Nhân viên</t>
        </is>
      </c>
      <c r="H10668" s="10" t="inlineStr">
        <is>
          <t>13/03/2026</t>
        </is>
      </c>
      <c r="I10668" s="10" t="inlineStr">
        <is>
          <t>12/04/2026</t>
        </is>
      </c>
      <c r="J10668" s="10" t="inlineStr">
        <is>
          <t>17/03/2026</t>
        </is>
      </c>
      <c r="K10668" s="10" t="inlineStr">
        <is>
          <t>N/A</t>
        </is>
      </c>
      <c r="L10668" s="10" t="inlineStr">
        <is>
          <t>Bán Hàng Kỹ Thuật, Sales Engineering, Kinh Doanh, Cơ Khí, Bán Hàng</t>
        </is>
      </c>
      <c r="M10668" s="10" t="inlineStr">
        <is>
          <t>Bonus, Healthcare Plan, Others</t>
        </is>
      </c>
      <c r="N10668" s="11">
        <f>HYPERLINK("https://www.vietnamworks.com/sales-engineer-ha-noi-hcm-luong-cung-upto-20-trieu-hoa-hong-hap-dan-2022962-jv","Xem chi tiết")</f>
        <v/>
      </c>
      <c r="O10668" s="10" t="n"/>
    </row>
    <row r="10669">
      <c r="B10669" s="7" t="n">
        <v>10667</v>
      </c>
      <c r="C10669" t="inlineStr">
        <is>
          <t>Nhân Viên Kinh Doanh Phát Triển Thị Trường (LCB 15-20Tr+)</t>
        </is>
      </c>
      <c r="D10669" t="inlineStr">
        <is>
          <t>Công Ty Cổ Phần Phong Liên</t>
        </is>
      </c>
      <c r="E10669" t="inlineStr">
        <is>
          <t>15tr-20tr ₫/tháng</t>
        </is>
      </c>
      <c r="F10669" t="inlineStr">
        <is>
          <t>Hà Nội</t>
        </is>
      </c>
      <c r="G10669" t="inlineStr">
        <is>
          <t>Nhân viên</t>
        </is>
      </c>
      <c r="H10669" t="inlineStr">
        <is>
          <t>13/03/2026</t>
        </is>
      </c>
      <c r="I10669" t="inlineStr">
        <is>
          <t>12/04/2026</t>
        </is>
      </c>
      <c r="J10669" t="inlineStr">
        <is>
          <t>17/03/2026</t>
        </is>
      </c>
      <c r="K10669" t="inlineStr">
        <is>
          <t>N/A</t>
        </is>
      </c>
      <c r="L10669" t="inlineStr">
        <is>
          <t>Kinh Doanh Thị Trường, Phát Triển Thị Trường, Chăm Sóc Khách Hàng, Quản Lý Đại Lý, Giải Pháp Doanh Số</t>
        </is>
      </c>
      <c r="M10669" t="inlineStr">
        <is>
          <t>Bonus, Healthcare Plan</t>
        </is>
      </c>
      <c r="N10669" s="8">
        <f>HYPERLINK("https://www.vietnamworks.com/nhan-vien-kinh-doanh-phat-trien-thi-truong-lcb-15-20tr-2022963-jv","Xem chi tiết")</f>
        <v/>
      </c>
    </row>
    <row r="10670">
      <c r="B10670" s="9" t="n">
        <v>10668</v>
      </c>
      <c r="C10670" s="10" t="inlineStr">
        <is>
          <t>Business Analyst</t>
        </is>
      </c>
      <c r="D10670" s="10" t="inlineStr">
        <is>
          <t>Công Ty Cổ Phần Metub Việt Nam</t>
        </is>
      </c>
      <c r="E10670" s="10" t="inlineStr">
        <is>
          <t>Thương lượng</t>
        </is>
      </c>
      <c r="F10670" s="10" t="inlineStr">
        <is>
          <t>Hồ Chí Minh</t>
        </is>
      </c>
      <c r="G10670" s="10" t="inlineStr">
        <is>
          <t>Nhân viên</t>
        </is>
      </c>
      <c r="H10670" s="10" t="inlineStr">
        <is>
          <t>13/03/2026</t>
        </is>
      </c>
      <c r="I10670" s="10" t="inlineStr">
        <is>
          <t>12/04/2026</t>
        </is>
      </c>
      <c r="J10670" s="10" t="inlineStr">
        <is>
          <t>17/03/2026</t>
        </is>
      </c>
      <c r="K10670" s="10" t="inlineStr">
        <is>
          <t>N/A</t>
        </is>
      </c>
      <c r="L10670" s="10" t="inlineStr">
        <is>
          <t>Analytical Skills, Business Analysis, Digital Marketing, Ecommerce Platforms, Stakeholder Management</t>
        </is>
      </c>
      <c r="M10670" s="10" t="inlineStr">
        <is>
          <t>Bonus, Healthcare Plan, Paid Leave, Team Activities, Others</t>
        </is>
      </c>
      <c r="N10670" s="11">
        <f>HYPERLINK("https://www.vietnamworks.com/business-analyst-2022948-jv","Xem chi tiết")</f>
        <v/>
      </c>
      <c r="O10670" s="10" t="n"/>
    </row>
    <row r="10671">
      <c r="B10671" s="7" t="n">
        <v>10669</v>
      </c>
      <c r="C10671" t="inlineStr">
        <is>
          <t>Nhân Viên Tuyển Dụng (Recruitment Staff)</t>
        </is>
      </c>
      <c r="D10671" t="inlineStr">
        <is>
          <t>Japfa Comfeed Vietnam Ltd</t>
        </is>
      </c>
      <c r="E10671" t="inlineStr">
        <is>
          <t>Thương lượng</t>
        </is>
      </c>
      <c r="F10671" t="inlineStr">
        <is>
          <t>Đồng Nai, Vĩnh Phúc</t>
        </is>
      </c>
      <c r="G10671" t="inlineStr">
        <is>
          <t>Nhân viên</t>
        </is>
      </c>
      <c r="H10671" t="inlineStr">
        <is>
          <t>13/03/2026</t>
        </is>
      </c>
      <c r="I10671" t="inlineStr">
        <is>
          <t>12/04/2026</t>
        </is>
      </c>
      <c r="J10671" t="inlineStr">
        <is>
          <t>17/03/2026</t>
        </is>
      </c>
      <c r="K10671" t="inlineStr">
        <is>
          <t>N/A</t>
        </is>
      </c>
      <c r="L10671" t="inlineStr">
        <is>
          <t>Tuyển Dụng, Nhân Sự, Recruitment, HR</t>
        </is>
      </c>
      <c r="M10671" t="inlineStr">
        <is>
          <t>Bonus, Healthcare Plan, Transportation</t>
        </is>
      </c>
      <c r="N10671" s="8">
        <f>HYPERLINK("https://www.vietnamworks.com/nhan-vien-tuyen-dung-recruitment-staff--2022951-jv","Xem chi tiết")</f>
        <v/>
      </c>
    </row>
    <row r="10672">
      <c r="B10672" s="9" t="n">
        <v>10670</v>
      </c>
      <c r="C10672" s="10" t="inlineStr">
        <is>
          <t>Thư Ký Tổng Giám Đốc</t>
        </is>
      </c>
      <c r="D10672" s="10" t="inlineStr">
        <is>
          <t>Công Ty Cổ Phần Inox Diệu Thịnh</t>
        </is>
      </c>
      <c r="E10672" s="10" t="inlineStr">
        <is>
          <t>$$ 680-800 /tháng</t>
        </is>
      </c>
      <c r="F10672" s="10" t="inlineStr">
        <is>
          <t>Tây Ninh</t>
        </is>
      </c>
      <c r="G10672" s="10" t="inlineStr">
        <is>
          <t>Nhân viên</t>
        </is>
      </c>
      <c r="H10672" s="10" t="inlineStr">
        <is>
          <t>13/03/2026</t>
        </is>
      </c>
      <c r="I10672" s="10" t="inlineStr">
        <is>
          <t>12/04/2026</t>
        </is>
      </c>
      <c r="J10672" s="10" t="inlineStr">
        <is>
          <t>17/03/2026</t>
        </is>
      </c>
      <c r="K10672" s="10" t="inlineStr">
        <is>
          <t>N/A</t>
        </is>
      </c>
      <c r="L10672" s="10" t="inlineStr">
        <is>
          <t>Trợ Lý, Nghiệp Vụ Thư Ký, Tiếng Anh, Hành Chính Thư Ký</t>
        </is>
      </c>
      <c r="M10672" s="10" t="inlineStr">
        <is>
          <t>Bonus, Healthcare Plan, Training</t>
        </is>
      </c>
      <c r="N10672" s="11">
        <f>HYPERLINK("https://www.vietnamworks.com/thu-ky-tong-giam-doc--2022950-jv","Xem chi tiết")</f>
        <v/>
      </c>
      <c r="O10672" s="10" t="n"/>
    </row>
    <row r="10673">
      <c r="B10673" s="7" t="n">
        <v>10671</v>
      </c>
      <c r="C10673" t="inlineStr">
        <is>
          <t>Chuyên Viên Kinh Doanh Dự Án Nhà Mạng</t>
        </is>
      </c>
      <c r="D10673" t="inlineStr">
        <is>
          <t>Công Ty Cổ Phần Công Nghệ Công Nghiệp Bưu Chính Viễn Thông - VNPT Technology</t>
        </is>
      </c>
      <c r="E10673" t="inlineStr">
        <is>
          <t>200tr-500tr ₫/năm</t>
        </is>
      </c>
      <c r="F10673" t="inlineStr">
        <is>
          <t>Hà Nội</t>
        </is>
      </c>
      <c r="G10673" t="inlineStr">
        <is>
          <t>Nhân viên</t>
        </is>
      </c>
      <c r="H10673" t="inlineStr">
        <is>
          <t>13/03/2026</t>
        </is>
      </c>
      <c r="I10673" t="inlineStr">
        <is>
          <t>12/04/2026</t>
        </is>
      </c>
      <c r="J10673" t="inlineStr">
        <is>
          <t>17/03/2026</t>
        </is>
      </c>
      <c r="K10673" t="inlineStr">
        <is>
          <t>N/A</t>
        </is>
      </c>
      <c r="L10673" t="inlineStr">
        <is>
          <t>Dự Thảo Hợp Đồng, Kinh Doanh Phát Triển Dự Án, Kỹ năng giao tiếp, Lập Kế Hoạch</t>
        </is>
      </c>
      <c r="M10673" t="inlineStr">
        <is>
          <t>Bonus, Healthcare Plan, Training, Laptop, Team Activities, Others</t>
        </is>
      </c>
      <c r="N10673" s="8">
        <f>HYPERLINK("https://www.vietnamworks.com/chuyen-vien-kinh-doanh-du-an-nha-mang-2022953-jv","Xem chi tiết")</f>
        <v/>
      </c>
    </row>
    <row r="10674">
      <c r="B10674" s="9" t="n">
        <v>10672</v>
      </c>
      <c r="C10674" s="10" t="inlineStr">
        <is>
          <t>Kế Toán Tổng Hợp | General Accountant</t>
        </is>
      </c>
      <c r="D10674" s="10" t="inlineStr">
        <is>
          <t>Công Ty Cổ Phần Tư Vấn Xây Dựng Điện 2 (PECC2)</t>
        </is>
      </c>
      <c r="E10674" s="10" t="inlineStr">
        <is>
          <t>15tr-18tr ₫/tháng</t>
        </is>
      </c>
      <c r="F10674" s="10" t="inlineStr">
        <is>
          <t>Hồ Chí Minh</t>
        </is>
      </c>
      <c r="G10674" s="10" t="inlineStr">
        <is>
          <t>Nhân viên</t>
        </is>
      </c>
      <c r="H10674" s="10" t="inlineStr">
        <is>
          <t>13/03/2026</t>
        </is>
      </c>
      <c r="I10674" s="10" t="inlineStr">
        <is>
          <t>12/04/2026</t>
        </is>
      </c>
      <c r="J10674" s="10" t="inlineStr">
        <is>
          <t>17/03/2026</t>
        </is>
      </c>
      <c r="K10674" s="10" t="inlineStr">
        <is>
          <t>N/A</t>
        </is>
      </c>
      <c r="L10674" s="10" t="inlineStr">
        <is>
          <t>Tài Chính, Kiểm Toán, Kế Toán Tổng Hợp, Báo Cáo Tài Chính, Kế Toán</t>
        </is>
      </c>
      <c r="M10674" s="10" t="inlineStr">
        <is>
          <t>Bonus, Healthcare Plan, Training, Team Activities, Others</t>
        </is>
      </c>
      <c r="N10674" s="11">
        <f>HYPERLINK("https://www.vietnamworks.com/ke-toan-tong-hop-general-accountant--2022946-jv","Xem chi tiết")</f>
        <v/>
      </c>
      <c r="O10674" s="10" t="n"/>
    </row>
    <row r="10675">
      <c r="B10675" s="7" t="n">
        <v>10673</v>
      </c>
      <c r="C10675" t="inlineStr">
        <is>
          <t>Nhân Viên Kinh Doanh Phụ Gia Thực Phẩm (Technical Sales - Food Additives)</t>
        </is>
      </c>
      <c r="D10675" t="inlineStr">
        <is>
          <t>Công Ty TNHH Công Nghệ Tiềm Năng</t>
        </is>
      </c>
      <c r="E10675" t="inlineStr">
        <is>
          <t>Thương lượng</t>
        </is>
      </c>
      <c r="F10675" t="inlineStr">
        <is>
          <t>Hồ Chí Minh</t>
        </is>
      </c>
      <c r="G10675" t="inlineStr">
        <is>
          <t>Nhân viên</t>
        </is>
      </c>
      <c r="H10675" t="inlineStr">
        <is>
          <t>13/03/2026</t>
        </is>
      </c>
      <c r="I10675" t="inlineStr">
        <is>
          <t>12/04/2026</t>
        </is>
      </c>
      <c r="J10675" t="inlineStr">
        <is>
          <t>17/03/2026</t>
        </is>
      </c>
      <c r="K10675" t="inlineStr">
        <is>
          <t>N/A</t>
        </is>
      </c>
      <c r="L10675" t="inlineStr">
        <is>
          <t>Chăm Sóc Khách Hàng, Kỹ năng bán hàng, Phụ Gia Thực Phẩm, Thuyết Phục, Tư Vấn Bán Hàng</t>
        </is>
      </c>
      <c r="M10675" t="inlineStr">
        <is>
          <t>Bonus, Healthcare Plan, Paid Leave, Training, Travel Opportunities, Others</t>
        </is>
      </c>
      <c r="N10675" s="8">
        <f>HYPERLINK("https://www.vietnamworks.com/nhan-vien-kinh-doanh-phu-gia-thuc-pham-technical-sales-food-additives-2022964-jv","Xem chi tiết")</f>
        <v/>
      </c>
    </row>
    <row r="10676">
      <c r="B10676" s="9" t="n">
        <v>10674</v>
      </c>
      <c r="C10676" s="10" t="inlineStr">
        <is>
          <t>Import Pricing (Thu Nhập Từ 12 -15Tr)</t>
        </is>
      </c>
      <c r="D10676" s="10" t="inlineStr">
        <is>
          <t>CÔNG TY TNHH SEAGULL CARGO</t>
        </is>
      </c>
      <c r="E10676" s="10" t="inlineStr">
        <is>
          <t>12tr-15tr ₫/tháng</t>
        </is>
      </c>
      <c r="F10676" s="10" t="inlineStr">
        <is>
          <t>Hồ Chí Minh</t>
        </is>
      </c>
      <c r="G10676" s="10" t="inlineStr">
        <is>
          <t>Nhân viên</t>
        </is>
      </c>
      <c r="H10676" s="10" t="inlineStr">
        <is>
          <t>13/03/2026</t>
        </is>
      </c>
      <c r="I10676" s="10" t="inlineStr">
        <is>
          <t>12/04/2026</t>
        </is>
      </c>
      <c r="J10676" s="10" t="inlineStr">
        <is>
          <t>17/03/2026</t>
        </is>
      </c>
      <c r="K10676" s="10" t="inlineStr">
        <is>
          <t>N/A</t>
        </is>
      </c>
      <c r="L10676" s="10" t="inlineStr">
        <is>
          <t>Duy Trì Mối Quan Hệ, Mở Rộng Đại Lý, Tiếng Anh, Tư Vấn Giải Pháp, Đàm Phán</t>
        </is>
      </c>
      <c r="M10676" s="10" t="inlineStr">
        <is>
          <t>Healthcare Plan, Awards, Travel Opportunities, Others</t>
        </is>
      </c>
      <c r="N10676" s="11">
        <f>HYPERLINK("https://www.vietnamworks.com/import-pricing-thu-nhap-tu-12-15tr-2022965-jv","Xem chi tiết")</f>
        <v/>
      </c>
      <c r="O10676" s="10" t="n"/>
    </row>
    <row r="10677">
      <c r="B10677" s="7" t="n">
        <v>10675</v>
      </c>
      <c r="C10677" t="inlineStr">
        <is>
          <t>Data Engineer</t>
        </is>
      </c>
      <c r="D10677" t="inlineStr">
        <is>
          <t>Japfa Comfeed Vietnam Ltd</t>
        </is>
      </c>
      <c r="E10677" t="inlineStr">
        <is>
          <t>Thương lượng</t>
        </is>
      </c>
      <c r="F10677" t="inlineStr">
        <is>
          <t>Long An</t>
        </is>
      </c>
      <c r="G10677" t="inlineStr">
        <is>
          <t>Nhân viên</t>
        </is>
      </c>
      <c r="H10677" t="inlineStr">
        <is>
          <t>13/03/2026</t>
        </is>
      </c>
      <c r="I10677" t="inlineStr">
        <is>
          <t>12/04/2026</t>
        </is>
      </c>
      <c r="J10677" t="inlineStr">
        <is>
          <t>17/03/2026</t>
        </is>
      </c>
      <c r="K10677" t="inlineStr">
        <is>
          <t>N/A</t>
        </is>
      </c>
      <c r="L10677" t="inlineStr">
        <is>
          <t>English Communication, Data Engineering, Data Modeling, Cloud Platforms, BI Tools</t>
        </is>
      </c>
      <c r="M10677" t="inlineStr">
        <is>
          <t>Bonus, Healthcare Plan, Transportation</t>
        </is>
      </c>
      <c r="N10677" s="8">
        <f>HYPERLINK("https://www.vietnamworks.com/data-engineer--2022954-jv","Xem chi tiết")</f>
        <v/>
      </c>
    </row>
    <row r="10678">
      <c r="B10678" s="9" t="n">
        <v>10676</v>
      </c>
      <c r="C10678" s="10" t="inlineStr">
        <is>
          <t>[Tuyển Gấp] Nhân Viên Kỹ Thuật</t>
        </is>
      </c>
      <c r="D10678" s="10" t="inlineStr">
        <is>
          <t>Công Ty Cổ Phần Đầu Tư Và Phát Triển Thương Mại Quốc Tế Orgen</t>
        </is>
      </c>
      <c r="E10678" s="10" t="inlineStr">
        <is>
          <t>12tr-15tr ₫/tháng</t>
        </is>
      </c>
      <c r="F10678" s="10" t="inlineStr">
        <is>
          <t>Hồ Chí Minh</t>
        </is>
      </c>
      <c r="G10678" s="10" t="inlineStr">
        <is>
          <t>Nhân viên</t>
        </is>
      </c>
      <c r="H10678" s="10" t="inlineStr">
        <is>
          <t>13/03/2026</t>
        </is>
      </c>
      <c r="I10678" s="10" t="inlineStr">
        <is>
          <t>12/04/2026</t>
        </is>
      </c>
      <c r="J10678" s="10" t="inlineStr">
        <is>
          <t>17/03/2026</t>
        </is>
      </c>
      <c r="K10678" s="10" t="inlineStr">
        <is>
          <t>N/A</t>
        </is>
      </c>
      <c r="L10678" s="10" t="inlineStr">
        <is>
          <t>Cơ Khí, Cơ Điện Tử, Điện Lạnh, Điện Lạnh Công Nghiệp, Điện tử</t>
        </is>
      </c>
      <c r="M10678" s="10" t="inlineStr">
        <is>
          <t>Bonus, Healthcare Plan, Paid Leave</t>
        </is>
      </c>
      <c r="N10678" s="11">
        <f>HYPERLINK("https://www.vietnamworks.com/tuyen-gap-nhan-vien-ky-thuat--2022958-jv","Xem chi tiết")</f>
        <v/>
      </c>
      <c r="O10678" s="10" t="n"/>
    </row>
    <row r="10679">
      <c r="B10679" s="7" t="n">
        <v>10677</v>
      </c>
      <c r="C10679" t="inlineStr">
        <is>
          <t>Kế Toán Tổng Hợp / Kế Toán Nội Bộ</t>
        </is>
      </c>
      <c r="D10679" t="inlineStr">
        <is>
          <t>Công ty cổ phần đầu tư và thương mại Minh Phú Việt Nam</t>
        </is>
      </c>
      <c r="E10679" t="inlineStr">
        <is>
          <t>11tr-15tr ₫/tháng</t>
        </is>
      </c>
      <c r="F10679" t="inlineStr">
        <is>
          <t>Hà Nội</t>
        </is>
      </c>
      <c r="G10679" t="inlineStr">
        <is>
          <t>Nhân viên</t>
        </is>
      </c>
      <c r="H10679" t="inlineStr">
        <is>
          <t>13/03/2026</t>
        </is>
      </c>
      <c r="I10679" t="inlineStr">
        <is>
          <t>12/04/2026</t>
        </is>
      </c>
      <c r="J10679" t="inlineStr">
        <is>
          <t>17/03/2026</t>
        </is>
      </c>
      <c r="K10679" t="inlineStr">
        <is>
          <t>N/A</t>
        </is>
      </c>
      <c r="L10679" t="inlineStr">
        <is>
          <t>Excel, Kế Toán Nội Bộ, Kế Toán Tổng Hợp, Misa, Tổ Chức Thi Công</t>
        </is>
      </c>
      <c r="M10679" t="inlineStr">
        <is>
          <t>Bonus, Training, Others</t>
        </is>
      </c>
      <c r="N10679" s="8">
        <f>HYPERLINK("https://www.vietnamworks.com/ke-toan-tong-hop-ke-toan-noi-bo-2022952-jv","Xem chi tiết")</f>
        <v/>
      </c>
    </row>
    <row r="10680">
      <c r="B10680" s="9" t="n">
        <v>10678</v>
      </c>
      <c r="C10680" s="10" t="inlineStr">
        <is>
          <t>Trưởng/phó Phòng Đào Tạo</t>
        </is>
      </c>
      <c r="D10680" s="10" t="inlineStr">
        <is>
          <t>Tổng Công Ty Bảo Hiểm BIDV (BIC)</t>
        </is>
      </c>
      <c r="E10680" s="10" t="inlineStr">
        <is>
          <t>Thương lượng</t>
        </is>
      </c>
      <c r="F10680" s="10" t="inlineStr">
        <is>
          <t>Hà Nội</t>
        </is>
      </c>
      <c r="G10680" s="10" t="inlineStr">
        <is>
          <t>Trưởng phòng</t>
        </is>
      </c>
      <c r="H10680" s="10" t="inlineStr">
        <is>
          <t>13/03/2026</t>
        </is>
      </c>
      <c r="I10680" s="10" t="inlineStr">
        <is>
          <t>12/04/2026</t>
        </is>
      </c>
      <c r="J10680" s="10" t="inlineStr">
        <is>
          <t>17/03/2026</t>
        </is>
      </c>
      <c r="K10680" s="10" t="inlineStr">
        <is>
          <t>N/A</t>
        </is>
      </c>
      <c r="L10680" s="10" t="inlineStr">
        <is>
          <t>Đào Tạo, Training Support, Training Modules, Training Organizing, Đào Tạo Nhân Viên</t>
        </is>
      </c>
      <c r="M10680" s="10" t="inlineStr">
        <is>
          <t>Bonus, Healthcare Plan, Training</t>
        </is>
      </c>
      <c r="N10680" s="11">
        <f>HYPERLINK("https://www.vietnamworks.com/truong-pho-phong-dao-tao--2022968-jv","Xem chi tiết")</f>
        <v/>
      </c>
      <c r="O10680" s="10" t="n"/>
    </row>
    <row r="10681">
      <c r="B10681" s="7" t="n">
        <v>10679</v>
      </c>
      <c r="C10681" t="inlineStr">
        <is>
          <t>Nhân Viên Sale Nguyên Liệu Polyurethane (Hóa Chất PU)</t>
        </is>
      </c>
      <c r="D10681" t="inlineStr">
        <is>
          <t>Công ty TNHH Quốc Tế Rainbow (Việt Nam)</t>
        </is>
      </c>
      <c r="E10681" t="inlineStr">
        <is>
          <t>Từ 15tr ₫/tháng</t>
        </is>
      </c>
      <c r="F10681" t="inlineStr">
        <is>
          <t>Hồ Chí Minh</t>
        </is>
      </c>
      <c r="G10681" t="inlineStr">
        <is>
          <t>Nhân viên</t>
        </is>
      </c>
      <c r="H10681" t="inlineStr">
        <is>
          <t>13/03/2026</t>
        </is>
      </c>
      <c r="I10681" t="inlineStr">
        <is>
          <t>12/04/2026</t>
        </is>
      </c>
      <c r="J10681" t="inlineStr">
        <is>
          <t>17/03/2026</t>
        </is>
      </c>
      <c r="K10681" t="inlineStr">
        <is>
          <t>N/A</t>
        </is>
      </c>
      <c r="L10681" t="inlineStr">
        <is>
          <t>Bán Hàng, Tìm Kiếm Khách Hàng, Sales, Hóa Chất, Kinh Doanh</t>
        </is>
      </c>
      <c r="M10681" t="inlineStr">
        <is>
          <t>Bonus, Healthcare Plan, Training, Canteen, Others</t>
        </is>
      </c>
      <c r="N10681" s="8">
        <f>HYPERLINK("https://www.vietnamworks.com/nhan-vien-sale-nguyen-lieu-polyurethane-hoa-chat-pu-2022945-jv","Xem chi tiết")</f>
        <v/>
      </c>
    </row>
    <row r="10682">
      <c r="B10682" s="9" t="n">
        <v>10680</v>
      </c>
      <c r="C10682" s="10" t="inlineStr">
        <is>
          <t>Nhân Viên Kế Toán Tổng Hợp</t>
        </is>
      </c>
      <c r="D10682" s="10" t="inlineStr">
        <is>
          <t>Công ty TNHH vàng bạc đá quý Phú Quý</t>
        </is>
      </c>
      <c r="E10682" s="10" t="inlineStr">
        <is>
          <t>10tr-15tr ₫/tháng</t>
        </is>
      </c>
      <c r="F10682" s="10" t="inlineStr">
        <is>
          <t>Hưng Yên</t>
        </is>
      </c>
      <c r="G10682" s="10" t="inlineStr">
        <is>
          <t>Nhân viên</t>
        </is>
      </c>
      <c r="H10682" s="10" t="inlineStr">
        <is>
          <t>13/03/2026</t>
        </is>
      </c>
      <c r="I10682" s="10" t="inlineStr">
        <is>
          <t>12/04/2026</t>
        </is>
      </c>
      <c r="J10682" s="10" t="inlineStr">
        <is>
          <t>17/03/2026</t>
        </is>
      </c>
      <c r="K10682" s="10" t="inlineStr">
        <is>
          <t>N/A</t>
        </is>
      </c>
      <c r="L10682" s="10" t="inlineStr">
        <is>
          <t>Kế Toán Tổng Hợp, Phân Tích Tài Chính, Kiểm Soát Công Nợ, Báo Cáo Tài Chính, General Accounting</t>
        </is>
      </c>
      <c r="M10682" s="10" t="inlineStr">
        <is>
          <t>Bonus, Healthcare Plan, Others</t>
        </is>
      </c>
      <c r="N10682" s="11">
        <f>HYPERLINK("https://www.vietnamworks.com/nhan-vien-ke-toan-tong-hop-2022959-jv","Xem chi tiết")</f>
        <v/>
      </c>
      <c r="O10682" s="10" t="n"/>
    </row>
    <row r="10683">
      <c r="B10683" s="7" t="n">
        <v>10681</v>
      </c>
      <c r="C10683" t="inlineStr">
        <is>
          <t>Legal Specialist (Contract Management)</t>
        </is>
      </c>
      <c r="D10683" t="inlineStr">
        <is>
          <t>Crossian Việt Nam</t>
        </is>
      </c>
      <c r="E10683" t="inlineStr">
        <is>
          <t>Thương lượng</t>
        </is>
      </c>
      <c r="F10683" t="inlineStr">
        <is>
          <t>Hà Nội</t>
        </is>
      </c>
      <c r="G10683" t="inlineStr">
        <is>
          <t>Nhân viên</t>
        </is>
      </c>
      <c r="H10683" t="inlineStr">
        <is>
          <t>13/03/2026</t>
        </is>
      </c>
      <c r="I10683" t="inlineStr">
        <is>
          <t>12/04/2026</t>
        </is>
      </c>
      <c r="J10683" t="inlineStr">
        <is>
          <t>17/03/2026</t>
        </is>
      </c>
      <c r="K10683" t="inlineStr">
        <is>
          <t>N/A</t>
        </is>
      </c>
      <c r="L10683" t="inlineStr">
        <is>
          <t>Legal Support, Contract Review, Analytical Skills, Legal Risk Analysis, Commercial Law</t>
        </is>
      </c>
      <c r="M10683" t="inlineStr">
        <is>
          <t>Bonus, Paid Leave, Team Activities</t>
        </is>
      </c>
      <c r="N10683" s="8">
        <f>HYPERLINK("https://www.vietnamworks.com/legal-specialist-contract-management-2022944-jv","Xem chi tiết")</f>
        <v/>
      </c>
    </row>
    <row r="10684">
      <c r="B10684" s="9" t="n">
        <v>10682</v>
      </c>
      <c r="C10684" s="10" t="inlineStr">
        <is>
          <t>Trưởng Phòng Kho Vận - Giao Hàng Toàn Quốc</t>
        </is>
      </c>
      <c r="D10684" s="10" t="inlineStr">
        <is>
          <t>CÔNG TY CỔ PHẦN PHÂN PHỐI QUỐC TẾ GENEX</t>
        </is>
      </c>
      <c r="E10684" s="10" t="inlineStr">
        <is>
          <t>25tr-27tr ₫/tháng</t>
        </is>
      </c>
      <c r="F10684" s="10" t="inlineStr">
        <is>
          <t>Hà Nội</t>
        </is>
      </c>
      <c r="G10684" s="10" t="inlineStr">
        <is>
          <t>Trưởng phòng</t>
        </is>
      </c>
      <c r="H10684" s="10" t="inlineStr">
        <is>
          <t>13/03/2026</t>
        </is>
      </c>
      <c r="I10684" s="10" t="inlineStr">
        <is>
          <t>12/04/2026</t>
        </is>
      </c>
      <c r="J10684" s="10" t="inlineStr">
        <is>
          <t>17/03/2026</t>
        </is>
      </c>
      <c r="K10684" s="10" t="inlineStr">
        <is>
          <t>N/A</t>
        </is>
      </c>
      <c r="L10684" s="10" t="inlineStr">
        <is>
          <t>Quản Lý Kho, Logistics, Tin Học Văn Phòng, Quản Lý Giao Hàng, Quản Lý Nhân Sự</t>
        </is>
      </c>
      <c r="M10684" s="10" t="inlineStr">
        <is>
          <t>Bonus, Healthcare Plan, Paid Leave, Others</t>
        </is>
      </c>
      <c r="N10684" s="11">
        <f>HYPERLINK("https://www.vietnamworks.com/truong-phong-kho-van-giao-hang-toan-quoc-2022956-jv","Xem chi tiết")</f>
        <v/>
      </c>
      <c r="O10684" s="10" t="n"/>
    </row>
    <row r="10685">
      <c r="B10685" s="7" t="n">
        <v>10683</v>
      </c>
      <c r="C10685" t="inlineStr">
        <is>
          <t>Country Maintenance Manager</t>
        </is>
      </c>
      <c r="D10685" t="inlineStr">
        <is>
          <t>Vietnam Intersnack Cashew Co., Ltd</t>
        </is>
      </c>
      <c r="E10685" t="inlineStr">
        <is>
          <t>Thương lượng</t>
        </is>
      </c>
      <c r="F10685" t="inlineStr">
        <is>
          <t>Tây Ninh, Long An, Bình Thuận</t>
        </is>
      </c>
      <c r="G10685" t="inlineStr">
        <is>
          <t>Trưởng phòng</t>
        </is>
      </c>
      <c r="H10685" t="inlineStr">
        <is>
          <t>13/03/2026</t>
        </is>
      </c>
      <c r="I10685" t="inlineStr">
        <is>
          <t>12/04/2026</t>
        </is>
      </c>
      <c r="J10685" t="inlineStr">
        <is>
          <t>17/03/2026</t>
        </is>
      </c>
      <c r="K10685" t="inlineStr">
        <is>
          <t>N/A</t>
        </is>
      </c>
      <c r="L10685" t="inlineStr">
        <is>
          <t>Team Development, Maintenance Management, System Improvement, HSE, Communication Skills</t>
        </is>
      </c>
      <c r="M10685" t="inlineStr">
        <is>
          <t>Bonus, Healthcare Plan, Training</t>
        </is>
      </c>
      <c r="N10685" s="8">
        <f>HYPERLINK("https://www.vietnamworks.com/country-maintenance-manager-2022961-jv","Xem chi tiết")</f>
        <v/>
      </c>
    </row>
    <row r="10686">
      <c r="B10686" s="9" t="n">
        <v>10684</v>
      </c>
      <c r="C10686" s="10" t="inlineStr">
        <is>
          <t>Nhân Viên Kinh Doanh Dự Án (LCB 15-25Tr)</t>
        </is>
      </c>
      <c r="D10686" s="10" t="inlineStr">
        <is>
          <t>Công Ty Cổ Phần Phong Liên</t>
        </is>
      </c>
      <c r="E10686" s="10" t="inlineStr">
        <is>
          <t>15tr-25tr ₫/tháng</t>
        </is>
      </c>
      <c r="F10686" s="10" t="inlineStr">
        <is>
          <t>Hà Nội</t>
        </is>
      </c>
      <c r="G10686" s="10" t="inlineStr">
        <is>
          <t>Nhân viên</t>
        </is>
      </c>
      <c r="H10686" s="10" t="inlineStr">
        <is>
          <t>13/03/2026</t>
        </is>
      </c>
      <c r="I10686" s="10" t="inlineStr">
        <is>
          <t>12/04/2026</t>
        </is>
      </c>
      <c r="J10686" s="10" t="inlineStr">
        <is>
          <t>17/03/2026</t>
        </is>
      </c>
      <c r="K10686" s="10" t="inlineStr">
        <is>
          <t>N/A</t>
        </is>
      </c>
      <c r="L10686" s="10" t="inlineStr">
        <is>
          <t>Kinh Doanh Dự Án, Đấu Thầu, Phát Triển Dự Án, Hồ Sơ Dự Thầu, Tìm Kiếm Dự Án</t>
        </is>
      </c>
      <c r="M10686" s="10" t="inlineStr">
        <is>
          <t>Bonus, Healthcare Plan</t>
        </is>
      </c>
      <c r="N10686" s="11">
        <f>HYPERLINK("https://www.vietnamworks.com/nhan-vien-kinh-doanh-du-an-lcb-15-25tr-2022971-jv","Xem chi tiết")</f>
        <v/>
      </c>
      <c r="O10686" s="10" t="n"/>
    </row>
    <row r="10687">
      <c r="B10687" s="7" t="n">
        <v>10685</v>
      </c>
      <c r="C10687" t="inlineStr">
        <is>
          <t>Nam/ Nữ Nhân Viên Thiết Kế - Làm Việc Tại Văn Phòng Hà Nội</t>
        </is>
      </c>
      <c r="D10687" t="inlineStr">
        <is>
          <t>Công Ty TNHH Yura Corporation Vina</t>
        </is>
      </c>
      <c r="E10687" t="inlineStr">
        <is>
          <t>Thương lượng</t>
        </is>
      </c>
      <c r="F10687" t="inlineStr">
        <is>
          <t>Hà Nội</t>
        </is>
      </c>
      <c r="G10687" t="inlineStr">
        <is>
          <t>Mới Tốt Nghiệp</t>
        </is>
      </c>
      <c r="H10687" t="inlineStr">
        <is>
          <t>13/03/2026</t>
        </is>
      </c>
      <c r="I10687" t="inlineStr">
        <is>
          <t>12/04/2026</t>
        </is>
      </c>
      <c r="J10687" t="inlineStr">
        <is>
          <t>17/03/2026</t>
        </is>
      </c>
      <c r="K10687" t="inlineStr">
        <is>
          <t>N/A</t>
        </is>
      </c>
      <c r="L10687" t="inlineStr">
        <is>
          <t>Triển Khai Bản Vẽ, Thiết Kế 2D, Tiếng Anh, Đọc Tài Liệu Kĩ Thuật, 2D Design</t>
        </is>
      </c>
      <c r="M10687" t="inlineStr">
        <is>
          <t>Bonus, Healthcare Plan, Training</t>
        </is>
      </c>
      <c r="N10687" s="8">
        <f>HYPERLINK("https://www.vietnamworks.com/nam-nu-nhan-vien-thiet-ke-lam-viec-tai-van-phong-ha-noi--2022972-jv","Xem chi tiết")</f>
        <v/>
      </c>
    </row>
    <row r="10688">
      <c r="B10688" s="9" t="n">
        <v>10686</v>
      </c>
      <c r="C10688" s="10" t="inlineStr">
        <is>
          <t>Customer Service Representative (English) – No Experience Required (Income Up to VND 13 Million) – Immediate Start (District 12)</t>
        </is>
      </c>
      <c r="D10688" s="10" t="inlineStr">
        <is>
          <t>CÔNG TY TNHH NGUYEN AN NAM</t>
        </is>
      </c>
      <c r="E10688" s="10" t="inlineStr">
        <is>
          <t>10tr-13tr ₫/tháng</t>
        </is>
      </c>
      <c r="F10688" s="10" t="inlineStr">
        <is>
          <t>Hồ Chí Minh</t>
        </is>
      </c>
      <c r="G10688" s="10" t="inlineStr">
        <is>
          <t>Mới Tốt Nghiệp</t>
        </is>
      </c>
      <c r="H10688" s="10" t="inlineStr">
        <is>
          <t>13/03/2026</t>
        </is>
      </c>
      <c r="I10688" s="10" t="inlineStr">
        <is>
          <t>12/04/2026</t>
        </is>
      </c>
      <c r="J10688" s="10" t="inlineStr">
        <is>
          <t>17/03/2026</t>
        </is>
      </c>
      <c r="K10688" s="10" t="inlineStr">
        <is>
          <t>N/A</t>
        </is>
      </c>
      <c r="L10688" s="10" t="inlineStr">
        <is>
          <t>Chăm Sóc Khách Hàng, Customer Service, Bán Hàng, English, Call Center System</t>
        </is>
      </c>
      <c r="M10688" s="10" t="inlineStr">
        <is>
          <t>Bonus, Paid Leave, Laptop</t>
        </is>
      </c>
      <c r="N10688" s="11">
        <f>HYPERLINK("https://www.vietnamworks.com/customer-service-representative-english-no-experience-required-income-up-to-vnd-13-million-immediate-start-district-12--2022977-jv","Xem chi tiết")</f>
        <v/>
      </c>
      <c r="O10688" s="10" t="n"/>
    </row>
    <row r="10689">
      <c r="B10689" s="7" t="n">
        <v>10687</v>
      </c>
      <c r="C10689" t="inlineStr">
        <is>
          <t>MCU Softerware Development</t>
        </is>
      </c>
      <c r="D10689" t="inlineStr">
        <is>
          <t>LITETRACE VIETNAM CO.,LTD</t>
        </is>
      </c>
      <c r="E10689" t="inlineStr">
        <is>
          <t>Thương lượng</t>
        </is>
      </c>
      <c r="F10689" t="inlineStr">
        <is>
          <t>Hồ Chí Minh</t>
        </is>
      </c>
      <c r="G10689" t="inlineStr">
        <is>
          <t>Nhân viên</t>
        </is>
      </c>
      <c r="H10689" t="inlineStr">
        <is>
          <t>13/03/2026</t>
        </is>
      </c>
      <c r="I10689" t="inlineStr">
        <is>
          <t>12/04/2026</t>
        </is>
      </c>
      <c r="J10689" t="inlineStr">
        <is>
          <t>17/03/2026</t>
        </is>
      </c>
      <c r="K10689" t="inlineStr">
        <is>
          <t>N/A</t>
        </is>
      </c>
      <c r="L10689" t="inlineStr">
        <is>
          <t>Circuit Analysis, Communication Skills, Kernel Debugging, Microcontroller Programming, Computer Science</t>
        </is>
      </c>
      <c r="M10689" t="inlineStr">
        <is>
          <t>Bonus</t>
        </is>
      </c>
      <c r="N10689" s="8">
        <f>HYPERLINK("https://www.vietnamworks.com/mcu-softerware-development-2022998-jv","Xem chi tiết")</f>
        <v/>
      </c>
    </row>
    <row r="10690">
      <c r="B10690" s="9" t="n">
        <v>10688</v>
      </c>
      <c r="C10690" s="10" t="inlineStr">
        <is>
          <t>Trưởng Nhóm Kỹ Thuật Bảo Trì (Có Xe Đưa Rước Từ TP.HCM)</t>
        </is>
      </c>
      <c r="D10690" s="10" t="inlineStr">
        <is>
          <t>CÔNG TY TNHH LOTTE F&amp;G VIỆT NAM</t>
        </is>
      </c>
      <c r="E10690" s="10" t="inlineStr">
        <is>
          <t>18tr-25tr ₫/tháng</t>
        </is>
      </c>
      <c r="F10690" s="10" t="inlineStr">
        <is>
          <t>Long An, Hồ Chí Minh, Tây Ninh</t>
        </is>
      </c>
      <c r="G10690" s="10" t="inlineStr">
        <is>
          <t>Nhân viên</t>
        </is>
      </c>
      <c r="H10690" s="10" t="inlineStr">
        <is>
          <t>13/03/2026</t>
        </is>
      </c>
      <c r="I10690" s="10" t="inlineStr">
        <is>
          <t>12/04/2026</t>
        </is>
      </c>
      <c r="J10690" s="10" t="inlineStr">
        <is>
          <t>17/03/2026</t>
        </is>
      </c>
      <c r="K10690" s="10" t="inlineStr">
        <is>
          <t>N/A</t>
        </is>
      </c>
      <c r="L10690" s="10" t="inlineStr">
        <is>
          <t>Kỹ Thuật Sản Xuất, Bảo Dưỡng Máy Móc, Bảo Trì, Phân Tích Sự Cố, Sửa Chữa Thiết Bị</t>
        </is>
      </c>
      <c r="M10690" s="10" t="inlineStr">
        <is>
          <t>Bonus, Transportation, Others</t>
        </is>
      </c>
      <c r="N10690" s="11">
        <f>HYPERLINK("https://www.vietnamworks.com/truong-nhom-ky-thuat-bao-tri-co-xe-djua-ruoc-tu-tp-hcm-2022981-jv","Xem chi tiết")</f>
        <v/>
      </c>
      <c r="O10690" s="10" t="n"/>
    </row>
    <row r="10691">
      <c r="B10691" s="7" t="n">
        <v>10689</v>
      </c>
      <c r="C10691" t="inlineStr">
        <is>
          <t>Trưởng Phòng Khai Thác</t>
        </is>
      </c>
      <c r="D10691" t="inlineStr">
        <is>
          <t>Công Ty TNHH Dịch Vụ Hàng Không ASG</t>
        </is>
      </c>
      <c r="E10691" t="inlineStr">
        <is>
          <t>Thương lượng</t>
        </is>
      </c>
      <c r="F10691" t="inlineStr">
        <is>
          <t>Hà Nội</t>
        </is>
      </c>
      <c r="G10691" t="inlineStr">
        <is>
          <t>Trưởng phòng</t>
        </is>
      </c>
      <c r="H10691" t="inlineStr">
        <is>
          <t>13/03/2026</t>
        </is>
      </c>
      <c r="I10691" t="inlineStr">
        <is>
          <t>12/04/2026</t>
        </is>
      </c>
      <c r="J10691" t="inlineStr">
        <is>
          <t>17/03/2026</t>
        </is>
      </c>
      <c r="K10691" t="inlineStr">
        <is>
          <t>N/A</t>
        </is>
      </c>
      <c r="L10691" t="inlineStr">
        <is>
          <t>Dịch Vụ Hàng Không, Quản Lý Vận Hành, Chuỗi Cung Ứng, quản lý đội ngũ, Xử Lý Tình Huống</t>
        </is>
      </c>
      <c r="M10691" t="inlineStr">
        <is>
          <t>Bonus, Healthcare Plan, Paid Leave, Awards, Laptop, Travel Opportunities, Others</t>
        </is>
      </c>
      <c r="N10691" s="8">
        <f>HYPERLINK("https://www.vietnamworks.com/truong-phong-khai-thac-2022976-jv","Xem chi tiết")</f>
        <v/>
      </c>
    </row>
    <row r="10692">
      <c r="B10692" s="9" t="n">
        <v>10690</v>
      </c>
      <c r="C10692" s="10" t="inlineStr">
        <is>
          <t>Kỹ Sư Điện Nước</t>
        </is>
      </c>
      <c r="D10692" s="10" t="inlineStr">
        <is>
          <t>Công Ty Cổ Phần Trường Giang Sapa</t>
        </is>
      </c>
      <c r="E10692" s="10" t="inlineStr">
        <is>
          <t>$$ 500-900 /tháng</t>
        </is>
      </c>
      <c r="F10692" s="10" t="inlineStr">
        <is>
          <t>Lào Cai, Hà Nội</t>
        </is>
      </c>
      <c r="G10692" s="10" t="inlineStr">
        <is>
          <t>Nhân viên</t>
        </is>
      </c>
      <c r="H10692" s="10" t="inlineStr">
        <is>
          <t>13/03/2026</t>
        </is>
      </c>
      <c r="I10692" s="10" t="inlineStr">
        <is>
          <t>12/04/2026</t>
        </is>
      </c>
      <c r="J10692" s="10" t="inlineStr">
        <is>
          <t>17/03/2026</t>
        </is>
      </c>
      <c r="K10692" s="10" t="inlineStr">
        <is>
          <t>N/A</t>
        </is>
      </c>
      <c r="L10692" s="10" t="inlineStr">
        <is>
          <t>Xây Dựng, Triển Khai Bản Vẽ, Hệ Thống Điện, Cấp Thoát Nước, AutoCAD</t>
        </is>
      </c>
      <c r="M10692" s="10" t="inlineStr">
        <is>
          <t>Bonus, Healthcare Plan, Team Activities</t>
        </is>
      </c>
      <c r="N10692" s="11">
        <f>HYPERLINK("https://www.vietnamworks.com/ky-su-dien-nuoc-36-1--2022973-jv","Xem chi tiết")</f>
        <v/>
      </c>
      <c r="O10692" s="10" t="n"/>
    </row>
    <row r="10693">
      <c r="B10693" s="7" t="n">
        <v>10691</v>
      </c>
      <c r="C10693" t="inlineStr">
        <is>
          <t>Cán Bộ Kinh Doanh (Toàn Quốc)</t>
        </is>
      </c>
      <c r="D10693" t="inlineStr">
        <is>
          <t>Tổng Công Ty Bảo Hiểm BIDV (BIC)</t>
        </is>
      </c>
      <c r="E10693" t="inlineStr">
        <is>
          <t>$$ 400-1,500 /năm</t>
        </is>
      </c>
      <c r="F10693" t="inlineStr">
        <is>
          <t>Hà Nội, Hồ Chí Minh, Bà Rịa - Vũng Tàu</t>
        </is>
      </c>
      <c r="G10693" t="inlineStr">
        <is>
          <t>Nhân viên</t>
        </is>
      </c>
      <c r="H10693" t="inlineStr">
        <is>
          <t>13/03/2026</t>
        </is>
      </c>
      <c r="I10693" t="inlineStr">
        <is>
          <t>12/04/2026</t>
        </is>
      </c>
      <c r="J10693" t="inlineStr">
        <is>
          <t>17/03/2026</t>
        </is>
      </c>
      <c r="K10693" t="inlineStr">
        <is>
          <t>N/A</t>
        </is>
      </c>
      <c r="L10693" t="inlineStr">
        <is>
          <t>Bảo Hiểm, Bán Hàng, Kinh Doanh, Business Development, Tư Vấn Sản Phẩm</t>
        </is>
      </c>
      <c r="M10693" t="inlineStr">
        <is>
          <t>Bonus, Healthcare Plan, Training</t>
        </is>
      </c>
      <c r="N10693" s="8">
        <f>HYPERLINK("https://www.vietnamworks.com/can-bo-kinh-doanh-toan-quoc--2022970-jv","Xem chi tiết")</f>
        <v/>
      </c>
    </row>
    <row r="10694">
      <c r="B10694" s="9" t="n">
        <v>10692</v>
      </c>
      <c r="C10694" s="10" t="inlineStr">
        <is>
          <t>[Hot Job] Nhân Viên Kinh Doanh Du Lịch Lữ Hành</t>
        </is>
      </c>
      <c r="D10694" s="10" t="inlineStr">
        <is>
          <t>Công Ty Cổ Phần Du Lịch VTourist</t>
        </is>
      </c>
      <c r="E10694" s="10" t="inlineStr">
        <is>
          <t>Từ 6tr ₫/tháng</t>
        </is>
      </c>
      <c r="F10694" s="10" t="inlineStr">
        <is>
          <t>Hồ Chí Minh</t>
        </is>
      </c>
      <c r="G10694" s="10" t="inlineStr">
        <is>
          <t>Nhân viên</t>
        </is>
      </c>
      <c r="H10694" s="10" t="inlineStr">
        <is>
          <t>13/03/2026</t>
        </is>
      </c>
      <c r="I10694" s="10" t="inlineStr">
        <is>
          <t>12/04/2026</t>
        </is>
      </c>
      <c r="J10694" s="10" t="inlineStr">
        <is>
          <t>17/03/2026</t>
        </is>
      </c>
      <c r="K10694" s="10" t="inlineStr">
        <is>
          <t>N/A</t>
        </is>
      </c>
      <c r="L10694" s="10" t="inlineStr">
        <is>
          <t>Du Lịch Lữ Hành, Kinh Doanh Du Lịch, Kinh Nghiệm Sale Tour, Tour Operation, Tourism</t>
        </is>
      </c>
      <c r="M10694" s="10" t="inlineStr">
        <is>
          <t>Bonus, Training, Travel Opportunities, Others</t>
        </is>
      </c>
      <c r="N10694" s="11">
        <f>HYPERLINK("https://www.vietnamworks.com/hot-job-nhan-vien-kinh-doanh-du-lich-lu-hanh-2022986-jv","Xem chi tiết")</f>
        <v/>
      </c>
      <c r="O10694" s="10" t="n"/>
    </row>
    <row r="10695">
      <c r="B10695" s="7" t="n">
        <v>10693</v>
      </c>
      <c r="C10695" t="inlineStr">
        <is>
          <t>Test Engineer</t>
        </is>
      </c>
      <c r="D10695" t="inlineStr">
        <is>
          <t>LITETRACE VIETNAM CO.,LTD</t>
        </is>
      </c>
      <c r="E10695" t="inlineStr">
        <is>
          <t>Thương lượng</t>
        </is>
      </c>
      <c r="F10695" t="inlineStr">
        <is>
          <t>Hồ Chí Minh</t>
        </is>
      </c>
      <c r="G10695" t="inlineStr">
        <is>
          <t>Nhân viên</t>
        </is>
      </c>
      <c r="H10695" t="inlineStr">
        <is>
          <t>13/03/2026</t>
        </is>
      </c>
      <c r="I10695" t="inlineStr">
        <is>
          <t>12/04/2026</t>
        </is>
      </c>
      <c r="J10695" t="inlineStr">
        <is>
          <t>17/03/2026</t>
        </is>
      </c>
      <c r="K10695" t="inlineStr">
        <is>
          <t>N/A</t>
        </is>
      </c>
      <c r="L10695" t="inlineStr">
        <is>
          <t>Documentation Skills, Excel Proficiency, Test Automation Tools, Test Engineer, Excellent English</t>
        </is>
      </c>
      <c r="M10695" t="inlineStr">
        <is>
          <t>Bonus</t>
        </is>
      </c>
      <c r="N10695" s="8">
        <f>HYPERLINK("https://www.vietnamworks.com/test-engineer-2022994-jv","Xem chi tiết")</f>
        <v/>
      </c>
    </row>
    <row r="10696">
      <c r="B10696" s="9" t="n">
        <v>10694</v>
      </c>
      <c r="C10696" s="10" t="inlineStr">
        <is>
          <t>[Hải Phòng] Sales ràu rời (Fresher) - Tiếng Anh thành thạo</t>
        </is>
      </c>
      <c r="D10696" s="10" t="inlineStr">
        <is>
          <t>Bee Logistics Corporation</t>
        </is>
      </c>
      <c r="E10696" s="10" t="inlineStr">
        <is>
          <t>$$ 350-400 /tháng</t>
        </is>
      </c>
      <c r="F10696" s="10" t="inlineStr">
        <is>
          <t>Hải Phòng</t>
        </is>
      </c>
      <c r="G10696" s="10" t="inlineStr">
        <is>
          <t>Nhân viên</t>
        </is>
      </c>
      <c r="H10696" s="10" t="inlineStr">
        <is>
          <t>13/03/2026</t>
        </is>
      </c>
      <c r="I10696" s="10" t="inlineStr">
        <is>
          <t>12/04/2026</t>
        </is>
      </c>
      <c r="J10696" s="10" t="inlineStr">
        <is>
          <t>17/03/2026</t>
        </is>
      </c>
      <c r="K10696" s="10" t="inlineStr">
        <is>
          <t>N/A</t>
        </is>
      </c>
      <c r="L10696" s="10" t="inlineStr">
        <is>
          <t>Effective Presentation, International Business, Logistics, Maritime Safety, Office Software</t>
        </is>
      </c>
      <c r="M10696" s="10" t="inlineStr">
        <is>
          <t>Bonus, Healthcare Plan, Training, Laptop, Travel Opportunities, Others</t>
        </is>
      </c>
      <c r="N10696" s="11">
        <f>HYPERLINK("https://www.vietnamworks.com/hai-phong-sales-rau-roi-fresher-tieng-anh-thanh-thao-2022992-jv","Xem chi tiết")</f>
        <v/>
      </c>
      <c r="O10696" s="10" t="n"/>
    </row>
    <row r="10697">
      <c r="B10697" s="7" t="n">
        <v>10695</v>
      </c>
      <c r="C10697" t="inlineStr">
        <is>
          <t>Mobile App Developer (iOS Native)</t>
        </is>
      </c>
      <c r="D10697" t="inlineStr">
        <is>
          <t>LITETRACE VIETNAM CO.,LTD</t>
        </is>
      </c>
      <c r="E10697" t="inlineStr">
        <is>
          <t>Thương lượng</t>
        </is>
      </c>
      <c r="F10697" t="inlineStr">
        <is>
          <t>Hồ Chí Minh</t>
        </is>
      </c>
      <c r="G10697" t="inlineStr">
        <is>
          <t>Nhân viên</t>
        </is>
      </c>
      <c r="H10697" t="inlineStr">
        <is>
          <t>13/03/2026</t>
        </is>
      </c>
      <c r="I10697" t="inlineStr">
        <is>
          <t>12/04/2026</t>
        </is>
      </c>
      <c r="J10697" t="inlineStr">
        <is>
          <t>17/03/2026</t>
        </is>
      </c>
      <c r="K10697" t="inlineStr">
        <is>
          <t>N/A</t>
        </is>
      </c>
      <c r="L10697" t="inlineStr">
        <is>
          <t>Code Review, iOS Development, iOS Swift, iOS Testing, Optimizing Performance</t>
        </is>
      </c>
      <c r="M10697" t="inlineStr">
        <is>
          <t>Bonus</t>
        </is>
      </c>
      <c r="N10697" s="8">
        <f>HYPERLINK("https://www.vietnamworks.com/mobile-app-developer-ios-native-2022996-jv","Xem chi tiết")</f>
        <v/>
      </c>
    </row>
    <row r="10698">
      <c r="B10698" s="9" t="n">
        <v>10696</v>
      </c>
      <c r="C10698" s="10" t="inlineStr">
        <is>
          <t>HN/HCM - Chuyên Viên Kinh Doanh Thu Nhập Upto 2500$/tháng</t>
        </is>
      </c>
      <c r="D10698" s="10" t="inlineStr">
        <is>
          <t>CÔNG TY CP TẬP ĐOÀN VINATECH VIỆT NAM</t>
        </is>
      </c>
      <c r="E10698" s="10" t="inlineStr">
        <is>
          <t>$$ 1,000-2,500 /tháng</t>
        </is>
      </c>
      <c r="F10698" s="10" t="inlineStr">
        <is>
          <t>Hà Nội, Hồ Chí Minh</t>
        </is>
      </c>
      <c r="G10698" s="10" t="inlineStr">
        <is>
          <t>Nhân viên</t>
        </is>
      </c>
      <c r="H10698" s="10" t="inlineStr">
        <is>
          <t>13/03/2026</t>
        </is>
      </c>
      <c r="I10698" s="10" t="inlineStr">
        <is>
          <t>12/04/2026</t>
        </is>
      </c>
      <c r="J10698" s="10" t="inlineStr">
        <is>
          <t>17/03/2026</t>
        </is>
      </c>
      <c r="K10698" s="10" t="inlineStr">
        <is>
          <t>N/A</t>
        </is>
      </c>
      <c r="L10698" s="10" t="inlineStr">
        <is>
          <t>Kinh Doanh, Tìm Kiếm Khách Hàng, B2B Sales, Technical Sales, Đàm Phán</t>
        </is>
      </c>
      <c r="M10698" s="10" t="inlineStr">
        <is>
          <t>Bonus, Paid Leave, Training</t>
        </is>
      </c>
      <c r="N10698" s="11">
        <f>HYPERLINK("https://www.vietnamworks.com/hn-hcm-chuyen-vien-kinh-doanh-thu-nhap-upto-2500-thang--2022980-jv","Xem chi tiết")</f>
        <v/>
      </c>
      <c r="O10698" s="10" t="n"/>
    </row>
    <row r="10699">
      <c r="B10699" s="7" t="n">
        <v>10697</v>
      </c>
      <c r="C10699" t="inlineStr">
        <is>
          <t>Giám Đốc Điều Hành Nhà Máy</t>
        </is>
      </c>
      <c r="D10699" t="inlineStr">
        <is>
          <t>Công Ty Cổ Phần Kềm Nghĩa</t>
        </is>
      </c>
      <c r="E10699" t="inlineStr">
        <is>
          <t>Thương lượng</t>
        </is>
      </c>
      <c r="F10699" t="inlineStr">
        <is>
          <t>Hồ Chí Minh</t>
        </is>
      </c>
      <c r="G10699" t="inlineStr">
        <is>
          <t>Giám Đốc và Cấp Cao Hơn</t>
        </is>
      </c>
      <c r="H10699" t="inlineStr">
        <is>
          <t>13/03/2026</t>
        </is>
      </c>
      <c r="I10699" t="inlineStr">
        <is>
          <t>12/04/2026</t>
        </is>
      </c>
      <c r="J10699" t="inlineStr">
        <is>
          <t>17/03/2026</t>
        </is>
      </c>
      <c r="K10699" t="inlineStr">
        <is>
          <t>N/A</t>
        </is>
      </c>
      <c r="L10699" t="inlineStr">
        <is>
          <t>Quản Lý Lãnh Đạo, Quản Lý Sản Xuất</t>
        </is>
      </c>
      <c r="M10699" t="inlineStr">
        <is>
          <t>Bonus, Laptop, Travel Opportunities</t>
        </is>
      </c>
      <c r="N10699" s="8">
        <f>HYPERLINK("https://www.vietnamworks.com/giam-doc-dieu-hanh-nha-may--2022990-jv","Xem chi tiết")</f>
        <v/>
      </c>
    </row>
    <row r="10700">
      <c r="B10700" s="9" t="n">
        <v>10698</v>
      </c>
      <c r="C10700" s="10" t="inlineStr">
        <is>
          <t>Strategic Planning Manager (IMC / Social / Influencer &amp; Music Marketing)</t>
        </is>
      </c>
      <c r="D10700" s="10" t="inlineStr">
        <is>
          <t>Công Ty Cổ Phần Metub Việt Nam</t>
        </is>
      </c>
      <c r="E10700" s="10" t="inlineStr">
        <is>
          <t>Thương lượng</t>
        </is>
      </c>
      <c r="F10700" s="10" t="inlineStr">
        <is>
          <t>Hồ Chí Minh</t>
        </is>
      </c>
      <c r="G10700" s="10" t="inlineStr">
        <is>
          <t>Trưởng phòng</t>
        </is>
      </c>
      <c r="H10700" s="10" t="inlineStr">
        <is>
          <t>13/03/2026</t>
        </is>
      </c>
      <c r="I10700" s="10" t="inlineStr">
        <is>
          <t>12/04/2026</t>
        </is>
      </c>
      <c r="J10700" s="10" t="inlineStr">
        <is>
          <t>17/03/2026</t>
        </is>
      </c>
      <c r="K10700" s="10" t="inlineStr">
        <is>
          <t>N/A</t>
        </is>
      </c>
      <c r="L10700" s="10" t="inlineStr">
        <is>
          <t>Digital Marketing, Leadership, Marketing Strategy, Music Marketing, Strategic Planning</t>
        </is>
      </c>
      <c r="M10700" s="10" t="inlineStr">
        <is>
          <t>Bonus, Paid Leave, Laptop, Team Activities</t>
        </is>
      </c>
      <c r="N10700" s="11">
        <f>HYPERLINK("https://www.vietnamworks.com/strategic-planning-manager-imc-social-influencer-and-music-marketing-2022983-jv","Xem chi tiết")</f>
        <v/>
      </c>
      <c r="O10700" s="10" t="n"/>
    </row>
    <row r="10701">
      <c r="B10701" s="7" t="n">
        <v>10699</v>
      </c>
      <c r="C10701" t="inlineStr">
        <is>
          <t>Giám Sát Vận Hành</t>
        </is>
      </c>
      <c r="D10701" t="inlineStr">
        <is>
          <t>Công Ty TNHH Dịch Vụ Hàng Không ASG</t>
        </is>
      </c>
      <c r="E10701" t="inlineStr">
        <is>
          <t>Thương lượng</t>
        </is>
      </c>
      <c r="F10701" t="inlineStr">
        <is>
          <t>Hà Nội</t>
        </is>
      </c>
      <c r="G10701" t="inlineStr">
        <is>
          <t>Trưởng phòng</t>
        </is>
      </c>
      <c r="H10701" t="inlineStr">
        <is>
          <t>13/03/2026</t>
        </is>
      </c>
      <c r="I10701" t="inlineStr">
        <is>
          <t>12/04/2026</t>
        </is>
      </c>
      <c r="J10701" t="inlineStr">
        <is>
          <t>17/03/2026</t>
        </is>
      </c>
      <c r="K10701" t="inlineStr">
        <is>
          <t>N/A</t>
        </is>
      </c>
      <c r="L10701" t="inlineStr">
        <is>
          <t>Dịch Vụ Hàng Không, Quản Lý Vận Hành, Giám Sát Vận Hành, Lãnh Đạo, Tư Duy Hệ Thống</t>
        </is>
      </c>
      <c r="M10701" t="inlineStr">
        <is>
          <t>Bonus, Healthcare Plan, Laptop</t>
        </is>
      </c>
      <c r="N10701" s="8">
        <f>HYPERLINK("https://www.vietnamworks.com/giam-sat-van-hanh-2022997-jv","Xem chi tiết")</f>
        <v/>
      </c>
    </row>
    <row r="10702">
      <c r="B10702" s="9" t="n">
        <v>10700</v>
      </c>
      <c r="C10702" s="10" t="inlineStr">
        <is>
          <t>Talent Acquisition Manager</t>
        </is>
      </c>
      <c r="D10702" s="10" t="inlineStr">
        <is>
          <t>Saitex International Dong Nai (VN)</t>
        </is>
      </c>
      <c r="E10702" s="10" t="inlineStr">
        <is>
          <t>Thương lượng</t>
        </is>
      </c>
      <c r="F10702" s="10" t="inlineStr">
        <is>
          <t>Hồ Chí Minh</t>
        </is>
      </c>
      <c r="G10702" s="10" t="inlineStr">
        <is>
          <t>Trưởng phòng</t>
        </is>
      </c>
      <c r="H10702" s="10" t="inlineStr">
        <is>
          <t>13/03/2026</t>
        </is>
      </c>
      <c r="I10702" s="10" t="inlineStr">
        <is>
          <t>12/04/2026</t>
        </is>
      </c>
      <c r="J10702" s="10" t="inlineStr">
        <is>
          <t>17/03/2026</t>
        </is>
      </c>
      <c r="K10702" s="10" t="inlineStr">
        <is>
          <t>N/A</t>
        </is>
      </c>
      <c r="L10702" s="10" t="inlineStr">
        <is>
          <t>Talent Acquisition, Mass Recruitment, Employer Branding, manufacturing, Garment</t>
        </is>
      </c>
      <c r="M10702" s="10" t="inlineStr">
        <is>
          <t>Bonus, Healthcare Plan, Transportation</t>
        </is>
      </c>
      <c r="N10702" s="11">
        <f>HYPERLINK("https://www.vietnamworks.com/talent-acquisition-manager--2022991-jv","Xem chi tiết")</f>
        <v/>
      </c>
      <c r="O10702" s="10" t="n"/>
    </row>
    <row r="10703">
      <c r="B10703" s="7" t="n">
        <v>10701</v>
      </c>
      <c r="C10703" t="inlineStr">
        <is>
          <t>Giám Đốc Hành Chính Nhân Sự (Focus On Execution &amp; Operations)</t>
        </is>
      </c>
      <c r="D10703" t="inlineStr">
        <is>
          <t>IIG VIỆT NAM</t>
        </is>
      </c>
      <c r="E10703" t="inlineStr">
        <is>
          <t>$$ 3,000-4,000 /tháng</t>
        </is>
      </c>
      <c r="F10703" t="inlineStr">
        <is>
          <t>Hà Nội</t>
        </is>
      </c>
      <c r="G10703" t="inlineStr">
        <is>
          <t>Giám Đốc và Cấp Cao Hơn</t>
        </is>
      </c>
      <c r="H10703" t="inlineStr">
        <is>
          <t>13/03/2026</t>
        </is>
      </c>
      <c r="I10703" t="inlineStr">
        <is>
          <t>12/04/2026</t>
        </is>
      </c>
      <c r="J10703" t="inlineStr">
        <is>
          <t>17/03/2026</t>
        </is>
      </c>
      <c r="K10703" t="inlineStr">
        <is>
          <t>N/A</t>
        </is>
      </c>
      <c r="L10703" t="inlineStr">
        <is>
          <t>Operation, Execution Management, Project Management, Leadership, KPI Management</t>
        </is>
      </c>
      <c r="M10703" t="inlineStr">
        <is>
          <t>Bonus, Healthcare Plan, Paid Leave</t>
        </is>
      </c>
      <c r="N10703" s="8">
        <f>HYPERLINK("https://www.vietnamworks.com/giam-doc-hanh-chinh-nhan-su-focus-on-execution-operations--2022987-jv","Xem chi tiết")</f>
        <v/>
      </c>
    </row>
    <row r="10704">
      <c r="B10704" s="9" t="n">
        <v>10702</v>
      </c>
      <c r="C10704" s="10" t="inlineStr">
        <is>
          <t>Giáo viên Lịch sử (Bắt đầu từ Tháng 4/2026)</t>
        </is>
      </c>
      <c r="D10704" s="10" t="inlineStr">
        <is>
          <t>EMASI Nam Long - EMASI International Bilingual Schools</t>
        </is>
      </c>
      <c r="E10704" s="10" t="inlineStr">
        <is>
          <t>Thương lượng</t>
        </is>
      </c>
      <c r="F10704" s="10" t="inlineStr">
        <is>
          <t>Hồ Chí Minh</t>
        </is>
      </c>
      <c r="G10704" s="10" t="inlineStr">
        <is>
          <t>Nhân viên</t>
        </is>
      </c>
      <c r="H10704" s="10" t="inlineStr">
        <is>
          <t>13/03/2026</t>
        </is>
      </c>
      <c r="I10704" s="10" t="inlineStr">
        <is>
          <t>12/04/2026</t>
        </is>
      </c>
      <c r="J10704" s="10" t="inlineStr">
        <is>
          <t>17/03/2026</t>
        </is>
      </c>
      <c r="K10704" s="10" t="inlineStr">
        <is>
          <t>N/A</t>
        </is>
      </c>
      <c r="L10704" s="10" t="inlineStr">
        <is>
          <t>Microsoft Office, Problem-solving, Psychology Understanding, Task Management, Teamwork</t>
        </is>
      </c>
      <c r="M10704" s="10" t="inlineStr">
        <is>
          <t>Paid Leave, Library, Team Activities, Canteen</t>
        </is>
      </c>
      <c r="N10704" s="11">
        <f>HYPERLINK("https://www.vietnamworks.com/giao-vien-lich-su-bat-djau-tu-thang-42026-2022969-jv","Xem chi tiết")</f>
        <v/>
      </c>
      <c r="O10704" s="10" t="n"/>
    </row>
    <row r="10705">
      <c r="B10705" s="7" t="n">
        <v>10703</v>
      </c>
      <c r="C10705" t="inlineStr">
        <is>
          <t>Mechanical Drafter / Industrial Drafter (Autodesk Inventor, AutoCAD) - Remote</t>
        </is>
      </c>
      <c r="D10705" t="inlineStr">
        <is>
          <t>LR-TEK</t>
        </is>
      </c>
      <c r="E10705" t="inlineStr">
        <is>
          <t>Thương lượng</t>
        </is>
      </c>
      <c r="F10705" t="inlineStr">
        <is>
          <t>Hồ Chí Minh</t>
        </is>
      </c>
      <c r="G10705" t="inlineStr">
        <is>
          <t>Nhân viên</t>
        </is>
      </c>
      <c r="H10705" t="inlineStr">
        <is>
          <t>13/03/2026</t>
        </is>
      </c>
      <c r="I10705" t="inlineStr">
        <is>
          <t>12/04/2026</t>
        </is>
      </c>
      <c r="J10705" t="inlineStr">
        <is>
          <t>17/03/2026</t>
        </is>
      </c>
      <c r="K10705" t="inlineStr">
        <is>
          <t>N/A</t>
        </is>
      </c>
      <c r="L10705" t="inlineStr">
        <is>
          <t>Autodesk Inventor, AutoCAD, Mechanical Drawing, 3D Modeling, CAD Design</t>
        </is>
      </c>
      <c r="M10705" t="inlineStr">
        <is>
          <t>Bonus, Paid Leave, Team Activities, Others</t>
        </is>
      </c>
      <c r="N10705" s="8">
        <f>HYPERLINK("https://www.vietnamworks.com/mechanical-drafter-industrial-drafter-autodesk-inventor-autocad-remote-2022982-jv","Xem chi tiết")</f>
        <v/>
      </c>
    </row>
    <row r="10706">
      <c r="B10706" s="9" t="n">
        <v>10704</v>
      </c>
      <c r="C10706" s="10" t="inlineStr">
        <is>
          <t>Sales Administration</t>
        </is>
      </c>
      <c r="D10706" s="10" t="inlineStr">
        <is>
          <t>CÔNG TY TNHH EPICURE VINA</t>
        </is>
      </c>
      <c r="E10706" s="10" t="inlineStr">
        <is>
          <t>Thương lượng</t>
        </is>
      </c>
      <c r="F10706" s="10" t="inlineStr">
        <is>
          <t>Đà Nẵng</t>
        </is>
      </c>
      <c r="G10706" s="10" t="inlineStr">
        <is>
          <t>Mới Tốt Nghiệp</t>
        </is>
      </c>
      <c r="H10706" s="10" t="inlineStr">
        <is>
          <t>13/03/2026</t>
        </is>
      </c>
      <c r="I10706" s="10" t="inlineStr">
        <is>
          <t>12/04/2026</t>
        </is>
      </c>
      <c r="J10706" s="10" t="inlineStr">
        <is>
          <t>17/03/2026</t>
        </is>
      </c>
      <c r="K10706" s="10" t="inlineStr">
        <is>
          <t>N/A</t>
        </is>
      </c>
      <c r="L10706" s="10" t="inlineStr">
        <is>
          <t>Organizational skills, Microsoft Office, CRM System, Hỗ Trợ Kinh Doanh, Sales Support</t>
        </is>
      </c>
      <c r="M10706" s="10" t="inlineStr">
        <is>
          <t>Bonus, Healthcare Plan, Others</t>
        </is>
      </c>
      <c r="N10706" s="11">
        <f>HYPERLINK("https://www.vietnamworks.com/sales-administration-2023000-jv","Xem chi tiết")</f>
        <v/>
      </c>
      <c r="O10706" s="10" t="n"/>
    </row>
    <row r="10707">
      <c r="B10707" s="7" t="n">
        <v>10705</v>
      </c>
      <c r="C10707" t="inlineStr">
        <is>
          <t>UI Artist</t>
        </is>
      </c>
      <c r="D10707" t="inlineStr">
        <is>
          <t>CÔNG TY TNHH NSTAGE VIỆT NAM</t>
        </is>
      </c>
      <c r="E10707" t="inlineStr">
        <is>
          <t>Thương lượng</t>
        </is>
      </c>
      <c r="F10707" t="inlineStr">
        <is>
          <t>Hà Nội</t>
        </is>
      </c>
      <c r="G10707" t="inlineStr">
        <is>
          <t>Nhân viên</t>
        </is>
      </c>
      <c r="H10707" t="inlineStr">
        <is>
          <t>13/03/2026</t>
        </is>
      </c>
      <c r="I10707" t="inlineStr">
        <is>
          <t>12/04/2026</t>
        </is>
      </c>
      <c r="J10707" t="inlineStr">
        <is>
          <t>17/03/2026</t>
        </is>
      </c>
      <c r="K10707" t="inlineStr">
        <is>
          <t>N/A</t>
        </is>
      </c>
      <c r="L10707" t="inlineStr">
        <is>
          <t>Photoshop, Figma, Phân Tích Thị Trường, Thiết Kế Concept, Đồ Họa Game</t>
        </is>
      </c>
      <c r="M10707" t="inlineStr">
        <is>
          <t>Bonus, Healthcare Plan, Paid Leave, Training, Travel Opportunities, Transportation, Canteen, Others</t>
        </is>
      </c>
      <c r="N10707" s="8">
        <f>HYPERLINK("https://www.vietnamworks.com/ui-artist-2023015-jv","Xem chi tiết")</f>
        <v/>
      </c>
    </row>
    <row r="10708">
      <c r="B10708" s="9" t="n">
        <v>10706</v>
      </c>
      <c r="C10708" s="10" t="inlineStr">
        <is>
          <t>Nhân Viên Marketing</t>
        </is>
      </c>
      <c r="D10708" s="10" t="inlineStr">
        <is>
          <t>Công Ty TNHH Công Nghệ Tiềm Năng</t>
        </is>
      </c>
      <c r="E10708" s="10" t="inlineStr">
        <is>
          <t>Từ 10tr ₫/tháng</t>
        </is>
      </c>
      <c r="F10708" s="10" t="inlineStr">
        <is>
          <t>Hồ Chí Minh</t>
        </is>
      </c>
      <c r="G10708" s="10" t="inlineStr">
        <is>
          <t>Nhân viên</t>
        </is>
      </c>
      <c r="H10708" s="10" t="inlineStr">
        <is>
          <t>13/03/2026</t>
        </is>
      </c>
      <c r="I10708" s="10" t="inlineStr">
        <is>
          <t>12/04/2026</t>
        </is>
      </c>
      <c r="J10708" s="10" t="inlineStr">
        <is>
          <t>17/03/2026</t>
        </is>
      </c>
      <c r="K10708" s="10" t="inlineStr">
        <is>
          <t>N/A</t>
        </is>
      </c>
      <c r="L10708" s="10" t="inlineStr">
        <is>
          <t>B2B Marketing, Content Creation, Digital Marketing, Market Research, Marketing Strategy</t>
        </is>
      </c>
      <c r="M10708" s="10" t="inlineStr">
        <is>
          <t>Bonus, Healthcare Plan, Team Activities, Canteen, Others</t>
        </is>
      </c>
      <c r="N10708" s="11">
        <f>HYPERLINK("https://www.vietnamworks.com/nhan-vien-marketing-2023009-jv","Xem chi tiết")</f>
        <v/>
      </c>
      <c r="O10708" s="10" t="n"/>
    </row>
    <row r="10709">
      <c r="B10709" s="7" t="n">
        <v>10707</v>
      </c>
      <c r="C10709" t="inlineStr">
        <is>
          <t>Nhân Viên Kinh Doanh/Sales Executive (Hải Phòng / Hà Nội / Đà Nẵng – Quảng Nam)</t>
        </is>
      </c>
      <c r="D10709" t="inlineStr">
        <is>
          <t>Công Ty Xi Măng Chinfon</t>
        </is>
      </c>
      <c r="E10709" t="inlineStr">
        <is>
          <t>Thương lượng</t>
        </is>
      </c>
      <c r="F10709" t="inlineStr">
        <is>
          <t>Hải Phòng, Đà Nẵng, Hà Nội</t>
        </is>
      </c>
      <c r="G10709" t="inlineStr">
        <is>
          <t>Nhân viên</t>
        </is>
      </c>
      <c r="H10709" t="inlineStr">
        <is>
          <t>13/03/2026</t>
        </is>
      </c>
      <c r="I10709" t="inlineStr">
        <is>
          <t>12/04/2026</t>
        </is>
      </c>
      <c r="J10709" t="inlineStr">
        <is>
          <t>17/03/2026</t>
        </is>
      </c>
      <c r="K10709" t="inlineStr">
        <is>
          <t>N/A</t>
        </is>
      </c>
      <c r="L10709" t="inlineStr">
        <is>
          <t>Marketing Development, Giao Tiếp, Đàm Phán, Lập Kế Hoạch Kinh Doanh, Tìm Kiếm Khách Hàng</t>
        </is>
      </c>
      <c r="M10709" t="inlineStr">
        <is>
          <t>Bonus, Healthcare Plan, Paid Leave, Transportation, Others</t>
        </is>
      </c>
      <c r="N10709" s="8">
        <f>HYPERLINK("https://www.vietnamworks.com/nhan-vien-kinh-doanh-sales-executive-hai-phong-ha-noi-da-nang-quang-nam-2023003-jv","Xem chi tiết")</f>
        <v/>
      </c>
    </row>
    <row r="10710">
      <c r="B10710" s="9" t="n">
        <v>10708</v>
      </c>
      <c r="C10710" s="10" t="inlineStr">
        <is>
          <t>Trưởng Nhóm Kinh Doanh Thiết bị Điện công nghiệp (OFF T7 - CN)</t>
        </is>
      </c>
      <c r="D10710" s="10" t="inlineStr">
        <is>
          <t>CÔNG TY TNHH THƯƠNG MẠI DỊCH VỤ CHÂU VĨNH CƯỜNG</t>
        </is>
      </c>
      <c r="E10710" s="10" t="inlineStr">
        <is>
          <t>15tr-30tr ₫/tháng</t>
        </is>
      </c>
      <c r="F10710" s="10" t="inlineStr">
        <is>
          <t>Hồ Chí Minh</t>
        </is>
      </c>
      <c r="G10710" s="10" t="inlineStr">
        <is>
          <t>Trưởng phòng</t>
        </is>
      </c>
      <c r="H10710" s="10" t="inlineStr">
        <is>
          <t>13/03/2026</t>
        </is>
      </c>
      <c r="I10710" s="10" t="inlineStr">
        <is>
          <t>12/04/2026</t>
        </is>
      </c>
      <c r="J10710" s="10" t="inlineStr">
        <is>
          <t>17/03/2026</t>
        </is>
      </c>
      <c r="K10710" s="10" t="inlineStr">
        <is>
          <t>N/A</t>
        </is>
      </c>
      <c r="L10710" s="10" t="inlineStr">
        <is>
          <t>Communication, Customer Relation, Kinh Doanh B2B, Market Analysis, Team Management</t>
        </is>
      </c>
      <c r="M10710" s="10" t="inlineStr">
        <is>
          <t>Healthcare Plan, Paid Leave, Travel Opportunities, Team Activities, Others</t>
        </is>
      </c>
      <c r="N10710" s="11">
        <f>HYPERLINK("https://www.vietnamworks.com/truong-nhom-kinh-doanh-thiet-bi-djien-cong-nghiep-off-t7-cn-2023006-jv","Xem chi tiết")</f>
        <v/>
      </c>
      <c r="O10710" s="10" t="n"/>
    </row>
    <row r="10711">
      <c r="B10711" s="7" t="n">
        <v>10709</v>
      </c>
      <c r="C10711" t="inlineStr">
        <is>
          <t>Nhân Viên Mua Hàng Quốc Tế</t>
        </is>
      </c>
      <c r="D10711" t="inlineStr">
        <is>
          <t>Công Ty TNHH Công Nghệ Tiềm Năng</t>
        </is>
      </c>
      <c r="E10711" t="inlineStr">
        <is>
          <t>Từ 10tr ₫/tháng</t>
        </is>
      </c>
      <c r="F10711" t="inlineStr">
        <is>
          <t>Hồ Chí Minh</t>
        </is>
      </c>
      <c r="G10711" t="inlineStr">
        <is>
          <t>Mới Tốt Nghiệp</t>
        </is>
      </c>
      <c r="H10711" t="inlineStr">
        <is>
          <t>13/03/2026</t>
        </is>
      </c>
      <c r="I10711" t="inlineStr">
        <is>
          <t>12/04/2026</t>
        </is>
      </c>
      <c r="J10711" t="inlineStr">
        <is>
          <t>17/03/2026</t>
        </is>
      </c>
      <c r="K10711" t="inlineStr">
        <is>
          <t>N/A</t>
        </is>
      </c>
      <c r="L10711" t="inlineStr">
        <is>
          <t>Liên Hệ Nhà Cung Cấp, Mua Hàng Nước Ngoài, Ngoại Thương, Quản Lý Nguồn Cung Ứng, Quản Lý Thu Mua</t>
        </is>
      </c>
      <c r="M10711" t="inlineStr">
        <is>
          <t>Bonus, Healthcare Plan, Team Activities, Canteen, Others</t>
        </is>
      </c>
      <c r="N10711" s="8">
        <f>HYPERLINK("https://www.vietnamworks.com/nhan-vien-mua-hang-quoc-te-2023005-jv","Xem chi tiết")</f>
        <v/>
      </c>
    </row>
    <row r="10712">
      <c r="B10712" s="9" t="n">
        <v>10710</v>
      </c>
      <c r="C10712" s="10" t="inlineStr">
        <is>
          <t>Operational Excellence Manager</t>
        </is>
      </c>
      <c r="D10712" s="10" t="inlineStr">
        <is>
          <t>Công Ty Cổ Phần Vàng Bạc Đá Quý Phú Nhuận (PNJ)</t>
        </is>
      </c>
      <c r="E10712" s="10" t="inlineStr">
        <is>
          <t>Thương lượng</t>
        </is>
      </c>
      <c r="F10712" s="10" t="inlineStr">
        <is>
          <t>Hồ Chí Minh</t>
        </is>
      </c>
      <c r="G10712" s="10" t="inlineStr">
        <is>
          <t>Trưởng phòng</t>
        </is>
      </c>
      <c r="H10712" s="10" t="inlineStr">
        <is>
          <t>13/03/2026</t>
        </is>
      </c>
      <c r="I10712" s="10" t="inlineStr">
        <is>
          <t>12/04/2026</t>
        </is>
      </c>
      <c r="J10712" s="10" t="inlineStr">
        <is>
          <t>17/03/2026</t>
        </is>
      </c>
      <c r="K10712" s="10" t="inlineStr">
        <is>
          <t>N/A</t>
        </is>
      </c>
      <c r="L10712" s="10" t="inlineStr">
        <is>
          <t>Operational Excellence, Continuous Improvement, Operations Processes, Process Improvement, Change Management</t>
        </is>
      </c>
      <c r="M10712" s="10" t="inlineStr">
        <is>
          <t>Bonus, Healthcare Plan, Paid Leave</t>
        </is>
      </c>
      <c r="N10712" s="11">
        <f>HYPERLINK("https://www.vietnamworks.com/operational-excellence-manager--2023016-jv","Xem chi tiết")</f>
        <v/>
      </c>
      <c r="O10712" s="10" t="n"/>
    </row>
    <row r="10713">
      <c r="B10713" s="7" t="n">
        <v>10711</v>
      </c>
      <c r="C10713" t="inlineStr">
        <is>
          <t>Mobile Game - Senior UA Marketing</t>
        </is>
      </c>
      <c r="D10713" t="inlineStr">
        <is>
          <t>CÔNG TY TNHH NSTAGE VIỆT NAM</t>
        </is>
      </c>
      <c r="E10713" t="inlineStr">
        <is>
          <t>Thương lượng</t>
        </is>
      </c>
      <c r="F10713" t="inlineStr">
        <is>
          <t>Hà Nội</t>
        </is>
      </c>
      <c r="G10713" t="inlineStr">
        <is>
          <t>Trưởng phòng</t>
        </is>
      </c>
      <c r="H10713" t="inlineStr">
        <is>
          <t>13/03/2026</t>
        </is>
      </c>
      <c r="I10713" t="inlineStr">
        <is>
          <t>12/04/2026</t>
        </is>
      </c>
      <c r="J10713" t="inlineStr">
        <is>
          <t>17/03/2026</t>
        </is>
      </c>
      <c r="K10713" t="inlineStr">
        <is>
          <t>N/A</t>
        </is>
      </c>
      <c r="L10713" t="inlineStr">
        <is>
          <t>Lập Kế Hoạch, Performance Marketing, Phân Tích Dữ Liệu, Quảng Cáo, User Acquisition</t>
        </is>
      </c>
      <c r="M10713" t="inlineStr">
        <is>
          <t>Bonus, Healthcare Plan, Paid Leave, Training, Travel Opportunities, Transportation, Canteen, Others</t>
        </is>
      </c>
      <c r="N10713" s="8">
        <f>HYPERLINK("https://www.vietnamworks.com/mobile-game-senior-ua-marketing-2023020-jv","Xem chi tiết")</f>
        <v/>
      </c>
    </row>
    <row r="10714">
      <c r="B10714" s="9" t="n">
        <v>10712</v>
      </c>
      <c r="C10714" s="10" t="inlineStr">
        <is>
          <t>Nhân Viên Kỹ Thuật Hiện Trường (Field Service Technician)</t>
        </is>
      </c>
      <c r="D10714" s="10" t="inlineStr">
        <is>
          <t>Công Ty TNHH Công Nghệ Tiềm Năng</t>
        </is>
      </c>
      <c r="E10714" s="10" t="inlineStr">
        <is>
          <t>Thương lượng</t>
        </is>
      </c>
      <c r="F10714" s="10" t="inlineStr">
        <is>
          <t>Hồ Chí Minh</t>
        </is>
      </c>
      <c r="G10714" s="10" t="inlineStr">
        <is>
          <t>Nhân viên</t>
        </is>
      </c>
      <c r="H10714" s="10" t="inlineStr">
        <is>
          <t>13/03/2026</t>
        </is>
      </c>
      <c r="I10714" s="10" t="inlineStr">
        <is>
          <t>12/04/2026</t>
        </is>
      </c>
      <c r="J10714" s="10" t="inlineStr">
        <is>
          <t>17/03/2026</t>
        </is>
      </c>
      <c r="K10714" s="10" t="inlineStr">
        <is>
          <t>N/A</t>
        </is>
      </c>
      <c r="L10714" s="10" t="inlineStr">
        <is>
          <t>Cơ Khí, Kỹ Thuật Điện Tử, Sửa Chữa Bảo Dưỡng, Vận Hành Thiết Bị, Đọc Hiểu Bản Vẽ Kỹ Thuật</t>
        </is>
      </c>
      <c r="M10714" s="10" t="inlineStr">
        <is>
          <t>Bonus, Healthcare Plan, Training, Team Activities, Canteen, Others</t>
        </is>
      </c>
      <c r="N10714" s="11">
        <f>HYPERLINK("https://www.vietnamworks.com/nhan-vien-ky-thuat-hien-truong-field-service-technician-2023018-jv","Xem chi tiết")</f>
        <v/>
      </c>
      <c r="O10714" s="10" t="n"/>
    </row>
    <row r="10715">
      <c r="B10715" s="7" t="n">
        <v>10713</v>
      </c>
      <c r="C10715" t="inlineStr">
        <is>
          <t>Digital Marketing Specialist</t>
        </is>
      </c>
      <c r="D10715" t="inlineStr">
        <is>
          <t>Công ty Cổ phần Công nghệ &amp; Truyền Thông Việt Nam</t>
        </is>
      </c>
      <c r="E10715" t="inlineStr">
        <is>
          <t>Thương lượng</t>
        </is>
      </c>
      <c r="F10715" t="inlineStr">
        <is>
          <t>Bình Dương</t>
        </is>
      </c>
      <c r="G10715" t="inlineStr">
        <is>
          <t>Nhân viên</t>
        </is>
      </c>
      <c r="H10715" t="inlineStr">
        <is>
          <t>13/03/2026</t>
        </is>
      </c>
      <c r="I10715" t="inlineStr">
        <is>
          <t>12/04/2026</t>
        </is>
      </c>
      <c r="J10715" t="inlineStr">
        <is>
          <t>17/03/2026</t>
        </is>
      </c>
      <c r="K10715" t="inlineStr">
        <is>
          <t>N/A</t>
        </is>
      </c>
      <c r="L10715" t="inlineStr">
        <is>
          <t>Consumer Insight, Digital Marketing, Facebook Ads, Google Ads, Seo</t>
        </is>
      </c>
      <c r="M10715" t="inlineStr">
        <is>
          <t>Bonus, Healthcare Plan, Team Activities, Transportation, Others</t>
        </is>
      </c>
      <c r="N10715" s="8">
        <f>HYPERLINK("https://www.vietnamworks.com/digital-marketing-specialist-2023013-jv","Xem chi tiết")</f>
        <v/>
      </c>
    </row>
    <row r="10716">
      <c r="B10716" s="9" t="n">
        <v>10714</v>
      </c>
      <c r="C10716" s="10" t="inlineStr">
        <is>
          <t>CV/CVCC Nghiên Cứu Và Phát Triển Bất Động Sản</t>
        </is>
      </c>
      <c r="D10716" s="10" t="inlineStr">
        <is>
          <t>Công Ty Cổ Phần Tập Đoàn Sunshine</t>
        </is>
      </c>
      <c r="E10716" s="10" t="inlineStr">
        <is>
          <t>Thương lượng</t>
        </is>
      </c>
      <c r="F10716" s="10" t="inlineStr">
        <is>
          <t>Hồ Chí Minh</t>
        </is>
      </c>
      <c r="G10716" s="10" t="inlineStr">
        <is>
          <t>Mới Tốt Nghiệp</t>
        </is>
      </c>
      <c r="H10716" s="10" t="inlineStr">
        <is>
          <t>13/03/2026</t>
        </is>
      </c>
      <c r="I10716" s="10" t="inlineStr">
        <is>
          <t>12/04/2026</t>
        </is>
      </c>
      <c r="J10716" s="10" t="inlineStr">
        <is>
          <t>17/03/2026</t>
        </is>
      </c>
      <c r="K10716" s="10" t="inlineStr">
        <is>
          <t>N/A</t>
        </is>
      </c>
      <c r="L10716" s="10" t="inlineStr">
        <is>
          <t>Báo Cáo Tài Chính, Phân Tích Tài Chính, Kinh Nghiệm Với Chủ Đầu Tư, Phát Triển Bất Động Sản, Xây Dựng</t>
        </is>
      </c>
      <c r="M10716" s="10" t="inlineStr">
        <is>
          <t>Bonus, Healthcare Plan, Others</t>
        </is>
      </c>
      <c r="N10716" s="11">
        <f>HYPERLINK("https://www.vietnamworks.com/cvcvcc-nghien-cuu-va-phat-trien-bat-djong-san-2023019-jv","Xem chi tiết")</f>
        <v/>
      </c>
      <c r="O10716" s="10" t="n"/>
    </row>
    <row r="10717">
      <c r="B10717" s="7" t="n">
        <v>10715</v>
      </c>
      <c r="C10717" t="inlineStr">
        <is>
          <t>B2B Sales Executive</t>
        </is>
      </c>
      <c r="D10717" t="inlineStr">
        <is>
          <t>CONG TY TNHH NEW NAM LEE(VN)</t>
        </is>
      </c>
      <c r="E10717" t="inlineStr">
        <is>
          <t>Thương lượng</t>
        </is>
      </c>
      <c r="F10717" t="inlineStr">
        <is>
          <t>Hồ Chí Minh, Bình Dương</t>
        </is>
      </c>
      <c r="G10717" t="inlineStr">
        <is>
          <t>Nhân viên</t>
        </is>
      </c>
      <c r="H10717" t="inlineStr">
        <is>
          <t>13/03/2026</t>
        </is>
      </c>
      <c r="I10717" t="inlineStr">
        <is>
          <t>12/04/2026</t>
        </is>
      </c>
      <c r="J10717" t="inlineStr">
        <is>
          <t>17/03/2026</t>
        </is>
      </c>
      <c r="K10717" t="inlineStr">
        <is>
          <t>N/A</t>
        </is>
      </c>
      <c r="L10717" t="inlineStr">
        <is>
          <t>Kinh Doanh B2B, Customer Experience Management, MS Office, Tìm Kiếm Khách Hàng, Chinese</t>
        </is>
      </c>
      <c r="M10717" t="inlineStr">
        <is>
          <t>Bonus, Healthcare Plan, Paid Leave, Training, Laptop, Travel Opportunities, Others</t>
        </is>
      </c>
      <c r="N10717" s="8">
        <f>HYPERLINK("https://www.vietnamworks.com/b2b-sales-executive-2023002-jv","Xem chi tiết")</f>
        <v/>
      </c>
    </row>
    <row r="10718">
      <c r="B10718" s="9" t="n">
        <v>10716</v>
      </c>
      <c r="C10718" s="10" t="inlineStr">
        <is>
          <t>Quality, Health, Safety &amp; Environment Manager</t>
        </is>
      </c>
      <c r="D10718" s="10" t="inlineStr">
        <is>
          <t>Công ty TNHH Jemmtec Việt Nam</t>
        </is>
      </c>
      <c r="E10718" s="10" t="inlineStr">
        <is>
          <t>Thương lượng</t>
        </is>
      </c>
      <c r="F10718" s="10" t="inlineStr">
        <is>
          <t>Hải Dương</t>
        </is>
      </c>
      <c r="G10718" s="10" t="inlineStr">
        <is>
          <t>Trưởng phòng</t>
        </is>
      </c>
      <c r="H10718" s="10" t="inlineStr">
        <is>
          <t>13/03/2026</t>
        </is>
      </c>
      <c r="I10718" s="10" t="inlineStr">
        <is>
          <t>12/04/2026</t>
        </is>
      </c>
      <c r="J10718" s="10" t="inlineStr">
        <is>
          <t>17/03/2026</t>
        </is>
      </c>
      <c r="K10718" s="10" t="inlineStr">
        <is>
          <t>N/A</t>
        </is>
      </c>
      <c r="L10718" s="10" t="inlineStr">
        <is>
          <t>Manufacturing Products, ISO Environment, Compliance, HSE, ISO 9001</t>
        </is>
      </c>
      <c r="M10718" s="10" t="inlineStr">
        <is>
          <t>Bonus, Healthcare Plan, Paid Leave, Canteen, Others</t>
        </is>
      </c>
      <c r="N10718" s="11">
        <f>HYPERLINK("https://www.vietnamworks.com/quality-health-safety-and-environment-manager-2023007-jv","Xem chi tiết")</f>
        <v/>
      </c>
      <c r="O10718" s="10" t="n"/>
    </row>
    <row r="10719">
      <c r="B10719" s="7" t="n">
        <v>10717</v>
      </c>
      <c r="C10719" t="inlineStr">
        <is>
          <t>Nhân Viên Thiêt Kế Mẫu / Pattern Design</t>
        </is>
      </c>
      <c r="D10719" t="inlineStr">
        <is>
          <t>Mascot International Viet Nam</t>
        </is>
      </c>
      <c r="E10719" t="inlineStr">
        <is>
          <t>Thương lượng</t>
        </is>
      </c>
      <c r="F10719" t="inlineStr">
        <is>
          <t>Hải Dương</t>
        </is>
      </c>
      <c r="G10719" t="inlineStr">
        <is>
          <t>Nhân viên</t>
        </is>
      </c>
      <c r="H10719" t="inlineStr">
        <is>
          <t>13/03/2026</t>
        </is>
      </c>
      <c r="I10719" t="inlineStr">
        <is>
          <t>12/04/2026</t>
        </is>
      </c>
      <c r="J10719" t="inlineStr">
        <is>
          <t>17/03/2026</t>
        </is>
      </c>
      <c r="K10719" t="inlineStr">
        <is>
          <t>N/A</t>
        </is>
      </c>
      <c r="L10719" t="inlineStr">
        <is>
          <t>Pattern Design, Gerber AccuMark, Kỹ Thuật May Mẫu, Technical Support, Thiết Kế Rập</t>
        </is>
      </c>
      <c r="M10719" t="inlineStr">
        <is>
          <t>Bonus, Healthcare Plan, Paid Leave, Training, Awards, Transportation, Canteen, Others</t>
        </is>
      </c>
      <c r="N10719" s="8">
        <f>HYPERLINK("https://www.vietnamworks.com/nhan-vien-thiet-ke-mau-pattern-design-2023001-jv","Xem chi tiết")</f>
        <v/>
      </c>
    </row>
    <row r="10720">
      <c r="B10720" s="9" t="n">
        <v>10718</v>
      </c>
      <c r="C10720" s="10" t="inlineStr">
        <is>
          <t>Chuyên Viên Điều Phối Vận Hành</t>
        </is>
      </c>
      <c r="D10720" s="10" t="inlineStr">
        <is>
          <t>Công Ty TNHH Dịch Vụ Hàng Không ASG</t>
        </is>
      </c>
      <c r="E10720" s="10" t="inlineStr">
        <is>
          <t>Thương lượng</t>
        </is>
      </c>
      <c r="F10720" s="10" t="inlineStr">
        <is>
          <t>Hà Nội</t>
        </is>
      </c>
      <c r="G10720" s="10" t="inlineStr">
        <is>
          <t>Nhân viên</t>
        </is>
      </c>
      <c r="H10720" s="10" t="inlineStr">
        <is>
          <t>13/03/2026</t>
        </is>
      </c>
      <c r="I10720" s="10" t="inlineStr">
        <is>
          <t>12/04/2026</t>
        </is>
      </c>
      <c r="J10720" s="10" t="inlineStr">
        <is>
          <t>17/03/2026</t>
        </is>
      </c>
      <c r="K10720" s="10" t="inlineStr">
        <is>
          <t>N/A</t>
        </is>
      </c>
      <c r="L10720" s="10" t="inlineStr">
        <is>
          <t>Báo Cáo Tổng Hợp, Dịch Vụ Hàng Không, Giải Quyết Vấn Đề, Giao Tiếp, Điều Phối</t>
        </is>
      </c>
      <c r="M10720" s="10" t="inlineStr">
        <is>
          <t>Bonus, Healthcare Plan, Laptop</t>
        </is>
      </c>
      <c r="N10720" s="11">
        <f>HYPERLINK("https://www.vietnamworks.com/chuyen-vien-djieu-phoi-van-hanh-2023014-jv","Xem chi tiết")</f>
        <v/>
      </c>
      <c r="O10720" s="10" t="n"/>
    </row>
    <row r="10721">
      <c r="B10721" s="7" t="n">
        <v>10719</v>
      </c>
      <c r="C10721" t="inlineStr">
        <is>
          <t>Trưởng Phòng Quản Lý Thiết Kế ( Chủ Đầu Tư)</t>
        </is>
      </c>
      <c r="D10721" t="inlineStr">
        <is>
          <t>Công Ty Cổ Phần Đầu Tư Thương Mại Kỹ Thuật A&amp;T Việt Nam</t>
        </is>
      </c>
      <c r="E10721" t="inlineStr">
        <is>
          <t>Thương lượng</t>
        </is>
      </c>
      <c r="F10721" t="inlineStr">
        <is>
          <t>Hà Nội</t>
        </is>
      </c>
      <c r="G10721" t="inlineStr">
        <is>
          <t>Nhân viên</t>
        </is>
      </c>
      <c r="H10721" t="inlineStr">
        <is>
          <t>13/03/2026</t>
        </is>
      </c>
      <c r="I10721" t="inlineStr">
        <is>
          <t>12/04/2026</t>
        </is>
      </c>
      <c r="J10721" t="inlineStr">
        <is>
          <t>17/03/2026</t>
        </is>
      </c>
      <c r="K10721" t="inlineStr">
        <is>
          <t>N/A</t>
        </is>
      </c>
      <c r="L10721" t="inlineStr">
        <is>
          <t>Kiến Trúc Xây Dựng, MEP, Quản Lý Dự Án Bât Động Sản, Quản Lý Thiết Kế, Thiết Kế Cảnh Quan</t>
        </is>
      </c>
      <c r="M10721" t="inlineStr">
        <is>
          <t>Bonus, Healthcare Plan, Paid Leave, Others</t>
        </is>
      </c>
      <c r="N10721" s="8">
        <f>HYPERLINK("https://www.vietnamworks.com/truong-phong-quan-ly-thiet-ke-chu-djau-tu-2023010-jv","Xem chi tiết")</f>
        <v/>
      </c>
    </row>
    <row r="10722">
      <c r="B10722" s="9" t="n">
        <v>10720</v>
      </c>
      <c r="C10722" s="10" t="inlineStr">
        <is>
          <t>Giám Đốc Cấp Cao Khối Khách Hàng Doanh Nghiệp</t>
        </is>
      </c>
      <c r="D10722" s="10" t="inlineStr">
        <is>
          <t>HSBC Vietnam</t>
        </is>
      </c>
      <c r="E10722" s="10" t="inlineStr">
        <is>
          <t>Thương lượng</t>
        </is>
      </c>
      <c r="F10722" s="10" t="inlineStr">
        <is>
          <t>Hồ Chí Minh</t>
        </is>
      </c>
      <c r="G10722" s="10" t="inlineStr">
        <is>
          <t>Giám Đốc và Cấp Cao Hơn</t>
        </is>
      </c>
      <c r="H10722" s="10" t="inlineStr">
        <is>
          <t>13/03/2026</t>
        </is>
      </c>
      <c r="I10722" s="10" t="inlineStr">
        <is>
          <t>12/04/2026</t>
        </is>
      </c>
      <c r="J10722" s="10" t="inlineStr">
        <is>
          <t>17/03/2026</t>
        </is>
      </c>
      <c r="K10722" s="10" t="inlineStr">
        <is>
          <t>N/A</t>
        </is>
      </c>
      <c r="L10722" s="10" t="inlineStr">
        <is>
          <t>Tài Chính Ngân Hàng, Tiếng Anh, Quản Trị, Khách Hàng Doanh Nghiệp</t>
        </is>
      </c>
      <c r="M10722" s="10" t="inlineStr">
        <is>
          <t>Bonus, Healthcare Plan, Awards</t>
        </is>
      </c>
      <c r="N10722" s="11">
        <f>HYPERLINK("https://www.vietnamworks.com/giam-doc-cap-cao-khoi-khach-hang-doanh-nghiep-2023011-jv","Xem chi tiết")</f>
        <v/>
      </c>
      <c r="O10722" s="10" t="n"/>
    </row>
    <row r="10723">
      <c r="B10723" s="7" t="n">
        <v>10721</v>
      </c>
      <c r="C10723" t="inlineStr">
        <is>
          <t>Nhân Viên Kỹ Thuật Phòng Cháy Chữa Cháy</t>
        </is>
      </c>
      <c r="D10723" t="inlineStr">
        <is>
          <t>New World Fashion Group</t>
        </is>
      </c>
      <c r="E10723" t="inlineStr">
        <is>
          <t>Thương lượng</t>
        </is>
      </c>
      <c r="F10723" t="inlineStr">
        <is>
          <t>Hải Dương</t>
        </is>
      </c>
      <c r="G10723" t="inlineStr">
        <is>
          <t>Nhân viên</t>
        </is>
      </c>
      <c r="H10723" t="inlineStr">
        <is>
          <t>13/03/2026</t>
        </is>
      </c>
      <c r="I10723" t="inlineStr">
        <is>
          <t>12/04/2026</t>
        </is>
      </c>
      <c r="J10723" t="inlineStr">
        <is>
          <t>17/03/2026</t>
        </is>
      </c>
      <c r="K10723" t="inlineStr">
        <is>
          <t>N/A</t>
        </is>
      </c>
      <c r="L10723" t="inlineStr">
        <is>
          <t>Bảo Dưỡng Bảo Trì, Firefighting Planning, Hệ Thống Phòng Cháy Chữa Cháy, Kiểm Tra Hồ Sơ Kỹ Thuật, Kỹ Thuật Phòng Cháy Chữa Cháy</t>
        </is>
      </c>
      <c r="M10723" t="inlineStr">
        <is>
          <t>Healthcare Plan, Others</t>
        </is>
      </c>
      <c r="N10723" s="8">
        <f>HYPERLINK("https://www.vietnamworks.com/nhan-vien-ky-thuat-phong-chay-chua-chay-2023012-jv","Xem chi tiết")</f>
        <v/>
      </c>
    </row>
    <row r="10724">
      <c r="B10724" s="9" t="n">
        <v>10722</v>
      </c>
      <c r="C10724" s="10" t="inlineStr">
        <is>
          <t>Warehouse Senior Executive</t>
        </is>
      </c>
      <c r="D10724" s="10" t="inlineStr">
        <is>
          <t>CÔNG TY TNHH TESSELLATION BÌNH DƯƠNG</t>
        </is>
      </c>
      <c r="E10724" s="10" t="inlineStr">
        <is>
          <t>$$ 1,000-1,500 /tháng</t>
        </is>
      </c>
      <c r="F10724" s="10" t="inlineStr">
        <is>
          <t>Bình Dương</t>
        </is>
      </c>
      <c r="G10724" s="10" t="inlineStr">
        <is>
          <t>Trưởng phòng</t>
        </is>
      </c>
      <c r="H10724" s="10" t="inlineStr">
        <is>
          <t>13/03/2026</t>
        </is>
      </c>
      <c r="I10724" s="10" t="inlineStr">
        <is>
          <t>12/04/2026</t>
        </is>
      </c>
      <c r="J10724" s="10" t="inlineStr">
        <is>
          <t>17/03/2026</t>
        </is>
      </c>
      <c r="K10724" s="10" t="inlineStr">
        <is>
          <t>N/A</t>
        </is>
      </c>
      <c r="L10724" s="10" t="inlineStr">
        <is>
          <t>Communication Skills, Data Analysis, English Fluency, Leadership Skills, Warehouse Management</t>
        </is>
      </c>
      <c r="M10724" s="10" t="inlineStr">
        <is>
          <t>Bonus, Healthcare Plan, Paid Leave, Transportation, Canteen, Others</t>
        </is>
      </c>
      <c r="N10724" s="11">
        <f>HYPERLINK("https://www.vietnamworks.com/warehouse-senior-executive-2023047-jv","Xem chi tiết")</f>
        <v/>
      </c>
      <c r="O10724" s="10" t="n"/>
    </row>
    <row r="10725">
      <c r="B10725" s="7" t="n">
        <v>10723</v>
      </c>
      <c r="C10725" t="inlineStr">
        <is>
          <t>Project Manager</t>
        </is>
      </c>
      <c r="D10725" t="inlineStr">
        <is>
          <t>Công Ty TNHH Công Nghệ Huawei Việt Nam</t>
        </is>
      </c>
      <c r="E10725" t="inlineStr">
        <is>
          <t>Thương lượng</t>
        </is>
      </c>
      <c r="F10725" t="inlineStr">
        <is>
          <t>Đà Nẵng, Hồ Chí Minh</t>
        </is>
      </c>
      <c r="G10725" t="inlineStr">
        <is>
          <t>Nhân viên</t>
        </is>
      </c>
      <c r="H10725" t="inlineStr">
        <is>
          <t>13/03/2026</t>
        </is>
      </c>
      <c r="I10725" t="inlineStr">
        <is>
          <t>12/04/2026</t>
        </is>
      </c>
      <c r="J10725" t="inlineStr">
        <is>
          <t>17/03/2026</t>
        </is>
      </c>
      <c r="K10725" t="inlineStr">
        <is>
          <t>N/A</t>
        </is>
      </c>
      <c r="L10725" t="inlineStr">
        <is>
          <t>Quản Lý Dự Án, Project Management, Công Nghệ Thông Tin, Bidding, Telecommunications</t>
        </is>
      </c>
      <c r="M10725" t="inlineStr">
        <is>
          <t>Bonus, Paid Leave, Others</t>
        </is>
      </c>
      <c r="N10725" s="8">
        <f>HYPERLINK("https://www.vietnamworks.com/project-manager--2023028-jv","Xem chi tiết")</f>
        <v/>
      </c>
    </row>
    <row r="10726">
      <c r="B10726" s="9" t="n">
        <v>10724</v>
      </c>
      <c r="C10726" s="10" t="inlineStr">
        <is>
          <t>Senior Business Analyst</t>
        </is>
      </c>
      <c r="D10726" s="10" t="inlineStr">
        <is>
          <t>Công ty cổ phần Tư vấn Đầu tư và Xây dựng Giao thông Vận tải</t>
        </is>
      </c>
      <c r="E10726" s="10" t="inlineStr">
        <is>
          <t>Thương lượng</t>
        </is>
      </c>
      <c r="F10726" s="10" t="inlineStr">
        <is>
          <t>Hà Nội</t>
        </is>
      </c>
      <c r="G10726" s="10" t="inlineStr">
        <is>
          <t>Nhân viên</t>
        </is>
      </c>
      <c r="H10726" s="10" t="inlineStr">
        <is>
          <t>13/03/2026</t>
        </is>
      </c>
      <c r="I10726" s="10" t="inlineStr">
        <is>
          <t>12/04/2026</t>
        </is>
      </c>
      <c r="J10726" s="10" t="inlineStr">
        <is>
          <t>17/03/2026</t>
        </is>
      </c>
      <c r="K10726" s="10" t="inlineStr">
        <is>
          <t>N/A</t>
        </is>
      </c>
      <c r="L10726" s="10" t="inlineStr">
        <is>
          <t>Quản Lý Dự Án, Agile, Hạ Tầng Kỹ Thuật, Thiết Kế Giải Pháp, Triển Khai Hệ Thống</t>
        </is>
      </c>
      <c r="M10726" s="10" t="inlineStr">
        <is>
          <t>Bonus</t>
        </is>
      </c>
      <c r="N10726" s="11">
        <f>HYPERLINK("https://www.vietnamworks.com/senior-business-analyst-2023024-jv","Xem chi tiết")</f>
        <v/>
      </c>
      <c r="O10726" s="10" t="n"/>
    </row>
    <row r="10727">
      <c r="B10727" s="7" t="n">
        <v>10725</v>
      </c>
      <c r="C10727" t="inlineStr">
        <is>
          <t>(Tuyển Gấp) Kế Toán - Thu Nhập Từ 18 Triệu</t>
        </is>
      </c>
      <c r="D10727" t="inlineStr">
        <is>
          <t>CÔNG TY CỔ PHẦN TƯ VẤN QUẢN TRỊ &amp; TÀI CHÍNH VIỆT NAM</t>
        </is>
      </c>
      <c r="E10727" t="inlineStr">
        <is>
          <t>Từ 18tr ₫/tháng</t>
        </is>
      </c>
      <c r="F10727" t="inlineStr">
        <is>
          <t>Hồ Chí Minh</t>
        </is>
      </c>
      <c r="G10727" t="inlineStr">
        <is>
          <t>Nhân viên</t>
        </is>
      </c>
      <c r="H10727" t="inlineStr">
        <is>
          <t>13/03/2026</t>
        </is>
      </c>
      <c r="I10727" t="inlineStr">
        <is>
          <t>28/03/2026</t>
        </is>
      </c>
      <c r="J10727" t="inlineStr">
        <is>
          <t>17/03/2026</t>
        </is>
      </c>
      <c r="K10727" t="inlineStr">
        <is>
          <t>N/A</t>
        </is>
      </c>
      <c r="L10727" t="inlineStr">
        <is>
          <t>Báo Cáo Tài Chính, Hạch Toán, Tài Chính Kế Toán, Thuế, VAS Standards</t>
        </is>
      </c>
      <c r="M10727" t="inlineStr">
        <is>
          <t>Bonus, Training, Team Activities, Others</t>
        </is>
      </c>
      <c r="N10727" s="8">
        <f>HYPERLINK("https://www.vietnamworks.com/tuyen-gap-ke-toan-thu-nhap-tu-18-trieu-2023004-jv","Xem chi tiết")</f>
        <v/>
      </c>
    </row>
    <row r="10728">
      <c r="B10728" s="9" t="n">
        <v>10726</v>
      </c>
      <c r="C10728" s="10" t="inlineStr">
        <is>
          <t>Research Associate Director - Consumer Insights</t>
        </is>
      </c>
      <c r="D10728" s="10" t="inlineStr">
        <is>
          <t>Michael Page Vietnam</t>
        </is>
      </c>
      <c r="E10728" s="10" t="inlineStr">
        <is>
          <t>$$ 1-1 /tháng</t>
        </is>
      </c>
      <c r="F10728" s="10" t="inlineStr">
        <is>
          <t>Hồ Chí Minh</t>
        </is>
      </c>
      <c r="G10728" s="10" t="inlineStr">
        <is>
          <t>Giám Đốc và Cấp Cao Hơn</t>
        </is>
      </c>
      <c r="H10728" s="10" t="inlineStr">
        <is>
          <t>13/03/2026</t>
        </is>
      </c>
      <c r="I10728" s="10" t="inlineStr">
        <is>
          <t>12/04/2026</t>
        </is>
      </c>
      <c r="J10728" s="10" t="inlineStr">
        <is>
          <t>17/03/2026</t>
        </is>
      </c>
      <c r="K10728" s="10" t="inlineStr">
        <is>
          <t>N/A</t>
        </is>
      </c>
      <c r="L10728" s="10" t="inlineStr">
        <is>
          <t>Equity Research, Consumer insights</t>
        </is>
      </c>
      <c r="M10728" s="10" t="inlineStr">
        <is>
          <t>Bonus, Healthcare Plan</t>
        </is>
      </c>
      <c r="N10728" s="11">
        <f>HYPERLINK("https://www.vietnamworks.com/research-associate-director-consumer-insights-2023033-jv","Xem chi tiết")</f>
        <v/>
      </c>
      <c r="O10728" s="10" t="n"/>
    </row>
    <row r="10729">
      <c r="B10729" s="7" t="n">
        <v>10727</v>
      </c>
      <c r="C10729" t="inlineStr">
        <is>
          <t>Kiến Trúc Sư/ Architect</t>
        </is>
      </c>
      <c r="D10729" t="inlineStr">
        <is>
          <t>New World Fashion Group</t>
        </is>
      </c>
      <c r="E10729" t="inlineStr">
        <is>
          <t>Thương lượng</t>
        </is>
      </c>
      <c r="F10729" t="inlineStr">
        <is>
          <t>Hải Phòng, Thái Bình, Hải Dương</t>
        </is>
      </c>
      <c r="G10729" t="inlineStr">
        <is>
          <t>Nhân viên</t>
        </is>
      </c>
      <c r="H10729" t="inlineStr">
        <is>
          <t>13/03/2026</t>
        </is>
      </c>
      <c r="I10729" t="inlineStr">
        <is>
          <t>12/04/2026</t>
        </is>
      </c>
      <c r="J10729" t="inlineStr">
        <is>
          <t>17/03/2026</t>
        </is>
      </c>
      <c r="K10729" t="inlineStr">
        <is>
          <t>N/A</t>
        </is>
      </c>
      <c r="L10729" t="inlineStr">
        <is>
          <t>Technical Architecture, Sketchup, Revit, AutoCAD, Adobe Photoshop</t>
        </is>
      </c>
      <c r="M10729" t="inlineStr">
        <is>
          <t>Bonus, Healthcare Plan, Training</t>
        </is>
      </c>
      <c r="N10729" s="8">
        <f>HYPERLINK("https://www.vietnamworks.com/kien-truc-su-architect--2023023-jv","Xem chi tiết")</f>
        <v/>
      </c>
    </row>
    <row r="10730">
      <c r="B10730" s="9" t="n">
        <v>10728</v>
      </c>
      <c r="C10730" s="10" t="inlineStr">
        <is>
          <t>Java Backend Developer (IT Backend Framework)</t>
        </is>
      </c>
      <c r="D10730" s="10" t="inlineStr">
        <is>
          <t>Ngân Hàng TNHH MTV Woori Việt Nam</t>
        </is>
      </c>
      <c r="E10730" s="10" t="inlineStr">
        <is>
          <t>Thương lượng</t>
        </is>
      </c>
      <c r="F10730" s="10" t="inlineStr">
        <is>
          <t>Hà Nội</t>
        </is>
      </c>
      <c r="G10730" s="10" t="inlineStr">
        <is>
          <t>Nhân viên</t>
        </is>
      </c>
      <c r="H10730" s="10" t="inlineStr">
        <is>
          <t>13/03/2026</t>
        </is>
      </c>
      <c r="I10730" s="10" t="inlineStr">
        <is>
          <t>12/04/2026</t>
        </is>
      </c>
      <c r="J10730" s="10" t="inlineStr">
        <is>
          <t>17/03/2026</t>
        </is>
      </c>
      <c r="K10730" s="10" t="inlineStr">
        <is>
          <t>N/A</t>
        </is>
      </c>
      <c r="L10730" s="10" t="inlineStr">
        <is>
          <t>Back-end Programming, English Communication, Oracle Database, RESTful API, Spring Framework</t>
        </is>
      </c>
      <c r="M10730" s="10" t="inlineStr">
        <is>
          <t>Bonus, Healthcare Plan, Paid Leave, Training, Team Activities, Others</t>
        </is>
      </c>
      <c r="N10730" s="11">
        <f>HYPERLINK("https://www.vietnamworks.com/java-backend-developer-it-backend-framework-2023032-jv","Xem chi tiết")</f>
        <v/>
      </c>
      <c r="O10730" s="10" t="n"/>
    </row>
    <row r="10731">
      <c r="B10731" s="7" t="n">
        <v>10729</v>
      </c>
      <c r="C10731" t="inlineStr">
        <is>
          <t>Accountant</t>
        </is>
      </c>
      <c r="D10731" t="inlineStr">
        <is>
          <t>Goldenduck International Vietnam Co., Ltd.</t>
        </is>
      </c>
      <c r="E10731" t="inlineStr">
        <is>
          <t>Thương lượng</t>
        </is>
      </c>
      <c r="F10731" t="inlineStr">
        <is>
          <t>Hồ Chí Minh</t>
        </is>
      </c>
      <c r="G10731" t="inlineStr">
        <is>
          <t>Nhân viên</t>
        </is>
      </c>
      <c r="H10731" t="inlineStr">
        <is>
          <t>13/03/2026</t>
        </is>
      </c>
      <c r="I10731" t="inlineStr">
        <is>
          <t>12/04/2026</t>
        </is>
      </c>
      <c r="J10731" t="inlineStr">
        <is>
          <t>17/03/2026</t>
        </is>
      </c>
      <c r="K10731" t="inlineStr">
        <is>
          <t>N/A</t>
        </is>
      </c>
      <c r="L10731" t="inlineStr">
        <is>
          <t>Accounts Payable, Accounts receivable, Kế Toán Thuế, Kế Toán Tổng Hợp, VAT reports</t>
        </is>
      </c>
      <c r="M10731" t="inlineStr">
        <is>
          <t>Bonus, Paid Leave, Laptop, Travel Opportunities, Team Activities</t>
        </is>
      </c>
      <c r="N10731" s="8">
        <f>HYPERLINK("https://www.vietnamworks.com/accountant-2023058-jv","Xem chi tiết")</f>
        <v/>
      </c>
    </row>
    <row r="10732">
      <c r="B10732" s="9" t="n">
        <v>10730</v>
      </c>
      <c r="C10732" s="10" t="inlineStr">
        <is>
          <t>Giám Đốc Đầu Tư - Upto 60 Tr - Ưu Tiên 9X</t>
        </is>
      </c>
      <c r="D10732" s="10" t="inlineStr">
        <is>
          <t>CÔNG TY CỔ PHẦN CNCHOLDINGS</t>
        </is>
      </c>
      <c r="E10732" s="10" t="inlineStr">
        <is>
          <t>Tới 60tr ₫/tháng</t>
        </is>
      </c>
      <c r="F10732" s="10" t="inlineStr">
        <is>
          <t>Hà Nội</t>
        </is>
      </c>
      <c r="G10732" s="10" t="inlineStr">
        <is>
          <t>Giám Đốc và Cấp Cao Hơn</t>
        </is>
      </c>
      <c r="H10732" s="10" t="inlineStr">
        <is>
          <t>13/03/2026</t>
        </is>
      </c>
      <c r="I10732" s="10" t="inlineStr">
        <is>
          <t>12/04/2026</t>
        </is>
      </c>
      <c r="J10732" s="10" t="inlineStr">
        <is>
          <t>17/03/2026</t>
        </is>
      </c>
      <c r="K10732" s="10" t="inlineStr">
        <is>
          <t>N/A</t>
        </is>
      </c>
      <c r="L10732" s="10" t="inlineStr">
        <is>
          <t>Đầu Tư, Quản Lý Tài Chính, Thẩm Định Dự Án, Định Giá, Lãnh Đạo</t>
        </is>
      </c>
      <c r="M10732" s="10" t="inlineStr">
        <is>
          <t>Bonus, Training, Others</t>
        </is>
      </c>
      <c r="N10732" s="11">
        <f>HYPERLINK("https://www.vietnamworks.com/giam-djoc-djau-tu-upto-60-tr-uu-tien-9x-2023021-jv","Xem chi tiết")</f>
        <v/>
      </c>
      <c r="O10732" s="10" t="n"/>
    </row>
    <row r="10733">
      <c r="B10733" s="7" t="n">
        <v>10731</v>
      </c>
      <c r="C10733" t="inlineStr">
        <is>
          <t>Trưởng Nhóm Hành Chính Nhân Sự - Tuyển Gấp - Thu Nhập Hấp Dẫn Từ 22- 28 Triệu (Hoàng Mai - Hà Nội)</t>
        </is>
      </c>
      <c r="D10733" t="inlineStr">
        <is>
          <t>Công Ty TNHH Thương Mại Dịch Vụ Và Kỹ Thuật Đức Phát</t>
        </is>
      </c>
      <c r="E10733" t="inlineStr">
        <is>
          <t>22tr-28tr ₫/tháng</t>
        </is>
      </c>
      <c r="F10733" t="inlineStr">
        <is>
          <t>Hà Nội</t>
        </is>
      </c>
      <c r="G10733" t="inlineStr">
        <is>
          <t>Trưởng phòng</t>
        </is>
      </c>
      <c r="H10733" t="inlineStr">
        <is>
          <t>13/03/2026</t>
        </is>
      </c>
      <c r="I10733" t="inlineStr">
        <is>
          <t>12/04/2026</t>
        </is>
      </c>
      <c r="J10733" t="inlineStr">
        <is>
          <t>17/03/2026</t>
        </is>
      </c>
      <c r="K10733" t="inlineStr">
        <is>
          <t>N/A</t>
        </is>
      </c>
      <c r="L10733" t="inlineStr">
        <is>
          <t>Tuyển Dụng, Quản Lý Nhân Sự, Excel, Google Sheets, Giao Tiếp</t>
        </is>
      </c>
      <c r="M10733" t="inlineStr">
        <is>
          <t>Bonus, Healthcare Plan, Paid Leave, Training, Travel Opportunities, Others</t>
        </is>
      </c>
      <c r="N10733" s="8">
        <f>HYPERLINK("https://www.vietnamworks.com/truong-nhom-hanh-chinh-nhan-su-tuyen-gap-thu-nhap-hap-dan-tu-22-28-trieu-hoang-mai-ha-noi-2023031-jv","Xem chi tiết")</f>
        <v/>
      </c>
    </row>
    <row r="10734">
      <c r="B10734" s="9" t="n">
        <v>10732</v>
      </c>
      <c r="C10734" s="10" t="inlineStr">
        <is>
          <t>Product Planning Senior Staff</t>
        </is>
      </c>
      <c r="D10734" s="10" t="inlineStr">
        <is>
          <t>Panasonic Appliances Vietnam</t>
        </is>
      </c>
      <c r="E10734" s="10" t="inlineStr">
        <is>
          <t>Thương lượng</t>
        </is>
      </c>
      <c r="F10734" s="10" t="inlineStr">
        <is>
          <t>Hưng Yên</t>
        </is>
      </c>
      <c r="G10734" s="10" t="inlineStr">
        <is>
          <t>Nhân viên</t>
        </is>
      </c>
      <c r="H10734" s="10" t="inlineStr">
        <is>
          <t>13/03/2026</t>
        </is>
      </c>
      <c r="I10734" s="10" t="inlineStr">
        <is>
          <t>12/04/2026</t>
        </is>
      </c>
      <c r="J10734" s="10" t="inlineStr">
        <is>
          <t>17/03/2026</t>
        </is>
      </c>
      <c r="K10734" s="10" t="inlineStr">
        <is>
          <t>N/A</t>
        </is>
      </c>
      <c r="L10734" s="10" t="inlineStr">
        <is>
          <t>Product Planning, Market Research, Data Analysis, Trend Update, Project Evaluation</t>
        </is>
      </c>
      <c r="M10734" s="10" t="inlineStr">
        <is>
          <t>Bonus, Healthcare Plan, Transportation</t>
        </is>
      </c>
      <c r="N10734" s="11">
        <f>HYPERLINK("https://www.vietnamworks.com/product-planning-senior-staff--2023027-jv","Xem chi tiết")</f>
        <v/>
      </c>
      <c r="O10734" s="10" t="n"/>
    </row>
    <row r="10735">
      <c r="B10735" s="7" t="n">
        <v>10733</v>
      </c>
      <c r="C10735" t="inlineStr">
        <is>
          <t>CRM Manager (Up-To $3,000)</t>
        </is>
      </c>
      <c r="D10735" t="inlineStr">
        <is>
          <t>Crossian Việt Nam</t>
        </is>
      </c>
      <c r="E10735" t="inlineStr">
        <is>
          <t>Thương lượng</t>
        </is>
      </c>
      <c r="F10735" t="inlineStr">
        <is>
          <t>Hà Nội, Hồ Chí Minh</t>
        </is>
      </c>
      <c r="G10735" t="inlineStr">
        <is>
          <t>Nhân viên</t>
        </is>
      </c>
      <c r="H10735" t="inlineStr">
        <is>
          <t>13/03/2026</t>
        </is>
      </c>
      <c r="I10735" t="inlineStr">
        <is>
          <t>12/04/2026</t>
        </is>
      </c>
      <c r="J10735" t="inlineStr">
        <is>
          <t>17/03/2026</t>
        </is>
      </c>
      <c r="K10735" t="inlineStr">
        <is>
          <t>N/A</t>
        </is>
      </c>
      <c r="L10735" t="inlineStr">
        <is>
          <t>Marketing, Digital Marketing, Marketing Campaign, Email Marketing, English</t>
        </is>
      </c>
      <c r="M10735" t="inlineStr">
        <is>
          <t>Bonus, Healthcare Plan, Others</t>
        </is>
      </c>
      <c r="N10735" s="8">
        <f>HYPERLINK("https://www.vietnamworks.com/crm-manager-up-to-3-000--2023055-jv","Xem chi tiết")</f>
        <v/>
      </c>
    </row>
    <row r="10736">
      <c r="B10736" s="9" t="n">
        <v>10734</v>
      </c>
      <c r="C10736" s="10" t="inlineStr">
        <is>
          <t>UI Designer - Up-To 30 Months Salary</t>
        </is>
      </c>
      <c r="D10736" s="10" t="inlineStr">
        <is>
          <t>Crossian Việt Nam</t>
        </is>
      </c>
      <c r="E10736" s="10" t="inlineStr">
        <is>
          <t>Thương lượng</t>
        </is>
      </c>
      <c r="F10736" s="10" t="inlineStr">
        <is>
          <t>Hà Nội</t>
        </is>
      </c>
      <c r="G10736" s="10" t="inlineStr">
        <is>
          <t>Nhân viên</t>
        </is>
      </c>
      <c r="H10736" s="10" t="inlineStr">
        <is>
          <t>13/03/2026</t>
        </is>
      </c>
      <c r="I10736" s="10" t="inlineStr">
        <is>
          <t>12/04/2026</t>
        </is>
      </c>
      <c r="J10736" s="10" t="inlineStr">
        <is>
          <t>17/03/2026</t>
        </is>
      </c>
      <c r="K10736" s="10" t="inlineStr">
        <is>
          <t>N/A</t>
        </is>
      </c>
      <c r="L10736" s="10" t="inlineStr">
        <is>
          <t>Design system, Figma, Responsive Design</t>
        </is>
      </c>
      <c r="M10736" s="10" t="inlineStr">
        <is>
          <t>Bonus, Healthcare Plan, Paid Leave, Training</t>
        </is>
      </c>
      <c r="N10736" s="11">
        <f>HYPERLINK("https://www.vietnamworks.com/ui-designer-up-to-30-months-salary-2023043-jv","Xem chi tiết")</f>
        <v/>
      </c>
      <c r="O10736" s="10" t="n"/>
    </row>
    <row r="10737">
      <c r="B10737" s="7" t="n">
        <v>10735</v>
      </c>
      <c r="C10737" t="inlineStr">
        <is>
          <t>Engineer Support</t>
        </is>
      </c>
      <c r="D10737" t="inlineStr">
        <is>
          <t>Goldenduck International Vietnam Co., Ltd.</t>
        </is>
      </c>
      <c r="E10737" t="inlineStr">
        <is>
          <t>Thương lượng</t>
        </is>
      </c>
      <c r="F10737" t="inlineStr">
        <is>
          <t>Hồ Chí Minh</t>
        </is>
      </c>
      <c r="G10737" t="inlineStr">
        <is>
          <t>Nhân viên</t>
        </is>
      </c>
      <c r="H10737" t="inlineStr">
        <is>
          <t>13/03/2026</t>
        </is>
      </c>
      <c r="I10737" t="inlineStr">
        <is>
          <t>12/04/2026</t>
        </is>
      </c>
      <c r="J10737" t="inlineStr">
        <is>
          <t>17/03/2026</t>
        </is>
      </c>
      <c r="K10737" t="inlineStr">
        <is>
          <t>N/A</t>
        </is>
      </c>
      <c r="L10737" t="inlineStr">
        <is>
          <t>Documentation, Inventory Control, Logistics Coordination, Operations support, Technical Administration</t>
        </is>
      </c>
      <c r="M10737" t="inlineStr">
        <is>
          <t>Bonus, Paid Leave, Training, Laptop</t>
        </is>
      </c>
      <c r="N10737" s="8">
        <f>HYPERLINK("https://www.vietnamworks.com/engineer-support-2023056-jv","Xem chi tiết")</f>
        <v/>
      </c>
    </row>
    <row r="10738">
      <c r="B10738" s="9" t="n">
        <v>10736</v>
      </c>
      <c r="C10738" s="10" t="inlineStr">
        <is>
          <t>General Accountant</t>
        </is>
      </c>
      <c r="D10738" s="10" t="inlineStr">
        <is>
          <t>DYNAMIC KIDS COMPANY LIMITED</t>
        </is>
      </c>
      <c r="E10738" s="10" t="inlineStr">
        <is>
          <t>Thương lượng</t>
        </is>
      </c>
      <c r="F10738" s="10" t="inlineStr">
        <is>
          <t>Hà Nội</t>
        </is>
      </c>
      <c r="G10738" s="10" t="inlineStr">
        <is>
          <t>Nhân viên</t>
        </is>
      </c>
      <c r="H10738" s="10" t="inlineStr">
        <is>
          <t>13/03/2026</t>
        </is>
      </c>
      <c r="I10738" s="10" t="inlineStr">
        <is>
          <t>12/04/2026</t>
        </is>
      </c>
      <c r="J10738" s="10" t="inlineStr">
        <is>
          <t>17/03/2026</t>
        </is>
      </c>
      <c r="K10738" s="10" t="inlineStr">
        <is>
          <t>N/A</t>
        </is>
      </c>
      <c r="L10738" s="10" t="inlineStr">
        <is>
          <t>Accounting, Accounts Payable, Expense Management, Finance, ERP</t>
        </is>
      </c>
      <c r="M10738" s="10" t="inlineStr">
        <is>
          <t>Bonus, Healthcare Plan, Awards, Team Activities</t>
        </is>
      </c>
      <c r="N10738" s="11">
        <f>HYPERLINK("https://www.vietnamworks.com/general-accountant--2023057-jv","Xem chi tiết")</f>
        <v/>
      </c>
      <c r="O10738" s="10" t="n"/>
    </row>
    <row r="10739">
      <c r="B10739" s="7" t="n">
        <v>10737</v>
      </c>
      <c r="C10739" t="inlineStr">
        <is>
          <t>Purchasing Officer</t>
        </is>
      </c>
      <c r="D10739" t="inlineStr">
        <is>
          <t>Goldenduck International Vietnam Co., Ltd.</t>
        </is>
      </c>
      <c r="E10739" t="inlineStr">
        <is>
          <t>Thương lượng</t>
        </is>
      </c>
      <c r="F10739" t="inlineStr">
        <is>
          <t>Hồ Chí Minh</t>
        </is>
      </c>
      <c r="G10739" t="inlineStr">
        <is>
          <t>Nhân viên</t>
        </is>
      </c>
      <c r="H10739" t="inlineStr">
        <is>
          <t>13/03/2026</t>
        </is>
      </c>
      <c r="I10739" t="inlineStr">
        <is>
          <t>12/04/2026</t>
        </is>
      </c>
      <c r="J10739" t="inlineStr">
        <is>
          <t>17/03/2026</t>
        </is>
      </c>
      <c r="K10739" t="inlineStr">
        <is>
          <t>N/A</t>
        </is>
      </c>
      <c r="L10739" t="inlineStr">
        <is>
          <t>Customs Clearance, Logistics Operations, Mua Hàng Nước Ngoài, Thu Mua, Vendor Management</t>
        </is>
      </c>
      <c r="M10739" t="inlineStr">
        <is>
          <t>Bonus, Paid Leave, Training, Laptop, Travel Opportunities</t>
        </is>
      </c>
      <c r="N10739" s="8">
        <f>HYPERLINK("https://www.vietnamworks.com/purchasing-officer-2023037-jv","Xem chi tiết")</f>
        <v/>
      </c>
    </row>
    <row r="10740">
      <c r="B10740" s="9" t="n">
        <v>10738</v>
      </c>
      <c r="C10740" s="10" t="inlineStr">
        <is>
          <t>Nhân Viên Tiếng Hàn Phòng Khách Hàng Doanh Nghiệp</t>
        </is>
      </c>
      <c r="D10740" s="10" t="inlineStr">
        <is>
          <t>Ngân Hàng TNHH MTV Woori Việt Nam</t>
        </is>
      </c>
      <c r="E10740" s="10" t="inlineStr">
        <is>
          <t>17tr-30tr ₫/tháng</t>
        </is>
      </c>
      <c r="F10740" s="10" t="inlineStr">
        <is>
          <t>Hà Nội</t>
        </is>
      </c>
      <c r="G10740" s="10" t="inlineStr">
        <is>
          <t>Nhân viên</t>
        </is>
      </c>
      <c r="H10740" s="10" t="inlineStr">
        <is>
          <t>13/03/2026</t>
        </is>
      </c>
      <c r="I10740" s="10" t="inlineStr">
        <is>
          <t>12/04/2026</t>
        </is>
      </c>
      <c r="J10740" s="10" t="inlineStr">
        <is>
          <t>17/03/2026</t>
        </is>
      </c>
      <c r="K10740" s="10" t="inlineStr">
        <is>
          <t>N/A</t>
        </is>
      </c>
      <c r="L10740" s="10" t="inlineStr">
        <is>
          <t>Có Tinh Thần Học Hỏi, Tiếng Hàn Thành thạo, Tin Học Văn Phòng</t>
        </is>
      </c>
      <c r="M10740" s="10" t="inlineStr">
        <is>
          <t>Bonus, Healthcare Plan, Paid Leave, Training, Laptop</t>
        </is>
      </c>
      <c r="N10740" s="11">
        <f>HYPERLINK("https://www.vietnamworks.com/nhan-vien-tieng-han-phong-khach-hang-doanh-nghiep-2023034-jv","Xem chi tiết")</f>
        <v/>
      </c>
      <c r="O10740" s="10" t="n"/>
    </row>
    <row r="10741">
      <c r="B10741" s="7" t="n">
        <v>10739</v>
      </c>
      <c r="C10741" t="inlineStr">
        <is>
          <t>Quản Lý Vận Hành Lưới Điện</t>
        </is>
      </c>
      <c r="D10741" t="inlineStr">
        <is>
          <t>New World Fashion Group</t>
        </is>
      </c>
      <c r="E10741" t="inlineStr">
        <is>
          <t>Thương lượng</t>
        </is>
      </c>
      <c r="F10741" t="inlineStr">
        <is>
          <t>Thái Bình</t>
        </is>
      </c>
      <c r="G10741" t="inlineStr">
        <is>
          <t>Nhân viên</t>
        </is>
      </c>
      <c r="H10741" t="inlineStr">
        <is>
          <t>13/03/2026</t>
        </is>
      </c>
      <c r="I10741" t="inlineStr">
        <is>
          <t>12/04/2026</t>
        </is>
      </c>
      <c r="J10741" t="inlineStr">
        <is>
          <t>17/03/2026</t>
        </is>
      </c>
      <c r="K10741" t="inlineStr">
        <is>
          <t>N/A</t>
        </is>
      </c>
      <c r="L10741" t="inlineStr">
        <is>
          <t>Hệ Thống Điện, Đánh Giá Lưới Điện, ETAP, Kỹ Thuật Điện, Tiếng  Anh Giao Tiếp</t>
        </is>
      </c>
      <c r="M10741" t="inlineStr">
        <is>
          <t>Bonus, Healthcare Plan, Others</t>
        </is>
      </c>
      <c r="N10741" s="8">
        <f>HYPERLINK("https://www.vietnamworks.com/quan-ly-van-hanh-luoi-dien--2023022-jv","Xem chi tiết")</f>
        <v/>
      </c>
    </row>
    <row r="10742">
      <c r="B10742" s="9" t="n">
        <v>10740</v>
      </c>
      <c r="C10742" s="10" t="inlineStr">
        <is>
          <t>Procurement Engineer/ Procurement Specialist - Urgent!</t>
        </is>
      </c>
      <c r="D10742" s="10" t="inlineStr">
        <is>
          <t>CÔNG TY TNHH ANAERGIA VIETNAM</t>
        </is>
      </c>
      <c r="E10742" s="10" t="inlineStr">
        <is>
          <t>Thương lượng</t>
        </is>
      </c>
      <c r="F10742" s="10" t="inlineStr">
        <is>
          <t>Hồ Chí Minh</t>
        </is>
      </c>
      <c r="G10742" s="10" t="inlineStr">
        <is>
          <t>Nhân viên</t>
        </is>
      </c>
      <c r="H10742" s="10" t="inlineStr">
        <is>
          <t>13/03/2026</t>
        </is>
      </c>
      <c r="I10742" s="10" t="inlineStr">
        <is>
          <t>12/04/2026</t>
        </is>
      </c>
      <c r="J10742" s="10" t="inlineStr">
        <is>
          <t>17/03/2026</t>
        </is>
      </c>
      <c r="K10742" s="10" t="inlineStr">
        <is>
          <t>N/A</t>
        </is>
      </c>
      <c r="L10742" s="10" t="inlineStr">
        <is>
          <t>Biogas Technology, Mua Hàng Kỹ Thuật, Technical Purchasing, Wastewater Treatment, Purchasing</t>
        </is>
      </c>
      <c r="M10742" s="10" t="inlineStr">
        <is>
          <t>Bonus, Healthcare Plan, Others</t>
        </is>
      </c>
      <c r="N10742" s="11">
        <f>HYPERLINK("https://www.vietnamworks.com/procurement-engineer-procurement-specialist-urgent-2023059-jv","Xem chi tiết")</f>
        <v/>
      </c>
      <c r="O10742" s="10" t="n"/>
    </row>
    <row r="10743">
      <c r="B10743" s="7" t="n">
        <v>10741</v>
      </c>
      <c r="C10743" t="inlineStr">
        <is>
          <t>Senior Accountant Executive</t>
        </is>
      </c>
      <c r="D10743" t="inlineStr">
        <is>
          <t>Boustead Projects (Vietnam) Co., Ltd</t>
        </is>
      </c>
      <c r="E10743" t="inlineStr">
        <is>
          <t>Thương lượng</t>
        </is>
      </c>
      <c r="F10743" t="inlineStr">
        <is>
          <t>Hồ Chí Minh</t>
        </is>
      </c>
      <c r="G10743" t="inlineStr">
        <is>
          <t>Nhân viên</t>
        </is>
      </c>
      <c r="H10743" t="inlineStr">
        <is>
          <t>13/03/2026</t>
        </is>
      </c>
      <c r="I10743" t="inlineStr">
        <is>
          <t>12/04/2026</t>
        </is>
      </c>
      <c r="J10743" t="inlineStr">
        <is>
          <t>17/03/2026</t>
        </is>
      </c>
      <c r="K10743" t="inlineStr">
        <is>
          <t>N/A</t>
        </is>
      </c>
      <c r="L10743" t="inlineStr">
        <is>
          <t>Organizational skills, Communication Skills, Accounting, Accounts Payable, Receivable Accounting</t>
        </is>
      </c>
      <c r="M10743" t="inlineStr">
        <is>
          <t>Bonus, Training</t>
        </is>
      </c>
      <c r="N10743" s="8">
        <f>HYPERLINK("https://www.vietnamworks.com/senior-accountant-executive-2023063-jv","Xem chi tiết")</f>
        <v/>
      </c>
    </row>
    <row r="10744">
      <c r="B10744" s="9" t="n">
        <v>10742</v>
      </c>
      <c r="C10744" s="10" t="inlineStr">
        <is>
          <t>Business Assistant to Director</t>
        </is>
      </c>
      <c r="D10744" s="10" t="inlineStr">
        <is>
          <t>Asia Link Co., Ltd.</t>
        </is>
      </c>
      <c r="E10744" s="10" t="inlineStr">
        <is>
          <t>20tr-30tr ₫/tháng</t>
        </is>
      </c>
      <c r="F10744" s="10" t="inlineStr">
        <is>
          <t>Hà Nội</t>
        </is>
      </c>
      <c r="G10744" s="10" t="inlineStr">
        <is>
          <t>Nhân viên</t>
        </is>
      </c>
      <c r="H10744" s="10" t="inlineStr">
        <is>
          <t>13/03/2026</t>
        </is>
      </c>
      <c r="I10744" s="10" t="inlineStr">
        <is>
          <t>12/04/2026</t>
        </is>
      </c>
      <c r="J10744" s="10" t="inlineStr">
        <is>
          <t>17/03/2026</t>
        </is>
      </c>
      <c r="K10744" s="10" t="inlineStr">
        <is>
          <t>N/A</t>
        </is>
      </c>
      <c r="L10744" s="10" t="inlineStr">
        <is>
          <t>Quản Lý Kinh Doanh, Sales Management, Sales Strategy, Phát Triển Thị Trường, Customer Relation</t>
        </is>
      </c>
      <c r="M10744" s="10" t="inlineStr">
        <is>
          <t>Bonus, Healthcare Plan, Training</t>
        </is>
      </c>
      <c r="N10744" s="11">
        <f>HYPERLINK("https://www.vietnamworks.com/business-assistant-to-director-2023071-jv","Xem chi tiết")</f>
        <v/>
      </c>
      <c r="O10744" s="10" t="n"/>
    </row>
    <row r="10745">
      <c r="B10745" s="7" t="n">
        <v>10743</v>
      </c>
      <c r="C10745" t="inlineStr">
        <is>
          <t>Chuyên Viên QLTK Kiến Trúc (Kiến trúc/Concept)</t>
        </is>
      </c>
      <c r="D10745" t="inlineStr">
        <is>
          <t>Tổng Công Ty Mbland - Mbland Holdings</t>
        </is>
      </c>
      <c r="E10745" t="inlineStr">
        <is>
          <t>Thương lượng</t>
        </is>
      </c>
      <c r="F10745" t="inlineStr">
        <is>
          <t>Hà Nội</t>
        </is>
      </c>
      <c r="G10745" t="inlineStr">
        <is>
          <t>Nhân viên</t>
        </is>
      </c>
      <c r="H10745" t="inlineStr">
        <is>
          <t>13/03/2026</t>
        </is>
      </c>
      <c r="I10745" t="inlineStr">
        <is>
          <t>12/04/2026</t>
        </is>
      </c>
      <c r="J10745" t="inlineStr">
        <is>
          <t>17/03/2026</t>
        </is>
      </c>
      <c r="K10745" t="inlineStr">
        <is>
          <t>N/A</t>
        </is>
      </c>
      <c r="L10745" t="inlineStr">
        <is>
          <t>Autocad, Kiến Trúc Công Trình, Lập Quy Hoạch, Quản Lý Công Việc, Thiết Kế Công Trình</t>
        </is>
      </c>
      <c r="M10745" t="inlineStr">
        <is>
          <t>Bonus, Travel Opportunities, Canteen, Others</t>
        </is>
      </c>
      <c r="N10745" s="8">
        <f>HYPERLINK("https://www.vietnamworks.com/chuyen-vien-qltk-kien-truc-kien-trucconcept-2023064-jv","Xem chi tiết")</f>
        <v/>
      </c>
    </row>
    <row r="10746">
      <c r="B10746" s="9" t="n">
        <v>10744</v>
      </c>
      <c r="C10746" s="10" t="inlineStr">
        <is>
          <t>Interpretor – BD Department</t>
        </is>
      </c>
      <c r="D10746" s="10" t="inlineStr">
        <is>
          <t>THAI BINH CENTRAL CITY DEVELOPMENT JSC</t>
        </is>
      </c>
      <c r="E10746" s="10" t="inlineStr">
        <is>
          <t>Thương lượng</t>
        </is>
      </c>
      <c r="F10746" s="10" t="inlineStr">
        <is>
          <t>Hưng Yên, Thái Bình</t>
        </is>
      </c>
      <c r="G10746" s="10" t="inlineStr">
        <is>
          <t>Nhân viên</t>
        </is>
      </c>
      <c r="H10746" s="10" t="inlineStr">
        <is>
          <t>13/03/2026</t>
        </is>
      </c>
      <c r="I10746" s="10" t="inlineStr">
        <is>
          <t>12/04/2026</t>
        </is>
      </c>
      <c r="J10746" s="10" t="inlineStr">
        <is>
          <t>17/03/2026</t>
        </is>
      </c>
      <c r="K10746" s="10" t="inlineStr">
        <is>
          <t>N/A</t>
        </is>
      </c>
      <c r="L10746" s="10" t="inlineStr">
        <is>
          <t>Korean, English, Phiên Dịch</t>
        </is>
      </c>
      <c r="M10746" s="10" t="inlineStr">
        <is>
          <t>Bonus, Healthcare Plan, Others</t>
        </is>
      </c>
      <c r="N10746" s="11">
        <f>HYPERLINK("https://www.vietnamworks.com/interpretor-bd-department-2023070-jv","Xem chi tiết")</f>
        <v/>
      </c>
      <c r="O10746" s="10" t="n"/>
    </row>
    <row r="10747">
      <c r="B10747" s="7" t="n">
        <v>10745</v>
      </c>
      <c r="C10747" t="inlineStr">
        <is>
          <t>Accounting Assistant Manager | Premium Health Insurance</t>
        </is>
      </c>
      <c r="D10747" t="inlineStr">
        <is>
          <t>First Trust ACPA Vietnam CO., LTD</t>
        </is>
      </c>
      <c r="E10747" t="inlineStr">
        <is>
          <t>$$ 500-10,000 /tháng</t>
        </is>
      </c>
      <c r="F10747" t="inlineStr">
        <is>
          <t>Hà Nội</t>
        </is>
      </c>
      <c r="G10747" t="inlineStr">
        <is>
          <t>Nhân viên</t>
        </is>
      </c>
      <c r="H10747" t="inlineStr">
        <is>
          <t>13/03/2026</t>
        </is>
      </c>
      <c r="I10747" t="inlineStr">
        <is>
          <t>12/04/2026</t>
        </is>
      </c>
      <c r="J10747" t="inlineStr">
        <is>
          <t>17/03/2026</t>
        </is>
      </c>
      <c r="K10747" t="inlineStr">
        <is>
          <t>N/A</t>
        </is>
      </c>
      <c r="L10747" t="inlineStr">
        <is>
          <t>Accounting Standards, Analytical Skills, Client Service Management, Leadership, Lean Processes</t>
        </is>
      </c>
      <c r="M10747" t="inlineStr">
        <is>
          <t>Training, Others</t>
        </is>
      </c>
      <c r="N10747" s="8">
        <f>HYPERLINK("https://www.vietnamworks.com/accounting-assistant-manager-premium-health-insurance-2023068-jv","Xem chi tiết")</f>
        <v/>
      </c>
    </row>
    <row r="10748">
      <c r="B10748" s="9" t="n">
        <v>10746</v>
      </c>
      <c r="C10748" s="10" t="inlineStr">
        <is>
          <t>Nhân Viên Kỹ Thuật</t>
        </is>
      </c>
      <c r="D10748" s="10" t="inlineStr">
        <is>
          <t>Công Ty TNHH Điện Tử Canon Việt Nam</t>
        </is>
      </c>
      <c r="E10748" s="10" t="inlineStr">
        <is>
          <t>Thương lượng</t>
        </is>
      </c>
      <c r="F10748" s="10" t="inlineStr">
        <is>
          <t>Hưng Yên</t>
        </is>
      </c>
      <c r="G10748" s="10" t="inlineStr">
        <is>
          <t>Nhân viên</t>
        </is>
      </c>
      <c r="H10748" s="10" t="inlineStr">
        <is>
          <t>13/03/2026</t>
        </is>
      </c>
      <c r="I10748" s="10" t="inlineStr">
        <is>
          <t>12/04/2026</t>
        </is>
      </c>
      <c r="J10748" s="10" t="inlineStr">
        <is>
          <t>17/03/2026</t>
        </is>
      </c>
      <c r="K10748" s="10" t="inlineStr">
        <is>
          <t>N/A</t>
        </is>
      </c>
      <c r="L10748" s="10" t="inlineStr">
        <is>
          <t>Đọc Bản Vẽ Kỹ Thuật, Lập Trình AutoCAD, Kỹ Thuật Khuôn Đúc Nhựa, Phân Tích Thiết Kế, Kiểm Tra Bản Vẽ Thiết Kế</t>
        </is>
      </c>
      <c r="M10748" s="10" t="inlineStr">
        <is>
          <t>Bonus, Paid Leave, Transportation</t>
        </is>
      </c>
      <c r="N10748" s="11">
        <f>HYPERLINK("https://www.vietnamworks.com/nhan-vien-ky-thuat-2023072-jv","Xem chi tiết")</f>
        <v/>
      </c>
      <c r="O10748" s="10" t="n"/>
    </row>
    <row r="10749">
      <c r="B10749" s="7" t="n">
        <v>10747</v>
      </c>
      <c r="C10749" t="inlineStr">
        <is>
          <t>Trưởng Phòng Kinh Doanh (Upto 50Tr)</t>
        </is>
      </c>
      <c r="D10749" t="inlineStr">
        <is>
          <t>Carpa Commercial Viet Nam JSC</t>
        </is>
      </c>
      <c r="E10749" t="inlineStr">
        <is>
          <t>Tới 50tr ₫/tháng</t>
        </is>
      </c>
      <c r="F10749" t="inlineStr">
        <is>
          <t>Hà Nội</t>
        </is>
      </c>
      <c r="G10749" t="inlineStr">
        <is>
          <t>Trưởng phòng</t>
        </is>
      </c>
      <c r="H10749" t="inlineStr">
        <is>
          <t>13/03/2026</t>
        </is>
      </c>
      <c r="I10749" t="inlineStr">
        <is>
          <t>12/04/2026</t>
        </is>
      </c>
      <c r="J10749" t="inlineStr">
        <is>
          <t>17/03/2026</t>
        </is>
      </c>
      <c r="K10749" t="inlineStr">
        <is>
          <t>N/A</t>
        </is>
      </c>
      <c r="L10749" t="inlineStr">
        <is>
          <t>Sales Strategy, B2B Sales, Quản Lý Kinh Doanh, Contract Negotiation, Lập Kế Hoạch Kinh Doanh</t>
        </is>
      </c>
      <c r="M10749" t="inlineStr">
        <is>
          <t>Bonus, Healthcare Plan</t>
        </is>
      </c>
      <c r="N10749" s="8">
        <f>HYPERLINK("https://www.vietnamworks.com/truong-phong-kinh-doanh-upto-50tr-2023078-jv","Xem chi tiết")</f>
        <v/>
      </c>
    </row>
    <row r="10750">
      <c r="B10750" s="9" t="n">
        <v>10748</v>
      </c>
      <c r="C10750" s="10" t="inlineStr">
        <is>
          <t>HR Senior Staff (Acting Manager) Training / Operations</t>
        </is>
      </c>
      <c r="D10750" s="10" t="inlineStr">
        <is>
          <t>International Business Center Company Limited</t>
        </is>
      </c>
      <c r="E10750" s="10" t="inlineStr">
        <is>
          <t>Thương lượng</t>
        </is>
      </c>
      <c r="F10750" s="10" t="inlineStr">
        <is>
          <t>Hồ Chí Minh</t>
        </is>
      </c>
      <c r="G10750" s="10" t="inlineStr">
        <is>
          <t>Trưởng phòng</t>
        </is>
      </c>
      <c r="H10750" s="10" t="inlineStr">
        <is>
          <t>13/03/2026</t>
        </is>
      </c>
      <c r="I10750" s="10" t="inlineStr">
        <is>
          <t>12/04/2026</t>
        </is>
      </c>
      <c r="J10750" s="10" t="inlineStr">
        <is>
          <t>17/03/2026</t>
        </is>
      </c>
      <c r="K10750" s="10" t="inlineStr">
        <is>
          <t>N/A</t>
        </is>
      </c>
      <c r="L10750" s="10" t="inlineStr">
        <is>
          <t>Compliance Training, Employee Relations, HR Operations, Labor Law, Handling Complaints</t>
        </is>
      </c>
      <c r="M10750" s="10" t="inlineStr">
        <is>
          <t>Bonus, Healthcare Plan, Awards, Others</t>
        </is>
      </c>
      <c r="N10750" s="11">
        <f>HYPERLINK("https://www.vietnamworks.com/hr-senior-staff-acting-manager-training-operations-2023073-jv","Xem chi tiết")</f>
        <v/>
      </c>
      <c r="O10750" s="10" t="n"/>
    </row>
    <row r="10751">
      <c r="B10751" s="7" t="n">
        <v>10749</v>
      </c>
      <c r="C10751" t="inlineStr">
        <is>
          <t>Customer Service Manager</t>
        </is>
      </c>
      <c r="D10751" t="inlineStr">
        <is>
          <t>Công Ty TNHH Gardenline International (VN)</t>
        </is>
      </c>
      <c r="E10751" t="inlineStr">
        <is>
          <t>Thương lượng</t>
        </is>
      </c>
      <c r="F10751" t="inlineStr">
        <is>
          <t>Bình Định, Hồ Chí Minh</t>
        </is>
      </c>
      <c r="G10751" t="inlineStr">
        <is>
          <t>Trưởng phòng</t>
        </is>
      </c>
      <c r="H10751" t="inlineStr">
        <is>
          <t>13/03/2026</t>
        </is>
      </c>
      <c r="I10751" t="inlineStr">
        <is>
          <t>12/04/2026</t>
        </is>
      </c>
      <c r="J10751" t="inlineStr">
        <is>
          <t>17/03/2026</t>
        </is>
      </c>
      <c r="K10751" t="inlineStr">
        <is>
          <t>N/A</t>
        </is>
      </c>
      <c r="L10751" t="inlineStr">
        <is>
          <t>Customer Service, Good Communication Skill, Customer Service Skill, Purchasing Skill, Furniture Management</t>
        </is>
      </c>
      <c r="M10751" t="inlineStr">
        <is>
          <t>Bonus, Healthcare Plan, Others</t>
        </is>
      </c>
      <c r="N10751" s="8">
        <f>HYPERLINK("https://www.vietnamworks.com/customer-service-manager--2023080-jv","Xem chi tiết")</f>
        <v/>
      </c>
    </row>
    <row r="10752">
      <c r="B10752" s="9" t="n">
        <v>10750</v>
      </c>
      <c r="C10752" s="10" t="inlineStr">
        <is>
          <t>Business Development Executive (NO KPI REQUESTED)</t>
        </is>
      </c>
      <c r="D10752" s="10" t="inlineStr">
        <is>
          <t>CÔNG TY TNHH ANINDYA VIỆT NAM</t>
        </is>
      </c>
      <c r="E10752" s="10" t="inlineStr">
        <is>
          <t>15tr-20tr ₫/tháng</t>
        </is>
      </c>
      <c r="F10752" s="10" t="inlineStr">
        <is>
          <t>Hồ Chí Minh</t>
        </is>
      </c>
      <c r="G10752" s="10" t="inlineStr">
        <is>
          <t>Nhân viên</t>
        </is>
      </c>
      <c r="H10752" s="10" t="inlineStr">
        <is>
          <t>13/03/2026</t>
        </is>
      </c>
      <c r="I10752" s="10" t="inlineStr">
        <is>
          <t>12/04/2026</t>
        </is>
      </c>
      <c r="J10752" s="10" t="inlineStr">
        <is>
          <t>17/03/2026</t>
        </is>
      </c>
      <c r="K10752" s="10" t="inlineStr">
        <is>
          <t>N/A</t>
        </is>
      </c>
      <c r="L10752" s="10" t="inlineStr">
        <is>
          <t>Business Development, Client Service Management, Negotiation Skills, Communication Skills, English Language Proficiency</t>
        </is>
      </c>
      <c r="M10752" s="10" t="inlineStr">
        <is>
          <t>Bonus, Healthcare Plan</t>
        </is>
      </c>
      <c r="N10752" s="11">
        <f>HYPERLINK("https://www.vietnamworks.com/business-development-executive-no-kpi-requested-2023067-jv","Xem chi tiết")</f>
        <v/>
      </c>
      <c r="O10752" s="10" t="n"/>
    </row>
    <row r="10753">
      <c r="B10753" s="7" t="n">
        <v>10751</v>
      </c>
      <c r="C10753" t="inlineStr">
        <is>
          <t>Chỉ Huy Trưởng - Hạ Tầng Kỹ Thuật</t>
        </is>
      </c>
      <c r="D10753" t="inlineStr">
        <is>
          <t>CÔNG TY CỔ PHẦN TẬP ĐOÀN ĐẦU TƯ HOÀNG GIA VIỆT NAM</t>
        </is>
      </c>
      <c r="E10753" t="inlineStr">
        <is>
          <t>35tr-45tr ₫/tháng</t>
        </is>
      </c>
      <c r="F10753" t="inlineStr">
        <is>
          <t>Long An</t>
        </is>
      </c>
      <c r="G10753" t="inlineStr">
        <is>
          <t>Trưởng phòng</t>
        </is>
      </c>
      <c r="H10753" t="inlineStr">
        <is>
          <t>13/03/2026</t>
        </is>
      </c>
      <c r="I10753" t="inlineStr">
        <is>
          <t>12/04/2026</t>
        </is>
      </c>
      <c r="J10753" t="inlineStr">
        <is>
          <t>17/03/2026</t>
        </is>
      </c>
      <c r="K10753" t="inlineStr">
        <is>
          <t>N/A</t>
        </is>
      </c>
      <c r="L10753" t="inlineStr">
        <is>
          <t>An Toàn Giao Thông, Cấp Thoát Nước, Hạ Tầng, Xây Dựng, Chỉ Huy Trưởng</t>
        </is>
      </c>
      <c r="M10753" t="inlineStr">
        <is>
          <t>Bonus, Healthcare Plan, Paid Leave, Training, Laptop, Travel Opportunities, Transportation, Others</t>
        </is>
      </c>
      <c r="N10753" s="8">
        <f>HYPERLINK("https://www.vietnamworks.com/chi-huy-truong-ha-tang-ky-thuat-2023062-jv","Xem chi tiết")</f>
        <v/>
      </c>
    </row>
    <row r="10754">
      <c r="B10754" s="9" t="n">
        <v>10752</v>
      </c>
      <c r="C10754" s="10" t="inlineStr">
        <is>
          <t>Nhân Viên Xuất Khẩu Khoáng Sản Export Sales Tại Hoàng Mai, Hà Nội</t>
        </is>
      </c>
      <c r="D10754" s="10" t="inlineStr">
        <is>
          <t>Hệ thống Công ty Nguyễn Vinh – VMPC – Nguyễn Vinh EP</t>
        </is>
      </c>
      <c r="E10754" s="10" t="inlineStr">
        <is>
          <t>$$ 340-420 /tháng</t>
        </is>
      </c>
      <c r="F10754" s="10" t="inlineStr">
        <is>
          <t>Hà Nội</t>
        </is>
      </c>
      <c r="G10754" s="10" t="inlineStr">
        <is>
          <t>Nhân viên</t>
        </is>
      </c>
      <c r="H10754" s="10" t="inlineStr">
        <is>
          <t>13/03/2026</t>
        </is>
      </c>
      <c r="I10754" s="10" t="inlineStr">
        <is>
          <t>12/04/2026</t>
        </is>
      </c>
      <c r="J10754" s="10" t="inlineStr">
        <is>
          <t>17/03/2026</t>
        </is>
      </c>
      <c r="K10754" s="10" t="inlineStr">
        <is>
          <t>N/A</t>
        </is>
      </c>
      <c r="L10754" s="10" t="inlineStr">
        <is>
          <t>Giao Tiếp Tiếng Anh, Tiếng Anh Lưu Loát, Sales Export, Kinh Doanh Khoáng Sản, Sales</t>
        </is>
      </c>
      <c r="M10754" s="10" t="inlineStr">
        <is>
          <t>Bonus, Healthcare Plan, Travel Opportunities</t>
        </is>
      </c>
      <c r="N10754" s="11">
        <f>HYPERLINK("https://www.vietnamworks.com/nhan-vien-xuat-khau-khoang-san-export-sales-tai-hoang-mai-ha-noi-2023066-jv","Xem chi tiết")</f>
        <v/>
      </c>
      <c r="O10754" s="10" t="n"/>
    </row>
    <row r="10755">
      <c r="B10755" s="7" t="n">
        <v>10753</v>
      </c>
      <c r="C10755" t="inlineStr">
        <is>
          <t>Maintenance Engineer/ Kỹ Sư Bảo Trì- Work in Nui Thanh, Da Nang (Huyện Núi Thành, Tỉnh Quảng Nam Cũ)</t>
        </is>
      </c>
      <c r="D10755" t="inlineStr">
        <is>
          <t>Công Ty TNHH CCI Việt Nam</t>
        </is>
      </c>
      <c r="E10755" t="inlineStr">
        <is>
          <t>Thương lượng</t>
        </is>
      </c>
      <c r="F10755" t="inlineStr">
        <is>
          <t>Đà Nẵng</t>
        </is>
      </c>
      <c r="G10755" t="inlineStr">
        <is>
          <t>Nhân viên</t>
        </is>
      </c>
      <c r="H10755" t="inlineStr">
        <is>
          <t>13/03/2026</t>
        </is>
      </c>
      <c r="I10755" t="inlineStr">
        <is>
          <t>12/04/2026</t>
        </is>
      </c>
      <c r="J10755" t="inlineStr">
        <is>
          <t>17/03/2026</t>
        </is>
      </c>
      <c r="K10755" t="inlineStr">
        <is>
          <t>N/A</t>
        </is>
      </c>
      <c r="L10755" t="inlineStr">
        <is>
          <t>Mechanical, Electrical, Automation, AutoCAD, SolidWorks</t>
        </is>
      </c>
      <c r="M10755" t="inlineStr">
        <is>
          <t>Bonus, Healthcare Plan, Paid Leave</t>
        </is>
      </c>
      <c r="N10755" s="8">
        <f>HYPERLINK("https://www.vietnamworks.com/maintenance-engineer-ky-su-bao-tri-work-in-nui-thanh-da-nang-huyen-nui-thanh-tinh-quang-nam-cu--2023075-jv","Xem chi tiết")</f>
        <v/>
      </c>
    </row>
    <row r="10756">
      <c r="B10756" s="9" t="n">
        <v>10754</v>
      </c>
      <c r="C10756" s="10" t="inlineStr">
        <is>
          <t>Accounting Senior Associate | Premium Health Insurance</t>
        </is>
      </c>
      <c r="D10756" s="10" t="inlineStr">
        <is>
          <t>First Trust ACPA Vietnam CO., LTD</t>
        </is>
      </c>
      <c r="E10756" s="10" t="inlineStr">
        <is>
          <t>Thương lượng</t>
        </is>
      </c>
      <c r="F10756" s="10" t="inlineStr">
        <is>
          <t>Hà Nội</t>
        </is>
      </c>
      <c r="G10756" s="10" t="inlineStr">
        <is>
          <t>Nhân viên</t>
        </is>
      </c>
      <c r="H10756" s="10" t="inlineStr">
        <is>
          <t>13/03/2026</t>
        </is>
      </c>
      <c r="I10756" s="10" t="inlineStr">
        <is>
          <t>12/04/2026</t>
        </is>
      </c>
      <c r="J10756" s="10" t="inlineStr">
        <is>
          <t>17/03/2026</t>
        </is>
      </c>
      <c r="K10756" s="10" t="inlineStr">
        <is>
          <t>N/A</t>
        </is>
      </c>
      <c r="L10756" s="10" t="inlineStr">
        <is>
          <t>ACCA, Accounting Software, Accounting Standards, English Communication, Financial Reporting</t>
        </is>
      </c>
      <c r="M10756" s="10" t="inlineStr">
        <is>
          <t>Training, Others</t>
        </is>
      </c>
      <c r="N10756" s="11">
        <f>HYPERLINK("https://www.vietnamworks.com/accounting-senior-associate-or-premium-health-insurance-2023065-jv","Xem chi tiết")</f>
        <v/>
      </c>
      <c r="O10756" s="10" t="n"/>
    </row>
    <row r="10757">
      <c r="B10757" s="7" t="n">
        <v>10755</v>
      </c>
      <c r="C10757" t="inlineStr">
        <is>
          <t>Trưởng Phòng Marketing</t>
        </is>
      </c>
      <c r="D10757" t="inlineStr">
        <is>
          <t>Công Ty Cổ Phần Thương Mại Và Dịch Vụ Hành Tinh Xanh</t>
        </is>
      </c>
      <c r="E10757" t="inlineStr">
        <is>
          <t>$$ 15tr-20tr /tháng</t>
        </is>
      </c>
      <c r="F10757" t="inlineStr">
        <is>
          <t>Hà Nội</t>
        </is>
      </c>
      <c r="G10757" t="inlineStr">
        <is>
          <t>Trưởng phòng</t>
        </is>
      </c>
      <c r="H10757" t="inlineStr">
        <is>
          <t>13/03/2026</t>
        </is>
      </c>
      <c r="I10757" t="inlineStr">
        <is>
          <t>12/04/2026</t>
        </is>
      </c>
      <c r="J10757" t="inlineStr">
        <is>
          <t>17/03/2026</t>
        </is>
      </c>
      <c r="K10757" t="inlineStr">
        <is>
          <t>N/A</t>
        </is>
      </c>
      <c r="L10757" t="inlineStr">
        <is>
          <t>SEO Tools, Google Analytics, Google Ads, Facebook Business, Facebook Ads</t>
        </is>
      </c>
      <c r="M10757" t="inlineStr">
        <is>
          <t>Bonus, Healthcare Plan, Training</t>
        </is>
      </c>
      <c r="N10757" s="8">
        <f>HYPERLINK("https://www.vietnamworks.com/truong-phong-marketing--2023061-jv","Xem chi tiết")</f>
        <v/>
      </c>
    </row>
    <row r="10758">
      <c r="B10758" s="9" t="n">
        <v>10756</v>
      </c>
      <c r="C10758" s="10" t="inlineStr">
        <is>
          <t>Customer Services Staff (Tiếng Trung)</t>
        </is>
      </c>
      <c r="D10758" s="10" t="inlineStr">
        <is>
          <t>Công Ty TNHH Dịch Vụ Giao Nhận Hàng Hóa Thời Gian</t>
        </is>
      </c>
      <c r="E10758" s="10" t="inlineStr">
        <is>
          <t>Thương lượng</t>
        </is>
      </c>
      <c r="F10758" s="10" t="inlineStr">
        <is>
          <t>Hồ Chí Minh</t>
        </is>
      </c>
      <c r="G10758" s="10" t="inlineStr">
        <is>
          <t>Nhân viên</t>
        </is>
      </c>
      <c r="H10758" s="10" t="inlineStr">
        <is>
          <t>13/03/2026</t>
        </is>
      </c>
      <c r="I10758" s="10" t="inlineStr">
        <is>
          <t>12/04/2026</t>
        </is>
      </c>
      <c r="J10758" s="10" t="inlineStr">
        <is>
          <t>17/03/2026</t>
        </is>
      </c>
      <c r="K10758" s="10" t="inlineStr">
        <is>
          <t>N/A</t>
        </is>
      </c>
      <c r="L10758" s="10" t="inlineStr">
        <is>
          <t>Xuất Nhập Khẩu &amp; Logistics, Customer Service, Logistics, Freight Forwarder, Vận Chuyển Quốc Tế</t>
        </is>
      </c>
      <c r="M10758" s="10" t="inlineStr">
        <is>
          <t>Bonus, Paid Leave, Training</t>
        </is>
      </c>
      <c r="N10758" s="11">
        <f>HYPERLINK("https://www.vietnamworks.com/customer-services-staff-tieng-trung-2023069-jv","Xem chi tiết")</f>
        <v/>
      </c>
      <c r="O10758" s="10" t="n"/>
    </row>
    <row r="10759">
      <c r="B10759" s="7" t="n">
        <v>10757</v>
      </c>
      <c r="C10759" t="inlineStr">
        <is>
          <t>Phiên Dịch Tiếng Trung (Chinese Interpreter – Dự Án Kỹ Thuật) Lương 20 – 25 Triệu</t>
        </is>
      </c>
      <c r="D10759" t="inlineStr">
        <is>
          <t>Công ty Cổ phần Thiết bị Mỹ Kim</t>
        </is>
      </c>
      <c r="E10759" t="inlineStr">
        <is>
          <t>20tr-25tr ₫/tháng</t>
        </is>
      </c>
      <c r="F10759" t="inlineStr">
        <is>
          <t>Hà Nội</t>
        </is>
      </c>
      <c r="G10759" t="inlineStr">
        <is>
          <t>Nhân viên</t>
        </is>
      </c>
      <c r="H10759" t="inlineStr">
        <is>
          <t>13/03/2026</t>
        </is>
      </c>
      <c r="I10759" t="inlineStr">
        <is>
          <t>12/04/2026</t>
        </is>
      </c>
      <c r="J10759" t="inlineStr">
        <is>
          <t>17/03/2026</t>
        </is>
      </c>
      <c r="K10759" t="inlineStr">
        <is>
          <t>N/A</t>
        </is>
      </c>
      <c r="L10759" t="inlineStr">
        <is>
          <t>Biên Phiên Dịch, Phiên dịch tiếng Trung, HSK5, Phiên Dịch Hiện Trường, Phiên Dịch Tài Liệu</t>
        </is>
      </c>
      <c r="M10759" t="inlineStr">
        <is>
          <t>Bonus, Healthcare Plan, Travel Opportunities</t>
        </is>
      </c>
      <c r="N10759" s="8">
        <f>HYPERLINK("https://www.vietnamworks.com/phien-dich-tieng-trung-chinese-interpreter-du-an-ky-thuat-luong-20-25-trieu-2023082-jv","Xem chi tiết")</f>
        <v/>
      </c>
    </row>
    <row r="10760">
      <c r="B10760" s="9" t="n">
        <v>10758</v>
      </c>
      <c r="C10760" s="10" t="inlineStr">
        <is>
          <t>Nhân Viên Vận Hành Máy In Kỹ Thuật Số</t>
        </is>
      </c>
      <c r="D10760" s="10" t="inlineStr">
        <is>
          <t>CÔNG TY TNHH MTV PNS CHUN</t>
        </is>
      </c>
      <c r="E10760" s="10" t="inlineStr">
        <is>
          <t>Thương lượng</t>
        </is>
      </c>
      <c r="F10760" s="10" t="inlineStr">
        <is>
          <t>Quảng Ngãi</t>
        </is>
      </c>
      <c r="G10760" s="10" t="inlineStr">
        <is>
          <t>Mới Tốt Nghiệp</t>
        </is>
      </c>
      <c r="H10760" s="10" t="inlineStr">
        <is>
          <t>13/03/2026</t>
        </is>
      </c>
      <c r="I10760" s="10" t="inlineStr">
        <is>
          <t>12/04/2026</t>
        </is>
      </c>
      <c r="J10760" s="10" t="inlineStr">
        <is>
          <t>17/03/2026</t>
        </is>
      </c>
      <c r="K10760" s="10" t="inlineStr">
        <is>
          <t>N/A</t>
        </is>
      </c>
      <c r="L10760" s="10" t="inlineStr">
        <is>
          <t>Bảo Trì Máy, Cẩn Thận Và Tỉ Mỉ, In Vải, Vận Hành Máy In</t>
        </is>
      </c>
      <c r="M10760" s="10" t="inlineStr">
        <is>
          <t>Bonus, Healthcare Plan, Team Activities, Others</t>
        </is>
      </c>
      <c r="N10760" s="11">
        <f>HYPERLINK("https://www.vietnamworks.com/nhan-vien-van-hanh-may-in-ky-thuat-so-2023081-jv","Xem chi tiết")</f>
        <v/>
      </c>
      <c r="O10760" s="10" t="n"/>
    </row>
    <row r="10761">
      <c r="B10761" s="7" t="n">
        <v>10759</v>
      </c>
      <c r="C10761" t="inlineStr">
        <is>
          <t>Collection Manager</t>
        </is>
      </c>
      <c r="D10761" t="inlineStr">
        <is>
          <t>CÔNG TY TNHH HANMIR</t>
        </is>
      </c>
      <c r="E10761" t="inlineStr">
        <is>
          <t>Thương lượng</t>
        </is>
      </c>
      <c r="F10761" t="inlineStr">
        <is>
          <t>Hồ Chí Minh</t>
        </is>
      </c>
      <c r="G10761" t="inlineStr">
        <is>
          <t>Trưởng phòng</t>
        </is>
      </c>
      <c r="H10761" t="inlineStr">
        <is>
          <t>13/03/2026</t>
        </is>
      </c>
      <c r="I10761" t="inlineStr">
        <is>
          <t>12/04/2026</t>
        </is>
      </c>
      <c r="J10761" t="inlineStr">
        <is>
          <t>17/03/2026</t>
        </is>
      </c>
      <c r="K10761" t="inlineStr">
        <is>
          <t>N/A</t>
        </is>
      </c>
      <c r="L10761" t="inlineStr">
        <is>
          <t>Debt Collection, Giám Sát Thu Nợ, Quản Lý Thu Hồi Nợ, Thu Hồi Công Nợ, Xử Lý Nợ</t>
        </is>
      </c>
      <c r="M10761" t="inlineStr">
        <is>
          <t>Bonus, Healthcare Plan, Paid Leave, Transportation, Others</t>
        </is>
      </c>
      <c r="N10761" s="8">
        <f>HYPERLINK("https://www.vietnamworks.com/collection-manager--2023084-jv","Xem chi tiết")</f>
        <v/>
      </c>
    </row>
    <row r="10762">
      <c r="B10762" s="9" t="n">
        <v>10760</v>
      </c>
      <c r="C10762" s="10" t="inlineStr">
        <is>
          <t>Sales Admin</t>
        </is>
      </c>
      <c r="D10762" s="10" t="inlineStr">
        <is>
          <t>Công Ty TNHH Thang Máy VGSI</t>
        </is>
      </c>
      <c r="E10762" s="10" t="inlineStr">
        <is>
          <t>Từ 11tr ₫/tháng</t>
        </is>
      </c>
      <c r="F10762" s="10" t="inlineStr">
        <is>
          <t>Hồ Chí Minh</t>
        </is>
      </c>
      <c r="G10762" s="10" t="inlineStr">
        <is>
          <t>Mới Tốt Nghiệp</t>
        </is>
      </c>
      <c r="H10762" s="10" t="inlineStr">
        <is>
          <t>13/03/2026</t>
        </is>
      </c>
      <c r="I10762" s="10" t="inlineStr">
        <is>
          <t>12/04/2026</t>
        </is>
      </c>
      <c r="J10762" s="10" t="inlineStr">
        <is>
          <t>17/03/2026</t>
        </is>
      </c>
      <c r="K10762" s="10" t="inlineStr">
        <is>
          <t>N/A</t>
        </is>
      </c>
      <c r="L10762" s="10" t="inlineStr">
        <is>
          <t>Communication Skills, General Communication English, Multitasking Skills, Organizational skills, Problem-solving</t>
        </is>
      </c>
      <c r="M10762" s="10" t="inlineStr">
        <is>
          <t>Bonus, Healthcare Plan, Laptop, Vouchers</t>
        </is>
      </c>
      <c r="N10762" s="11">
        <f>HYPERLINK("https://www.vietnamworks.com/sales-admin-2023093-jv","Xem chi tiết")</f>
        <v/>
      </c>
      <c r="O10762" s="10" t="n"/>
    </row>
    <row r="10763">
      <c r="B10763" s="7" t="n">
        <v>10761</v>
      </c>
      <c r="C10763" t="inlineStr">
        <is>
          <t>Chuyên Viên Tuyển Dụng</t>
        </is>
      </c>
      <c r="D10763" t="inlineStr">
        <is>
          <t>Công Ty Cổ Phần Dệt Bảo Minh</t>
        </is>
      </c>
      <c r="E10763" t="inlineStr">
        <is>
          <t>Thương lượng</t>
        </is>
      </c>
      <c r="F10763" t="inlineStr">
        <is>
          <t>Nam Định, Ninh Bình, Hà Nội</t>
        </is>
      </c>
      <c r="G10763" t="inlineStr">
        <is>
          <t>Nhân viên</t>
        </is>
      </c>
      <c r="H10763" t="inlineStr">
        <is>
          <t>13/03/2026</t>
        </is>
      </c>
      <c r="I10763" t="inlineStr">
        <is>
          <t>12/04/2026</t>
        </is>
      </c>
      <c r="J10763" t="inlineStr">
        <is>
          <t>17/03/2026</t>
        </is>
      </c>
      <c r="K10763" t="inlineStr">
        <is>
          <t>N/A</t>
        </is>
      </c>
      <c r="L10763" t="inlineStr">
        <is>
          <t>Hành Chính Nhân Sự, HR Recruitment, Nhân Sự, Phỏng Vấn Tuyển Dụng, Tuyển Dụng</t>
        </is>
      </c>
      <c r="M10763" t="inlineStr">
        <is>
          <t>Healthcare Plan, Others</t>
        </is>
      </c>
      <c r="N10763" s="8">
        <f>HYPERLINK("https://www.vietnamworks.com/chuyen-vien-tuyen-dung-2023087-jv","Xem chi tiết")</f>
        <v/>
      </c>
    </row>
    <row r="10764">
      <c r="B10764" s="9" t="n">
        <v>10762</v>
      </c>
      <c r="C10764" s="10" t="inlineStr">
        <is>
          <t>BIM Modeler - Thu Nhập Upto 17Tr/tháng - Không Yêu Cầu Kinh Nghiệm</t>
        </is>
      </c>
      <c r="D10764" s="10" t="inlineStr">
        <is>
          <t>Công ty TNHH tư vấn và thiết kế DigiBIM</t>
        </is>
      </c>
      <c r="E10764" s="10" t="inlineStr">
        <is>
          <t>10tr-17tr ₫/tháng</t>
        </is>
      </c>
      <c r="F10764" s="10" t="inlineStr">
        <is>
          <t>Hà Nội</t>
        </is>
      </c>
      <c r="G10764" s="10" t="inlineStr">
        <is>
          <t>Mới Tốt Nghiệp</t>
        </is>
      </c>
      <c r="H10764" s="10" t="inlineStr">
        <is>
          <t>13/03/2026</t>
        </is>
      </c>
      <c r="I10764" s="10" t="inlineStr">
        <is>
          <t>12/04/2026</t>
        </is>
      </c>
      <c r="J10764" s="10" t="inlineStr">
        <is>
          <t>17/03/2026</t>
        </is>
      </c>
      <c r="K10764" s="10" t="inlineStr">
        <is>
          <t>N/A</t>
        </is>
      </c>
      <c r="L10764" s="10" t="inlineStr">
        <is>
          <t>Autocad, Lập Bản Vẽ Thi Công, Revit, BIM, Shop Drawing</t>
        </is>
      </c>
      <c r="M10764" s="10" t="inlineStr">
        <is>
          <t>Bonus, Training, Others</t>
        </is>
      </c>
      <c r="N10764" s="11">
        <f>HYPERLINK("https://www.vietnamworks.com/bim-modeler-thu-nhap-upto-17trthang-khong-yeu-cau-kinh-nghiem-2023094-jv","Xem chi tiết")</f>
        <v/>
      </c>
      <c r="O10764" s="10" t="n"/>
    </row>
    <row r="10765">
      <c r="B10765" s="7" t="n">
        <v>10763</v>
      </c>
      <c r="C10765" t="inlineStr">
        <is>
          <t>Engineering Engineer/ Kỹ Sư Bộ Phận Kỹ Thuật - Work in Nui Thanh, Da Nang (Huyện Núi Thành, Tỉnh Quảng Nam Cũ)</t>
        </is>
      </c>
      <c r="D10765" t="inlineStr">
        <is>
          <t>Công Ty TNHH CCI Việt Nam</t>
        </is>
      </c>
      <c r="E10765" t="inlineStr">
        <is>
          <t>Thương lượng</t>
        </is>
      </c>
      <c r="F10765" t="inlineStr">
        <is>
          <t>Đà Nẵng</t>
        </is>
      </c>
      <c r="G10765" t="inlineStr">
        <is>
          <t>Nhân viên</t>
        </is>
      </c>
      <c r="H10765" t="inlineStr">
        <is>
          <t>13/03/2026</t>
        </is>
      </c>
      <c r="I10765" t="inlineStr">
        <is>
          <t>12/04/2026</t>
        </is>
      </c>
      <c r="J10765" t="inlineStr">
        <is>
          <t>17/03/2026</t>
        </is>
      </c>
      <c r="K10765" t="inlineStr">
        <is>
          <t>N/A</t>
        </is>
      </c>
      <c r="L10765" t="inlineStr">
        <is>
          <t>Cơ Khí, Machine Design, AutoCAD, Electrical, Mechanical</t>
        </is>
      </c>
      <c r="M10765" t="inlineStr">
        <is>
          <t>Bonus, Travel Opportunities</t>
        </is>
      </c>
      <c r="N10765" s="8">
        <f>HYPERLINK("https://www.vietnamworks.com/engineering-engineer-ky-su-bo-phan-ky-thuat-work-in-nui-thanh-da-nang-huyen-nui-thanh-tinh-quang-nam-cu--2023083-jv","Xem chi tiết")</f>
        <v/>
      </c>
    </row>
    <row r="10766">
      <c r="B10766" s="9" t="n">
        <v>10764</v>
      </c>
      <c r="C10766" s="10" t="inlineStr">
        <is>
          <t>Manager/Senior Manager - Credit Risk Consulting</t>
        </is>
      </c>
      <c r="D10766" s="10" t="inlineStr">
        <is>
          <t>PwC (Vietnam) Ltd.</t>
        </is>
      </c>
      <c r="E10766" s="10" t="inlineStr">
        <is>
          <t>Thương lượng</t>
        </is>
      </c>
      <c r="F10766" s="10" t="inlineStr">
        <is>
          <t>Hồ Chí Minh</t>
        </is>
      </c>
      <c r="G10766" s="10" t="inlineStr">
        <is>
          <t>Trưởng phòng</t>
        </is>
      </c>
      <c r="H10766" s="10" t="inlineStr">
        <is>
          <t>13/03/2026</t>
        </is>
      </c>
      <c r="I10766" s="10" t="inlineStr">
        <is>
          <t>12/04/2026</t>
        </is>
      </c>
      <c r="J10766" s="10" t="inlineStr">
        <is>
          <t>17/03/2026</t>
        </is>
      </c>
      <c r="K10766" s="10" t="inlineStr">
        <is>
          <t>N/A</t>
        </is>
      </c>
      <c r="L10766" s="10" t="inlineStr">
        <is>
          <t>Analytical Thinking, Basel II, Credit Risk Modeling, Data Analysis, SQL</t>
        </is>
      </c>
      <c r="M10766" s="10" t="inlineStr">
        <is>
          <t>Bonus, Healthcare Plan</t>
        </is>
      </c>
      <c r="N10766" s="11">
        <f>HYPERLINK("https://www.vietnamworks.com/managersenior-manager-credit-risk-consulting-2023088-jv","Xem chi tiết")</f>
        <v/>
      </c>
      <c r="O10766" s="10" t="n"/>
    </row>
    <row r="10767">
      <c r="B10767" s="7" t="n">
        <v>10765</v>
      </c>
      <c r="C10767" t="inlineStr">
        <is>
          <t>Nhân Viên Vận Hành Máy In Chuyển Nhiệt – Heat Transfer Printing</t>
        </is>
      </c>
      <c r="D10767" t="inlineStr">
        <is>
          <t>CÔNG TY TNHH MTV PNS CHUN</t>
        </is>
      </c>
      <c r="E10767" t="inlineStr">
        <is>
          <t>Thương lượng</t>
        </is>
      </c>
      <c r="F10767" t="inlineStr">
        <is>
          <t>Quảng Ngãi</t>
        </is>
      </c>
      <c r="G10767" t="inlineStr">
        <is>
          <t>Mới Tốt Nghiệp</t>
        </is>
      </c>
      <c r="H10767" t="inlineStr">
        <is>
          <t>13/03/2026</t>
        </is>
      </c>
      <c r="I10767" t="inlineStr">
        <is>
          <t>12/04/2026</t>
        </is>
      </c>
      <c r="J10767" t="inlineStr">
        <is>
          <t>17/03/2026</t>
        </is>
      </c>
      <c r="K10767" t="inlineStr">
        <is>
          <t>N/A</t>
        </is>
      </c>
      <c r="L10767" t="inlineStr">
        <is>
          <t>Hoá Học Kỹ Thuật, Kỹ Thuật In, Máy In Công Nghiệp, Vận Hành Máy In, Xử Lý Nhiệt</t>
        </is>
      </c>
      <c r="M10767" t="inlineStr">
        <is>
          <t>Bonus, Healthcare Plan, Team Activities, Others</t>
        </is>
      </c>
      <c r="N10767" s="8">
        <f>HYPERLINK("https://www.vietnamworks.com/nhan-vien-van-hanh-may-in-chuyen-nhiet-heat-transfer-printing-2023085-jv","Xem chi tiết")</f>
        <v/>
      </c>
    </row>
    <row r="10768">
      <c r="B10768" s="9" t="n">
        <v>10766</v>
      </c>
      <c r="C10768" s="10" t="inlineStr">
        <is>
          <t>Nhân Viên Giám Sát Thi Công Nội Thất</t>
        </is>
      </c>
      <c r="D10768" s="10" t="inlineStr">
        <is>
          <t>Công ty Cổ phần Xuất nhập khẩu và Phân phối Phú Thái</t>
        </is>
      </c>
      <c r="E10768" s="10" t="inlineStr">
        <is>
          <t>Thương lượng</t>
        </is>
      </c>
      <c r="F10768" s="10" t="inlineStr">
        <is>
          <t>Hà Nội</t>
        </is>
      </c>
      <c r="G10768" s="10" t="inlineStr">
        <is>
          <t>Nhân viên</t>
        </is>
      </c>
      <c r="H10768" s="10" t="inlineStr">
        <is>
          <t>13/03/2026</t>
        </is>
      </c>
      <c r="I10768" s="10" t="inlineStr">
        <is>
          <t>12/04/2026</t>
        </is>
      </c>
      <c r="J10768" s="10" t="inlineStr">
        <is>
          <t>17/03/2026</t>
        </is>
      </c>
      <c r="K10768" s="10" t="inlineStr">
        <is>
          <t>N/A</t>
        </is>
      </c>
      <c r="L10768" s="10" t="inlineStr">
        <is>
          <t>Giám Sát Thi Công, Đọc Bản Vẽ Kỹ Thuật, Quản Trị Tiến Độ, Kiểm Vật Tư, trách nhiệm cao</t>
        </is>
      </c>
      <c r="M10768" s="10" t="inlineStr">
        <is>
          <t>Bonus, Healthcare Plan, Travel Opportunities, Team Activities, Canteen, Others</t>
        </is>
      </c>
      <c r="N10768" s="11">
        <f>HYPERLINK("https://www.vietnamworks.com/nhan-vien-giam-sat-thi-cong-noi-that-2023106-jv","Xem chi tiết")</f>
        <v/>
      </c>
      <c r="O10768" s="10" t="n"/>
    </row>
    <row r="10769">
      <c r="B10769" s="7" t="n">
        <v>10767</v>
      </c>
      <c r="C10769" t="inlineStr">
        <is>
          <t>(Tuyển Gấp) Giám Sát Phòng Quản Lý Mua Bán (Supervisor) - Có Xe Đưa Đón Hà Nội</t>
        </is>
      </c>
      <c r="D10769" t="inlineStr">
        <is>
          <t>Công ty TNHH Vietinak</t>
        </is>
      </c>
      <c r="E10769" t="inlineStr">
        <is>
          <t>Thương lượng</t>
        </is>
      </c>
      <c r="F10769" t="inlineStr">
        <is>
          <t>Hưng Yên, Hải Dương, Hà Nội</t>
        </is>
      </c>
      <c r="G10769" t="inlineStr">
        <is>
          <t>Trưởng phòng</t>
        </is>
      </c>
      <c r="H10769" t="inlineStr">
        <is>
          <t>13/03/2026</t>
        </is>
      </c>
      <c r="I10769" t="inlineStr">
        <is>
          <t>12/04/2026</t>
        </is>
      </c>
      <c r="J10769" t="inlineStr">
        <is>
          <t>17/03/2026</t>
        </is>
      </c>
      <c r="K10769" t="inlineStr">
        <is>
          <t>N/A</t>
        </is>
      </c>
      <c r="L10769" t="inlineStr">
        <is>
          <t>Chứng Từ Xuất Nhập Khẩu, Giao Nhận Hàng, Thủ Tục Hải Quan, Báo Cáo Quyết Toán</t>
        </is>
      </c>
      <c r="M10769" t="inlineStr">
        <is>
          <t>Paid Leave, Travel Opportunities, Transportation</t>
        </is>
      </c>
      <c r="N10769" s="8">
        <f>HYPERLINK("https://www.vietnamworks.com/tuyen-gap-giam-sat-phong-quan-ly-mua-ban-supervisor-co-xe-dua-don-ha-noi--2023095-jv","Xem chi tiết")</f>
        <v/>
      </c>
    </row>
    <row r="10770">
      <c r="B10770" s="9" t="n">
        <v>10768</v>
      </c>
      <c r="C10770" s="10" t="inlineStr">
        <is>
          <t>Trưởng Phòng Nhân Sự Hành Chính</t>
        </is>
      </c>
      <c r="D10770" s="10" t="inlineStr">
        <is>
          <t>CÔNG TY CỔ PHẦN TẬP ĐOÀN XUẤT - NHẬP KHẨU TRÁI CÂY CHÁNH THU</t>
        </is>
      </c>
      <c r="E10770" s="10" t="inlineStr">
        <is>
          <t>Thương lượng</t>
        </is>
      </c>
      <c r="F10770" s="10" t="inlineStr">
        <is>
          <t>Bến Tre, Đắk Lắk</t>
        </is>
      </c>
      <c r="G10770" s="10" t="inlineStr">
        <is>
          <t>Trưởng phòng</t>
        </is>
      </c>
      <c r="H10770" s="10" t="inlineStr">
        <is>
          <t>13/03/2026</t>
        </is>
      </c>
      <c r="I10770" s="10" t="inlineStr">
        <is>
          <t>12/04/2026</t>
        </is>
      </c>
      <c r="J10770" s="10" t="inlineStr">
        <is>
          <t>17/03/2026</t>
        </is>
      </c>
      <c r="K10770" s="10" t="inlineStr">
        <is>
          <t>N/A</t>
        </is>
      </c>
      <c r="L10770" s="10" t="inlineStr">
        <is>
          <t>Tuyển Dụng, Quản Trị Nhân Sự, Quản Trị Nhân Lực, Nhân Sự, Hành Chính Nhân Sự</t>
        </is>
      </c>
      <c r="M10770" s="10" t="inlineStr">
        <is>
          <t>Bonus, Training, Laptop</t>
        </is>
      </c>
      <c r="N10770" s="11">
        <f>HYPERLINK("https://www.vietnamworks.com/truong-phong-nhan-su-hanh-chinh--2023108-jv","Xem chi tiết")</f>
        <v/>
      </c>
      <c r="O10770" s="10" t="n"/>
    </row>
    <row r="10771">
      <c r="B10771" s="7" t="n">
        <v>10769</v>
      </c>
      <c r="C10771" t="inlineStr">
        <is>
          <t>Structural Packaging Designer</t>
        </is>
      </c>
      <c r="D10771" t="inlineStr">
        <is>
          <t>CRESYN Hà Nội R&amp;D Center</t>
        </is>
      </c>
      <c r="E10771" t="inlineStr">
        <is>
          <t>Tới 40tr ₫/tháng</t>
        </is>
      </c>
      <c r="F10771" t="inlineStr">
        <is>
          <t>Hà Nội</t>
        </is>
      </c>
      <c r="G10771" t="inlineStr">
        <is>
          <t>Nhân viên</t>
        </is>
      </c>
      <c r="H10771" t="inlineStr">
        <is>
          <t>13/03/2026</t>
        </is>
      </c>
      <c r="I10771" t="inlineStr">
        <is>
          <t>12/04/2026</t>
        </is>
      </c>
      <c r="J10771" t="inlineStr">
        <is>
          <t>17/03/2026</t>
        </is>
      </c>
      <c r="K10771" t="inlineStr">
        <is>
          <t>N/A</t>
        </is>
      </c>
      <c r="L10771" t="inlineStr">
        <is>
          <t>Thiết Kế Cơ Khí, Mechanical Engineering, Mechanical Design, Cơ Khí, AutoCAD</t>
        </is>
      </c>
      <c r="M10771" t="inlineStr">
        <is>
          <t>Bonus, Training, Travel Opportunities</t>
        </is>
      </c>
      <c r="N10771" s="8">
        <f>HYPERLINK("https://www.vietnamworks.com/structural-packaging-designer--2023098-jv","Xem chi tiết")</f>
        <v/>
      </c>
    </row>
    <row r="10772">
      <c r="B10772" s="9" t="n">
        <v>10770</v>
      </c>
      <c r="C10772" s="10" t="inlineStr">
        <is>
          <t>Chuyên Viên An Toàn Lao Động</t>
        </is>
      </c>
      <c r="D10772" s="10" t="inlineStr">
        <is>
          <t>Viettel VTX</t>
        </is>
      </c>
      <c r="E10772" s="10" t="inlineStr">
        <is>
          <t>Thương lượng</t>
        </is>
      </c>
      <c r="F10772" s="10" t="inlineStr">
        <is>
          <t>Thái Nguyên</t>
        </is>
      </c>
      <c r="G10772" s="10" t="inlineStr">
        <is>
          <t>Nhân viên</t>
        </is>
      </c>
      <c r="H10772" s="10" t="inlineStr">
        <is>
          <t>13/03/2026</t>
        </is>
      </c>
      <c r="I10772" s="10" t="inlineStr">
        <is>
          <t>12/04/2026</t>
        </is>
      </c>
      <c r="J10772" s="10" t="inlineStr">
        <is>
          <t>17/03/2026</t>
        </is>
      </c>
      <c r="K10772" s="10" t="inlineStr">
        <is>
          <t>N/A</t>
        </is>
      </c>
      <c r="L10772" s="10" t="inlineStr">
        <is>
          <t>An Toàn Hoá Chất, An Toàn Lao Động, ISO 45001, Quản Lý An Toàn Lao Động, Tiếng Anh</t>
        </is>
      </c>
      <c r="M10772" s="10" t="inlineStr">
        <is>
          <t>Healthcare Plan, Training, Others</t>
        </is>
      </c>
      <c r="N10772" s="11">
        <f>HYPERLINK("https://www.vietnamworks.com/chuyen-vien-an-toan-lao-djong-2023097-jv","Xem chi tiết")</f>
        <v/>
      </c>
      <c r="O10772" s="10" t="n"/>
    </row>
    <row r="10773">
      <c r="B10773" s="7" t="n">
        <v>10771</v>
      </c>
      <c r="C10773" t="inlineStr">
        <is>
          <t>Kỹ Sư Kinh Tế Xây Dựng – Phòng Kế Hoạch</t>
        </is>
      </c>
      <c r="D10773" t="inlineStr">
        <is>
          <t>Công ty Cổ phần Đầu tư và Phát triển Xây dựng Vạn Lộc</t>
        </is>
      </c>
      <c r="E10773" t="inlineStr">
        <is>
          <t>14tr-23tr ₫/tháng</t>
        </is>
      </c>
      <c r="F10773" t="inlineStr">
        <is>
          <t>Hà Nội</t>
        </is>
      </c>
      <c r="G10773" t="inlineStr">
        <is>
          <t>Nhân viên</t>
        </is>
      </c>
      <c r="H10773" t="inlineStr">
        <is>
          <t>13/03/2026</t>
        </is>
      </c>
      <c r="I10773" t="inlineStr">
        <is>
          <t>12/04/2026</t>
        </is>
      </c>
      <c r="J10773" t="inlineStr">
        <is>
          <t>17/03/2026</t>
        </is>
      </c>
      <c r="K10773" t="inlineStr">
        <is>
          <t>N/A</t>
        </is>
      </c>
      <c r="L10773" t="inlineStr">
        <is>
          <t>Dự Toán, Thi Công Công Trình, Kinh Tế Xây Dựng, Bóc Tách Khối Lượng, Thanh Quyết Toán</t>
        </is>
      </c>
      <c r="M10773" t="inlineStr">
        <is>
          <t>Bonus, Paid Leave, Others</t>
        </is>
      </c>
      <c r="N10773" s="8">
        <f>HYPERLINK("https://www.vietnamworks.com/ky-su-kinh-te-xay-dung-phong-ke-hoach-2023100-jv","Xem chi tiết")</f>
        <v/>
      </c>
    </row>
    <row r="10774">
      <c r="B10774" s="9" t="n">
        <v>10772</v>
      </c>
      <c r="C10774" s="10" t="inlineStr">
        <is>
          <t>Hiring Field / Project Coordinator For Carbon Credit Project</t>
        </is>
      </c>
      <c r="D10774" s="10" t="inlineStr">
        <is>
          <t>CÔNG TY TNHH GREEN CARBON JAPAN VIETNAM</t>
        </is>
      </c>
      <c r="E10774" s="10" t="inlineStr">
        <is>
          <t>$$ 500-800 /tháng</t>
        </is>
      </c>
      <c r="F10774" s="10" t="inlineStr">
        <is>
          <t>Thanh Hóa, Nghệ An, Hà Tĩnh</t>
        </is>
      </c>
      <c r="G10774" s="10" t="inlineStr">
        <is>
          <t>Nhân viên</t>
        </is>
      </c>
      <c r="H10774" s="10" t="inlineStr">
        <is>
          <t>13/03/2026</t>
        </is>
      </c>
      <c r="I10774" s="10" t="inlineStr">
        <is>
          <t>12/04/2026</t>
        </is>
      </c>
      <c r="J10774" s="10" t="inlineStr">
        <is>
          <t>17/03/2026</t>
        </is>
      </c>
      <c r="K10774" s="10" t="inlineStr">
        <is>
          <t>N/A</t>
        </is>
      </c>
      <c r="L10774" s="10" t="inlineStr">
        <is>
          <t>Data Analysis, Data Monitoring, Report Writing, Project Coordination, English Communication</t>
        </is>
      </c>
      <c r="M10774" s="10" t="inlineStr">
        <is>
          <t>Bonus, Healthcare Plan, Paid Leave, Transportation</t>
        </is>
      </c>
      <c r="N10774" s="11">
        <f>HYPERLINK("https://www.vietnamworks.com/hiring-field-project-coordinator-for-carbon-credit-project-2023109-jv","Xem chi tiết")</f>
        <v/>
      </c>
      <c r="O10774" s="10" t="n"/>
    </row>
    <row r="10775">
      <c r="B10775" s="7" t="n">
        <v>10773</v>
      </c>
      <c r="C10775" t="inlineStr">
        <is>
          <t>Trưởng Phòng Mua Hàng Sản Xuất</t>
        </is>
      </c>
      <c r="D10775" t="inlineStr">
        <is>
          <t>Công Ty Cổ Phần Tập Đoàn 5S Fashion</t>
        </is>
      </c>
      <c r="E10775" t="inlineStr">
        <is>
          <t>Thương lượng</t>
        </is>
      </c>
      <c r="F10775" t="inlineStr">
        <is>
          <t>Hà Nội</t>
        </is>
      </c>
      <c r="G10775" t="inlineStr">
        <is>
          <t>Trưởng phòng</t>
        </is>
      </c>
      <c r="H10775" t="inlineStr">
        <is>
          <t>13/03/2026</t>
        </is>
      </c>
      <c r="I10775" t="inlineStr">
        <is>
          <t>12/04/2026</t>
        </is>
      </c>
      <c r="J10775" t="inlineStr">
        <is>
          <t>17/03/2026</t>
        </is>
      </c>
      <c r="K10775" t="inlineStr">
        <is>
          <t>N/A</t>
        </is>
      </c>
      <c r="L10775" t="inlineStr">
        <is>
          <t>Sourcing Management, Mua Hàng, Mua Hàng Sản Xuất, Procurement, Purchasing</t>
        </is>
      </c>
      <c r="M10775" t="inlineStr">
        <is>
          <t>Bonus, Healthcare Plan, Training, Team Activities, Others</t>
        </is>
      </c>
      <c r="N10775" s="8">
        <f>HYPERLINK("https://www.vietnamworks.com/truong-phong-mua-hang-san-xuat-2023102-jv","Xem chi tiết")</f>
        <v/>
      </c>
    </row>
    <row r="10776">
      <c r="B10776" s="9" t="n">
        <v>10774</v>
      </c>
      <c r="C10776" s="10" t="inlineStr">
        <is>
          <t>Kế Toán Tổng Hợp (Thu Nhập Tới 22Tr/ Tháng)</t>
        </is>
      </c>
      <c r="D10776" s="10" t="inlineStr">
        <is>
          <t>Công ty Cổ phần Đầu tư và Phát triển Xây dựng Vạn Lộc</t>
        </is>
      </c>
      <c r="E10776" s="10" t="inlineStr">
        <is>
          <t>14tr-22tr ₫/tháng</t>
        </is>
      </c>
      <c r="F10776" s="10" t="inlineStr">
        <is>
          <t>Hà Nội</t>
        </is>
      </c>
      <c r="G10776" s="10" t="inlineStr">
        <is>
          <t>Nhân viên</t>
        </is>
      </c>
      <c r="H10776" s="10" t="inlineStr">
        <is>
          <t>13/03/2026</t>
        </is>
      </c>
      <c r="I10776" s="10" t="inlineStr">
        <is>
          <t>12/04/2026</t>
        </is>
      </c>
      <c r="J10776" s="10" t="inlineStr">
        <is>
          <t>17/03/2026</t>
        </is>
      </c>
      <c r="K10776" s="10" t="inlineStr">
        <is>
          <t>N/A</t>
        </is>
      </c>
      <c r="L10776" s="10" t="inlineStr">
        <is>
          <t>Kế Toán Kho, Payroll, TAX, Hạch Toán, Kế Toán Tổng Hợp</t>
        </is>
      </c>
      <c r="M10776" s="10" t="inlineStr">
        <is>
          <t>Bonus, Paid Leave, Others</t>
        </is>
      </c>
      <c r="N10776" s="11">
        <f>HYPERLINK("https://www.vietnamworks.com/ke-toan-tong-hop-thu-nhap-toi-22tr-thang-2023103-jv","Xem chi tiết")</f>
        <v/>
      </c>
      <c r="O10776" s="10" t="n"/>
    </row>
    <row r="10777">
      <c r="B10777" s="7" t="n">
        <v>10775</v>
      </c>
      <c r="C10777" t="inlineStr">
        <is>
          <t>Quản Lý Xưởng Nhuộm</t>
        </is>
      </c>
      <c r="D10777" t="inlineStr">
        <is>
          <t>CÔNG TY TNHH MTV PNS CHUN</t>
        </is>
      </c>
      <c r="E10777" t="inlineStr">
        <is>
          <t>Thương lượng</t>
        </is>
      </c>
      <c r="F10777" t="inlineStr">
        <is>
          <t>Quảng Ngãi</t>
        </is>
      </c>
      <c r="G10777" t="inlineStr">
        <is>
          <t>Nhân viên</t>
        </is>
      </c>
      <c r="H10777" t="inlineStr">
        <is>
          <t>13/03/2026</t>
        </is>
      </c>
      <c r="I10777" t="inlineStr">
        <is>
          <t>12/04/2026</t>
        </is>
      </c>
      <c r="J10777" t="inlineStr">
        <is>
          <t>17/03/2026</t>
        </is>
      </c>
      <c r="K10777" t="inlineStr">
        <is>
          <t>N/A</t>
        </is>
      </c>
      <c r="L10777" t="inlineStr">
        <is>
          <t>Giám Sát Sản Xuất, Hóa Nhuộm, Quản Lý Quy Trình, Vận Hành Máy Nhuộm, Xử Lý Sự Cố</t>
        </is>
      </c>
      <c r="M10777" t="inlineStr">
        <is>
          <t>Bonus, Healthcare Plan, Team Activities, Others</t>
        </is>
      </c>
      <c r="N10777" s="8">
        <f>HYPERLINK("https://www.vietnamworks.com/quan-ly-xuong-nhuom-2023104-jv","Xem chi tiết")</f>
        <v/>
      </c>
    </row>
    <row r="10778">
      <c r="B10778" s="9" t="n">
        <v>10776</v>
      </c>
      <c r="C10778" s="10" t="inlineStr">
        <is>
          <t>Kỹ Thuật Viên Phòng Lab</t>
        </is>
      </c>
      <c r="D10778" s="10" t="inlineStr">
        <is>
          <t>CÔNG TY TNHH MTV PNS CHUN</t>
        </is>
      </c>
      <c r="E10778" s="10" t="inlineStr">
        <is>
          <t>Thương lượng</t>
        </is>
      </c>
      <c r="F10778" s="10" t="inlineStr">
        <is>
          <t>Quảng Ngãi</t>
        </is>
      </c>
      <c r="G10778" s="10" t="inlineStr">
        <is>
          <t>Nhân viên</t>
        </is>
      </c>
      <c r="H10778" s="10" t="inlineStr">
        <is>
          <t>13/03/2026</t>
        </is>
      </c>
      <c r="I10778" s="10" t="inlineStr">
        <is>
          <t>12/04/2026</t>
        </is>
      </c>
      <c r="J10778" s="10" t="inlineStr">
        <is>
          <t>17/03/2026</t>
        </is>
      </c>
      <c r="K10778" s="10" t="inlineStr">
        <is>
          <t>N/A</t>
        </is>
      </c>
      <c r="L10778" s="10" t="inlineStr">
        <is>
          <t>Công Nghệ Dệt May, Dệt May, Hóa Chất Dệt Nhuộm, Kỹ Thuật Dệt, Pha Chế Màu</t>
        </is>
      </c>
      <c r="M10778" s="10" t="inlineStr">
        <is>
          <t>Bonus, Healthcare Plan, Team Activities, Others</t>
        </is>
      </c>
      <c r="N10778" s="11">
        <f>HYPERLINK("https://www.vietnamworks.com/ky-thuat-vien-phong-lab-2023101-jv","Xem chi tiết")</f>
        <v/>
      </c>
      <c r="O10778" s="10" t="n"/>
    </row>
    <row r="10779">
      <c r="B10779" s="7" t="n">
        <v>10777</v>
      </c>
      <c r="C10779" t="inlineStr">
        <is>
          <t>Nhân Viên Kinh Doanh (Mảng Phụ Tùng)</t>
        </is>
      </c>
      <c r="D10779" t="inlineStr">
        <is>
          <t>Công Ty TNHH PLB Việt Nam</t>
        </is>
      </c>
      <c r="E10779" t="inlineStr">
        <is>
          <t>Từ 10tr ₫/tháng</t>
        </is>
      </c>
      <c r="F10779" t="inlineStr">
        <is>
          <t>Hồ Chí Minh, Hà Nội</t>
        </is>
      </c>
      <c r="G10779" t="inlineStr">
        <is>
          <t>Nhân viên</t>
        </is>
      </c>
      <c r="H10779" t="inlineStr">
        <is>
          <t>13/03/2026</t>
        </is>
      </c>
      <c r="I10779" t="inlineStr">
        <is>
          <t>12/04/2026</t>
        </is>
      </c>
      <c r="J10779" t="inlineStr">
        <is>
          <t>17/03/2026</t>
        </is>
      </c>
      <c r="K10779" t="inlineStr">
        <is>
          <t>N/A</t>
        </is>
      </c>
      <c r="L10779" t="inlineStr">
        <is>
          <t>Kinh Doanh, Bán Hàng, Báo Giá, Chăm Sóc Khách Hàng, Tư Vấn Kỹ Thuật</t>
        </is>
      </c>
      <c r="M10779" t="inlineStr">
        <is>
          <t>Bonus, Healthcare Plan, Training, Library, Team Activities, Transportation, Others</t>
        </is>
      </c>
      <c r="N10779" s="8">
        <f>HYPERLINK("https://www.vietnamworks.com/nhan-vien-kinh-doanh-mang-phu-tung-2023117-jv","Xem chi tiết")</f>
        <v/>
      </c>
    </row>
    <row r="10780">
      <c r="B10780" s="9" t="n">
        <v>10778</v>
      </c>
      <c r="C10780" s="10" t="inlineStr">
        <is>
          <t>Biên Phiên Dịch Và Gây Quỹ Tiếng Pháp</t>
        </is>
      </c>
      <c r="D10780" s="10" t="inlineStr">
        <is>
          <t>Tổ Chức Maison Chance/ Nhà May Mắn</t>
        </is>
      </c>
      <c r="E10780" s="10" t="inlineStr">
        <is>
          <t>Thương lượng</t>
        </is>
      </c>
      <c r="F10780" s="10" t="inlineStr">
        <is>
          <t>Hồ Chí Minh</t>
        </is>
      </c>
      <c r="G10780" s="10" t="inlineStr">
        <is>
          <t>Nhân viên</t>
        </is>
      </c>
      <c r="H10780" s="10" t="inlineStr">
        <is>
          <t>13/03/2026</t>
        </is>
      </c>
      <c r="I10780" s="10" t="inlineStr">
        <is>
          <t>12/04/2026</t>
        </is>
      </c>
      <c r="J10780" s="10" t="inlineStr">
        <is>
          <t>17/03/2026</t>
        </is>
      </c>
      <c r="K10780" s="10" t="inlineStr">
        <is>
          <t>N/A</t>
        </is>
      </c>
      <c r="L10780" s="10" t="inlineStr">
        <is>
          <t>Phiên Dịch Tiếng Pháp, Gây quỹ, Ứng Dụng Thiết Kế, Mô Hình Tính Toán, Giao Tiếp</t>
        </is>
      </c>
      <c r="M10780" s="10" t="inlineStr">
        <is>
          <t>Paid Leave, Awards, Travel Opportunities, Team Activities, Others</t>
        </is>
      </c>
      <c r="N10780" s="11">
        <f>HYPERLINK("https://www.vietnamworks.com/bien-phien-dich-va-gay-quy-tieng-phap-2023115-jv","Xem chi tiết")</f>
        <v/>
      </c>
      <c r="O10780" s="10" t="n"/>
    </row>
    <row r="10781">
      <c r="B10781" s="7" t="n">
        <v>10779</v>
      </c>
      <c r="C10781" t="inlineStr">
        <is>
          <t>Trưởng phòng Marketing (Ngành Gạch Men)</t>
        </is>
      </c>
      <c r="D10781" t="inlineStr">
        <is>
          <t>Công ty Cổ phần Gạch Men Ý Mỹ</t>
        </is>
      </c>
      <c r="E10781" t="inlineStr">
        <is>
          <t>Thương lượng</t>
        </is>
      </c>
      <c r="F10781" t="inlineStr">
        <is>
          <t>Hồ Chí Minh</t>
        </is>
      </c>
      <c r="G10781" t="inlineStr">
        <is>
          <t>Trưởng phòng</t>
        </is>
      </c>
      <c r="H10781" t="inlineStr">
        <is>
          <t>13/03/2026</t>
        </is>
      </c>
      <c r="I10781" t="inlineStr">
        <is>
          <t>12/04/2026</t>
        </is>
      </c>
      <c r="J10781" t="inlineStr">
        <is>
          <t>17/03/2026</t>
        </is>
      </c>
      <c r="K10781" t="inlineStr">
        <is>
          <t>N/A</t>
        </is>
      </c>
      <c r="L10781" t="inlineStr">
        <is>
          <t>Kỹ năng bán hàng, Kỹ Năng Lãnh Đạo Đội Nhóm, Kỹ năng quan sát và phân tích vấn đề, Kỹ Năng Thương Thảo Tốt, Truyền thông &amp; Marketing</t>
        </is>
      </c>
      <c r="M10781" t="inlineStr">
        <is>
          <t>Bonus</t>
        </is>
      </c>
      <c r="N10781" s="8">
        <f>HYPERLINK("https://www.vietnamworks.com/truong-phong-marketing-nganh-gach-men-2023091-jv","Xem chi tiết")</f>
        <v/>
      </c>
    </row>
    <row r="10782">
      <c r="B10782" s="9" t="n">
        <v>10780</v>
      </c>
      <c r="C10782" s="10" t="inlineStr">
        <is>
          <t>Part-Time English Teachers Assistant - Starting in July 2026</t>
        </is>
      </c>
      <c r="D10782" s="10" t="inlineStr">
        <is>
          <t>Vietnam Australia International School (Vas)</t>
        </is>
      </c>
      <c r="E10782" s="10" t="inlineStr">
        <is>
          <t>Thương lượng</t>
        </is>
      </c>
      <c r="F10782" s="10" t="inlineStr">
        <is>
          <t>Hồ Chí Minh</t>
        </is>
      </c>
      <c r="G10782" s="10" t="inlineStr">
        <is>
          <t>Nhân viên</t>
        </is>
      </c>
      <c r="H10782" s="10" t="inlineStr">
        <is>
          <t>13/03/2026</t>
        </is>
      </c>
      <c r="I10782" s="10" t="inlineStr">
        <is>
          <t>12/04/2026</t>
        </is>
      </c>
      <c r="J10782" s="10" t="inlineStr">
        <is>
          <t>17/03/2026</t>
        </is>
      </c>
      <c r="K10782" s="10" t="inlineStr">
        <is>
          <t>N/A</t>
        </is>
      </c>
      <c r="L10782" s="10" t="inlineStr">
        <is>
          <t>English Language Teaching, English Linguistics, Trợ Giảng, Teaching Assistance, English fluency</t>
        </is>
      </c>
      <c r="M10782" s="10" t="inlineStr">
        <is>
          <t>Bonus, Healthcare Plan, Training</t>
        </is>
      </c>
      <c r="N10782" s="11">
        <f>HYPERLINK("https://www.vietnamworks.com/part-time-english-teachers-assistant-starting-in-july-2026-2023124-jv","Xem chi tiết")</f>
        <v/>
      </c>
      <c r="O10782" s="10" t="n"/>
    </row>
    <row r="10783">
      <c r="B10783" s="7" t="n">
        <v>10781</v>
      </c>
      <c r="C10783" t="inlineStr">
        <is>
          <t>Trưởng Nhóm Kế Toán Chi Phí</t>
        </is>
      </c>
      <c r="D10783" t="inlineStr">
        <is>
          <t>Công Ty TNHH Một Thành Viên Chuyển Phát Nhanh J&amp;t Express - CN TP.HCM</t>
        </is>
      </c>
      <c r="E10783" t="inlineStr">
        <is>
          <t>800-1,000 ₫/tháng</t>
        </is>
      </c>
      <c r="F10783" t="inlineStr">
        <is>
          <t>Hồ Chí Minh</t>
        </is>
      </c>
      <c r="G10783" t="inlineStr">
        <is>
          <t>Nhân viên</t>
        </is>
      </c>
      <c r="H10783" t="inlineStr">
        <is>
          <t>13/03/2026</t>
        </is>
      </c>
      <c r="I10783" t="inlineStr">
        <is>
          <t>12/04/2026</t>
        </is>
      </c>
      <c r="J10783" t="inlineStr">
        <is>
          <t>17/03/2026</t>
        </is>
      </c>
      <c r="K10783" t="inlineStr">
        <is>
          <t>N/A</t>
        </is>
      </c>
      <c r="L10783" t="inlineStr">
        <is>
          <t>Kế Toán Doanh Thu, Kiểm Toán, Excel, Thuế, Hạch Toán Chi Phí</t>
        </is>
      </c>
      <c r="M10783" t="inlineStr">
        <is>
          <t>Bonus, Healthcare Plan, Training</t>
        </is>
      </c>
      <c r="N10783" s="8">
        <f>HYPERLINK("https://www.vietnamworks.com/truong-nhom-ke-toan-chi-phi--2023122-jv","Xem chi tiết")</f>
        <v/>
      </c>
    </row>
    <row r="10784">
      <c r="B10784" s="9" t="n">
        <v>10782</v>
      </c>
      <c r="C10784" s="10" t="inlineStr">
        <is>
          <t>Sales Engineering</t>
        </is>
      </c>
      <c r="D10784" s="10" t="inlineStr">
        <is>
          <t>SHOJI FRANK VIETNAM</t>
        </is>
      </c>
      <c r="E10784" s="10" t="inlineStr">
        <is>
          <t>Thương lượng</t>
        </is>
      </c>
      <c r="F10784" s="10" t="inlineStr">
        <is>
          <t>Hồ Chí Minh</t>
        </is>
      </c>
      <c r="G10784" s="10" t="inlineStr">
        <is>
          <t>Nhân viên</t>
        </is>
      </c>
      <c r="H10784" s="10" t="inlineStr">
        <is>
          <t>13/03/2026</t>
        </is>
      </c>
      <c r="I10784" s="10" t="inlineStr">
        <is>
          <t>12/04/2026</t>
        </is>
      </c>
      <c r="J10784" s="10" t="inlineStr">
        <is>
          <t>17/03/2026</t>
        </is>
      </c>
      <c r="K10784" s="10" t="inlineStr">
        <is>
          <t>N/A</t>
        </is>
      </c>
      <c r="L10784" s="10" t="inlineStr">
        <is>
          <t>Sales Talent, Sales Kỹ Thuật, Bán Hàng Kỹ Thuật, Bán Hàng, Sales Engineering</t>
        </is>
      </c>
      <c r="M10784" s="10" t="inlineStr">
        <is>
          <t>Bonus, Healthcare Plan, Travel Opportunities</t>
        </is>
      </c>
      <c r="N10784" s="11">
        <f>HYPERLINK("https://www.vietnamworks.com/sales-engineering--2023121-jv","Xem chi tiết")</f>
        <v/>
      </c>
      <c r="O10784" s="10" t="n"/>
    </row>
    <row r="10785">
      <c r="B10785" s="7" t="n">
        <v>10783</v>
      </c>
      <c r="C10785" t="inlineStr">
        <is>
          <t>Trưởng Nhóm Quản Lý Chất Lượng</t>
        </is>
      </c>
      <c r="D10785" t="inlineStr">
        <is>
          <t>Công Ty TNHH Một Thành Viên Chuyển Phát Nhanh J&amp;t Express - CN TP.HCM</t>
        </is>
      </c>
      <c r="E10785" t="inlineStr">
        <is>
          <t>700-800 ₫/tháng</t>
        </is>
      </c>
      <c r="F10785" t="inlineStr">
        <is>
          <t>Hồ Chí Minh</t>
        </is>
      </c>
      <c r="G10785" t="inlineStr">
        <is>
          <t>Trưởng phòng</t>
        </is>
      </c>
      <c r="H10785" t="inlineStr">
        <is>
          <t>13/03/2026</t>
        </is>
      </c>
      <c r="I10785" t="inlineStr">
        <is>
          <t>12/04/2026</t>
        </is>
      </c>
      <c r="J10785" t="inlineStr">
        <is>
          <t>17/03/2026</t>
        </is>
      </c>
      <c r="K10785" t="inlineStr">
        <is>
          <t>N/A</t>
        </is>
      </c>
      <c r="L10785" t="inlineStr">
        <is>
          <t>Quality Management, Chăm Sóc Khách Hàng, Quản lý chất lượng, Phân Tích Số Liệu, Xử Lý Vấn Đề</t>
        </is>
      </c>
      <c r="M10785" t="inlineStr">
        <is>
          <t>Bonus, Healthcare Plan, Training</t>
        </is>
      </c>
      <c r="N10785" s="8">
        <f>HYPERLINK("https://www.vietnamworks.com/truong-nhom-quan-ly-chat-luong--2023120-jv","Xem chi tiết")</f>
        <v/>
      </c>
    </row>
    <row r="10786">
      <c r="B10786" s="9" t="n">
        <v>10784</v>
      </c>
      <c r="C10786" s="10" t="inlineStr">
        <is>
          <t>Họa Viên 2D | 2D CAD Drafter (Architecture)</t>
        </is>
      </c>
      <c r="D10786" s="10" t="inlineStr">
        <is>
          <t>CÔNG TY TNHH UNI ARCHITECTURE</t>
        </is>
      </c>
      <c r="E10786" s="10" t="inlineStr">
        <is>
          <t>Thương lượng</t>
        </is>
      </c>
      <c r="F10786" s="10" t="inlineStr">
        <is>
          <t>Hồ Chí Minh</t>
        </is>
      </c>
      <c r="G10786" s="10" t="inlineStr">
        <is>
          <t>Nhân viên</t>
        </is>
      </c>
      <c r="H10786" s="10" t="inlineStr">
        <is>
          <t>13/03/2026</t>
        </is>
      </c>
      <c r="I10786" s="10" t="inlineStr">
        <is>
          <t>12/04/2026</t>
        </is>
      </c>
      <c r="J10786" s="10" t="inlineStr">
        <is>
          <t>17/03/2026</t>
        </is>
      </c>
      <c r="K10786" s="10" t="inlineStr">
        <is>
          <t>N/A</t>
        </is>
      </c>
      <c r="L10786" s="10" t="inlineStr">
        <is>
          <t>Triển Khai Bản Vẽ, Vẽ Thi Công, 2D CAD drafting, Kết Cấu Kiến Trúc, Triển Khai Kiến Trúc</t>
        </is>
      </c>
      <c r="M10786" s="10" t="inlineStr">
        <is>
          <t>Bonus, Healthcare Plan, Paid Leave, Travel Opportunities</t>
        </is>
      </c>
      <c r="N10786" s="11">
        <f>HYPERLINK("https://www.vietnamworks.com/hoa-vien-2d-or-2d-cad-drafter-architecture-2023129-jv","Xem chi tiết")</f>
        <v/>
      </c>
      <c r="O10786" s="10" t="n"/>
    </row>
    <row r="10787">
      <c r="B10787" s="7" t="n">
        <v>10785</v>
      </c>
      <c r="C10787" t="inlineStr">
        <is>
          <t>BIM MODELER (MEP)</t>
        </is>
      </c>
      <c r="D10787" t="inlineStr">
        <is>
          <t>Công Ty TNHH Takasago Việt Nam</t>
        </is>
      </c>
      <c r="E10787" t="inlineStr">
        <is>
          <t>12tr-20tr ₫/tháng</t>
        </is>
      </c>
      <c r="F10787" t="inlineStr">
        <is>
          <t>Hà Nội</t>
        </is>
      </c>
      <c r="G10787" t="inlineStr">
        <is>
          <t>Mới Tốt Nghiệp</t>
        </is>
      </c>
      <c r="H10787" t="inlineStr">
        <is>
          <t>13/03/2026</t>
        </is>
      </c>
      <c r="I10787" t="inlineStr">
        <is>
          <t>12/04/2026</t>
        </is>
      </c>
      <c r="J10787" t="inlineStr">
        <is>
          <t>17/03/2026</t>
        </is>
      </c>
      <c r="K10787" t="inlineStr">
        <is>
          <t>N/A</t>
        </is>
      </c>
      <c r="L10787" t="inlineStr">
        <is>
          <t>BIM, BIM MEP, Điện, Nhiệt Lạnh</t>
        </is>
      </c>
      <c r="M10787" t="inlineStr">
        <is>
          <t>Bonus, Healthcare Plan, Paid Leave, Training, Laptop, Mobile, Team Activities, Transportation, Others</t>
        </is>
      </c>
      <c r="N10787" s="8">
        <f>HYPERLINK("https://www.vietnamworks.com/bim-modeler-mep-2023118-jv","Xem chi tiết")</f>
        <v/>
      </c>
    </row>
    <row r="10788">
      <c r="B10788" s="9" t="n">
        <v>10786</v>
      </c>
      <c r="C10788" s="10" t="inlineStr">
        <is>
          <t>Kế Toán Tổng Hợp</t>
        </is>
      </c>
      <c r="D10788" s="10" t="inlineStr">
        <is>
          <t>Công ty cổ phần tập đoàn đầu tư Thăng Long</t>
        </is>
      </c>
      <c r="E10788" s="10" t="inlineStr">
        <is>
          <t>Thương lượng</t>
        </is>
      </c>
      <c r="F10788" s="10" t="inlineStr">
        <is>
          <t>Hà Nội</t>
        </is>
      </c>
      <c r="G10788" s="10" t="inlineStr">
        <is>
          <t>Nhân viên</t>
        </is>
      </c>
      <c r="H10788" s="10" t="inlineStr">
        <is>
          <t>13/03/2026</t>
        </is>
      </c>
      <c r="I10788" s="10" t="inlineStr">
        <is>
          <t>12/04/2026</t>
        </is>
      </c>
      <c r="J10788" s="10" t="inlineStr">
        <is>
          <t>17/03/2026</t>
        </is>
      </c>
      <c r="K10788" s="10" t="inlineStr">
        <is>
          <t>N/A</t>
        </is>
      </c>
      <c r="L10788" s="10" t="inlineStr">
        <is>
          <t>Kế Toán Tổng Hợp, Kiểm Toán, Tài Chính, Báo Cáo Tài Chính, Kiểm Soát Chi Phí</t>
        </is>
      </c>
      <c r="M10788" s="10" t="inlineStr">
        <is>
          <t>Bonus, Paid Leave, Travel Opportunities</t>
        </is>
      </c>
      <c r="N10788" s="11">
        <f>HYPERLINK("https://www.vietnamworks.com/ke-toan-tong-hop-2023130-jv","Xem chi tiết")</f>
        <v/>
      </c>
      <c r="O10788" s="10" t="n"/>
    </row>
    <row r="10789">
      <c r="B10789" s="7" t="n">
        <v>10787</v>
      </c>
      <c r="C10789" t="inlineStr">
        <is>
          <t>Quality Management Engineer / Kỹ Sư Quản Lý Chất Lượng</t>
        </is>
      </c>
      <c r="D10789" t="inlineStr">
        <is>
          <t>Công Ty TNHH CTR VINA</t>
        </is>
      </c>
      <c r="E10789" t="inlineStr">
        <is>
          <t>Thương lượng</t>
        </is>
      </c>
      <c r="F10789" t="inlineStr">
        <is>
          <t>Đà Nẵng</t>
        </is>
      </c>
      <c r="G10789" t="inlineStr">
        <is>
          <t>Nhân viên</t>
        </is>
      </c>
      <c r="H10789" t="inlineStr">
        <is>
          <t>13/03/2026</t>
        </is>
      </c>
      <c r="I10789" t="inlineStr">
        <is>
          <t>12/04/2026</t>
        </is>
      </c>
      <c r="J10789" t="inlineStr">
        <is>
          <t>17/03/2026</t>
        </is>
      </c>
      <c r="K10789" t="inlineStr">
        <is>
          <t>N/A</t>
        </is>
      </c>
      <c r="L10789" t="inlineStr">
        <is>
          <t>Metal Machining, Root Cause Analysis, Mechanical Engineering, Professional Supervision, Quality Assessment</t>
        </is>
      </c>
      <c r="M10789" t="inlineStr">
        <is>
          <t>Bonus, Healthcare Plan, Training</t>
        </is>
      </c>
      <c r="N10789" s="8">
        <f>HYPERLINK("https://www.vietnamworks.com/quality-management-engineer-ky-su-quan-ly-chat-luong-2023131-jv","Xem chi tiết")</f>
        <v/>
      </c>
    </row>
    <row r="10790">
      <c r="B10790" s="9" t="n">
        <v>10788</v>
      </c>
      <c r="C10790" s="10" t="inlineStr">
        <is>
          <t>Business Development Manager (Toàn Quốc)</t>
        </is>
      </c>
      <c r="D10790" s="10" t="inlineStr">
        <is>
          <t>CÔNG TY TNHH PHÒNG THỬ NGHIỆM HOHENSTEIN VIETNAM</t>
        </is>
      </c>
      <c r="E10790" s="10" t="inlineStr">
        <is>
          <t>Thương lượng</t>
        </is>
      </c>
      <c r="F10790" s="10" t="inlineStr">
        <is>
          <t>Hà Nội, Hồ Chí Minh, Đà Nẵng</t>
        </is>
      </c>
      <c r="G10790" s="10" t="inlineStr">
        <is>
          <t>Trưởng phòng</t>
        </is>
      </c>
      <c r="H10790" s="10" t="inlineStr">
        <is>
          <t>13/03/2026</t>
        </is>
      </c>
      <c r="I10790" s="10" t="inlineStr">
        <is>
          <t>12/04/2026</t>
        </is>
      </c>
      <c r="J10790" s="10" t="inlineStr">
        <is>
          <t>17/03/2026</t>
        </is>
      </c>
      <c r="K10790" s="10" t="inlineStr">
        <is>
          <t>N/A</t>
        </is>
      </c>
      <c r="L10790" s="10" t="inlineStr">
        <is>
          <t>Business Development, Client Acquisition, Testing, Negotiation, Communication</t>
        </is>
      </c>
      <c r="M10790" s="10" t="inlineStr">
        <is>
          <t>Bonus, Healthcare Plan, Training, Team Activities</t>
        </is>
      </c>
      <c r="N10790" s="11">
        <f>HYPERLINK("https://www.vietnamworks.com/business-development-manager-toan-quoc-2023133-jv","Xem chi tiết")</f>
        <v/>
      </c>
      <c r="O10790" s="10" t="n"/>
    </row>
    <row r="10791">
      <c r="B10791" s="7" t="n">
        <v>10789</v>
      </c>
      <c r="C10791" t="inlineStr">
        <is>
          <t>Sales Marketing Supervisor/ Giám Sát Kinh Doanh &amp; Marketing</t>
        </is>
      </c>
      <c r="D10791" t="inlineStr">
        <is>
          <t>Tập Đoàn Karofi Holding</t>
        </is>
      </c>
      <c r="E10791" t="inlineStr">
        <is>
          <t>Thương lượng</t>
        </is>
      </c>
      <c r="F10791" t="inlineStr">
        <is>
          <t>Hà Nội</t>
        </is>
      </c>
      <c r="G10791" t="inlineStr">
        <is>
          <t>Trưởng phòng</t>
        </is>
      </c>
      <c r="H10791" t="inlineStr">
        <is>
          <t>13/03/2026</t>
        </is>
      </c>
      <c r="I10791" t="inlineStr">
        <is>
          <t>12/04/2026</t>
        </is>
      </c>
      <c r="J10791" t="inlineStr">
        <is>
          <t>17/03/2026</t>
        </is>
      </c>
      <c r="K10791" t="inlineStr">
        <is>
          <t>N/A</t>
        </is>
      </c>
      <c r="L10791" t="inlineStr">
        <is>
          <t>English Communication, Inventory Management, Sales Management, Sales Strategy, Team Management</t>
        </is>
      </c>
      <c r="M10791" t="inlineStr">
        <is>
          <t>Others</t>
        </is>
      </c>
      <c r="N10791" s="8">
        <f>HYPERLINK("https://www.vietnamworks.com/sales-marketing-supervisor-giam-sat-kinh-doanh-and-marketing-2023126-jv","Xem chi tiết")</f>
        <v/>
      </c>
    </row>
    <row r="10792">
      <c r="B10792" s="9" t="n">
        <v>10790</v>
      </c>
      <c r="C10792" s="10" t="inlineStr">
        <is>
          <t>Project Operations Executive - Chuyên Viên Điều Phối Dự Án</t>
        </is>
      </c>
      <c r="D10792" s="10" t="inlineStr">
        <is>
          <t>Tập Đoàn Karofi Holding</t>
        </is>
      </c>
      <c r="E10792" s="10" t="inlineStr">
        <is>
          <t>Thương lượng</t>
        </is>
      </c>
      <c r="F10792" s="10" t="inlineStr">
        <is>
          <t>Hưng Yên, Hà Nội</t>
        </is>
      </c>
      <c r="G10792" s="10" t="inlineStr">
        <is>
          <t>Nhân viên</t>
        </is>
      </c>
      <c r="H10792" s="10" t="inlineStr">
        <is>
          <t>13/03/2026</t>
        </is>
      </c>
      <c r="I10792" s="10" t="inlineStr">
        <is>
          <t>12/04/2026</t>
        </is>
      </c>
      <c r="J10792" s="10" t="inlineStr">
        <is>
          <t>17/03/2026</t>
        </is>
      </c>
      <c r="K10792" s="10" t="inlineStr">
        <is>
          <t>N/A</t>
        </is>
      </c>
      <c r="L10792" s="10" t="inlineStr">
        <is>
          <t>Báo Cáo Chiến Lược, Excel Reporting, Quản Lý Dự Án, Theo Dõi Tiến Độ, Word &amp; Excel</t>
        </is>
      </c>
      <c r="M10792" s="10" t="inlineStr">
        <is>
          <t>Others</t>
        </is>
      </c>
      <c r="N10792" s="11">
        <f>HYPERLINK("https://www.vietnamworks.com/project-operations-executive-chuyen-vien-djieu-phoi-du-an-2023128-jv","Xem chi tiết")</f>
        <v/>
      </c>
      <c r="O10792" s="10" t="n"/>
    </row>
    <row r="10793">
      <c r="B10793" s="7" t="n">
        <v>10791</v>
      </c>
      <c r="C10793" t="inlineStr">
        <is>
          <t>Performance Director</t>
        </is>
      </c>
      <c r="D10793" t="inlineStr">
        <is>
          <t>Công Ty TNHH TotallyAwesome Việt Nam</t>
        </is>
      </c>
      <c r="E10793" t="inlineStr">
        <is>
          <t>Thương lượng</t>
        </is>
      </c>
      <c r="F10793" t="inlineStr">
        <is>
          <t>Hồ Chí Minh</t>
        </is>
      </c>
      <c r="G10793" t="inlineStr">
        <is>
          <t>Giám Đốc và Cấp Cao Hơn</t>
        </is>
      </c>
      <c r="H10793" t="inlineStr">
        <is>
          <t>13/03/2026</t>
        </is>
      </c>
      <c r="I10793" t="inlineStr">
        <is>
          <t>12/04/2026</t>
        </is>
      </c>
      <c r="J10793" t="inlineStr">
        <is>
          <t>17/03/2026</t>
        </is>
      </c>
      <c r="K10793" t="inlineStr">
        <is>
          <t>N/A</t>
        </is>
      </c>
      <c r="L10793" t="inlineStr">
        <is>
          <t>Digital Advertising, Performance Marketing, Meta Ads, Google Ads, Tiktok Ads</t>
        </is>
      </c>
      <c r="M10793" t="inlineStr">
        <is>
          <t>Healthcare Plan, Canteen, Others</t>
        </is>
      </c>
      <c r="N10793" s="8">
        <f>HYPERLINK("https://www.vietnamworks.com/performance-director-2023132-jv","Xem chi tiết")</f>
        <v/>
      </c>
    </row>
    <row r="10794">
      <c r="B10794" s="9" t="n">
        <v>10792</v>
      </c>
      <c r="C10794" s="10" t="inlineStr">
        <is>
          <t>Trade Marketing Executive - HCM</t>
        </is>
      </c>
      <c r="D10794" s="10" t="inlineStr">
        <is>
          <t>Công Ty TNHH Cuckoovina</t>
        </is>
      </c>
      <c r="E10794" s="10" t="inlineStr">
        <is>
          <t>9tr-12tr ₫/tháng</t>
        </is>
      </c>
      <c r="F10794" s="10" t="inlineStr">
        <is>
          <t>Hồ Chí Minh</t>
        </is>
      </c>
      <c r="G10794" s="10" t="inlineStr">
        <is>
          <t>Nhân viên</t>
        </is>
      </c>
      <c r="H10794" s="10" t="inlineStr">
        <is>
          <t>13/03/2026</t>
        </is>
      </c>
      <c r="I10794" s="10" t="inlineStr">
        <is>
          <t>12/04/2026</t>
        </is>
      </c>
      <c r="J10794" s="10" t="inlineStr">
        <is>
          <t>17/03/2026</t>
        </is>
      </c>
      <c r="K10794" s="10" t="inlineStr">
        <is>
          <t>N/A</t>
        </is>
      </c>
      <c r="L10794" s="10" t="inlineStr">
        <is>
          <t>Event Planning, Advertising Tools, Relationship Management, Budget Control</t>
        </is>
      </c>
      <c r="M10794" s="10" t="inlineStr">
        <is>
          <t>Healthcare Plan, Team Activities, Others</t>
        </is>
      </c>
      <c r="N10794" s="11">
        <f>HYPERLINK("https://www.vietnamworks.com/trade-marketing-executive-hcm-2023139-jv","Xem chi tiết")</f>
        <v/>
      </c>
      <c r="O10794" s="10" t="n"/>
    </row>
    <row r="10795">
      <c r="B10795" s="7" t="n">
        <v>10793</v>
      </c>
      <c r="C10795" t="inlineStr">
        <is>
          <t>GIÁM ĐỐC VẬN HÀNH TOÀN QUỐC</t>
        </is>
      </c>
      <c r="D10795" t="inlineStr">
        <is>
          <t>CÔNG TY CP Y TẾ 315</t>
        </is>
      </c>
      <c r="E10795" t="inlineStr">
        <is>
          <t>Thương lượng</t>
        </is>
      </c>
      <c r="F10795" t="inlineStr">
        <is>
          <t>Hồ Chí Minh</t>
        </is>
      </c>
      <c r="G10795" t="inlineStr">
        <is>
          <t>Giám Đốc và Cấp Cao Hơn</t>
        </is>
      </c>
      <c r="H10795" t="inlineStr">
        <is>
          <t>13/03/2026</t>
        </is>
      </c>
      <c r="I10795" t="inlineStr">
        <is>
          <t>12/04/2026</t>
        </is>
      </c>
      <c r="J10795" t="inlineStr">
        <is>
          <t>17/03/2026</t>
        </is>
      </c>
      <c r="K10795" t="inlineStr">
        <is>
          <t>N/A</t>
        </is>
      </c>
      <c r="L10795" t="inlineStr">
        <is>
          <t>Dịch Vụ Khách Hàng, Phân Tích Dữ Liệu, Quản Lý Nhân Sự, Quản Lý Tài Chính, Quản Lý Vận Hành</t>
        </is>
      </c>
      <c r="M10795" t="inlineStr">
        <is>
          <t>Others</t>
        </is>
      </c>
      <c r="N10795" s="8">
        <f>HYPERLINK("https://www.vietnamworks.com/giam-djoc-van-hanh-toan-quoc-2023137-jv","Xem chi tiết")</f>
        <v/>
      </c>
    </row>
    <row r="10796">
      <c r="B10796" s="9" t="n">
        <v>10794</v>
      </c>
      <c r="C10796" s="10" t="inlineStr">
        <is>
          <t>Utility Manager</t>
        </is>
      </c>
      <c r="D10796" s="10" t="inlineStr">
        <is>
          <t>Camso Việt Nam</t>
        </is>
      </c>
      <c r="E10796" s="10" t="inlineStr">
        <is>
          <t>Thương lượng</t>
        </is>
      </c>
      <c r="F10796" s="10" t="inlineStr">
        <is>
          <t>Hồ Chí Minh</t>
        </is>
      </c>
      <c r="G10796" s="10" t="inlineStr">
        <is>
          <t>Nhân viên</t>
        </is>
      </c>
      <c r="H10796" s="10" t="inlineStr">
        <is>
          <t>13/03/2026</t>
        </is>
      </c>
      <c r="I10796" s="10" t="inlineStr">
        <is>
          <t>12/04/2026</t>
        </is>
      </c>
      <c r="J10796" s="10" t="inlineStr">
        <is>
          <t>17/03/2026</t>
        </is>
      </c>
      <c r="K10796" s="10" t="inlineStr">
        <is>
          <t>N/A</t>
        </is>
      </c>
      <c r="L10796" s="10" t="inlineStr">
        <is>
          <t>Electrical, Mechanical, Safety Standards, Thermal Engineering, Utility Management</t>
        </is>
      </c>
      <c r="M10796" s="10" t="inlineStr">
        <is>
          <t>Bonus, Training, Transportation</t>
        </is>
      </c>
      <c r="N10796" s="11">
        <f>HYPERLINK("https://www.vietnamworks.com/utility-manager-2023141-jv","Xem chi tiết")</f>
        <v/>
      </c>
      <c r="O10796" s="10" t="n"/>
    </row>
    <row r="10797">
      <c r="B10797" s="7" t="n">
        <v>10795</v>
      </c>
      <c r="C10797" t="inlineStr">
        <is>
          <t>Kỹ Sư Cơ Khí</t>
        </is>
      </c>
      <c r="D10797" t="inlineStr">
        <is>
          <t>Công ty CP Bơm và Thiết Bị Quang Phước</t>
        </is>
      </c>
      <c r="E10797" t="inlineStr">
        <is>
          <t>12tr-17tr ₫/tháng</t>
        </is>
      </c>
      <c r="F10797" t="inlineStr">
        <is>
          <t>Hồ Chí Minh</t>
        </is>
      </c>
      <c r="G10797" t="inlineStr">
        <is>
          <t>Nhân viên</t>
        </is>
      </c>
      <c r="H10797" t="inlineStr">
        <is>
          <t>13/03/2026</t>
        </is>
      </c>
      <c r="I10797" t="inlineStr">
        <is>
          <t>12/04/2026</t>
        </is>
      </c>
      <c r="J10797" t="inlineStr">
        <is>
          <t>17/03/2026</t>
        </is>
      </c>
      <c r="K10797" t="inlineStr">
        <is>
          <t>N/A</t>
        </is>
      </c>
      <c r="L10797" t="inlineStr">
        <is>
          <t>Cơ Khí Chế Tạo, Cơ Điện, Sửa Chữa Máy Móc, Lắp Đặt Thiết Bị Cơ Điện, Bảo Hành Máy Móc</t>
        </is>
      </c>
      <c r="M10797" t="inlineStr">
        <is>
          <t>Bonus, Healthcare Plan, Training, Travel Opportunities, Transportation</t>
        </is>
      </c>
      <c r="N10797" s="8">
        <f>HYPERLINK("https://www.vietnamworks.com/ky-su-co-khi-2023136-jv","Xem chi tiết")</f>
        <v/>
      </c>
    </row>
    <row r="10798">
      <c r="B10798" s="9" t="n">
        <v>10796</v>
      </c>
      <c r="C10798" s="10" t="inlineStr">
        <is>
          <t>Campaign Operations Executive (Media Agency)</t>
        </is>
      </c>
      <c r="D10798" s="10" t="inlineStr">
        <is>
          <t>Công Ty TNHH TotallyAwesome Việt Nam</t>
        </is>
      </c>
      <c r="E10798" s="10" t="inlineStr">
        <is>
          <t>Thương lượng</t>
        </is>
      </c>
      <c r="F10798" s="10" t="inlineStr">
        <is>
          <t>Hồ Chí Minh</t>
        </is>
      </c>
      <c r="G10798" s="10" t="inlineStr">
        <is>
          <t>Nhân viên</t>
        </is>
      </c>
      <c r="H10798" s="10" t="inlineStr">
        <is>
          <t>13/03/2026</t>
        </is>
      </c>
      <c r="I10798" s="10" t="inlineStr">
        <is>
          <t>12/04/2026</t>
        </is>
      </c>
      <c r="J10798" s="10" t="inlineStr">
        <is>
          <t>17/03/2026</t>
        </is>
      </c>
      <c r="K10798" s="10" t="inlineStr">
        <is>
          <t>N/A</t>
        </is>
      </c>
      <c r="L10798" s="10" t="inlineStr">
        <is>
          <t>Digital Marketing, Marketing Agency, Agency Marketing, Youtube Ads, Google Ads</t>
        </is>
      </c>
      <c r="M10798" s="10" t="inlineStr">
        <is>
          <t>Healthcare Plan, Canteen, Others</t>
        </is>
      </c>
      <c r="N10798" s="11">
        <f>HYPERLINK("https://www.vietnamworks.com/campaign-operations-executive-media-agency-2023135-jv","Xem chi tiết")</f>
        <v/>
      </c>
      <c r="O10798" s="10" t="n"/>
    </row>
    <row r="10799">
      <c r="B10799" s="7" t="n">
        <v>10797</v>
      </c>
      <c r="C10799" t="inlineStr">
        <is>
          <t>Trưởng Phòng Thiết Kế</t>
        </is>
      </c>
      <c r="D10799" t="inlineStr">
        <is>
          <t>Công ty cổ phần tập đoàn đầu tư Thăng Long</t>
        </is>
      </c>
      <c r="E10799" t="inlineStr">
        <is>
          <t>Thương lượng</t>
        </is>
      </c>
      <c r="F10799" t="inlineStr">
        <is>
          <t>Hà Nội</t>
        </is>
      </c>
      <c r="G10799" t="inlineStr">
        <is>
          <t>Trưởng phòng</t>
        </is>
      </c>
      <c r="H10799" t="inlineStr">
        <is>
          <t>13/03/2026</t>
        </is>
      </c>
      <c r="I10799" t="inlineStr">
        <is>
          <t>12/04/2026</t>
        </is>
      </c>
      <c r="J10799" t="inlineStr">
        <is>
          <t>17/03/2026</t>
        </is>
      </c>
      <c r="K10799" t="inlineStr">
        <is>
          <t>N/A</t>
        </is>
      </c>
      <c r="L10799" t="inlineStr">
        <is>
          <t>Quản Lý Thiết Kế Kết Cấu, Kiến Trúc Công Trình, Xây Dựng, Lập Bản Vẽ Quy Hoạch, Thiết Kế</t>
        </is>
      </c>
      <c r="M10799" t="inlineStr">
        <is>
          <t>Bonus, Paid Leave, Travel Opportunities</t>
        </is>
      </c>
      <c r="N10799" s="8">
        <f>HYPERLINK("https://www.vietnamworks.com/truong-phong-thiet-ke-2023127-jv","Xem chi tiết")</f>
        <v/>
      </c>
    </row>
    <row r="10800">
      <c r="B10800" s="9" t="n">
        <v>10798</v>
      </c>
      <c r="C10800" s="10" t="inlineStr">
        <is>
          <t>Trưởng Phòng Kinh Doanh</t>
        </is>
      </c>
      <c r="D10800" s="10" t="inlineStr">
        <is>
          <t>CÔNG TY CỔ PHẦN KHU CÔNG NGHIỆP VÀ ĐÔ THỊ AN AN HÒA</t>
        </is>
      </c>
      <c r="E10800" s="10" t="inlineStr">
        <is>
          <t>Thương lượng</t>
        </is>
      </c>
      <c r="F10800" s="10" t="inlineStr">
        <is>
          <t>Quảng Nam</t>
        </is>
      </c>
      <c r="G10800" s="10" t="inlineStr">
        <is>
          <t>Trưởng phòng</t>
        </is>
      </c>
      <c r="H10800" s="10" t="inlineStr">
        <is>
          <t>13/03/2026</t>
        </is>
      </c>
      <c r="I10800" s="10" t="inlineStr">
        <is>
          <t>12/04/2026</t>
        </is>
      </c>
      <c r="J10800" s="10" t="inlineStr">
        <is>
          <t>17/03/2026</t>
        </is>
      </c>
      <c r="K10800" s="10" t="inlineStr">
        <is>
          <t>N/A</t>
        </is>
      </c>
      <c r="L10800" s="10" t="inlineStr">
        <is>
          <t>Quản Lý Dự Án, Phân Tích Thị Trường, Lập Kế Hoạch Kinh Doanh, Phân Tích Chiến Lược, Nghiên Cứu Thị Trường</t>
        </is>
      </c>
      <c r="M10800" s="10" t="inlineStr">
        <is>
          <t>Bonus, Others</t>
        </is>
      </c>
      <c r="N10800" s="11">
        <f>HYPERLINK("https://www.vietnamworks.com/truong-phong-kinh-doanh-2023142-jv","Xem chi tiết")</f>
        <v/>
      </c>
      <c r="O10800" s="10" t="n"/>
    </row>
    <row r="10801">
      <c r="B10801" s="7" t="n">
        <v>10799</v>
      </c>
      <c r="C10801" t="inlineStr">
        <is>
          <t>Chuyên Viên Sales Thị Trường Quốc Tế (Biết Tiếng Nga)</t>
        </is>
      </c>
      <c r="D10801" t="inlineStr">
        <is>
          <t>Công Ty TNHH ATM International</t>
        </is>
      </c>
      <c r="E10801" t="inlineStr">
        <is>
          <t>Thương lượng</t>
        </is>
      </c>
      <c r="F10801" t="inlineStr">
        <is>
          <t>Hồ Chí Minh</t>
        </is>
      </c>
      <c r="G10801" t="inlineStr">
        <is>
          <t>Nhân viên</t>
        </is>
      </c>
      <c r="H10801" t="inlineStr">
        <is>
          <t>13/03/2026</t>
        </is>
      </c>
      <c r="I10801" t="inlineStr">
        <is>
          <t>12/04/2026</t>
        </is>
      </c>
      <c r="J10801" t="inlineStr">
        <is>
          <t>17/03/2026</t>
        </is>
      </c>
      <c r="K10801" t="inlineStr">
        <is>
          <t>N/A</t>
        </is>
      </c>
      <c r="L10801" t="inlineStr">
        <is>
          <t>Tiếng Nga, Sales Overseas, Sales &amp; Partnership Management, Customer Service Skill, Sales</t>
        </is>
      </c>
      <c r="M10801" t="inlineStr">
        <is>
          <t>Healthcare Plan, Awards, Others</t>
        </is>
      </c>
      <c r="N10801" s="8">
        <f>HYPERLINK("https://www.vietnamworks.com/chuyen-vien-sales-thi-truong-quoc-te-biet-tieng-nga-2023147-jv","Xem chi tiết")</f>
        <v/>
      </c>
    </row>
    <row r="10802">
      <c r="B10802" s="9" t="n">
        <v>10800</v>
      </c>
      <c r="C10802" s="10" t="inlineStr">
        <is>
          <t>Phó Tổng Quản lý Vận Hành Toàn Quốc</t>
        </is>
      </c>
      <c r="D10802" s="10" t="inlineStr">
        <is>
          <t>CÔNG TY CP Y TẾ 315</t>
        </is>
      </c>
      <c r="E10802" s="10" t="inlineStr">
        <is>
          <t>Thương lượng</t>
        </is>
      </c>
      <c r="F10802" s="10" t="inlineStr">
        <is>
          <t>Hồ Chí Minh</t>
        </is>
      </c>
      <c r="G10802" s="10" t="inlineStr">
        <is>
          <t>Trưởng phòng</t>
        </is>
      </c>
      <c r="H10802" s="10" t="inlineStr">
        <is>
          <t>13/03/2026</t>
        </is>
      </c>
      <c r="I10802" s="10" t="inlineStr">
        <is>
          <t>12/04/2026</t>
        </is>
      </c>
      <c r="J10802" s="10" t="inlineStr">
        <is>
          <t>17/03/2026</t>
        </is>
      </c>
      <c r="K10802" s="10" t="inlineStr">
        <is>
          <t>N/A</t>
        </is>
      </c>
      <c r="L10802" s="10" t="inlineStr">
        <is>
          <t>Dịch Vụ Khách Hàng, Phân Tích Dữ Liệu, Quản Lý Nhân Sự, Quản Lý Tài Chính, Quản Lý Vận Hành</t>
        </is>
      </c>
      <c r="M10802" s="10" t="inlineStr">
        <is>
          <t>Others</t>
        </is>
      </c>
      <c r="N10802" s="11">
        <f>HYPERLINK("https://www.vietnamworks.com/pho-tong-quan-ly-van-hanh-toan-quoc-2023151-jv","Xem chi tiết")</f>
        <v/>
      </c>
      <c r="O10802" s="10" t="n"/>
    </row>
    <row r="10803">
      <c r="B10803" s="7" t="n">
        <v>10801</v>
      </c>
      <c r="C10803" t="inlineStr">
        <is>
          <t>Kỹ Thuật Viên Hiệu Chuẩn</t>
        </is>
      </c>
      <c r="D10803" t="inlineStr">
        <is>
          <t>Công Ty Cổ Phần Điện Tử Techmaster</t>
        </is>
      </c>
      <c r="E10803" t="inlineStr">
        <is>
          <t>Thương lượng</t>
        </is>
      </c>
      <c r="F10803" t="inlineStr">
        <is>
          <t>Hồ Chí Minh, Bắc Ninh</t>
        </is>
      </c>
      <c r="G10803" t="inlineStr">
        <is>
          <t>Nhân viên</t>
        </is>
      </c>
      <c r="H10803" t="inlineStr">
        <is>
          <t>13/03/2026</t>
        </is>
      </c>
      <c r="I10803" t="inlineStr">
        <is>
          <t>12/04/2026</t>
        </is>
      </c>
      <c r="J10803" t="inlineStr">
        <is>
          <t>17/03/2026</t>
        </is>
      </c>
      <c r="K10803" t="inlineStr">
        <is>
          <t>N/A</t>
        </is>
      </c>
      <c r="L10803" t="inlineStr">
        <is>
          <t>Hiệu Chuẩn Thiết Bị, Kiểm Định Chất Lượng, Thẩm Định, Đo Lường Hiệu Chuẩn, Đo Lường Kiểm Định</t>
        </is>
      </c>
      <c r="M10803" t="inlineStr">
        <is>
          <t>Bonus, Healthcare Plan, Training, Team Activities, Transportation</t>
        </is>
      </c>
      <c r="N10803" s="8">
        <f>HYPERLINK("https://www.vietnamworks.com/ky-thuat-vien-hieu-chuan-2023168-jv","Xem chi tiết")</f>
        <v/>
      </c>
    </row>
    <row r="10804">
      <c r="B10804" s="9" t="n">
        <v>10802</v>
      </c>
      <c r="C10804" s="10" t="inlineStr">
        <is>
          <t>Quản Lý Quán Cafe</t>
        </is>
      </c>
      <c r="D10804" s="10" t="inlineStr">
        <is>
          <t>Monstaz</t>
        </is>
      </c>
      <c r="E10804" s="10" t="inlineStr">
        <is>
          <t>Tới 20tr ₫/tháng</t>
        </is>
      </c>
      <c r="F10804" s="10" t="inlineStr">
        <is>
          <t>Hồ Chí Minh</t>
        </is>
      </c>
      <c r="G10804" s="10" t="inlineStr">
        <is>
          <t>Nhân viên</t>
        </is>
      </c>
      <c r="H10804" s="10" t="inlineStr">
        <is>
          <t>13/03/2026</t>
        </is>
      </c>
      <c r="I10804" s="10" t="inlineStr">
        <is>
          <t>12/04/2026</t>
        </is>
      </c>
      <c r="J10804" s="10" t="inlineStr">
        <is>
          <t>17/03/2026</t>
        </is>
      </c>
      <c r="K10804" s="10" t="inlineStr">
        <is>
          <t>N/A</t>
        </is>
      </c>
      <c r="L10804" s="10" t="inlineStr">
        <is>
          <t>F&amp;B, Cafe, Quản Lý Cửa Hàng, Quản Lý Sản Phẩm, Quản Lý Thu Chi</t>
        </is>
      </c>
      <c r="M10804" s="10" t="inlineStr">
        <is>
          <t>Bonus, Healthcare Plan, Paid Leave, Travel Opportunities, Canteen</t>
        </is>
      </c>
      <c r="N10804" s="11">
        <f>HYPERLINK("https://www.vietnamworks.com/quan-ly-quan-cafe-2023160-jv","Xem chi tiết")</f>
        <v/>
      </c>
      <c r="O10804" s="10" t="n"/>
    </row>
    <row r="10805">
      <c r="B10805" s="7" t="n">
        <v>10803</v>
      </c>
      <c r="C10805" t="inlineStr">
        <is>
          <t>Logistics Staff</t>
        </is>
      </c>
      <c r="D10805" t="inlineStr">
        <is>
          <t>Công Ty TNHH Thang Máy VGSI</t>
        </is>
      </c>
      <c r="E10805" t="inlineStr">
        <is>
          <t>Từ 15tr ₫/tháng</t>
        </is>
      </c>
      <c r="F10805" t="inlineStr">
        <is>
          <t>Đồng Nai</t>
        </is>
      </c>
      <c r="G10805" t="inlineStr">
        <is>
          <t>Nhân viên</t>
        </is>
      </c>
      <c r="H10805" t="inlineStr">
        <is>
          <t>13/03/2026</t>
        </is>
      </c>
      <c r="I10805" t="inlineStr">
        <is>
          <t>12/04/2026</t>
        </is>
      </c>
      <c r="J10805" t="inlineStr">
        <is>
          <t>17/03/2026</t>
        </is>
      </c>
      <c r="K10805" t="inlineStr">
        <is>
          <t>N/A</t>
        </is>
      </c>
      <c r="L10805" t="inlineStr">
        <is>
          <t>Giao Tiếp Tốt, Xuất Nhập Khẩu, Xuất Nhập Khẩu &amp; Logistics, Đàm Phán</t>
        </is>
      </c>
      <c r="M10805" t="inlineStr">
        <is>
          <t>Bonus, Healthcare Plan, Laptop, Vouchers</t>
        </is>
      </c>
      <c r="N10805" s="8">
        <f>HYPERLINK("https://www.vietnamworks.com/logistics-staff-2023152-jv","Xem chi tiết")</f>
        <v/>
      </c>
    </row>
    <row r="10806">
      <c r="B10806" s="9" t="n">
        <v>10804</v>
      </c>
      <c r="C10806" s="10" t="inlineStr">
        <is>
          <t>Nhân Viên Kho</t>
        </is>
      </c>
      <c r="D10806" s="10" t="inlineStr">
        <is>
          <t>Công Ty Cổ Phần Công Nghệ Sinh Học Kim Hòa Phát</t>
        </is>
      </c>
      <c r="E10806" s="10" t="inlineStr">
        <is>
          <t>Thương lượng</t>
        </is>
      </c>
      <c r="F10806" s="10" t="inlineStr">
        <is>
          <t>Hồ Chí Minh</t>
        </is>
      </c>
      <c r="G10806" s="10" t="inlineStr">
        <is>
          <t>Mới Tốt Nghiệp</t>
        </is>
      </c>
      <c r="H10806" s="10" t="inlineStr">
        <is>
          <t>13/03/2026</t>
        </is>
      </c>
      <c r="I10806" s="10" t="inlineStr">
        <is>
          <t>12/04/2026</t>
        </is>
      </c>
      <c r="J10806" s="10" t="inlineStr">
        <is>
          <t>17/03/2026</t>
        </is>
      </c>
      <c r="K10806" s="10" t="inlineStr">
        <is>
          <t>N/A</t>
        </is>
      </c>
      <c r="L10806" s="10" t="inlineStr">
        <is>
          <t>Quản Trị Hàng Hóa, Theo Dõi Tồn Kho, Hàng Xuất Nhập, Báo Cáo Kiểm Kê, Inventory Control</t>
        </is>
      </c>
      <c r="M10806" s="10" t="inlineStr">
        <is>
          <t>Bonus, Healthcare Plan, Travel Opportunities</t>
        </is>
      </c>
      <c r="N10806" s="11">
        <f>HYPERLINK("https://www.vietnamworks.com/nhan-vien-kho-2023149-jv","Xem chi tiết")</f>
        <v/>
      </c>
      <c r="O10806" s="10" t="n"/>
    </row>
    <row r="10807">
      <c r="B10807" s="7" t="n">
        <v>10805</v>
      </c>
      <c r="C10807" t="inlineStr">
        <is>
          <t>Hành Chính Tổng Hợp (Yêu Cầu Biết Tiếng Trung)</t>
        </is>
      </c>
      <c r="D10807" t="inlineStr">
        <is>
          <t>CÔNG TY TNHH ĐIỆN GIÓ GCL PALATIAL (NINH THUẬN)</t>
        </is>
      </c>
      <c r="E10807" t="inlineStr">
        <is>
          <t>Thương lượng</t>
        </is>
      </c>
      <c r="F10807" t="inlineStr">
        <is>
          <t>Khánh Hòa</t>
        </is>
      </c>
      <c r="G10807" t="inlineStr">
        <is>
          <t>Nhân viên</t>
        </is>
      </c>
      <c r="H10807" t="inlineStr">
        <is>
          <t>13/03/2026</t>
        </is>
      </c>
      <c r="I10807" t="inlineStr">
        <is>
          <t>12/04/2026</t>
        </is>
      </c>
      <c r="J10807" t="inlineStr">
        <is>
          <t>17/03/2026</t>
        </is>
      </c>
      <c r="K10807" t="inlineStr">
        <is>
          <t>N/A</t>
        </is>
      </c>
      <c r="L10807" t="inlineStr">
        <is>
          <t>Tiếng Anh, Tiếng Trung, Biên Dịch, HSK5, Phiên Dịch</t>
        </is>
      </c>
      <c r="M10807" t="inlineStr">
        <is>
          <t>Healthcare Plan, Paid Leave, Laptop, Others</t>
        </is>
      </c>
      <c r="N10807" s="8">
        <f>HYPERLINK("https://www.vietnamworks.com/hanh-chinh-tong-hop-yeu-cau-biet-tieng-trung-2023169-jv","Xem chi tiết")</f>
        <v/>
      </c>
    </row>
    <row r="10808">
      <c r="B10808" s="9" t="n">
        <v>10806</v>
      </c>
      <c r="C10808" s="10" t="inlineStr">
        <is>
          <t>Digital Performance Officer (Outsourcing)</t>
        </is>
      </c>
      <c r="D10808" s="10" t="inlineStr">
        <is>
          <t>United Overseas Bank (Vietnam) Limited (UOB)</t>
        </is>
      </c>
      <c r="E10808" s="10" t="inlineStr">
        <is>
          <t>Thương lượng</t>
        </is>
      </c>
      <c r="F10808" s="10" t="inlineStr">
        <is>
          <t>Hồ Chí Minh</t>
        </is>
      </c>
      <c r="G10808" s="10" t="inlineStr">
        <is>
          <t>Nhân viên</t>
        </is>
      </c>
      <c r="H10808" s="10" t="inlineStr">
        <is>
          <t>13/03/2026</t>
        </is>
      </c>
      <c r="I10808" s="10" t="inlineStr">
        <is>
          <t>12/04/2026</t>
        </is>
      </c>
      <c r="J10808" s="10" t="inlineStr">
        <is>
          <t>17/03/2026</t>
        </is>
      </c>
      <c r="K10808" s="10" t="inlineStr">
        <is>
          <t>N/A</t>
        </is>
      </c>
      <c r="L10808" s="10" t="inlineStr">
        <is>
          <t>Communication Skills, Content Creation, Digital Marketing, Market Analysis, Problem-solving</t>
        </is>
      </c>
      <c r="M10808" s="10" t="inlineStr">
        <is>
          <t>Bonus, Healthcare Plan, Paid Leave, Others</t>
        </is>
      </c>
      <c r="N10808" s="11">
        <f>HYPERLINK("https://www.vietnamworks.com/digital-performance-officer-outsourcing-2023154-jv","Xem chi tiết")</f>
        <v/>
      </c>
      <c r="O10808" s="10" t="n"/>
    </row>
    <row r="10809">
      <c r="B10809" s="7" t="n">
        <v>10807</v>
      </c>
      <c r="C10809" t="inlineStr">
        <is>
          <t>Kỹ Sư Công Nghệ/ Technical Section Admin Staff</t>
        </is>
      </c>
      <c r="D10809" t="inlineStr">
        <is>
          <t>Hanacans JSC</t>
        </is>
      </c>
      <c r="E10809" t="inlineStr">
        <is>
          <t>Tới $ 660 /tháng</t>
        </is>
      </c>
      <c r="F10809" t="inlineStr">
        <is>
          <t>Bắc Ninh</t>
        </is>
      </c>
      <c r="G10809" t="inlineStr">
        <is>
          <t>Nhân viên</t>
        </is>
      </c>
      <c r="H10809" t="inlineStr">
        <is>
          <t>13/03/2026</t>
        </is>
      </c>
      <c r="I10809" t="inlineStr">
        <is>
          <t>12/04/2026</t>
        </is>
      </c>
      <c r="J10809" t="inlineStr">
        <is>
          <t>17/03/2026</t>
        </is>
      </c>
      <c r="K10809" t="inlineStr">
        <is>
          <t>N/A</t>
        </is>
      </c>
      <c r="L10809" t="inlineStr">
        <is>
          <t>Excel, AutoCAD</t>
        </is>
      </c>
      <c r="M10809" t="inlineStr">
        <is>
          <t>Bonus, Paid Leave, Transportation</t>
        </is>
      </c>
      <c r="N10809" s="8">
        <f>HYPERLINK("https://www.vietnamworks.com/ky-su-cong-nghe-technical-section-admin-staff-2023166-jv","Xem chi tiết")</f>
        <v/>
      </c>
    </row>
    <row r="10810">
      <c r="B10810" s="9" t="n">
        <v>10808</v>
      </c>
      <c r="C10810" s="10" t="inlineStr">
        <is>
          <t>Claim Assessor (Doctor)</t>
        </is>
      </c>
      <c r="D10810" s="10" t="inlineStr">
        <is>
          <t>Công Ty Bảo Hiểm Nhân Thọ Cathay</t>
        </is>
      </c>
      <c r="E10810" s="10" t="inlineStr">
        <is>
          <t>Thương lượng</t>
        </is>
      </c>
      <c r="F10810" s="10" t="inlineStr">
        <is>
          <t>Hồ Chí Minh</t>
        </is>
      </c>
      <c r="G10810" s="10" t="inlineStr">
        <is>
          <t>Nhân viên</t>
        </is>
      </c>
      <c r="H10810" s="10" t="inlineStr">
        <is>
          <t>13/03/2026</t>
        </is>
      </c>
      <c r="I10810" s="10" t="inlineStr">
        <is>
          <t>12/04/2026</t>
        </is>
      </c>
      <c r="J10810" s="10" t="inlineStr">
        <is>
          <t>17/03/2026</t>
        </is>
      </c>
      <c r="K10810" s="10" t="inlineStr">
        <is>
          <t>N/A</t>
        </is>
      </c>
      <c r="L10810" s="10" t="inlineStr">
        <is>
          <t>Medical, Life Insurance Claiming, Claims Handling, Claims Analysis, Insurance Claims</t>
        </is>
      </c>
      <c r="M10810" s="10" t="inlineStr">
        <is>
          <t>Bonus, Healthcare Plan, Training</t>
        </is>
      </c>
      <c r="N10810" s="11">
        <f>HYPERLINK("https://www.vietnamworks.com/claim-assessor-doctor-2023164-jv","Xem chi tiết")</f>
        <v/>
      </c>
      <c r="O10810" s="10" t="n"/>
    </row>
    <row r="10811">
      <c r="B10811" s="7" t="n">
        <v>10809</v>
      </c>
      <c r="C10811" t="inlineStr">
        <is>
          <t>Marketing Leader (Mảng F&amp;B)</t>
        </is>
      </c>
      <c r="D10811" t="inlineStr">
        <is>
          <t>Monstaz</t>
        </is>
      </c>
      <c r="E10811" t="inlineStr">
        <is>
          <t>Tới 30tr ₫/tháng</t>
        </is>
      </c>
      <c r="F10811" t="inlineStr">
        <is>
          <t>Hồ Chí Minh</t>
        </is>
      </c>
      <c r="G10811" t="inlineStr">
        <is>
          <t>Nhân viên</t>
        </is>
      </c>
      <c r="H10811" t="inlineStr">
        <is>
          <t>13/03/2026</t>
        </is>
      </c>
      <c r="I10811" t="inlineStr">
        <is>
          <t>12/04/2026</t>
        </is>
      </c>
      <c r="J10811" t="inlineStr">
        <is>
          <t>17/03/2026</t>
        </is>
      </c>
      <c r="K10811" t="inlineStr">
        <is>
          <t>N/A</t>
        </is>
      </c>
      <c r="L10811" t="inlineStr">
        <is>
          <t>Digital Marketing, Marketing Campaign, Content Marketing, SEO Strategy, F&amp;B</t>
        </is>
      </c>
      <c r="M10811" t="inlineStr">
        <is>
          <t>Bonus, Healthcare Plan, Paid Leave, Travel Opportunities, Canteen</t>
        </is>
      </c>
      <c r="N10811" s="8">
        <f>HYPERLINK("https://www.vietnamworks.com/marketing-leader-mang-f-b-2023159-jv","Xem chi tiết")</f>
        <v/>
      </c>
    </row>
    <row r="10812">
      <c r="B10812" s="9" t="n">
        <v>10810</v>
      </c>
      <c r="C10812" s="10" t="inlineStr">
        <is>
          <t>HRBP Supervisor (Mạnh Tuyển Mass)</t>
        </is>
      </c>
      <c r="D10812" s="10" t="inlineStr">
        <is>
          <t>Công ty cổ phần Dịch vụ Giao Hàng Nhanh</t>
        </is>
      </c>
      <c r="E10812" s="10" t="inlineStr">
        <is>
          <t>$$ 1,500-1,800 /tháng</t>
        </is>
      </c>
      <c r="F10812" s="10" t="inlineStr">
        <is>
          <t>Hồ Chí Minh</t>
        </is>
      </c>
      <c r="G10812" s="10" t="inlineStr">
        <is>
          <t>Nhân viên</t>
        </is>
      </c>
      <c r="H10812" s="10" t="inlineStr">
        <is>
          <t>13/03/2026</t>
        </is>
      </c>
      <c r="I10812" s="10" t="inlineStr">
        <is>
          <t>12/04/2026</t>
        </is>
      </c>
      <c r="J10812" s="10" t="inlineStr">
        <is>
          <t>17/03/2026</t>
        </is>
      </c>
      <c r="K10812" s="10" t="inlineStr">
        <is>
          <t>N/A</t>
        </is>
      </c>
      <c r="L10812" s="10" t="inlineStr">
        <is>
          <t>Mass Recruitment, HRBP Management, Talent Recruitment, Workforce Analytics, Workforce Management</t>
        </is>
      </c>
      <c r="M10812" s="10" t="inlineStr">
        <is>
          <t>Bonus, Healthcare Plan</t>
        </is>
      </c>
      <c r="N10812" s="11">
        <f>HYPERLINK("https://www.vietnamworks.com/hrbp-supervisor-manh-tuyen-mass-2023163-jv","Xem chi tiết")</f>
        <v/>
      </c>
      <c r="O10812" s="10" t="n"/>
    </row>
    <row r="10813">
      <c r="B10813" s="7" t="n">
        <v>10811</v>
      </c>
      <c r="C10813" t="inlineStr">
        <is>
          <t>Talent Acquisition Organizational Development (TAOD) Manager</t>
        </is>
      </c>
      <c r="D10813" t="inlineStr">
        <is>
          <t>VIETNAM HOUSEWARES CORP</t>
        </is>
      </c>
      <c r="E10813" t="inlineStr">
        <is>
          <t>Thương lượng</t>
        </is>
      </c>
      <c r="F10813" t="inlineStr">
        <is>
          <t>Bình Dương</t>
        </is>
      </c>
      <c r="G10813" t="inlineStr">
        <is>
          <t>Trưởng phòng</t>
        </is>
      </c>
      <c r="H10813" t="inlineStr">
        <is>
          <t>13/03/2026</t>
        </is>
      </c>
      <c r="I10813" t="inlineStr">
        <is>
          <t>12/04/2026</t>
        </is>
      </c>
      <c r="J10813" t="inlineStr">
        <is>
          <t>17/03/2026</t>
        </is>
      </c>
      <c r="K10813" t="inlineStr">
        <is>
          <t>N/A</t>
        </is>
      </c>
      <c r="L10813" t="inlineStr">
        <is>
          <t>Talent Acquisition, Organization Development, Leadership Management, Employee Engagement, Human resource</t>
        </is>
      </c>
      <c r="M10813" t="inlineStr">
        <is>
          <t>Awards, Others</t>
        </is>
      </c>
      <c r="N10813" s="8">
        <f>HYPERLINK("https://www.vietnamworks.com/talent-acquisition-organizational-development-taod-manager-2023167-jv","Xem chi tiết")</f>
        <v/>
      </c>
    </row>
    <row r="10814">
      <c r="B10814" s="9" t="n">
        <v>10812</v>
      </c>
      <c r="C10814" s="10" t="inlineStr">
        <is>
          <t>Kỹ Sư Trí Tuệ Nhân Tạo (AI Engineer)</t>
        </is>
      </c>
      <c r="D10814" s="10" t="inlineStr">
        <is>
          <t>Công Ty Cổ Phần Tập Đoàn Hoa Sen</t>
        </is>
      </c>
      <c r="E10814" s="10" t="inlineStr">
        <is>
          <t>Thương lượng</t>
        </is>
      </c>
      <c r="F10814" s="10" t="inlineStr">
        <is>
          <t>Hồ Chí Minh</t>
        </is>
      </c>
      <c r="G10814" s="10" t="inlineStr">
        <is>
          <t>Nhân viên</t>
        </is>
      </c>
      <c r="H10814" s="10" t="inlineStr">
        <is>
          <t>13/03/2026</t>
        </is>
      </c>
      <c r="I10814" s="10" t="inlineStr">
        <is>
          <t>12/04/2026</t>
        </is>
      </c>
      <c r="J10814" s="10" t="inlineStr">
        <is>
          <t>17/03/2026</t>
        </is>
      </c>
      <c r="K10814" s="10" t="inlineStr">
        <is>
          <t>N/A</t>
        </is>
      </c>
      <c r="L10814" s="10" t="inlineStr">
        <is>
          <t>AI/ML, Cloud Solution, Data Architecture, English Communication, Problem-solving</t>
        </is>
      </c>
      <c r="M10814" s="10" t="inlineStr">
        <is>
          <t>Healthcare Plan, Paid Leave, Others</t>
        </is>
      </c>
      <c r="N10814" s="11">
        <f>HYPERLINK("https://www.vietnamworks.com/ky-su-tri-tue-nhan-tao-ai-engineer-2023155-jv","Xem chi tiết")</f>
        <v/>
      </c>
      <c r="O10814" s="10" t="n"/>
    </row>
    <row r="10815">
      <c r="B10815" s="7" t="n">
        <v>10813</v>
      </c>
      <c r="C10815" t="inlineStr">
        <is>
          <t>Outdoor Furniture Designer - (Salary: 2000$ -3000$/month)</t>
        </is>
      </c>
      <c r="D10815" t="inlineStr">
        <is>
          <t>Greenmore Vietnam Co., Ltd</t>
        </is>
      </c>
      <c r="E10815" t="inlineStr">
        <is>
          <t>$$ 2,000-3,000 /tháng</t>
        </is>
      </c>
      <c r="F10815" t="inlineStr">
        <is>
          <t>Bình Dương</t>
        </is>
      </c>
      <c r="G10815" t="inlineStr">
        <is>
          <t>Nhân viên</t>
        </is>
      </c>
      <c r="H10815" t="inlineStr">
        <is>
          <t>13/03/2026</t>
        </is>
      </c>
      <c r="I10815" t="inlineStr">
        <is>
          <t>12/04/2026</t>
        </is>
      </c>
      <c r="J10815" t="inlineStr">
        <is>
          <t>17/03/2026</t>
        </is>
      </c>
      <c r="K10815" t="inlineStr">
        <is>
          <t>N/A</t>
        </is>
      </c>
      <c r="L10815" t="inlineStr">
        <is>
          <t>Outdoor Furniture, AutoCAD, SolidWorks, Sketchup, Material Research</t>
        </is>
      </c>
      <c r="M10815" t="inlineStr">
        <is>
          <t>Bonus, Laptop, Travel Opportunities, Others</t>
        </is>
      </c>
      <c r="N10815" s="8">
        <f>HYPERLINK("https://www.vietnamworks.com/outdoor-furniture-designer-salary-2000dollar-3000dollarmonth-2023170-jv","Xem chi tiết")</f>
        <v/>
      </c>
    </row>
    <row r="10816">
      <c r="B10816" s="9" t="n">
        <v>10814</v>
      </c>
      <c r="C10816" s="10" t="inlineStr">
        <is>
          <t>Cán Bộ Kỹ Thuật Hiện Trường / QC / QS</t>
        </is>
      </c>
      <c r="D10816" s="10" t="inlineStr">
        <is>
          <t>CÔNG TY CỔ PHẦN XÂY DỰNG 201</t>
        </is>
      </c>
      <c r="E10816" s="10" t="inlineStr">
        <is>
          <t>20tr-25tr ₫/tháng</t>
        </is>
      </c>
      <c r="F10816" s="10" t="inlineStr">
        <is>
          <t>Hải Phòng</t>
        </is>
      </c>
      <c r="G10816" s="10" t="inlineStr">
        <is>
          <t>Nhân viên</t>
        </is>
      </c>
      <c r="H10816" s="10" t="inlineStr">
        <is>
          <t>13/03/2026</t>
        </is>
      </c>
      <c r="I10816" s="10" t="inlineStr">
        <is>
          <t>12/04/2026</t>
        </is>
      </c>
      <c r="J10816" s="10" t="inlineStr">
        <is>
          <t>17/03/2026</t>
        </is>
      </c>
      <c r="K10816" s="10" t="inlineStr">
        <is>
          <t>N/A</t>
        </is>
      </c>
      <c r="L10816" s="10" t="inlineStr">
        <is>
          <t>Giám Sát Thi Công, Kiểm Tra Chất Lượng, Đọc Hiểu Bản Vẽ, Lập Trình AutoCAD, Kinh Nghiệm Qs Xây Dựng</t>
        </is>
      </c>
      <c r="M10816" s="10" t="inlineStr">
        <is>
          <t>Bonus</t>
        </is>
      </c>
      <c r="N10816" s="11">
        <f>HYPERLINK("https://www.vietnamworks.com/can-bo-ky-thuat-hien-truong-qc-qs-2023173-jv","Xem chi tiết")</f>
        <v/>
      </c>
      <c r="O10816" s="10" t="n"/>
    </row>
    <row r="10817">
      <c r="B10817" s="7" t="n">
        <v>10815</v>
      </c>
      <c r="C10817" t="inlineStr">
        <is>
          <t>Chỉ Huy Trưởng Dự Án</t>
        </is>
      </c>
      <c r="D10817" t="inlineStr">
        <is>
          <t>CÔNG TY CỔ PHẦN XÂY DỰNG 201</t>
        </is>
      </c>
      <c r="E10817" t="inlineStr">
        <is>
          <t>25tr-35tr ₫/tháng</t>
        </is>
      </c>
      <c r="F10817" t="inlineStr">
        <is>
          <t>Hải Phòng</t>
        </is>
      </c>
      <c r="G10817" t="inlineStr">
        <is>
          <t>Nhân viên</t>
        </is>
      </c>
      <c r="H10817" t="inlineStr">
        <is>
          <t>13/03/2026</t>
        </is>
      </c>
      <c r="I10817" t="inlineStr">
        <is>
          <t>12/04/2026</t>
        </is>
      </c>
      <c r="J10817" t="inlineStr">
        <is>
          <t>17/03/2026</t>
        </is>
      </c>
      <c r="K10817" t="inlineStr">
        <is>
          <t>N/A</t>
        </is>
      </c>
      <c r="L10817" t="inlineStr">
        <is>
          <t>Quản Lý Thi Công, Giám Sát Tiến Độ, Kỹ Thuật Xây Dựng, Quản lý chất lượng, Giải quyết vấn đề</t>
        </is>
      </c>
      <c r="M10817" t="inlineStr">
        <is>
          <t>Bonus</t>
        </is>
      </c>
      <c r="N10817" s="8">
        <f>HYPERLINK("https://www.vietnamworks.com/chi-huy-truong-du-an-2023171-jv","Xem chi tiết")</f>
        <v/>
      </c>
    </row>
    <row r="10818">
      <c r="B10818" s="9" t="n">
        <v>10816</v>
      </c>
      <c r="C10818" s="10" t="inlineStr">
        <is>
          <t>Giáo Viên Bộ Môn Tiếng Anh</t>
        </is>
      </c>
      <c r="D10818" s="10" t="inlineStr">
        <is>
          <t>Hệ thống Giáo dục Vinschool</t>
        </is>
      </c>
      <c r="E10818" s="10" t="inlineStr">
        <is>
          <t>Thương lượng</t>
        </is>
      </c>
      <c r="F10818" s="10" t="inlineStr">
        <is>
          <t>Hồ Chí Minh</t>
        </is>
      </c>
      <c r="G10818" s="10" t="inlineStr">
        <is>
          <t>Nhân viên</t>
        </is>
      </c>
      <c r="H10818" s="10" t="inlineStr">
        <is>
          <t>13/03/2026</t>
        </is>
      </c>
      <c r="I10818" s="10" t="inlineStr">
        <is>
          <t>12/04/2026</t>
        </is>
      </c>
      <c r="J10818" s="10" t="inlineStr">
        <is>
          <t>17/03/2026</t>
        </is>
      </c>
      <c r="K10818" s="10" t="inlineStr">
        <is>
          <t>N/A</t>
        </is>
      </c>
      <c r="L10818" s="10" t="inlineStr">
        <is>
          <t>Giảng Dạy, Giảng Dạy Tiếng Anh, Giáo Viên, Giáo viên IELTS, Tiếng Anh</t>
        </is>
      </c>
      <c r="M10818" s="10" t="inlineStr">
        <is>
          <t>Healthcare Plan, Training, Others</t>
        </is>
      </c>
      <c r="N10818" s="11">
        <f>HYPERLINK("https://www.vietnamworks.com/giao-vien-bo-mon-tieng-anh-2023153-jv","Xem chi tiết")</f>
        <v/>
      </c>
      <c r="O10818" s="10" t="n"/>
    </row>
    <row r="10819">
      <c r="B10819" s="7" t="n">
        <v>10817</v>
      </c>
      <c r="C10819" t="inlineStr">
        <is>
          <t>International Finance Assistant</t>
        </is>
      </c>
      <c r="D10819" t="inlineStr">
        <is>
          <t>Công ty TNHH Lam Hoài An</t>
        </is>
      </c>
      <c r="E10819" t="inlineStr">
        <is>
          <t>10tr-18tr ₫/tháng</t>
        </is>
      </c>
      <c r="F10819" t="inlineStr">
        <is>
          <t>Hồ Chí Minh</t>
        </is>
      </c>
      <c r="G10819" t="inlineStr">
        <is>
          <t>Nhân viên</t>
        </is>
      </c>
      <c r="H10819" t="inlineStr">
        <is>
          <t>13/03/2026</t>
        </is>
      </c>
      <c r="I10819" t="inlineStr">
        <is>
          <t>12/04/2026</t>
        </is>
      </c>
      <c r="J10819" t="inlineStr">
        <is>
          <t>17/03/2026</t>
        </is>
      </c>
      <c r="K10819" t="inlineStr">
        <is>
          <t>N/A</t>
        </is>
      </c>
      <c r="L10819" t="inlineStr">
        <is>
          <t>Financial Record Keeping, Microsoft Excel, Payroll Accounting, Xero Accounting Software, Mandarin Chinese</t>
        </is>
      </c>
      <c r="M10819" t="inlineStr">
        <is>
          <t>Healthcare Plan, Travel Opportunities, Others</t>
        </is>
      </c>
      <c r="N10819" s="8">
        <f>HYPERLINK("https://www.vietnamworks.com/international-finance-assistant-2023157-jv","Xem chi tiết")</f>
        <v/>
      </c>
    </row>
    <row r="10820">
      <c r="B10820" s="9" t="n">
        <v>10818</v>
      </c>
      <c r="C10820" s="10" t="inlineStr">
        <is>
          <t>Nhân Viên QC</t>
        </is>
      </c>
      <c r="D10820" s="10" t="inlineStr">
        <is>
          <t>Công Ty TNHH M&amp;C Electronics Vina</t>
        </is>
      </c>
      <c r="E10820" s="10" t="inlineStr">
        <is>
          <t>Thương lượng</t>
        </is>
      </c>
      <c r="F10820" s="10" t="inlineStr">
        <is>
          <t>Bắc Ninh</t>
        </is>
      </c>
      <c r="G10820" s="10" t="inlineStr">
        <is>
          <t>Nhân viên</t>
        </is>
      </c>
      <c r="H10820" s="10" t="inlineStr">
        <is>
          <t>13/03/2026</t>
        </is>
      </c>
      <c r="I10820" s="10" t="inlineStr">
        <is>
          <t>12/04/2026</t>
        </is>
      </c>
      <c r="J10820" s="10" t="inlineStr">
        <is>
          <t>17/03/2026</t>
        </is>
      </c>
      <c r="K10820" s="10" t="inlineStr">
        <is>
          <t>N/A</t>
        </is>
      </c>
      <c r="L10820" s="10" t="inlineStr">
        <is>
          <t>Tiếng Anh, Chất lượng, QC, Quản lý chất lượng, Audit Quality System</t>
        </is>
      </c>
      <c r="M10820" s="10" t="inlineStr">
        <is>
          <t>Bonus, Paid Leave, Training</t>
        </is>
      </c>
      <c r="N10820" s="11">
        <f>HYPERLINK("https://www.vietnamworks.com/nhan-vien-qc-2023158-jv","Xem chi tiết")</f>
        <v/>
      </c>
      <c r="O10820" s="10" t="n"/>
    </row>
    <row r="10821">
      <c r="B10821" s="7" t="n">
        <v>10819</v>
      </c>
      <c r="C10821" t="inlineStr">
        <is>
          <t>Senior Associate - Market Research (Real Estate)</t>
        </is>
      </c>
      <c r="D10821" t="inlineStr">
        <is>
          <t>CÔNG TY TNHH MERCURIA VIỆT NAM</t>
        </is>
      </c>
      <c r="E10821" t="inlineStr">
        <is>
          <t>Thương lượng</t>
        </is>
      </c>
      <c r="F10821" t="inlineStr">
        <is>
          <t>Hồ Chí Minh</t>
        </is>
      </c>
      <c r="G10821" t="inlineStr">
        <is>
          <t>Nhân viên</t>
        </is>
      </c>
      <c r="H10821" t="inlineStr">
        <is>
          <t>13/03/2026</t>
        </is>
      </c>
      <c r="I10821" t="inlineStr">
        <is>
          <t>12/04/2026</t>
        </is>
      </c>
      <c r="J10821" t="inlineStr">
        <is>
          <t>17/03/2026</t>
        </is>
      </c>
      <c r="K10821" t="inlineStr">
        <is>
          <t>N/A</t>
        </is>
      </c>
      <c r="L10821" t="inlineStr">
        <is>
          <t>Market Research, Data Analysis, Real Estate Analysis, General Communication English, Collaboration</t>
        </is>
      </c>
      <c r="M10821" t="inlineStr">
        <is>
          <t>Bonus, Transportation, Others</t>
        </is>
      </c>
      <c r="N10821" s="8">
        <f>HYPERLINK("https://www.vietnamworks.com/senior-associate-market-research-real-estate-2023161-jv","Xem chi tiết")</f>
        <v/>
      </c>
    </row>
    <row r="10822">
      <c r="B10822" s="9" t="n">
        <v>10820</v>
      </c>
      <c r="C10822" s="10" t="inlineStr">
        <is>
          <t>Thực Tập Sinh Phòng Nghiệp Vụ Kế Toán</t>
        </is>
      </c>
      <c r="D10822" s="10" t="inlineStr">
        <is>
          <t>Công Ty TNHH Tokyo Consulting</t>
        </is>
      </c>
      <c r="E10822" s="10" t="inlineStr">
        <is>
          <t>Thương lượng</t>
        </is>
      </c>
      <c r="F10822" s="10" t="inlineStr">
        <is>
          <t>Hà Nội</t>
        </is>
      </c>
      <c r="G10822" s="10" t="inlineStr">
        <is>
          <t>Thực tập sinh/Sinh viên</t>
        </is>
      </c>
      <c r="H10822" s="10" t="inlineStr">
        <is>
          <t>13/03/2026</t>
        </is>
      </c>
      <c r="I10822" s="10" t="inlineStr">
        <is>
          <t>12/04/2026</t>
        </is>
      </c>
      <c r="J10822" s="10" t="inlineStr">
        <is>
          <t>17/03/2026</t>
        </is>
      </c>
      <c r="K10822" s="10" t="inlineStr">
        <is>
          <t>N/A</t>
        </is>
      </c>
      <c r="L10822" s="10" t="inlineStr">
        <is>
          <t>PIT, Báo Cáo Tài Chính, Kê Khai Thuế, Báo Cáo Kế Toán, Tiếng Anh</t>
        </is>
      </c>
      <c r="M10822" s="10" t="inlineStr">
        <is>
          <t>Bonus, Laptop, Vouchers</t>
        </is>
      </c>
      <c r="N10822" s="11">
        <f>HYPERLINK("https://www.vietnamworks.com/thuc-tap-sinh-phong-nghiep-vu-ke-toan-2023172-jv","Xem chi tiết")</f>
        <v/>
      </c>
      <c r="O10822" s="10" t="n"/>
    </row>
    <row r="10823">
      <c r="B10823" s="7" t="n">
        <v>10821</v>
      </c>
      <c r="C10823" t="inlineStr">
        <is>
          <t>Nhân Viên Kinh Doanh</t>
        </is>
      </c>
      <c r="D10823" t="inlineStr">
        <is>
          <t>Công ty Cổ phần Thanh Bình H.T.C Việt Nam</t>
        </is>
      </c>
      <c r="E10823" t="inlineStr">
        <is>
          <t>Thương lượng</t>
        </is>
      </c>
      <c r="F10823" t="inlineStr">
        <is>
          <t>Hà Nội</t>
        </is>
      </c>
      <c r="G10823" t="inlineStr">
        <is>
          <t>Nhân viên</t>
        </is>
      </c>
      <c r="H10823" t="inlineStr">
        <is>
          <t>13/03/2026</t>
        </is>
      </c>
      <c r="I10823" t="inlineStr">
        <is>
          <t>12/04/2026</t>
        </is>
      </c>
      <c r="J10823" t="inlineStr">
        <is>
          <t>17/03/2026</t>
        </is>
      </c>
      <c r="K10823" t="inlineStr">
        <is>
          <t>N/A</t>
        </is>
      </c>
      <c r="L10823" t="inlineStr">
        <is>
          <t>Tìm Kiếm Khách Hàng, Kinh Doanh, Chăm Sóc Khách Hàng, Tiếp thị, Giao Dịch Đàm Phán</t>
        </is>
      </c>
      <c r="M10823" t="inlineStr">
        <is>
          <t>Bonus, Awards, Others</t>
        </is>
      </c>
      <c r="N10823" s="8">
        <f>HYPERLINK("https://www.vietnamworks.com/nhan-vien-kinh-doanh--2023180-jv","Xem chi tiết")</f>
        <v/>
      </c>
    </row>
    <row r="10824">
      <c r="B10824" s="9" t="n">
        <v>10822</v>
      </c>
      <c r="C10824" s="10" t="inlineStr">
        <is>
          <t>Financial Planning &amp; Analysis Manager</t>
        </is>
      </c>
      <c r="D10824" s="10" t="inlineStr">
        <is>
          <t>TCPVN Company Limited</t>
        </is>
      </c>
      <c r="E10824" s="10" t="inlineStr">
        <is>
          <t>Thương lượng</t>
        </is>
      </c>
      <c r="F10824" s="10" t="inlineStr">
        <is>
          <t>Hồ Chí Minh</t>
        </is>
      </c>
      <c r="G10824" s="10" t="inlineStr">
        <is>
          <t>Trưởng phòng</t>
        </is>
      </c>
      <c r="H10824" s="10" t="inlineStr">
        <is>
          <t>13/03/2026</t>
        </is>
      </c>
      <c r="I10824" s="10" t="inlineStr">
        <is>
          <t>12/04/2026</t>
        </is>
      </c>
      <c r="J10824" s="10" t="inlineStr">
        <is>
          <t>17/03/2026</t>
        </is>
      </c>
      <c r="K10824" s="10" t="inlineStr">
        <is>
          <t>N/A</t>
        </is>
      </c>
      <c r="L10824" s="10" t="inlineStr">
        <is>
          <t>Financial Planning, Business Analysis, Project Management, SAP, Team Work</t>
        </is>
      </c>
      <c r="M10824" s="10" t="inlineStr">
        <is>
          <t>Laptop, Others</t>
        </is>
      </c>
      <c r="N10824" s="11">
        <f>HYPERLINK("https://www.vietnamworks.com/financial-planning-and-analysis-manager-2023185-jv","Xem chi tiết")</f>
        <v/>
      </c>
      <c r="O10824" s="10" t="n"/>
    </row>
    <row r="10825">
      <c r="B10825" s="7" t="n">
        <v>10823</v>
      </c>
      <c r="C10825" t="inlineStr">
        <is>
          <t>Sales Intern</t>
        </is>
      </c>
      <c r="D10825" t="inlineStr">
        <is>
          <t>Công Ty TNHH Tokyo Consulting</t>
        </is>
      </c>
      <c r="E10825" t="inlineStr">
        <is>
          <t>Thương lượng</t>
        </is>
      </c>
      <c r="F10825" t="inlineStr">
        <is>
          <t>Hà Nội</t>
        </is>
      </c>
      <c r="G10825" t="inlineStr">
        <is>
          <t>Thực tập sinh/Sinh viên</t>
        </is>
      </c>
      <c r="H10825" t="inlineStr">
        <is>
          <t>13/03/2026</t>
        </is>
      </c>
      <c r="I10825" t="inlineStr">
        <is>
          <t>12/04/2026</t>
        </is>
      </c>
      <c r="J10825" t="inlineStr">
        <is>
          <t>17/03/2026</t>
        </is>
      </c>
      <c r="K10825" t="inlineStr">
        <is>
          <t>N/A</t>
        </is>
      </c>
      <c r="L10825" t="inlineStr">
        <is>
          <t>Tiếng Anh, Tư Vấn Khách Hàng, Telesales, Dịch Vụ Khách Hàng, Nghiên Cứu Thị Trường</t>
        </is>
      </c>
      <c r="M10825" t="inlineStr">
        <is>
          <t>Bonus, Laptop, Vouchers</t>
        </is>
      </c>
      <c r="N10825" s="8">
        <f>HYPERLINK("https://www.vietnamworks.com/sales-intern--2023175-jv","Xem chi tiết")</f>
        <v/>
      </c>
    </row>
    <row r="10826">
      <c r="B10826" s="9" t="n">
        <v>10824</v>
      </c>
      <c r="C10826" s="10" t="inlineStr">
        <is>
          <t>Retail Project Manager</t>
        </is>
      </c>
      <c r="D10826" s="10" t="inlineStr">
        <is>
          <t>Công Ty TNHH Kohnan Việt Nam</t>
        </is>
      </c>
      <c r="E10826" s="10" t="inlineStr">
        <is>
          <t>Thương lượng</t>
        </is>
      </c>
      <c r="F10826" s="10" t="inlineStr">
        <is>
          <t>Hồ Chí Minh</t>
        </is>
      </c>
      <c r="G10826" s="10" t="inlineStr">
        <is>
          <t>Trưởng phòng</t>
        </is>
      </c>
      <c r="H10826" s="10" t="inlineStr">
        <is>
          <t>13/03/2026</t>
        </is>
      </c>
      <c r="I10826" s="10" t="inlineStr">
        <is>
          <t>12/04/2026</t>
        </is>
      </c>
      <c r="J10826" s="10" t="inlineStr">
        <is>
          <t>17/03/2026</t>
        </is>
      </c>
      <c r="K10826" s="10" t="inlineStr">
        <is>
          <t>N/A</t>
        </is>
      </c>
      <c r="L10826" s="10" t="inlineStr">
        <is>
          <t>Project Management, Architectural Construction, Civil Engineering, AutoCAD, Construction</t>
        </is>
      </c>
      <c r="M10826" s="10" t="inlineStr">
        <is>
          <t>Bonus, Healthcare Plan, Others</t>
        </is>
      </c>
      <c r="N10826" s="11">
        <f>HYPERLINK("https://www.vietnamworks.com/retail-project-manager-2023179-jv","Xem chi tiết")</f>
        <v/>
      </c>
      <c r="O10826" s="10" t="n"/>
    </row>
    <row r="10827">
      <c r="B10827" s="7" t="n">
        <v>10825</v>
      </c>
      <c r="C10827" t="inlineStr">
        <is>
          <t>Customer Service</t>
        </is>
      </c>
      <c r="D10827" t="inlineStr">
        <is>
          <t>Công ty TNHH Freudenberg &amp; Vilene International Việt Nam</t>
        </is>
      </c>
      <c r="E10827" t="inlineStr">
        <is>
          <t>Thương lượng</t>
        </is>
      </c>
      <c r="F10827" t="inlineStr">
        <is>
          <t>Hồ Chí Minh</t>
        </is>
      </c>
      <c r="G10827" t="inlineStr">
        <is>
          <t>Nhân viên</t>
        </is>
      </c>
      <c r="H10827" t="inlineStr">
        <is>
          <t>13/03/2026</t>
        </is>
      </c>
      <c r="I10827" t="inlineStr">
        <is>
          <t>12/04/2026</t>
        </is>
      </c>
      <c r="J10827" t="inlineStr">
        <is>
          <t>17/03/2026</t>
        </is>
      </c>
      <c r="K10827" t="inlineStr">
        <is>
          <t>N/A</t>
        </is>
      </c>
      <c r="L10827" t="inlineStr">
        <is>
          <t>Customer Service, General Communication English, Interpersonal skills, Microsoft Office, Self Planning</t>
        </is>
      </c>
      <c r="M10827" t="inlineStr">
        <is>
          <t>Bonus, Healthcare Plan, Paid Leave, Training, Others</t>
        </is>
      </c>
      <c r="N10827" s="8">
        <f>HYPERLINK("https://www.vietnamworks.com/customer-service-2023174-jv","Xem chi tiết")</f>
        <v/>
      </c>
    </row>
    <row r="10828">
      <c r="B10828" s="9" t="n">
        <v>10826</v>
      </c>
      <c r="C10828" s="10" t="inlineStr">
        <is>
          <t>Kỹ sư dịch vụ</t>
        </is>
      </c>
      <c r="D10828" s="10" t="inlineStr">
        <is>
          <t>CÔNG TY TNHH TL TECHNOLOGIES AND SERVICE VIETNAM</t>
        </is>
      </c>
      <c r="E10828" s="10" t="inlineStr">
        <is>
          <t>12tr-32tr ₫/tháng</t>
        </is>
      </c>
      <c r="F10828" s="10" t="inlineStr">
        <is>
          <t>Hồ Chí Minh, Hà Nam, Bắc Ninh</t>
        </is>
      </c>
      <c r="G10828" s="10" t="inlineStr">
        <is>
          <t>Nhân viên</t>
        </is>
      </c>
      <c r="H10828" s="10" t="inlineStr">
        <is>
          <t>13/03/2026</t>
        </is>
      </c>
      <c r="I10828" s="10" t="inlineStr">
        <is>
          <t>12/04/2026</t>
        </is>
      </c>
      <c r="J10828" s="10" t="inlineStr">
        <is>
          <t>17/03/2026</t>
        </is>
      </c>
      <c r="K10828" s="10" t="inlineStr">
        <is>
          <t>N/A</t>
        </is>
      </c>
      <c r="L10828" s="10" t="inlineStr">
        <is>
          <t>Mechatronic, English, Preventive Maintenance, Technical Consulting, Troubleshooting</t>
        </is>
      </c>
      <c r="M10828" s="10" t="inlineStr">
        <is>
          <t>Bonus</t>
        </is>
      </c>
      <c r="N10828" s="11">
        <f>HYPERLINK("https://www.vietnamworks.com/ky-su-dich-vu-2023176-jv","Xem chi tiết")</f>
        <v/>
      </c>
      <c r="O10828" s="10" t="n"/>
    </row>
    <row r="10829">
      <c r="B10829" s="7" t="n">
        <v>10827</v>
      </c>
      <c r="C10829" t="inlineStr">
        <is>
          <t>Vendor Acquisition Manager</t>
        </is>
      </c>
      <c r="D10829" t="inlineStr">
        <is>
          <t>Vietnamworks' Client</t>
        </is>
      </c>
      <c r="E10829" t="inlineStr">
        <is>
          <t>$$ 1,500-2,500 /tháng</t>
        </is>
      </c>
      <c r="F10829" t="inlineStr">
        <is>
          <t>Hồ Chí Minh</t>
        </is>
      </c>
      <c r="G10829" t="inlineStr">
        <is>
          <t>Trưởng phòng</t>
        </is>
      </c>
      <c r="H10829" t="inlineStr">
        <is>
          <t>13/03/2026</t>
        </is>
      </c>
      <c r="I10829" t="inlineStr">
        <is>
          <t>12/04/2026</t>
        </is>
      </c>
      <c r="J10829" t="inlineStr">
        <is>
          <t>17/03/2026</t>
        </is>
      </c>
      <c r="K10829" t="inlineStr">
        <is>
          <t>N/A</t>
        </is>
      </c>
      <c r="L10829" t="inlineStr">
        <is>
          <t>Kinh Doanh B2B, E-Commerce Platforms Knowledge, Analytical Skills, Microsoft Office, Communication Skills</t>
        </is>
      </c>
      <c r="M10829" t="inlineStr">
        <is>
          <t>Healthcare Plan, Paid Leave, Laptop</t>
        </is>
      </c>
      <c r="N10829" s="8">
        <f>HYPERLINK("https://www.vietnamworks.com/vendor-acquisition-manager-2023195-jv","Xem chi tiết")</f>
        <v/>
      </c>
    </row>
    <row r="10830">
      <c r="B10830" s="9" t="n">
        <v>10828</v>
      </c>
      <c r="C10830" s="10" t="inlineStr">
        <is>
          <t>Chuyên Viên Cao Cấp Phát Triển Sản Phẩm Thẻ - Khối Bán Lẻ</t>
        </is>
      </c>
      <c r="D10830" s="10" t="inlineStr">
        <is>
          <t>Ngân Hàng TMCP Việt Nam Thương Tín (Vietbank)</t>
        </is>
      </c>
      <c r="E10830" s="10" t="inlineStr">
        <is>
          <t>$$ 1,000-1,500 /tháng</t>
        </is>
      </c>
      <c r="F10830" s="10" t="inlineStr">
        <is>
          <t>Hồ Chí Minh</t>
        </is>
      </c>
      <c r="G10830" s="10" t="inlineStr">
        <is>
          <t>Nhân viên</t>
        </is>
      </c>
      <c r="H10830" s="10" t="inlineStr">
        <is>
          <t>13/03/2026</t>
        </is>
      </c>
      <c r="I10830" s="10" t="inlineStr">
        <is>
          <t>12/04/2026</t>
        </is>
      </c>
      <c r="J10830" s="10" t="inlineStr">
        <is>
          <t>17/03/2026</t>
        </is>
      </c>
      <c r="K10830" s="10" t="inlineStr">
        <is>
          <t>N/A</t>
        </is>
      </c>
      <c r="L10830" s="10" t="inlineStr">
        <is>
          <t>Phát Triển Sản Phẩm</t>
        </is>
      </c>
      <c r="M10830" s="10" t="inlineStr">
        <is>
          <t>Bonus, Healthcare Plan, Travel Opportunities</t>
        </is>
      </c>
      <c r="N10830" s="11">
        <f>HYPERLINK("https://www.vietnamworks.com/chuyen-vien-cao-cap-phat-trien-san-pham-the-khoi-ban-le-2023190-jv","Xem chi tiết")</f>
        <v/>
      </c>
      <c r="O10830" s="10" t="n"/>
    </row>
    <row r="10831">
      <c r="B10831" s="7" t="n">
        <v>10829</v>
      </c>
      <c r="C10831" t="inlineStr">
        <is>
          <t>Senior Affiliate Executive</t>
        </is>
      </c>
      <c r="D10831" t="inlineStr">
        <is>
          <t>Công Ty TNHH Onpoint</t>
        </is>
      </c>
      <c r="E10831" t="inlineStr">
        <is>
          <t>Thương lượng</t>
        </is>
      </c>
      <c r="F10831" t="inlineStr">
        <is>
          <t>Hồ Chí Minh</t>
        </is>
      </c>
      <c r="G10831" t="inlineStr">
        <is>
          <t>Nhân viên</t>
        </is>
      </c>
      <c r="H10831" t="inlineStr">
        <is>
          <t>13/03/2026</t>
        </is>
      </c>
      <c r="I10831" t="inlineStr">
        <is>
          <t>12/04/2026</t>
        </is>
      </c>
      <c r="J10831" t="inlineStr">
        <is>
          <t>17/03/2026</t>
        </is>
      </c>
      <c r="K10831" t="inlineStr">
        <is>
          <t>N/A</t>
        </is>
      </c>
      <c r="L10831" t="inlineStr">
        <is>
          <t>Client Interaction, Sales Planning, Performance Tracking, Collaboration, Effective Communication</t>
        </is>
      </c>
      <c r="M10831" t="inlineStr">
        <is>
          <t>Bonus, Healthcare Plan, Paid Leave, Laptop, Mobile, Others</t>
        </is>
      </c>
      <c r="N10831" s="8">
        <f>HYPERLINK("https://www.vietnamworks.com/senior-affiliate-executive-2023191-jv","Xem chi tiết")</f>
        <v/>
      </c>
    </row>
    <row r="10832">
      <c r="B10832" s="9" t="n">
        <v>10830</v>
      </c>
      <c r="C10832" s="10" t="inlineStr">
        <is>
          <t>General Accountant/ Kế Toán Tổng Hợp</t>
        </is>
      </c>
      <c r="D10832" s="10" t="inlineStr">
        <is>
          <t>Công Ty TNHH ASIA Alliance PARTNER Việt Nam</t>
        </is>
      </c>
      <c r="E10832" s="10" t="inlineStr">
        <is>
          <t>15,000-20,000 ₫/tháng</t>
        </is>
      </c>
      <c r="F10832" s="10" t="inlineStr">
        <is>
          <t>Hồ Chí Minh</t>
        </is>
      </c>
      <c r="G10832" s="10" t="inlineStr">
        <is>
          <t>Nhân viên</t>
        </is>
      </c>
      <c r="H10832" s="10" t="inlineStr">
        <is>
          <t>13/03/2026</t>
        </is>
      </c>
      <c r="I10832" s="10" t="inlineStr">
        <is>
          <t>12/04/2026</t>
        </is>
      </c>
      <c r="J10832" s="10" t="inlineStr">
        <is>
          <t>17/03/2026</t>
        </is>
      </c>
      <c r="K10832" s="10" t="inlineStr">
        <is>
          <t>N/A</t>
        </is>
      </c>
      <c r="L10832" s="10" t="inlineStr">
        <is>
          <t>English, Tax Knowledge, Accounting Management, Financial Report, Finance</t>
        </is>
      </c>
      <c r="M10832" s="10" t="inlineStr">
        <is>
          <t>Bonus, Healthcare Plan</t>
        </is>
      </c>
      <c r="N10832" s="11">
        <f>HYPERLINK("https://www.vietnamworks.com/general-accountant-ke-toan-tong-hop--2023182-jv","Xem chi tiết")</f>
        <v/>
      </c>
      <c r="O10832" s="10" t="n"/>
    </row>
    <row r="10833">
      <c r="B10833" s="7" t="n">
        <v>10831</v>
      </c>
      <c r="C10833" t="inlineStr">
        <is>
          <t>Business Development Leader (Livestream)</t>
        </is>
      </c>
      <c r="D10833" t="inlineStr">
        <is>
          <t>Công Ty TNHH Onpoint</t>
        </is>
      </c>
      <c r="E10833" t="inlineStr">
        <is>
          <t>Thương lượng</t>
        </is>
      </c>
      <c r="F10833" t="inlineStr">
        <is>
          <t>Hồ Chí Minh</t>
        </is>
      </c>
      <c r="G10833" t="inlineStr">
        <is>
          <t>Nhân viên</t>
        </is>
      </c>
      <c r="H10833" t="inlineStr">
        <is>
          <t>13/03/2026</t>
        </is>
      </c>
      <c r="I10833" t="inlineStr">
        <is>
          <t>12/04/2026</t>
        </is>
      </c>
      <c r="J10833" t="inlineStr">
        <is>
          <t>17/03/2026</t>
        </is>
      </c>
      <c r="K10833" t="inlineStr">
        <is>
          <t>N/A</t>
        </is>
      </c>
      <c r="L10833" t="inlineStr">
        <is>
          <t>Ecommerce Background, Team Management, Stakeholder Management, Data Analysis, English Communication</t>
        </is>
      </c>
      <c r="M10833" t="inlineStr">
        <is>
          <t>Bonus, Healthcare Plan, Paid Leave, Laptop, Others</t>
        </is>
      </c>
      <c r="N10833" s="8">
        <f>HYPERLINK("https://www.vietnamworks.com/business-development-leader-livestream-2023193-jv","Xem chi tiết")</f>
        <v/>
      </c>
    </row>
    <row r="10834">
      <c r="B10834" s="9" t="n">
        <v>10832</v>
      </c>
      <c r="C10834" s="10" t="inlineStr">
        <is>
          <t>Senior Accountant</t>
        </is>
      </c>
      <c r="D10834" s="10" t="inlineStr">
        <is>
          <t>CÔNG TY TNHH ĐẦU TƯ VÀ CÔNG NGHỆ GANESHA</t>
        </is>
      </c>
      <c r="E10834" s="10" t="inlineStr">
        <is>
          <t>18tr-25tr ₫/tháng</t>
        </is>
      </c>
      <c r="F10834" s="10" t="inlineStr">
        <is>
          <t>Hồ Chí Minh</t>
        </is>
      </c>
      <c r="G10834" s="10" t="inlineStr">
        <is>
          <t>Nhân viên</t>
        </is>
      </c>
      <c r="H10834" s="10" t="inlineStr">
        <is>
          <t>13/03/2026</t>
        </is>
      </c>
      <c r="I10834" s="10" t="inlineStr">
        <is>
          <t>12/04/2026</t>
        </is>
      </c>
      <c r="J10834" s="10" t="inlineStr">
        <is>
          <t>17/03/2026</t>
        </is>
      </c>
      <c r="K10834" s="10" t="inlineStr">
        <is>
          <t>N/A</t>
        </is>
      </c>
      <c r="L10834" s="10" t="inlineStr">
        <is>
          <t>Kế Toán Tổng Hợp, Phần mềm kế toán, Excel, Tiếng Anh, VAS</t>
        </is>
      </c>
      <c r="M10834" s="10" t="inlineStr">
        <is>
          <t>Healthcare Plan, Training, Others</t>
        </is>
      </c>
      <c r="N10834" s="11">
        <f>HYPERLINK("https://www.vietnamworks.com/senior-accountant-2023201-jv","Xem chi tiết")</f>
        <v/>
      </c>
      <c r="O10834" s="10" t="n"/>
    </row>
    <row r="10835">
      <c r="B10835" s="7" t="n">
        <v>10833</v>
      </c>
      <c r="C10835" t="inlineStr">
        <is>
          <t>Kỹ Sư Kết Cấu Thép</t>
        </is>
      </c>
      <c r="D10835" t="inlineStr">
        <is>
          <t>CÔNG TY TNHH NHÀ THÉP DUBAI</t>
        </is>
      </c>
      <c r="E10835" t="inlineStr">
        <is>
          <t>Từ 20tr ₫/tháng</t>
        </is>
      </c>
      <c r="F10835" t="inlineStr">
        <is>
          <t>Hà Nội, Đà Nẵng, Hồ Chí Minh</t>
        </is>
      </c>
      <c r="G10835" t="inlineStr">
        <is>
          <t>Nhân viên</t>
        </is>
      </c>
      <c r="H10835" t="inlineStr">
        <is>
          <t>13/03/2026</t>
        </is>
      </c>
      <c r="I10835" t="inlineStr">
        <is>
          <t>12/04/2026</t>
        </is>
      </c>
      <c r="J10835" t="inlineStr">
        <is>
          <t>17/03/2026</t>
        </is>
      </c>
      <c r="K10835" t="inlineStr">
        <is>
          <t>N/A</t>
        </is>
      </c>
      <c r="L10835" t="inlineStr">
        <is>
          <t>SAP2000, Etabs, Bóc Tách Khối Lượng, Kết Cấu Thép, Đọc Hiểu Bản Vẽ</t>
        </is>
      </c>
      <c r="M10835" t="inlineStr">
        <is>
          <t>Bonus, Healthcare Plan, Paid Leave, Training, Awards, Laptop, Travel Opportunities, Others</t>
        </is>
      </c>
      <c r="N10835" s="8">
        <f>HYPERLINK("https://www.vietnamworks.com/ky-su-ket-cau-thep-2023189-jv","Xem chi tiết")</f>
        <v/>
      </c>
    </row>
    <row r="10836">
      <c r="B10836" s="9" t="n">
        <v>10834</v>
      </c>
      <c r="C10836" s="10" t="inlineStr">
        <is>
          <t>Giám Đốc Tài Chính (CFO)</t>
        </is>
      </c>
      <c r="D10836" s="10" t="inlineStr">
        <is>
          <t>Vietnamworks' Client</t>
        </is>
      </c>
      <c r="E10836" s="10" t="inlineStr">
        <is>
          <t>$$ 2,000-3,000 /tháng</t>
        </is>
      </c>
      <c r="F10836" s="10" t="inlineStr">
        <is>
          <t>Hà Nội</t>
        </is>
      </c>
      <c r="G10836" s="10" t="inlineStr">
        <is>
          <t>Giám Đốc và Cấp Cao Hơn</t>
        </is>
      </c>
      <c r="H10836" s="10" t="inlineStr">
        <is>
          <t>13/03/2026</t>
        </is>
      </c>
      <c r="I10836" s="10" t="inlineStr">
        <is>
          <t>12/04/2026</t>
        </is>
      </c>
      <c r="J10836" s="10" t="inlineStr">
        <is>
          <t>17/03/2026</t>
        </is>
      </c>
      <c r="K10836" s="10" t="inlineStr">
        <is>
          <t>N/A</t>
        </is>
      </c>
      <c r="L10836" s="10" t="inlineStr">
        <is>
          <t>Lãnh Đạo, Tạo Mối Quan Hệ, Tài Chính, Lập kế  hoạch và quản lý</t>
        </is>
      </c>
      <c r="M10836" s="10" t="inlineStr">
        <is>
          <t>Bonus, Healthcare Plan, Paid Leave, Training, Awards, Others</t>
        </is>
      </c>
      <c r="N10836" s="11">
        <f>HYPERLINK("https://www.vietnamworks.com/giam-djoc-tai-chinh-cfo-2023181-jv","Xem chi tiết")</f>
        <v/>
      </c>
      <c r="O10836" s="10" t="n"/>
    </row>
    <row r="10837">
      <c r="B10837" s="7" t="n">
        <v>10835</v>
      </c>
      <c r="C10837" t="inlineStr">
        <is>
          <t>Kỹ Thuật Cơ Điện (Làm Ở Hà Nội và Hưng Yên)</t>
        </is>
      </c>
      <c r="D10837" t="inlineStr">
        <is>
          <t>Công ty Cổ phần Thanh Bình H.T.C Việt Nam</t>
        </is>
      </c>
      <c r="E10837" t="inlineStr">
        <is>
          <t>Thương lượng</t>
        </is>
      </c>
      <c r="F10837" t="inlineStr">
        <is>
          <t>Hà Nội, Hưng Yên</t>
        </is>
      </c>
      <c r="G10837" t="inlineStr">
        <is>
          <t>Nhân viên</t>
        </is>
      </c>
      <c r="H10837" t="inlineStr">
        <is>
          <t>13/03/2026</t>
        </is>
      </c>
      <c r="I10837" t="inlineStr">
        <is>
          <t>12/04/2026</t>
        </is>
      </c>
      <c r="J10837" t="inlineStr">
        <is>
          <t>17/03/2026</t>
        </is>
      </c>
      <c r="K10837" t="inlineStr">
        <is>
          <t>N/A</t>
        </is>
      </c>
      <c r="L10837" t="inlineStr">
        <is>
          <t>Phát Hiện Sự Cố Kỹ Thuật, Xử Lý Sự Cố, Cơ Điện, Kiểm Tra Thiết Bị, Vận Hành Máy Móc</t>
        </is>
      </c>
      <c r="M10837" t="inlineStr">
        <is>
          <t>Bonus, Awards, Others</t>
        </is>
      </c>
      <c r="N10837" s="8">
        <f>HYPERLINK("https://www.vietnamworks.com/ky-thuat-co-dien-lam-o-ha-noi-va-hung-yen-2023200-jv","Xem chi tiết")</f>
        <v/>
      </c>
    </row>
    <row r="10838">
      <c r="B10838" s="9" t="n">
        <v>10836</v>
      </c>
      <c r="C10838" s="10" t="inlineStr">
        <is>
          <t>Chuyên Viên Kiểm Soát Chi Phí Dự Án Xây Dựng</t>
        </is>
      </c>
      <c r="D10838" s="10" t="inlineStr">
        <is>
          <t>Công Ty Cổ Phần Kiến Trúc Tư Vấn Quản Lý Đông Dương</t>
        </is>
      </c>
      <c r="E10838" s="10" t="inlineStr">
        <is>
          <t>Thương lượng</t>
        </is>
      </c>
      <c r="F10838" s="10" t="inlineStr">
        <is>
          <t>Hồ Chí Minh</t>
        </is>
      </c>
      <c r="G10838" s="10" t="inlineStr">
        <is>
          <t>Nhân viên</t>
        </is>
      </c>
      <c r="H10838" s="10" t="inlineStr">
        <is>
          <t>13/03/2026</t>
        </is>
      </c>
      <c r="I10838" s="10" t="inlineStr">
        <is>
          <t>12/04/2026</t>
        </is>
      </c>
      <c r="J10838" s="10" t="inlineStr">
        <is>
          <t>17/03/2026</t>
        </is>
      </c>
      <c r="K10838" s="10" t="inlineStr">
        <is>
          <t>N/A</t>
        </is>
      </c>
      <c r="L10838" s="10" t="inlineStr">
        <is>
          <t>Kiểm Soát Chi Phí, Công Trình Giao Thông, Kinh Tế Xây Dựng, Làm Hồ Sơ Thanh Quyết Toán, Xây Dựng Dân Dụng và Công Nghiệp</t>
        </is>
      </c>
      <c r="M10838" s="10" t="inlineStr">
        <is>
          <t>Healthcare Plan, Training, Laptop, Team Activities, Canteen, Others</t>
        </is>
      </c>
      <c r="N10838" s="11">
        <f>HYPERLINK("https://www.vietnamworks.com/chuyen-vien-kiem-soat-chi-phi-du-an-xay-dung-2023202-jv","Xem chi tiết")</f>
        <v/>
      </c>
      <c r="O10838" s="10" t="n"/>
    </row>
    <row r="10839">
      <c r="B10839" s="7" t="n">
        <v>10837</v>
      </c>
      <c r="C10839" t="inlineStr">
        <is>
          <t>Giám Sát Bán Hàng Kênh GT Khu Vực Hà Tĩnh</t>
        </is>
      </c>
      <c r="D10839" t="inlineStr">
        <is>
          <t>Công Ty Cổ Phần Thực Phẩm Hữu Nghị</t>
        </is>
      </c>
      <c r="E10839" t="inlineStr">
        <is>
          <t>18tr-25tr ₫/tháng</t>
        </is>
      </c>
      <c r="F10839" t="inlineStr">
        <is>
          <t>Hà Tĩnh</t>
        </is>
      </c>
      <c r="G10839" t="inlineStr">
        <is>
          <t>Nhân viên</t>
        </is>
      </c>
      <c r="H10839" t="inlineStr">
        <is>
          <t>13/03/2026</t>
        </is>
      </c>
      <c r="I10839" t="inlineStr">
        <is>
          <t>12/04/2026</t>
        </is>
      </c>
      <c r="J10839" t="inlineStr">
        <is>
          <t>17/03/2026</t>
        </is>
      </c>
      <c r="K10839" t="inlineStr">
        <is>
          <t>N/A</t>
        </is>
      </c>
      <c r="L10839" t="inlineStr">
        <is>
          <t>Giám Sát Bán Hàng, FMCG, Quản Lý Đội Nhóm, Kinh Doanh, Hàng Tiêu Dùng</t>
        </is>
      </c>
      <c r="M10839" t="inlineStr">
        <is>
          <t>Bonus, Transportation, Canteen</t>
        </is>
      </c>
      <c r="N10839" s="8">
        <f>HYPERLINK("https://www.vietnamworks.com/giam-sat-ban-hang-kenh-gt-khu-vuc-ha-tinh-2023186-jv","Xem chi tiết")</f>
        <v/>
      </c>
    </row>
    <row r="10840">
      <c r="B10840" s="9" t="n">
        <v>10838</v>
      </c>
      <c r="C10840" s="10" t="inlineStr">
        <is>
          <t>Kỹ Thuật Viên Điện</t>
        </is>
      </c>
      <c r="D10840" s="10" t="inlineStr">
        <is>
          <t>Công ty Cổ phần Tập đoàn Tonmat</t>
        </is>
      </c>
      <c r="E10840" s="10" t="inlineStr">
        <is>
          <t>Thương lượng</t>
        </is>
      </c>
      <c r="F10840" s="10" t="inlineStr">
        <is>
          <t>Bắc Ninh</t>
        </is>
      </c>
      <c r="G10840" s="10" t="inlineStr">
        <is>
          <t>Nhân viên</t>
        </is>
      </c>
      <c r="H10840" s="10" t="inlineStr">
        <is>
          <t>13/03/2026</t>
        </is>
      </c>
      <c r="I10840" s="10" t="inlineStr">
        <is>
          <t>12/04/2026</t>
        </is>
      </c>
      <c r="J10840" s="10" t="inlineStr">
        <is>
          <t>17/03/2026</t>
        </is>
      </c>
      <c r="K10840" s="10" t="inlineStr">
        <is>
          <t>N/A</t>
        </is>
      </c>
      <c r="L10840" s="10" t="inlineStr">
        <is>
          <t>PC, AutoCAD, Lập Kế Hoạch, Phân tích sự cố, Điện</t>
        </is>
      </c>
      <c r="M10840" s="10" t="inlineStr">
        <is>
          <t>Bonus, Healthcare Plan, Others</t>
        </is>
      </c>
      <c r="N10840" s="11">
        <f>HYPERLINK("https://www.vietnamworks.com/ky-thuat-vien-djien-2023203-jv","Xem chi tiết")</f>
        <v/>
      </c>
      <c r="O10840" s="10" t="n"/>
    </row>
    <row r="10841">
      <c r="B10841" s="7" t="n">
        <v>10839</v>
      </c>
      <c r="C10841" t="inlineStr">
        <is>
          <t>Kỹ Sư Thiết Kế Điện</t>
        </is>
      </c>
      <c r="D10841" t="inlineStr">
        <is>
          <t>Công ty Cổ phần Sản xuất và Kinh doanh VinMetal</t>
        </is>
      </c>
      <c r="E10841" t="inlineStr">
        <is>
          <t>Thương lượng</t>
        </is>
      </c>
      <c r="F10841" t="inlineStr">
        <is>
          <t>Hà Nội</t>
        </is>
      </c>
      <c r="G10841" t="inlineStr">
        <is>
          <t>Nhân viên</t>
        </is>
      </c>
      <c r="H10841" t="inlineStr">
        <is>
          <t>13/03/2026</t>
        </is>
      </c>
      <c r="I10841" t="inlineStr">
        <is>
          <t>12/04/2026</t>
        </is>
      </c>
      <c r="J10841" t="inlineStr">
        <is>
          <t>17/03/2026</t>
        </is>
      </c>
      <c r="K10841" t="inlineStr">
        <is>
          <t>N/A</t>
        </is>
      </c>
      <c r="L10841" t="inlineStr">
        <is>
          <t>Thiết Kế Điện, Hệ Thống Điện, HV Architecture, AutoCad Drawings, Thiết Kế Tự Động Hóa</t>
        </is>
      </c>
      <c r="M10841" t="inlineStr">
        <is>
          <t>Bonus, Healthcare Plan, Training</t>
        </is>
      </c>
      <c r="N10841" s="8">
        <f>HYPERLINK("https://www.vietnamworks.com/ky-su-thiet-ke-dien--2023196-jv","Xem chi tiết")</f>
        <v/>
      </c>
    </row>
    <row r="10842">
      <c r="B10842" s="9" t="n">
        <v>10840</v>
      </c>
      <c r="C10842" s="10" t="inlineStr">
        <is>
          <t>Technician III, R&amp;D (Dipping)</t>
        </is>
      </c>
      <c r="D10842" s="10" t="inlineStr">
        <is>
          <t>Ansell Vina Co., Ltd.</t>
        </is>
      </c>
      <c r="E10842" s="10" t="inlineStr">
        <is>
          <t>Thương lượng</t>
        </is>
      </c>
      <c r="F10842" s="10" t="inlineStr">
        <is>
          <t>Đồng Nai</t>
        </is>
      </c>
      <c r="G10842" s="10" t="inlineStr">
        <is>
          <t>Nhân viên</t>
        </is>
      </c>
      <c r="H10842" s="10" t="inlineStr">
        <is>
          <t>13/03/2026</t>
        </is>
      </c>
      <c r="I10842" s="10" t="inlineStr">
        <is>
          <t>12/04/2026</t>
        </is>
      </c>
      <c r="J10842" s="10" t="inlineStr">
        <is>
          <t>17/03/2026</t>
        </is>
      </c>
      <c r="K10842" s="10" t="inlineStr">
        <is>
          <t>N/A</t>
        </is>
      </c>
      <c r="L10842" s="10" t="inlineStr">
        <is>
          <t>Chemical Formulation, Communication Skills, Microsoft Excel, Microsoft Word, Dipping Process</t>
        </is>
      </c>
      <c r="M10842" s="10" t="inlineStr">
        <is>
          <t>Bonus, Healthcare Plan, Paid Leave, Training, Travel Opportunities, Transportation, Others</t>
        </is>
      </c>
      <c r="N10842" s="11">
        <f>HYPERLINK("https://www.vietnamworks.com/technician-iii-randd-dipping-2023208-jv","Xem chi tiết")</f>
        <v/>
      </c>
      <c r="O10842" s="10" t="n"/>
    </row>
    <row r="10843">
      <c r="B10843" s="7" t="n">
        <v>10841</v>
      </c>
      <c r="C10843" t="inlineStr">
        <is>
          <t>Kỹ Sư Điện/Tự Động Hóa</t>
        </is>
      </c>
      <c r="D10843" t="inlineStr">
        <is>
          <t>CÔNG TY TNHH GIẢI PHÁP CSI</t>
        </is>
      </c>
      <c r="E10843" t="inlineStr">
        <is>
          <t>Thương lượng</t>
        </is>
      </c>
      <c r="F10843" t="inlineStr">
        <is>
          <t>Hồ Chí Minh</t>
        </is>
      </c>
      <c r="G10843" t="inlineStr">
        <is>
          <t>Nhân viên</t>
        </is>
      </c>
      <c r="H10843" t="inlineStr">
        <is>
          <t>13/03/2026</t>
        </is>
      </c>
      <c r="I10843" t="inlineStr">
        <is>
          <t>12/04/2026</t>
        </is>
      </c>
      <c r="J10843" t="inlineStr">
        <is>
          <t>17/03/2026</t>
        </is>
      </c>
      <c r="K10843" t="inlineStr">
        <is>
          <t>N/A</t>
        </is>
      </c>
      <c r="L10843" t="inlineStr">
        <is>
          <t>Lập Trình PLC, Lập Trình AutoCAD, Cảm Biến Từ, Cơ Điện, Điện Công Nghiệp</t>
        </is>
      </c>
      <c r="M10843" t="inlineStr">
        <is>
          <t>Bonus, Healthcare Plan, Training, Travel Opportunities, Others</t>
        </is>
      </c>
      <c r="N10843" s="8">
        <f>HYPERLINK("https://www.vietnamworks.com/ky-su-djientu-djong-hoa-2023212-jv","Xem chi tiết")</f>
        <v/>
      </c>
    </row>
    <row r="10844">
      <c r="B10844" s="9" t="n">
        <v>10842</v>
      </c>
      <c r="C10844" s="10" t="inlineStr">
        <is>
          <t>Kỹ Thuật Vận Hành Máy Lazer và Công Nhân Sản Xuất</t>
        </is>
      </c>
      <c r="D10844" s="10" t="inlineStr">
        <is>
          <t>Công ty Cổ phần Thanh Bình H.T.C Việt Nam</t>
        </is>
      </c>
      <c r="E10844" s="10" t="inlineStr">
        <is>
          <t>Thương lượng</t>
        </is>
      </c>
      <c r="F10844" s="10" t="inlineStr">
        <is>
          <t>Hưng Yên</t>
        </is>
      </c>
      <c r="G10844" s="10" t="inlineStr">
        <is>
          <t>Nhân viên</t>
        </is>
      </c>
      <c r="H10844" s="10" t="inlineStr">
        <is>
          <t>13/03/2026</t>
        </is>
      </c>
      <c r="I10844" s="10" t="inlineStr">
        <is>
          <t>12/04/2026</t>
        </is>
      </c>
      <c r="J10844" s="10" t="inlineStr">
        <is>
          <t>17/03/2026</t>
        </is>
      </c>
      <c r="K10844" s="10" t="inlineStr">
        <is>
          <t>N/A</t>
        </is>
      </c>
      <c r="L10844" s="10" t="inlineStr">
        <is>
          <t>Công Nghệ Lazer, Cơ Khí, Kiểm Tra Chất Lượng, Gia Công Cơ Khí, Kế Hoạch Sản Xuất</t>
        </is>
      </c>
      <c r="M10844" s="10" t="inlineStr">
        <is>
          <t>Bonus, Awards, Others</t>
        </is>
      </c>
      <c r="N10844" s="11">
        <f>HYPERLINK("https://www.vietnamworks.com/ky-thuat-van-hanh-may-lazer-va-cong-nhan-san-xuat-2023207-jv","Xem chi tiết")</f>
        <v/>
      </c>
      <c r="O10844" s="10" t="n"/>
    </row>
    <row r="10845">
      <c r="B10845" s="7" t="n">
        <v>10843</v>
      </c>
      <c r="C10845" t="inlineStr">
        <is>
          <t>[Hanoi] Senior Research Analyst (Real Estate Advisory)</t>
        </is>
      </c>
      <c r="D10845" t="inlineStr">
        <is>
          <t>Công Ty TNHH Savills (Việt Nam)</t>
        </is>
      </c>
      <c r="E10845" t="inlineStr">
        <is>
          <t>Từ $ 1,000 /tháng</t>
        </is>
      </c>
      <c r="F10845" t="inlineStr">
        <is>
          <t>Hà Nội</t>
        </is>
      </c>
      <c r="G10845" t="inlineStr">
        <is>
          <t>Nhân viên</t>
        </is>
      </c>
      <c r="H10845" t="inlineStr">
        <is>
          <t>13/03/2026</t>
        </is>
      </c>
      <c r="I10845" t="inlineStr">
        <is>
          <t>12/04/2026</t>
        </is>
      </c>
      <c r="J10845" t="inlineStr">
        <is>
          <t>17/03/2026</t>
        </is>
      </c>
      <c r="K10845" t="inlineStr">
        <is>
          <t>N/A</t>
        </is>
      </c>
      <c r="L10845" t="inlineStr">
        <is>
          <t>Market Research, Data Collection, Excel, Real Estate, Report Writing</t>
        </is>
      </c>
      <c r="M10845" t="inlineStr">
        <is>
          <t>Healthcare Plan, Paid Leave, Laptop, Mobile</t>
        </is>
      </c>
      <c r="N10845" s="8">
        <f>HYPERLINK("https://www.vietnamworks.com/hanoi-senior-research-analyst-real-estate-advisory-2023211-jv","Xem chi tiết")</f>
        <v/>
      </c>
    </row>
    <row r="10846">
      <c r="B10846" s="9" t="n">
        <v>10844</v>
      </c>
      <c r="C10846" s="10" t="inlineStr">
        <is>
          <t>Financial Planning Associates/ Paraplanners</t>
        </is>
      </c>
      <c r="D10846" s="10" t="inlineStr">
        <is>
          <t>Công Ty TNHH FinAssist</t>
        </is>
      </c>
      <c r="E10846" s="10" t="inlineStr">
        <is>
          <t>$$ 400-600 /tháng</t>
        </is>
      </c>
      <c r="F10846" s="10" t="inlineStr">
        <is>
          <t>Hồ Chí Minh</t>
        </is>
      </c>
      <c r="G10846" s="10" t="inlineStr">
        <is>
          <t>Nhân viên</t>
        </is>
      </c>
      <c r="H10846" s="10" t="inlineStr">
        <is>
          <t>13/03/2026</t>
        </is>
      </c>
      <c r="I10846" s="10" t="inlineStr">
        <is>
          <t>12/04/2026</t>
        </is>
      </c>
      <c r="J10846" s="10" t="inlineStr">
        <is>
          <t>17/03/2026</t>
        </is>
      </c>
      <c r="K10846" s="10" t="inlineStr">
        <is>
          <t>N/A</t>
        </is>
      </c>
      <c r="L10846" s="10" t="inlineStr">
        <is>
          <t>Financial Planning, Paraplanning, Wealth Management, Xplan, Ielts 7.0</t>
        </is>
      </c>
      <c r="M10846" s="10" t="inlineStr">
        <is>
          <t>Bonus, Paid Leave, Travel Opportunities</t>
        </is>
      </c>
      <c r="N10846" s="11">
        <f>HYPERLINK("https://www.vietnamworks.com/financial-planning-associates-paraplanners--2023226-jv","Xem chi tiết")</f>
        <v/>
      </c>
      <c r="O10846" s="10" t="n"/>
    </row>
    <row r="10847">
      <c r="B10847" s="7" t="n">
        <v>10845</v>
      </c>
      <c r="C10847" t="inlineStr">
        <is>
          <t>Analyst - Developer - IT Department</t>
        </is>
      </c>
      <c r="D10847" t="inlineStr">
        <is>
          <t>Mizuho Bank, Ltd.</t>
        </is>
      </c>
      <c r="E10847" t="inlineStr">
        <is>
          <t>Thương lượng</t>
        </is>
      </c>
      <c r="F10847" t="inlineStr">
        <is>
          <t>Hà Nội</t>
        </is>
      </c>
      <c r="G10847" t="inlineStr">
        <is>
          <t>Nhân viên</t>
        </is>
      </c>
      <c r="H10847" t="inlineStr">
        <is>
          <t>13/03/2026</t>
        </is>
      </c>
      <c r="I10847" t="inlineStr">
        <is>
          <t>12/04/2026</t>
        </is>
      </c>
      <c r="J10847" t="inlineStr">
        <is>
          <t>17/03/2026</t>
        </is>
      </c>
      <c r="K10847" t="inlineStr">
        <is>
          <t>N/A</t>
        </is>
      </c>
      <c r="L10847" t="inlineStr">
        <is>
          <t>ASP.NET Core, Entity Framework, Software Engineering, SQL Server</t>
        </is>
      </c>
      <c r="M10847" t="inlineStr">
        <is>
          <t>Bonus, Healthcare Plan, Paid Leave, Others</t>
        </is>
      </c>
      <c r="N10847" s="8">
        <f>HYPERLINK("https://www.vietnamworks.com/analyst-developer-it-department-2023232-jv","Xem chi tiết")</f>
        <v/>
      </c>
    </row>
    <row r="10848">
      <c r="B10848" s="9" t="n">
        <v>10846</v>
      </c>
      <c r="C10848" s="10" t="inlineStr">
        <is>
          <t>Specialist, Indirect Category Management</t>
        </is>
      </c>
      <c r="D10848" s="10" t="inlineStr">
        <is>
          <t>Công Ty TNHH Pandora Production Việt Nam</t>
        </is>
      </c>
      <c r="E10848" s="10" t="inlineStr">
        <is>
          <t>Thương lượng</t>
        </is>
      </c>
      <c r="F10848" s="10" t="inlineStr">
        <is>
          <t>Hồ Chí Minh</t>
        </is>
      </c>
      <c r="G10848" s="10" t="inlineStr">
        <is>
          <t>Nhân viên</t>
        </is>
      </c>
      <c r="H10848" s="10" t="inlineStr">
        <is>
          <t>13/03/2026</t>
        </is>
      </c>
      <c r="I10848" s="10" t="inlineStr">
        <is>
          <t>12/04/2026</t>
        </is>
      </c>
      <c r="J10848" s="10" t="inlineStr">
        <is>
          <t>17/03/2026</t>
        </is>
      </c>
      <c r="K10848" s="10" t="inlineStr">
        <is>
          <t>N/A</t>
        </is>
      </c>
      <c r="L10848" s="10" t="inlineStr">
        <is>
          <t>Stakeholder Management, Cost Management, Sourcing Management, Supplier Negotiation, Supply Chain Operations</t>
        </is>
      </c>
      <c r="M10848" s="10" t="inlineStr">
        <is>
          <t>Bonus, Healthcare Plan, Laptop, Transportation</t>
        </is>
      </c>
      <c r="N10848" s="11">
        <f>HYPERLINK("https://www.vietnamworks.com/specialist-indirect-category-management-2023215-jv","Xem chi tiết")</f>
        <v/>
      </c>
      <c r="O10848" s="10" t="n"/>
    </row>
    <row r="10849">
      <c r="B10849" s="7" t="n">
        <v>10847</v>
      </c>
      <c r="C10849" t="inlineStr">
        <is>
          <t>Sales Admin &amp; Internal Control</t>
        </is>
      </c>
      <c r="D10849" t="inlineStr">
        <is>
          <t>Netnam Corp.</t>
        </is>
      </c>
      <c r="E10849" t="inlineStr">
        <is>
          <t>Thương lượng</t>
        </is>
      </c>
      <c r="F10849" t="inlineStr">
        <is>
          <t>Hồ Chí Minh</t>
        </is>
      </c>
      <c r="G10849" t="inlineStr">
        <is>
          <t>Nhân viên</t>
        </is>
      </c>
      <c r="H10849" t="inlineStr">
        <is>
          <t>13/03/2026</t>
        </is>
      </c>
      <c r="I10849" t="inlineStr">
        <is>
          <t>12/04/2026</t>
        </is>
      </c>
      <c r="J10849" t="inlineStr">
        <is>
          <t>17/03/2026</t>
        </is>
      </c>
      <c r="K10849" t="inlineStr">
        <is>
          <t>N/A</t>
        </is>
      </c>
      <c r="L10849" t="inlineStr">
        <is>
          <t>Tiếng Anh, Contract, Teamwork</t>
        </is>
      </c>
      <c r="M10849" t="inlineStr">
        <is>
          <t>Bonus, Training, Travel Opportunities</t>
        </is>
      </c>
      <c r="N10849" s="8">
        <f>HYPERLINK("https://www.vietnamworks.com/sales-admin-internal-control-2023209-jv","Xem chi tiết")</f>
        <v/>
      </c>
    </row>
    <row r="10850">
      <c r="B10850" s="9" t="n">
        <v>10848</v>
      </c>
      <c r="C10850" s="10" t="inlineStr">
        <is>
          <t>Sales Manager/Sales Executive - HCM Based (Oxalis Group)</t>
        </is>
      </c>
      <c r="D10850" s="10" t="inlineStr">
        <is>
          <t>CÔNG TY TNHH PHONG NHA HOLIDAY (Oxalis Group)</t>
        </is>
      </c>
      <c r="E10850" s="10" t="inlineStr">
        <is>
          <t>15tr-30tr ₫/tháng</t>
        </is>
      </c>
      <c r="F10850" s="10" t="inlineStr">
        <is>
          <t>Hồ Chí Minh</t>
        </is>
      </c>
      <c r="G10850" s="10" t="inlineStr">
        <is>
          <t>Nhân viên</t>
        </is>
      </c>
      <c r="H10850" s="10" t="inlineStr">
        <is>
          <t>13/03/2026</t>
        </is>
      </c>
      <c r="I10850" s="10" t="inlineStr">
        <is>
          <t>12/04/2026</t>
        </is>
      </c>
      <c r="J10850" s="10" t="inlineStr">
        <is>
          <t>17/03/2026</t>
        </is>
      </c>
      <c r="K10850" s="10" t="inlineStr">
        <is>
          <t>N/A</t>
        </is>
      </c>
      <c r="L10850" s="10" t="inlineStr">
        <is>
          <t>Business Development, Travel Arrangement, Client Relationships, Sales Planning, Tour Operation</t>
        </is>
      </c>
      <c r="M10850" s="10" t="inlineStr">
        <is>
          <t>Bonus, Training, Laptop, Travel Opportunities, Transportation</t>
        </is>
      </c>
      <c r="N10850" s="11">
        <f>HYPERLINK("https://www.vietnamworks.com/sales-managersales-executive-hcm-based-oxalis-group-2023205-jv","Xem chi tiết")</f>
        <v/>
      </c>
      <c r="O10850" s="10" t="n"/>
    </row>
    <row r="10851">
      <c r="B10851" s="7" t="n">
        <v>10849</v>
      </c>
      <c r="C10851" t="inlineStr">
        <is>
          <t>Nhân Viên Kinh Doanh | Sales Executive</t>
        </is>
      </c>
      <c r="D10851" t="inlineStr">
        <is>
          <t>Công Ty TNHH Thiết Bị Y Tế Bình Minh</t>
        </is>
      </c>
      <c r="E10851" t="inlineStr">
        <is>
          <t>Thương lượng</t>
        </is>
      </c>
      <c r="F10851" t="inlineStr">
        <is>
          <t>Hồ Chí Minh</t>
        </is>
      </c>
      <c r="G10851" t="inlineStr">
        <is>
          <t>Nhân viên</t>
        </is>
      </c>
      <c r="H10851" t="inlineStr">
        <is>
          <t>13/03/2026</t>
        </is>
      </c>
      <c r="I10851" t="inlineStr">
        <is>
          <t>12/04/2026</t>
        </is>
      </c>
      <c r="J10851" t="inlineStr">
        <is>
          <t>17/03/2026</t>
        </is>
      </c>
      <c r="K10851" t="inlineStr">
        <is>
          <t>N/A</t>
        </is>
      </c>
      <c r="L10851" t="inlineStr">
        <is>
          <t>Chăm Sóc Khách Hàng, Dược sĩ, Sales representative, Sales Consultant, Tư Vấn Sản Phẩm</t>
        </is>
      </c>
      <c r="M10851" t="inlineStr">
        <is>
          <t>Bonus, Healthcare Plan, Training, Travel Opportunities, Others</t>
        </is>
      </c>
      <c r="N10851" s="8">
        <f>HYPERLINK("https://www.vietnamworks.com/nhan-vien-kinh-doanh-or-sales-executive-2023222-jv","Xem chi tiết")</f>
        <v/>
      </c>
    </row>
    <row r="10852">
      <c r="B10852" s="9" t="n">
        <v>10850</v>
      </c>
      <c r="C10852" s="10" t="inlineStr">
        <is>
          <t>Sales Supervisor (Giám Sát Bán Hàng) - Hồ Chí Minh</t>
        </is>
      </c>
      <c r="D10852" s="10" t="inlineStr">
        <is>
          <t>La Vie Limited Liability Company</t>
        </is>
      </c>
      <c r="E10852" s="10" t="inlineStr">
        <is>
          <t>Thương lượng</t>
        </is>
      </c>
      <c r="F10852" s="10" t="inlineStr">
        <is>
          <t>Hồ Chí Minh</t>
        </is>
      </c>
      <c r="G10852" s="10" t="inlineStr">
        <is>
          <t>Nhân viên</t>
        </is>
      </c>
      <c r="H10852" s="10" t="inlineStr">
        <is>
          <t>13/03/2026</t>
        </is>
      </c>
      <c r="I10852" s="10" t="inlineStr">
        <is>
          <t>12/04/2026</t>
        </is>
      </c>
      <c r="J10852" s="10" t="inlineStr">
        <is>
          <t>17/03/2026</t>
        </is>
      </c>
      <c r="K10852" s="10" t="inlineStr">
        <is>
          <t>N/A</t>
        </is>
      </c>
      <c r="L10852" s="10" t="inlineStr">
        <is>
          <t>Giám Sát Bán Hàng, FMCG, Bán Hàng, Quản Lý Kinh Doanh, Sales Supervisor</t>
        </is>
      </c>
      <c r="M10852" s="10" t="inlineStr">
        <is>
          <t>Bonus, Healthcare Plan, Training</t>
        </is>
      </c>
      <c r="N10852" s="11">
        <f>HYPERLINK("https://www.vietnamworks.com/sales-supervisor-giam-sat-ban-hang-ho-chi-minh-2023221-jv","Xem chi tiết")</f>
        <v/>
      </c>
      <c r="O10852" s="10" t="n"/>
    </row>
    <row r="10853">
      <c r="B10853" s="7" t="n">
        <v>10851</v>
      </c>
      <c r="C10853" t="inlineStr">
        <is>
          <t>Nhân Viên Kế Hoạch Sản Xuất Làm Việc Tại Hà Nam (Lương Cơ Bản Từ 12Tr )</t>
        </is>
      </c>
      <c r="D10853" t="inlineStr">
        <is>
          <t>Công Ty TNHH CP DHU</t>
        </is>
      </c>
      <c r="E10853" t="inlineStr">
        <is>
          <t>12tr-20tr ₫/tháng</t>
        </is>
      </c>
      <c r="F10853" t="inlineStr">
        <is>
          <t>Ninh Bình, Hà Nam</t>
        </is>
      </c>
      <c r="G10853" t="inlineStr">
        <is>
          <t>Nhân viên</t>
        </is>
      </c>
      <c r="H10853" t="inlineStr">
        <is>
          <t>13/03/2026</t>
        </is>
      </c>
      <c r="I10853" t="inlineStr">
        <is>
          <t>12/04/2026</t>
        </is>
      </c>
      <c r="J10853" t="inlineStr">
        <is>
          <t>17/03/2026</t>
        </is>
      </c>
      <c r="K10853" t="inlineStr">
        <is>
          <t>N/A</t>
        </is>
      </c>
      <c r="L10853" t="inlineStr">
        <is>
          <t>Chuỗi Cung Ứng, Excel, Kế Hoạch Sản Xuất, Thống kê tồn kho, Xử Lí Đơn Hàng</t>
        </is>
      </c>
      <c r="M10853" t="inlineStr">
        <is>
          <t>Bonus, Travel Opportunities, Others</t>
        </is>
      </c>
      <c r="N10853" s="8">
        <f>HYPERLINK("https://www.vietnamworks.com/nhan-vien-ke-hoach-san-xuat-lam-viec-tai-ha-nam-luong-co-ban-tu-12tr-2023224-jv","Xem chi tiết")</f>
        <v/>
      </c>
    </row>
    <row r="10854">
      <c r="B10854" s="9" t="n">
        <v>10852</v>
      </c>
      <c r="C10854" s="10" t="inlineStr">
        <is>
          <t>Nhân Viên Kinh Doanh Điều Hòa VRF</t>
        </is>
      </c>
      <c r="D10854" s="10" t="inlineStr">
        <is>
          <t>CÔNG TY TNHH VMD HVAC VIỆT NAM</t>
        </is>
      </c>
      <c r="E10854" s="10" t="inlineStr">
        <is>
          <t>15tr-30tr ₫/tháng</t>
        </is>
      </c>
      <c r="F10854" s="10" t="inlineStr">
        <is>
          <t>Hà Nội, Hồ Chí Minh, Đà Nẵng</t>
        </is>
      </c>
      <c r="G10854" s="10" t="inlineStr">
        <is>
          <t>Nhân viên</t>
        </is>
      </c>
      <c r="H10854" s="10" t="inlineStr">
        <is>
          <t>13/03/2026</t>
        </is>
      </c>
      <c r="I10854" s="10" t="inlineStr">
        <is>
          <t>12/04/2026</t>
        </is>
      </c>
      <c r="J10854" s="10" t="inlineStr">
        <is>
          <t>17/03/2026</t>
        </is>
      </c>
      <c r="K10854" s="10" t="inlineStr">
        <is>
          <t>N/A</t>
        </is>
      </c>
      <c r="L10854" s="10" t="inlineStr">
        <is>
          <t>Báo Giá, Giải Pháp Kỹ Thuật, Tư Vấn Thiết Kế, VRF</t>
        </is>
      </c>
      <c r="M10854" s="10" t="inlineStr">
        <is>
          <t>Bonus, Healthcare Plan, Training, Canteen, Others</t>
        </is>
      </c>
      <c r="N10854" s="11">
        <f>HYPERLINK("https://www.vietnamworks.com/nhan-vien-kinh-doanh-djieu-hoa-vrf-2023225-jv","Xem chi tiết")</f>
        <v/>
      </c>
      <c r="O10854" s="10" t="n"/>
    </row>
    <row r="10855">
      <c r="B10855" s="7" t="n">
        <v>10853</v>
      </c>
      <c r="C10855" t="inlineStr">
        <is>
          <t>Treasury Senior Specialist</t>
        </is>
      </c>
      <c r="D10855" t="inlineStr">
        <is>
          <t>Shinhan Vietnam Finance Company Limited</t>
        </is>
      </c>
      <c r="E10855" t="inlineStr">
        <is>
          <t>Thương lượng</t>
        </is>
      </c>
      <c r="F10855" t="inlineStr">
        <is>
          <t>Hồ Chí Minh</t>
        </is>
      </c>
      <c r="G10855" t="inlineStr">
        <is>
          <t>Nhân viên</t>
        </is>
      </c>
      <c r="H10855" t="inlineStr">
        <is>
          <t>13/03/2026</t>
        </is>
      </c>
      <c r="I10855" t="inlineStr">
        <is>
          <t>12/04/2026</t>
        </is>
      </c>
      <c r="J10855" t="inlineStr">
        <is>
          <t>17/03/2026</t>
        </is>
      </c>
      <c r="K10855" t="inlineStr">
        <is>
          <t>N/A</t>
        </is>
      </c>
      <c r="L10855" t="inlineStr">
        <is>
          <t>ALM Reporting, Cash Flow Management, Funding &amp; Liquidity Management, Treasury &amp; Capital Markets Management, Treasury Operations</t>
        </is>
      </c>
      <c r="M10855" t="inlineStr">
        <is>
          <t>Bonus, Healthcare Plan, Paid Leave, Training, Library, Laptop, Travel Opportunities, Canteen</t>
        </is>
      </c>
      <c r="N10855" s="8">
        <f>HYPERLINK("https://www.vietnamworks.com/treasury-senior-specialist-2023231-jv","Xem chi tiết")</f>
        <v/>
      </c>
    </row>
    <row r="10856">
      <c r="B10856" s="9" t="n">
        <v>10854</v>
      </c>
      <c r="C10856" s="10" t="inlineStr">
        <is>
          <t>Chuyên Viên Kiểm Soát Chất Lượng (R&amp;D Nhãn Hàng Riêng)</t>
        </is>
      </c>
      <c r="D10856" s="10" t="inlineStr">
        <is>
          <t>Công Ty Cổ Phần Dịch Vụ Thương Mại Tổng Hợp WinCommerce</t>
        </is>
      </c>
      <c r="E10856" s="10" t="inlineStr">
        <is>
          <t>Thương lượng</t>
        </is>
      </c>
      <c r="F10856" s="10" t="inlineStr">
        <is>
          <t>Hồ Chí Minh</t>
        </is>
      </c>
      <c r="G10856" s="10" t="inlineStr">
        <is>
          <t>Nhân viên</t>
        </is>
      </c>
      <c r="H10856" s="10" t="inlineStr">
        <is>
          <t>13/03/2026</t>
        </is>
      </c>
      <c r="I10856" s="10" t="inlineStr">
        <is>
          <t>12/04/2026</t>
        </is>
      </c>
      <c r="J10856" s="10" t="inlineStr">
        <is>
          <t>17/03/2026</t>
        </is>
      </c>
      <c r="K10856" s="10" t="inlineStr">
        <is>
          <t>N/A</t>
        </is>
      </c>
      <c r="L10856" s="10" t="inlineStr">
        <is>
          <t>R&amp;D, OEM</t>
        </is>
      </c>
      <c r="M10856" s="10" t="inlineStr">
        <is>
          <t>Bonus, Healthcare Plan, Others</t>
        </is>
      </c>
      <c r="N10856" s="11">
        <f>HYPERLINK("https://www.vietnamworks.com/chuyen-vien-kiem-soat-chat-luong-r-d-nhan-hang-rieng--2023217-jv","Xem chi tiết")</f>
        <v/>
      </c>
      <c r="O10856" s="10" t="n"/>
    </row>
    <row r="10857">
      <c r="B10857" s="7" t="n">
        <v>10855</v>
      </c>
      <c r="C10857" t="inlineStr">
        <is>
          <t>Kế Toán Tổng Hợp/ General Accountant Tại Hà Nội và Hồ Chí Minh</t>
        </is>
      </c>
      <c r="D10857" t="inlineStr">
        <is>
          <t>Công Ty Cổ Phần Western Pacific</t>
        </is>
      </c>
      <c r="E10857" t="inlineStr">
        <is>
          <t>Tới 25tr ₫/tháng</t>
        </is>
      </c>
      <c r="F10857" t="inlineStr">
        <is>
          <t>Hồ Chí Minh, Hà Nội</t>
        </is>
      </c>
      <c r="G10857" t="inlineStr">
        <is>
          <t>Nhân viên</t>
        </is>
      </c>
      <c r="H10857" t="inlineStr">
        <is>
          <t>13/03/2026</t>
        </is>
      </c>
      <c r="I10857" t="inlineStr">
        <is>
          <t>12/04/2026</t>
        </is>
      </c>
      <c r="J10857" t="inlineStr">
        <is>
          <t>17/03/2026</t>
        </is>
      </c>
      <c r="K10857" t="inlineStr">
        <is>
          <t>N/A</t>
        </is>
      </c>
      <c r="L10857" t="inlineStr">
        <is>
          <t>Kế Toán Tổng Hợp, Phần mềm kế toán, Thuế, Kế toán &amp; Tài chính</t>
        </is>
      </c>
      <c r="M10857" t="inlineStr">
        <is>
          <t>Bonus, Healthcare Plan, Paid Leave, Training, Others</t>
        </is>
      </c>
      <c r="N10857" s="8">
        <f>HYPERLINK("https://www.vietnamworks.com/ke-toan-tong-hop-general-accountant-tai-ha-noi-va-ho-chi-minh-2023219-jv","Xem chi tiết")</f>
        <v/>
      </c>
    </row>
    <row r="10858">
      <c r="B10858" s="9" t="n">
        <v>10856</v>
      </c>
      <c r="C10858" s="10" t="inlineStr">
        <is>
          <t>HR Senior Staff (C&amp;B)</t>
        </is>
      </c>
      <c r="D10858" s="10" t="inlineStr">
        <is>
          <t>LOTTE Properties Hanoi (LOTTE MALL West Lake Hanoi)</t>
        </is>
      </c>
      <c r="E10858" s="10" t="inlineStr">
        <is>
          <t>Thương lượng</t>
        </is>
      </c>
      <c r="F10858" s="10" t="inlineStr">
        <is>
          <t>Hà Nội</t>
        </is>
      </c>
      <c r="G10858" s="10" t="inlineStr">
        <is>
          <t>Nhân viên</t>
        </is>
      </c>
      <c r="H10858" s="10" t="inlineStr">
        <is>
          <t>13/03/2026</t>
        </is>
      </c>
      <c r="I10858" s="10" t="inlineStr">
        <is>
          <t>12/04/2026</t>
        </is>
      </c>
      <c r="J10858" s="10" t="inlineStr">
        <is>
          <t>17/03/2026</t>
        </is>
      </c>
      <c r="K10858" s="10" t="inlineStr">
        <is>
          <t>N/A</t>
        </is>
      </c>
      <c r="L10858" s="10" t="inlineStr">
        <is>
          <t>Labor Cost, Social Insurance, Staff Development, Tax Calculation</t>
        </is>
      </c>
      <c r="M10858" s="10" t="inlineStr">
        <is>
          <t>Bonus, Team Activities, Canteen</t>
        </is>
      </c>
      <c r="N10858" s="11">
        <f>HYPERLINK("https://www.vietnamworks.com/hr-senior-staff-candb-2023234-jv","Xem chi tiết")</f>
        <v/>
      </c>
      <c r="O10858" s="10" t="n"/>
    </row>
    <row r="10859">
      <c r="B10859" s="7" t="n">
        <v>10857</v>
      </c>
      <c r="C10859" t="inlineStr">
        <is>
          <t>Thiết Kế Kết Cấu (Kết Cấu Thép)</t>
        </is>
      </c>
      <c r="D10859" t="inlineStr">
        <is>
          <t>Công Ty Cổ Phần Kết Cấu Thép ATAD</t>
        </is>
      </c>
      <c r="E10859" t="inlineStr">
        <is>
          <t>$$ 500-1,000 /tháng</t>
        </is>
      </c>
      <c r="F10859" t="inlineStr">
        <is>
          <t>Hồ Chí Minh</t>
        </is>
      </c>
      <c r="G10859" t="inlineStr">
        <is>
          <t>Nhân viên</t>
        </is>
      </c>
      <c r="H10859" t="inlineStr">
        <is>
          <t>13/03/2026</t>
        </is>
      </c>
      <c r="I10859" t="inlineStr">
        <is>
          <t>12/04/2026</t>
        </is>
      </c>
      <c r="J10859" t="inlineStr">
        <is>
          <t>17/03/2026</t>
        </is>
      </c>
      <c r="K10859" t="inlineStr">
        <is>
          <t>N/A</t>
        </is>
      </c>
      <c r="L10859" t="inlineStr">
        <is>
          <t>Thiết Kế Kết Cấu, Thiết Kế Kết Cấu Nhà Xưởng, Etabs, SAP2000, Civil Engineering</t>
        </is>
      </c>
      <c r="M10859" t="inlineStr">
        <is>
          <t>Bonus, Awards, Travel Opportunities</t>
        </is>
      </c>
      <c r="N10859" s="8">
        <f>HYPERLINK("https://www.vietnamworks.com/thiet-ke-ket-cau-ket-cau-thep--2023213-jv","Xem chi tiết")</f>
        <v/>
      </c>
    </row>
    <row r="10860">
      <c r="B10860" s="9" t="n">
        <v>10858</v>
      </c>
      <c r="C10860" s="10" t="inlineStr">
        <is>
          <t>Sales Consultant (Luxury Automotive) | Lotus Cars Vietnam | Hanoi &amp; HCMC</t>
        </is>
      </c>
      <c r="D10860" s="10" t="inlineStr">
        <is>
          <t>CÔNG TY TNHH Ô TÔ THỂ THAO ANH QUỐC</t>
        </is>
      </c>
      <c r="E10860" s="10" t="inlineStr">
        <is>
          <t>Thương lượng</t>
        </is>
      </c>
      <c r="F10860" s="10" t="inlineStr">
        <is>
          <t>Hồ Chí Minh, Hà Nội</t>
        </is>
      </c>
      <c r="G10860" s="10" t="inlineStr">
        <is>
          <t>Nhân viên</t>
        </is>
      </c>
      <c r="H10860" s="10" t="inlineStr">
        <is>
          <t>13/03/2026</t>
        </is>
      </c>
      <c r="I10860" s="10" t="inlineStr">
        <is>
          <t>12/04/2026</t>
        </is>
      </c>
      <c r="J10860" s="10" t="inlineStr">
        <is>
          <t>17/03/2026</t>
        </is>
      </c>
      <c r="K10860" s="10" t="inlineStr">
        <is>
          <t>N/A</t>
        </is>
      </c>
      <c r="L10860" s="10" t="inlineStr">
        <is>
          <t>Automotive Sales, Bán hàng, Relationship Management, Tìm Kiếm Khách Hàng, Tư Vấn</t>
        </is>
      </c>
      <c r="M10860" s="10" t="inlineStr">
        <is>
          <t>Bonus</t>
        </is>
      </c>
      <c r="N10860" s="11">
        <f>HYPERLINK("https://www.vietnamworks.com/sales-consultant-luxury-automotive-or-lotus-cars-vietnam-or-hanoi-and-hcmc-2023235-jv","Xem chi tiết")</f>
        <v/>
      </c>
      <c r="O10860" s="10" t="n"/>
    </row>
    <row r="10861">
      <c r="B10861" s="7" t="n">
        <v>10859</v>
      </c>
      <c r="C10861" t="inlineStr">
        <is>
          <t>Kỹ Sư Quản Lý Môi Trường (Làm Việc Tại Quảng Ninh)</t>
        </is>
      </c>
      <c r="D10861" t="inlineStr">
        <is>
          <t>Công Ty TNHH Vật Liệu Nam Châm Shin-Etsu Việt Nam</t>
        </is>
      </c>
      <c r="E10861" t="inlineStr">
        <is>
          <t>10tr-13tr ₫/tháng</t>
        </is>
      </c>
      <c r="F10861" t="inlineStr">
        <is>
          <t>Quảng Ninh, Hải Phòng</t>
        </is>
      </c>
      <c r="G10861" t="inlineStr">
        <is>
          <t>Nhân viên</t>
        </is>
      </c>
      <c r="H10861" t="inlineStr">
        <is>
          <t>13/03/2026</t>
        </is>
      </c>
      <c r="I10861" t="inlineStr">
        <is>
          <t>12/04/2026</t>
        </is>
      </c>
      <c r="J10861" t="inlineStr">
        <is>
          <t>17/03/2026</t>
        </is>
      </c>
      <c r="K10861" t="inlineStr">
        <is>
          <t>N/A</t>
        </is>
      </c>
      <c r="L10861" t="inlineStr">
        <is>
          <t>Quản Lý Chất Thải, Quản Lý Môi Trường, Kỹ Thuật Môi Trường, Lập Báo Cáo, Tiếng Anh</t>
        </is>
      </c>
      <c r="M10861" t="inlineStr">
        <is>
          <t>Bonus, Healthcare Plan, Others</t>
        </is>
      </c>
      <c r="N10861" s="8">
        <f>HYPERLINK("https://www.vietnamworks.com/ky-su-quan-ly-moi-truong-lam-viec-tai-quang-ninh-2023230-jv","Xem chi tiết")</f>
        <v/>
      </c>
    </row>
    <row r="10862">
      <c r="B10862" s="9" t="n">
        <v>10860</v>
      </c>
      <c r="C10862" s="10" t="inlineStr">
        <is>
          <t>Chuyên Viên Mua Hàng Xây Dựng</t>
        </is>
      </c>
      <c r="D10862" s="10" t="inlineStr">
        <is>
          <t>Công Ty TNHH Đầu Tư Xây Dựng Và Công Nghệ Môi Trường Dương Nhật</t>
        </is>
      </c>
      <c r="E10862" s="10" t="inlineStr">
        <is>
          <t>$$ 550-800 /tháng</t>
        </is>
      </c>
      <c r="F10862" s="10" t="inlineStr">
        <is>
          <t>Hồ Chí Minh</t>
        </is>
      </c>
      <c r="G10862" s="10" t="inlineStr">
        <is>
          <t>Nhân viên</t>
        </is>
      </c>
      <c r="H10862" s="10" t="inlineStr">
        <is>
          <t>13/03/2026</t>
        </is>
      </c>
      <c r="I10862" s="10" t="inlineStr">
        <is>
          <t>12/04/2026</t>
        </is>
      </c>
      <c r="J10862" s="10" t="inlineStr">
        <is>
          <t>17/03/2026</t>
        </is>
      </c>
      <c r="K10862" s="10" t="inlineStr">
        <is>
          <t>N/A</t>
        </is>
      </c>
      <c r="L10862" s="10" t="inlineStr">
        <is>
          <t>Purchasing, Mua Sắm Vật Tư, Mua Hàng Cơ Điện, Mua Hàng Vật Tư Kỹ Thuật, Mua Hàng Trong Ngành Xây Dựng</t>
        </is>
      </c>
      <c r="M10862" s="10" t="inlineStr">
        <is>
          <t>Bonus, Healthcare Plan, Travel Opportunities</t>
        </is>
      </c>
      <c r="N10862" s="11">
        <f>HYPERLINK("https://www.vietnamworks.com/chuyen-vien-mua-hang-xay-dung--2023244-jv","Xem chi tiết")</f>
        <v/>
      </c>
      <c r="O10862" s="10" t="n"/>
    </row>
    <row r="10863">
      <c r="B10863" s="7" t="n">
        <v>10861</v>
      </c>
      <c r="C10863" t="inlineStr">
        <is>
          <t>Nhân Viên Kế Toán/accountant</t>
        </is>
      </c>
      <c r="D10863" t="inlineStr">
        <is>
          <t>Công ty Liên Doanh Đoàn Kết Quốc Tế</t>
        </is>
      </c>
      <c r="E10863" t="inlineStr">
        <is>
          <t>Thương lượng</t>
        </is>
      </c>
      <c r="F10863" t="inlineStr">
        <is>
          <t>Hà Nội</t>
        </is>
      </c>
      <c r="G10863" t="inlineStr">
        <is>
          <t>Nhân viên</t>
        </is>
      </c>
      <c r="H10863" t="inlineStr">
        <is>
          <t>13/03/2026</t>
        </is>
      </c>
      <c r="I10863" t="inlineStr">
        <is>
          <t>12/04/2026</t>
        </is>
      </c>
      <c r="J10863" t="inlineStr">
        <is>
          <t>17/03/2026</t>
        </is>
      </c>
      <c r="K10863" t="inlineStr">
        <is>
          <t>N/A</t>
        </is>
      </c>
      <c r="L10863" t="inlineStr">
        <is>
          <t>Accounting Software, Vat Experience, PIT, Financial Report, Tax Filing</t>
        </is>
      </c>
      <c r="M10863" t="inlineStr">
        <is>
          <t>Bonus, Healthcare Plan, Travel Opportunities, Others</t>
        </is>
      </c>
      <c r="N10863" s="8">
        <f>HYPERLINK("https://www.vietnamworks.com/nhan-vien-ke-toan-accountant--2023257-jv","Xem chi tiết")</f>
        <v/>
      </c>
    </row>
    <row r="10864">
      <c r="B10864" s="9" t="n">
        <v>10862</v>
      </c>
      <c r="C10864" s="10" t="inlineStr">
        <is>
          <t>Senior Manager, Property Management (Based in Hanoi)</t>
        </is>
      </c>
      <c r="D10864" s="10" t="inlineStr">
        <is>
          <t>Sembcorp Development Vietnam Company Limited</t>
        </is>
      </c>
      <c r="E10864" s="10" t="inlineStr">
        <is>
          <t>Thương lượng</t>
        </is>
      </c>
      <c r="F10864" s="10" t="inlineStr">
        <is>
          <t>Hà Nội</t>
        </is>
      </c>
      <c r="G10864" s="10" t="inlineStr">
        <is>
          <t>Trưởng phòng</t>
        </is>
      </c>
      <c r="H10864" s="10" t="inlineStr">
        <is>
          <t>13/03/2026</t>
        </is>
      </c>
      <c r="I10864" s="10" t="inlineStr">
        <is>
          <t>12/04/2026</t>
        </is>
      </c>
      <c r="J10864" s="10" t="inlineStr">
        <is>
          <t>17/03/2026</t>
        </is>
      </c>
      <c r="K10864" s="10" t="inlineStr">
        <is>
          <t>N/A</t>
        </is>
      </c>
      <c r="L10864" s="10" t="inlineStr">
        <is>
          <t>Problem Solving, Project Management, Property Management, Real Estate, Team Management</t>
        </is>
      </c>
      <c r="M10864" s="10" t="inlineStr">
        <is>
          <t>Bonus, Healthcare Plan, Laptop</t>
        </is>
      </c>
      <c r="N10864" s="11">
        <f>HYPERLINK("https://www.vietnamworks.com/senior-manager-property-management-based-in-hanoi-2023247-jv","Xem chi tiết")</f>
        <v/>
      </c>
      <c r="O10864" s="10" t="n"/>
    </row>
    <row r="10865">
      <c r="B10865" s="7" t="n">
        <v>10863</v>
      </c>
      <c r="C10865" t="inlineStr">
        <is>
          <t>Nhân Viên QA (Quality Assurance)</t>
        </is>
      </c>
      <c r="D10865" t="inlineStr">
        <is>
          <t>Cong Ty TNHH Bumjin VINA Electronics VINA</t>
        </is>
      </c>
      <c r="E10865" t="inlineStr">
        <is>
          <t>Tới $ 1,000 /tháng</t>
        </is>
      </c>
      <c r="F10865" t="inlineStr">
        <is>
          <t>Quảng Ninh, Hải Phòng</t>
        </is>
      </c>
      <c r="G10865" t="inlineStr">
        <is>
          <t>Nhân viên</t>
        </is>
      </c>
      <c r="H10865" t="inlineStr">
        <is>
          <t>13/03/2026</t>
        </is>
      </c>
      <c r="I10865" t="inlineStr">
        <is>
          <t>12/04/2026</t>
        </is>
      </c>
      <c r="J10865" t="inlineStr">
        <is>
          <t>17/03/2026</t>
        </is>
      </c>
      <c r="K10865" t="inlineStr">
        <is>
          <t>N/A</t>
        </is>
      </c>
      <c r="L10865" t="inlineStr">
        <is>
          <t>Excel, Giám Sát Chất Lượng, Quality Assurance, Quản lý chất lượng, Đảm Bảo Chất Lượng</t>
        </is>
      </c>
      <c r="M10865" t="inlineStr">
        <is>
          <t>Bonus, Healthcare Plan, Paid Leave</t>
        </is>
      </c>
      <c r="N10865" s="8">
        <f>HYPERLINK("https://www.vietnamworks.com/nhan-vien-qa-quality-assurance-2023245-jv","Xem chi tiết")</f>
        <v/>
      </c>
    </row>
    <row r="10866">
      <c r="B10866" s="9" t="n">
        <v>10864</v>
      </c>
      <c r="C10866" s="10" t="inlineStr">
        <is>
          <t>Kế Toán Tổng Hợp</t>
        </is>
      </c>
      <c r="D10866" s="10" t="inlineStr">
        <is>
          <t>CÔNG TY TNHH VISTA REALTY AGENCY</t>
        </is>
      </c>
      <c r="E10866" s="10" t="inlineStr">
        <is>
          <t>Thương lượng</t>
        </is>
      </c>
      <c r="F10866" s="10" t="inlineStr">
        <is>
          <t>Hồ Chí Minh</t>
        </is>
      </c>
      <c r="G10866" s="10" t="inlineStr">
        <is>
          <t>Nhân viên</t>
        </is>
      </c>
      <c r="H10866" s="10" t="inlineStr">
        <is>
          <t>13/03/2026</t>
        </is>
      </c>
      <c r="I10866" s="10" t="inlineStr">
        <is>
          <t>12/04/2026</t>
        </is>
      </c>
      <c r="J10866" s="10" t="inlineStr">
        <is>
          <t>17/03/2026</t>
        </is>
      </c>
      <c r="K10866" s="10" t="inlineStr">
        <is>
          <t>N/A</t>
        </is>
      </c>
      <c r="L10866" s="10" t="inlineStr">
        <is>
          <t>Phần mềm kế toán, Báo Cáo Thuế, Hạch Toán, Kế Toán Tổng Hợp, Tài Chính</t>
        </is>
      </c>
      <c r="M10866" s="10" t="inlineStr">
        <is>
          <t>Bonus, Healthcare Plan, Paid Leave, Transportation, Others</t>
        </is>
      </c>
      <c r="N10866" s="11">
        <f>HYPERLINK("https://www.vietnamworks.com/ke-toan-tong-hop-2023250-jv","Xem chi tiết")</f>
        <v/>
      </c>
      <c r="O10866" s="10" t="n"/>
    </row>
    <row r="10867">
      <c r="B10867" s="7" t="n">
        <v>10865</v>
      </c>
      <c r="C10867" t="inlineStr">
        <is>
          <t>Project Engineer (Mechanical Background)</t>
        </is>
      </c>
      <c r="D10867" t="inlineStr">
        <is>
          <t>Công Ty TNHH Therm- X System Việt Nam Technology</t>
        </is>
      </c>
      <c r="E10867" t="inlineStr">
        <is>
          <t>Thương lượng</t>
        </is>
      </c>
      <c r="F10867" t="inlineStr">
        <is>
          <t>Hồ Chí Minh, Bình Dương</t>
        </is>
      </c>
      <c r="G10867" t="inlineStr">
        <is>
          <t>Nhân viên</t>
        </is>
      </c>
      <c r="H10867" t="inlineStr">
        <is>
          <t>13/03/2026</t>
        </is>
      </c>
      <c r="I10867" t="inlineStr">
        <is>
          <t>12/04/2026</t>
        </is>
      </c>
      <c r="J10867" t="inlineStr">
        <is>
          <t>17/03/2026</t>
        </is>
      </c>
      <c r="K10867" t="inlineStr">
        <is>
          <t>N/A</t>
        </is>
      </c>
      <c r="L10867" t="inlineStr">
        <is>
          <t>Project Management, Mechanical Engineering, Electrical Engineering, Manufacturing Products, Organizational skills</t>
        </is>
      </c>
      <c r="M10867" t="inlineStr">
        <is>
          <t>Bonus, Healthcare Plan, Paid Leave, Training, Others</t>
        </is>
      </c>
      <c r="N10867" s="8">
        <f>HYPERLINK("https://www.vietnamworks.com/project-engineer-mechanical-background-2023239-jv","Xem chi tiết")</f>
        <v/>
      </c>
    </row>
    <row r="10868">
      <c r="B10868" s="9" t="n">
        <v>10866</v>
      </c>
      <c r="C10868" s="10" t="inlineStr">
        <is>
          <t>Phó Phòng Nhân Sự (Đào Tạo &amp; Truyền Thông Nội Bộ)</t>
        </is>
      </c>
      <c r="D10868" s="10" t="inlineStr">
        <is>
          <t>IIG VIỆT NAM</t>
        </is>
      </c>
      <c r="E10868" s="10" t="inlineStr">
        <is>
          <t>$$ 1,200-1,500 /tháng</t>
        </is>
      </c>
      <c r="F10868" s="10" t="inlineStr">
        <is>
          <t>Hà Nội</t>
        </is>
      </c>
      <c r="G10868" s="10" t="inlineStr">
        <is>
          <t>Trưởng phòng</t>
        </is>
      </c>
      <c r="H10868" s="10" t="inlineStr">
        <is>
          <t>13/03/2026</t>
        </is>
      </c>
      <c r="I10868" s="10" t="inlineStr">
        <is>
          <t>12/04/2026</t>
        </is>
      </c>
      <c r="J10868" s="10" t="inlineStr">
        <is>
          <t>17/03/2026</t>
        </is>
      </c>
      <c r="K10868" s="10" t="inlineStr">
        <is>
          <t>N/A</t>
        </is>
      </c>
      <c r="L10868" s="10" t="inlineStr">
        <is>
          <t>L&amp;D, Đào Tạo Nguồn Nhân Lực, Phát triển văn hoá doanh nghiệp, Truyền Thông Nội Bộ, Nhân Sự</t>
        </is>
      </c>
      <c r="M10868" s="10" t="inlineStr">
        <is>
          <t>Bonus, Healthcare Plan, Paid Leave</t>
        </is>
      </c>
      <c r="N10868" s="11">
        <f>HYPERLINK("https://www.vietnamworks.com/pho-phong-nhan-su-dao-tao-truyen-thong-noi-bo-2023252-jv","Xem chi tiết")</f>
        <v/>
      </c>
      <c r="O10868" s="10" t="n"/>
    </row>
    <row r="10869">
      <c r="B10869" s="7" t="n">
        <v>10867</v>
      </c>
      <c r="C10869" t="inlineStr">
        <is>
          <t>Đại Diện Kinh Doanh Kênh Siêu Thị - Modern Trade Sales Representative</t>
        </is>
      </c>
      <c r="D10869" t="inlineStr">
        <is>
          <t>Abbott</t>
        </is>
      </c>
      <c r="E10869" t="inlineStr">
        <is>
          <t>12tr-16tr ₫/tháng</t>
        </is>
      </c>
      <c r="F10869" t="inlineStr">
        <is>
          <t>Bến Tre, Bà Rịa - Vũng Tàu</t>
        </is>
      </c>
      <c r="G10869" t="inlineStr">
        <is>
          <t>Nhân viên</t>
        </is>
      </c>
      <c r="H10869" t="inlineStr">
        <is>
          <t>13/03/2026</t>
        </is>
      </c>
      <c r="I10869" t="inlineStr">
        <is>
          <t>12/04/2026</t>
        </is>
      </c>
      <c r="J10869" t="inlineStr">
        <is>
          <t>17/03/2026</t>
        </is>
      </c>
      <c r="K10869" t="inlineStr">
        <is>
          <t>N/A</t>
        </is>
      </c>
      <c r="L10869" t="inlineStr">
        <is>
          <t>Business Acumen, Customer Service, Leadership Skills, Negotiation Skills, Persuasive Writing</t>
        </is>
      </c>
      <c r="M10869" t="inlineStr">
        <is>
          <t>Bonus, Healthcare Plan, Paid Leave, Training, Awards, Laptop, Mobile, Travel Opportunities, Team Activities, Canteen</t>
        </is>
      </c>
      <c r="N10869" s="8">
        <f>HYPERLINK("https://www.vietnamworks.com/djai-dien-kinh-doanh-kenh-sieu-thi-modern-trade-sales-representative-2023242-jv","Xem chi tiết")</f>
        <v/>
      </c>
    </row>
    <row r="10870">
      <c r="B10870" s="9" t="n">
        <v>10868</v>
      </c>
      <c r="C10870" s="10" t="inlineStr">
        <is>
          <t>Project Manager Cum Business Analyst - (Hybrid)</t>
        </is>
      </c>
      <c r="D10870" s="10" t="inlineStr">
        <is>
          <t>MEDICONCEN LIMITED</t>
        </is>
      </c>
      <c r="E10870" s="10" t="inlineStr">
        <is>
          <t>$$ 2,000-3,000 /tháng</t>
        </is>
      </c>
      <c r="F10870" s="10" t="inlineStr">
        <is>
          <t>Hồ Chí Minh</t>
        </is>
      </c>
      <c r="G10870" s="10" t="inlineStr">
        <is>
          <t>Trưởng phòng</t>
        </is>
      </c>
      <c r="H10870" s="10" t="inlineStr">
        <is>
          <t>13/03/2026</t>
        </is>
      </c>
      <c r="I10870" s="10" t="inlineStr">
        <is>
          <t>12/04/2026</t>
        </is>
      </c>
      <c r="J10870" s="10" t="inlineStr">
        <is>
          <t>17/03/2026</t>
        </is>
      </c>
      <c r="K10870" s="10" t="inlineStr">
        <is>
          <t>N/A</t>
        </is>
      </c>
      <c r="L10870" s="10" t="inlineStr">
        <is>
          <t>Project Management, Business Analysis, Insurance Claims, Factory Automation, Stakeholder Management</t>
        </is>
      </c>
      <c r="M10870" s="10" t="inlineStr">
        <is>
          <t>Bonus, Paid Leave, Others</t>
        </is>
      </c>
      <c r="N10870" s="11">
        <f>HYPERLINK("https://www.vietnamworks.com/project-manager-cum-business-analyst-hybrid-2023243-jv","Xem chi tiết")</f>
        <v/>
      </c>
      <c r="O10870" s="10" t="n"/>
    </row>
    <row r="10871">
      <c r="B10871" s="7" t="n">
        <v>10869</v>
      </c>
      <c r="C10871" t="inlineStr">
        <is>
          <t>Project Engineer Testing (Hung Yen)</t>
        </is>
      </c>
      <c r="D10871" t="inlineStr">
        <is>
          <t>Công ty TNHH TUV Rheinland Vietnam.</t>
        </is>
      </c>
      <c r="E10871" t="inlineStr">
        <is>
          <t>Thương lượng</t>
        </is>
      </c>
      <c r="F10871" t="inlineStr">
        <is>
          <t>Hưng Yên</t>
        </is>
      </c>
      <c r="G10871" t="inlineStr">
        <is>
          <t>Nhân viên</t>
        </is>
      </c>
      <c r="H10871" t="inlineStr">
        <is>
          <t>13/03/2026</t>
        </is>
      </c>
      <c r="I10871" t="inlineStr">
        <is>
          <t>12/04/2026</t>
        </is>
      </c>
      <c r="J10871" t="inlineStr">
        <is>
          <t>17/03/2026</t>
        </is>
      </c>
      <c r="K10871" t="inlineStr">
        <is>
          <t>N/A</t>
        </is>
      </c>
      <c r="L10871" t="inlineStr">
        <is>
          <t>Electrical Engineer, Automation Control Engineering, Test Engineering</t>
        </is>
      </c>
      <c r="M10871" t="inlineStr">
        <is>
          <t>Bonus, Healthcare Plan, Paid Leave</t>
        </is>
      </c>
      <c r="N10871" s="8">
        <f>HYPERLINK("https://www.vietnamworks.com/project-engineer-testing-hung-yen-2023238-jv","Xem chi tiết")</f>
        <v/>
      </c>
    </row>
    <row r="10872">
      <c r="B10872" s="9" t="n">
        <v>10870</v>
      </c>
      <c r="C10872" s="10" t="inlineStr">
        <is>
          <t>Trưởng Phòng Mua Hàng Ngành Fnb Tại Công Ty Cổ Phần Bbb Thăng Long (Chaoxian, Tòng, Saotouniu, Lẩu Phan)</t>
        </is>
      </c>
      <c r="D10872" s="10" t="inlineStr">
        <is>
          <t>Công Ty Cổ Phần BBB Thăng Long</t>
        </is>
      </c>
      <c r="E10872" s="10" t="inlineStr">
        <is>
          <t>Từ 30tr ₫/tháng</t>
        </is>
      </c>
      <c r="F10872" s="10" t="inlineStr">
        <is>
          <t>Hà Nội</t>
        </is>
      </c>
      <c r="G10872" s="10" t="inlineStr">
        <is>
          <t>Trưởng phòng</t>
        </is>
      </c>
      <c r="H10872" s="10" t="inlineStr">
        <is>
          <t>13/03/2026</t>
        </is>
      </c>
      <c r="I10872" s="10" t="inlineStr">
        <is>
          <t>12/04/2026</t>
        </is>
      </c>
      <c r="J10872" s="10" t="inlineStr">
        <is>
          <t>17/03/2026</t>
        </is>
      </c>
      <c r="K10872" s="10" t="inlineStr">
        <is>
          <t>N/A</t>
        </is>
      </c>
      <c r="L10872" s="10" t="inlineStr">
        <is>
          <t>Quản Lý Cung Ứng, Phân Tích Chi Phí, Mua Hàng, Purchasing</t>
        </is>
      </c>
      <c r="M10872" s="10" t="inlineStr">
        <is>
          <t>Bonus, Healthcare Plan, Others</t>
        </is>
      </c>
      <c r="N10872" s="11">
        <f>HYPERLINK("https://www.vietnamworks.com/truong-phong-mua-hang-nganh-fnb-tai-cong-ty-co-phan-bbb-thang-long-chaoxian-tong-saotouniu-lau-phan-2023255-jv","Xem chi tiết")</f>
        <v/>
      </c>
      <c r="O10872" s="10" t="n"/>
    </row>
    <row r="10873">
      <c r="B10873" s="7" t="n">
        <v>10871</v>
      </c>
      <c r="C10873" t="inlineStr">
        <is>
          <t>Cán Bộ Giám Sát Đường Sắt Tốc Độ Cao (Trắc Địa/ An Toàn Lao Động)</t>
        </is>
      </c>
      <c r="D10873" t="inlineStr">
        <is>
          <t>CÔNG TY CỔ PHẦN ĐẦU TƯ VÀ XÂY DỰNG SGC</t>
        </is>
      </c>
      <c r="E10873" t="inlineStr">
        <is>
          <t>$$ 1,500-2,000 /tháng</t>
        </is>
      </c>
      <c r="F10873" t="inlineStr">
        <is>
          <t>Hà Nội, Hồ Chí Minh</t>
        </is>
      </c>
      <c r="G10873" t="inlineStr">
        <is>
          <t>Nhân viên</t>
        </is>
      </c>
      <c r="H10873" t="inlineStr">
        <is>
          <t>13/03/2026</t>
        </is>
      </c>
      <c r="I10873" t="inlineStr">
        <is>
          <t>12/04/2026</t>
        </is>
      </c>
      <c r="J10873" t="inlineStr">
        <is>
          <t>17/03/2026</t>
        </is>
      </c>
      <c r="K10873" t="inlineStr">
        <is>
          <t>N/A</t>
        </is>
      </c>
      <c r="L10873" t="inlineStr">
        <is>
          <t>Trắc Địa Công Trình, HSE, An Toàn Lao Động, Kỹ Thuật Trắc Địa, Thiết Bị Trắc Địa</t>
        </is>
      </c>
      <c r="M10873" t="inlineStr">
        <is>
          <t>Bonus, Training, Awards</t>
        </is>
      </c>
      <c r="N10873" s="8">
        <f>HYPERLINK("https://www.vietnamworks.com/can-bo-giam-sat-duong-sat-toc-do-cao-trac-dia-an-toan-lao-dong--2023263-jv","Xem chi tiết")</f>
        <v/>
      </c>
    </row>
    <row r="10874">
      <c r="B10874" s="9" t="n">
        <v>10872</v>
      </c>
      <c r="C10874" s="10" t="inlineStr">
        <is>
          <t>Giám Đốc Dự Án</t>
        </is>
      </c>
      <c r="D10874" s="10" t="inlineStr">
        <is>
          <t>Công Ty Cổ Phần Bất Động Sản BHS</t>
        </is>
      </c>
      <c r="E10874" s="10" t="inlineStr">
        <is>
          <t>Tới 20tr ₫/tháng</t>
        </is>
      </c>
      <c r="F10874" s="10" t="inlineStr">
        <is>
          <t>Hà Nội</t>
        </is>
      </c>
      <c r="G10874" s="10" t="inlineStr">
        <is>
          <t>Giám Đốc và Cấp Cao Hơn</t>
        </is>
      </c>
      <c r="H10874" s="10" t="inlineStr">
        <is>
          <t>13/03/2026</t>
        </is>
      </c>
      <c r="I10874" s="10" t="inlineStr">
        <is>
          <t>12/04/2026</t>
        </is>
      </c>
      <c r="J10874" s="10" t="inlineStr">
        <is>
          <t>17/03/2026</t>
        </is>
      </c>
      <c r="K10874" s="10" t="inlineStr">
        <is>
          <t>N/A</t>
        </is>
      </c>
      <c r="L10874" s="10" t="inlineStr">
        <is>
          <t>Bất Động Sản, Project Management, Project Management Support, Quản Lý Dự Án, Xây Dựng</t>
        </is>
      </c>
      <c r="M10874" s="10" t="inlineStr">
        <is>
          <t>Bonus, Healthcare Plan, Paid Leave, Training, Travel Opportunities, Others</t>
        </is>
      </c>
      <c r="N10874" s="11">
        <f>HYPERLINK("https://www.vietnamworks.com/giam-djoc-du-an-2023249-jv","Xem chi tiết")</f>
        <v/>
      </c>
      <c r="O10874" s="10" t="n"/>
    </row>
    <row r="10875">
      <c r="B10875" s="7" t="n">
        <v>10873</v>
      </c>
      <c r="C10875" t="inlineStr">
        <is>
          <t>Chuyên Viên Kế Hoạch Kỹ Thuật</t>
        </is>
      </c>
      <c r="D10875" t="inlineStr">
        <is>
          <t>CÔNG TY CỔ PHẦN ĐẦU TƯ VÀ XÂY DỰNG SGC</t>
        </is>
      </c>
      <c r="E10875" t="inlineStr">
        <is>
          <t>$$ 1,200-1,600 /tháng</t>
        </is>
      </c>
      <c r="F10875" t="inlineStr">
        <is>
          <t>Hồ Chí Minh, Hà Nội</t>
        </is>
      </c>
      <c r="G10875" t="inlineStr">
        <is>
          <t>Nhân viên</t>
        </is>
      </c>
      <c r="H10875" t="inlineStr">
        <is>
          <t>13/03/2026</t>
        </is>
      </c>
      <c r="I10875" t="inlineStr">
        <is>
          <t>12/04/2026</t>
        </is>
      </c>
      <c r="J10875" t="inlineStr">
        <is>
          <t>17/03/2026</t>
        </is>
      </c>
      <c r="K10875" t="inlineStr">
        <is>
          <t>N/A</t>
        </is>
      </c>
      <c r="L10875" t="inlineStr">
        <is>
          <t>Kế Hoạch Xây Lắp, Quản Lý Thi Công, Quản Lý Dự Án, Bất Động Sản, Kế Hoạch Dự Báo</t>
        </is>
      </c>
      <c r="M10875" t="inlineStr">
        <is>
          <t>Bonus, Training, Awards</t>
        </is>
      </c>
      <c r="N10875" s="8">
        <f>HYPERLINK("https://www.vietnamworks.com/chuyen-vien-ke-hoach-ky-thuat--2023256-jv","Xem chi tiết")</f>
        <v/>
      </c>
    </row>
    <row r="10876">
      <c r="B10876" s="9" t="n">
        <v>10874</v>
      </c>
      <c r="C10876" s="10" t="inlineStr">
        <is>
          <t>Customer Service Lead/ Trưởng Nhóm CSKH</t>
        </is>
      </c>
      <c r="D10876" s="10" t="inlineStr">
        <is>
          <t>Công Ty TNHH Lighting Saigon</t>
        </is>
      </c>
      <c r="E10876" s="10" t="inlineStr">
        <is>
          <t>Thương lượng</t>
        </is>
      </c>
      <c r="F10876" s="10" t="inlineStr">
        <is>
          <t>Bình Dương</t>
        </is>
      </c>
      <c r="G10876" s="10" t="inlineStr">
        <is>
          <t>Trưởng phòng</t>
        </is>
      </c>
      <c r="H10876" s="10" t="inlineStr">
        <is>
          <t>13/03/2026</t>
        </is>
      </c>
      <c r="I10876" s="10" t="inlineStr">
        <is>
          <t>12/04/2026</t>
        </is>
      </c>
      <c r="J10876" s="10" t="inlineStr">
        <is>
          <t>17/03/2026</t>
        </is>
      </c>
      <c r="K10876" s="10" t="inlineStr">
        <is>
          <t>N/A</t>
        </is>
      </c>
      <c r="L10876" s="10" t="inlineStr">
        <is>
          <t>Báo Giá, Phát Triển Khách Hàng, Phát Triển Sản Phẩm, Quản Lý Khách Hàng, Xử Lý Đơn Hàng</t>
        </is>
      </c>
      <c r="M10876" s="10" t="inlineStr">
        <is>
          <t>Bonus, Healthcare Plan, Team Activities, Others</t>
        </is>
      </c>
      <c r="N10876" s="11">
        <f>HYPERLINK("https://www.vietnamworks.com/customer-service-lead-truong-nhom-cskh-2023264-jv","Xem chi tiết")</f>
        <v/>
      </c>
      <c r="O10876" s="10" t="n"/>
    </row>
    <row r="10877">
      <c r="B10877" s="7" t="n">
        <v>10875</v>
      </c>
      <c r="C10877" t="inlineStr">
        <is>
          <t>Chuyên Viên Thanh Quyết Toán (Settlement Specialist)</t>
        </is>
      </c>
      <c r="D10877" t="inlineStr">
        <is>
          <t>CÔNG TY CỔ PHẦN ĐẦU TƯ VÀ XÂY DỰNG SGC</t>
        </is>
      </c>
      <c r="E10877" t="inlineStr">
        <is>
          <t>Thương lượng</t>
        </is>
      </c>
      <c r="F10877" t="inlineStr">
        <is>
          <t>Hà Nội, Hồ Chí Minh, Thanh Hóa</t>
        </is>
      </c>
      <c r="G10877" t="inlineStr">
        <is>
          <t>Nhân viên</t>
        </is>
      </c>
      <c r="H10877" t="inlineStr">
        <is>
          <t>13/03/2026</t>
        </is>
      </c>
      <c r="I10877" t="inlineStr">
        <is>
          <t>12/04/2026</t>
        </is>
      </c>
      <c r="J10877" t="inlineStr">
        <is>
          <t>17/03/2026</t>
        </is>
      </c>
      <c r="K10877" t="inlineStr">
        <is>
          <t>N/A</t>
        </is>
      </c>
      <c r="L10877" t="inlineStr">
        <is>
          <t>Xây Dựng, Civil Construction, Nghiệm Thu, Kinh Tế Xây Dựng, Thanh Quyết Toán</t>
        </is>
      </c>
      <c r="M10877" t="inlineStr">
        <is>
          <t>Bonus, Training, Awards</t>
        </is>
      </c>
      <c r="N10877" s="8">
        <f>HYPERLINK("https://www.vietnamworks.com/chuyen-vien-thanh-quyet-toan-settlement-specialist--2023258-jv","Xem chi tiết")</f>
        <v/>
      </c>
    </row>
    <row r="10878">
      <c r="B10878" s="9" t="n">
        <v>10876</v>
      </c>
      <c r="C10878" s="10" t="inlineStr">
        <is>
          <t>Trưởng Ban Quản Lý Dự Án Mường Hoa</t>
        </is>
      </c>
      <c r="D10878" s="10" t="inlineStr">
        <is>
          <t>Alphanam Group</t>
        </is>
      </c>
      <c r="E10878" s="10" t="inlineStr">
        <is>
          <t>Thương lượng</t>
        </is>
      </c>
      <c r="F10878" s="10" t="inlineStr">
        <is>
          <t>Lào Cai</t>
        </is>
      </c>
      <c r="G10878" s="10" t="inlineStr">
        <is>
          <t>Giám Đốc và Cấp Cao Hơn</t>
        </is>
      </c>
      <c r="H10878" s="10" t="inlineStr">
        <is>
          <t>13/03/2026</t>
        </is>
      </c>
      <c r="I10878" s="10" t="inlineStr">
        <is>
          <t>12/04/2026</t>
        </is>
      </c>
      <c r="J10878" s="10" t="inlineStr">
        <is>
          <t>17/03/2026</t>
        </is>
      </c>
      <c r="K10878" s="10" t="inlineStr">
        <is>
          <t>N/A</t>
        </is>
      </c>
      <c r="L10878" s="10" t="inlineStr">
        <is>
          <t>Quản Lý Dự Án, Xây Dựng, Khách Sạn &amp; Nhà Hàng</t>
        </is>
      </c>
      <c r="M10878" s="10" t="inlineStr">
        <is>
          <t>Bonus, Training, Travel Opportunities</t>
        </is>
      </c>
      <c r="N10878" s="11">
        <f>HYPERLINK("https://www.vietnamworks.com/truong-ban-quan-ly-du-an-muong-hoa--2023265-jv","Xem chi tiết")</f>
        <v/>
      </c>
      <c r="O10878" s="10" t="n"/>
    </row>
    <row r="10879">
      <c r="B10879" s="7" t="n">
        <v>10877</v>
      </c>
      <c r="C10879" t="inlineStr">
        <is>
          <t>Kế Toán Nội Bộ</t>
        </is>
      </c>
      <c r="D10879" t="inlineStr">
        <is>
          <t>CÔNG TY TNHH LIÊN SƠN LOGISTICS</t>
        </is>
      </c>
      <c r="E10879" t="inlineStr">
        <is>
          <t>Từ 9tr ₫/tháng</t>
        </is>
      </c>
      <c r="F10879" t="inlineStr">
        <is>
          <t>Hồ Chí Minh</t>
        </is>
      </c>
      <c r="G10879" t="inlineStr">
        <is>
          <t>Nhân viên</t>
        </is>
      </c>
      <c r="H10879" t="inlineStr">
        <is>
          <t>13/03/2026</t>
        </is>
      </c>
      <c r="I10879" t="inlineStr">
        <is>
          <t>12/04/2026</t>
        </is>
      </c>
      <c r="J10879" t="inlineStr">
        <is>
          <t>17/03/2026</t>
        </is>
      </c>
      <c r="K10879" t="inlineStr">
        <is>
          <t>N/A</t>
        </is>
      </c>
      <c r="L10879" t="inlineStr">
        <is>
          <t>Hạch Toán, MISA, Tài Chính Kế Toán, Quản Lý Chứng Từ, Theo Dõi Công Nợ</t>
        </is>
      </c>
      <c r="M10879" t="inlineStr">
        <is>
          <t>Bonus, Healthcare Plan, Others</t>
        </is>
      </c>
      <c r="N10879" s="8">
        <f>HYPERLINK("https://www.vietnamworks.com/ke-toan-noi-bo-2023253-jv","Xem chi tiết")</f>
        <v/>
      </c>
    </row>
    <row r="10880">
      <c r="B10880" s="9" t="n">
        <v>10878</v>
      </c>
      <c r="C10880" s="10" t="inlineStr">
        <is>
          <t>Cán Bộ Kỹ Thuật &amp; Biện Pháp Thi Công (Cầu, Hầm, Kết Cấu)</t>
        </is>
      </c>
      <c r="D10880" s="10" t="inlineStr">
        <is>
          <t>CÔNG TY CỔ PHẦN ĐẦU TƯ VÀ XÂY DỰNG SGC</t>
        </is>
      </c>
      <c r="E10880" s="10" t="inlineStr">
        <is>
          <t>$$ 1,200-1,500 /tháng</t>
        </is>
      </c>
      <c r="F10880" s="10" t="inlineStr">
        <is>
          <t>Hưng Yên</t>
        </is>
      </c>
      <c r="G10880" s="10" t="inlineStr">
        <is>
          <t>Nhân viên</t>
        </is>
      </c>
      <c r="H10880" s="10" t="inlineStr">
        <is>
          <t>13/03/2026</t>
        </is>
      </c>
      <c r="I10880" s="10" t="inlineStr">
        <is>
          <t>12/04/2026</t>
        </is>
      </c>
      <c r="J10880" s="10" t="inlineStr">
        <is>
          <t>17/03/2026</t>
        </is>
      </c>
      <c r="K10880" s="10" t="inlineStr">
        <is>
          <t>N/A</t>
        </is>
      </c>
      <c r="L10880" s="10" t="inlineStr">
        <is>
          <t>Plaxis, Project Managing, Etabs, BIM, Kỹ Thuật Cầu Đường</t>
        </is>
      </c>
      <c r="M10880" s="10" t="inlineStr">
        <is>
          <t>Bonus, Training, Awards</t>
        </is>
      </c>
      <c r="N10880" s="11">
        <f>HYPERLINK("https://www.vietnamworks.com/can-bo-ky-thuat-bien-phap-thi-cong-cau-ham-ket-cau--2023260-jv","Xem chi tiết")</f>
        <v/>
      </c>
      <c r="O10880" s="10" t="n"/>
    </row>
    <row r="10881">
      <c r="B10881" s="7" t="n">
        <v>10879</v>
      </c>
      <c r="C10881" t="inlineStr">
        <is>
          <t>ERP Application Support (Epicor Preferred)</t>
        </is>
      </c>
      <c r="D10881" t="inlineStr">
        <is>
          <t>Công Ty TNHH Therm- X System Việt Nam Technology</t>
        </is>
      </c>
      <c r="E10881" t="inlineStr">
        <is>
          <t>Thương lượng</t>
        </is>
      </c>
      <c r="F10881" t="inlineStr">
        <is>
          <t>Bình Dương, Hồ Chí Minh</t>
        </is>
      </c>
      <c r="G10881" t="inlineStr">
        <is>
          <t>Nhân viên</t>
        </is>
      </c>
      <c r="H10881" t="inlineStr">
        <is>
          <t>13/03/2026</t>
        </is>
      </c>
      <c r="I10881" t="inlineStr">
        <is>
          <t>12/04/2026</t>
        </is>
      </c>
      <c r="J10881" t="inlineStr">
        <is>
          <t>17/03/2026</t>
        </is>
      </c>
      <c r="K10881" t="inlineStr">
        <is>
          <t>N/A</t>
        </is>
      </c>
      <c r="L10881" t="inlineStr">
        <is>
          <t>Core ERP, SQL Server, Database Development, Application Support, Problem Solving</t>
        </is>
      </c>
      <c r="M10881" t="inlineStr">
        <is>
          <t>Bonus, Healthcare Plan, Paid Leave, Training, Others</t>
        </is>
      </c>
      <c r="N10881" s="8">
        <f>HYPERLINK("https://www.vietnamworks.com/erp-application-support-epicor-preferred-2023254-jv","Xem chi tiết")</f>
        <v/>
      </c>
    </row>
    <row r="10882">
      <c r="B10882" s="9" t="n">
        <v>10880</v>
      </c>
      <c r="C10882" s="10" t="inlineStr">
        <is>
          <t>Kế Toán Tổng Hợp</t>
        </is>
      </c>
      <c r="D10882" s="10" t="inlineStr">
        <is>
          <t>LAWPLUS</t>
        </is>
      </c>
      <c r="E10882" s="10" t="inlineStr">
        <is>
          <t>Từ 15tr ₫/tháng</t>
        </is>
      </c>
      <c r="F10882" s="10" t="inlineStr">
        <is>
          <t>Hồ Chí Minh</t>
        </is>
      </c>
      <c r="G10882" s="10" t="inlineStr">
        <is>
          <t>Nhân viên</t>
        </is>
      </c>
      <c r="H10882" s="10" t="inlineStr">
        <is>
          <t>13/03/2026</t>
        </is>
      </c>
      <c r="I10882" s="10" t="inlineStr">
        <is>
          <t>12/04/2026</t>
        </is>
      </c>
      <c r="J10882" s="10" t="inlineStr">
        <is>
          <t>17/03/2026</t>
        </is>
      </c>
      <c r="K10882" s="10" t="inlineStr">
        <is>
          <t>N/A</t>
        </is>
      </c>
      <c r="L10882" s="10" t="inlineStr">
        <is>
          <t>Quản Lý Kế Toán, Kê Khai Thuế, Nghiệp Vụ Kế Toán, General Accountant, Kế Toán Tổng Hợp</t>
        </is>
      </c>
      <c r="M10882" s="10" t="inlineStr">
        <is>
          <t>Bonus, Healthcare Plan, Laptop, Others</t>
        </is>
      </c>
      <c r="N10882" s="11">
        <f>HYPERLINK("https://www.vietnamworks.com/ke-toan-tong-hop-2023275-jv","Xem chi tiết")</f>
        <v/>
      </c>
      <c r="O10882" s="10" t="n"/>
    </row>
    <row r="10883">
      <c r="B10883" s="7" t="n">
        <v>10881</v>
      </c>
      <c r="C10883" t="inlineStr">
        <is>
          <t>Piping Engineer (Kỹ Sư Đường Ống)</t>
        </is>
      </c>
      <c r="D10883" t="inlineStr">
        <is>
          <t>Intes Co., Ltd</t>
        </is>
      </c>
      <c r="E10883" t="inlineStr">
        <is>
          <t>Thương lượng</t>
        </is>
      </c>
      <c r="F10883" t="inlineStr">
        <is>
          <t>Hồ Chí Minh</t>
        </is>
      </c>
      <c r="G10883" t="inlineStr">
        <is>
          <t>Nhân viên</t>
        </is>
      </c>
      <c r="H10883" t="inlineStr">
        <is>
          <t>13/03/2026</t>
        </is>
      </c>
      <c r="I10883" t="inlineStr">
        <is>
          <t>12/04/2026</t>
        </is>
      </c>
      <c r="J10883" t="inlineStr">
        <is>
          <t>17/03/2026</t>
        </is>
      </c>
      <c r="K10883" t="inlineStr">
        <is>
          <t>N/A</t>
        </is>
      </c>
      <c r="L10883" t="inlineStr">
        <is>
          <t>PDMS, ASME, ASTM, Autodesk Navisworks, AutoCAD Plant 3D</t>
        </is>
      </c>
      <c r="M10883" t="inlineStr">
        <is>
          <t>Bonus, Healthcare Plan, Training</t>
        </is>
      </c>
      <c r="N10883" s="8">
        <f>HYPERLINK("https://www.vietnamworks.com/piping-engineer-ky-su-duong-ong-2023268-jv","Xem chi tiết")</f>
        <v/>
      </c>
    </row>
    <row r="10884">
      <c r="B10884" s="9" t="n">
        <v>10882</v>
      </c>
      <c r="C10884" s="10" t="inlineStr">
        <is>
          <t>Chuyên Viên Phát Triển Thị Trường (Market Development Specialist)</t>
        </is>
      </c>
      <c r="D10884" s="10" t="inlineStr">
        <is>
          <t>CÔNG TY TNHH KARMA MOBILITY VIỆT NAM</t>
        </is>
      </c>
      <c r="E10884" s="10" t="inlineStr">
        <is>
          <t>Thương lượng</t>
        </is>
      </c>
      <c r="F10884" s="10" t="inlineStr">
        <is>
          <t>Hồ Chí Minh</t>
        </is>
      </c>
      <c r="G10884" s="10" t="inlineStr">
        <is>
          <t>Nhân viên</t>
        </is>
      </c>
      <c r="H10884" s="10" t="inlineStr">
        <is>
          <t>13/03/2026</t>
        </is>
      </c>
      <c r="I10884" s="10" t="inlineStr">
        <is>
          <t>12/04/2026</t>
        </is>
      </c>
      <c r="J10884" s="10" t="inlineStr">
        <is>
          <t>17/03/2026</t>
        </is>
      </c>
      <c r="K10884" s="10" t="inlineStr">
        <is>
          <t>N/A</t>
        </is>
      </c>
      <c r="L10884" s="10" t="inlineStr">
        <is>
          <t>Thiết Bị Y Tế, Phát Triển Kinh Doanh, Tìm Kiếm Khách Hàng, Sales, Kinh Doanh</t>
        </is>
      </c>
      <c r="M10884" s="10" t="inlineStr">
        <is>
          <t>Bonus, Healthcare Plan, Training</t>
        </is>
      </c>
      <c r="N10884" s="11">
        <f>HYPERLINK("https://www.vietnamworks.com/chuyen-vien-phat-trien-thi-truong-market-development-specialist--2023266-jv","Xem chi tiết")</f>
        <v/>
      </c>
      <c r="O10884" s="10" t="n"/>
    </row>
    <row r="10885">
      <c r="B10885" s="7" t="n">
        <v>10883</v>
      </c>
      <c r="C10885" t="inlineStr">
        <is>
          <t>Thực Tập Sinh Sales Admin (Ưu Tiên Khối Ngành Kinh Tế - Tài Chính - Kế Toán)</t>
        </is>
      </c>
      <c r="D10885" t="inlineStr">
        <is>
          <t>Công Ty TNHH Công Nghệ Nhất Minh (Nmtech CO., LTD)</t>
        </is>
      </c>
      <c r="E10885" t="inlineStr">
        <is>
          <t>Thương lượng</t>
        </is>
      </c>
      <c r="F10885" t="inlineStr">
        <is>
          <t>Hà Nội</t>
        </is>
      </c>
      <c r="G10885" t="inlineStr">
        <is>
          <t>Thực tập sinh/Sinh viên</t>
        </is>
      </c>
      <c r="H10885" t="inlineStr">
        <is>
          <t>13/03/2026</t>
        </is>
      </c>
      <c r="I10885" t="inlineStr">
        <is>
          <t>12/04/2026</t>
        </is>
      </c>
      <c r="J10885" t="inlineStr">
        <is>
          <t>17/03/2026</t>
        </is>
      </c>
      <c r="K10885" t="inlineStr">
        <is>
          <t>N/A</t>
        </is>
      </c>
      <c r="L10885" t="inlineStr">
        <is>
          <t>Soạn Thảo Văn Bản, Sales Admin, Tin Học Văn Phòng, Theo Dõi Công Nợ, Tiếng Anh</t>
        </is>
      </c>
      <c r="M10885" t="inlineStr">
        <is>
          <t>Bonus, Training, Travel Opportunities</t>
        </is>
      </c>
      <c r="N10885" s="8">
        <f>HYPERLINK("https://www.vietnamworks.com/thuc-tap-sinh-sales-admin-uu-tien-khoi-nganh-kinh-te-tai-chinh-ke-toan-2023280-jv","Xem chi tiết")</f>
        <v/>
      </c>
    </row>
    <row r="10886">
      <c r="B10886" s="9" t="n">
        <v>10884</v>
      </c>
      <c r="C10886" s="10" t="inlineStr">
        <is>
          <t>Art Director</t>
        </is>
      </c>
      <c r="D10886" s="10" t="inlineStr">
        <is>
          <t>Công ty TNHH MT Cosmetics</t>
        </is>
      </c>
      <c r="E10886" s="10" t="inlineStr">
        <is>
          <t>$$ 1,000-2,000 /tháng</t>
        </is>
      </c>
      <c r="F10886" s="10" t="inlineStr">
        <is>
          <t>Hồ Chí Minh</t>
        </is>
      </c>
      <c r="G10886" s="10" t="inlineStr">
        <is>
          <t>Trưởng phòng</t>
        </is>
      </c>
      <c r="H10886" s="10" t="inlineStr">
        <is>
          <t>13/03/2026</t>
        </is>
      </c>
      <c r="I10886" s="10" t="inlineStr">
        <is>
          <t>12/04/2026</t>
        </is>
      </c>
      <c r="J10886" s="10" t="inlineStr">
        <is>
          <t>17/03/2026</t>
        </is>
      </c>
      <c r="K10886" s="10" t="inlineStr">
        <is>
          <t>N/A</t>
        </is>
      </c>
      <c r="L10886" s="10" t="inlineStr">
        <is>
          <t>Graphic Design, Art Graphic Design, Art Direction, Adobe Photoshop, Adobe Illustrator</t>
        </is>
      </c>
      <c r="M10886" s="10" t="inlineStr">
        <is>
          <t>Bonus</t>
        </is>
      </c>
      <c r="N10886" s="11">
        <f>HYPERLINK("https://www.vietnamworks.com/art-director--2023276-jv","Xem chi tiết")</f>
        <v/>
      </c>
      <c r="O10886" s="10" t="n"/>
    </row>
    <row r="10887">
      <c r="B10887" s="7" t="n">
        <v>10885</v>
      </c>
      <c r="C10887" t="inlineStr">
        <is>
          <t>Senior Talent Acquisition Specialist</t>
        </is>
      </c>
      <c r="D10887" t="inlineStr">
        <is>
          <t>Advanta Digital Lab</t>
        </is>
      </c>
      <c r="E10887" t="inlineStr">
        <is>
          <t>Thương lượng</t>
        </is>
      </c>
      <c r="F10887" t="inlineStr">
        <is>
          <t>Hồ Chí Minh</t>
        </is>
      </c>
      <c r="G10887" t="inlineStr">
        <is>
          <t>Nhân viên</t>
        </is>
      </c>
      <c r="H10887" t="inlineStr">
        <is>
          <t>13/03/2026</t>
        </is>
      </c>
      <c r="I10887" t="inlineStr">
        <is>
          <t>12/04/2026</t>
        </is>
      </c>
      <c r="J10887" t="inlineStr">
        <is>
          <t>17/03/2026</t>
        </is>
      </c>
      <c r="K10887" t="inlineStr">
        <is>
          <t>N/A</t>
        </is>
      </c>
      <c r="L10887" t="inlineStr">
        <is>
          <t>Talent Acquisition, Talent Hunting, Talent Sourcing</t>
        </is>
      </c>
      <c r="M10887" t="inlineStr">
        <is>
          <t>Bonus, Healthcare Plan, Paid Leave</t>
        </is>
      </c>
      <c r="N10887" s="8">
        <f>HYPERLINK("https://www.vietnamworks.com/senior-talent-acquisition-specialist--2023285-jv","Xem chi tiết")</f>
        <v/>
      </c>
    </row>
    <row r="10888">
      <c r="B10888" s="9" t="n">
        <v>10886</v>
      </c>
      <c r="C10888" s="10" t="inlineStr">
        <is>
          <t>Tuyển Gấp Kế Toán Thuế (15M/tháng)</t>
        </is>
      </c>
      <c r="D10888" s="10" t="inlineStr">
        <is>
          <t>Công Ty Cổ Phần Thực Phẩm Dinh Dưỡng NutriNest</t>
        </is>
      </c>
      <c r="E10888" s="10" t="inlineStr">
        <is>
          <t>14tr-15tr ₫/tháng</t>
        </is>
      </c>
      <c r="F10888" s="10" t="inlineStr">
        <is>
          <t>Hồ Chí Minh</t>
        </is>
      </c>
      <c r="G10888" s="10" t="inlineStr">
        <is>
          <t>Nhân viên</t>
        </is>
      </c>
      <c r="H10888" s="10" t="inlineStr">
        <is>
          <t>13/03/2026</t>
        </is>
      </c>
      <c r="I10888" s="10" t="inlineStr">
        <is>
          <t>12/04/2026</t>
        </is>
      </c>
      <c r="J10888" s="10" t="inlineStr">
        <is>
          <t>17/03/2026</t>
        </is>
      </c>
      <c r="K10888" s="10" t="inlineStr">
        <is>
          <t>N/A</t>
        </is>
      </c>
      <c r="L10888" s="10" t="inlineStr">
        <is>
          <t>Excel, Kế Toán Thuế, Lưu Trữ Chứng Từ, SAP</t>
        </is>
      </c>
      <c r="M10888" s="10" t="inlineStr">
        <is>
          <t>Bonus, Travel Opportunities, Others</t>
        </is>
      </c>
      <c r="N10888" s="11">
        <f>HYPERLINK("https://www.vietnamworks.com/tuyen-gap-ke-toan-thue-15m-thang-2023279-jv","Xem chi tiết")</f>
        <v/>
      </c>
      <c r="O10888" s="10" t="n"/>
    </row>
    <row r="10889">
      <c r="B10889" s="7" t="n">
        <v>10887</v>
      </c>
      <c r="C10889" t="inlineStr">
        <is>
          <t>Nhân Viên Kinh Doanh Giải Pháp Công Nghệ (B2B Sales) - Thu Nhập Cạnh Tranh $500 - $1000</t>
        </is>
      </c>
      <c r="D10889" t="inlineStr">
        <is>
          <t>Công ty TNHH Upviet</t>
        </is>
      </c>
      <c r="E10889" t="inlineStr">
        <is>
          <t>$$ 500-1,000 /tháng</t>
        </is>
      </c>
      <c r="F10889" t="inlineStr">
        <is>
          <t>Hà Nội</t>
        </is>
      </c>
      <c r="G10889" t="inlineStr">
        <is>
          <t>Nhân viên</t>
        </is>
      </c>
      <c r="H10889" t="inlineStr">
        <is>
          <t>13/03/2026</t>
        </is>
      </c>
      <c r="I10889" t="inlineStr">
        <is>
          <t>12/04/2026</t>
        </is>
      </c>
      <c r="J10889" t="inlineStr">
        <is>
          <t>17/03/2026</t>
        </is>
      </c>
      <c r="K10889" t="inlineStr">
        <is>
          <t>N/A</t>
        </is>
      </c>
      <c r="L10889" t="inlineStr">
        <is>
          <t>Kinh Doanh B2B, Market Analysis, Bán hàng, Phát Triển Thị Trường, Sales Development</t>
        </is>
      </c>
      <c r="M10889" t="inlineStr">
        <is>
          <t>Bonus, Healthcare Plan, Training, Others</t>
        </is>
      </c>
      <c r="N10889" s="8">
        <f>HYPERLINK("https://www.vietnamworks.com/nhan-vien-kinh-doanh-giai-phap-cong-nghe-b2b-sales-thu-nhap-canh-tranh-500-1000-2023272-jv","Xem chi tiết")</f>
        <v/>
      </c>
    </row>
    <row r="10890">
      <c r="B10890" s="9" t="n">
        <v>10888</v>
      </c>
      <c r="C10890" s="10" t="inlineStr">
        <is>
          <t>Nhân Viên Kỹ Thuật CAD / CAM / CAE (Application Engineer) - Thu Nhập Cạnh Tranh $500 - $1000</t>
        </is>
      </c>
      <c r="D10890" s="10" t="inlineStr">
        <is>
          <t>Công ty TNHH Upviet</t>
        </is>
      </c>
      <c r="E10890" s="10" t="inlineStr">
        <is>
          <t>$$ 500-1,000 /tháng</t>
        </is>
      </c>
      <c r="F10890" s="10" t="inlineStr">
        <is>
          <t>Hà Nội</t>
        </is>
      </c>
      <c r="G10890" s="10" t="inlineStr">
        <is>
          <t>Nhân viên</t>
        </is>
      </c>
      <c r="H10890" s="10" t="inlineStr">
        <is>
          <t>13/03/2026</t>
        </is>
      </c>
      <c r="I10890" s="10" t="inlineStr">
        <is>
          <t>12/04/2026</t>
        </is>
      </c>
      <c r="J10890" s="10" t="inlineStr">
        <is>
          <t>17/03/2026</t>
        </is>
      </c>
      <c r="K10890" s="10" t="inlineStr">
        <is>
          <t>N/A</t>
        </is>
      </c>
      <c r="L10890" s="10" t="inlineStr">
        <is>
          <t>cad, CAE, CAM, Cơ Điện Tử, Điều Khiển Tự Động</t>
        </is>
      </c>
      <c r="M10890" s="10" t="inlineStr">
        <is>
          <t>Bonus, Healthcare Plan, Training, Others</t>
        </is>
      </c>
      <c r="N10890" s="11">
        <f>HYPERLINK("https://www.vietnamworks.com/nhan-vien-ky-thuat-cad-cam-cae-application-engineer-thu-nhap-canh-tranh-500-1000-2023274-jv","Xem chi tiết")</f>
        <v/>
      </c>
      <c r="O10890" s="10" t="n"/>
    </row>
    <row r="10891">
      <c r="B10891" s="7" t="n">
        <v>10889</v>
      </c>
      <c r="C10891" t="inlineStr">
        <is>
          <t>[Gấp] Kế Toán Tổng Hợp - (18 Triệu - 25 Triệu/tháng)</t>
        </is>
      </c>
      <c r="D10891" t="inlineStr">
        <is>
          <t>Công Ty CP Thực Phẩm Xuất Nhập Khẩu NatuFood</t>
        </is>
      </c>
      <c r="E10891" t="inlineStr">
        <is>
          <t>18tr-25tr ₫/tháng</t>
        </is>
      </c>
      <c r="F10891" t="inlineStr">
        <is>
          <t>Hà Nội</t>
        </is>
      </c>
      <c r="G10891" t="inlineStr">
        <is>
          <t>Nhân viên</t>
        </is>
      </c>
      <c r="H10891" t="inlineStr">
        <is>
          <t>13/03/2026</t>
        </is>
      </c>
      <c r="I10891" t="inlineStr">
        <is>
          <t>12/04/2026</t>
        </is>
      </c>
      <c r="J10891" t="inlineStr">
        <is>
          <t>17/03/2026</t>
        </is>
      </c>
      <c r="K10891" t="inlineStr">
        <is>
          <t>N/A</t>
        </is>
      </c>
      <c r="L10891" t="inlineStr">
        <is>
          <t>Kiểm Soát Công Nợ, Thuế, Hạch Toán, Báo Cáo Tài Chính, Kế Toán Thuế</t>
        </is>
      </c>
      <c r="M10891" t="inlineStr">
        <is>
          <t>Bonus, Healthcare Plan, Training, Travel Opportunities, Team Activities, Others</t>
        </is>
      </c>
      <c r="N10891" s="8">
        <f>HYPERLINK("https://www.vietnamworks.com/gap-ke-toan-tong-hop-18-trieu-25-trieuthang-2023281-jv","Xem chi tiết")</f>
        <v/>
      </c>
    </row>
    <row r="10892">
      <c r="B10892" s="9" t="n">
        <v>10890</v>
      </c>
      <c r="C10892" s="10" t="inlineStr">
        <is>
          <t>Kiến Trúc Sư - Đi Làm Ngay</t>
        </is>
      </c>
      <c r="D10892" s="10" t="inlineStr">
        <is>
          <t>Công Ty TNHH Làm Nhà Việt</t>
        </is>
      </c>
      <c r="E10892" s="10" t="inlineStr">
        <is>
          <t>18tr-30tr ₫/tháng</t>
        </is>
      </c>
      <c r="F10892" s="10" t="inlineStr">
        <is>
          <t>Hà Nội</t>
        </is>
      </c>
      <c r="G10892" s="10" t="inlineStr">
        <is>
          <t>Nhân viên</t>
        </is>
      </c>
      <c r="H10892" s="10" t="inlineStr">
        <is>
          <t>13/03/2026</t>
        </is>
      </c>
      <c r="I10892" s="10" t="inlineStr">
        <is>
          <t>12/04/2026</t>
        </is>
      </c>
      <c r="J10892" s="10" t="inlineStr">
        <is>
          <t>17/03/2026</t>
        </is>
      </c>
      <c r="K10892" s="10" t="inlineStr">
        <is>
          <t>N/A</t>
        </is>
      </c>
      <c r="L10892" s="10" t="inlineStr">
        <is>
          <t>AutoCAD, Revit, Sketchup, kiến trúc sư, Kiến Trúc</t>
        </is>
      </c>
      <c r="M10892" s="10" t="inlineStr">
        <is>
          <t>Bonus, Healthcare Plan, Travel Opportunities, Others</t>
        </is>
      </c>
      <c r="N10892" s="11">
        <f>HYPERLINK("https://www.vietnamworks.com/kien-truc-su-dji-lam-ngay-2023283-jv","Xem chi tiết")</f>
        <v/>
      </c>
      <c r="O10892" s="10" t="n"/>
    </row>
    <row r="10893">
      <c r="B10893" s="7" t="n">
        <v>10891</v>
      </c>
      <c r="C10893" t="inlineStr">
        <is>
          <t>06 Kỹ Sư Kỹ Thuật</t>
        </is>
      </c>
      <c r="D10893" t="inlineStr">
        <is>
          <t>TNHH Sản Xuất Thiết Bị Viễn Thông</t>
        </is>
      </c>
      <c r="E10893" t="inlineStr">
        <is>
          <t>Thương lượng</t>
        </is>
      </c>
      <c r="F10893" t="inlineStr">
        <is>
          <t>Hồ Chí Minh</t>
        </is>
      </c>
      <c r="G10893" t="inlineStr">
        <is>
          <t>Nhân viên</t>
        </is>
      </c>
      <c r="H10893" t="inlineStr">
        <is>
          <t>13/03/2026</t>
        </is>
      </c>
      <c r="I10893" t="inlineStr">
        <is>
          <t>12/04/2026</t>
        </is>
      </c>
      <c r="J10893" t="inlineStr">
        <is>
          <t>17/03/2026</t>
        </is>
      </c>
      <c r="K10893" t="inlineStr">
        <is>
          <t>N/A</t>
        </is>
      </c>
      <c r="L10893" t="inlineStr">
        <is>
          <t>Triển Khai Kỹ Thuật, Lắp Đặt Thiết Bị, LAN, Xử Lý Sự Cố, CCTV</t>
        </is>
      </c>
      <c r="M10893" t="inlineStr">
        <is>
          <t>Bonus, Healthcare Plan, Team Activities</t>
        </is>
      </c>
      <c r="N10893" s="8">
        <f>HYPERLINK("https://www.vietnamworks.com/06-ky-su-ky-thuat-2023278-jv","Xem chi tiết")</f>
        <v/>
      </c>
    </row>
    <row r="10894">
      <c r="B10894" s="9" t="n">
        <v>10892</v>
      </c>
      <c r="C10894" s="10" t="inlineStr">
        <is>
          <t>Kỹ Sư Lắp Đặt, Sửa Chữa, Bảo Dưỡng Máy Móc SMT</t>
        </is>
      </c>
      <c r="D10894" s="10" t="inlineStr">
        <is>
          <t>Công Ty TNHH Công Nghệ Nhất Minh (Nmtech CO., LTD)</t>
        </is>
      </c>
      <c r="E10894" s="10" t="inlineStr">
        <is>
          <t>$$ 500-1,000 /tháng</t>
        </is>
      </c>
      <c r="F10894" s="10" t="inlineStr">
        <is>
          <t>Hà Nội</t>
        </is>
      </c>
      <c r="G10894" s="10" t="inlineStr">
        <is>
          <t>Mới Tốt Nghiệp</t>
        </is>
      </c>
      <c r="H10894" s="10" t="inlineStr">
        <is>
          <t>13/03/2026</t>
        </is>
      </c>
      <c r="I10894" s="10" t="inlineStr">
        <is>
          <t>12/04/2026</t>
        </is>
      </c>
      <c r="J10894" s="10" t="inlineStr">
        <is>
          <t>17/03/2026</t>
        </is>
      </c>
      <c r="K10894" s="10" t="inlineStr">
        <is>
          <t>N/A</t>
        </is>
      </c>
      <c r="L10894" s="10" t="inlineStr">
        <is>
          <t>Kỹ Thuật, Bảo Dưỡng Máy Móc, Sửa Chữa Cơ Khí, SMT, Lắp Đặt</t>
        </is>
      </c>
      <c r="M10894" s="10" t="inlineStr">
        <is>
          <t>Bonus, Training, Travel Opportunities</t>
        </is>
      </c>
      <c r="N10894" s="11">
        <f>HYPERLINK("https://www.vietnamworks.com/ky-su-lap-dat-sua-chua-bao-duong-may-moc-smt--2023286-jv","Xem chi tiết")</f>
        <v/>
      </c>
      <c r="O10894" s="10" t="n"/>
    </row>
    <row r="10895">
      <c r="B10895" s="7" t="n">
        <v>10893</v>
      </c>
      <c r="C10895" t="inlineStr">
        <is>
          <t>Giám Đốc Hỗ Trợ Thương Mại Toàn Quốc (Trade Marketing)</t>
        </is>
      </c>
      <c r="D10895" t="inlineStr">
        <is>
          <t>Công Ty Cổ Phần Chuỗi Thực Phẩm TH</t>
        </is>
      </c>
      <c r="E10895" t="inlineStr">
        <is>
          <t>Thương lượng</t>
        </is>
      </c>
      <c r="F10895" t="inlineStr">
        <is>
          <t>Hồ Chí Minh</t>
        </is>
      </c>
      <c r="G10895" t="inlineStr">
        <is>
          <t>Giám Đốc và Cấp Cao Hơn</t>
        </is>
      </c>
      <c r="H10895" t="inlineStr">
        <is>
          <t>13/03/2026</t>
        </is>
      </c>
      <c r="I10895" t="inlineStr">
        <is>
          <t>12/04/2026</t>
        </is>
      </c>
      <c r="J10895" t="inlineStr">
        <is>
          <t>17/03/2026</t>
        </is>
      </c>
      <c r="K10895" t="inlineStr">
        <is>
          <t>N/A</t>
        </is>
      </c>
      <c r="L10895" t="inlineStr">
        <is>
          <t>FMCG, Lãnh Đạo, Marketing Development, Quản Trị Kinh Doanh, Trade Marketing</t>
        </is>
      </c>
      <c r="M10895" t="inlineStr">
        <is>
          <t>Bonus, Healthcare Plan, Others</t>
        </is>
      </c>
      <c r="N10895" s="8">
        <f>HYPERLINK("https://www.vietnamworks.com/giam-djoc-ho-tro-thuong-mai-toan-quoc-trade-marketing-2023288-jv","Xem chi tiết")</f>
        <v/>
      </c>
    </row>
    <row r="10896">
      <c r="B10896" s="9" t="n">
        <v>10894</v>
      </c>
      <c r="C10896" s="10" t="inlineStr">
        <is>
          <t>03 Kỹ Sư Điện Tử</t>
        </is>
      </c>
      <c r="D10896" s="10" t="inlineStr">
        <is>
          <t>TNHH Sản Xuất Thiết Bị Viễn Thông</t>
        </is>
      </c>
      <c r="E10896" s="10" t="inlineStr">
        <is>
          <t>Thương lượng</t>
        </is>
      </c>
      <c r="F10896" s="10" t="inlineStr">
        <is>
          <t>Hồ Chí Minh</t>
        </is>
      </c>
      <c r="G10896" s="10" t="inlineStr">
        <is>
          <t>Nhân viên</t>
        </is>
      </c>
      <c r="H10896" s="10" t="inlineStr">
        <is>
          <t>13/03/2026</t>
        </is>
      </c>
      <c r="I10896" s="10" t="inlineStr">
        <is>
          <t>12/04/2026</t>
        </is>
      </c>
      <c r="J10896" s="10" t="inlineStr">
        <is>
          <t>17/03/2026</t>
        </is>
      </c>
      <c r="K10896" s="10" t="inlineStr">
        <is>
          <t>N/A</t>
        </is>
      </c>
      <c r="L10896" s="10" t="inlineStr">
        <is>
          <t>OEM, Layout PCB, Tìm Kiếm Nhà Cung Cấp, Phát Triển Sản Phẩm, Hỗ Trợ Kỹ Thuật</t>
        </is>
      </c>
      <c r="M10896" s="10" t="inlineStr">
        <is>
          <t>Bonus, Healthcare Plan, Training</t>
        </is>
      </c>
      <c r="N10896" s="11">
        <f>HYPERLINK("https://www.vietnamworks.com/03-ky-su-dien-tu-2023284-jv","Xem chi tiết")</f>
        <v/>
      </c>
      <c r="O10896" s="10" t="n"/>
    </row>
    <row r="10897">
      <c r="B10897" s="7" t="n">
        <v>10895</v>
      </c>
      <c r="C10897" t="inlineStr">
        <is>
          <t>CAD Pattern Maker</t>
        </is>
      </c>
      <c r="D10897" t="inlineStr">
        <is>
          <t>Sae-A Vietnam Company Limited</t>
        </is>
      </c>
      <c r="E10897" t="inlineStr">
        <is>
          <t>$$ 500-700 /tháng</t>
        </is>
      </c>
      <c r="F10897" t="inlineStr">
        <is>
          <t>Hồ Chí Minh</t>
        </is>
      </c>
      <c r="G10897" t="inlineStr">
        <is>
          <t>Nhân viên</t>
        </is>
      </c>
      <c r="H10897" t="inlineStr">
        <is>
          <t>13/03/2026</t>
        </is>
      </c>
      <c r="I10897" t="inlineStr">
        <is>
          <t>12/04/2026</t>
        </is>
      </c>
      <c r="J10897" t="inlineStr">
        <is>
          <t>17/03/2026</t>
        </is>
      </c>
      <c r="K10897" t="inlineStr">
        <is>
          <t>N/A</t>
        </is>
      </c>
      <c r="L10897" t="inlineStr">
        <is>
          <t>Garment Technical Design, Pattern Making, Garment Technology, CAD, pattern technician</t>
        </is>
      </c>
      <c r="M10897" t="inlineStr">
        <is>
          <t>Bonus, Healthcare Plan, Library, Others</t>
        </is>
      </c>
      <c r="N10897" s="8">
        <f>HYPERLINK("https://www.vietnamworks.com/cad-pattern-maker-2023290-jv","Xem chi tiết")</f>
        <v/>
      </c>
    </row>
    <row r="10898">
      <c r="B10898" s="9" t="n">
        <v>10896</v>
      </c>
      <c r="C10898" s="10" t="inlineStr">
        <is>
          <t>03 Sale Engineer</t>
        </is>
      </c>
      <c r="D10898" s="10" t="inlineStr">
        <is>
          <t>TNHH Sản Xuất Thiết Bị Viễn Thông</t>
        </is>
      </c>
      <c r="E10898" s="10" t="inlineStr">
        <is>
          <t>Thương lượng</t>
        </is>
      </c>
      <c r="F10898" s="10" t="inlineStr">
        <is>
          <t>Hồ Chí Minh</t>
        </is>
      </c>
      <c r="G10898" s="10" t="inlineStr">
        <is>
          <t>Nhân viên</t>
        </is>
      </c>
      <c r="H10898" s="10" t="inlineStr">
        <is>
          <t>13/03/2026</t>
        </is>
      </c>
      <c r="I10898" s="10" t="inlineStr">
        <is>
          <t>12/04/2026</t>
        </is>
      </c>
      <c r="J10898" s="10" t="inlineStr">
        <is>
          <t>17/03/2026</t>
        </is>
      </c>
      <c r="K10898" s="10" t="inlineStr">
        <is>
          <t>N/A</t>
        </is>
      </c>
      <c r="L10898" s="10" t="inlineStr">
        <is>
          <t>Kinh Doanh Điện Tử, Tìm Kiếm Khách Hàng, Tư Vấn Kỹ Thuật, Báo Giá, Kinh Doanh B2B</t>
        </is>
      </c>
      <c r="M10898" s="10" t="inlineStr">
        <is>
          <t>Bonus, Training, Travel Opportunities</t>
        </is>
      </c>
      <c r="N10898" s="11">
        <f>HYPERLINK("https://www.vietnamworks.com/03-sale-engineer--2023287-jv","Xem chi tiết")</f>
        <v/>
      </c>
      <c r="O10898" s="10" t="n"/>
    </row>
    <row r="10899">
      <c r="B10899" s="7" t="n">
        <v>10897</v>
      </c>
      <c r="C10899" t="inlineStr">
        <is>
          <t>Factory Intern</t>
        </is>
      </c>
      <c r="D10899" t="inlineStr">
        <is>
          <t>MOTUL VIETNAM</t>
        </is>
      </c>
      <c r="E10899" t="inlineStr">
        <is>
          <t>Thương lượng</t>
        </is>
      </c>
      <c r="F10899" t="inlineStr">
        <is>
          <t>Hồ Chí Minh</t>
        </is>
      </c>
      <c r="G10899" t="inlineStr">
        <is>
          <t>Thực tập sinh/Sinh viên</t>
        </is>
      </c>
      <c r="H10899" t="inlineStr">
        <is>
          <t>13/03/2026</t>
        </is>
      </c>
      <c r="I10899" t="inlineStr">
        <is>
          <t>12/04/2026</t>
        </is>
      </c>
      <c r="J10899" t="inlineStr">
        <is>
          <t>17/03/2026</t>
        </is>
      </c>
      <c r="K10899" t="inlineStr">
        <is>
          <t>N/A</t>
        </is>
      </c>
      <c r="L10899" t="inlineStr">
        <is>
          <t>Analytical Skills, Automation, Communication Skills, Industrial Production Management, Technical Engineering</t>
        </is>
      </c>
      <c r="M10899" t="inlineStr">
        <is>
          <t>Training, Others</t>
        </is>
      </c>
      <c r="N10899" s="8">
        <f>HYPERLINK("https://www.vietnamworks.com/factory-intern-2023291-jv","Xem chi tiết")</f>
        <v/>
      </c>
    </row>
    <row r="10900">
      <c r="B10900" s="9" t="n">
        <v>10898</v>
      </c>
      <c r="C10900" s="10" t="inlineStr">
        <is>
          <t>CNC Machinist &amp; Programmer / Vận Hành Và Lập Trình Máy CNC</t>
        </is>
      </c>
      <c r="D10900" s="10" t="inlineStr">
        <is>
          <t>Công Ty TNHH Reservoir GROUP Việt Nam</t>
        </is>
      </c>
      <c r="E10900" s="10" t="inlineStr">
        <is>
          <t>Thương lượng</t>
        </is>
      </c>
      <c r="F10900" s="10" t="inlineStr">
        <is>
          <t>Bà Rịa - Vũng Tàu</t>
        </is>
      </c>
      <c r="G10900" s="10" t="inlineStr">
        <is>
          <t>Nhân viên</t>
        </is>
      </c>
      <c r="H10900" s="10" t="inlineStr">
        <is>
          <t>13/03/2026</t>
        </is>
      </c>
      <c r="I10900" s="10" t="inlineStr">
        <is>
          <t>12/04/2026</t>
        </is>
      </c>
      <c r="J10900" s="10" t="inlineStr">
        <is>
          <t>17/03/2026</t>
        </is>
      </c>
      <c r="K10900" s="10" t="inlineStr">
        <is>
          <t>N/A</t>
        </is>
      </c>
      <c r="L10900" s="10" t="inlineStr">
        <is>
          <t>CNC Programming, Mastercam, ISO Standards, Measurement Tools, Safety Compliance</t>
        </is>
      </c>
      <c r="M10900" s="10" t="inlineStr">
        <is>
          <t>Bonus, Healthcare Plan, Others</t>
        </is>
      </c>
      <c r="N10900" s="11">
        <f>HYPERLINK("https://www.vietnamworks.com/cnc-machinist-and-programmer-van-hanh-va-lap-trinh-may-cnc-2023294-jv","Xem chi tiết")</f>
        <v/>
      </c>
      <c r="O10900" s="10" t="n"/>
    </row>
    <row r="10901">
      <c r="B10901" s="7" t="n">
        <v>10899</v>
      </c>
      <c r="C10901" t="inlineStr">
        <is>
          <t>SEO Leader</t>
        </is>
      </c>
      <c r="D10901" t="inlineStr">
        <is>
          <t>Advanta Digital Lab</t>
        </is>
      </c>
      <c r="E10901" t="inlineStr">
        <is>
          <t>$$ 1,000-1,500 /tháng</t>
        </is>
      </c>
      <c r="F10901" t="inlineStr">
        <is>
          <t>Hồ Chí Minh</t>
        </is>
      </c>
      <c r="G10901" t="inlineStr">
        <is>
          <t>Trưởng phòng</t>
        </is>
      </c>
      <c r="H10901" t="inlineStr">
        <is>
          <t>13/03/2026</t>
        </is>
      </c>
      <c r="I10901" t="inlineStr">
        <is>
          <t>12/04/2026</t>
        </is>
      </c>
      <c r="J10901" t="inlineStr">
        <is>
          <t>17/03/2026</t>
        </is>
      </c>
      <c r="K10901" t="inlineStr">
        <is>
          <t>N/A</t>
        </is>
      </c>
      <c r="L10901" t="inlineStr">
        <is>
          <t>SEO, Digital Marketing, Content, Marketing Online, Google Analytics</t>
        </is>
      </c>
      <c r="M10901" t="inlineStr">
        <is>
          <t>Bonus, Healthcare Plan, Paid Leave</t>
        </is>
      </c>
      <c r="N10901" s="8">
        <f>HYPERLINK("https://www.vietnamworks.com/seo-leader--2023296-jv","Xem chi tiết")</f>
        <v/>
      </c>
    </row>
    <row r="10902">
      <c r="B10902" s="9" t="n">
        <v>10900</v>
      </c>
      <c r="C10902" s="10" t="inlineStr">
        <is>
          <t>Nhân Viên Thiết Kế Nội Thất Xây Dựng</t>
        </is>
      </c>
      <c r="D10902" s="10" t="inlineStr">
        <is>
          <t>CÔNG TY CỔ PHẦN XÂY DỰNG, NỘI THẤT VÀ THƯƠNG MẠI DUMIN</t>
        </is>
      </c>
      <c r="E10902" s="10" t="inlineStr">
        <is>
          <t>14tr-18tr ₫/tháng</t>
        </is>
      </c>
      <c r="F10902" s="10" t="inlineStr">
        <is>
          <t>Hà Nội</t>
        </is>
      </c>
      <c r="G10902" s="10" t="inlineStr">
        <is>
          <t>Nhân viên</t>
        </is>
      </c>
      <c r="H10902" s="10" t="inlineStr">
        <is>
          <t>13/03/2026</t>
        </is>
      </c>
      <c r="I10902" s="10" t="inlineStr">
        <is>
          <t>12/04/2026</t>
        </is>
      </c>
      <c r="J10902" s="10" t="inlineStr">
        <is>
          <t>17/03/2026</t>
        </is>
      </c>
      <c r="K10902" s="10" t="inlineStr">
        <is>
          <t>N/A</t>
        </is>
      </c>
      <c r="L10902" s="10" t="inlineStr">
        <is>
          <t>AutoCAD, 3D Max, Sketchup, Photoshop, Giao Tiếp</t>
        </is>
      </c>
      <c r="M10902" s="10" t="inlineStr">
        <is>
          <t>Bonus, Others</t>
        </is>
      </c>
      <c r="N10902" s="11">
        <f>HYPERLINK("https://www.vietnamworks.com/nhan-vien-thiet-ke-noi-that-xay-dung-2023295-jv","Xem chi tiết")</f>
        <v/>
      </c>
      <c r="O10902" s="10" t="n"/>
    </row>
    <row r="10903">
      <c r="B10903" s="7" t="n">
        <v>10901</v>
      </c>
      <c r="C10903" t="inlineStr">
        <is>
          <t>Nhân Viên Marketing (Biết Tiếng Hàn)</t>
        </is>
      </c>
      <c r="D10903" t="inlineStr">
        <is>
          <t>CÔNG TY TNHH DELIVERY K VIETNAM</t>
        </is>
      </c>
      <c r="E10903" t="inlineStr">
        <is>
          <t>Từ 15tr ₫/tháng</t>
        </is>
      </c>
      <c r="F10903" t="inlineStr">
        <is>
          <t>Hà Nội</t>
        </is>
      </c>
      <c r="G10903" t="inlineStr">
        <is>
          <t>Nhân viên</t>
        </is>
      </c>
      <c r="H10903" t="inlineStr">
        <is>
          <t>13/03/2026</t>
        </is>
      </c>
      <c r="I10903" t="inlineStr">
        <is>
          <t>12/04/2026</t>
        </is>
      </c>
      <c r="J10903" t="inlineStr">
        <is>
          <t>17/03/2026</t>
        </is>
      </c>
      <c r="K10903" t="inlineStr">
        <is>
          <t>N/A</t>
        </is>
      </c>
      <c r="L10903" t="inlineStr">
        <is>
          <t>Digital Marketing, Google Ads, Facebook Ads, Data Analysis, SEO Tools</t>
        </is>
      </c>
      <c r="M10903" t="inlineStr">
        <is>
          <t>Bonus, Healthcare Plan, Paid Leave, Travel Opportunities, Others</t>
        </is>
      </c>
      <c r="N10903" s="8">
        <f>HYPERLINK("https://www.vietnamworks.com/nhan-vien-marketing-biet-tieng-han-2023297-jv","Xem chi tiết")</f>
        <v/>
      </c>
    </row>
    <row r="10904">
      <c r="B10904" s="9" t="n">
        <v>10902</v>
      </c>
      <c r="C10904" s="10" t="inlineStr">
        <is>
          <t>Nhân Viên Kế Toán</t>
        </is>
      </c>
      <c r="D10904" s="10" t="inlineStr">
        <is>
          <t>Công Ty TNHH CCL Design Vina</t>
        </is>
      </c>
      <c r="E10904" s="10" t="inlineStr">
        <is>
          <t>Thương lượng</t>
        </is>
      </c>
      <c r="F10904" s="10" t="inlineStr">
        <is>
          <t>Hồ Chí Minh</t>
        </is>
      </c>
      <c r="G10904" s="10" t="inlineStr">
        <is>
          <t>Nhân viên</t>
        </is>
      </c>
      <c r="H10904" s="10" t="inlineStr">
        <is>
          <t>13/03/2026</t>
        </is>
      </c>
      <c r="I10904" s="10" t="inlineStr">
        <is>
          <t>12/04/2026</t>
        </is>
      </c>
      <c r="J10904" s="10" t="inlineStr">
        <is>
          <t>17/03/2026</t>
        </is>
      </c>
      <c r="K10904" s="10" t="inlineStr">
        <is>
          <t>N/A</t>
        </is>
      </c>
      <c r="L10904" s="10" t="inlineStr">
        <is>
          <t>Kế Toán Xuất Hóa Đơn, Kiểm Tra Chứng Từ, Luật Thuế, Nghiệp Vụ Kế Toán, Quản Lý Sổ Sách</t>
        </is>
      </c>
      <c r="M10904" s="10" t="inlineStr">
        <is>
          <t>Bonus, Healthcare Plan, Awards</t>
        </is>
      </c>
      <c r="N10904" s="11">
        <f>HYPERLINK("https://www.vietnamworks.com/nhan-vien-ke-toan-2023300-jv","Xem chi tiết")</f>
        <v/>
      </c>
      <c r="O10904" s="10" t="n"/>
    </row>
    <row r="10905">
      <c r="B10905" s="7" t="n">
        <v>10903</v>
      </c>
      <c r="C10905" t="inlineStr">
        <is>
          <t>Content Marketing Executive</t>
        </is>
      </c>
      <c r="D10905" t="inlineStr">
        <is>
          <t>Công ty TNHH Thương Mại JEN&amp;CO</t>
        </is>
      </c>
      <c r="E10905" t="inlineStr">
        <is>
          <t>Thương lượng</t>
        </is>
      </c>
      <c r="F10905" t="inlineStr">
        <is>
          <t>Hồ Chí Minh</t>
        </is>
      </c>
      <c r="G10905" t="inlineStr">
        <is>
          <t>Mới Tốt Nghiệp</t>
        </is>
      </c>
      <c r="H10905" t="inlineStr">
        <is>
          <t>13/03/2026</t>
        </is>
      </c>
      <c r="I10905" t="inlineStr">
        <is>
          <t>12/04/2026</t>
        </is>
      </c>
      <c r="J10905" t="inlineStr">
        <is>
          <t>17/03/2026</t>
        </is>
      </c>
      <c r="K10905" t="inlineStr">
        <is>
          <t>N/A</t>
        </is>
      </c>
      <c r="L10905" t="inlineStr">
        <is>
          <t>Content Creation, Social Media Management, SEO knowledge, Copywriting, Creativity</t>
        </is>
      </c>
      <c r="M10905" t="inlineStr">
        <is>
          <t>Bonus, Healthcare Plan, Paid Leave, Others</t>
        </is>
      </c>
      <c r="N10905" s="8">
        <f>HYPERLINK("https://www.vietnamworks.com/content-marketing-executive-2023299-jv","Xem chi tiết")</f>
        <v/>
      </c>
    </row>
    <row r="10906">
      <c r="B10906" s="9" t="n">
        <v>10904</v>
      </c>
      <c r="C10906" s="10" t="inlineStr">
        <is>
          <t>Marketing Intern</t>
        </is>
      </c>
      <c r="D10906" s="10" t="inlineStr">
        <is>
          <t>MOTUL VIETNAM</t>
        </is>
      </c>
      <c r="E10906" s="10" t="inlineStr">
        <is>
          <t>Thương lượng</t>
        </is>
      </c>
      <c r="F10906" s="10" t="inlineStr">
        <is>
          <t>Hồ Chí Minh</t>
        </is>
      </c>
      <c r="G10906" s="10" t="inlineStr">
        <is>
          <t>Thực tập sinh/Sinh viên</t>
        </is>
      </c>
      <c r="H10906" s="10" t="inlineStr">
        <is>
          <t>13/03/2026</t>
        </is>
      </c>
      <c r="I10906" s="10" t="inlineStr">
        <is>
          <t>12/04/2026</t>
        </is>
      </c>
      <c r="J10906" s="10" t="inlineStr">
        <is>
          <t>17/03/2026</t>
        </is>
      </c>
      <c r="K10906" s="10" t="inlineStr">
        <is>
          <t>N/A</t>
        </is>
      </c>
      <c r="L10906" s="10" t="inlineStr">
        <is>
          <t>Content Design, Market Research, Marketing, Marketing Development, Social Media Management</t>
        </is>
      </c>
      <c r="M10906" s="10" t="inlineStr">
        <is>
          <t>Training, Others</t>
        </is>
      </c>
      <c r="N10906" s="11">
        <f>HYPERLINK("https://www.vietnamworks.com/marketing-intern-2023302-jv","Xem chi tiết")</f>
        <v/>
      </c>
      <c r="O10906" s="10" t="n"/>
    </row>
    <row r="10907">
      <c r="B10907" s="7" t="n">
        <v>10905</v>
      </c>
      <c r="C10907" t="inlineStr">
        <is>
          <t>Nhân Viên Nhân Sự (Mảng GVNN)</t>
        </is>
      </c>
      <c r="D10907" t="inlineStr">
        <is>
          <t>Trường Đại Học Kinh Tế - Tài Chính TPHCM</t>
        </is>
      </c>
      <c r="E10907" t="inlineStr">
        <is>
          <t>Thương lượng</t>
        </is>
      </c>
      <c r="F10907" t="inlineStr">
        <is>
          <t>Hồ Chí Minh</t>
        </is>
      </c>
      <c r="G10907" t="inlineStr">
        <is>
          <t>Nhân viên</t>
        </is>
      </c>
      <c r="H10907" t="inlineStr">
        <is>
          <t>13/03/2026</t>
        </is>
      </c>
      <c r="I10907" t="inlineStr">
        <is>
          <t>12/04/2026</t>
        </is>
      </c>
      <c r="J10907" t="inlineStr">
        <is>
          <t>17/03/2026</t>
        </is>
      </c>
      <c r="K10907" t="inlineStr">
        <is>
          <t>N/A</t>
        </is>
      </c>
      <c r="L10907" t="inlineStr">
        <is>
          <t>Quản Trị Nhân Lực, Quản Trị Kinh Doanh, Luật, Giao Tiếp, Tuyển Dụng Lao Động Nước Ngoài</t>
        </is>
      </c>
      <c r="M10907" t="inlineStr">
        <is>
          <t>Others</t>
        </is>
      </c>
      <c r="N10907" s="8">
        <f>HYPERLINK("https://www.vietnamworks.com/nhan-vien-nhan-su-mang-gvnn-2023305-jv","Xem chi tiết")</f>
        <v/>
      </c>
    </row>
    <row r="10908">
      <c r="B10908" s="9" t="n">
        <v>10906</v>
      </c>
      <c r="C10908" s="10" t="inlineStr">
        <is>
          <t>Trưởng Nhóm Phát Triển Hệ Thống Kênh Social Media</t>
        </is>
      </c>
      <c r="D10908" s="10" t="inlineStr">
        <is>
          <t>Công Ty Cổ Phần Truyền Thông Sunrise</t>
        </is>
      </c>
      <c r="E10908" s="10" t="inlineStr">
        <is>
          <t>$$ 460-575 /tháng</t>
        </is>
      </c>
      <c r="F10908" s="10" t="inlineStr">
        <is>
          <t>Hà Nội, Hồ Chí Minh</t>
        </is>
      </c>
      <c r="G10908" s="10" t="inlineStr">
        <is>
          <t>Trưởng phòng</t>
        </is>
      </c>
      <c r="H10908" s="10" t="inlineStr">
        <is>
          <t>13/03/2026</t>
        </is>
      </c>
      <c r="I10908" s="10" t="inlineStr">
        <is>
          <t>12/04/2026</t>
        </is>
      </c>
      <c r="J10908" s="10" t="inlineStr">
        <is>
          <t>17/03/2026</t>
        </is>
      </c>
      <c r="K10908" s="10" t="inlineStr">
        <is>
          <t>N/A</t>
        </is>
      </c>
      <c r="L10908" s="10" t="inlineStr">
        <is>
          <t>Youtube, Social Media, Phân Tích Dữ Liệu, Facebook Fanpage Management, Social Engagement</t>
        </is>
      </c>
      <c r="M10908" s="10" t="inlineStr">
        <is>
          <t>Healthcare Plan, Travel Opportunities, Team Activities</t>
        </is>
      </c>
      <c r="N10908" s="11">
        <f>HYPERLINK("https://www.vietnamworks.com/truong-nhom-phat-trien-he-thong-kenh-social-media-2023292-jv","Xem chi tiết")</f>
        <v/>
      </c>
      <c r="O10908" s="10" t="n"/>
    </row>
    <row r="10909">
      <c r="B10909" s="7" t="n">
        <v>10907</v>
      </c>
      <c r="C10909" t="inlineStr">
        <is>
          <t>Trợ Lý Giám Đốc</t>
        </is>
      </c>
      <c r="D10909" t="inlineStr">
        <is>
          <t>Công ty TNHH Hoei VN</t>
        </is>
      </c>
      <c r="E10909" t="inlineStr">
        <is>
          <t>20tr-40tr ₫/tháng</t>
        </is>
      </c>
      <c r="F10909" t="inlineStr">
        <is>
          <t>Hồ Chí Minh</t>
        </is>
      </c>
      <c r="G10909" t="inlineStr">
        <is>
          <t>Nhân viên</t>
        </is>
      </c>
      <c r="H10909" t="inlineStr">
        <is>
          <t>13/03/2026</t>
        </is>
      </c>
      <c r="I10909" t="inlineStr">
        <is>
          <t>12/04/2026</t>
        </is>
      </c>
      <c r="J10909" t="inlineStr">
        <is>
          <t>17/03/2026</t>
        </is>
      </c>
      <c r="K10909" t="inlineStr">
        <is>
          <t>N/A</t>
        </is>
      </c>
      <c r="L10909" t="inlineStr">
        <is>
          <t>Tiếng Anh, Tiếng Nhật, Báo Cáo, Nghiên Cứu Thị Trường, Phân Tích Dữ Liệu</t>
        </is>
      </c>
      <c r="M10909" t="inlineStr">
        <is>
          <t>Bonus, Training, Travel Opportunities, Others</t>
        </is>
      </c>
      <c r="N10909" s="8">
        <f>HYPERLINK("https://www.vietnamworks.com/tro-ly-giam-djoc-2023308-jv","Xem chi tiết")</f>
        <v/>
      </c>
    </row>
    <row r="10910">
      <c r="B10910" s="9" t="n">
        <v>10908</v>
      </c>
      <c r="C10910" s="10" t="inlineStr">
        <is>
          <t>Kế Toán Sản Xuất (Làm Việc Tại Hải Phòng)</t>
        </is>
      </c>
      <c r="D10910" s="10" t="inlineStr">
        <is>
          <t>CÔNG TY CỔ PHẦN NAMSA</t>
        </is>
      </c>
      <c r="E10910" s="10" t="inlineStr">
        <is>
          <t>9tr-15tr ₫/tháng</t>
        </is>
      </c>
      <c r="F10910" s="10" t="inlineStr">
        <is>
          <t>Hải Phòng</t>
        </is>
      </c>
      <c r="G10910" s="10" t="inlineStr">
        <is>
          <t>Nhân viên</t>
        </is>
      </c>
      <c r="H10910" s="10" t="inlineStr">
        <is>
          <t>13/03/2026</t>
        </is>
      </c>
      <c r="I10910" s="10" t="inlineStr">
        <is>
          <t>12/04/2026</t>
        </is>
      </c>
      <c r="J10910" s="10" t="inlineStr">
        <is>
          <t>17/03/2026</t>
        </is>
      </c>
      <c r="K10910" s="10" t="inlineStr">
        <is>
          <t>N/A</t>
        </is>
      </c>
      <c r="L10910" s="10" t="inlineStr">
        <is>
          <t>Kế Toán Sản Xuất, Kiểm Soát Chi Phí, Excel, Phân Tích Chi Phí Sản Xuất, Tính Giá Thành</t>
        </is>
      </c>
      <c r="M10910" s="10" t="inlineStr">
        <is>
          <t>Bonus, Healthcare Plan, Paid Leave</t>
        </is>
      </c>
      <c r="N10910" s="11">
        <f>HYPERLINK("https://www.vietnamworks.com/ke-toan-san-xuat-lam-viec-tai-hai-phong-2023304-jv","Xem chi tiết")</f>
        <v/>
      </c>
      <c r="O10910" s="10" t="n"/>
    </row>
    <row r="10911">
      <c r="B10911" s="7" t="n">
        <v>10909</v>
      </c>
      <c r="C10911" t="inlineStr">
        <is>
          <t>Admin &amp; Accounting Staff</t>
        </is>
      </c>
      <c r="D10911" t="inlineStr">
        <is>
          <t>Naigai Nitto Logistics Vietnam Co.,ltd</t>
        </is>
      </c>
      <c r="E10911" t="inlineStr">
        <is>
          <t>Thương lượng</t>
        </is>
      </c>
      <c r="F10911" t="inlineStr">
        <is>
          <t>Hà Nội</t>
        </is>
      </c>
      <c r="G10911" t="inlineStr">
        <is>
          <t>Nhân viên</t>
        </is>
      </c>
      <c r="H10911" t="inlineStr">
        <is>
          <t>13/03/2026</t>
        </is>
      </c>
      <c r="I10911" t="inlineStr">
        <is>
          <t>12/04/2026</t>
        </is>
      </c>
      <c r="J10911" t="inlineStr">
        <is>
          <t>17/03/2026</t>
        </is>
      </c>
      <c r="K10911" t="inlineStr">
        <is>
          <t>N/A</t>
        </is>
      </c>
      <c r="L10911" t="inlineStr">
        <is>
          <t>Administration Management, MS Office, Accounting Standards, Financial Report, Taxation</t>
        </is>
      </c>
      <c r="M10911" t="inlineStr">
        <is>
          <t>Bonus, Healthcare Plan, Paid Leave, Travel Opportunities, Team Activities, Others</t>
        </is>
      </c>
      <c r="N10911" s="8">
        <f>HYPERLINK("https://www.vietnamworks.com/admin-and-accounting-staff-2023303-jv","Xem chi tiết")</f>
        <v/>
      </c>
    </row>
    <row r="10912">
      <c r="B10912" s="9" t="n">
        <v>10910</v>
      </c>
      <c r="C10912" s="10" t="inlineStr">
        <is>
          <t>Content Leader (SEO &amp; Social)</t>
        </is>
      </c>
      <c r="D10912" s="10" t="inlineStr">
        <is>
          <t>Advanta Digital Lab</t>
        </is>
      </c>
      <c r="E10912" s="10" t="inlineStr">
        <is>
          <t>$$ 700-1,000 /tháng</t>
        </is>
      </c>
      <c r="F10912" s="10" t="inlineStr">
        <is>
          <t>Hồ Chí Minh</t>
        </is>
      </c>
      <c r="G10912" s="10" t="inlineStr">
        <is>
          <t>Trưởng phòng</t>
        </is>
      </c>
      <c r="H10912" s="10" t="inlineStr">
        <is>
          <t>13/03/2026</t>
        </is>
      </c>
      <c r="I10912" s="10" t="inlineStr">
        <is>
          <t>12/04/2026</t>
        </is>
      </c>
      <c r="J10912" s="10" t="inlineStr">
        <is>
          <t>17/03/2026</t>
        </is>
      </c>
      <c r="K10912" s="10" t="inlineStr">
        <is>
          <t>N/A</t>
        </is>
      </c>
      <c r="L10912" s="10" t="inlineStr">
        <is>
          <t>Content Optimization, SEO Copywriting, SEO &amp; Content Creation</t>
        </is>
      </c>
      <c r="M10912" s="10" t="inlineStr">
        <is>
          <t>Bonus, Healthcare Plan, Paid Leave</t>
        </is>
      </c>
      <c r="N10912" s="11">
        <f>HYPERLINK("https://www.vietnamworks.com/content-leader-seo-social-2023314-jv","Xem chi tiết")</f>
        <v/>
      </c>
      <c r="O10912" s="10" t="n"/>
    </row>
    <row r="10913">
      <c r="B10913" s="7" t="n">
        <v>10911</v>
      </c>
      <c r="C10913" t="inlineStr">
        <is>
          <t>HO - Khối TT &amp; QTTC - Chuyên Gia Quản Trị Tài Chính KHDN</t>
        </is>
      </c>
      <c r="D10913" t="inlineStr">
        <is>
          <t>Ngân hàng Lộc Phát Việt Nam LPBank</t>
        </is>
      </c>
      <c r="E10913" t="inlineStr">
        <is>
          <t>Thương lượng</t>
        </is>
      </c>
      <c r="F10913" t="inlineStr">
        <is>
          <t>Hà Nội</t>
        </is>
      </c>
      <c r="G10913" t="inlineStr">
        <is>
          <t>Nhân viên</t>
        </is>
      </c>
      <c r="H10913" t="inlineStr">
        <is>
          <t>13/03/2026</t>
        </is>
      </c>
      <c r="I10913" t="inlineStr">
        <is>
          <t>12/04/2026</t>
        </is>
      </c>
      <c r="J10913" t="inlineStr">
        <is>
          <t>17/03/2026</t>
        </is>
      </c>
      <c r="K10913" t="inlineStr">
        <is>
          <t>N/A</t>
        </is>
      </c>
      <c r="L10913" t="inlineStr">
        <is>
          <t>Kế Toán, Mô Phỏng Phân Tích, Ngân hàng, Phân Tích Tài Chính, Quản Trị Tài Chính</t>
        </is>
      </c>
      <c r="M10913" t="inlineStr">
        <is>
          <t>Bonus, Healthcare Plan, Training, Travel Opportunities, Others</t>
        </is>
      </c>
      <c r="N10913" s="8">
        <f>HYPERLINK("https://www.vietnamworks.com/ho-khoi-tt-and-qttc-chuyen-gia-quan-tri-tai-chinh-khdn-2023312-jv","Xem chi tiết")</f>
        <v/>
      </c>
    </row>
    <row r="10914">
      <c r="B10914" s="9" t="n">
        <v>10912</v>
      </c>
      <c r="C10914" s="10" t="inlineStr">
        <is>
          <t>Chuyên Viên Chính Quản Lý Thiết Kế Dự Án - Ban QLDA Tây Hồ Tây</t>
        </is>
      </c>
      <c r="D10914" s="10" t="inlineStr">
        <is>
          <t>Công Ty Cổ Phần Tập Đoàn Thái Bình Dương</t>
        </is>
      </c>
      <c r="E10914" s="10" t="inlineStr">
        <is>
          <t>Thương lượng</t>
        </is>
      </c>
      <c r="F10914" s="10" t="inlineStr">
        <is>
          <t>Hà Nội</t>
        </is>
      </c>
      <c r="G10914" s="10" t="inlineStr">
        <is>
          <t>Nhân viên</t>
        </is>
      </c>
      <c r="H10914" s="10" t="inlineStr">
        <is>
          <t>13/03/2026</t>
        </is>
      </c>
      <c r="I10914" s="10" t="inlineStr">
        <is>
          <t>12/04/2026</t>
        </is>
      </c>
      <c r="J10914" s="10" t="inlineStr">
        <is>
          <t>17/03/2026</t>
        </is>
      </c>
      <c r="K10914" s="10" t="inlineStr">
        <is>
          <t>N/A</t>
        </is>
      </c>
      <c r="L10914" s="10" t="inlineStr">
        <is>
          <t>BIM, Giám Sát Công Trình, Kỹ Thuật, Quản Lý Dự Án, Quản Lý Thiết Kế</t>
        </is>
      </c>
      <c r="M10914" s="10" t="inlineStr">
        <is>
          <t>Bonus, Healthcare Plan, Team Activities, Others</t>
        </is>
      </c>
      <c r="N10914" s="11">
        <f>HYPERLINK("https://www.vietnamworks.com/chuyen-vien-chinh-quan-ly-thiet-ke-du-an-ban-qlda-tay-ho-tay-2023298-jv","Xem chi tiết")</f>
        <v/>
      </c>
      <c r="O10914" s="10" t="n"/>
    </row>
    <row r="10915">
      <c r="B10915" s="7" t="n">
        <v>10913</v>
      </c>
      <c r="C10915" t="inlineStr">
        <is>
          <t>Production Manager</t>
        </is>
      </c>
      <c r="D10915" t="inlineStr">
        <is>
          <t>Công ty TNHH Hoei VN</t>
        </is>
      </c>
      <c r="E10915" t="inlineStr">
        <is>
          <t>Thương lượng</t>
        </is>
      </c>
      <c r="F10915" t="inlineStr">
        <is>
          <t>Hồ Chí Minh</t>
        </is>
      </c>
      <c r="G10915" t="inlineStr">
        <is>
          <t>Trưởng phòng</t>
        </is>
      </c>
      <c r="H10915" t="inlineStr">
        <is>
          <t>13/03/2026</t>
        </is>
      </c>
      <c r="I10915" t="inlineStr">
        <is>
          <t>12/04/2026</t>
        </is>
      </c>
      <c r="J10915" t="inlineStr">
        <is>
          <t>17/03/2026</t>
        </is>
      </c>
      <c r="K10915" t="inlineStr">
        <is>
          <t>N/A</t>
        </is>
      </c>
      <c r="L10915" t="inlineStr">
        <is>
          <t>production manager, Food Manufacturing, Japanese Speaking, Production Schedule, Training Operations</t>
        </is>
      </c>
      <c r="M10915" t="inlineStr">
        <is>
          <t>Bonus, Others</t>
        </is>
      </c>
      <c r="N10915" s="8">
        <f>HYPERLINK("https://www.vietnamworks.com/production-manager-2023318-jv","Xem chi tiết")</f>
        <v/>
      </c>
    </row>
    <row r="10916">
      <c r="B10916" s="9" t="n">
        <v>10914</v>
      </c>
      <c r="C10916" s="10" t="inlineStr">
        <is>
          <t>Senior Accountant</t>
        </is>
      </c>
      <c r="D10916" s="10" t="inlineStr">
        <is>
          <t>Bosch Home Appliances Vietnam</t>
        </is>
      </c>
      <c r="E10916" s="10" t="inlineStr">
        <is>
          <t>Thương lượng</t>
        </is>
      </c>
      <c r="F10916" s="10" t="inlineStr">
        <is>
          <t>Hồ Chí Minh</t>
        </is>
      </c>
      <c r="G10916" s="10" t="inlineStr">
        <is>
          <t>Nhân viên</t>
        </is>
      </c>
      <c r="H10916" s="10" t="inlineStr">
        <is>
          <t>13/03/2026</t>
        </is>
      </c>
      <c r="I10916" s="10" t="inlineStr">
        <is>
          <t>12/04/2026</t>
        </is>
      </c>
      <c r="J10916" s="10" t="inlineStr">
        <is>
          <t>17/03/2026</t>
        </is>
      </c>
      <c r="K10916" s="10" t="inlineStr">
        <is>
          <t>N/A</t>
        </is>
      </c>
      <c r="L10916" s="10" t="inlineStr">
        <is>
          <t>Accounting, SAP, English, Taxation, VAS</t>
        </is>
      </c>
      <c r="M10916" s="10" t="inlineStr">
        <is>
          <t>Bonus, Healthcare Plan, Others</t>
        </is>
      </c>
      <c r="N10916" s="11">
        <f>HYPERLINK("https://www.vietnamworks.com/senior-accountant-2023316-jv","Xem chi tiết")</f>
        <v/>
      </c>
      <c r="O10916" s="10" t="n"/>
    </row>
    <row r="10917">
      <c r="B10917" s="7" t="n">
        <v>10915</v>
      </c>
      <c r="C10917" t="inlineStr">
        <is>
          <t>Nhân Viên Kinh Doanh/ Sales Hóa Chất</t>
        </is>
      </c>
      <c r="D10917" t="inlineStr">
        <is>
          <t>CÔNG TY TNHH XUẤT NHẬP KHẨU TRUNG TÍN PHÁT</t>
        </is>
      </c>
      <c r="E10917" t="inlineStr">
        <is>
          <t>Thương lượng</t>
        </is>
      </c>
      <c r="F10917" t="inlineStr">
        <is>
          <t>Hồ Chí Minh</t>
        </is>
      </c>
      <c r="G10917" t="inlineStr">
        <is>
          <t>Nhân viên</t>
        </is>
      </c>
      <c r="H10917" t="inlineStr">
        <is>
          <t>13/03/2026</t>
        </is>
      </c>
      <c r="I10917" t="inlineStr">
        <is>
          <t>12/04/2026</t>
        </is>
      </c>
      <c r="J10917" t="inlineStr">
        <is>
          <t>17/03/2026</t>
        </is>
      </c>
      <c r="K10917" t="inlineStr">
        <is>
          <t>N/A</t>
        </is>
      </c>
      <c r="L10917" t="inlineStr">
        <is>
          <t>Kinh Doanh Hóa Chất, Chăm Sóc Khách Hàng, Hóa Chất, Chemical, Tìm Kiếm Khách Hàng</t>
        </is>
      </c>
      <c r="M10917" t="inlineStr">
        <is>
          <t>Healthcare Plan, Paid Leave, Training, Others</t>
        </is>
      </c>
      <c r="N10917" s="8">
        <f>HYPERLINK("https://www.vietnamworks.com/nhan-vien-kinh-doanh-sales-hoa-chat-2023306-jv","Xem chi tiết")</f>
        <v/>
      </c>
    </row>
    <row r="10918">
      <c r="B10918" s="9" t="n">
        <v>10916</v>
      </c>
      <c r="C10918" s="10" t="inlineStr">
        <is>
          <t>Production Planner (CNC Manufacturing)</t>
        </is>
      </c>
      <c r="D10918" s="10" t="inlineStr">
        <is>
          <t>LEMBAK VIETNAM LIMITED LIABILITY COMPANY</t>
        </is>
      </c>
      <c r="E10918" s="10" t="inlineStr">
        <is>
          <t>Thương lượng</t>
        </is>
      </c>
      <c r="F10918" s="10" t="inlineStr">
        <is>
          <t>Bình Dương</t>
        </is>
      </c>
      <c r="G10918" s="10" t="inlineStr">
        <is>
          <t>Nhân viên</t>
        </is>
      </c>
      <c r="H10918" s="10" t="inlineStr">
        <is>
          <t>13/03/2026</t>
        </is>
      </c>
      <c r="I10918" s="10" t="inlineStr">
        <is>
          <t>12/04/2026</t>
        </is>
      </c>
      <c r="J10918" s="10" t="inlineStr">
        <is>
          <t>17/03/2026</t>
        </is>
      </c>
      <c r="K10918" s="10" t="inlineStr">
        <is>
          <t>N/A</t>
        </is>
      </c>
      <c r="L10918" s="10" t="inlineStr">
        <is>
          <t>Production Planning, BOM Management, Microsoft Excel, ERP Systems, Communication Skills</t>
        </is>
      </c>
      <c r="M10918" s="10" t="inlineStr">
        <is>
          <t>Bonus, Paid Leave, Training</t>
        </is>
      </c>
      <c r="N10918" s="11">
        <f>HYPERLINK("https://www.vietnamworks.com/production-planner-cnc-manufacturing-2023307-jv","Xem chi tiết")</f>
        <v/>
      </c>
      <c r="O10918" s="10" t="n"/>
    </row>
    <row r="10919">
      <c r="B10919" s="7" t="n">
        <v>10917</v>
      </c>
      <c r="C10919" t="inlineStr">
        <is>
          <t>Legal Manager (ASAP - 3 Headcounts)</t>
        </is>
      </c>
      <c r="D10919" t="inlineStr">
        <is>
          <t>CÔNG TY CỔ PHẦN NĂNG LƯỢNG VINENERGO</t>
        </is>
      </c>
      <c r="E10919" t="inlineStr">
        <is>
          <t>Thương lượng</t>
        </is>
      </c>
      <c r="F10919" t="inlineStr">
        <is>
          <t>Hà Nội</t>
        </is>
      </c>
      <c r="G10919" t="inlineStr">
        <is>
          <t>Trưởng phòng</t>
        </is>
      </c>
      <c r="H10919" t="inlineStr">
        <is>
          <t>13/03/2026</t>
        </is>
      </c>
      <c r="I10919" t="inlineStr">
        <is>
          <t>12/04/2026</t>
        </is>
      </c>
      <c r="J10919" t="inlineStr">
        <is>
          <t>17/03/2026</t>
        </is>
      </c>
      <c r="K10919" t="inlineStr">
        <is>
          <t>N/A</t>
        </is>
      </c>
      <c r="L10919" t="inlineStr">
        <is>
          <t>Due Diligence, M&amp;A, Professionalism, Project Development, Regulatory Examinations</t>
        </is>
      </c>
      <c r="M10919" t="inlineStr">
        <is>
          <t>Bonus, Healthcare Plan, Training, Others</t>
        </is>
      </c>
      <c r="N10919" s="8">
        <f>HYPERLINK("https://www.vietnamworks.com/legal-manager-asap-3-headcounts--2023319-jv","Xem chi tiết")</f>
        <v/>
      </c>
    </row>
    <row r="10920">
      <c r="B10920" s="9" t="n">
        <v>10918</v>
      </c>
      <c r="C10920" s="10" t="inlineStr">
        <is>
          <t>HO - Chuyên Viên Cao Cấp Quản Lý Dữ Liệu Tài Chính (MIS)</t>
        </is>
      </c>
      <c r="D10920" s="10" t="inlineStr">
        <is>
          <t>Ngân hàng Lộc Phát Việt Nam LPBank</t>
        </is>
      </c>
      <c r="E10920" s="10" t="inlineStr">
        <is>
          <t>Thương lượng</t>
        </is>
      </c>
      <c r="F10920" s="10" t="inlineStr">
        <is>
          <t>Hà Nội</t>
        </is>
      </c>
      <c r="G10920" s="10" t="inlineStr">
        <is>
          <t>Nhân viên</t>
        </is>
      </c>
      <c r="H10920" s="10" t="inlineStr">
        <is>
          <t>13/03/2026</t>
        </is>
      </c>
      <c r="I10920" s="10" t="inlineStr">
        <is>
          <t>12/04/2026</t>
        </is>
      </c>
      <c r="J10920" s="10" t="inlineStr">
        <is>
          <t>17/03/2026</t>
        </is>
      </c>
      <c r="K10920" s="10" t="inlineStr">
        <is>
          <t>N/A</t>
        </is>
      </c>
      <c r="L10920" s="10" t="inlineStr">
        <is>
          <t>Mô Phỏng Phân Tích, MIS, Power BI, Python, SQL</t>
        </is>
      </c>
      <c r="M10920" s="10" t="inlineStr">
        <is>
          <t>Bonus, Healthcare Plan, Training, Travel Opportunities, Others</t>
        </is>
      </c>
      <c r="N10920" s="11">
        <f>HYPERLINK("https://www.vietnamworks.com/ho-chuyen-vien-cao-cap-quan-ly-du-lieu-tai-chinh-mis-2023309-jv","Xem chi tiết")</f>
        <v/>
      </c>
      <c r="O10920" s="10" t="n"/>
    </row>
    <row r="10921">
      <c r="B10921" s="7" t="n">
        <v>10919</v>
      </c>
      <c r="C10921" t="inlineStr">
        <is>
          <t>Nhân Viên Bộ Phận Chứng Từ (Export/Import Documentation)</t>
        </is>
      </c>
      <c r="D10921" t="inlineStr">
        <is>
          <t>Cong Ty TNHH KMTC Vietnam</t>
        </is>
      </c>
      <c r="E10921" t="inlineStr">
        <is>
          <t>$$ 500-1,000 /tháng</t>
        </is>
      </c>
      <c r="F10921" t="inlineStr">
        <is>
          <t>Hồ Chí Minh</t>
        </is>
      </c>
      <c r="G10921" t="inlineStr">
        <is>
          <t>Nhân viên</t>
        </is>
      </c>
      <c r="H10921" t="inlineStr">
        <is>
          <t>13/03/2026</t>
        </is>
      </c>
      <c r="I10921" t="inlineStr">
        <is>
          <t>12/04/2026</t>
        </is>
      </c>
      <c r="J10921" t="inlineStr">
        <is>
          <t>17/03/2026</t>
        </is>
      </c>
      <c r="K10921" t="inlineStr">
        <is>
          <t>N/A</t>
        </is>
      </c>
      <c r="L10921" t="inlineStr">
        <is>
          <t>Logistics, MS Office, Data Entry, Chứng Từ Forwarding, Xuất Nhập Khẩu</t>
        </is>
      </c>
      <c r="M10921" t="inlineStr">
        <is>
          <t>Bonus, Healthcare Plan, Others</t>
        </is>
      </c>
      <c r="N10921" s="8">
        <f>HYPERLINK("https://www.vietnamworks.com/nhan-vien-bo-phan-chung-tu-exportimport-documentation-2023315-jv","Xem chi tiết")</f>
        <v/>
      </c>
    </row>
    <row r="10922">
      <c r="B10922" s="9" t="n">
        <v>10920</v>
      </c>
      <c r="C10922" s="10" t="inlineStr">
        <is>
          <t>Chuyên Viên Quản Lý Sản Xuất</t>
        </is>
      </c>
      <c r="D10922" s="10" t="inlineStr">
        <is>
          <t>Công Ty CP Hyundai Thành Công Thương Mại</t>
        </is>
      </c>
      <c r="E10922" s="10" t="inlineStr">
        <is>
          <t>$$ 400-600 /tháng</t>
        </is>
      </c>
      <c r="F10922" s="10" t="inlineStr">
        <is>
          <t>Ninh Bình</t>
        </is>
      </c>
      <c r="G10922" s="10" t="inlineStr">
        <is>
          <t>Nhân viên</t>
        </is>
      </c>
      <c r="H10922" s="10" t="inlineStr">
        <is>
          <t>13/03/2026</t>
        </is>
      </c>
      <c r="I10922" s="10" t="inlineStr">
        <is>
          <t>12/04/2026</t>
        </is>
      </c>
      <c r="J10922" s="10" t="inlineStr">
        <is>
          <t>17/03/2026</t>
        </is>
      </c>
      <c r="K10922" s="10" t="inlineStr">
        <is>
          <t>N/A</t>
        </is>
      </c>
      <c r="L10922" s="10" t="inlineStr">
        <is>
          <t>Production Coordination, Planning &amp; Analysis, Production Material</t>
        </is>
      </c>
      <c r="M10922" s="10" t="inlineStr">
        <is>
          <t>Bonus, Healthcare Plan, Travel Opportunities</t>
        </is>
      </c>
      <c r="N10922" s="11">
        <f>HYPERLINK("https://www.vietnamworks.com/chuyen-vien-quan-ly-san-xuat--2023317-jv","Xem chi tiết")</f>
        <v/>
      </c>
      <c r="O10922" s="10" t="n"/>
    </row>
    <row r="10923">
      <c r="B10923" s="7" t="n">
        <v>10921</v>
      </c>
      <c r="C10923" t="inlineStr">
        <is>
          <t>Nhân Viên Vận Hành (Tiếng Trung) (Upto 1500 USD/month)</t>
        </is>
      </c>
      <c r="D10923" t="inlineStr">
        <is>
          <t>CÔNG TY TNHH HELLOWORLD ONLINE EDUCATION VIETNAM</t>
        </is>
      </c>
      <c r="E10923" t="inlineStr">
        <is>
          <t>Thương lượng</t>
        </is>
      </c>
      <c r="F10923" t="inlineStr">
        <is>
          <t>Hồ Chí Minh</t>
        </is>
      </c>
      <c r="G10923" t="inlineStr">
        <is>
          <t>Nhân viên</t>
        </is>
      </c>
      <c r="H10923" t="inlineStr">
        <is>
          <t>13/03/2026</t>
        </is>
      </c>
      <c r="I10923" t="inlineStr">
        <is>
          <t>12/04/2026</t>
        </is>
      </c>
      <c r="J10923" t="inlineStr">
        <is>
          <t>17/03/2026</t>
        </is>
      </c>
      <c r="K10923" t="inlineStr">
        <is>
          <t>N/A</t>
        </is>
      </c>
      <c r="L10923" t="inlineStr">
        <is>
          <t>CRM System, Quản Lý Hệ Thống, Technical Support, Thông Thạo Tiếng Trung, Giải Quyết Vấn Đề</t>
        </is>
      </c>
      <c r="M10923" t="inlineStr">
        <is>
          <t>Healthcare Plan, Training, Team Activities</t>
        </is>
      </c>
      <c r="N10923" s="8">
        <f>HYPERLINK("https://www.vietnamworks.com/nhan-vien-van-hanh-tieng-trung-upto-1500-usdmonth-2023327-jv","Xem chi tiết")</f>
        <v/>
      </c>
    </row>
    <row r="10924">
      <c r="B10924" s="9" t="n">
        <v>10922</v>
      </c>
      <c r="C10924" s="10" t="inlineStr">
        <is>
          <t>Manufacturing Engineer</t>
        </is>
      </c>
      <c r="D10924" s="10" t="inlineStr">
        <is>
          <t>Unigen Vietnam Hanoi Co.Ltd</t>
        </is>
      </c>
      <c r="E10924" s="10" t="inlineStr">
        <is>
          <t>Thương lượng</t>
        </is>
      </c>
      <c r="F10924" s="10" t="inlineStr">
        <is>
          <t>Bắc Ninh, Bắc Giang, Hà Nội</t>
        </is>
      </c>
      <c r="G10924" s="10" t="inlineStr">
        <is>
          <t>Nhân viên</t>
        </is>
      </c>
      <c r="H10924" s="10" t="inlineStr">
        <is>
          <t>13/03/2026</t>
        </is>
      </c>
      <c r="I10924" s="10" t="inlineStr">
        <is>
          <t>12/04/2026</t>
        </is>
      </c>
      <c r="J10924" s="10" t="inlineStr">
        <is>
          <t>17/03/2026</t>
        </is>
      </c>
      <c r="K10924" s="10" t="inlineStr">
        <is>
          <t>N/A</t>
        </is>
      </c>
      <c r="L10924" s="10" t="inlineStr">
        <is>
          <t>Electrical Engineering, English Communication, Manufacturing Engineering, PCBA, SMT\r\r</t>
        </is>
      </c>
      <c r="M10924" s="10" t="inlineStr">
        <is>
          <t>Bonus, Healthcare Plan, Paid Leave</t>
        </is>
      </c>
      <c r="N10924" s="11">
        <f>HYPERLINK("https://www.vietnamworks.com/manufacturing-engineer-2023324-jv","Xem chi tiết")</f>
        <v/>
      </c>
      <c r="O10924" s="10" t="n"/>
    </row>
    <row r="10925">
      <c r="B10925" s="7" t="n">
        <v>10923</v>
      </c>
      <c r="C10925" t="inlineStr">
        <is>
          <t>(Urgent) Automation Engineer</t>
        </is>
      </c>
      <c r="D10925" t="inlineStr">
        <is>
          <t>Unigen Vietnam Hanoi Co.Ltd</t>
        </is>
      </c>
      <c r="E10925" t="inlineStr">
        <is>
          <t>Thương lượng</t>
        </is>
      </c>
      <c r="F10925" t="inlineStr">
        <is>
          <t>Hà Nội, Bắc Ninh, Bắc Giang</t>
        </is>
      </c>
      <c r="G10925" t="inlineStr">
        <is>
          <t>Nhân viên</t>
        </is>
      </c>
      <c r="H10925" t="inlineStr">
        <is>
          <t>13/03/2026</t>
        </is>
      </c>
      <c r="I10925" t="inlineStr">
        <is>
          <t>12/04/2026</t>
        </is>
      </c>
      <c r="J10925" t="inlineStr">
        <is>
          <t>17/03/2026</t>
        </is>
      </c>
      <c r="K10925" t="inlineStr">
        <is>
          <t>N/A</t>
        </is>
      </c>
      <c r="L10925" t="inlineStr">
        <is>
          <t>AutoCAD, Automation Engineering, AutoCAD Tool, SolidWorks, Vision Systems Design</t>
        </is>
      </c>
      <c r="M10925" t="inlineStr">
        <is>
          <t>Bonus, Healthcare Plan, Others</t>
        </is>
      </c>
      <c r="N10925" s="8">
        <f>HYPERLINK("https://www.vietnamworks.com/urgent-automation-engineer--2023323-jv","Xem chi tiết")</f>
        <v/>
      </c>
    </row>
    <row r="10926">
      <c r="B10926" s="9" t="n">
        <v>10924</v>
      </c>
      <c r="C10926" s="10" t="inlineStr">
        <is>
          <t xml:space="preserve">[Penang, Malaysia] Chemist </t>
        </is>
      </c>
      <c r="D10926" s="10" t="inlineStr">
        <is>
          <t>Ultimate Machining Solutions (M) Sdn Bhd</t>
        </is>
      </c>
      <c r="E10926" s="10" t="inlineStr">
        <is>
          <t>Thương lượng</t>
        </is>
      </c>
      <c r="F10926" s="10" t="inlineStr">
        <is>
          <t>Quốc tế</t>
        </is>
      </c>
      <c r="G10926" s="10" t="inlineStr">
        <is>
          <t>Nhân viên</t>
        </is>
      </c>
      <c r="H10926" s="10" t="inlineStr">
        <is>
          <t>13/03/2026</t>
        </is>
      </c>
      <c r="I10926" s="10" t="inlineStr">
        <is>
          <t>12/04/2026</t>
        </is>
      </c>
      <c r="J10926" s="10" t="inlineStr">
        <is>
          <t>17/03/2026</t>
        </is>
      </c>
      <c r="K10926" s="10" t="inlineStr">
        <is>
          <t>N/A</t>
        </is>
      </c>
      <c r="L10926" s="10" t="inlineStr">
        <is>
          <t>Chemical Application, Chemical Product, Chemical Technology, Chemistry, Production Planning</t>
        </is>
      </c>
      <c r="M10926" s="10" t="inlineStr">
        <is>
          <t>Bonus, Healthcare Plan, Paid Leave, Canteen, Others</t>
        </is>
      </c>
      <c r="N10926" s="11">
        <f>HYPERLINK("https://www.vietnamworks.com/penang-malaysia-chemist-2023332-jv","Xem chi tiết")</f>
        <v/>
      </c>
      <c r="O10926" s="10" t="n"/>
    </row>
    <row r="10927">
      <c r="B10927" s="7" t="n">
        <v>10925</v>
      </c>
      <c r="C10927" t="inlineStr">
        <is>
          <t xml:space="preserve">[Penang, Malaysia] IT Executive </t>
        </is>
      </c>
      <c r="D10927" t="inlineStr">
        <is>
          <t>Ultimate Machining Solutions (M) Sdn Bhd</t>
        </is>
      </c>
      <c r="E10927" t="inlineStr">
        <is>
          <t>Thương lượng</t>
        </is>
      </c>
      <c r="F10927" t="inlineStr">
        <is>
          <t>Quốc tế</t>
        </is>
      </c>
      <c r="G10927" t="inlineStr">
        <is>
          <t>Nhân viên</t>
        </is>
      </c>
      <c r="H10927" t="inlineStr">
        <is>
          <t>13/03/2026</t>
        </is>
      </c>
      <c r="I10927" t="inlineStr">
        <is>
          <t>12/04/2026</t>
        </is>
      </c>
      <c r="J10927" t="inlineStr">
        <is>
          <t>17/03/2026</t>
        </is>
      </c>
      <c r="K10927" t="inlineStr">
        <is>
          <t>N/A</t>
        </is>
      </c>
      <c r="L10927" t="inlineStr">
        <is>
          <t>IT Administration, IT Operations, Asset Management, IT Support, System Administration</t>
        </is>
      </c>
      <c r="M10927" t="inlineStr">
        <is>
          <t>Bonus, Healthcare Plan, Paid Leave, Canteen, Others</t>
        </is>
      </c>
      <c r="N10927" s="8">
        <f>HYPERLINK("https://www.vietnamworks.com/penang-malaysia-it-executive-2023328-jv","Xem chi tiết")</f>
        <v/>
      </c>
    </row>
    <row r="10928">
      <c r="B10928" s="9" t="n">
        <v>10926</v>
      </c>
      <c r="C10928" s="10" t="inlineStr">
        <is>
          <t>Kế Toán Viên (Công Ty Liên Quan)</t>
        </is>
      </c>
      <c r="D10928" s="10" t="inlineStr">
        <is>
          <t>Công Ty Cổ Phần Chứng Khoán SSI</t>
        </is>
      </c>
      <c r="E10928" s="10" t="inlineStr">
        <is>
          <t>Thương lượng</t>
        </is>
      </c>
      <c r="F10928" s="10" t="inlineStr">
        <is>
          <t>Hà Nội</t>
        </is>
      </c>
      <c r="G10928" s="10" t="inlineStr">
        <is>
          <t>Nhân viên</t>
        </is>
      </c>
      <c r="H10928" s="10" t="inlineStr">
        <is>
          <t>13/03/2026</t>
        </is>
      </c>
      <c r="I10928" s="10" t="inlineStr">
        <is>
          <t>12/04/2026</t>
        </is>
      </c>
      <c r="J10928" s="10" t="inlineStr">
        <is>
          <t>17/03/2026</t>
        </is>
      </c>
      <c r="K10928" s="10" t="inlineStr">
        <is>
          <t>N/A</t>
        </is>
      </c>
      <c r="L10928" s="10" t="inlineStr">
        <is>
          <t>Excel, Kế Toán, Phần mềm kế toán, Báo Cáo Tài Chính, Kế Toán Tổng Hợp</t>
        </is>
      </c>
      <c r="M10928" s="10" t="inlineStr">
        <is>
          <t>Bonus, Healthcare Plan, Paid Leave</t>
        </is>
      </c>
      <c r="N10928" s="11">
        <f>HYPERLINK("https://www.vietnamworks.com/ke-toan-vien-cong-ty-lien-quan-2023321-jv","Xem chi tiết")</f>
        <v/>
      </c>
      <c r="O10928" s="10" t="n"/>
    </row>
    <row r="10929">
      <c r="B10929" s="7" t="n">
        <v>10927</v>
      </c>
      <c r="C10929" t="inlineStr">
        <is>
          <t>Nhân Viên Kinh Doanh B2B - Kênh Phân Phối</t>
        </is>
      </c>
      <c r="D10929" t="inlineStr">
        <is>
          <t>Công Ty Cổ Phần Nhà An Toàn</t>
        </is>
      </c>
      <c r="E10929" t="inlineStr">
        <is>
          <t>12tr-20tr ₫/tháng</t>
        </is>
      </c>
      <c r="F10929" t="inlineStr">
        <is>
          <t>Hà Nội, Hồ Chí Minh</t>
        </is>
      </c>
      <c r="G10929" t="inlineStr">
        <is>
          <t>Nhân viên</t>
        </is>
      </c>
      <c r="H10929" t="inlineStr">
        <is>
          <t>13/03/2026</t>
        </is>
      </c>
      <c r="I10929" t="inlineStr">
        <is>
          <t>12/04/2026</t>
        </is>
      </c>
      <c r="J10929" t="inlineStr">
        <is>
          <t>17/03/2026</t>
        </is>
      </c>
      <c r="K10929" t="inlineStr">
        <is>
          <t>N/A</t>
        </is>
      </c>
      <c r="L10929" t="inlineStr">
        <is>
          <t>Chăm Sóc Khách Hàng, Kinh Doanh B2B, Phân Tích Thị Trường, Quản Trị Khách Hàng, Đàm Phán Hợp Đồng</t>
        </is>
      </c>
      <c r="M10929" t="inlineStr">
        <is>
          <t>Bonus, Healthcare Plan, Training, Laptop, Team Activities, Others</t>
        </is>
      </c>
      <c r="N10929" s="8">
        <f>HYPERLINK("https://www.vietnamworks.com/nhan-vien-kinh-doanh-b2b-kenh-phan-phoi-2023326-jv","Xem chi tiết")</f>
        <v/>
      </c>
    </row>
    <row r="10930">
      <c r="B10930" s="9" t="n">
        <v>10928</v>
      </c>
      <c r="C10930" s="10" t="inlineStr">
        <is>
          <t>[Penang, Malaysia] CNC Machinist</t>
        </is>
      </c>
      <c r="D10930" s="10" t="inlineStr">
        <is>
          <t>Ultimate Machining Solutions (M) Sdn Bhd</t>
        </is>
      </c>
      <c r="E10930" s="10" t="inlineStr">
        <is>
          <t>Thương lượng</t>
        </is>
      </c>
      <c r="F10930" s="10" t="inlineStr">
        <is>
          <t>Quốc tế</t>
        </is>
      </c>
      <c r="G10930" s="10" t="inlineStr">
        <is>
          <t>Nhân viên</t>
        </is>
      </c>
      <c r="H10930" s="10" t="inlineStr">
        <is>
          <t>13/03/2026</t>
        </is>
      </c>
      <c r="I10930" s="10" t="inlineStr">
        <is>
          <t>12/04/2026</t>
        </is>
      </c>
      <c r="J10930" s="10" t="inlineStr">
        <is>
          <t>17/03/2026</t>
        </is>
      </c>
      <c r="K10930" s="10" t="inlineStr">
        <is>
          <t>N/A</t>
        </is>
      </c>
      <c r="L10930" s="10" t="inlineStr">
        <is>
          <t>Mechanical, Mechanical Maintenance, Mechanical Product Design, CNC 5 Axis, CNC Milling</t>
        </is>
      </c>
      <c r="M10930" s="10" t="inlineStr">
        <is>
          <t>Bonus, Healthcare Plan, Paid Leave, Canteen, Others</t>
        </is>
      </c>
      <c r="N10930" s="11">
        <f>HYPERLINK("https://www.vietnamworks.com/penang-malaysia-cnc-machinist-2023334-jv","Xem chi tiết")</f>
        <v/>
      </c>
      <c r="O10930" s="10" t="n"/>
    </row>
    <row r="10931">
      <c r="B10931" s="7" t="n">
        <v>10929</v>
      </c>
      <c r="C10931" t="inlineStr">
        <is>
          <t>Nhân Viên Kế Toán (Accountant)</t>
        </is>
      </c>
      <c r="D10931" t="inlineStr">
        <is>
          <t>Công Ty TNHH Đông Dương Sài Gòn</t>
        </is>
      </c>
      <c r="E10931" t="inlineStr">
        <is>
          <t>Thương lượng</t>
        </is>
      </c>
      <c r="F10931" t="inlineStr">
        <is>
          <t>Long An, Hồ Chí Minh</t>
        </is>
      </c>
      <c r="G10931" t="inlineStr">
        <is>
          <t>Mới Tốt Nghiệp</t>
        </is>
      </c>
      <c r="H10931" t="inlineStr">
        <is>
          <t>13/03/2026</t>
        </is>
      </c>
      <c r="I10931" t="inlineStr">
        <is>
          <t>12/04/2026</t>
        </is>
      </c>
      <c r="J10931" t="inlineStr">
        <is>
          <t>17/03/2026</t>
        </is>
      </c>
      <c r="K10931" t="inlineStr">
        <is>
          <t>N/A</t>
        </is>
      </c>
      <c r="L10931" t="inlineStr">
        <is>
          <t>Kế Toán Tổng Hợp, Excel, Kế Toán Công Nợ, Kế Toán Kho, Kế Toán Thanh Toán</t>
        </is>
      </c>
      <c r="M10931" t="inlineStr">
        <is>
          <t>Bonus, Healthcare Plan, Others</t>
        </is>
      </c>
      <c r="N10931" s="8">
        <f>HYPERLINK("https://www.vietnamworks.com/nhan-vien-ke-toan-accountant-2023320-jv","Xem chi tiết")</f>
        <v/>
      </c>
    </row>
    <row r="10932">
      <c r="B10932" s="9" t="n">
        <v>10930</v>
      </c>
      <c r="C10932" s="10" t="inlineStr">
        <is>
          <t>Trưởng Phòng Nhân Sự Kiêm Trợ Lý Giám Đốc</t>
        </is>
      </c>
      <c r="D10932" s="10" t="inlineStr">
        <is>
          <t>Công Ty TNHH Đông Dương Sài Gòn</t>
        </is>
      </c>
      <c r="E10932" s="10" t="inlineStr">
        <is>
          <t>Thương lượng</t>
        </is>
      </c>
      <c r="F10932" s="10" t="inlineStr">
        <is>
          <t>Hồ Chí Minh</t>
        </is>
      </c>
      <c r="G10932" s="10" t="inlineStr">
        <is>
          <t>Trưởng phòng</t>
        </is>
      </c>
      <c r="H10932" s="10" t="inlineStr">
        <is>
          <t>13/03/2026</t>
        </is>
      </c>
      <c r="I10932" s="10" t="inlineStr">
        <is>
          <t>12/04/2026</t>
        </is>
      </c>
      <c r="J10932" s="10" t="inlineStr">
        <is>
          <t>17/03/2026</t>
        </is>
      </c>
      <c r="K10932" s="10" t="inlineStr">
        <is>
          <t>N/A</t>
        </is>
      </c>
      <c r="L10932" s="10" t="inlineStr">
        <is>
          <t>Nhân Sự, Trợ lý cấp cao, Quản trị &amp; Chiến lược, Trợ Lý, Xây Dựng Chiến Lược</t>
        </is>
      </c>
      <c r="M10932" s="10" t="inlineStr">
        <is>
          <t>Others</t>
        </is>
      </c>
      <c r="N10932" s="11">
        <f>HYPERLINK("https://www.vietnamworks.com/truong-phong-nhan-su-kiem-tro-ly-giam-djoc-2023325-jv","Xem chi tiết")</f>
        <v/>
      </c>
      <c r="O10932" s="10" t="n"/>
    </row>
    <row r="10933">
      <c r="B10933" s="7" t="n">
        <v>10931</v>
      </c>
      <c r="C10933" t="inlineStr">
        <is>
          <t xml:space="preserve">[Penang, Malaysia] CNC Programmer </t>
        </is>
      </c>
      <c r="D10933" t="inlineStr">
        <is>
          <t>Ultimate Machining Solutions (M) Sdn Bhd</t>
        </is>
      </c>
      <c r="E10933" t="inlineStr">
        <is>
          <t>Thương lượng</t>
        </is>
      </c>
      <c r="F10933" t="inlineStr">
        <is>
          <t>Quốc tế</t>
        </is>
      </c>
      <c r="G10933" t="inlineStr">
        <is>
          <t>Nhân viên</t>
        </is>
      </c>
      <c r="H10933" t="inlineStr">
        <is>
          <t>13/03/2026</t>
        </is>
      </c>
      <c r="I10933" t="inlineStr">
        <is>
          <t>12/04/2026</t>
        </is>
      </c>
      <c r="J10933" t="inlineStr">
        <is>
          <t>17/03/2026</t>
        </is>
      </c>
      <c r="K10933" t="inlineStr">
        <is>
          <t>N/A</t>
        </is>
      </c>
      <c r="L10933" t="inlineStr">
        <is>
          <t>Mechanical, Mechanical Maintenance, Mechanical Product Design, CNC Milling, SolidWorks</t>
        </is>
      </c>
      <c r="M10933" t="inlineStr">
        <is>
          <t>Bonus, Healthcare Plan, Paid Leave, Canteen, Others</t>
        </is>
      </c>
      <c r="N10933" s="8">
        <f>HYPERLINK("https://www.vietnamworks.com/penang-malaysia-cnc-programmer-2023333-jv","Xem chi tiết")</f>
        <v/>
      </c>
    </row>
    <row r="10934">
      <c r="B10934" s="9" t="n">
        <v>10932</v>
      </c>
      <c r="C10934" s="10" t="inlineStr">
        <is>
          <t>[Penang, Malaysia] Mechanical Engineer</t>
        </is>
      </c>
      <c r="D10934" s="10" t="inlineStr">
        <is>
          <t>Ultimate Machining Solutions (M) Sdn Bhd</t>
        </is>
      </c>
      <c r="E10934" s="10" t="inlineStr">
        <is>
          <t>Thương lượng</t>
        </is>
      </c>
      <c r="F10934" s="10" t="inlineStr">
        <is>
          <t>Quốc tế</t>
        </is>
      </c>
      <c r="G10934" s="10" t="inlineStr">
        <is>
          <t>Nhân viên</t>
        </is>
      </c>
      <c r="H10934" s="10" t="inlineStr">
        <is>
          <t>13/03/2026</t>
        </is>
      </c>
      <c r="I10934" s="10" t="inlineStr">
        <is>
          <t>12/04/2026</t>
        </is>
      </c>
      <c r="J10934" s="10" t="inlineStr">
        <is>
          <t>17/03/2026</t>
        </is>
      </c>
      <c r="K10934" s="10" t="inlineStr">
        <is>
          <t>N/A</t>
        </is>
      </c>
      <c r="L10934" s="10" t="inlineStr">
        <is>
          <t>Mechanical and Electrical, Mechanical Calibration, Mechanical Maintenance, CAD Technology, CNC CAD</t>
        </is>
      </c>
      <c r="M10934" s="10" t="inlineStr">
        <is>
          <t>Bonus, Healthcare Plan, Paid Leave, Canteen, Others</t>
        </is>
      </c>
      <c r="N10934" s="11">
        <f>HYPERLINK("https://www.vietnamworks.com/penang-malaysia-mechanical-engineer-2023340-jv","Xem chi tiết")</f>
        <v/>
      </c>
      <c r="O10934" s="10" t="n"/>
    </row>
    <row r="10935">
      <c r="B10935" s="7" t="n">
        <v>10933</v>
      </c>
      <c r="C10935" t="inlineStr">
        <is>
          <t>[Penang, Malaysia] Quality Assurance Engineer</t>
        </is>
      </c>
      <c r="D10935" t="inlineStr">
        <is>
          <t>Ultimate Machining Solutions (M) Sdn Bhd</t>
        </is>
      </c>
      <c r="E10935" t="inlineStr">
        <is>
          <t>Thương lượng</t>
        </is>
      </c>
      <c r="F10935" t="inlineStr">
        <is>
          <t>Quốc tế</t>
        </is>
      </c>
      <c r="G10935" t="inlineStr">
        <is>
          <t>Nhân viên</t>
        </is>
      </c>
      <c r="H10935" t="inlineStr">
        <is>
          <t>13/03/2026</t>
        </is>
      </c>
      <c r="I10935" t="inlineStr">
        <is>
          <t>12/04/2026</t>
        </is>
      </c>
      <c r="J10935" t="inlineStr">
        <is>
          <t>17/03/2026</t>
        </is>
      </c>
      <c r="K10935" t="inlineStr">
        <is>
          <t>N/A</t>
        </is>
      </c>
      <c r="L10935" t="inlineStr">
        <is>
          <t>Quality Assurance, 2D Drafting, ISO, Jig Design, Testing Process</t>
        </is>
      </c>
      <c r="M10935" t="inlineStr">
        <is>
          <t>Bonus, Healthcare Plan, Paid Leave, Canteen, Others</t>
        </is>
      </c>
      <c r="N10935" s="8">
        <f>HYPERLINK("https://www.vietnamworks.com/penang-malaysia-quality-assurance-engineer-2023344-jv","Xem chi tiết")</f>
        <v/>
      </c>
    </row>
    <row r="10936">
      <c r="B10936" s="9" t="n">
        <v>10934</v>
      </c>
      <c r="C10936" s="10" t="inlineStr">
        <is>
          <t>Kỹ Sư Cơ Điện (MEP) Làm Việc Tại Quảng Ngãi</t>
        </is>
      </c>
      <c r="D10936" s="10" t="inlineStr">
        <is>
          <t>Công Ty TNHH Mega D&amp;C</t>
        </is>
      </c>
      <c r="E10936" s="10" t="inlineStr">
        <is>
          <t>Thương lượng</t>
        </is>
      </c>
      <c r="F10936" s="10" t="inlineStr">
        <is>
          <t>Quảng Ngãi</t>
        </is>
      </c>
      <c r="G10936" s="10" t="inlineStr">
        <is>
          <t>Nhân viên</t>
        </is>
      </c>
      <c r="H10936" s="10" t="inlineStr">
        <is>
          <t>13/03/2026</t>
        </is>
      </c>
      <c r="I10936" s="10" t="inlineStr">
        <is>
          <t>12/04/2026</t>
        </is>
      </c>
      <c r="J10936" s="10" t="inlineStr">
        <is>
          <t>17/03/2026</t>
        </is>
      </c>
      <c r="K10936" s="10" t="inlineStr">
        <is>
          <t>N/A</t>
        </is>
      </c>
      <c r="L10936" s="10" t="inlineStr">
        <is>
          <t>MEP Engineering, MEP System Design, Báo Giá, Cơ Điện, Đấu Thầu</t>
        </is>
      </c>
      <c r="M10936" s="10" t="inlineStr">
        <is>
          <t>Bonus, Healthcare Plan, Paid Leave, Others</t>
        </is>
      </c>
      <c r="N10936" s="11">
        <f>HYPERLINK("https://www.vietnamworks.com/ky-su-co-djien-mep-lam-viec-tai-quang-ngai-2023337-jv","Xem chi tiết")</f>
        <v/>
      </c>
      <c r="O10936" s="10" t="n"/>
    </row>
    <row r="10937">
      <c r="B10937" s="7" t="n">
        <v>10935</v>
      </c>
      <c r="C10937" t="inlineStr">
        <is>
          <t>[Penang, Malaysia] Sheet Metal CNC Programmer/ Setter</t>
        </is>
      </c>
      <c r="D10937" t="inlineStr">
        <is>
          <t>Ultimate Machining Solutions (M) Sdn Bhd</t>
        </is>
      </c>
      <c r="E10937" t="inlineStr">
        <is>
          <t>Thương lượng</t>
        </is>
      </c>
      <c r="F10937" t="inlineStr">
        <is>
          <t>Quốc tế</t>
        </is>
      </c>
      <c r="G10937" t="inlineStr">
        <is>
          <t>Nhân viên</t>
        </is>
      </c>
      <c r="H10937" t="inlineStr">
        <is>
          <t>13/03/2026</t>
        </is>
      </c>
      <c r="I10937" t="inlineStr">
        <is>
          <t>12/04/2026</t>
        </is>
      </c>
      <c r="J10937" t="inlineStr">
        <is>
          <t>17/03/2026</t>
        </is>
      </c>
      <c r="K10937" t="inlineStr">
        <is>
          <t>N/A</t>
        </is>
      </c>
      <c r="L10937" t="inlineStr">
        <is>
          <t>HVAC Solutions, Air Conditioning Systems, Refrigeration, CNC, Mechainical Design</t>
        </is>
      </c>
      <c r="M10937" t="inlineStr">
        <is>
          <t>Bonus, Healthcare Plan, Paid Leave, Canteen, Others</t>
        </is>
      </c>
      <c r="N10937" s="8">
        <f>HYPERLINK("https://www.vietnamworks.com/penang-malaysia-sheet-metal-cnc-programmer-setter-2023349-jv","Xem chi tiết")</f>
        <v/>
      </c>
    </row>
    <row r="10938">
      <c r="B10938" s="9" t="n">
        <v>10936</v>
      </c>
      <c r="C10938" s="10" t="inlineStr">
        <is>
          <t>Chuyên Viên Kinh Doanh Tài Chính</t>
        </is>
      </c>
      <c r="D10938" s="10" t="inlineStr">
        <is>
          <t>Công ty TNHH Otis Minh Châu</t>
        </is>
      </c>
      <c r="E10938" s="10" t="inlineStr">
        <is>
          <t>25tr-30tr ₫/tháng</t>
        </is>
      </c>
      <c r="F10938" s="10" t="inlineStr">
        <is>
          <t>Hồ Chí Minh</t>
        </is>
      </c>
      <c r="G10938" s="10" t="inlineStr">
        <is>
          <t>Nhân viên</t>
        </is>
      </c>
      <c r="H10938" s="10" t="inlineStr">
        <is>
          <t>13/03/2026</t>
        </is>
      </c>
      <c r="I10938" s="10" t="inlineStr">
        <is>
          <t>12/04/2026</t>
        </is>
      </c>
      <c r="J10938" s="10" t="inlineStr">
        <is>
          <t>17/03/2026</t>
        </is>
      </c>
      <c r="K10938" s="10" t="inlineStr">
        <is>
          <t>N/A</t>
        </is>
      </c>
      <c r="L10938" s="10" t="inlineStr">
        <is>
          <t>Tài Chính Doanh Nghiệp, Đầu Tư, M&amp;A, Quản Lý Quỹ Đầu Tư, Tiếng Anh</t>
        </is>
      </c>
      <c r="M10938" s="10" t="inlineStr">
        <is>
          <t>Bonus, Healthcare Plan, Others</t>
        </is>
      </c>
      <c r="N10938" s="11">
        <f>HYPERLINK("https://www.vietnamworks.com/chuyen-vien-kinh-doanh-tai-chinh-2023355-jv","Xem chi tiết")</f>
        <v/>
      </c>
      <c r="O10938" s="10" t="n"/>
    </row>
    <row r="10939">
      <c r="B10939" s="7" t="n">
        <v>10937</v>
      </c>
      <c r="C10939" t="inlineStr">
        <is>
          <t>Kế Toán</t>
        </is>
      </c>
      <c r="D10939" t="inlineStr">
        <is>
          <t>Công Ty TNHH NIPRO Pharma Việt Nam</t>
        </is>
      </c>
      <c r="E10939" t="inlineStr">
        <is>
          <t>Thương lượng</t>
        </is>
      </c>
      <c r="F10939" t="inlineStr">
        <is>
          <t>Hải Phòng</t>
        </is>
      </c>
      <c r="G10939" t="inlineStr">
        <is>
          <t>Nhân viên</t>
        </is>
      </c>
      <c r="H10939" t="inlineStr">
        <is>
          <t>13/03/2026</t>
        </is>
      </c>
      <c r="I10939" t="inlineStr">
        <is>
          <t>12/04/2026</t>
        </is>
      </c>
      <c r="J10939" t="inlineStr">
        <is>
          <t>17/03/2026</t>
        </is>
      </c>
      <c r="K10939" t="inlineStr">
        <is>
          <t>N/A</t>
        </is>
      </c>
      <c r="L10939" t="inlineStr">
        <is>
          <t>Kế Toán Chi Phí, Kế Toán Tổng Hợp, Kế Toán, Kiểm Toán, Tài Chính</t>
        </is>
      </c>
      <c r="M10939" t="inlineStr">
        <is>
          <t>Bonus, Healthcare Plan, Others</t>
        </is>
      </c>
      <c r="N10939" s="8">
        <f>HYPERLINK("https://www.vietnamworks.com/ke-toan--2023360-jv","Xem chi tiết")</f>
        <v/>
      </c>
    </row>
    <row r="10940">
      <c r="B10940" s="9" t="n">
        <v>10938</v>
      </c>
      <c r="C10940" s="10" t="inlineStr">
        <is>
          <t>Chuyên Viên Content (Lương Upto 25 Triệu/ Tháng)</t>
        </is>
      </c>
      <c r="D10940" s="10" t="inlineStr">
        <is>
          <t>Công Ty Cổ Phần Dược Phẩm Hoa Linh</t>
        </is>
      </c>
      <c r="E10940" s="10" t="inlineStr">
        <is>
          <t>12tr-25tr ₫/tháng</t>
        </is>
      </c>
      <c r="F10940" s="10" t="inlineStr">
        <is>
          <t>Hà Nội</t>
        </is>
      </c>
      <c r="G10940" s="10" t="inlineStr">
        <is>
          <t>Nhân viên</t>
        </is>
      </c>
      <c r="H10940" s="10" t="inlineStr">
        <is>
          <t>13/03/2026</t>
        </is>
      </c>
      <c r="I10940" s="10" t="inlineStr">
        <is>
          <t>12/04/2026</t>
        </is>
      </c>
      <c r="J10940" s="10" t="inlineStr">
        <is>
          <t>17/03/2026</t>
        </is>
      </c>
      <c r="K10940" s="10" t="inlineStr">
        <is>
          <t>N/A</t>
        </is>
      </c>
      <c r="L10940" s="10" t="inlineStr">
        <is>
          <t>Content Creating, Quảng Cáo Bán Hàng, Content Marketing, Marketing, Truyền Thông</t>
        </is>
      </c>
      <c r="M10940" s="10" t="inlineStr">
        <is>
          <t>Bonus, Healthcare Plan, Paid Leave</t>
        </is>
      </c>
      <c r="N10940" s="11">
        <f>HYPERLINK("https://www.vietnamworks.com/chuyen-vien-content-luong-upto-25-trieu-thang--2023354-jv","Xem chi tiết")</f>
        <v/>
      </c>
      <c r="O10940" s="10" t="n"/>
    </row>
    <row r="10941">
      <c r="B10941" s="7" t="n">
        <v>10939</v>
      </c>
      <c r="C10941" t="inlineStr">
        <is>
          <t>Nhân Viên Digital Marketing</t>
        </is>
      </c>
      <c r="D10941" t="inlineStr">
        <is>
          <t>Công Ty Cổ Phần Dược Phẩm Hoa Linh</t>
        </is>
      </c>
      <c r="E10941" t="inlineStr">
        <is>
          <t>15tr-20tr ₫/tháng</t>
        </is>
      </c>
      <c r="F10941" t="inlineStr">
        <is>
          <t>Hà Nội</t>
        </is>
      </c>
      <c r="G10941" t="inlineStr">
        <is>
          <t>Nhân viên</t>
        </is>
      </c>
      <c r="H10941" t="inlineStr">
        <is>
          <t>13/03/2026</t>
        </is>
      </c>
      <c r="I10941" t="inlineStr">
        <is>
          <t>12/04/2026</t>
        </is>
      </c>
      <c r="J10941" t="inlineStr">
        <is>
          <t>17/03/2026</t>
        </is>
      </c>
      <c r="K10941" t="inlineStr">
        <is>
          <t>N/A</t>
        </is>
      </c>
      <c r="L10941" t="inlineStr">
        <is>
          <t>SEO, Google Ads, Marketing Online, Quản Lý Nội Dung, Thương Mại Điện Tử</t>
        </is>
      </c>
      <c r="M10941" t="inlineStr">
        <is>
          <t>Bonus, Healthcare Plan, Paid Leave</t>
        </is>
      </c>
      <c r="N10941" s="8">
        <f>HYPERLINK("https://www.vietnamworks.com/nhan-vien-digital-marketing--2023356-jv","Xem chi tiết")</f>
        <v/>
      </c>
    </row>
    <row r="10942">
      <c r="B10942" s="9" t="n">
        <v>10940</v>
      </c>
      <c r="C10942" s="10" t="inlineStr">
        <is>
          <t>Nhân Viên Kinh Doanh Thiết Bị (Thu Nhập Hấp Dẫn)</t>
        </is>
      </c>
      <c r="D10942" s="10" t="inlineStr">
        <is>
          <t>CÔNG TY TNHH THƯƠNG MẠI THIẾT BỊ KỸ THUẬT TIÊN TIẾN</t>
        </is>
      </c>
      <c r="E10942" s="10" t="inlineStr">
        <is>
          <t>15tr-20tr ₫/tháng</t>
        </is>
      </c>
      <c r="F10942" s="10" t="inlineStr">
        <is>
          <t>Hồ Chí Minh, Hà Nội</t>
        </is>
      </c>
      <c r="G10942" s="10" t="inlineStr">
        <is>
          <t>Nhân viên</t>
        </is>
      </c>
      <c r="H10942" s="10" t="inlineStr">
        <is>
          <t>13/03/2026</t>
        </is>
      </c>
      <c r="I10942" s="10" t="inlineStr">
        <is>
          <t>12/04/2026</t>
        </is>
      </c>
      <c r="J10942" s="10" t="inlineStr">
        <is>
          <t>17/03/2026</t>
        </is>
      </c>
      <c r="K10942" s="10" t="inlineStr">
        <is>
          <t>N/A</t>
        </is>
      </c>
      <c r="L10942" s="10" t="inlineStr">
        <is>
          <t>Lập Kế Hoạch Kinh Doanh, Kinh Doanh Thiết Bị Công Nghiệp, Tiếng Anh, Vi tính văn phòng, Sales Engineering</t>
        </is>
      </c>
      <c r="M10942" s="10" t="inlineStr">
        <is>
          <t>Bonus, Healthcare Plan</t>
        </is>
      </c>
      <c r="N10942" s="11">
        <f>HYPERLINK("https://www.vietnamworks.com/nhan-vien-kinh-doanh-thiet-bi-thu-nhap-hap-dan-2023358-jv","Xem chi tiết")</f>
        <v/>
      </c>
      <c r="O10942" s="10" t="n"/>
    </row>
    <row r="10943">
      <c r="B10943" s="7" t="n">
        <v>10941</v>
      </c>
      <c r="C10943" t="inlineStr">
        <is>
          <t>Global Business Operations Executive (Japanese Speaking)</t>
        </is>
      </c>
      <c r="D10943" t="inlineStr">
        <is>
          <t>AWING Technologies And Media</t>
        </is>
      </c>
      <c r="E10943" t="inlineStr">
        <is>
          <t>Thương lượng</t>
        </is>
      </c>
      <c r="F10943" t="inlineStr">
        <is>
          <t>Hà Nội</t>
        </is>
      </c>
      <c r="G10943" t="inlineStr">
        <is>
          <t>Nhân viên</t>
        </is>
      </c>
      <c r="H10943" t="inlineStr">
        <is>
          <t>13/03/2026</t>
        </is>
      </c>
      <c r="I10943" t="inlineStr">
        <is>
          <t>12/04/2026</t>
        </is>
      </c>
      <c r="J10943" t="inlineStr">
        <is>
          <t>17/03/2026</t>
        </is>
      </c>
      <c r="K10943" t="inlineStr">
        <is>
          <t>N/A</t>
        </is>
      </c>
      <c r="L10943" t="inlineStr">
        <is>
          <t>Japanese Business, Communication English, SOP Management</t>
        </is>
      </c>
      <c r="M10943" t="inlineStr">
        <is>
          <t>Others</t>
        </is>
      </c>
      <c r="N10943" s="8">
        <f>HYPERLINK("https://www.vietnamworks.com/global-business-operations-executive-japanese-speaking-2023353-jv","Xem chi tiết")</f>
        <v/>
      </c>
    </row>
    <row r="10944">
      <c r="B10944" s="9" t="n">
        <v>10942</v>
      </c>
      <c r="C10944" s="10" t="inlineStr">
        <is>
          <t>Chuyên Viên R&amp;D Công Nghệ Thực Phẩm kiêm QC</t>
        </is>
      </c>
      <c r="D10944" s="10" t="inlineStr">
        <is>
          <t>Công Ty Cổ Phần Cơm Niêu Thiên Lý</t>
        </is>
      </c>
      <c r="E10944" s="10" t="inlineStr">
        <is>
          <t>$$ 600-1,000 /tháng</t>
        </is>
      </c>
      <c r="F10944" s="10" t="inlineStr">
        <is>
          <t>Hồ Chí Minh</t>
        </is>
      </c>
      <c r="G10944" s="10" t="inlineStr">
        <is>
          <t>Nhân viên</t>
        </is>
      </c>
      <c r="H10944" s="10" t="inlineStr">
        <is>
          <t>13/03/2026</t>
        </is>
      </c>
      <c r="I10944" s="10" t="inlineStr">
        <is>
          <t>12/04/2026</t>
        </is>
      </c>
      <c r="J10944" s="10" t="inlineStr">
        <is>
          <t>17/03/2026</t>
        </is>
      </c>
      <c r="K10944" s="10" t="inlineStr">
        <is>
          <t>N/A</t>
        </is>
      </c>
      <c r="L10944" s="10" t="inlineStr">
        <is>
          <t>Giao Tiếp, R&amp;D, Phát Triển Sản Phẩm</t>
        </is>
      </c>
      <c r="M10944" s="10" t="inlineStr">
        <is>
          <t>Bonus, Healthcare Plan, Travel Opportunities</t>
        </is>
      </c>
      <c r="N10944" s="11">
        <f>HYPERLINK("https://www.vietnamworks.com/chuyen-vien-r-d-cong-nghe-thuc-pham-kiem-qc-2023364-jv","Xem chi tiết")</f>
        <v/>
      </c>
      <c r="O10944" s="10" t="n"/>
    </row>
    <row r="10945">
      <c r="B10945" s="7" t="n">
        <v>10943</v>
      </c>
      <c r="C10945" t="inlineStr">
        <is>
          <t>[Penang, Malaysia] QC Inspector / CMM Programmer</t>
        </is>
      </c>
      <c r="D10945" t="inlineStr">
        <is>
          <t>Ultimate Machining Solutions (M) Sdn Bhd</t>
        </is>
      </c>
      <c r="E10945" t="inlineStr">
        <is>
          <t>Thương lượng</t>
        </is>
      </c>
      <c r="F10945" t="inlineStr">
        <is>
          <t>Quốc tế</t>
        </is>
      </c>
      <c r="G10945" t="inlineStr">
        <is>
          <t>Nhân viên</t>
        </is>
      </c>
      <c r="H10945" t="inlineStr">
        <is>
          <t>13/03/2026</t>
        </is>
      </c>
      <c r="I10945" t="inlineStr">
        <is>
          <t>12/04/2026</t>
        </is>
      </c>
      <c r="J10945" t="inlineStr">
        <is>
          <t>17/03/2026</t>
        </is>
      </c>
      <c r="K10945" t="inlineStr">
        <is>
          <t>N/A</t>
        </is>
      </c>
      <c r="L10945" t="inlineStr">
        <is>
          <t>Kiểm Soát Chất Lượng, Quality Assurance, Quality Management, CMM Programming, Quality Control</t>
        </is>
      </c>
      <c r="M10945" t="inlineStr">
        <is>
          <t>Bonus, Healthcare Plan, Paid Leave, Canteen, Others</t>
        </is>
      </c>
      <c r="N10945" s="8">
        <f>HYPERLINK("https://www.vietnamworks.com/penang-malaysia-qc-inspector-cmm-programmer-2023336-jv","Xem chi tiết")</f>
        <v/>
      </c>
    </row>
    <row r="10946">
      <c r="B10946" s="9" t="n">
        <v>10944</v>
      </c>
      <c r="C10946" s="10" t="inlineStr">
        <is>
          <t>Sales Admin (Systems DMS) - Base on Long An (Have Shuttle Bus from HCM to Long An)</t>
        </is>
      </c>
      <c r="D10946" s="10" t="inlineStr">
        <is>
          <t>Công ty TNHH Fujiya Việt Nam</t>
        </is>
      </c>
      <c r="E10946" s="10" t="inlineStr">
        <is>
          <t>$$ 700-950 /tháng</t>
        </is>
      </c>
      <c r="F10946" s="10" t="inlineStr">
        <is>
          <t>Long An, Hồ Chí Minh</t>
        </is>
      </c>
      <c r="G10946" s="10" t="inlineStr">
        <is>
          <t>Nhân viên</t>
        </is>
      </c>
      <c r="H10946" s="10" t="inlineStr">
        <is>
          <t>13/03/2026</t>
        </is>
      </c>
      <c r="I10946" s="10" t="inlineStr">
        <is>
          <t>12/04/2026</t>
        </is>
      </c>
      <c r="J10946" s="10" t="inlineStr">
        <is>
          <t>17/03/2026</t>
        </is>
      </c>
      <c r="K10946" s="10" t="inlineStr">
        <is>
          <t>N/A</t>
        </is>
      </c>
      <c r="L10946" s="10" t="inlineStr">
        <is>
          <t>Analytical Data, Reporting Skill, Problem-solving, Communications</t>
        </is>
      </c>
      <c r="M10946" s="10" t="inlineStr">
        <is>
          <t>Bonus, Healthcare Plan, Paid Leave</t>
        </is>
      </c>
      <c r="N10946" s="11">
        <f>HYPERLINK("https://www.vietnamworks.com/sales-admin-systems-dms-base-on-long-an-have-shuttle-bus-from-hcm-to-long-an-2023345-jv","Xem chi tiết")</f>
        <v/>
      </c>
      <c r="O10946" s="10" t="n"/>
    </row>
    <row r="10947">
      <c r="B10947" s="7" t="n">
        <v>10945</v>
      </c>
      <c r="C10947" t="inlineStr">
        <is>
          <t>Account Manager</t>
        </is>
      </c>
      <c r="D10947" t="inlineStr">
        <is>
          <t>Công ty Cổ Phần iChibaOne Platform</t>
        </is>
      </c>
      <c r="E10947" t="inlineStr">
        <is>
          <t>10tr-20tr ₫/tháng</t>
        </is>
      </c>
      <c r="F10947" t="inlineStr">
        <is>
          <t>Hà Nội</t>
        </is>
      </c>
      <c r="G10947" t="inlineStr">
        <is>
          <t>Nhân viên</t>
        </is>
      </c>
      <c r="H10947" t="inlineStr">
        <is>
          <t>13/03/2026</t>
        </is>
      </c>
      <c r="I10947" t="inlineStr">
        <is>
          <t>12/04/2026</t>
        </is>
      </c>
      <c r="J10947" t="inlineStr">
        <is>
          <t>17/03/2026</t>
        </is>
      </c>
      <c r="K10947" t="inlineStr">
        <is>
          <t>N/A</t>
        </is>
      </c>
      <c r="L10947" t="inlineStr">
        <is>
          <t>Account Management, Client Satisfaction, SugarCRM, Negotiation Skills, Communication</t>
        </is>
      </c>
      <c r="M10947" t="inlineStr">
        <is>
          <t>Bonus, Paid Leave, Laptop, Team Activities, Others</t>
        </is>
      </c>
      <c r="N10947" s="8">
        <f>HYPERLINK("https://www.vietnamworks.com/account-manager-2023341-jv","Xem chi tiết")</f>
        <v/>
      </c>
    </row>
    <row r="10948">
      <c r="B10948" s="9" t="n">
        <v>10946</v>
      </c>
      <c r="C10948" s="10" t="inlineStr">
        <is>
          <t>Kỹ Thuật Viên Vận Hành Máy (Bình Dương)</t>
        </is>
      </c>
      <c r="D10948" s="10" t="inlineStr">
        <is>
          <t>PepsiCo Foods Vietnam Company</t>
        </is>
      </c>
      <c r="E10948" s="10" t="inlineStr">
        <is>
          <t>Thương lượng</t>
        </is>
      </c>
      <c r="F10948" s="10" t="inlineStr">
        <is>
          <t>Bình Dương</t>
        </is>
      </c>
      <c r="G10948" s="10" t="inlineStr">
        <is>
          <t>Nhân viên</t>
        </is>
      </c>
      <c r="H10948" s="10" t="inlineStr">
        <is>
          <t>13/03/2026</t>
        </is>
      </c>
      <c r="I10948" s="10" t="inlineStr">
        <is>
          <t>12/04/2026</t>
        </is>
      </c>
      <c r="J10948" s="10" t="inlineStr">
        <is>
          <t>17/03/2026</t>
        </is>
      </c>
      <c r="K10948" s="10" t="inlineStr">
        <is>
          <t>N/A</t>
        </is>
      </c>
      <c r="L10948" s="10" t="inlineStr">
        <is>
          <t>Vận Hành, Sản xuất, Vận Hành Máy Đóng Gói</t>
        </is>
      </c>
      <c r="M10948" s="10" t="inlineStr">
        <is>
          <t>Bonus, Healthcare Plan</t>
        </is>
      </c>
      <c r="N10948" s="11">
        <f>HYPERLINK("https://www.vietnamworks.com/ky-thuat-vien-van-hanh-may-binh-duong--2023363-jv","Xem chi tiết")</f>
        <v/>
      </c>
      <c r="O10948" s="10" t="n"/>
    </row>
    <row r="10949">
      <c r="B10949" s="7" t="n">
        <v>10947</v>
      </c>
      <c r="C10949" t="inlineStr">
        <is>
          <t>Quản Lý Hợp Đồng Đấu Thầu (Ngành Năng Lượng Tái Tạo)</t>
        </is>
      </c>
      <c r="D10949" t="inlineStr">
        <is>
          <t>CÔNG TY CỔ PHẦN NĂNG LƯỢNG VINENERGO</t>
        </is>
      </c>
      <c r="E10949" t="inlineStr">
        <is>
          <t>Thương lượng</t>
        </is>
      </c>
      <c r="F10949" t="inlineStr">
        <is>
          <t>Hà Nội</t>
        </is>
      </c>
      <c r="G10949" t="inlineStr">
        <is>
          <t>Trưởng phòng</t>
        </is>
      </c>
      <c r="H10949" t="inlineStr">
        <is>
          <t>13/03/2026</t>
        </is>
      </c>
      <c r="I10949" t="inlineStr">
        <is>
          <t>12/04/2026</t>
        </is>
      </c>
      <c r="J10949" t="inlineStr">
        <is>
          <t>17/03/2026</t>
        </is>
      </c>
      <c r="K10949" t="inlineStr">
        <is>
          <t>N/A</t>
        </is>
      </c>
      <c r="L10949" t="inlineStr">
        <is>
          <t>Giao Tiếp, Kinh Tế Đầu Tư, Quản Lý Hợp Đồng, Tiếng Anh, Đấu Thầu</t>
        </is>
      </c>
      <c r="M10949" t="inlineStr">
        <is>
          <t>Healthcare Plan, Training, Others</t>
        </is>
      </c>
      <c r="N10949" s="8">
        <f>HYPERLINK("https://www.vietnamworks.com/quan-ly-hop-dong-dau-thau-nganh-nang-luong-tai-tao-2023366-jv","Xem chi tiết")</f>
        <v/>
      </c>
    </row>
    <row r="10950">
      <c r="B10950" s="9" t="n">
        <v>10948</v>
      </c>
      <c r="C10950" s="10" t="inlineStr">
        <is>
          <t>Kế Toán Nội Bộ Lương Tới 20Tr</t>
        </is>
      </c>
      <c r="D10950" s="10" t="inlineStr">
        <is>
          <t>Công ty Cổ Phần iChibaOne Platform</t>
        </is>
      </c>
      <c r="E10950" s="10" t="inlineStr">
        <is>
          <t>14tr-20tr ₫/tháng</t>
        </is>
      </c>
      <c r="F10950" s="10" t="inlineStr">
        <is>
          <t>Hà Nội</t>
        </is>
      </c>
      <c r="G10950" s="10" t="inlineStr">
        <is>
          <t>Nhân viên</t>
        </is>
      </c>
      <c r="H10950" s="10" t="inlineStr">
        <is>
          <t>13/03/2026</t>
        </is>
      </c>
      <c r="I10950" s="10" t="inlineStr">
        <is>
          <t>12/04/2026</t>
        </is>
      </c>
      <c r="J10950" s="10" t="inlineStr">
        <is>
          <t>17/03/2026</t>
        </is>
      </c>
      <c r="K10950" s="10" t="inlineStr">
        <is>
          <t>N/A</t>
        </is>
      </c>
      <c r="L10950" s="10" t="inlineStr">
        <is>
          <t>Kế Toán, Tài Chính, Phần mềm kế toán, Excel, Tổng Hợp Số Liệu</t>
        </is>
      </c>
      <c r="M10950" s="10" t="inlineStr">
        <is>
          <t>Bonus, Paid Leave, Laptop, Team Activities, Canteen, Others</t>
        </is>
      </c>
      <c r="N10950" s="11">
        <f>HYPERLINK("https://www.vietnamworks.com/ke-toan-noi-bo-luong-toi-20tr-2023348-jv","Xem chi tiết")</f>
        <v/>
      </c>
      <c r="O10950" s="10" t="n"/>
    </row>
    <row r="10951">
      <c r="B10951" s="7" t="n">
        <v>10949</v>
      </c>
      <c r="C10951" t="inlineStr">
        <is>
          <t>Australian Tax Accountant</t>
        </is>
      </c>
      <c r="D10951" t="inlineStr">
        <is>
          <t>Goodland Outsourcing</t>
        </is>
      </c>
      <c r="E10951" t="inlineStr">
        <is>
          <t>Thương lượng</t>
        </is>
      </c>
      <c r="F10951" t="inlineStr">
        <is>
          <t>Hồ Chí Minh</t>
        </is>
      </c>
      <c r="G10951" t="inlineStr">
        <is>
          <t>Nhân viên</t>
        </is>
      </c>
      <c r="H10951" t="inlineStr">
        <is>
          <t>13/03/2026</t>
        </is>
      </c>
      <c r="I10951" t="inlineStr">
        <is>
          <t>12/04/2026</t>
        </is>
      </c>
      <c r="J10951" t="inlineStr">
        <is>
          <t>17/03/2026</t>
        </is>
      </c>
      <c r="K10951" t="inlineStr">
        <is>
          <t>N/A</t>
        </is>
      </c>
      <c r="L10951" t="inlineStr">
        <is>
          <t>Financial Reporting, Analytical Skills, Accounting Standards, Payroll, Taxation</t>
        </is>
      </c>
      <c r="M10951" t="inlineStr">
        <is>
          <t>Bonus, Training</t>
        </is>
      </c>
      <c r="N10951" s="8">
        <f>HYPERLINK("https://www.vietnamworks.com/australian-tax-accountant-2023335-jv","Xem chi tiết")</f>
        <v/>
      </c>
    </row>
    <row r="10952">
      <c r="B10952" s="9" t="n">
        <v>10950</v>
      </c>
      <c r="C10952" s="10" t="inlineStr">
        <is>
          <t>[Penang, Malaysia] CNC Machines Maintenance Technician</t>
        </is>
      </c>
      <c r="D10952" s="10" t="inlineStr">
        <is>
          <t>Ultimate Machining Solutions (M) Sdn Bhd</t>
        </is>
      </c>
      <c r="E10952" s="10" t="inlineStr">
        <is>
          <t>Thương lượng</t>
        </is>
      </c>
      <c r="F10952" s="10" t="inlineStr">
        <is>
          <t>Quốc tế</t>
        </is>
      </c>
      <c r="G10952" s="10" t="inlineStr">
        <is>
          <t>Nhân viên</t>
        </is>
      </c>
      <c r="H10952" s="10" t="inlineStr">
        <is>
          <t>13/03/2026</t>
        </is>
      </c>
      <c r="I10952" s="10" t="inlineStr">
        <is>
          <t>12/04/2026</t>
        </is>
      </c>
      <c r="J10952" s="10" t="inlineStr">
        <is>
          <t>17/03/2026</t>
        </is>
      </c>
      <c r="K10952" s="10" t="inlineStr">
        <is>
          <t>N/A</t>
        </is>
      </c>
      <c r="L10952" s="10" t="inlineStr">
        <is>
          <t>Quality Assurance, Technical Specification Analysis, Maintenance Operations, Content Acquisition, Report Writing</t>
        </is>
      </c>
      <c r="M10952" s="10" t="inlineStr">
        <is>
          <t>Bonus, Healthcare Plan, Paid Leave, Canteen, Others</t>
        </is>
      </c>
      <c r="N10952" s="11">
        <f>HYPERLINK("https://www.vietnamworks.com/penang-malaysia-cnc-machines-maintenance-technician-2023347-jv","Xem chi tiết")</f>
        <v/>
      </c>
      <c r="O10952" s="10" t="n"/>
    </row>
    <row r="10953">
      <c r="B10953" s="7" t="n">
        <v>10951</v>
      </c>
      <c r="C10953" t="inlineStr">
        <is>
          <t>Giám sát Xây dựng (Hà Nội - Hồ Chí Minh)</t>
        </is>
      </c>
      <c r="D10953" t="inlineStr">
        <is>
          <t>Công Ty Cổ Phần Phúc Long Heritage</t>
        </is>
      </c>
      <c r="E10953" t="inlineStr">
        <is>
          <t>Thương lượng</t>
        </is>
      </c>
      <c r="F10953" t="inlineStr">
        <is>
          <t>Hà Nội</t>
        </is>
      </c>
      <c r="G10953" t="inlineStr">
        <is>
          <t>Nhân viên</t>
        </is>
      </c>
      <c r="H10953" t="inlineStr">
        <is>
          <t>13/03/2026</t>
        </is>
      </c>
      <c r="I10953" t="inlineStr">
        <is>
          <t>12/04/2026</t>
        </is>
      </c>
      <c r="J10953" t="inlineStr">
        <is>
          <t>17/03/2026</t>
        </is>
      </c>
      <c r="K10953" t="inlineStr">
        <is>
          <t>N/A</t>
        </is>
      </c>
      <c r="L10953" t="inlineStr">
        <is>
          <t>Construction Quality Management, FnB, Project Management</t>
        </is>
      </c>
      <c r="M10953" t="inlineStr">
        <is>
          <t>Others</t>
        </is>
      </c>
      <c r="N10953" s="8">
        <f>HYPERLINK("https://www.vietnamworks.com/giam-sat-xay-dung-ha-noi-ho-chi-minh-2023365-jv","Xem chi tiết")</f>
        <v/>
      </c>
    </row>
    <row r="10954">
      <c r="B10954" s="9" t="n">
        <v>10952</v>
      </c>
      <c r="C10954" s="10" t="inlineStr">
        <is>
          <t>[Penang, Malaysia] Welder (Tig / Vacuum Brazing / E-Beam)</t>
        </is>
      </c>
      <c r="D10954" s="10" t="inlineStr">
        <is>
          <t>Ultimate Machining Solutions (M) Sdn Bhd</t>
        </is>
      </c>
      <c r="E10954" s="10" t="inlineStr">
        <is>
          <t>Thương lượng</t>
        </is>
      </c>
      <c r="F10954" s="10" t="inlineStr">
        <is>
          <t>Quốc tế</t>
        </is>
      </c>
      <c r="G10954" s="10" t="inlineStr">
        <is>
          <t>Nhân viên</t>
        </is>
      </c>
      <c r="H10954" s="10" t="inlineStr">
        <is>
          <t>13/03/2026</t>
        </is>
      </c>
      <c r="I10954" s="10" t="inlineStr">
        <is>
          <t>12/04/2026</t>
        </is>
      </c>
      <c r="J10954" s="10" t="inlineStr">
        <is>
          <t>17/03/2026</t>
        </is>
      </c>
      <c r="K10954" s="10" t="inlineStr">
        <is>
          <t>N/A</t>
        </is>
      </c>
      <c r="L10954" s="10" t="inlineStr">
        <is>
          <t>Brazing, Electric Welding, Rail Welding, Semiconductor Fabrication, Welding Technology</t>
        </is>
      </c>
      <c r="M10954" s="10" t="inlineStr">
        <is>
          <t>Bonus, Healthcare Plan, Paid Leave, Canteen, Others</t>
        </is>
      </c>
      <c r="N10954" s="11">
        <f>HYPERLINK("https://www.vietnamworks.com/penang-malaysia-welder-tig-vacuum-brazing-e-beam-2023352-jv","Xem chi tiết")</f>
        <v/>
      </c>
      <c r="O10954" s="10" t="n"/>
    </row>
    <row r="10955">
      <c r="B10955" s="7" t="n">
        <v>10953</v>
      </c>
      <c r="C10955" t="inlineStr">
        <is>
          <t>Employer Branding &amp; Internal Communication (Ebic) Manager</t>
        </is>
      </c>
      <c r="D10955" t="inlineStr">
        <is>
          <t>Crossian Việt Nam</t>
        </is>
      </c>
      <c r="E10955" t="inlineStr">
        <is>
          <t>Thương lượng</t>
        </is>
      </c>
      <c r="F10955" t="inlineStr">
        <is>
          <t>Hồ Chí Minh</t>
        </is>
      </c>
      <c r="G10955" t="inlineStr">
        <is>
          <t>Trưởng phòng</t>
        </is>
      </c>
      <c r="H10955" t="inlineStr">
        <is>
          <t>13/03/2026</t>
        </is>
      </c>
      <c r="I10955" t="inlineStr">
        <is>
          <t>12/04/2026</t>
        </is>
      </c>
      <c r="J10955" t="inlineStr">
        <is>
          <t>17/03/2026</t>
        </is>
      </c>
      <c r="K10955" t="inlineStr">
        <is>
          <t>N/A</t>
        </is>
      </c>
      <c r="L10955" t="inlineStr">
        <is>
          <t>Internal Communication, Employee Engagement, Employer Branding, Culture Oriented, Content Creative</t>
        </is>
      </c>
      <c r="M10955" t="inlineStr">
        <is>
          <t>Bonus, Healthcare Plan, Others</t>
        </is>
      </c>
      <c r="N10955" s="8">
        <f>HYPERLINK("https://www.vietnamworks.com/employer-branding-internal-communication-ebic-manager-2023359-jv","Xem chi tiết")</f>
        <v/>
      </c>
    </row>
    <row r="10956">
      <c r="B10956" s="9" t="n">
        <v>10954</v>
      </c>
      <c r="C10956" s="10" t="inlineStr">
        <is>
          <t>Human Resource Intern</t>
        </is>
      </c>
      <c r="D10956" s="10" t="inlineStr">
        <is>
          <t>Công Ty TNHH Giáo Dục Và Đào Tạo Vinacademy</t>
        </is>
      </c>
      <c r="E10956" s="10" t="inlineStr">
        <is>
          <t>Thương lượng</t>
        </is>
      </c>
      <c r="F10956" s="10" t="inlineStr">
        <is>
          <t>Hà Nội</t>
        </is>
      </c>
      <c r="G10956" s="10" t="inlineStr">
        <is>
          <t>Thực tập sinh/Sinh viên</t>
        </is>
      </c>
      <c r="H10956" s="10" t="inlineStr">
        <is>
          <t>13/03/2026</t>
        </is>
      </c>
      <c r="I10956" s="10" t="inlineStr">
        <is>
          <t>12/04/2026</t>
        </is>
      </c>
      <c r="J10956" s="10" t="inlineStr">
        <is>
          <t>17/03/2026</t>
        </is>
      </c>
      <c r="K10956" s="10" t="inlineStr">
        <is>
          <t>N/A</t>
        </is>
      </c>
      <c r="L10956" s="10" t="inlineStr">
        <is>
          <t>problem-solving skills, communication, English Language Proficiency, Human Resources, Administrative Support</t>
        </is>
      </c>
      <c r="M10956" s="10" t="inlineStr">
        <is>
          <t>Healthcare Plan, Training, Laptop</t>
        </is>
      </c>
      <c r="N10956" s="11">
        <f>HYPERLINK("https://www.vietnamworks.com/human-resource-intern--2023371-jv","Xem chi tiết")</f>
        <v/>
      </c>
      <c r="O10956" s="10" t="n"/>
    </row>
    <row r="10957">
      <c r="B10957" s="7" t="n">
        <v>10955</v>
      </c>
      <c r="C10957" t="inlineStr">
        <is>
          <t>Air Ticketing Account Manager</t>
        </is>
      </c>
      <c r="D10957" t="inlineStr">
        <is>
          <t>Công Ty TNHH 2VnTravel</t>
        </is>
      </c>
      <c r="E10957" t="inlineStr">
        <is>
          <t>Từ 15tr ₫/tháng</t>
        </is>
      </c>
      <c r="F10957" t="inlineStr">
        <is>
          <t>Hồ Chí Minh</t>
        </is>
      </c>
      <c r="G10957" t="inlineStr">
        <is>
          <t>Nhân viên</t>
        </is>
      </c>
      <c r="H10957" t="inlineStr">
        <is>
          <t>13/03/2026</t>
        </is>
      </c>
      <c r="I10957" t="inlineStr">
        <is>
          <t>12/04/2026</t>
        </is>
      </c>
      <c r="J10957" t="inlineStr">
        <is>
          <t>17/03/2026</t>
        </is>
      </c>
      <c r="K10957" t="inlineStr">
        <is>
          <t>N/A</t>
        </is>
      </c>
      <c r="L10957" t="inlineStr">
        <is>
          <t>Quản Trị Kinh Doanh, Du Lịch Quốc Tế, Amadeus, Giao Tiếp Tiếng Anh, Bán Vé Máy Bay</t>
        </is>
      </c>
      <c r="M10957" t="inlineStr">
        <is>
          <t>Bonus, Healthcare Plan, Others</t>
        </is>
      </c>
      <c r="N10957" s="8">
        <f>HYPERLINK("https://www.vietnamworks.com/air-ticketing-account-manager-2023377-jv","Xem chi tiết")</f>
        <v/>
      </c>
    </row>
    <row r="10958">
      <c r="B10958" s="9" t="n">
        <v>10956</v>
      </c>
      <c r="C10958" s="10" t="inlineStr">
        <is>
          <t xml:space="preserve">Gấp - Sales Engineer (HVAC Project) </t>
        </is>
      </c>
      <c r="D10958" s="10" t="inlineStr">
        <is>
          <t>Mitsubishi Electric Vietnam Co. Ltd.</t>
        </is>
      </c>
      <c r="E10958" s="10" t="inlineStr">
        <is>
          <t>Thương lượng</t>
        </is>
      </c>
      <c r="F10958" s="10" t="inlineStr">
        <is>
          <t>Hà Nội</t>
        </is>
      </c>
      <c r="G10958" s="10" t="inlineStr">
        <is>
          <t>Nhân viên</t>
        </is>
      </c>
      <c r="H10958" s="10" t="inlineStr">
        <is>
          <t>13/03/2026</t>
        </is>
      </c>
      <c r="I10958" s="10" t="inlineStr">
        <is>
          <t>12/04/2026</t>
        </is>
      </c>
      <c r="J10958" s="10" t="inlineStr">
        <is>
          <t>17/03/2026</t>
        </is>
      </c>
      <c r="K10958" s="10" t="inlineStr">
        <is>
          <t>N/A</t>
        </is>
      </c>
      <c r="L10958" s="10" t="inlineStr">
        <is>
          <t>HVAC Service, Sales, Bán hàng, Kinh Doanh, Sales Techniques</t>
        </is>
      </c>
      <c r="M10958" s="10" t="inlineStr">
        <is>
          <t>Bonus, Healthcare Plan, Paid Leave, Laptop</t>
        </is>
      </c>
      <c r="N10958" s="11">
        <f>HYPERLINK("https://www.vietnamworks.com/gap-sales-engineer-hvac-project-2023395-jv","Xem chi tiết")</f>
        <v/>
      </c>
      <c r="O10958" s="10" t="n"/>
    </row>
    <row r="10959">
      <c r="B10959" s="7" t="n">
        <v>10957</v>
      </c>
      <c r="C10959" t="inlineStr">
        <is>
          <t>Service Engineer</t>
        </is>
      </c>
      <c r="D10959" t="inlineStr">
        <is>
          <t>CÔNG TY TNHH MEYER VIỆT NAM</t>
        </is>
      </c>
      <c r="E10959" t="inlineStr">
        <is>
          <t>Thương lượng</t>
        </is>
      </c>
      <c r="F10959" t="inlineStr">
        <is>
          <t>Hồ Chí Minh</t>
        </is>
      </c>
      <c r="G10959" t="inlineStr">
        <is>
          <t>Nhân viên</t>
        </is>
      </c>
      <c r="H10959" t="inlineStr">
        <is>
          <t>13/03/2026</t>
        </is>
      </c>
      <c r="I10959" t="inlineStr">
        <is>
          <t>12/04/2026</t>
        </is>
      </c>
      <c r="J10959" t="inlineStr">
        <is>
          <t>17/03/2026</t>
        </is>
      </c>
      <c r="K10959" t="inlineStr">
        <is>
          <t>N/A</t>
        </is>
      </c>
      <c r="L10959" t="inlineStr">
        <is>
          <t>Mechanical Products, Grain Technology, Engineering, Mechanical, Service Engineering</t>
        </is>
      </c>
      <c r="M10959" t="inlineStr">
        <is>
          <t>Bonus, Healthcare Plan, Paid Leave, Transportation, Others</t>
        </is>
      </c>
      <c r="N10959" s="8">
        <f>HYPERLINK("https://www.vietnamworks.com/service-engineer-2023379-jv","Xem chi tiết")</f>
        <v/>
      </c>
    </row>
    <row r="10960">
      <c r="B10960" s="9" t="n">
        <v>10958</v>
      </c>
      <c r="C10960" s="10" t="inlineStr">
        <is>
          <t>Kỹ Sư Cơ Khí - Kỹ Sư Xây Dựng (Làm Việc Tại Quận 9)</t>
        </is>
      </c>
      <c r="D10960" s="10" t="inlineStr">
        <is>
          <t>CÔNG TY TNHH CƠ KHÍ XÂY DỰNG DƯƠNG TÙNG MEC</t>
        </is>
      </c>
      <c r="E10960" s="10" t="inlineStr">
        <is>
          <t>12tr-30tr ₫/tháng</t>
        </is>
      </c>
      <c r="F10960" s="10" t="inlineStr">
        <is>
          <t>Hồ Chí Minh</t>
        </is>
      </c>
      <c r="G10960" s="10" t="inlineStr">
        <is>
          <t>Nhân viên</t>
        </is>
      </c>
      <c r="H10960" s="10" t="inlineStr">
        <is>
          <t>13/03/2026</t>
        </is>
      </c>
      <c r="I10960" s="10" t="inlineStr">
        <is>
          <t>12/04/2026</t>
        </is>
      </c>
      <c r="J10960" s="10" t="inlineStr">
        <is>
          <t>17/03/2026</t>
        </is>
      </c>
      <c r="K10960" s="10" t="inlineStr">
        <is>
          <t>N/A</t>
        </is>
      </c>
      <c r="L10960" s="10" t="inlineStr">
        <is>
          <t>tekla, Structures, AutoCAD, Shopdrawing, Kỹ Sư Kết Cấu Thép</t>
        </is>
      </c>
      <c r="M10960" s="10" t="inlineStr">
        <is>
          <t>Bonus, Healthcare Plan, Others</t>
        </is>
      </c>
      <c r="N10960" s="11">
        <f>HYPERLINK("https://www.vietnamworks.com/ky-su-co-khi-ky-su-xay-dung-lam-viec-tai-quan-9-2023383-jv","Xem chi tiết")</f>
        <v/>
      </c>
      <c r="O10960" s="10" t="n"/>
    </row>
    <row r="10961">
      <c r="B10961" s="7" t="n">
        <v>10959</v>
      </c>
      <c r="C10961" t="inlineStr">
        <is>
          <t>Logistics Coordinator - potential development as Logistics Manager within 18 months</t>
        </is>
      </c>
      <c r="D10961" t="inlineStr">
        <is>
          <t>CÔNG TY TNHH TLC VIETNAM</t>
        </is>
      </c>
      <c r="E10961" t="inlineStr">
        <is>
          <t>22tr-26tr ₫/tháng</t>
        </is>
      </c>
      <c r="F10961" t="inlineStr">
        <is>
          <t>Hồ Chí Minh</t>
        </is>
      </c>
      <c r="G10961" t="inlineStr">
        <is>
          <t>Trưởng phòng</t>
        </is>
      </c>
      <c r="H10961" t="inlineStr">
        <is>
          <t>13/03/2026</t>
        </is>
      </c>
      <c r="I10961" t="inlineStr">
        <is>
          <t>12/04/2026</t>
        </is>
      </c>
      <c r="J10961" t="inlineStr">
        <is>
          <t>17/03/2026</t>
        </is>
      </c>
      <c r="K10961" t="inlineStr">
        <is>
          <t>N/A</t>
        </is>
      </c>
      <c r="L10961" t="inlineStr">
        <is>
          <t>Logistics Management, Supply Chain Management, Team Management, Communication, Production Support</t>
        </is>
      </c>
      <c r="M10961" t="inlineStr">
        <is>
          <t>Bonus, Healthcare Plan</t>
        </is>
      </c>
      <c r="N10961" s="8">
        <f>HYPERLINK("https://www.vietnamworks.com/logistics-coordinator-potential-development-as-logistics-manager-within-18-months-2023373-jv","Xem chi tiết")</f>
        <v/>
      </c>
    </row>
    <row r="10962">
      <c r="B10962" s="9" t="n">
        <v>10960</v>
      </c>
      <c r="C10962" s="10" t="inlineStr">
        <is>
          <t>Giám Đốc Kinh Doanh B2B - Ngành Robot</t>
        </is>
      </c>
      <c r="D10962" s="10" t="inlineStr">
        <is>
          <t>Công Ty Cổ Phần Nhà An Toàn</t>
        </is>
      </c>
      <c r="E10962" s="10" t="inlineStr">
        <is>
          <t>Thương lượng</t>
        </is>
      </c>
      <c r="F10962" s="10" t="inlineStr">
        <is>
          <t>Hà Nội</t>
        </is>
      </c>
      <c r="G10962" s="10" t="inlineStr">
        <is>
          <t>Giám Đốc và Cấp Cao Hơn</t>
        </is>
      </c>
      <c r="H10962" s="10" t="inlineStr">
        <is>
          <t>13/03/2026</t>
        </is>
      </c>
      <c r="I10962" s="10" t="inlineStr">
        <is>
          <t>12/04/2026</t>
        </is>
      </c>
      <c r="J10962" s="10" t="inlineStr">
        <is>
          <t>17/03/2026</t>
        </is>
      </c>
      <c r="K10962" s="10" t="inlineStr">
        <is>
          <t>N/A</t>
        </is>
      </c>
      <c r="L10962" s="10" t="inlineStr">
        <is>
          <t>Giao Tiếp, Kinh Doanh, Phát Triển Thị Trường, Quản Lý Đội Nhóm, Đàm Phán</t>
        </is>
      </c>
      <c r="M10962" s="10" t="inlineStr">
        <is>
          <t>Bonus, Paid Leave, Training, Laptop, Travel Opportunities, Team Activities, Others</t>
        </is>
      </c>
      <c r="N10962" s="11">
        <f>HYPERLINK("https://www.vietnamworks.com/giam-djoc-kinh-doanh-b2b-nganh-robot-2023375-jv","Xem chi tiết")</f>
        <v/>
      </c>
      <c r="O10962" s="10" t="n"/>
    </row>
    <row r="10963">
      <c r="B10963" s="7" t="n">
        <v>10961</v>
      </c>
      <c r="C10963" t="inlineStr">
        <is>
          <t>Call Center Officer</t>
        </is>
      </c>
      <c r="D10963" t="inlineStr">
        <is>
          <t>CÔNG TY TNHH BẢO HIỂM SHINHAN LIFE VIỆT NAM</t>
        </is>
      </c>
      <c r="E10963" t="inlineStr">
        <is>
          <t>Thương lượng</t>
        </is>
      </c>
      <c r="F10963" t="inlineStr">
        <is>
          <t>Hồ Chí Minh</t>
        </is>
      </c>
      <c r="G10963" t="inlineStr">
        <is>
          <t>Nhân viên</t>
        </is>
      </c>
      <c r="H10963" t="inlineStr">
        <is>
          <t>13/03/2026</t>
        </is>
      </c>
      <c r="I10963" t="inlineStr">
        <is>
          <t>12/04/2026</t>
        </is>
      </c>
      <c r="J10963" t="inlineStr">
        <is>
          <t>17/03/2026</t>
        </is>
      </c>
      <c r="K10963" t="inlineStr">
        <is>
          <t>N/A</t>
        </is>
      </c>
      <c r="L10963" t="inlineStr">
        <is>
          <t>Communications, Time Management, Customer Care, Problem Solving</t>
        </is>
      </c>
      <c r="M10963" t="inlineStr">
        <is>
          <t>Healthcare Plan</t>
        </is>
      </c>
      <c r="N10963" s="8">
        <f>HYPERLINK("https://www.vietnamworks.com/call-center-officer--2023393-jv","Xem chi tiết")</f>
        <v/>
      </c>
    </row>
    <row r="10964">
      <c r="B10964" s="9" t="n">
        <v>10962</v>
      </c>
      <c r="C10964" s="10" t="inlineStr">
        <is>
          <t>Overseas Purchasing - Mua Hàng Quốc Tế</t>
        </is>
      </c>
      <c r="D10964" s="10" t="inlineStr">
        <is>
          <t>Sampo Trading Co.,LTD</t>
        </is>
      </c>
      <c r="E10964" s="10" t="inlineStr">
        <is>
          <t>Thương lượng</t>
        </is>
      </c>
      <c r="F10964" s="10" t="inlineStr">
        <is>
          <t>Bắc Ninh</t>
        </is>
      </c>
      <c r="G10964" s="10" t="inlineStr">
        <is>
          <t>Nhân viên</t>
        </is>
      </c>
      <c r="H10964" s="10" t="inlineStr">
        <is>
          <t>13/03/2026</t>
        </is>
      </c>
      <c r="I10964" s="10" t="inlineStr">
        <is>
          <t>12/04/2026</t>
        </is>
      </c>
      <c r="J10964" s="10" t="inlineStr">
        <is>
          <t>17/03/2026</t>
        </is>
      </c>
      <c r="K10964" s="10" t="inlineStr">
        <is>
          <t>N/A</t>
        </is>
      </c>
      <c r="L10964" s="10" t="inlineStr">
        <is>
          <t>English Language Proficiency, Mua Hàng Phụ Kiện, Purchasing, Managing Purchase Orders, Quản Lý Thu Mua</t>
        </is>
      </c>
      <c r="M10964" s="10" t="inlineStr">
        <is>
          <t>Bonus</t>
        </is>
      </c>
      <c r="N10964" s="11">
        <f>HYPERLINK("https://www.vietnamworks.com/overseas-purchasing-mua-hang-quoc-te-2023396-jv","Xem chi tiết")</f>
        <v/>
      </c>
      <c r="O10964" s="10" t="n"/>
    </row>
    <row r="10965">
      <c r="B10965" s="7" t="n">
        <v>10963</v>
      </c>
      <c r="C10965" t="inlineStr">
        <is>
          <t>Giáo viên Lịch Sử - Địa Lí</t>
        </is>
      </c>
      <c r="D10965" t="inlineStr">
        <is>
          <t>The Canadian International School System - Ciss (Hệ Thống Trường Quốc Tế Canada)</t>
        </is>
      </c>
      <c r="E10965" t="inlineStr">
        <is>
          <t>Thương lượng</t>
        </is>
      </c>
      <c r="F10965" t="inlineStr">
        <is>
          <t>Hồ Chí Minh</t>
        </is>
      </c>
      <c r="G10965" t="inlineStr">
        <is>
          <t>Nhân viên</t>
        </is>
      </c>
      <c r="H10965" t="inlineStr">
        <is>
          <t>13/03/2026</t>
        </is>
      </c>
      <c r="I10965" t="inlineStr">
        <is>
          <t>12/04/2026</t>
        </is>
      </c>
      <c r="J10965" t="inlineStr">
        <is>
          <t>17/03/2026</t>
        </is>
      </c>
      <c r="K10965" t="inlineStr">
        <is>
          <t>N/A</t>
        </is>
      </c>
      <c r="L10965" t="inlineStr">
        <is>
          <t>Class Management, Communication Skills, Lesson Planning, Problem-solving, Teaching Experience</t>
        </is>
      </c>
      <c r="M10965" t="inlineStr">
        <is>
          <t>Healthcare Plan, Paid Leave, Canteen</t>
        </is>
      </c>
      <c r="N10965" s="8">
        <f>HYPERLINK("https://www.vietnamworks.com/giao-vien-lich-su-djia-li-2023385-jv","Xem chi tiết")</f>
        <v/>
      </c>
    </row>
    <row r="10966">
      <c r="B10966" s="9" t="n">
        <v>10964</v>
      </c>
      <c r="C10966" s="10" t="inlineStr">
        <is>
          <t>Compliance Associate</t>
        </is>
      </c>
      <c r="D10966" s="10" t="inlineStr">
        <is>
          <t>Acclime Vietnam</t>
        </is>
      </c>
      <c r="E10966" s="10" t="inlineStr">
        <is>
          <t>Thương lượng</t>
        </is>
      </c>
      <c r="F10966" s="10" t="inlineStr">
        <is>
          <t>Hồ Chí Minh</t>
        </is>
      </c>
      <c r="G10966" s="10" t="inlineStr">
        <is>
          <t>Nhân viên</t>
        </is>
      </c>
      <c r="H10966" s="10" t="inlineStr">
        <is>
          <t>13/03/2026</t>
        </is>
      </c>
      <c r="I10966" s="10" t="inlineStr">
        <is>
          <t>12/04/2026</t>
        </is>
      </c>
      <c r="J10966" s="10" t="inlineStr">
        <is>
          <t>17/03/2026</t>
        </is>
      </c>
      <c r="K10966" s="10" t="inlineStr">
        <is>
          <t>N/A</t>
        </is>
      </c>
      <c r="L10966" s="10" t="inlineStr">
        <is>
          <t>English/Vietnamese Communication, Compliance and Controls, eKYC, Risk Compliance, KYB Process</t>
        </is>
      </c>
      <c r="M10966" s="10" t="inlineStr">
        <is>
          <t>Bonus, Healthcare Plan, Training</t>
        </is>
      </c>
      <c r="N10966" s="11">
        <f>HYPERLINK("https://www.vietnamworks.com/compliance-associate--2023369-jv","Xem chi tiết")</f>
        <v/>
      </c>
      <c r="O10966" s="10" t="n"/>
    </row>
    <row r="10967">
      <c r="B10967" s="7" t="n">
        <v>10965</v>
      </c>
      <c r="C10967" t="inlineStr">
        <is>
          <t>Kế Toán Tổng Hợp</t>
        </is>
      </c>
      <c r="D10967" t="inlineStr">
        <is>
          <t>CÔNG TY TNHH CƠ KHÍ XÂY DỰNG DƯƠNG TÙNG MEC</t>
        </is>
      </c>
      <c r="E10967" t="inlineStr">
        <is>
          <t>Thương lượng</t>
        </is>
      </c>
      <c r="F10967" t="inlineStr">
        <is>
          <t>Hồ Chí Minh</t>
        </is>
      </c>
      <c r="G10967" t="inlineStr">
        <is>
          <t>Nhân viên</t>
        </is>
      </c>
      <c r="H10967" t="inlineStr">
        <is>
          <t>13/03/2026</t>
        </is>
      </c>
      <c r="I10967" t="inlineStr">
        <is>
          <t>12/04/2026</t>
        </is>
      </c>
      <c r="J10967" t="inlineStr">
        <is>
          <t>17/03/2026</t>
        </is>
      </c>
      <c r="K10967" t="inlineStr">
        <is>
          <t>N/A</t>
        </is>
      </c>
      <c r="L10967" t="inlineStr">
        <is>
          <t>Kế Toán, Tài Chính, Excel, Luật Thuế, Tổng Hợp Số Liệu</t>
        </is>
      </c>
      <c r="M10967" t="inlineStr">
        <is>
          <t>Bonus, Healthcare Plan, Others</t>
        </is>
      </c>
      <c r="N10967" s="8">
        <f>HYPERLINK("https://www.vietnamworks.com/ke-toan-tong-hop-2023387-jv","Xem chi tiết")</f>
        <v/>
      </c>
    </row>
    <row r="10968">
      <c r="B10968" s="9" t="n">
        <v>10966</v>
      </c>
      <c r="C10968" s="10" t="inlineStr">
        <is>
          <t>SEO Specialist</t>
        </is>
      </c>
      <c r="D10968" s="10" t="inlineStr">
        <is>
          <t>Advanta Digital Lab</t>
        </is>
      </c>
      <c r="E10968" s="10" t="inlineStr">
        <is>
          <t>Thương lượng</t>
        </is>
      </c>
      <c r="F10968" s="10" t="inlineStr">
        <is>
          <t>Hồ Chí Minh</t>
        </is>
      </c>
      <c r="G10968" s="10" t="inlineStr">
        <is>
          <t>Nhân viên</t>
        </is>
      </c>
      <c r="H10968" s="10" t="inlineStr">
        <is>
          <t>13/03/2026</t>
        </is>
      </c>
      <c r="I10968" s="10" t="inlineStr">
        <is>
          <t>12/04/2026</t>
        </is>
      </c>
      <c r="J10968" s="10" t="inlineStr">
        <is>
          <t>17/03/2026</t>
        </is>
      </c>
      <c r="K10968" s="10" t="inlineStr">
        <is>
          <t>N/A</t>
        </is>
      </c>
      <c r="L10968" s="10" t="inlineStr">
        <is>
          <t>SEO, SEO Optimization, SEO website, Google Analytics, Digital Marketing</t>
        </is>
      </c>
      <c r="M10968" s="10" t="inlineStr">
        <is>
          <t>Bonus, Healthcare Plan, Paid Leave</t>
        </is>
      </c>
      <c r="N10968" s="11">
        <f>HYPERLINK("https://www.vietnamworks.com/seo-specialist--2023378-jv","Xem chi tiết")</f>
        <v/>
      </c>
      <c r="O10968" s="10" t="n"/>
    </row>
    <row r="10969">
      <c r="B10969" s="7" t="n">
        <v>10967</v>
      </c>
      <c r="C10969" t="inlineStr">
        <is>
          <t>B2B Sales Representative (Mekong)</t>
        </is>
      </c>
      <c r="D10969" t="inlineStr">
        <is>
          <t>AJINOMOTO VIETNAM COMPANY</t>
        </is>
      </c>
      <c r="E10969" t="inlineStr">
        <is>
          <t>Thương lượng</t>
        </is>
      </c>
      <c r="F10969" t="inlineStr">
        <is>
          <t>Cần Thơ</t>
        </is>
      </c>
      <c r="G10969" t="inlineStr">
        <is>
          <t>Nhân viên</t>
        </is>
      </c>
      <c r="H10969" t="inlineStr">
        <is>
          <t>13/03/2026</t>
        </is>
      </c>
      <c r="I10969" t="inlineStr">
        <is>
          <t>12/04/2026</t>
        </is>
      </c>
      <c r="J10969" t="inlineStr">
        <is>
          <t>17/03/2026</t>
        </is>
      </c>
      <c r="K10969" t="inlineStr">
        <is>
          <t>N/A</t>
        </is>
      </c>
      <c r="L10969" t="inlineStr">
        <is>
          <t>Communication and negotiation skills, Food Manufacturing, Food Technology, Motivated And Independent, Sales B2B</t>
        </is>
      </c>
      <c r="M10969" t="inlineStr">
        <is>
          <t>Bonus, Healthcare Plan, Training, Laptop, Transportation, Others</t>
        </is>
      </c>
      <c r="N10969" s="8">
        <f>HYPERLINK("https://www.vietnamworks.com/b2b-sales-representative-mekong-2023381-jv","Xem chi tiết")</f>
        <v/>
      </c>
    </row>
    <row r="10970">
      <c r="B10970" s="9" t="n">
        <v>10968</v>
      </c>
      <c r="C10970" s="10" t="inlineStr">
        <is>
          <t>Creative Director</t>
        </is>
      </c>
      <c r="D10970" s="10" t="inlineStr">
        <is>
          <t>Công ty TNHH Enzo &amp; Leo</t>
        </is>
      </c>
      <c r="E10970" s="10" t="inlineStr">
        <is>
          <t>25tr-35tr ₫/tháng</t>
        </is>
      </c>
      <c r="F10970" s="10" t="inlineStr">
        <is>
          <t>Hồ Chí Minh</t>
        </is>
      </c>
      <c r="G10970" s="10" t="inlineStr">
        <is>
          <t>Giám Đốc và Cấp Cao Hơn</t>
        </is>
      </c>
      <c r="H10970" s="10" t="inlineStr">
        <is>
          <t>13/03/2026</t>
        </is>
      </c>
      <c r="I10970" s="10" t="inlineStr">
        <is>
          <t>12/04/2026</t>
        </is>
      </c>
      <c r="J10970" s="10" t="inlineStr">
        <is>
          <t>17/03/2026</t>
        </is>
      </c>
      <c r="K10970" s="10" t="inlineStr">
        <is>
          <t>N/A</t>
        </is>
      </c>
      <c r="L10970" s="10" t="inlineStr">
        <is>
          <t>Collaboration, Communication, Fashion Design, Leadership, Project Vision</t>
        </is>
      </c>
      <c r="M10970" s="10" t="inlineStr">
        <is>
          <t>Bonus, Paid Leave, Training, Laptop, Travel Opportunities, Vouchers</t>
        </is>
      </c>
      <c r="N10970" s="11">
        <f>HYPERLINK("https://www.vietnamworks.com/creative-director-2023391-jv","Xem chi tiết")</f>
        <v/>
      </c>
      <c r="O10970" s="10" t="n"/>
    </row>
    <row r="10971">
      <c r="B10971" s="7" t="n">
        <v>10969</v>
      </c>
      <c r="C10971" t="inlineStr">
        <is>
          <t>Kỹ Sư Xây Dựng</t>
        </is>
      </c>
      <c r="D10971" t="inlineStr">
        <is>
          <t>Công ty CP bê tông ly tâm Thủ Đức 1</t>
        </is>
      </c>
      <c r="E10971" t="inlineStr">
        <is>
          <t>10tr-20tr ₫/tháng</t>
        </is>
      </c>
      <c r="F10971" t="inlineStr">
        <is>
          <t>Hồ Chí Minh, Bình Dương</t>
        </is>
      </c>
      <c r="G10971" t="inlineStr">
        <is>
          <t>Nhân viên</t>
        </is>
      </c>
      <c r="H10971" t="inlineStr">
        <is>
          <t>13/03/2026</t>
        </is>
      </c>
      <c r="I10971" t="inlineStr">
        <is>
          <t>12/04/2026</t>
        </is>
      </c>
      <c r="J10971" t="inlineStr">
        <is>
          <t>17/03/2026</t>
        </is>
      </c>
      <c r="K10971" t="inlineStr">
        <is>
          <t>N/A</t>
        </is>
      </c>
      <c r="L10971" t="inlineStr">
        <is>
          <t>Hàng Vật Liệu Xây Dựng, Kỹ Sư Xây Dựng, Phần Mềm CAD, Revit, Shop Drawing</t>
        </is>
      </c>
      <c r="M10971" t="inlineStr">
        <is>
          <t>Bonus, Healthcare Plan, Others</t>
        </is>
      </c>
      <c r="N10971" s="8">
        <f>HYPERLINK("https://www.vietnamworks.com/ky-su-xay-dung-2023376-jv","Xem chi tiết")</f>
        <v/>
      </c>
    </row>
    <row r="10972">
      <c r="B10972" s="9" t="n">
        <v>10970</v>
      </c>
      <c r="C10972" s="10" t="inlineStr">
        <is>
          <t>[Hanoi] Korean Sales Executive | Fixed Monthly Salary | Annual Evaluation</t>
        </is>
      </c>
      <c r="D10972" s="10" t="inlineStr">
        <is>
          <t>Nippon Sanso Vietnam JSC - Ha Noi Branch</t>
        </is>
      </c>
      <c r="E10972" s="10" t="inlineStr">
        <is>
          <t>Thương lượng</t>
        </is>
      </c>
      <c r="F10972" s="10" t="inlineStr">
        <is>
          <t>Hà Nội</t>
        </is>
      </c>
      <c r="G10972" s="10" t="inlineStr">
        <is>
          <t>Nhân viên</t>
        </is>
      </c>
      <c r="H10972" s="10" t="inlineStr">
        <is>
          <t>13/03/2026</t>
        </is>
      </c>
      <c r="I10972" s="10" t="inlineStr">
        <is>
          <t>12/04/2026</t>
        </is>
      </c>
      <c r="J10972" s="10" t="inlineStr">
        <is>
          <t>17/03/2026</t>
        </is>
      </c>
      <c r="K10972" s="10" t="inlineStr">
        <is>
          <t>N/A</t>
        </is>
      </c>
      <c r="L10972" s="10" t="inlineStr">
        <is>
          <t>Kinh Doanh B2B, Korean Language, Microsoft Office, Communication, English</t>
        </is>
      </c>
      <c r="M10972" s="10" t="inlineStr">
        <is>
          <t>Bonus, Healthcare Plan, Paid Leave, Training, Team Activities, Others</t>
        </is>
      </c>
      <c r="N10972" s="11">
        <f>HYPERLINK("https://www.vietnamworks.com/hanoi-korean-sales-executive-fixed-monthly-salary-annual-evaluation-2023372-jv","Xem chi tiết")</f>
        <v/>
      </c>
      <c r="O10972" s="10" t="n"/>
    </row>
    <row r="10973">
      <c r="B10973" s="7" t="n">
        <v>10971</v>
      </c>
      <c r="C10973" t="inlineStr">
        <is>
          <t>Tổng Quản Lý Khách Sạn</t>
        </is>
      </c>
      <c r="D10973" t="inlineStr">
        <is>
          <t>Công Ty Cổ Phần Đầu Tư Infinity Group</t>
        </is>
      </c>
      <c r="E10973" t="inlineStr">
        <is>
          <t>Thương lượng</t>
        </is>
      </c>
      <c r="F10973" t="inlineStr">
        <is>
          <t>Lâm Đồng, Hà Nội, Hồ Chí Minh</t>
        </is>
      </c>
      <c r="G10973" t="inlineStr">
        <is>
          <t>Trưởng phòng</t>
        </is>
      </c>
      <c r="H10973" t="inlineStr">
        <is>
          <t>13/03/2026</t>
        </is>
      </c>
      <c r="I10973" t="inlineStr">
        <is>
          <t>12/04/2026</t>
        </is>
      </c>
      <c r="J10973" t="inlineStr">
        <is>
          <t>17/03/2026</t>
        </is>
      </c>
      <c r="K10973" t="inlineStr">
        <is>
          <t>N/A</t>
        </is>
      </c>
      <c r="L10973" t="inlineStr">
        <is>
          <t>Dịch Vụ Nghỉ Dưỡng, Giao Tiếp Tiếng Anh, Quản Trị Kinh Doanh, Kinh Tế, Giải quyết vấn đề</t>
        </is>
      </c>
      <c r="M10973" t="inlineStr">
        <is>
          <t>Bonus, Healthcare Plan, Travel Opportunities</t>
        </is>
      </c>
      <c r="N10973" s="8">
        <f>HYPERLINK("https://www.vietnamworks.com/tong-quan-ly-khach-san-2023388-jv","Xem chi tiết")</f>
        <v/>
      </c>
    </row>
    <row r="10974">
      <c r="B10974" s="9" t="n">
        <v>10972</v>
      </c>
      <c r="C10974" s="10" t="inlineStr">
        <is>
          <t>Giám Đốc Kinh Doanh</t>
        </is>
      </c>
      <c r="D10974" s="10" t="inlineStr">
        <is>
          <t>Công Ty TNHH Đông Dương Sài Gòn</t>
        </is>
      </c>
      <c r="E10974" s="10" t="inlineStr">
        <is>
          <t>Tới $ 3,000 /tháng</t>
        </is>
      </c>
      <c r="F10974" s="10" t="inlineStr">
        <is>
          <t>Hồ Chí Minh</t>
        </is>
      </c>
      <c r="G10974" s="10" t="inlineStr">
        <is>
          <t>Giám Đốc và Cấp Cao Hơn</t>
        </is>
      </c>
      <c r="H10974" s="10" t="inlineStr">
        <is>
          <t>13/03/2026</t>
        </is>
      </c>
      <c r="I10974" s="10" t="inlineStr">
        <is>
          <t>12/04/2026</t>
        </is>
      </c>
      <c r="J10974" s="10" t="inlineStr">
        <is>
          <t>17/03/2026</t>
        </is>
      </c>
      <c r="K10974" s="10" t="inlineStr">
        <is>
          <t>N/A</t>
        </is>
      </c>
      <c r="L10974" s="10" t="inlineStr">
        <is>
          <t>Lãnh Đạo, Chiến Lược Kinh Doanh, Kinh Doanh Hàng Tiêu Dùng, Quản Lý Kinh Doanh, Quản Lý Vận Hành</t>
        </is>
      </c>
      <c r="M10974" s="10" t="inlineStr">
        <is>
          <t>Bonus, Others</t>
        </is>
      </c>
      <c r="N10974" s="11">
        <f>HYPERLINK("https://www.vietnamworks.com/giam-djoc-kinh-doanh-2023382-jv","Xem chi tiết")</f>
        <v/>
      </c>
      <c r="O10974" s="10" t="n"/>
    </row>
    <row r="10975">
      <c r="B10975" s="7" t="n">
        <v>10973</v>
      </c>
      <c r="C10975" t="inlineStr">
        <is>
          <t>Account Manager (DPPA And Bess, Solar Power)</t>
        </is>
      </c>
      <c r="D10975" t="inlineStr">
        <is>
          <t>CÔNG TY CỔ PHẦN NĂNG LƯỢNG VINENERGO</t>
        </is>
      </c>
      <c r="E10975" t="inlineStr">
        <is>
          <t>Thương lượng</t>
        </is>
      </c>
      <c r="F10975" t="inlineStr">
        <is>
          <t>Hà Nội</t>
        </is>
      </c>
      <c r="G10975" t="inlineStr">
        <is>
          <t>Trưởng phòng</t>
        </is>
      </c>
      <c r="H10975" t="inlineStr">
        <is>
          <t>13/03/2026</t>
        </is>
      </c>
      <c r="I10975" t="inlineStr">
        <is>
          <t>12/04/2026</t>
        </is>
      </c>
      <c r="J10975" t="inlineStr">
        <is>
          <t>17/03/2026</t>
        </is>
      </c>
      <c r="K10975" t="inlineStr">
        <is>
          <t>N/A</t>
        </is>
      </c>
      <c r="L10975" t="inlineStr">
        <is>
          <t>Account Management, Business Development, Communication Skills, Customer Orientation, Sustainable Energy</t>
        </is>
      </c>
      <c r="M10975" t="inlineStr">
        <is>
          <t>Bonus, Healthcare Plan, Training, Others</t>
        </is>
      </c>
      <c r="N10975" s="8">
        <f>HYPERLINK("https://www.vietnamworks.com/account-manager-dppa-and-bess-solar-power-2023367-jv","Xem chi tiết")</f>
        <v/>
      </c>
    </row>
    <row r="10976">
      <c r="B10976" s="9" t="n">
        <v>10974</v>
      </c>
      <c r="C10976" s="10" t="inlineStr">
        <is>
          <t>Production Staff (Nhân Viên Sản Xuất- Nhà Máy Hải Dương Cũ Hiện Là Hải Phòng)</t>
        </is>
      </c>
      <c r="D10976" s="10" t="inlineStr">
        <is>
          <t>Sumiden Vietnam Automotive Wire (SVAW)</t>
        </is>
      </c>
      <c r="E10976" s="10" t="inlineStr">
        <is>
          <t>Thương lượng</t>
        </is>
      </c>
      <c r="F10976" s="10" t="inlineStr">
        <is>
          <t>Hải Phòng, Hải Dương</t>
        </is>
      </c>
      <c r="G10976" s="10" t="inlineStr">
        <is>
          <t>Nhân viên</t>
        </is>
      </c>
      <c r="H10976" s="10" t="inlineStr">
        <is>
          <t>13/03/2026</t>
        </is>
      </c>
      <c r="I10976" s="10" t="inlineStr">
        <is>
          <t>12/04/2026</t>
        </is>
      </c>
      <c r="J10976" s="10" t="inlineStr">
        <is>
          <t>17/03/2026</t>
        </is>
      </c>
      <c r="K10976" s="10" t="inlineStr">
        <is>
          <t>N/A</t>
        </is>
      </c>
      <c r="L10976" s="10" t="inlineStr">
        <is>
          <t>ISO 9001 &amp; 14001, Production Process, Quality Control Inspection, Solve Technical Issues, Technical</t>
        </is>
      </c>
      <c r="M10976" s="10" t="inlineStr">
        <is>
          <t>Bonus, Healthcare Plan, Travel Opportunities, Others</t>
        </is>
      </c>
      <c r="N10976" s="11">
        <f>HYPERLINK("https://www.vietnamworks.com/production-staff-nhan-vien-san-xuat-nha-may-hai-duong-cu-hien-la-hai-phong-2023412-jv","Xem chi tiết")</f>
        <v/>
      </c>
      <c r="O10976" s="10" t="n"/>
    </row>
    <row r="10977">
      <c r="B10977" s="7" t="n">
        <v>10975</v>
      </c>
      <c r="C10977" t="inlineStr">
        <is>
          <t>Nhân Viên Phòng Sản Xuất</t>
        </is>
      </c>
      <c r="D10977" t="inlineStr">
        <is>
          <t>CÔNG TY TNHH HESTRA VIỆT NAM</t>
        </is>
      </c>
      <c r="E10977" t="inlineStr">
        <is>
          <t>Thương lượng</t>
        </is>
      </c>
      <c r="F10977" t="inlineStr">
        <is>
          <t>Hải Phòng</t>
        </is>
      </c>
      <c r="G10977" t="inlineStr">
        <is>
          <t>Nhân viên</t>
        </is>
      </c>
      <c r="H10977" t="inlineStr">
        <is>
          <t>13/03/2026</t>
        </is>
      </c>
      <c r="I10977" t="inlineStr">
        <is>
          <t>12/04/2026</t>
        </is>
      </c>
      <c r="J10977" t="inlineStr">
        <is>
          <t>17/03/2026</t>
        </is>
      </c>
      <c r="K10977" t="inlineStr">
        <is>
          <t>N/A</t>
        </is>
      </c>
      <c r="L10977" t="inlineStr">
        <is>
          <t>ERP, Lập Kế Hoạch Sản Xuất, Phân Tích Sản Xuất, Tin Học Văn Phòng, Tiếng Anh</t>
        </is>
      </c>
      <c r="M10977" t="inlineStr">
        <is>
          <t>Bonus, Healthcare Plan, Travel Opportunities</t>
        </is>
      </c>
      <c r="N10977" s="8">
        <f>HYPERLINK("https://www.vietnamworks.com/nhan-vien-phong-san-xuat--2023404-jv","Xem chi tiết")</f>
        <v/>
      </c>
    </row>
    <row r="10978">
      <c r="B10978" s="9" t="n">
        <v>10976</v>
      </c>
      <c r="C10978" s="10" t="inlineStr">
        <is>
          <t>Chuyên Viên Tư Vấn Bất Động Sản (Kênh Ngân Hàng)</t>
        </is>
      </c>
      <c r="D10978" s="10" t="inlineStr">
        <is>
          <t>One Mount</t>
        </is>
      </c>
      <c r="E10978" s="10" t="inlineStr">
        <is>
          <t>30tr-50tr ₫/tháng</t>
        </is>
      </c>
      <c r="F10978" s="10" t="inlineStr">
        <is>
          <t>Hà Nội</t>
        </is>
      </c>
      <c r="G10978" s="10" t="inlineStr">
        <is>
          <t>Nhân viên</t>
        </is>
      </c>
      <c r="H10978" s="10" t="inlineStr">
        <is>
          <t>13/03/2026</t>
        </is>
      </c>
      <c r="I10978" s="10" t="inlineStr">
        <is>
          <t>12/04/2026</t>
        </is>
      </c>
      <c r="J10978" s="10" t="inlineStr">
        <is>
          <t>17/03/2026</t>
        </is>
      </c>
      <c r="K10978" s="10" t="inlineStr">
        <is>
          <t>N/A</t>
        </is>
      </c>
      <c r="L10978" s="10" t="inlineStr">
        <is>
          <t>Dynamic Attitude, Negotiation Skills, Real Estate, Sales Experience, Teamwork</t>
        </is>
      </c>
      <c r="M10978" s="10" t="inlineStr">
        <is>
          <t>Bonus, Healthcare Plan, Paid Leave, Training, Laptop, Team Activities</t>
        </is>
      </c>
      <c r="N10978" s="11">
        <f>HYPERLINK("https://www.vietnamworks.com/chuyen-vien-tu-van-bat-djong-san-kenh-ngan-hang-2023398-jv","Xem chi tiết")</f>
        <v/>
      </c>
      <c r="O10978" s="10" t="n"/>
    </row>
    <row r="10979">
      <c r="B10979" s="7" t="n">
        <v>10977</v>
      </c>
      <c r="C10979" t="inlineStr">
        <is>
          <t>Sales Executive (Garment/ Textile Materials)</t>
        </is>
      </c>
      <c r="D10979" t="inlineStr">
        <is>
          <t>Coats Phong Phu</t>
        </is>
      </c>
      <c r="E10979" t="inlineStr">
        <is>
          <t>Thương lượng</t>
        </is>
      </c>
      <c r="F10979" t="inlineStr">
        <is>
          <t>Hà Nội, Hưng Yên</t>
        </is>
      </c>
      <c r="G10979" t="inlineStr">
        <is>
          <t>Nhân viên</t>
        </is>
      </c>
      <c r="H10979" t="inlineStr">
        <is>
          <t>13/03/2026</t>
        </is>
      </c>
      <c r="I10979" t="inlineStr">
        <is>
          <t>12/04/2026</t>
        </is>
      </c>
      <c r="J10979" t="inlineStr">
        <is>
          <t>17/03/2026</t>
        </is>
      </c>
      <c r="K10979" t="inlineStr">
        <is>
          <t>N/A</t>
        </is>
      </c>
      <c r="L10979" t="inlineStr">
        <is>
          <t>Automotive, Communication Skills, Customer Management, Team Work, Textile Industry Knowledge</t>
        </is>
      </c>
      <c r="M10979" t="inlineStr">
        <is>
          <t>Bonus, Healthcare Plan, Paid Leave, Laptop, Mobile, Team Activities, Transportation, Canteen, Kindergarten</t>
        </is>
      </c>
      <c r="N10979" s="8">
        <f>HYPERLINK("https://www.vietnamworks.com/sales-executive-garment-textile-materials-2023420-jv","Xem chi tiết")</f>
        <v/>
      </c>
    </row>
    <row r="10980">
      <c r="B10980" s="9" t="n">
        <v>10978</v>
      </c>
      <c r="C10980" s="10" t="inlineStr">
        <is>
          <t xml:space="preserve">Strategic Planning &amp; Analysis Director </t>
        </is>
      </c>
      <c r="D10980" s="10" t="inlineStr">
        <is>
          <t>Công Ty TNHH Khí Công Nghiệp Messer Việt Nam</t>
        </is>
      </c>
      <c r="E10980" s="10" t="inlineStr">
        <is>
          <t>Thương lượng</t>
        </is>
      </c>
      <c r="F10980" s="10" t="inlineStr">
        <is>
          <t>Hà Nội</t>
        </is>
      </c>
      <c r="G10980" s="10" t="inlineStr">
        <is>
          <t>Giám Đốc và Cấp Cao Hơn</t>
        </is>
      </c>
      <c r="H10980" s="10" t="inlineStr">
        <is>
          <t>13/03/2026</t>
        </is>
      </c>
      <c r="I10980" s="10" t="inlineStr">
        <is>
          <t>12/04/2026</t>
        </is>
      </c>
      <c r="J10980" s="10" t="inlineStr">
        <is>
          <t>17/03/2026</t>
        </is>
      </c>
      <c r="K10980" s="10" t="inlineStr">
        <is>
          <t>N/A</t>
        </is>
      </c>
      <c r="L10980" s="10" t="inlineStr">
        <is>
          <t>Business Strategy, Financial Analysis, Financial Planning, Team Management</t>
        </is>
      </c>
      <c r="M10980" s="10" t="inlineStr">
        <is>
          <t>Bonus, Healthcare Plan, Team Activities</t>
        </is>
      </c>
      <c r="N10980" s="11">
        <f>HYPERLINK("https://www.vietnamworks.com/strategic-planning-and-analysis-director-2023399-jv","Xem chi tiết")</f>
        <v/>
      </c>
      <c r="O10980" s="10" t="n"/>
    </row>
    <row r="10981">
      <c r="B10981" s="7" t="n">
        <v>10979</v>
      </c>
      <c r="C10981" t="inlineStr">
        <is>
          <t>Giám Sát HSE Tại Quảng Ngãi</t>
        </is>
      </c>
      <c r="D10981" t="inlineStr">
        <is>
          <t>Công Ty Cổ Phần Tập Đoàn TH</t>
        </is>
      </c>
      <c r="E10981" t="inlineStr">
        <is>
          <t>Thương lượng</t>
        </is>
      </c>
      <c r="F10981" t="inlineStr">
        <is>
          <t>Quảng Ngãi</t>
        </is>
      </c>
      <c r="G10981" t="inlineStr">
        <is>
          <t>Trưởng phòng</t>
        </is>
      </c>
      <c r="H10981" t="inlineStr">
        <is>
          <t>13/03/2026</t>
        </is>
      </c>
      <c r="I10981" t="inlineStr">
        <is>
          <t>12/04/2026</t>
        </is>
      </c>
      <c r="J10981" t="inlineStr">
        <is>
          <t>17/03/2026</t>
        </is>
      </c>
      <c r="K10981" t="inlineStr">
        <is>
          <t>N/A</t>
        </is>
      </c>
      <c r="L10981" t="inlineStr">
        <is>
          <t>HSE, Môi Trường, An Toàn Lao Động, Quản Lý Môi Trường, Bảo Hộ Lao Động</t>
        </is>
      </c>
      <c r="M10981" t="inlineStr">
        <is>
          <t>Healthcare Plan</t>
        </is>
      </c>
      <c r="N10981" s="8">
        <f>HYPERLINK("https://www.vietnamworks.com/giam-sat-hse-tai-quang-ngai--2023409-jv","Xem chi tiết")</f>
        <v/>
      </c>
    </row>
    <row r="10982">
      <c r="B10982" s="9" t="n">
        <v>10980</v>
      </c>
      <c r="C10982" s="10" t="inlineStr">
        <is>
          <t>Reliability Engineer</t>
        </is>
      </c>
      <c r="D10982" s="10" t="inlineStr">
        <is>
          <t>Baria Serece Joint Stock Company</t>
        </is>
      </c>
      <c r="E10982" s="10" t="inlineStr">
        <is>
          <t>Thương lượng</t>
        </is>
      </c>
      <c r="F10982" s="10" t="inlineStr">
        <is>
          <t>Bà Rịa - Vũng Tàu</t>
        </is>
      </c>
      <c r="G10982" s="10" t="inlineStr">
        <is>
          <t>Nhân viên</t>
        </is>
      </c>
      <c r="H10982" s="10" t="inlineStr">
        <is>
          <t>13/03/2026</t>
        </is>
      </c>
      <c r="I10982" s="10" t="inlineStr">
        <is>
          <t>12/04/2026</t>
        </is>
      </c>
      <c r="J10982" s="10" t="inlineStr">
        <is>
          <t>17/03/2026</t>
        </is>
      </c>
      <c r="K10982" s="10" t="inlineStr">
        <is>
          <t>N/A</t>
        </is>
      </c>
      <c r="L10982" s="10" t="inlineStr">
        <is>
          <t>Reliability Engineering, Data Analysis, Predictive Maintenance, Root Cause Analysis, Communication Skills</t>
        </is>
      </c>
      <c r="M10982" s="10" t="inlineStr">
        <is>
          <t>Bonus, Healthcare Plan, Training</t>
        </is>
      </c>
      <c r="N10982" s="11">
        <f>HYPERLINK("https://www.vietnamworks.com/reliability-engineer-2023413-jv","Xem chi tiết")</f>
        <v/>
      </c>
      <c r="O10982" s="10" t="n"/>
    </row>
    <row r="10983">
      <c r="B10983" s="7" t="n">
        <v>10981</v>
      </c>
      <c r="C10983" t="inlineStr">
        <is>
          <t>[Hiring] Dynamics Developer – Up to 30 Million VND / month</t>
        </is>
      </c>
      <c r="D10983" t="inlineStr">
        <is>
          <t>Công Ty Cổ Phần Phần Mềm Seashore</t>
        </is>
      </c>
      <c r="E10983" t="inlineStr">
        <is>
          <t>Tới 30tr ₫/tháng</t>
        </is>
      </c>
      <c r="F10983" t="inlineStr">
        <is>
          <t>Hà Nội</t>
        </is>
      </c>
      <c r="G10983" t="inlineStr">
        <is>
          <t>Nhân viên</t>
        </is>
      </c>
      <c r="H10983" t="inlineStr">
        <is>
          <t>13/03/2026</t>
        </is>
      </c>
      <c r="I10983" t="inlineStr">
        <is>
          <t>12/04/2026</t>
        </is>
      </c>
      <c r="J10983" t="inlineStr">
        <is>
          <t>17/03/2026</t>
        </is>
      </c>
      <c r="K10983" t="inlineStr">
        <is>
          <t>N/A</t>
        </is>
      </c>
      <c r="L10983" t="inlineStr">
        <is>
          <t>.Net, C#, WebApp Development, Microsoft Dynamics 365</t>
        </is>
      </c>
      <c r="M10983" t="inlineStr">
        <is>
          <t>Bonus, Laptop, Travel Opportunities</t>
        </is>
      </c>
      <c r="N10983" s="8">
        <f>HYPERLINK("https://www.vietnamworks.com/hiring-dynamics-developer-up-to-30-million-vnd-month--2023397-jv","Xem chi tiết")</f>
        <v/>
      </c>
    </row>
    <row r="10984">
      <c r="B10984" s="9" t="n">
        <v>10982</v>
      </c>
      <c r="C10984" s="10" t="inlineStr">
        <is>
          <t>Maintenance Planner</t>
        </is>
      </c>
      <c r="D10984" s="10" t="inlineStr">
        <is>
          <t>Baria Serece Joint Stock Company</t>
        </is>
      </c>
      <c r="E10984" s="10" t="inlineStr">
        <is>
          <t>Thương lượng</t>
        </is>
      </c>
      <c r="F10984" s="10" t="inlineStr">
        <is>
          <t>Bà Rịa - Vũng Tàu</t>
        </is>
      </c>
      <c r="G10984" s="10" t="inlineStr">
        <is>
          <t>Nhân viên</t>
        </is>
      </c>
      <c r="H10984" s="10" t="inlineStr">
        <is>
          <t>13/03/2026</t>
        </is>
      </c>
      <c r="I10984" s="10" t="inlineStr">
        <is>
          <t>12/04/2026</t>
        </is>
      </c>
      <c r="J10984" s="10" t="inlineStr">
        <is>
          <t>17/03/2026</t>
        </is>
      </c>
      <c r="K10984" s="10" t="inlineStr">
        <is>
          <t>N/A</t>
        </is>
      </c>
      <c r="L10984" s="10" t="inlineStr">
        <is>
          <t>Maintenance Planning, Asset Management, Data Analysis, Schedule Management, Communication</t>
        </is>
      </c>
      <c r="M10984" s="10" t="inlineStr">
        <is>
          <t>Awards, Mobile</t>
        </is>
      </c>
      <c r="N10984" s="11">
        <f>HYPERLINK("https://www.vietnamworks.com/maintenance-planner-2023426-jv","Xem chi tiết")</f>
        <v/>
      </c>
      <c r="O10984" s="10" t="n"/>
    </row>
    <row r="10985">
      <c r="B10985" s="7" t="n">
        <v>10983</v>
      </c>
      <c r="C10985" t="inlineStr">
        <is>
          <t>Production Manager</t>
        </is>
      </c>
      <c r="D10985" t="inlineStr">
        <is>
          <t>Spectre GT Vietnam</t>
        </is>
      </c>
      <c r="E10985" t="inlineStr">
        <is>
          <t>Thương lượng</t>
        </is>
      </c>
      <c r="F10985" t="inlineStr">
        <is>
          <t>Hưng Yên, Ninh Bình</t>
        </is>
      </c>
      <c r="G10985" t="inlineStr">
        <is>
          <t>Nhân viên</t>
        </is>
      </c>
      <c r="H10985" t="inlineStr">
        <is>
          <t>13/03/2026</t>
        </is>
      </c>
      <c r="I10985" t="inlineStr">
        <is>
          <t>12/04/2026</t>
        </is>
      </c>
      <c r="J10985" t="inlineStr">
        <is>
          <t>17/03/2026</t>
        </is>
      </c>
      <c r="K10985" t="inlineStr">
        <is>
          <t>N/A</t>
        </is>
      </c>
      <c r="L10985" t="inlineStr">
        <is>
          <t>Analytical Skills, English, ERP, Garment Manufacturing, Production Planning</t>
        </is>
      </c>
      <c r="M10985" t="inlineStr">
        <is>
          <t>Others</t>
        </is>
      </c>
      <c r="N10985" s="8">
        <f>HYPERLINK("https://www.vietnamworks.com/production-manager-2023428-jv","Xem chi tiết")</f>
        <v/>
      </c>
    </row>
    <row r="10986">
      <c r="B10986" s="9" t="n">
        <v>10984</v>
      </c>
      <c r="C10986" s="10" t="inlineStr">
        <is>
          <t>Specialist, Feasibility Study (FS) - Operation Excellence</t>
        </is>
      </c>
      <c r="D10986" s="10" t="inlineStr">
        <is>
          <t>Công Ty Cổ Phần Đầu Tư Nam Long</t>
        </is>
      </c>
      <c r="E10986" s="10" t="inlineStr">
        <is>
          <t>Thương lượng</t>
        </is>
      </c>
      <c r="F10986" s="10" t="inlineStr">
        <is>
          <t>Hồ Chí Minh</t>
        </is>
      </c>
      <c r="G10986" s="10" t="inlineStr">
        <is>
          <t>Nhân viên</t>
        </is>
      </c>
      <c r="H10986" s="10" t="inlineStr">
        <is>
          <t>13/03/2026</t>
        </is>
      </c>
      <c r="I10986" s="10" t="inlineStr">
        <is>
          <t>12/04/2026</t>
        </is>
      </c>
      <c r="J10986" s="10" t="inlineStr">
        <is>
          <t>17/03/2026</t>
        </is>
      </c>
      <c r="K10986" s="10" t="inlineStr">
        <is>
          <t>N/A</t>
        </is>
      </c>
      <c r="L10986" s="10" t="inlineStr">
        <is>
          <t>Analytical Skills, Market Research, MS Excel, Project Development, Feasibility Study</t>
        </is>
      </c>
      <c r="M10986" s="10" t="inlineStr">
        <is>
          <t>Bonus, Healthcare Plan, Paid Leave</t>
        </is>
      </c>
      <c r="N10986" s="11">
        <f>HYPERLINK("https://www.vietnamworks.com/specialist-feasibility-study-fs-operation-excellence-2023423-jv","Xem chi tiết")</f>
        <v/>
      </c>
      <c r="O10986" s="10" t="n"/>
    </row>
    <row r="10987">
      <c r="B10987" s="7" t="n">
        <v>10985</v>
      </c>
      <c r="C10987" t="inlineStr">
        <is>
          <t>Nhân Viên Điện, Cơ Khí Tự Động Hóa (Làm Việc Tại Tây Ninh)</t>
        </is>
      </c>
      <c r="D10987" t="inlineStr">
        <is>
          <t>CÔNG TY TNHH BROTEX (VIỆT NAM)</t>
        </is>
      </c>
      <c r="E10987" t="inlineStr">
        <is>
          <t>Từ 10tr ₫/tháng</t>
        </is>
      </c>
      <c r="F10987" t="inlineStr">
        <is>
          <t>Tây Ninh</t>
        </is>
      </c>
      <c r="G10987" t="inlineStr">
        <is>
          <t>Mới Tốt Nghiệp</t>
        </is>
      </c>
      <c r="H10987" t="inlineStr">
        <is>
          <t>13/03/2026</t>
        </is>
      </c>
      <c r="I10987" t="inlineStr">
        <is>
          <t>12/04/2026</t>
        </is>
      </c>
      <c r="J10987" t="inlineStr">
        <is>
          <t>17/03/2026</t>
        </is>
      </c>
      <c r="K10987" t="inlineStr">
        <is>
          <t>N/A</t>
        </is>
      </c>
      <c r="L10987" t="inlineStr">
        <is>
          <t>Bảo Dưỡng, Tự Động Hóa, Vận Hành Thiết Bị, Điện Công Nghiệp, Không Cần Kinh Nghiệm</t>
        </is>
      </c>
      <c r="M10987" t="inlineStr">
        <is>
          <t>Bonus, Healthcare Plan, Others</t>
        </is>
      </c>
      <c r="N10987" s="8">
        <f>HYPERLINK("https://www.vietnamworks.com/nhan-vien-djien-co-khi-tu-djong-hoa-lam-viec-tai-tay-ninh-2023425-jv","Xem chi tiết")</f>
        <v/>
      </c>
    </row>
    <row r="10988">
      <c r="B10988" s="9" t="n">
        <v>10986</v>
      </c>
      <c r="C10988" s="10" t="inlineStr">
        <is>
          <t>Content Marketing Executive</t>
        </is>
      </c>
      <c r="D10988" s="10" t="inlineStr">
        <is>
          <t>Công Ty TNHH Đông Dương Sài Gòn</t>
        </is>
      </c>
      <c r="E10988" s="10" t="inlineStr">
        <is>
          <t>Tới 18tr ₫/tháng</t>
        </is>
      </c>
      <c r="F10988" s="10" t="inlineStr">
        <is>
          <t>Hồ Chí Minh</t>
        </is>
      </c>
      <c r="G10988" s="10" t="inlineStr">
        <is>
          <t>Nhân viên</t>
        </is>
      </c>
      <c r="H10988" s="10" t="inlineStr">
        <is>
          <t>13/03/2026</t>
        </is>
      </c>
      <c r="I10988" s="10" t="inlineStr">
        <is>
          <t>12/04/2026</t>
        </is>
      </c>
      <c r="J10988" s="10" t="inlineStr">
        <is>
          <t>17/03/2026</t>
        </is>
      </c>
      <c r="K10988" s="10" t="inlineStr">
        <is>
          <t>N/A</t>
        </is>
      </c>
      <c r="L10988" s="10" t="inlineStr">
        <is>
          <t>Content Marketing, Social Media Content, Copywrite (Sales, Social Post, SEO, PR, Long Form), SEO &amp; ADS, Face Book Ads</t>
        </is>
      </c>
      <c r="M10988" s="10" t="inlineStr">
        <is>
          <t>Bonus, Healthcare Plan, Others</t>
        </is>
      </c>
      <c r="N10988" s="11">
        <f>HYPERLINK("https://www.vietnamworks.com/content-marketing-executive-2023427-jv","Xem chi tiết")</f>
        <v/>
      </c>
      <c r="O10988" s="10" t="n"/>
    </row>
    <row r="10989">
      <c r="B10989" s="7" t="n">
        <v>10987</v>
      </c>
      <c r="C10989" t="inlineStr">
        <is>
          <t>Nhân Viên Xuất Nhập Khẩu (Import-Export Executive)</t>
        </is>
      </c>
      <c r="D10989" t="inlineStr">
        <is>
          <t>Binh Tây Food</t>
        </is>
      </c>
      <c r="E10989" t="inlineStr">
        <is>
          <t>Thương lượng</t>
        </is>
      </c>
      <c r="F10989" t="inlineStr">
        <is>
          <t>Hồ Chí Minh</t>
        </is>
      </c>
      <c r="G10989" t="inlineStr">
        <is>
          <t>Nhân viên</t>
        </is>
      </c>
      <c r="H10989" t="inlineStr">
        <is>
          <t>13/03/2026</t>
        </is>
      </c>
      <c r="I10989" t="inlineStr">
        <is>
          <t>12/04/2026</t>
        </is>
      </c>
      <c r="J10989" t="inlineStr">
        <is>
          <t>17/03/2026</t>
        </is>
      </c>
      <c r="K10989" t="inlineStr">
        <is>
          <t>N/A</t>
        </is>
      </c>
      <c r="L10989" t="inlineStr">
        <is>
          <t>Chứng Từ Xuất Nhập Khẩu, Hải Quan, Incoterms, Luật Thương Mại, VNACCS</t>
        </is>
      </c>
      <c r="M10989" t="inlineStr">
        <is>
          <t>Bonus, Healthcare Plan, Others</t>
        </is>
      </c>
      <c r="N10989" s="8">
        <f>HYPERLINK("https://www.vietnamworks.com/nhan-vien-xuat-nhap-khau-import-export-executive-2023405-jv","Xem chi tiết")</f>
        <v/>
      </c>
    </row>
    <row r="10990">
      <c r="B10990" s="9" t="n">
        <v>10988</v>
      </c>
      <c r="C10990" s="10" t="inlineStr">
        <is>
          <t>Deputy Director, Research And Development</t>
        </is>
      </c>
      <c r="D10990" s="10" t="inlineStr">
        <is>
          <t>Công Ty Cổ Phần Đầu Tư Nam Long</t>
        </is>
      </c>
      <c r="E10990" s="10" t="inlineStr">
        <is>
          <t>Thương lượng</t>
        </is>
      </c>
      <c r="F10990" s="10" t="inlineStr">
        <is>
          <t>Hồ Chí Minh</t>
        </is>
      </c>
      <c r="G10990" s="10" t="inlineStr">
        <is>
          <t>Giám Đốc và Cấp Cao Hơn</t>
        </is>
      </c>
      <c r="H10990" s="10" t="inlineStr">
        <is>
          <t>13/03/2026</t>
        </is>
      </c>
      <c r="I10990" s="10" t="inlineStr">
        <is>
          <t>12/04/2026</t>
        </is>
      </c>
      <c r="J10990" s="10" t="inlineStr">
        <is>
          <t>17/03/2026</t>
        </is>
      </c>
      <c r="K10990" s="10" t="inlineStr">
        <is>
          <t>N/A</t>
        </is>
      </c>
      <c r="L10990" s="10" t="inlineStr">
        <is>
          <t>Market Research, Real Estate Analysis, People Management, English Communication, Strategic Planning</t>
        </is>
      </c>
      <c r="M10990" s="10" t="inlineStr">
        <is>
          <t>Bonus, Healthcare Plan, Paid Leave</t>
        </is>
      </c>
      <c r="N10990" s="11">
        <f>HYPERLINK("https://www.vietnamworks.com/deputy-director-research-and-development-2023410-jv","Xem chi tiết")</f>
        <v/>
      </c>
      <c r="O10990" s="10" t="n"/>
    </row>
    <row r="10991">
      <c r="B10991" s="7" t="n">
        <v>10989</v>
      </c>
      <c r="C10991" t="inlineStr">
        <is>
          <t>Technical Support</t>
        </is>
      </c>
      <c r="D10991" t="inlineStr">
        <is>
          <t>Arcstone Operations Platform</t>
        </is>
      </c>
      <c r="E10991" t="inlineStr">
        <is>
          <t>Thương lượng</t>
        </is>
      </c>
      <c r="F10991" t="inlineStr">
        <is>
          <t>Hà Nội, Hải Phòng</t>
        </is>
      </c>
      <c r="G10991" t="inlineStr">
        <is>
          <t>Nhân viên</t>
        </is>
      </c>
      <c r="H10991" t="inlineStr">
        <is>
          <t>13/03/2026</t>
        </is>
      </c>
      <c r="I10991" t="inlineStr">
        <is>
          <t>12/04/2026</t>
        </is>
      </c>
      <c r="J10991" t="inlineStr">
        <is>
          <t>17/03/2026</t>
        </is>
      </c>
      <c r="K10991" t="inlineStr">
        <is>
          <t>N/A</t>
        </is>
      </c>
      <c r="L10991" t="inlineStr">
        <is>
          <t>Hỗ Trợ Kỹ Thuật, PCB, PCB Application, Tự Động Hóa, Điện tử</t>
        </is>
      </c>
      <c r="M10991" t="inlineStr">
        <is>
          <t>Bonus, Healthcare Plan, Training, Team Activities, Others</t>
        </is>
      </c>
      <c r="N10991" s="8">
        <f>HYPERLINK("https://www.vietnamworks.com/technical-support-2023416-jv","Xem chi tiết")</f>
        <v/>
      </c>
    </row>
    <row r="10992">
      <c r="B10992" s="9" t="n">
        <v>10990</v>
      </c>
      <c r="C10992" s="10" t="inlineStr">
        <is>
          <t>Quality Assurance Manager (Trưởng Phòng Quản Lý Chất Lượng)</t>
        </is>
      </c>
      <c r="D10992" s="10" t="inlineStr">
        <is>
          <t>Spectre GT Vietnam</t>
        </is>
      </c>
      <c r="E10992" s="10" t="inlineStr">
        <is>
          <t>Tới $ 3,000 /tháng</t>
        </is>
      </c>
      <c r="F10992" s="10" t="inlineStr">
        <is>
          <t>Hưng Yên, An Giang</t>
        </is>
      </c>
      <c r="G10992" s="10" t="inlineStr">
        <is>
          <t>Trưởng phòng</t>
        </is>
      </c>
      <c r="H10992" s="10" t="inlineStr">
        <is>
          <t>13/03/2026</t>
        </is>
      </c>
      <c r="I10992" s="10" t="inlineStr">
        <is>
          <t>12/04/2026</t>
        </is>
      </c>
      <c r="J10992" s="10" t="inlineStr">
        <is>
          <t>17/03/2026</t>
        </is>
      </c>
      <c r="K10992" s="10" t="inlineStr">
        <is>
          <t>N/A</t>
        </is>
      </c>
      <c r="L10992" s="10" t="inlineStr">
        <is>
          <t>English, ISO 9001, Lean Six Sigma, MS Office, Quality Control</t>
        </is>
      </c>
      <c r="M10992" s="10" t="inlineStr">
        <is>
          <t>Others</t>
        </is>
      </c>
      <c r="N10992" s="11">
        <f>HYPERLINK("https://www.vietnamworks.com/quality-assurance-manager-truong-phong-quan-ly-chat-luong-2023421-jv","Xem chi tiết")</f>
        <v/>
      </c>
      <c r="O10992" s="10" t="n"/>
    </row>
    <row r="10993">
      <c r="B10993" s="7" t="n">
        <v>10991</v>
      </c>
      <c r="C10993" t="inlineStr">
        <is>
          <t>Phó Giám Đốc Chi Nhánh Phụ Trách SME [Khu Vực Hà Nội]</t>
        </is>
      </c>
      <c r="D10993" t="inlineStr">
        <is>
          <t>ABBank - Ngân Hàng TMCP An Bình</t>
        </is>
      </c>
      <c r="E10993" t="inlineStr">
        <is>
          <t>Thương lượng</t>
        </is>
      </c>
      <c r="F10993" t="inlineStr">
        <is>
          <t>Hà Nội</t>
        </is>
      </c>
      <c r="G10993" t="inlineStr">
        <is>
          <t>Giám Đốc và Cấp Cao Hơn</t>
        </is>
      </c>
      <c r="H10993" t="inlineStr">
        <is>
          <t>13/03/2026</t>
        </is>
      </c>
      <c r="I10993" t="inlineStr">
        <is>
          <t>12/04/2026</t>
        </is>
      </c>
      <c r="J10993" t="inlineStr">
        <is>
          <t>17/03/2026</t>
        </is>
      </c>
      <c r="K10993" t="inlineStr">
        <is>
          <t>N/A</t>
        </is>
      </c>
      <c r="L10993" t="inlineStr">
        <is>
          <t>Phát Triển Thị Trường, Khách Hàng Doanh Nghiệp, Quản Trị Rủi Ro, Duy Trì Mối Quan Hệ, Thẩm Định</t>
        </is>
      </c>
      <c r="M10993" t="inlineStr">
        <is>
          <t>Bonus, Training, Others</t>
        </is>
      </c>
      <c r="N10993" s="8">
        <f>HYPERLINK("https://www.vietnamworks.com/pho-giam-doc-chi-nhanh-phu-trach-sme-khu-vuc-ha-noi-2023419-jv","Xem chi tiết")</f>
        <v/>
      </c>
    </row>
    <row r="10994">
      <c r="B10994" s="9" t="n">
        <v>10992</v>
      </c>
      <c r="C10994" s="10" t="inlineStr">
        <is>
          <t>Chuyên Viên Phát Triển Phần Mềm</t>
        </is>
      </c>
      <c r="D10994" s="10" t="inlineStr">
        <is>
          <t>Công Ty Cổ Phần Tập Đoàn MIK Group Việt Nam</t>
        </is>
      </c>
      <c r="E10994" s="10" t="inlineStr">
        <is>
          <t>Thương lượng</t>
        </is>
      </c>
      <c r="F10994" s="10" t="inlineStr">
        <is>
          <t>Hà Nội</t>
        </is>
      </c>
      <c r="G10994" s="10" t="inlineStr">
        <is>
          <t>Nhân viên</t>
        </is>
      </c>
      <c r="H10994" s="10" t="inlineStr">
        <is>
          <t>13/03/2026</t>
        </is>
      </c>
      <c r="I10994" s="10" t="inlineStr">
        <is>
          <t>12/04/2026</t>
        </is>
      </c>
      <c r="J10994" s="10" t="inlineStr">
        <is>
          <t>17/03/2026</t>
        </is>
      </c>
      <c r="K10994" s="10" t="inlineStr">
        <is>
          <t>N/A</t>
        </is>
      </c>
      <c r="L10994" s="10" t="inlineStr">
        <is>
          <t>Phát Triển Phần Mềm, Lập Trình Web, Bảo Trì Hệ Thống, Quản Trị Dữ Liệu, Hợp Tác Kinh Tế</t>
        </is>
      </c>
      <c r="M10994" s="10" t="inlineStr">
        <is>
          <t>Bonus, Healthcare Plan, Paid Leave, Team Activities, Others</t>
        </is>
      </c>
      <c r="N10994" s="11">
        <f>HYPERLINK("https://www.vietnamworks.com/chuyen-vien-phat-trien-phan-mem-2023417-jv","Xem chi tiết")</f>
        <v/>
      </c>
      <c r="O10994" s="10" t="n"/>
    </row>
    <row r="10995">
      <c r="B10995" s="7" t="n">
        <v>10993</v>
      </c>
      <c r="C10995" t="inlineStr">
        <is>
          <t>Kỹ Sư DevOps</t>
        </is>
      </c>
      <c r="D10995" t="inlineStr">
        <is>
          <t>Công ty cổ phần Tập đoàn Bảo hiểm DBV</t>
        </is>
      </c>
      <c r="E10995" t="inlineStr">
        <is>
          <t>Thương lượng</t>
        </is>
      </c>
      <c r="F10995" t="inlineStr">
        <is>
          <t>Hà Nội</t>
        </is>
      </c>
      <c r="G10995" t="inlineStr">
        <is>
          <t>Nhân viên</t>
        </is>
      </c>
      <c r="H10995" t="inlineStr">
        <is>
          <t>13/03/2026</t>
        </is>
      </c>
      <c r="I10995" t="inlineStr">
        <is>
          <t>12/04/2026</t>
        </is>
      </c>
      <c r="J10995" t="inlineStr">
        <is>
          <t>17/03/2026</t>
        </is>
      </c>
      <c r="K10995" t="inlineStr">
        <is>
          <t>N/A</t>
        </is>
      </c>
      <c r="L10995" t="inlineStr">
        <is>
          <t>Cloud Computing, CI/CD, Windows Server, DevOps, System Admin</t>
        </is>
      </c>
      <c r="M10995" t="inlineStr">
        <is>
          <t>Bonus, Healthcare Plan, Paid Leave, Team Activities, Others</t>
        </is>
      </c>
      <c r="N10995" s="8">
        <f>HYPERLINK("https://www.vietnamworks.com/ky-su-devops-2023411-jv","Xem chi tiết")</f>
        <v/>
      </c>
    </row>
    <row r="10996">
      <c r="B10996" s="9" t="n">
        <v>10994</v>
      </c>
      <c r="C10996" s="10" t="inlineStr">
        <is>
          <t>SEO Content Writer</t>
        </is>
      </c>
      <c r="D10996" s="10" t="inlineStr">
        <is>
          <t>EBSource.ca Employee Workplace Benefits Source Canada</t>
        </is>
      </c>
      <c r="E10996" s="10" t="inlineStr">
        <is>
          <t>15tr-20tr ₫/tháng</t>
        </is>
      </c>
      <c r="F10996" s="10" t="inlineStr">
        <is>
          <t>Đà Nẵng</t>
        </is>
      </c>
      <c r="G10996" s="10" t="inlineStr">
        <is>
          <t>Nhân viên</t>
        </is>
      </c>
      <c r="H10996" s="10" t="inlineStr">
        <is>
          <t>13/03/2026</t>
        </is>
      </c>
      <c r="I10996" s="10" t="inlineStr">
        <is>
          <t>12/04/2026</t>
        </is>
      </c>
      <c r="J10996" s="10" t="inlineStr">
        <is>
          <t>17/03/2026</t>
        </is>
      </c>
      <c r="K10996" s="10" t="inlineStr">
        <is>
          <t>N/A</t>
        </is>
      </c>
      <c r="L10996" s="10" t="inlineStr">
        <is>
          <t>SEO Content Writing, English Language Proficiency, Organizational skills, Multitasking Skills, Solution Oriented</t>
        </is>
      </c>
      <c r="M10996" s="10" t="inlineStr">
        <is>
          <t>Bonus, Healthcare Plan, Others</t>
        </is>
      </c>
      <c r="N10996" s="11">
        <f>HYPERLINK("https://www.vietnamworks.com/seo-content-writer-2023432-jv","Xem chi tiết")</f>
        <v/>
      </c>
      <c r="O10996" s="10" t="n"/>
    </row>
    <row r="10997">
      <c r="B10997" s="7" t="n">
        <v>10995</v>
      </c>
      <c r="C10997" t="inlineStr">
        <is>
          <t>Mid-Level Accountant (Net Pay 16,000,000-18,000,000Vnd - Daily Use Of English)</t>
        </is>
      </c>
      <c r="D10997" t="inlineStr">
        <is>
          <t>Taizhi Electric</t>
        </is>
      </c>
      <c r="E10997" t="inlineStr">
        <is>
          <t>16tr-18tr ₫/tháng</t>
        </is>
      </c>
      <c r="F10997" t="inlineStr">
        <is>
          <t>Hồ Chí Minh</t>
        </is>
      </c>
      <c r="G10997" t="inlineStr">
        <is>
          <t>Nhân viên</t>
        </is>
      </c>
      <c r="H10997" t="inlineStr">
        <is>
          <t>13/03/2026</t>
        </is>
      </c>
      <c r="I10997" t="inlineStr">
        <is>
          <t>12/04/2026</t>
        </is>
      </c>
      <c r="J10997" t="inlineStr">
        <is>
          <t>17/03/2026</t>
        </is>
      </c>
      <c r="K10997" t="inlineStr">
        <is>
          <t>N/A</t>
        </is>
      </c>
      <c r="L10997" t="inlineStr">
        <is>
          <t>Accounting, Data Collection, Tax Compliance, Banking Operation Control, Communication Skills</t>
        </is>
      </c>
      <c r="M10997" t="inlineStr">
        <is>
          <t>Bonus, Healthcare Plan, Training</t>
        </is>
      </c>
      <c r="N10997" s="8">
        <f>HYPERLINK("https://www.vietnamworks.com/mid-level-accountant-net-pay-16000000-18000000vnd-daily-use-of-english-2023445-jv","Xem chi tiết")</f>
        <v/>
      </c>
    </row>
    <row r="10998">
      <c r="B10998" s="9" t="n">
        <v>10996</v>
      </c>
      <c r="C10998" s="10" t="inlineStr">
        <is>
          <t>Nhân Viên Hàn Điện (Làm Việc Tại Tây Ninh)</t>
        </is>
      </c>
      <c r="D10998" s="10" t="inlineStr">
        <is>
          <t>CÔNG TY TNHH BROTEX (VIỆT NAM)</t>
        </is>
      </c>
      <c r="E10998" s="10" t="inlineStr">
        <is>
          <t>10tr-12tr ₫/tháng</t>
        </is>
      </c>
      <c r="F10998" s="10" t="inlineStr">
        <is>
          <t>Tây Ninh</t>
        </is>
      </c>
      <c r="G10998" s="10" t="inlineStr">
        <is>
          <t>Mới Tốt Nghiệp</t>
        </is>
      </c>
      <c r="H10998" s="10" t="inlineStr">
        <is>
          <t>13/03/2026</t>
        </is>
      </c>
      <c r="I10998" s="10" t="inlineStr">
        <is>
          <t>12/04/2026</t>
        </is>
      </c>
      <c r="J10998" s="10" t="inlineStr">
        <is>
          <t>17/03/2026</t>
        </is>
      </c>
      <c r="K10998" s="10" t="inlineStr">
        <is>
          <t>N/A</t>
        </is>
      </c>
      <c r="L10998" s="10" t="inlineStr">
        <is>
          <t>Không Cần Kinh Nghiệm, Hàn</t>
        </is>
      </c>
      <c r="M10998" s="10" t="inlineStr">
        <is>
          <t>Bonus, Healthcare Plan, Others</t>
        </is>
      </c>
      <c r="N10998" s="11">
        <f>HYPERLINK("https://www.vietnamworks.com/nhan-vien-han-djien-lam-viec-tai-tay-ninh-2023438-jv","Xem chi tiết")</f>
        <v/>
      </c>
      <c r="O10998" s="10" t="n"/>
    </row>
    <row r="10999">
      <c r="B10999" s="7" t="n">
        <v>10997</v>
      </c>
      <c r="C10999" t="inlineStr">
        <is>
          <t>Sales Engineer</t>
        </is>
      </c>
      <c r="D10999" t="inlineStr">
        <is>
          <t>Công Ty TNHH Công Nghệ Airproce</t>
        </is>
      </c>
      <c r="E10999" t="inlineStr">
        <is>
          <t>20tr-40tr ₫/tháng</t>
        </is>
      </c>
      <c r="F10999" t="inlineStr">
        <is>
          <t>Hà Nội, Hồ Chí Minh</t>
        </is>
      </c>
      <c r="G10999" t="inlineStr">
        <is>
          <t>Nhân viên</t>
        </is>
      </c>
      <c r="H10999" t="inlineStr">
        <is>
          <t>13/03/2026</t>
        </is>
      </c>
      <c r="I10999" t="inlineStr">
        <is>
          <t>12/04/2026</t>
        </is>
      </c>
      <c r="J10999" t="inlineStr">
        <is>
          <t>17/03/2026</t>
        </is>
      </c>
      <c r="K10999" t="inlineStr">
        <is>
          <t>N/A</t>
        </is>
      </c>
      <c r="L10999" t="inlineStr">
        <is>
          <t>Cơ Điện, Bán Hàng Phân Phối, Kế Hoạch Kinh Doanh, Tư Vấn Sản Phẩm, HVAC</t>
        </is>
      </c>
      <c r="M10999" t="inlineStr">
        <is>
          <t>Bonus, Healthcare Plan, Others</t>
        </is>
      </c>
      <c r="N10999" s="8">
        <f>HYPERLINK("https://www.vietnamworks.com/sales-engineer-2023440-jv","Xem chi tiết")</f>
        <v/>
      </c>
    </row>
    <row r="11000">
      <c r="B11000" s="9" t="n">
        <v>10998</v>
      </c>
      <c r="C11000" s="10" t="inlineStr">
        <is>
          <t>Nhân Viên Hóa ( Ưu Tiên ĐH Bách Khoa, ĐH Khoa Học và Tự Nhiên - Làm Việc Tại Tây Ninh)</t>
        </is>
      </c>
      <c r="D11000" s="10" t="inlineStr">
        <is>
          <t>CÔNG TY TNHH BROTEX (VIỆT NAM)</t>
        </is>
      </c>
      <c r="E11000" s="10" t="inlineStr">
        <is>
          <t>10tr-15tr ₫/tháng</t>
        </is>
      </c>
      <c r="F11000" s="10" t="inlineStr">
        <is>
          <t>Tây Ninh</t>
        </is>
      </c>
      <c r="G11000" s="10" t="inlineStr">
        <is>
          <t>Mới Tốt Nghiệp</t>
        </is>
      </c>
      <c r="H11000" s="10" t="inlineStr">
        <is>
          <t>13/03/2026</t>
        </is>
      </c>
      <c r="I11000" s="10" t="inlineStr">
        <is>
          <t>12/04/2026</t>
        </is>
      </c>
      <c r="J11000" s="10" t="inlineStr">
        <is>
          <t>17/03/2026</t>
        </is>
      </c>
      <c r="K11000" s="10" t="inlineStr">
        <is>
          <t>N/A</t>
        </is>
      </c>
      <c r="L11000" s="10" t="inlineStr">
        <is>
          <t>Hóa Học, Xử Lý Nước Thải</t>
        </is>
      </c>
      <c r="M11000" s="10" t="inlineStr">
        <is>
          <t>Bonus, Healthcare Plan, Others</t>
        </is>
      </c>
      <c r="N11000" s="11">
        <f>HYPERLINK("https://www.vietnamworks.com/nhan-vien-hoa-uu-tien-djh-bach-khoa-djh-khoa-hoc-va-tu-nhien-lam-viec-tai-tay-ninh-2023439-jv","Xem chi tiết")</f>
        <v/>
      </c>
      <c r="O11000" s="10" t="n"/>
    </row>
    <row r="11001">
      <c r="B11001" s="7" t="n">
        <v>10999</v>
      </c>
      <c r="C11001" t="inlineStr">
        <is>
          <t>Key Account Manager - Ecom</t>
        </is>
      </c>
      <c r="D11001" t="inlineStr">
        <is>
          <t>Công Ty TNHH Kimberly-Clark Việt Nam</t>
        </is>
      </c>
      <c r="E11001" t="inlineStr">
        <is>
          <t>Thương lượng</t>
        </is>
      </c>
      <c r="F11001" t="inlineStr">
        <is>
          <t>Hồ Chí Minh</t>
        </is>
      </c>
      <c r="G11001" t="inlineStr">
        <is>
          <t>Nhân viên</t>
        </is>
      </c>
      <c r="H11001" t="inlineStr">
        <is>
          <t>13/03/2026</t>
        </is>
      </c>
      <c r="I11001" t="inlineStr">
        <is>
          <t>12/04/2026</t>
        </is>
      </c>
      <c r="J11001" t="inlineStr">
        <is>
          <t>17/03/2026</t>
        </is>
      </c>
      <c r="K11001" t="inlineStr">
        <is>
          <t>N/A</t>
        </is>
      </c>
      <c r="L11001" t="inlineStr">
        <is>
          <t>E-commerce, Marketplace Management, FMCG, Key Account Development, Key Account Management</t>
        </is>
      </c>
      <c r="M11001" t="inlineStr">
        <is>
          <t>Bonus, Training, Transportation</t>
        </is>
      </c>
      <c r="N11001" s="8">
        <f>HYPERLINK("https://www.vietnamworks.com/key-account-manager-ecom-2023429-jv","Xem chi tiết")</f>
        <v/>
      </c>
    </row>
    <row r="11002">
      <c r="B11002" s="9" t="n">
        <v>11000</v>
      </c>
      <c r="C11002" s="10" t="inlineStr">
        <is>
          <t>Officer, Policy Services</t>
        </is>
      </c>
      <c r="D11002" s="10" t="inlineStr">
        <is>
          <t>CÔNG TY TNHH BẢO HIỂM SHINHAN LIFE VIỆT NAM</t>
        </is>
      </c>
      <c r="E11002" s="10" t="inlineStr">
        <is>
          <t>$$ 500-700 /tháng</t>
        </is>
      </c>
      <c r="F11002" s="10" t="inlineStr">
        <is>
          <t>Hồ Chí Minh</t>
        </is>
      </c>
      <c r="G11002" s="10" t="inlineStr">
        <is>
          <t>Nhân viên</t>
        </is>
      </c>
      <c r="H11002" s="10" t="inlineStr">
        <is>
          <t>13/03/2026</t>
        </is>
      </c>
      <c r="I11002" s="10" t="inlineStr">
        <is>
          <t>12/04/2026</t>
        </is>
      </c>
      <c r="J11002" s="10" t="inlineStr">
        <is>
          <t>17/03/2026</t>
        </is>
      </c>
      <c r="K11002" s="10" t="inlineStr">
        <is>
          <t>N/A</t>
        </is>
      </c>
      <c r="L11002" s="10" t="inlineStr">
        <is>
          <t>Logical Thinking, Communication, English, Problem Solving</t>
        </is>
      </c>
      <c r="M11002" s="10" t="inlineStr">
        <is>
          <t>Healthcare Plan</t>
        </is>
      </c>
      <c r="N11002" s="11">
        <f>HYPERLINK("https://www.vietnamworks.com/officer-policy-services--2023430-jv","Xem chi tiết")</f>
        <v/>
      </c>
      <c r="O11002" s="10" t="n"/>
    </row>
    <row r="11003">
      <c r="B11003" s="7" t="n">
        <v>11001</v>
      </c>
      <c r="C11003" t="inlineStr">
        <is>
          <t>Executive Assistant To C-Level Executive</t>
        </is>
      </c>
      <c r="D11003" t="inlineStr">
        <is>
          <t>Công Ty Cổ Phần Giáo Dục Millennia</t>
        </is>
      </c>
      <c r="E11003" t="inlineStr">
        <is>
          <t>60tr-100tr ₫/tháng</t>
        </is>
      </c>
      <c r="F11003" t="inlineStr">
        <is>
          <t>Hồ Chí Minh</t>
        </is>
      </c>
      <c r="G11003" t="inlineStr">
        <is>
          <t>Giám Đốc và Cấp Cao Hơn</t>
        </is>
      </c>
      <c r="H11003" t="inlineStr">
        <is>
          <t>13/03/2026</t>
        </is>
      </c>
      <c r="I11003" t="inlineStr">
        <is>
          <t>12/04/2026</t>
        </is>
      </c>
      <c r="J11003" t="inlineStr">
        <is>
          <t>17/03/2026</t>
        </is>
      </c>
      <c r="K11003" t="inlineStr">
        <is>
          <t>N/A</t>
        </is>
      </c>
      <c r="L11003" t="inlineStr">
        <is>
          <t>Interpersonal Communication, MS Office, Problem-solving, Project Management, C-Level Executive Support</t>
        </is>
      </c>
      <c r="M11003" t="inlineStr">
        <is>
          <t>Travel Opportunities</t>
        </is>
      </c>
      <c r="N11003" s="8">
        <f>HYPERLINK("https://www.vietnamworks.com/executive-assistant-to-c-level-executive-2023436-jv","Xem chi tiết")</f>
        <v/>
      </c>
    </row>
    <row r="11004">
      <c r="B11004" s="9" t="n">
        <v>11002</v>
      </c>
      <c r="C11004" s="10" t="inlineStr">
        <is>
          <t>Giám Đốc Kỹ Thuật (Tự Động Hoá)</t>
        </is>
      </c>
      <c r="D11004" s="10" t="inlineStr">
        <is>
          <t>CÔNG TY CỔ PHẦN TẬP ĐOÀN CÔNG NGHỆ IDEA</t>
        </is>
      </c>
      <c r="E11004" s="10" t="inlineStr">
        <is>
          <t>Thương lượng</t>
        </is>
      </c>
      <c r="F11004" s="10" t="inlineStr">
        <is>
          <t>Hồ Chí Minh</t>
        </is>
      </c>
      <c r="G11004" s="10" t="inlineStr">
        <is>
          <t>Giám Đốc và Cấp Cao Hơn</t>
        </is>
      </c>
      <c r="H11004" s="10" t="inlineStr">
        <is>
          <t>13/03/2026</t>
        </is>
      </c>
      <c r="I11004" s="10" t="inlineStr">
        <is>
          <t>12/04/2026</t>
        </is>
      </c>
      <c r="J11004" s="10" t="inlineStr">
        <is>
          <t>17/03/2026</t>
        </is>
      </c>
      <c r="K11004" s="10" t="inlineStr">
        <is>
          <t>N/A</t>
        </is>
      </c>
      <c r="L11004" s="10" t="inlineStr">
        <is>
          <t>Robotics, Automation, Project Management, Mechatronics, Machine Design</t>
        </is>
      </c>
      <c r="M11004" s="10" t="inlineStr">
        <is>
          <t>Bonus, Healthcare Plan, Training, Others</t>
        </is>
      </c>
      <c r="N11004" s="11">
        <f>HYPERLINK("https://www.vietnamworks.com/giam-djoc-ky-thuat-tu-djong-hoa-2023451-jv","Xem chi tiết")</f>
        <v/>
      </c>
      <c r="O11004" s="10" t="n"/>
    </row>
    <row r="11005">
      <c r="B11005" s="7" t="n">
        <v>11003</v>
      </c>
      <c r="C11005" t="inlineStr">
        <is>
          <t>Sales Thị Trường Và Sales B2B</t>
        </is>
      </c>
      <c r="D11005" t="inlineStr">
        <is>
          <t>CÔNG TY TNHH THƯƠNG MẠI DỊCH VỤ SVL</t>
        </is>
      </c>
      <c r="E11005" t="inlineStr">
        <is>
          <t>Thương lượng</t>
        </is>
      </c>
      <c r="F11005" t="inlineStr">
        <is>
          <t>Hà Nội</t>
        </is>
      </c>
      <c r="G11005" t="inlineStr">
        <is>
          <t>Nhân viên</t>
        </is>
      </c>
      <c r="H11005" t="inlineStr">
        <is>
          <t>13/03/2026</t>
        </is>
      </c>
      <c r="I11005" t="inlineStr">
        <is>
          <t>12/04/2026</t>
        </is>
      </c>
      <c r="J11005" t="inlineStr">
        <is>
          <t>17/03/2026</t>
        </is>
      </c>
      <c r="K11005" t="inlineStr">
        <is>
          <t>N/A</t>
        </is>
      </c>
      <c r="L11005" t="inlineStr">
        <is>
          <t>Lập Kế Hoạch, Báo Cáo Kinh Doanh, Chăm Sóc Khách Hàng, Kinh Doanh, Sales Planning</t>
        </is>
      </c>
      <c r="M11005" t="inlineStr">
        <is>
          <t>Bonus, Healthcare Plan, Paid Leave, Team Activities, Others</t>
        </is>
      </c>
      <c r="N11005" s="8">
        <f>HYPERLINK("https://www.vietnamworks.com/sales-thi-truong-va-sales-b2b-2023447-jv","Xem chi tiết")</f>
        <v/>
      </c>
    </row>
    <row r="11006">
      <c r="B11006" s="9" t="n">
        <v>11004</v>
      </c>
      <c r="C11006" s="10" t="inlineStr">
        <is>
          <t>Sales Development (Merchandiser)</t>
        </is>
      </c>
      <c r="D11006" s="10" t="inlineStr">
        <is>
          <t>Spectre GT Vietnam</t>
        </is>
      </c>
      <c r="E11006" s="10" t="inlineStr">
        <is>
          <t>Thương lượng</t>
        </is>
      </c>
      <c r="F11006" s="10" t="inlineStr">
        <is>
          <t>Hưng Yên, Ninh Bình</t>
        </is>
      </c>
      <c r="G11006" s="10" t="inlineStr">
        <is>
          <t>Nhân viên</t>
        </is>
      </c>
      <c r="H11006" s="10" t="inlineStr">
        <is>
          <t>13/03/2026</t>
        </is>
      </c>
      <c r="I11006" s="10" t="inlineStr">
        <is>
          <t>12/04/2026</t>
        </is>
      </c>
      <c r="J11006" s="10" t="inlineStr">
        <is>
          <t>17/03/2026</t>
        </is>
      </c>
      <c r="K11006" s="10" t="inlineStr">
        <is>
          <t>N/A</t>
        </is>
      </c>
      <c r="L11006" s="10" t="inlineStr">
        <is>
          <t>English, MS Office, Negotiation Skills, Relationship Management, Supplier Management</t>
        </is>
      </c>
      <c r="M11006" s="10" t="inlineStr">
        <is>
          <t>Others</t>
        </is>
      </c>
      <c r="N11006" s="11">
        <f>HYPERLINK("https://www.vietnamworks.com/sales-development-merchandiser-2023433-jv","Xem chi tiết")</f>
        <v/>
      </c>
      <c r="O11006" s="10" t="n"/>
    </row>
    <row r="11007">
      <c r="B11007" s="7" t="n">
        <v>11005</v>
      </c>
      <c r="C11007" t="inlineStr">
        <is>
          <t>Phó Giám Đốc Ban Tài Chính (Fund Raising)</t>
        </is>
      </c>
      <c r="D11007" t="inlineStr">
        <is>
          <t>Công Ty Cổ Phần Tập Đoàn Meey Land</t>
        </is>
      </c>
      <c r="E11007" t="inlineStr">
        <is>
          <t>$$ 3,000-4,000 /tháng</t>
        </is>
      </c>
      <c r="F11007" t="inlineStr">
        <is>
          <t>Hà Nội</t>
        </is>
      </c>
      <c r="G11007" t="inlineStr">
        <is>
          <t>Giám Đốc và Cấp Cao Hơn</t>
        </is>
      </c>
      <c r="H11007" t="inlineStr">
        <is>
          <t>13/03/2026</t>
        </is>
      </c>
      <c r="I11007" t="inlineStr">
        <is>
          <t>12/04/2026</t>
        </is>
      </c>
      <c r="J11007" t="inlineStr">
        <is>
          <t>17/03/2026</t>
        </is>
      </c>
      <c r="K11007" t="inlineStr">
        <is>
          <t>N/A</t>
        </is>
      </c>
      <c r="L11007" t="inlineStr">
        <is>
          <t>Huy Động Vốn, IPO, Phân Tích Tài Chính, Quản Lý Quỹ, Định Giá</t>
        </is>
      </c>
      <c r="M11007" t="inlineStr">
        <is>
          <t>Bonus, Healthcare Plan, Paid Leave, Training, Travel Opportunities, Team Activities, Others</t>
        </is>
      </c>
      <c r="N11007" s="8">
        <f>HYPERLINK("https://www.vietnamworks.com/pho-giam-djoc-ban-tai-chinh-fund-raising-2023437-jv","Xem chi tiết")</f>
        <v/>
      </c>
    </row>
    <row r="11008">
      <c r="B11008" s="9" t="n">
        <v>11006</v>
      </c>
      <c r="C11008" s="10" t="inlineStr">
        <is>
          <t>Kỹ Thuật Viên Sản Xuất</t>
        </is>
      </c>
      <c r="D11008" s="10" t="inlineStr">
        <is>
          <t>TOSY Robotics Manufacturing Co., Ltd</t>
        </is>
      </c>
      <c r="E11008" s="10" t="inlineStr">
        <is>
          <t>Thương lượng</t>
        </is>
      </c>
      <c r="F11008" s="10" t="inlineStr">
        <is>
          <t>Hà Nội</t>
        </is>
      </c>
      <c r="G11008" s="10" t="inlineStr">
        <is>
          <t>Nhân viên</t>
        </is>
      </c>
      <c r="H11008" s="10" t="inlineStr">
        <is>
          <t>13/03/2026</t>
        </is>
      </c>
      <c r="I11008" s="10" t="inlineStr">
        <is>
          <t>12/04/2026</t>
        </is>
      </c>
      <c r="J11008" s="10" t="inlineStr">
        <is>
          <t>17/03/2026</t>
        </is>
      </c>
      <c r="K11008" s="10" t="inlineStr">
        <is>
          <t>N/A</t>
        </is>
      </c>
      <c r="L11008" s="10" t="inlineStr">
        <is>
          <t>5S, An Toàn Lao Động, Bảo Dưỡng, Sửa Chữa, Vận Hành Máy In</t>
        </is>
      </c>
      <c r="M11008" s="10" t="inlineStr">
        <is>
          <t>Bonus, Healthcare Plan, Others</t>
        </is>
      </c>
      <c r="N11008" s="11">
        <f>HYPERLINK("https://www.vietnamworks.com/ky-thuat-vien-san-xuat-2023450-jv","Xem chi tiết")</f>
        <v/>
      </c>
      <c r="O11008" s="10" t="n"/>
    </row>
    <row r="11009">
      <c r="B11009" s="7" t="n">
        <v>11007</v>
      </c>
      <c r="C11009" t="inlineStr">
        <is>
          <t>Project Manager</t>
        </is>
      </c>
      <c r="D11009" t="inlineStr">
        <is>
          <t>Công Ty Cổ Phần Hệ Thống Công Nghệ ETC</t>
        </is>
      </c>
      <c r="E11009" t="inlineStr">
        <is>
          <t>Tới 2,000 ₫/tháng</t>
        </is>
      </c>
      <c r="F11009" t="inlineStr">
        <is>
          <t>Hà Nội, Hồ Chí Minh</t>
        </is>
      </c>
      <c r="G11009" t="inlineStr">
        <is>
          <t>Nhân viên</t>
        </is>
      </c>
      <c r="H11009" t="inlineStr">
        <is>
          <t>13/03/2026</t>
        </is>
      </c>
      <c r="I11009" t="inlineStr">
        <is>
          <t>12/04/2026</t>
        </is>
      </c>
      <c r="J11009" t="inlineStr">
        <is>
          <t>17/03/2026</t>
        </is>
      </c>
      <c r="K11009" t="inlineStr">
        <is>
          <t>N/A</t>
        </is>
      </c>
      <c r="L11009" t="inlineStr">
        <is>
          <t>Quản Lý Dự Án, Lập Kế Hoạch Dự Án, Điều Phối Dự Án, Đàm Phán, Quản Lý Công Nợ</t>
        </is>
      </c>
      <c r="M11009" t="inlineStr">
        <is>
          <t>Bonus, Team Activities, Canteen</t>
        </is>
      </c>
      <c r="N11009" s="8">
        <f>HYPERLINK("https://www.vietnamworks.com/project-manager--2023435-jv","Xem chi tiết")</f>
        <v/>
      </c>
    </row>
    <row r="11010">
      <c r="B11010" s="9" t="n">
        <v>11008</v>
      </c>
      <c r="C11010" s="10" t="inlineStr">
        <is>
          <t>Nhân Viên Kinh Doanh</t>
        </is>
      </c>
      <c r="D11010" s="10" t="inlineStr">
        <is>
          <t>Công ty cổ phần kỹ thuật công nghiệp Á Châu</t>
        </is>
      </c>
      <c r="E11010" s="10" t="inlineStr">
        <is>
          <t>20tr-40tr ₫/tháng</t>
        </is>
      </c>
      <c r="F11010" s="10" t="inlineStr">
        <is>
          <t>Hà Nội</t>
        </is>
      </c>
      <c r="G11010" s="10" t="inlineStr">
        <is>
          <t>Nhân viên</t>
        </is>
      </c>
      <c r="H11010" s="10" t="inlineStr">
        <is>
          <t>13/03/2026</t>
        </is>
      </c>
      <c r="I11010" s="10" t="inlineStr">
        <is>
          <t>12/04/2026</t>
        </is>
      </c>
      <c r="J11010" s="10" t="inlineStr">
        <is>
          <t>17/03/2026</t>
        </is>
      </c>
      <c r="K11010" s="10" t="inlineStr">
        <is>
          <t>N/A</t>
        </is>
      </c>
      <c r="L11010" s="10" t="inlineStr">
        <is>
          <t>Auto Cad, Báo Giá, Lập Kế Hoạch Kinh Doanh, Tìm Kiếm Khách Hàng, Đàm Phán</t>
        </is>
      </c>
      <c r="M11010" s="10" t="inlineStr">
        <is>
          <t>Bonus, Healthcare Plan, Training, Travel Opportunities, Canteen, Others</t>
        </is>
      </c>
      <c r="N11010" s="11">
        <f>HYPERLINK("https://www.vietnamworks.com/nhan-vien-kinh-doanh-2023431-jv","Xem chi tiết")</f>
        <v/>
      </c>
      <c r="O11010" s="10" t="n"/>
    </row>
    <row r="11011">
      <c r="B11011" s="7" t="n">
        <v>11009</v>
      </c>
      <c r="C11011" t="inlineStr">
        <is>
          <t>Nhân Viên Kinh Doanh</t>
        </is>
      </c>
      <c r="D11011" t="inlineStr">
        <is>
          <t>Công Ty Cổ Phần Thiết Bị Xét Nghiệm Y Khoa PT (PT Lab)</t>
        </is>
      </c>
      <c r="E11011" t="inlineStr">
        <is>
          <t>Thương lượng</t>
        </is>
      </c>
      <c r="F11011" t="inlineStr">
        <is>
          <t>Hồ Chí Minh</t>
        </is>
      </c>
      <c r="G11011" t="inlineStr">
        <is>
          <t>Mới Tốt Nghiệp</t>
        </is>
      </c>
      <c r="H11011" t="inlineStr">
        <is>
          <t>13/03/2026</t>
        </is>
      </c>
      <c r="I11011" t="inlineStr">
        <is>
          <t>12/04/2026</t>
        </is>
      </c>
      <c r="J11011" t="inlineStr">
        <is>
          <t>17/03/2026</t>
        </is>
      </c>
      <c r="K11011" t="inlineStr">
        <is>
          <t>N/A</t>
        </is>
      </c>
      <c r="L11011" t="inlineStr">
        <is>
          <t>Chăm Sóc Khách Hàng, Phát Triển Kinh Doanh, Tư Vấn Bán Hàng, Thiết Bị Y Tế, Trang Thiết Bị Y Tế</t>
        </is>
      </c>
      <c r="M11011" t="inlineStr">
        <is>
          <t>Training, Others</t>
        </is>
      </c>
      <c r="N11011" s="8">
        <f>HYPERLINK("https://www.vietnamworks.com/nhan-vien-kinh-doanh-2023449-jv","Xem chi tiết")</f>
        <v/>
      </c>
    </row>
    <row r="11012">
      <c r="B11012" s="9" t="n">
        <v>11010</v>
      </c>
      <c r="C11012" s="10" t="inlineStr">
        <is>
          <t>E-commerce Manager</t>
        </is>
      </c>
      <c r="D11012" s="10" t="inlineStr">
        <is>
          <t>Pandanus Resort Mũi Né</t>
        </is>
      </c>
      <c r="E11012" s="10" t="inlineStr">
        <is>
          <t>Thương lượng</t>
        </is>
      </c>
      <c r="F11012" s="10" t="inlineStr">
        <is>
          <t>Bình Thuận</t>
        </is>
      </c>
      <c r="G11012" s="10" t="inlineStr">
        <is>
          <t>Trưởng phòng</t>
        </is>
      </c>
      <c r="H11012" s="10" t="inlineStr">
        <is>
          <t>13/03/2026</t>
        </is>
      </c>
      <c r="I11012" s="10" t="inlineStr">
        <is>
          <t>12/04/2026</t>
        </is>
      </c>
      <c r="J11012" s="10" t="inlineStr">
        <is>
          <t>17/03/2026</t>
        </is>
      </c>
      <c r="K11012" s="10" t="inlineStr">
        <is>
          <t>N/A</t>
        </is>
      </c>
      <c r="L11012" s="10" t="inlineStr">
        <is>
          <t>Content Management, Data Analysis, Digital Marketing, Opera PMS, OTA Management</t>
        </is>
      </c>
      <c r="M11012" s="10" t="inlineStr">
        <is>
          <t>Bonus, Training, Travel Opportunities, Transportation, Canteen, Others</t>
        </is>
      </c>
      <c r="N11012" s="11">
        <f>HYPERLINK("https://www.vietnamworks.com/e-commerce-manager-2023452-jv","Xem chi tiết")</f>
        <v/>
      </c>
      <c r="O11012" s="10" t="n"/>
    </row>
    <row r="11013">
      <c r="B11013" s="7" t="n">
        <v>11011</v>
      </c>
      <c r="C11013" t="inlineStr">
        <is>
          <t>Head Chef</t>
        </is>
      </c>
      <c r="D11013" t="inlineStr">
        <is>
          <t>Pandanus Resort Mũi Né</t>
        </is>
      </c>
      <c r="E11013" t="inlineStr">
        <is>
          <t>Thương lượng</t>
        </is>
      </c>
      <c r="F11013" t="inlineStr">
        <is>
          <t>Bình Thuận</t>
        </is>
      </c>
      <c r="G11013" t="inlineStr">
        <is>
          <t>Giám Đốc và Cấp Cao Hơn</t>
        </is>
      </c>
      <c r="H11013" t="inlineStr">
        <is>
          <t>13/03/2026</t>
        </is>
      </c>
      <c r="I11013" t="inlineStr">
        <is>
          <t>12/04/2026</t>
        </is>
      </c>
      <c r="J11013" t="inlineStr">
        <is>
          <t>17/03/2026</t>
        </is>
      </c>
      <c r="K11013" t="inlineStr">
        <is>
          <t>N/A</t>
        </is>
      </c>
      <c r="L11013" t="inlineStr">
        <is>
          <t>Cost Control, Food Knowledge, Menu Design, Restaurant Operation, Team Management</t>
        </is>
      </c>
      <c r="M11013" t="inlineStr">
        <is>
          <t>Bonus, Healthcare Plan, Training, Travel Opportunities, Team Activities, Transportation, Canteen, Others</t>
        </is>
      </c>
      <c r="N11013" s="8">
        <f>HYPERLINK("https://www.vietnamworks.com/head-chef-2023442-jv","Xem chi tiết")</f>
        <v/>
      </c>
    </row>
    <row r="11014">
      <c r="B11014" s="9" t="n">
        <v>11012</v>
      </c>
      <c r="C11014" s="10" t="inlineStr">
        <is>
          <t>Giám Đốc Kinh Doanh (B2B) Thành Thạo Tiếng Nhật</t>
        </is>
      </c>
      <c r="D11014" s="10" t="inlineStr">
        <is>
          <t>CÔNG TY CỔ PHẦN TẬP ĐOÀN CÔNG NGHỆ IDEA</t>
        </is>
      </c>
      <c r="E11014" s="10" t="inlineStr">
        <is>
          <t>Thương lượng</t>
        </is>
      </c>
      <c r="F11014" s="10" t="inlineStr">
        <is>
          <t>Hồ Chí Minh</t>
        </is>
      </c>
      <c r="G11014" s="10" t="inlineStr">
        <is>
          <t>Giám Đốc và Cấp Cao Hơn</t>
        </is>
      </c>
      <c r="H11014" s="10" t="inlineStr">
        <is>
          <t>13/03/2026</t>
        </is>
      </c>
      <c r="I11014" s="10" t="inlineStr">
        <is>
          <t>12/04/2026</t>
        </is>
      </c>
      <c r="J11014" s="10" t="inlineStr">
        <is>
          <t>17/03/2026</t>
        </is>
      </c>
      <c r="K11014" s="10" t="inlineStr">
        <is>
          <t>N/A</t>
        </is>
      </c>
      <c r="L11014" s="10" t="inlineStr">
        <is>
          <t>Kinh Doanh B2B, Tiếng Nhật, Lãnh Đạo, Quản Trị Rủi Ro, Phân Tích Chiến Lược</t>
        </is>
      </c>
      <c r="M11014" s="10" t="inlineStr">
        <is>
          <t>Bonus, Healthcare Plan, Travel Opportunities, Others</t>
        </is>
      </c>
      <c r="N11014" s="11">
        <f>HYPERLINK("https://www.vietnamworks.com/giam-djoc-kinh-doanh-b2b-thanh-thao-tieng-nhat-2023448-jv","Xem chi tiết")</f>
        <v/>
      </c>
      <c r="O11014" s="10" t="n"/>
    </row>
    <row r="11015">
      <c r="B11015" s="7" t="n">
        <v>11013</v>
      </c>
      <c r="C11015" t="inlineStr">
        <is>
          <t>Nhân Viên An Ninh</t>
        </is>
      </c>
      <c r="D11015" t="inlineStr">
        <is>
          <t>CÔNG TY CỔ PHẦN CẢNG CONTAINER QUỐC TẾ HATECO HẢI PHÒNG</t>
        </is>
      </c>
      <c r="E11015" t="inlineStr">
        <is>
          <t>Thương lượng</t>
        </is>
      </c>
      <c r="F11015" t="inlineStr">
        <is>
          <t>Hải Phòng</t>
        </is>
      </c>
      <c r="G11015" t="inlineStr">
        <is>
          <t>Nhân viên</t>
        </is>
      </c>
      <c r="H11015" t="inlineStr">
        <is>
          <t>13/03/2026</t>
        </is>
      </c>
      <c r="I11015" t="inlineStr">
        <is>
          <t>12/04/2026</t>
        </is>
      </c>
      <c r="J11015" t="inlineStr">
        <is>
          <t>17/03/2026</t>
        </is>
      </c>
      <c r="K11015" t="inlineStr">
        <is>
          <t>N/A</t>
        </is>
      </c>
      <c r="L11015" t="inlineStr">
        <is>
          <t>An Ninh Trật Tự, PCCC, Quản Trị An Ninh Bảo Vệ</t>
        </is>
      </c>
      <c r="M11015" t="inlineStr">
        <is>
          <t>Bonus, Healthcare Plan, Training, Transportation, Others</t>
        </is>
      </c>
      <c r="N11015" s="8">
        <f>HYPERLINK("https://www.vietnamworks.com/nhan-vien-an-ninh-2023446-jv","Xem chi tiết")</f>
        <v/>
      </c>
    </row>
    <row r="11016">
      <c r="B11016" s="9" t="n">
        <v>11014</v>
      </c>
      <c r="C11016" s="10" t="inlineStr">
        <is>
          <t>Reception Manager</t>
        </is>
      </c>
      <c r="D11016" s="10" t="inlineStr">
        <is>
          <t>Pandanus Resort Mũi Né</t>
        </is>
      </c>
      <c r="E11016" s="10" t="inlineStr">
        <is>
          <t>Thương lượng</t>
        </is>
      </c>
      <c r="F11016" s="10" t="inlineStr">
        <is>
          <t>Bình Thuận</t>
        </is>
      </c>
      <c r="G11016" s="10" t="inlineStr">
        <is>
          <t>Giám Đốc và Cấp Cao Hơn</t>
        </is>
      </c>
      <c r="H11016" s="10" t="inlineStr">
        <is>
          <t>13/03/2026</t>
        </is>
      </c>
      <c r="I11016" s="10" t="inlineStr">
        <is>
          <t>12/04/2026</t>
        </is>
      </c>
      <c r="J11016" s="10" t="inlineStr">
        <is>
          <t>17/03/2026</t>
        </is>
      </c>
      <c r="K11016" s="10" t="inlineStr">
        <is>
          <t>N/A</t>
        </is>
      </c>
      <c r="L11016" s="10" t="inlineStr">
        <is>
          <t>Customer Experiences, Dịch Vụ Khách Hàng, Front Office Management, Lễ Tân, Opera PMS</t>
        </is>
      </c>
      <c r="M11016" s="10" t="inlineStr">
        <is>
          <t>Bonus, Healthcare Plan, Training, Travel Opportunities, Team Activities, Transportation, Canteen, Others</t>
        </is>
      </c>
      <c r="N11016" s="11">
        <f>HYPERLINK("https://www.vietnamworks.com/reception-manager-2023457-jv","Xem chi tiết")</f>
        <v/>
      </c>
      <c r="O11016" s="10" t="n"/>
    </row>
    <row r="11017">
      <c r="B11017" s="7" t="n">
        <v>11015</v>
      </c>
      <c r="C11017" t="inlineStr">
        <is>
          <t>Senior Digital Application Developer</t>
        </is>
      </c>
      <c r="D11017" t="inlineStr">
        <is>
          <t>Pepperl+Fuchs Vietnam Co., Ltd</t>
        </is>
      </c>
      <c r="E11017" t="inlineStr">
        <is>
          <t>Thương lượng</t>
        </is>
      </c>
      <c r="F11017" t="inlineStr">
        <is>
          <t>Hồ Chí Minh</t>
        </is>
      </c>
      <c r="G11017" t="inlineStr">
        <is>
          <t>Nhân viên</t>
        </is>
      </c>
      <c r="H11017" t="inlineStr">
        <is>
          <t>13/03/2026</t>
        </is>
      </c>
      <c r="I11017" t="inlineStr">
        <is>
          <t>12/04/2026</t>
        </is>
      </c>
      <c r="J11017" t="inlineStr">
        <is>
          <t>17/03/2026</t>
        </is>
      </c>
      <c r="K11017" t="inlineStr">
        <is>
          <t>N/A</t>
        </is>
      </c>
      <c r="L11017" t="inlineStr">
        <is>
          <t>Database Design, Python Backend, Devops Tools, Software System Architecture, English Language Proficiency</t>
        </is>
      </c>
      <c r="M11017" t="inlineStr">
        <is>
          <t>Bonus, Training, Others</t>
        </is>
      </c>
      <c r="N11017" s="8">
        <f>HYPERLINK("https://www.vietnamworks.com/senior-digital-application-developer-2023454-jv","Xem chi tiết")</f>
        <v/>
      </c>
    </row>
    <row r="11018">
      <c r="B11018" s="9" t="n">
        <v>11016</v>
      </c>
      <c r="C11018" s="10" t="inlineStr">
        <is>
          <t>Chủ Trì Thiết Kế (M&amp;E) - Thu Nhập 30 - 40 Triệu/tháng</t>
        </is>
      </c>
      <c r="D11018" s="10" t="inlineStr">
        <is>
          <t>CÔNG TY CỔ PHẦN CÔNG NGHỆ VITEQ VIỆT NAM</t>
        </is>
      </c>
      <c r="E11018" s="10" t="inlineStr">
        <is>
          <t>30tr-40tr ₫/tháng</t>
        </is>
      </c>
      <c r="F11018" s="10" t="inlineStr">
        <is>
          <t>Hà Nội</t>
        </is>
      </c>
      <c r="G11018" s="10" t="inlineStr">
        <is>
          <t>Nhân viên</t>
        </is>
      </c>
      <c r="H11018" s="10" t="inlineStr">
        <is>
          <t>13/03/2026</t>
        </is>
      </c>
      <c r="I11018" s="10" t="inlineStr">
        <is>
          <t>12/04/2026</t>
        </is>
      </c>
      <c r="J11018" s="10" t="inlineStr">
        <is>
          <t>17/03/2026</t>
        </is>
      </c>
      <c r="K11018" s="10" t="inlineStr">
        <is>
          <t>N/A</t>
        </is>
      </c>
      <c r="L11018" s="10" t="inlineStr">
        <is>
          <t>AutoCAD, Cơ Điện, Shop Drawing, Đọc Hiểu Bản Vẽ Kỹ Thuật, M&amp;E</t>
        </is>
      </c>
      <c r="M11018" s="10" t="inlineStr">
        <is>
          <t>Bonus, Healthcare Plan, Paid Leave, Awards, Others</t>
        </is>
      </c>
      <c r="N11018" s="11">
        <f>HYPERLINK("https://www.vietnamworks.com/chu-tri-thiet-ke-m-e-thu-nhap-30-40-trieu-thang-2023455-jv","Xem chi tiết")</f>
        <v/>
      </c>
      <c r="O11018" s="10" t="n"/>
    </row>
    <row r="11019">
      <c r="B11019" s="7" t="n">
        <v>11017</v>
      </c>
      <c r="C11019" t="inlineStr">
        <is>
          <t>Senior AI Expert - Khối Công nghệ thông tin (HOLT.16)</t>
        </is>
      </c>
      <c r="D11019" t="inlineStr">
        <is>
          <t>NGÂN HÀNG TMCP QUÂN ĐỘI – MBBANK</t>
        </is>
      </c>
      <c r="E11019" t="inlineStr">
        <is>
          <t>Thương lượng</t>
        </is>
      </c>
      <c r="F11019" t="inlineStr">
        <is>
          <t>Hà Nội</t>
        </is>
      </c>
      <c r="G11019" t="inlineStr">
        <is>
          <t>Nhân viên</t>
        </is>
      </c>
      <c r="H11019" t="inlineStr">
        <is>
          <t>13/03/2026</t>
        </is>
      </c>
      <c r="I11019" t="inlineStr">
        <is>
          <t>12/04/2026</t>
        </is>
      </c>
      <c r="J11019" t="inlineStr">
        <is>
          <t>17/03/2026</t>
        </is>
      </c>
      <c r="K11019" t="inlineStr">
        <is>
          <t>N/A</t>
        </is>
      </c>
      <c r="L11019" t="inlineStr">
        <is>
          <t>AI, Computer Vision, Deep Learning, Machine Learning, Quản Trị Dữ Liệu</t>
        </is>
      </c>
      <c r="M11019" t="inlineStr">
        <is>
          <t>Bonus, Paid Leave, Training, Awards, Library, Vouchers, Others</t>
        </is>
      </c>
      <c r="N11019" s="8">
        <f>HYPERLINK("https://www.vietnamworks.com/senior-ai-expert-khoi-cong-nghe-thong-tin-holt-16-2023472-jv","Xem chi tiết")</f>
        <v/>
      </c>
    </row>
    <row r="11020">
      <c r="B11020" s="9" t="n">
        <v>11018</v>
      </c>
      <c r="C11020" s="10" t="inlineStr">
        <is>
          <t>Business Development Lead (Pharmaceuticals)</t>
        </is>
      </c>
      <c r="D11020" s="10" t="inlineStr">
        <is>
          <t>A France Pharmaceutical Company</t>
        </is>
      </c>
      <c r="E11020" s="10" t="inlineStr">
        <is>
          <t>Thương lượng</t>
        </is>
      </c>
      <c r="F11020" s="10" t="inlineStr">
        <is>
          <t>Hồ Chí Minh</t>
        </is>
      </c>
      <c r="G11020" s="10" t="inlineStr">
        <is>
          <t>Nhân viên</t>
        </is>
      </c>
      <c r="H11020" s="10" t="inlineStr">
        <is>
          <t>13/03/2026</t>
        </is>
      </c>
      <c r="I11020" s="10" t="inlineStr">
        <is>
          <t>12/04/2026</t>
        </is>
      </c>
      <c r="J11020" s="10" t="inlineStr">
        <is>
          <t>17/03/2026</t>
        </is>
      </c>
      <c r="K11020" s="10" t="inlineStr">
        <is>
          <t>N/A</t>
        </is>
      </c>
      <c r="L11020" s="10" t="inlineStr">
        <is>
          <t>Analytical Thinking, Business Development, Market Analysis, Pharmaceutical Research, Sales Management</t>
        </is>
      </c>
      <c r="M11020" s="10" t="inlineStr">
        <is>
          <t>Healthcare Plan</t>
        </is>
      </c>
      <c r="N11020" s="11">
        <f>HYPERLINK("https://www.vietnamworks.com/business-development-lead-pharmaceuticals-2023464-jv","Xem chi tiết")</f>
        <v/>
      </c>
      <c r="O11020" s="10" t="n"/>
    </row>
    <row r="11021">
      <c r="B11021" s="7" t="n">
        <v>11019</v>
      </c>
      <c r="C11021" t="inlineStr">
        <is>
          <t>Kỹ Sư Ép Nhựa/ Kỹ Thuật Viên Ép Nhựa</t>
        </is>
      </c>
      <c r="D11021" t="inlineStr">
        <is>
          <t>TOSY Robotics Manufacturing Co., Ltd</t>
        </is>
      </c>
      <c r="E11021" t="inlineStr">
        <is>
          <t>Thương lượng</t>
        </is>
      </c>
      <c r="F11021" t="inlineStr">
        <is>
          <t>Hà Nội</t>
        </is>
      </c>
      <c r="G11021" t="inlineStr">
        <is>
          <t>Nhân viên</t>
        </is>
      </c>
      <c r="H11021" t="inlineStr">
        <is>
          <t>13/03/2026</t>
        </is>
      </c>
      <c r="I11021" t="inlineStr">
        <is>
          <t>12/04/2026</t>
        </is>
      </c>
      <c r="J11021" t="inlineStr">
        <is>
          <t>17/03/2026</t>
        </is>
      </c>
      <c r="K11021" t="inlineStr">
        <is>
          <t>N/A</t>
        </is>
      </c>
      <c r="L11021" t="inlineStr">
        <is>
          <t>An Toàn Lao Động, Cải Tiến Quy Trình Vận Hành, Khuôn Ép Nhựa, Kiểm Tra Chất Lượng, Vận Hành Máy Ép</t>
        </is>
      </c>
      <c r="M11021" t="inlineStr">
        <is>
          <t>Bonus, Healthcare Plan, Others</t>
        </is>
      </c>
      <c r="N11021" s="8">
        <f>HYPERLINK("https://www.vietnamworks.com/ky-su-ep-nhua-ky-thuat-vien-ep-nhua-2023453-jv","Xem chi tiết")</f>
        <v/>
      </c>
    </row>
    <row r="11022">
      <c r="B11022" s="9" t="n">
        <v>11020</v>
      </c>
      <c r="C11022" s="10" t="inlineStr">
        <is>
          <t>Trưởng phòng Công nghệ Thị giác Máy tính - Phòng Công nghệ thị giác máy tính - Head of Computer Vision Technology Department - Khối Công nghệ thông tin (HO26.85)</t>
        </is>
      </c>
      <c r="D11022" s="10" t="inlineStr">
        <is>
          <t>NGÂN HÀNG TMCP QUÂN ĐỘI – MBBANK</t>
        </is>
      </c>
      <c r="E11022" s="10" t="inlineStr">
        <is>
          <t>Thương lượng</t>
        </is>
      </c>
      <c r="F11022" s="10" t="inlineStr">
        <is>
          <t>Hà Nội</t>
        </is>
      </c>
      <c r="G11022" s="10" t="inlineStr">
        <is>
          <t>Nhân viên</t>
        </is>
      </c>
      <c r="H11022" s="10" t="inlineStr">
        <is>
          <t>13/03/2026</t>
        </is>
      </c>
      <c r="I11022" s="10" t="inlineStr">
        <is>
          <t>12/04/2026</t>
        </is>
      </c>
      <c r="J11022" s="10" t="inlineStr">
        <is>
          <t>17/03/2026</t>
        </is>
      </c>
      <c r="K11022" s="10" t="inlineStr">
        <is>
          <t>N/A</t>
        </is>
      </c>
      <c r="L11022" s="10" t="inlineStr">
        <is>
          <t>AI, Computer Vision, Deep Learning</t>
        </is>
      </c>
      <c r="M11022" s="10" t="inlineStr">
        <is>
          <t>Bonus, Paid Leave, Training, Awards, Library, Vouchers, Others</t>
        </is>
      </c>
      <c r="N11022" s="11">
        <f>HYPERLINK("https://www.vietnamworks.com/truong-phong-cong-nghe-thi-giac-may-tinh-phong-cong-nghe-thi-giac-may-tinh-head-of-computer-vision-technology-department-khoi-cong-nghe-thong-tin-ho26-85-2023469-jv","Xem chi tiết")</f>
        <v/>
      </c>
      <c r="O11022" s="10" t="n"/>
    </row>
    <row r="11023">
      <c r="B11023" s="7" t="n">
        <v>11021</v>
      </c>
      <c r="C11023" t="inlineStr">
        <is>
          <t>Kỹ Sư Điện (M&amp;E Electrical Engineer)</t>
        </is>
      </c>
      <c r="D11023" t="inlineStr">
        <is>
          <t>CHI NHÁNH CÔNG TY TNHH VIỆT NAM KANDENKO TẠI THÀNH PHỐ HỒ CHÍ MINH  Read more: https://masocongty.vn/company/1262701/chi-nhanh-cong-ty-tnhh-viet-nam-kandenko-tai-thanh-pho-ho-chi-minh.html#ixzz7OueBAE6E</t>
        </is>
      </c>
      <c r="E11023" t="inlineStr">
        <is>
          <t>Từ $ 500 /tháng</t>
        </is>
      </c>
      <c r="F11023" t="inlineStr">
        <is>
          <t>Đồng Nai, Bình Dương, Hồ Chí Minh</t>
        </is>
      </c>
      <c r="G11023" t="inlineStr">
        <is>
          <t>Nhân viên</t>
        </is>
      </c>
      <c r="H11023" t="inlineStr">
        <is>
          <t>13/03/2026</t>
        </is>
      </c>
      <c r="I11023" t="inlineStr">
        <is>
          <t>12/04/2026</t>
        </is>
      </c>
      <c r="J11023" t="inlineStr">
        <is>
          <t>17/03/2026</t>
        </is>
      </c>
      <c r="K11023" t="inlineStr">
        <is>
          <t>N/A</t>
        </is>
      </c>
      <c r="L11023" t="inlineStr">
        <is>
          <t>Revit, Lập Bản Vẽ Thi Công, BIM, Shop Drawings, M&amp;E System</t>
        </is>
      </c>
      <c r="M11023" t="inlineStr">
        <is>
          <t>Bonus, Healthcare Plan, Paid Leave</t>
        </is>
      </c>
      <c r="N11023" s="8">
        <f>HYPERLINK("https://www.vietnamworks.com/ky-su-dien-m-e-electrical-engineer--2023456-jv","Xem chi tiết")</f>
        <v/>
      </c>
    </row>
    <row r="11024">
      <c r="B11024" s="9" t="n">
        <v>11022</v>
      </c>
      <c r="C11024" s="10" t="inlineStr">
        <is>
          <t>[Tuyển Gấp] Nhân Viên Kinh Doanh - Thu Nhập Up to 30 Triệu (Lương Cứng + Thưởng Hấp Dẫn)</t>
        </is>
      </c>
      <c r="D11024" s="10" t="inlineStr">
        <is>
          <t>Daloc Wines</t>
        </is>
      </c>
      <c r="E11024" s="10" t="inlineStr">
        <is>
          <t>Từ 20tr ₫/tháng</t>
        </is>
      </c>
      <c r="F11024" s="10" t="inlineStr">
        <is>
          <t>Hải Phòng, Hà Nội, Hồ Chí Minh</t>
        </is>
      </c>
      <c r="G11024" s="10" t="inlineStr">
        <is>
          <t>Nhân viên</t>
        </is>
      </c>
      <c r="H11024" s="10" t="inlineStr">
        <is>
          <t>13/03/2026</t>
        </is>
      </c>
      <c r="I11024" s="10" t="inlineStr">
        <is>
          <t>12/04/2026</t>
        </is>
      </c>
      <c r="J11024" s="10" t="inlineStr">
        <is>
          <t>17/03/2026</t>
        </is>
      </c>
      <c r="K11024" s="10" t="inlineStr">
        <is>
          <t>N/A</t>
        </is>
      </c>
      <c r="L11024" s="10" t="inlineStr">
        <is>
          <t>Phân Tích Thị Trường, Chăm Sóc Khách Hàng, Kinh Doanh, Kinh Doanh Rượu Vang, Phát Triển Kinh Doanh</t>
        </is>
      </c>
      <c r="M11024" s="10" t="inlineStr">
        <is>
          <t>Bonus, Healthcare Plan, Paid Leave, Training, Travel Opportunities, Others</t>
        </is>
      </c>
      <c r="N11024" s="11">
        <f>HYPERLINK("https://www.vietnamworks.com/tuyen-gap-nhan-vien-kinh-doanh-thu-nhap-up-to-30-trieu-luong-cung-thuong-hap-dan-2023462-jv","Xem chi tiết")</f>
        <v/>
      </c>
      <c r="O11024" s="10" t="n"/>
    </row>
    <row r="11025">
      <c r="B11025" s="7" t="n">
        <v>11023</v>
      </c>
      <c r="C11025" t="inlineStr">
        <is>
          <t>Agentic Engineer (Python/Go/C/C++ Backend &amp; AI Agents) - Khối Công nghệ thông tin (HOLT.18)</t>
        </is>
      </c>
      <c r="D11025" t="inlineStr">
        <is>
          <t>NGÂN HÀNG TMCP QUÂN ĐỘI – MBBANK</t>
        </is>
      </c>
      <c r="E11025" t="inlineStr">
        <is>
          <t>Thương lượng</t>
        </is>
      </c>
      <c r="F11025" t="inlineStr">
        <is>
          <t>Hà Nội</t>
        </is>
      </c>
      <c r="G11025" t="inlineStr">
        <is>
          <t>Nhân viên</t>
        </is>
      </c>
      <c r="H11025" t="inlineStr">
        <is>
          <t>13/03/2026</t>
        </is>
      </c>
      <c r="I11025" t="inlineStr">
        <is>
          <t>12/04/2026</t>
        </is>
      </c>
      <c r="J11025" t="inlineStr">
        <is>
          <t>17/03/2026</t>
        </is>
      </c>
      <c r="K11025" t="inlineStr">
        <is>
          <t>N/A</t>
        </is>
      </c>
      <c r="L11025" t="inlineStr">
        <is>
          <t>C/C++, Microservices, Python, PyTorch, TensorFlow</t>
        </is>
      </c>
      <c r="M11025" t="inlineStr">
        <is>
          <t>Bonus, Paid Leave, Training, Awards, Library, Vouchers, Others</t>
        </is>
      </c>
      <c r="N11025" s="8">
        <f>HYPERLINK("https://www.vietnamworks.com/agentic-engineer-pythongocc-backend-and-ai-agents-khoi-cong-nghe-thong-tin-holt-18-2023474-jv","Xem chi tiết")</f>
        <v/>
      </c>
    </row>
    <row r="11026">
      <c r="B11026" s="9" t="n">
        <v>11024</v>
      </c>
      <c r="C11026" s="10" t="inlineStr">
        <is>
          <t>Chuyên Viên Chính Dịch Vụ Khách Hàng</t>
        </is>
      </c>
      <c r="D11026" s="10" t="inlineStr">
        <is>
          <t>Công Ty Cổ Phần Chứng Khoán Tiên Phong</t>
        </is>
      </c>
      <c r="E11026" s="10" t="inlineStr">
        <is>
          <t>Thương lượng</t>
        </is>
      </c>
      <c r="F11026" s="10" t="inlineStr">
        <is>
          <t>Hồ Chí Minh, Hà Nội</t>
        </is>
      </c>
      <c r="G11026" s="10" t="inlineStr">
        <is>
          <t>Nhân viên</t>
        </is>
      </c>
      <c r="H11026" s="10" t="inlineStr">
        <is>
          <t>13/03/2026</t>
        </is>
      </c>
      <c r="I11026" s="10" t="inlineStr">
        <is>
          <t>12/04/2026</t>
        </is>
      </c>
      <c r="J11026" s="10" t="inlineStr">
        <is>
          <t>17/03/2026</t>
        </is>
      </c>
      <c r="K11026" s="10" t="inlineStr">
        <is>
          <t>N/A</t>
        </is>
      </c>
      <c r="L11026" s="10" t="inlineStr">
        <is>
          <t>Chứng khoán, Quản Lý Vận Hành, Tài Chính, Tư Vấn Trái Phiếu, Vi tính văn phòng</t>
        </is>
      </c>
      <c r="M11026" s="10" t="inlineStr">
        <is>
          <t>Bonus</t>
        </is>
      </c>
      <c r="N11026" s="11">
        <f>HYPERLINK("https://www.vietnamworks.com/chuyen-vien-chinh-dich-vu-khach-hang--2023459-jv","Xem chi tiết")</f>
        <v/>
      </c>
      <c r="O11026" s="10" t="n"/>
    </row>
    <row r="11027">
      <c r="B11027" s="7" t="n">
        <v>11025</v>
      </c>
      <c r="C11027" t="inlineStr">
        <is>
          <t>AI Expert - Khối Công nghệ thông tin (HOLT.15)</t>
        </is>
      </c>
      <c r="D11027" t="inlineStr">
        <is>
          <t>NGÂN HÀNG TMCP QUÂN ĐỘI – MBBANK</t>
        </is>
      </c>
      <c r="E11027" t="inlineStr">
        <is>
          <t>Thương lượng</t>
        </is>
      </c>
      <c r="F11027" t="inlineStr">
        <is>
          <t>Hà Nội</t>
        </is>
      </c>
      <c r="G11027" t="inlineStr">
        <is>
          <t>Nhân viên</t>
        </is>
      </c>
      <c r="H11027" t="inlineStr">
        <is>
          <t>13/03/2026</t>
        </is>
      </c>
      <c r="I11027" t="inlineStr">
        <is>
          <t>12/04/2026</t>
        </is>
      </c>
      <c r="J11027" t="inlineStr">
        <is>
          <t>17/03/2026</t>
        </is>
      </c>
      <c r="K11027" t="inlineStr">
        <is>
          <t>N/A</t>
        </is>
      </c>
      <c r="L11027" t="inlineStr">
        <is>
          <t>AI, Computer Vision, Deep Learning, Machine Learning, Quản Trị Dữ Liệu</t>
        </is>
      </c>
      <c r="M11027" t="inlineStr">
        <is>
          <t>Bonus, Paid Leave, Training, Awards, Library, Vouchers, Others</t>
        </is>
      </c>
      <c r="N11027" s="8">
        <f>HYPERLINK("https://www.vietnamworks.com/ai-expert-khoi-cong-nghe-thong-tin-holt-15-2023471-jv","Xem chi tiết")</f>
        <v/>
      </c>
    </row>
    <row r="11028">
      <c r="B11028" s="9" t="n">
        <v>11026</v>
      </c>
      <c r="C11028" s="10" t="inlineStr">
        <is>
          <t>Chuyên viên Loyalty - Loyalty Specialist - Ban Sản phẩm và Marketing (HO26.80)</t>
        </is>
      </c>
      <c r="D11028" s="10" t="inlineStr">
        <is>
          <t>NGÂN HÀNG TMCP QUÂN ĐỘI – MBBANK</t>
        </is>
      </c>
      <c r="E11028" s="10" t="inlineStr">
        <is>
          <t>Thương lượng</t>
        </is>
      </c>
      <c r="F11028" s="10" t="inlineStr">
        <is>
          <t>Hà Nội</t>
        </is>
      </c>
      <c r="G11028" s="10" t="inlineStr">
        <is>
          <t>Nhân viên</t>
        </is>
      </c>
      <c r="H11028" s="10" t="inlineStr">
        <is>
          <t>13/03/2026</t>
        </is>
      </c>
      <c r="I11028" s="10" t="inlineStr">
        <is>
          <t>12/04/2026</t>
        </is>
      </c>
      <c r="J11028" s="10" t="inlineStr">
        <is>
          <t>17/03/2026</t>
        </is>
      </c>
      <c r="K11028" s="10" t="inlineStr">
        <is>
          <t>N/A</t>
        </is>
      </c>
      <c r="L11028" s="10" t="inlineStr">
        <is>
          <t>MongoDB, Oracle, PostgreSQL, Redis, S3</t>
        </is>
      </c>
      <c r="M11028" s="10" t="inlineStr">
        <is>
          <t>Bonus, Paid Leave, Training, Awards, Library, Vouchers, Others</t>
        </is>
      </c>
      <c r="N11028" s="11">
        <f>HYPERLINK("https://www.vietnamworks.com/chuyen-vien-loyalty-loyalty-specialist-ban-san-pham-va-marketing-ho26-80-2023461-jv","Xem chi tiết")</f>
        <v/>
      </c>
      <c r="O11028" s="10" t="n"/>
    </row>
    <row r="11029">
      <c r="B11029" s="7" t="n">
        <v>11027</v>
      </c>
      <c r="C11029" t="inlineStr">
        <is>
          <t>Senior AI Engineer (Computer Vision/NPL/LLM) - Khối Công nghệ thông tin (HOLT.17)</t>
        </is>
      </c>
      <c r="D11029" t="inlineStr">
        <is>
          <t>NGÂN HÀNG TMCP QUÂN ĐỘI – MBBANK</t>
        </is>
      </c>
      <c r="E11029" t="inlineStr">
        <is>
          <t>Thương lượng</t>
        </is>
      </c>
      <c r="F11029" t="inlineStr">
        <is>
          <t>Hà Nội</t>
        </is>
      </c>
      <c r="G11029" t="inlineStr">
        <is>
          <t>Nhân viên</t>
        </is>
      </c>
      <c r="H11029" t="inlineStr">
        <is>
          <t>13/03/2026</t>
        </is>
      </c>
      <c r="I11029" t="inlineStr">
        <is>
          <t>12/04/2026</t>
        </is>
      </c>
      <c r="J11029" t="inlineStr">
        <is>
          <t>17/03/2026</t>
        </is>
      </c>
      <c r="K11029" t="inlineStr">
        <is>
          <t>N/A</t>
        </is>
      </c>
      <c r="L11029" t="inlineStr">
        <is>
          <t>C/C++, Microservice, Python, PyTorch, TensorFlow</t>
        </is>
      </c>
      <c r="M11029" t="inlineStr">
        <is>
          <t>Bonus, Paid Leave, Training, Awards, Library, Vouchers, Others</t>
        </is>
      </c>
      <c r="N11029" s="8">
        <f>HYPERLINK("https://www.vietnamworks.com/senior-ai-engineer-computer-visionnplllm-khoi-cong-nghe-thong-tin-holt-17-2023473-jv","Xem chi tiết")</f>
        <v/>
      </c>
    </row>
    <row r="11030">
      <c r="B11030" s="9" t="n">
        <v>11028</v>
      </c>
      <c r="C11030" s="10" t="inlineStr">
        <is>
          <t>Legal Associate</t>
        </is>
      </c>
      <c r="D11030" s="10" t="inlineStr">
        <is>
          <t>WHA Vietnam</t>
        </is>
      </c>
      <c r="E11030" s="10" t="inlineStr">
        <is>
          <t>Thương lượng</t>
        </is>
      </c>
      <c r="F11030" s="10" t="inlineStr">
        <is>
          <t>Hà Nội</t>
        </is>
      </c>
      <c r="G11030" s="10" t="inlineStr">
        <is>
          <t>Nhân viên</t>
        </is>
      </c>
      <c r="H11030" s="10" t="inlineStr">
        <is>
          <t>13/03/2026</t>
        </is>
      </c>
      <c r="I11030" s="10" t="inlineStr">
        <is>
          <t>12/04/2026</t>
        </is>
      </c>
      <c r="J11030" s="10" t="inlineStr">
        <is>
          <t>17/03/2026</t>
        </is>
      </c>
      <c r="K11030" s="10" t="inlineStr">
        <is>
          <t>N/A</t>
        </is>
      </c>
      <c r="L11030" s="10" t="inlineStr">
        <is>
          <t>Contract Management, Legal Advise, Corporate Law, M&amp;A Consulting, Analytical Skills</t>
        </is>
      </c>
      <c r="M11030" s="10" t="inlineStr">
        <is>
          <t>Bonus, Healthcare Plan, Training</t>
        </is>
      </c>
      <c r="N11030" s="11">
        <f>HYPERLINK("https://www.vietnamworks.com/legal-associate-2023463-jv","Xem chi tiết")</f>
        <v/>
      </c>
      <c r="O11030" s="10" t="n"/>
    </row>
    <row r="11031">
      <c r="B11031" s="7" t="n">
        <v>11029</v>
      </c>
      <c r="C11031" t="inlineStr">
        <is>
          <t>Chuyên viên - Phòng Hỗ trợ tín dụng KHCN - Specialist - Retail Credit Support department - Khối Vận hành (HO26.82)</t>
        </is>
      </c>
      <c r="D11031" t="inlineStr">
        <is>
          <t>NGÂN HÀNG TMCP QUÂN ĐỘI – MBBANK</t>
        </is>
      </c>
      <c r="E11031" t="inlineStr">
        <is>
          <t>Thương lượng</t>
        </is>
      </c>
      <c r="F11031" t="inlineStr">
        <is>
          <t>Hồ Chí Minh</t>
        </is>
      </c>
      <c r="G11031" t="inlineStr">
        <is>
          <t>Nhân viên</t>
        </is>
      </c>
      <c r="H11031" t="inlineStr">
        <is>
          <t>13/03/2026</t>
        </is>
      </c>
      <c r="I11031" t="inlineStr">
        <is>
          <t>12/04/2026</t>
        </is>
      </c>
      <c r="J11031" t="inlineStr">
        <is>
          <t>17/03/2026</t>
        </is>
      </c>
      <c r="K11031" t="inlineStr">
        <is>
          <t>N/A</t>
        </is>
      </c>
      <c r="L11031" t="inlineStr">
        <is>
          <t>Excel, Hỗ Trợ Tín Dụng, Soạn Thảo Văn Bản, Tài Chính Ngân Hàng, word</t>
        </is>
      </c>
      <c r="M11031" t="inlineStr">
        <is>
          <t>Bonus, Paid Leave, Training, Awards, Library, Vouchers, Others</t>
        </is>
      </c>
      <c r="N11031" s="8">
        <f>HYPERLINK("https://www.vietnamworks.com/chuyen-vien-phong-ho-tro-tin-dung-khcn-specialist-retail-credit-support-department-khoi-van-hanh-ho26-82-2023466-jv","Xem chi tiết")</f>
        <v/>
      </c>
    </row>
    <row r="11032">
      <c r="B11032" s="9" t="n">
        <v>11030</v>
      </c>
      <c r="C11032" s="10" t="inlineStr">
        <is>
          <t>Chuyên gia Hoạch định Tài sản - Wealth Planning Advisor - Khối Khách hàng cá nhân (HO26.83)</t>
        </is>
      </c>
      <c r="D11032" s="10" t="inlineStr">
        <is>
          <t>NGÂN HÀNG TMCP QUÂN ĐỘI – MBBANK</t>
        </is>
      </c>
      <c r="E11032" s="10" t="inlineStr">
        <is>
          <t>Thương lượng</t>
        </is>
      </c>
      <c r="F11032" s="10" t="inlineStr">
        <is>
          <t>Hà Nội</t>
        </is>
      </c>
      <c r="G11032" s="10" t="inlineStr">
        <is>
          <t>Nhân viên</t>
        </is>
      </c>
      <c r="H11032" s="10" t="inlineStr">
        <is>
          <t>13/03/2026</t>
        </is>
      </c>
      <c r="I11032" s="10" t="inlineStr">
        <is>
          <t>12/04/2026</t>
        </is>
      </c>
      <c r="J11032" s="10" t="inlineStr">
        <is>
          <t>17/03/2026</t>
        </is>
      </c>
      <c r="K11032" s="10" t="inlineStr">
        <is>
          <t>N/A</t>
        </is>
      </c>
      <c r="L11032" s="10" t="inlineStr">
        <is>
          <t>CFA, Immigration Consulting, Legal Advisory, Private Banker</t>
        </is>
      </c>
      <c r="M11032" s="10" t="inlineStr">
        <is>
          <t>Bonus, Paid Leave, Training, Awards, Library, Vouchers, Others</t>
        </is>
      </c>
      <c r="N11032" s="11">
        <f>HYPERLINK("https://www.vietnamworks.com/chuyen-gia-hoach-djinh-tai-san-wealth-planning-advisor-khoi-khach-hang-ca-nhan-ho26-83-2023467-jv","Xem chi tiết")</f>
        <v/>
      </c>
      <c r="O11032" s="10" t="n"/>
    </row>
    <row r="11033">
      <c r="B11033" s="7" t="n">
        <v>11031</v>
      </c>
      <c r="C11033" t="inlineStr">
        <is>
          <t>AI Software Engineer (Python/Go/C/C++ Backend &amp; AI Agents) - Khối Công nghệ thông tin (HOLT.19)</t>
        </is>
      </c>
      <c r="D11033" t="inlineStr">
        <is>
          <t>NGÂN HÀNG TMCP QUÂN ĐỘI – MBBANK</t>
        </is>
      </c>
      <c r="E11033" t="inlineStr">
        <is>
          <t>Thương lượng</t>
        </is>
      </c>
      <c r="F11033" t="inlineStr">
        <is>
          <t>Hà Nội</t>
        </is>
      </c>
      <c r="G11033" t="inlineStr">
        <is>
          <t>Nhân viên</t>
        </is>
      </c>
      <c r="H11033" t="inlineStr">
        <is>
          <t>13/03/2026</t>
        </is>
      </c>
      <c r="I11033" t="inlineStr">
        <is>
          <t>12/04/2026</t>
        </is>
      </c>
      <c r="J11033" t="inlineStr">
        <is>
          <t>17/03/2026</t>
        </is>
      </c>
      <c r="K11033" t="inlineStr">
        <is>
          <t>N/A</t>
        </is>
      </c>
      <c r="L11033" t="inlineStr">
        <is>
          <t>C/C++, Microservices, Python, PyTorch, TensorFlow</t>
        </is>
      </c>
      <c r="M11033" t="inlineStr">
        <is>
          <t>Bonus, Paid Leave, Training, Awards, Library, Vouchers, Others</t>
        </is>
      </c>
      <c r="N11033" s="8">
        <f>HYPERLINK("https://www.vietnamworks.com/ai-software-engineer-pythongocc-backend-and-ai-agents-khoi-cong-nghe-thong-tin-holt-19-2023475-jv","Xem chi tiết")</f>
        <v/>
      </c>
    </row>
    <row r="11034">
      <c r="B11034" s="9" t="n">
        <v>11032</v>
      </c>
      <c r="C11034" s="10" t="inlineStr">
        <is>
          <t>Chuyên viên Phát triển khoa học dữ liệu - Data Scientist - Khối Công nghệ thông tin (HO26.84)</t>
        </is>
      </c>
      <c r="D11034" s="10" t="inlineStr">
        <is>
          <t>NGÂN HÀNG TMCP QUÂN ĐỘI – MBBANK</t>
        </is>
      </c>
      <c r="E11034" s="10" t="inlineStr">
        <is>
          <t>Thương lượng</t>
        </is>
      </c>
      <c r="F11034" s="10" t="inlineStr">
        <is>
          <t>Hà Nội</t>
        </is>
      </c>
      <c r="G11034" s="10" t="inlineStr">
        <is>
          <t>Nhân viên</t>
        </is>
      </c>
      <c r="H11034" s="10" t="inlineStr">
        <is>
          <t>13/03/2026</t>
        </is>
      </c>
      <c r="I11034" s="10" t="inlineStr">
        <is>
          <t>12/04/2026</t>
        </is>
      </c>
      <c r="J11034" s="10" t="inlineStr">
        <is>
          <t>17/03/2026</t>
        </is>
      </c>
      <c r="K11034" s="10" t="inlineStr">
        <is>
          <t>N/A</t>
        </is>
      </c>
      <c r="L11034" s="10" t="inlineStr">
        <is>
          <t>AI, Big Data, Data Science, Fraud Detection</t>
        </is>
      </c>
      <c r="M11034" s="10" t="inlineStr">
        <is>
          <t>Bonus, Paid Leave, Training, Awards, Library, Vouchers, Others</t>
        </is>
      </c>
      <c r="N11034" s="11">
        <f>HYPERLINK("https://www.vietnamworks.com/chuyen-vien-phat-trien-khoa-hoc-du-lieu-data-scientist-khoi-cong-nghe-thong-tin-ho26-84-2023468-jv","Xem chi tiết")</f>
        <v/>
      </c>
      <c r="O11034" s="10" t="n"/>
    </row>
    <row r="11035">
      <c r="B11035" s="7" t="n">
        <v>11033</v>
      </c>
      <c r="C11035" t="inlineStr">
        <is>
          <t>Chuyên viên - Phòng Hỗ trợ tín dụng SME - Specialist - SME Credit Support department - Khối Vận hành (HO26.81)</t>
        </is>
      </c>
      <c r="D11035" t="inlineStr">
        <is>
          <t>NGÂN HÀNG TMCP QUÂN ĐỘI – MBBANK</t>
        </is>
      </c>
      <c r="E11035" t="inlineStr">
        <is>
          <t>Thương lượng</t>
        </is>
      </c>
      <c r="F11035" t="inlineStr">
        <is>
          <t>Hồ Chí Minh</t>
        </is>
      </c>
      <c r="G11035" t="inlineStr">
        <is>
          <t>Nhân viên</t>
        </is>
      </c>
      <c r="H11035" t="inlineStr">
        <is>
          <t>13/03/2026</t>
        </is>
      </c>
      <c r="I11035" t="inlineStr">
        <is>
          <t>12/04/2026</t>
        </is>
      </c>
      <c r="J11035" t="inlineStr">
        <is>
          <t>17/03/2026</t>
        </is>
      </c>
      <c r="K11035" t="inlineStr">
        <is>
          <t>N/A</t>
        </is>
      </c>
      <c r="L11035" t="inlineStr">
        <is>
          <t>CRM, Excel, PowerBI, PowerPoint, SQL</t>
        </is>
      </c>
      <c r="M11035" t="inlineStr">
        <is>
          <t>Bonus, Paid Leave, Training, Awards, Library, Vouchers, Others</t>
        </is>
      </c>
      <c r="N11035" s="8">
        <f>HYPERLINK("https://www.vietnamworks.com/chuyen-vien-phong-ho-tro-tin-dung-sme-specialist-sme-credit-support-department-khoi-van-hanh-ho26-81-2023465-jv","Xem chi tiết")</f>
        <v/>
      </c>
    </row>
    <row r="11036">
      <c r="B11036" s="9" t="n">
        <v>11034</v>
      </c>
      <c r="C11036" s="10" t="inlineStr">
        <is>
          <t>Learning and Development Senior Associate</t>
        </is>
      </c>
      <c r="D11036" s="10" t="inlineStr">
        <is>
          <t>WHA Vietnam</t>
        </is>
      </c>
      <c r="E11036" s="10" t="inlineStr">
        <is>
          <t>$$ 800-1,000 /tháng</t>
        </is>
      </c>
      <c r="F11036" s="10" t="inlineStr">
        <is>
          <t>Hà Nội</t>
        </is>
      </c>
      <c r="G11036" s="10" t="inlineStr">
        <is>
          <t>Nhân viên</t>
        </is>
      </c>
      <c r="H11036" s="10" t="inlineStr">
        <is>
          <t>13/03/2026</t>
        </is>
      </c>
      <c r="I11036" s="10" t="inlineStr">
        <is>
          <t>12/04/2026</t>
        </is>
      </c>
      <c r="J11036" s="10" t="inlineStr">
        <is>
          <t>17/03/2026</t>
        </is>
      </c>
      <c r="K11036" s="10" t="inlineStr">
        <is>
          <t>N/A</t>
        </is>
      </c>
      <c r="L11036" s="10" t="inlineStr">
        <is>
          <t>Training, Learning And Development, Human Resources, People Development, Culture Development</t>
        </is>
      </c>
      <c r="M11036" s="10" t="inlineStr">
        <is>
          <t>Bonus, Healthcare Plan, Training</t>
        </is>
      </c>
      <c r="N11036" s="11">
        <f>HYPERLINK("https://www.vietnamworks.com/learning-and-development-senior-associate--2023476-jv","Xem chi tiết")</f>
        <v/>
      </c>
      <c r="O11036" s="10" t="n"/>
    </row>
    <row r="11037">
      <c r="B11037" s="7" t="n">
        <v>11035</v>
      </c>
      <c r="C11037" t="inlineStr">
        <is>
          <t>[Recruitment in Laos] Trading Manager | Experienced in Trading</t>
        </is>
      </c>
      <c r="D11037" t="inlineStr">
        <is>
          <t>Lao Asean Leasing Public Company</t>
        </is>
      </c>
      <c r="E11037" t="inlineStr">
        <is>
          <t>Từ $ 3,000 /tháng</t>
        </is>
      </c>
      <c r="F11037" t="inlineStr">
        <is>
          <t>Quốc tế, Hồ Chí Minh, Hà Nội</t>
        </is>
      </c>
      <c r="G11037" t="inlineStr">
        <is>
          <t>Trưởng phòng</t>
        </is>
      </c>
      <c r="H11037" t="inlineStr">
        <is>
          <t>13/03/2026</t>
        </is>
      </c>
      <c r="I11037" t="inlineStr">
        <is>
          <t>12/04/2026</t>
        </is>
      </c>
      <c r="J11037" t="inlineStr">
        <is>
          <t>17/03/2026</t>
        </is>
      </c>
      <c r="K11037" t="inlineStr">
        <is>
          <t>N/A</t>
        </is>
      </c>
      <c r="L11037" t="inlineStr">
        <is>
          <t>Trading and Retail Experience, Coffee Operation, Mining Trading, P&amp;L Management, Import-Export</t>
        </is>
      </c>
      <c r="M11037" t="inlineStr">
        <is>
          <t>Travel Opportunities, Others</t>
        </is>
      </c>
      <c r="N11037" s="8">
        <f>HYPERLINK("https://www.vietnamworks.com/recruitment-in-laos-trading-manager-experienced-in-trading-2023480-jv","Xem chi tiết")</f>
        <v/>
      </c>
    </row>
    <row r="11038">
      <c r="B11038" s="9" t="n">
        <v>11036</v>
      </c>
      <c r="C11038" s="10" t="inlineStr">
        <is>
          <t>Quality Control Staff</t>
        </is>
      </c>
      <c r="D11038" s="10" t="inlineStr">
        <is>
          <t>NIKKISO VIETNAM, INC.</t>
        </is>
      </c>
      <c r="E11038" s="10" t="inlineStr">
        <is>
          <t>Thương lượng</t>
        </is>
      </c>
      <c r="F11038" s="10" t="inlineStr">
        <is>
          <t>Hưng Yên, Hải Dương, Hà Nội</t>
        </is>
      </c>
      <c r="G11038" s="10" t="inlineStr">
        <is>
          <t>Nhân viên</t>
        </is>
      </c>
      <c r="H11038" s="10" t="inlineStr">
        <is>
          <t>13/03/2026</t>
        </is>
      </c>
      <c r="I11038" s="10" t="inlineStr">
        <is>
          <t>12/04/2026</t>
        </is>
      </c>
      <c r="J11038" s="10" t="inlineStr">
        <is>
          <t>17/03/2026</t>
        </is>
      </c>
      <c r="K11038" s="10" t="inlineStr">
        <is>
          <t>N/A</t>
        </is>
      </c>
      <c r="L11038" s="10" t="inlineStr">
        <is>
          <t>English, Control 5S, Process Improvement, Kiểm Tra Chất Lượng, Quality Control</t>
        </is>
      </c>
      <c r="M11038" s="10" t="inlineStr">
        <is>
          <t>Bonus, Healthcare Plan, Transportation</t>
        </is>
      </c>
      <c r="N11038" s="11">
        <f>HYPERLINK("https://www.vietnamworks.com/quality-control-staff--2023478-jv","Xem chi tiết")</f>
        <v/>
      </c>
      <c r="O11038" s="10" t="n"/>
    </row>
    <row r="11039">
      <c r="B11039" s="7" t="n">
        <v>11037</v>
      </c>
      <c r="C11039" t="inlineStr">
        <is>
          <t>Kiến Trúc Sư Quy Hoạch</t>
        </is>
      </c>
      <c r="D11039" t="inlineStr">
        <is>
          <t>Công Ty Cổ Phần Tập Đoàn Phú Thái Holdings</t>
        </is>
      </c>
      <c r="E11039" t="inlineStr">
        <is>
          <t>25tr-28tr ₫/tháng</t>
        </is>
      </c>
      <c r="F11039" t="inlineStr">
        <is>
          <t>Hà Nội</t>
        </is>
      </c>
      <c r="G11039" t="inlineStr">
        <is>
          <t>Nhân viên</t>
        </is>
      </c>
      <c r="H11039" t="inlineStr">
        <is>
          <t>13/03/2026</t>
        </is>
      </c>
      <c r="I11039" t="inlineStr">
        <is>
          <t>12/04/2026</t>
        </is>
      </c>
      <c r="J11039" t="inlineStr">
        <is>
          <t>17/03/2026</t>
        </is>
      </c>
      <c r="K11039" t="inlineStr">
        <is>
          <t>N/A</t>
        </is>
      </c>
      <c r="L11039" t="inlineStr">
        <is>
          <t>Kiến Trúc, Quy hoạch, Quy Hoạch Đô Thị, Thiết Kế Đô Thị, Urban Design</t>
        </is>
      </c>
      <c r="M11039" t="inlineStr">
        <is>
          <t>Bonus</t>
        </is>
      </c>
      <c r="N11039" s="8">
        <f>HYPERLINK("https://www.vietnamworks.com/kien-truc-su-quy-hoach-2023479-jv","Xem chi tiết")</f>
        <v/>
      </c>
    </row>
    <row r="11040">
      <c r="B11040" s="9" t="n">
        <v>11038</v>
      </c>
      <c r="C11040" s="10" t="inlineStr">
        <is>
          <t>COO</t>
        </is>
      </c>
      <c r="D11040" s="10" t="inlineStr">
        <is>
          <t>Michael Page Vietnam</t>
        </is>
      </c>
      <c r="E11040" s="10" t="inlineStr">
        <is>
          <t>Thương lượng</t>
        </is>
      </c>
      <c r="F11040" s="10" t="inlineStr">
        <is>
          <t>Hồ Chí Minh</t>
        </is>
      </c>
      <c r="G11040" s="10" t="inlineStr">
        <is>
          <t>Giám Đốc và Cấp Cao Hơn</t>
        </is>
      </c>
      <c r="H11040" s="10" t="inlineStr">
        <is>
          <t>13/03/2026</t>
        </is>
      </c>
      <c r="I11040" s="10" t="inlineStr">
        <is>
          <t>12/04/2026</t>
        </is>
      </c>
      <c r="J11040" s="10" t="inlineStr">
        <is>
          <t>17/03/2026</t>
        </is>
      </c>
      <c r="K11040" s="10" t="inlineStr">
        <is>
          <t>N/A</t>
        </is>
      </c>
      <c r="L11040" s="10" t="inlineStr">
        <is>
          <t>Coordination Teamwork, Operations Improvement</t>
        </is>
      </c>
      <c r="M11040" s="10" t="inlineStr">
        <is>
          <t>Bonus, Healthcare Plan, Paid Leave</t>
        </is>
      </c>
      <c r="N11040" s="11">
        <f>HYPERLINK("https://www.vietnamworks.com/coo-5-2023477-jv","Xem chi tiết")</f>
        <v/>
      </c>
      <c r="O11040" s="10" t="n"/>
    </row>
    <row r="11041">
      <c r="B11041" s="7" t="n">
        <v>11039</v>
      </c>
      <c r="C11041" t="inlineStr">
        <is>
          <t>Logistics &amp; Trade Supervisor</t>
        </is>
      </c>
      <c r="D11041" t="inlineStr">
        <is>
          <t>Piaggio Vietnam Co., Ltd (Pvn)</t>
        </is>
      </c>
      <c r="E11041" t="inlineStr">
        <is>
          <t>Thương lượng</t>
        </is>
      </c>
      <c r="F11041" t="inlineStr">
        <is>
          <t>Vĩnh Phúc, Hà Nội</t>
        </is>
      </c>
      <c r="G11041" t="inlineStr">
        <is>
          <t>Nhân viên</t>
        </is>
      </c>
      <c r="H11041" t="inlineStr">
        <is>
          <t>13/03/2026</t>
        </is>
      </c>
      <c r="I11041" t="inlineStr">
        <is>
          <t>12/04/2026</t>
        </is>
      </c>
      <c r="J11041" t="inlineStr">
        <is>
          <t>17/03/2026</t>
        </is>
      </c>
      <c r="K11041" t="inlineStr">
        <is>
          <t>N/A</t>
        </is>
      </c>
      <c r="L11041" t="inlineStr">
        <is>
          <t>Import &amp; Export, International Business, International Trade, Logistics Management</t>
        </is>
      </c>
      <c r="M11041" t="inlineStr">
        <is>
          <t>Bonus, Healthcare Plan, Paid Leave, Training, Awards, Others</t>
        </is>
      </c>
      <c r="N11041" s="8">
        <f>HYPERLINK("https://www.vietnamworks.com/logistics-and-trade-supervisor-2023481-jv","Xem chi tiết")</f>
        <v/>
      </c>
    </row>
    <row r="11042">
      <c r="B11042" s="9" t="n">
        <v>11040</v>
      </c>
      <c r="C11042" s="10" t="inlineStr">
        <is>
          <t>Chuyên Viên Phát Triển Thị Trường (Phỏng Vấn Trước Tết, Đi Làm Sau Tết)</t>
        </is>
      </c>
      <c r="D11042" s="10" t="inlineStr">
        <is>
          <t>Trung Tâm Trọng Tài Quốc Tế Việt Nam (Viac)</t>
        </is>
      </c>
      <c r="E11042" s="10" t="inlineStr">
        <is>
          <t>Thương lượng</t>
        </is>
      </c>
      <c r="F11042" s="10" t="inlineStr">
        <is>
          <t>Hà Nội</t>
        </is>
      </c>
      <c r="G11042" s="10" t="inlineStr">
        <is>
          <t>Nhân viên</t>
        </is>
      </c>
      <c r="H11042" s="10" t="inlineStr">
        <is>
          <t>13/03/2026</t>
        </is>
      </c>
      <c r="I11042" s="10" t="inlineStr">
        <is>
          <t>12/04/2026</t>
        </is>
      </c>
      <c r="J11042" s="10" t="inlineStr">
        <is>
          <t>17/03/2026</t>
        </is>
      </c>
      <c r="K11042" s="10" t="inlineStr">
        <is>
          <t>N/A</t>
        </is>
      </c>
      <c r="L11042" s="10" t="inlineStr">
        <is>
          <t>Phát Triển Thị Trường, Customer Support, Chăm Sóc Khách Hàng, Business Development, Bán Hàng</t>
        </is>
      </c>
      <c r="M11042" s="10" t="inlineStr">
        <is>
          <t>Bonus, Healthcare Plan, Team Activities</t>
        </is>
      </c>
      <c r="N11042" s="11">
        <f>HYPERLINK("https://www.vietnamworks.com/chuyen-vien-phat-trien-thi-truong-phong-van-truoc-tet-di-lam-sau-tet--2023486-jv","Xem chi tiết")</f>
        <v/>
      </c>
      <c r="O11042" s="10" t="n"/>
    </row>
    <row r="11043">
      <c r="B11043" s="7" t="n">
        <v>11041</v>
      </c>
      <c r="C11043" t="inlineStr">
        <is>
          <t>Cán Bộ Kỹ Thuật Môi Trường</t>
        </is>
      </c>
      <c r="D11043" t="inlineStr">
        <is>
          <t>CÔNG TY CỔ PHẦN THƯƠNG MẠI VÀ DỊCH VỤ KHO VẬN PHÚ HƯNG</t>
        </is>
      </c>
      <c r="E11043" t="inlineStr">
        <is>
          <t>Thương lượng</t>
        </is>
      </c>
      <c r="F11043" t="inlineStr">
        <is>
          <t>Hải Phòng</t>
        </is>
      </c>
      <c r="G11043" t="inlineStr">
        <is>
          <t>Nhân viên</t>
        </is>
      </c>
      <c r="H11043" t="inlineStr">
        <is>
          <t>13/03/2026</t>
        </is>
      </c>
      <c r="I11043" t="inlineStr">
        <is>
          <t>12/04/2026</t>
        </is>
      </c>
      <c r="J11043" t="inlineStr">
        <is>
          <t>17/03/2026</t>
        </is>
      </c>
      <c r="K11043" t="inlineStr">
        <is>
          <t>N/A</t>
        </is>
      </c>
      <c r="L11043" t="inlineStr">
        <is>
          <t>Kỹ Thuật Môi Trường, Công Nghệ Xử Lý Môi Trường, Giám Sát Vận Hành, Luật Môi Trường, Quản Lý Vận Hành Kỹ Thuật</t>
        </is>
      </c>
      <c r="M11043" t="inlineStr">
        <is>
          <t>Bonus, Healthcare Plan, Paid Leave, Laptop, Travel Opportunities, Canteen, Others</t>
        </is>
      </c>
      <c r="N11043" s="8">
        <f>HYPERLINK("https://www.vietnamworks.com/can-bo-ky-thuat-moi-truong-2023490-jv","Xem chi tiết")</f>
        <v/>
      </c>
    </row>
    <row r="11044">
      <c r="B11044" s="9" t="n">
        <v>11042</v>
      </c>
      <c r="C11044" s="10" t="inlineStr">
        <is>
          <t>Production Supervisor</t>
        </is>
      </c>
      <c r="D11044" s="10" t="inlineStr">
        <is>
          <t>Stolz Miras (Vietnam) Ltd Is A French Company</t>
        </is>
      </c>
      <c r="E11044" s="10" t="inlineStr">
        <is>
          <t>Thương lượng</t>
        </is>
      </c>
      <c r="F11044" s="10" t="inlineStr">
        <is>
          <t>Đồng Nai</t>
        </is>
      </c>
      <c r="G11044" s="10" t="inlineStr">
        <is>
          <t>Nhân viên</t>
        </is>
      </c>
      <c r="H11044" s="10" t="inlineStr">
        <is>
          <t>13/03/2026</t>
        </is>
      </c>
      <c r="I11044" s="10" t="inlineStr">
        <is>
          <t>12/04/2026</t>
        </is>
      </c>
      <c r="J11044" s="10" t="inlineStr">
        <is>
          <t>17/03/2026</t>
        </is>
      </c>
      <c r="K11044" s="10" t="inlineStr">
        <is>
          <t>N/A</t>
        </is>
      </c>
      <c r="L11044" s="10" t="inlineStr">
        <is>
          <t>Auto Cad, Kế Hoạch Sản Xuất, Production Planning, Quản Lý Sản Xuất, Welding</t>
        </is>
      </c>
      <c r="M11044" s="10" t="inlineStr">
        <is>
          <t>Bonus, Healthcare Plan, Travel Opportunities, Others</t>
        </is>
      </c>
      <c r="N11044" s="11">
        <f>HYPERLINK("https://www.vietnamworks.com/production-supervisor-2023492-jv","Xem chi tiết")</f>
        <v/>
      </c>
      <c r="O11044" s="10" t="n"/>
    </row>
    <row r="11045">
      <c r="B11045" s="7" t="n">
        <v>11043</v>
      </c>
      <c r="C11045" t="inlineStr">
        <is>
          <t>Production Supervisor (Giám Sát Sản Xuất)</t>
        </is>
      </c>
      <c r="D11045" t="inlineStr">
        <is>
          <t>Công Ty TNHH Công Nghệ Welco Việt Nam</t>
        </is>
      </c>
      <c r="E11045" t="inlineStr">
        <is>
          <t>Thương lượng</t>
        </is>
      </c>
      <c r="F11045" t="inlineStr">
        <is>
          <t>Hải Dương, Hưng Yên, Bắc Ninh</t>
        </is>
      </c>
      <c r="G11045" t="inlineStr">
        <is>
          <t>Nhân viên</t>
        </is>
      </c>
      <c r="H11045" t="inlineStr">
        <is>
          <t>13/03/2026</t>
        </is>
      </c>
      <c r="I11045" t="inlineStr">
        <is>
          <t>12/04/2026</t>
        </is>
      </c>
      <c r="J11045" t="inlineStr">
        <is>
          <t>17/03/2026</t>
        </is>
      </c>
      <c r="K11045" t="inlineStr">
        <is>
          <t>N/A</t>
        </is>
      </c>
      <c r="L11045" t="inlineStr">
        <is>
          <t>Production Management, Lean Production, ISO 9000, Electronics Manufacturing, Kế Hoạch Sản Xuất</t>
        </is>
      </c>
      <c r="M11045" t="inlineStr">
        <is>
          <t>Bonus, Healthcare Plan, Others</t>
        </is>
      </c>
      <c r="N11045" s="8">
        <f>HYPERLINK("https://www.vietnamworks.com/production-supervisor-giam-sat-san-xuat--2023487-jv","Xem chi tiết")</f>
        <v/>
      </c>
    </row>
    <row r="11046">
      <c r="B11046" s="9" t="n">
        <v>11044</v>
      </c>
      <c r="C11046" s="10" t="inlineStr">
        <is>
          <t>Manager, Feasibility Study (FS)</t>
        </is>
      </c>
      <c r="D11046" s="10" t="inlineStr">
        <is>
          <t>Công Ty Cổ Phần Đầu Tư Nam Long</t>
        </is>
      </c>
      <c r="E11046" s="10" t="inlineStr">
        <is>
          <t>Thương lượng</t>
        </is>
      </c>
      <c r="F11046" s="10" t="inlineStr">
        <is>
          <t>Hồ Chí Minh</t>
        </is>
      </c>
      <c r="G11046" s="10" t="inlineStr">
        <is>
          <t>Trưởng phòng</t>
        </is>
      </c>
      <c r="H11046" s="10" t="inlineStr">
        <is>
          <t>13/03/2026</t>
        </is>
      </c>
      <c r="I11046" s="10" t="inlineStr">
        <is>
          <t>12/04/2026</t>
        </is>
      </c>
      <c r="J11046" s="10" t="inlineStr">
        <is>
          <t>17/03/2026</t>
        </is>
      </c>
      <c r="K11046" s="10" t="inlineStr">
        <is>
          <t>N/A</t>
        </is>
      </c>
      <c r="L11046" s="10" t="inlineStr">
        <is>
          <t>Feasibility Study, Commercial Real Estate Acquisition, M&amp;A Valuation, Feasibility Research, Project Appraisal</t>
        </is>
      </c>
      <c r="M11046" s="10" t="inlineStr">
        <is>
          <t>Bonus, Healthcare Plan, Paid Leave</t>
        </is>
      </c>
      <c r="N11046" s="11">
        <f>HYPERLINK("https://www.vietnamworks.com/manager-feasibility-study-fs--2023494-jv","Xem chi tiết")</f>
        <v/>
      </c>
      <c r="O11046" s="10" t="n"/>
    </row>
    <row r="11047">
      <c r="B11047" s="7" t="n">
        <v>11045</v>
      </c>
      <c r="C11047" t="inlineStr">
        <is>
          <t>Chuyên Viên Nhân Sự</t>
        </is>
      </c>
      <c r="D11047" t="inlineStr">
        <is>
          <t>Công ty TNHH TM DV Tân Hiệp Phát</t>
        </is>
      </c>
      <c r="E11047" t="inlineStr">
        <is>
          <t>Thương lượng</t>
        </is>
      </c>
      <c r="F11047" t="inlineStr">
        <is>
          <t>Hồ Chí Minh</t>
        </is>
      </c>
      <c r="G11047" t="inlineStr">
        <is>
          <t>Nhân viên</t>
        </is>
      </c>
      <c r="H11047" t="inlineStr">
        <is>
          <t>13/03/2026</t>
        </is>
      </c>
      <c r="I11047" t="inlineStr">
        <is>
          <t>12/04/2026</t>
        </is>
      </c>
      <c r="J11047" t="inlineStr">
        <is>
          <t>17/03/2026</t>
        </is>
      </c>
      <c r="K11047" t="inlineStr">
        <is>
          <t>N/A</t>
        </is>
      </c>
      <c r="L11047" t="inlineStr">
        <is>
          <t>Recruitment, Human Resources, C&amp;B, HRBP</t>
        </is>
      </c>
      <c r="M11047" t="inlineStr">
        <is>
          <t>Bonus, Healthcare Plan, Canteen</t>
        </is>
      </c>
      <c r="N11047" s="8">
        <f>HYPERLINK("https://www.vietnamworks.com/chuyen-vien-nhan-su--2023482-jv","Xem chi tiết")</f>
        <v/>
      </c>
    </row>
    <row r="11048">
      <c r="B11048" s="9" t="n">
        <v>11046</v>
      </c>
      <c r="C11048" s="10" t="inlineStr">
        <is>
          <t>Trợ Lý Ban Tổng Giám Đốc (Mảng Thi Công Xây Dựng)</t>
        </is>
      </c>
      <c r="D11048" s="10" t="inlineStr">
        <is>
          <t>CÔNG TY CỔ PHẦN TẬP ĐOÀN KIM OANH</t>
        </is>
      </c>
      <c r="E11048" s="10" t="inlineStr">
        <is>
          <t>Thương lượng</t>
        </is>
      </c>
      <c r="F11048" s="10" t="inlineStr">
        <is>
          <t>Hồ Chí Minh</t>
        </is>
      </c>
      <c r="G11048" s="10" t="inlineStr">
        <is>
          <t>Nhân viên</t>
        </is>
      </c>
      <c r="H11048" s="10" t="inlineStr">
        <is>
          <t>13/03/2026</t>
        </is>
      </c>
      <c r="I11048" s="10" t="inlineStr">
        <is>
          <t>12/04/2026</t>
        </is>
      </c>
      <c r="J11048" s="10" t="inlineStr">
        <is>
          <t>17/03/2026</t>
        </is>
      </c>
      <c r="K11048" s="10" t="inlineStr">
        <is>
          <t>N/A</t>
        </is>
      </c>
      <c r="L11048" s="10" t="inlineStr">
        <is>
          <t>Xây Dựng DD&amp;CN, Trợ Lý Tổng Giám Đốc, Quản Trị Hồ Sơ, Quản Lý Dự Án</t>
        </is>
      </c>
      <c r="M11048" s="10" t="inlineStr">
        <is>
          <t>Others</t>
        </is>
      </c>
      <c r="N11048" s="11">
        <f>HYPERLINK("https://www.vietnamworks.com/tro-ly-ban-tong-giam-doc-mang-thi-cong-xay-dung-2023485-jv","Xem chi tiết")</f>
        <v/>
      </c>
      <c r="O11048" s="10" t="n"/>
    </row>
    <row r="11049">
      <c r="B11049" s="7" t="n">
        <v>11047</v>
      </c>
      <c r="C11049" t="inlineStr">
        <is>
          <t>Manager Risk Management</t>
        </is>
      </c>
      <c r="D11049" t="inlineStr">
        <is>
          <t>Công Ty Cổ Phần Đầu Tư Nam Long</t>
        </is>
      </c>
      <c r="E11049" t="inlineStr">
        <is>
          <t>Thương lượng</t>
        </is>
      </c>
      <c r="F11049" t="inlineStr">
        <is>
          <t>Hồ Chí Minh</t>
        </is>
      </c>
      <c r="G11049" t="inlineStr">
        <is>
          <t>Trưởng phòng</t>
        </is>
      </c>
      <c r="H11049" t="inlineStr">
        <is>
          <t>13/03/2026</t>
        </is>
      </c>
      <c r="I11049" t="inlineStr">
        <is>
          <t>12/04/2026</t>
        </is>
      </c>
      <c r="J11049" t="inlineStr">
        <is>
          <t>17/03/2026</t>
        </is>
      </c>
      <c r="K11049" t="inlineStr">
        <is>
          <t>N/A</t>
        </is>
      </c>
      <c r="L11049" t="inlineStr">
        <is>
          <t>Risk Management, Quản Trị Rủi Ro, Internal Audit, Tài Chính Ngân Hàng, Compliance Auditing</t>
        </is>
      </c>
      <c r="M11049" t="inlineStr">
        <is>
          <t>Bonus, Healthcare Plan, Paid Leave</t>
        </is>
      </c>
      <c r="N11049" s="8">
        <f>HYPERLINK("https://www.vietnamworks.com/manager-risk-management--2023493-jv","Xem chi tiết")</f>
        <v/>
      </c>
    </row>
    <row r="11050">
      <c r="B11050" s="9" t="n">
        <v>11048</v>
      </c>
      <c r="C11050" s="10" t="inlineStr">
        <is>
          <t>Research and Development Manager</t>
        </is>
      </c>
      <c r="D11050" s="10" t="inlineStr">
        <is>
          <t>Công Ty Cổ Phần Đầu Tư Nam Long</t>
        </is>
      </c>
      <c r="E11050" s="10" t="inlineStr">
        <is>
          <t>Thương lượng</t>
        </is>
      </c>
      <c r="F11050" s="10" t="inlineStr">
        <is>
          <t>Hồ Chí Minh</t>
        </is>
      </c>
      <c r="G11050" s="10" t="inlineStr">
        <is>
          <t>Trưởng phòng</t>
        </is>
      </c>
      <c r="H11050" s="10" t="inlineStr">
        <is>
          <t>13/03/2026</t>
        </is>
      </c>
      <c r="I11050" s="10" t="inlineStr">
        <is>
          <t>12/04/2026</t>
        </is>
      </c>
      <c r="J11050" s="10" t="inlineStr">
        <is>
          <t>17/03/2026</t>
        </is>
      </c>
      <c r="K11050" s="10" t="inlineStr">
        <is>
          <t>N/A</t>
        </is>
      </c>
      <c r="L11050" s="10" t="inlineStr">
        <is>
          <t>Phát Triển Sản Phẩm, Nghiên Cứu Thị Trường, Bất Động Sản, Nghiên Cứu Sản Phẩm, Phân Tích Số Liệu</t>
        </is>
      </c>
      <c r="M11050" s="10" t="inlineStr">
        <is>
          <t>Bonus, Healthcare Plan, Paid Leave</t>
        </is>
      </c>
      <c r="N11050" s="11">
        <f>HYPERLINK("https://www.vietnamworks.com/research-and-development-manager--2023495-jv","Xem chi tiết")</f>
        <v/>
      </c>
      <c r="O11050" s="10" t="n"/>
    </row>
    <row r="11051">
      <c r="B11051" s="7" t="n">
        <v>11049</v>
      </c>
      <c r="C11051" t="inlineStr">
        <is>
          <t>Manager, Project Management</t>
        </is>
      </c>
      <c r="D11051" t="inlineStr">
        <is>
          <t>Công Ty Cổ Phần Đầu Tư Nam Long</t>
        </is>
      </c>
      <c r="E11051" t="inlineStr">
        <is>
          <t>Thương lượng</t>
        </is>
      </c>
      <c r="F11051" t="inlineStr">
        <is>
          <t>Hải Phòng</t>
        </is>
      </c>
      <c r="G11051" t="inlineStr">
        <is>
          <t>Trưởng phòng</t>
        </is>
      </c>
      <c r="H11051" t="inlineStr">
        <is>
          <t>13/03/2026</t>
        </is>
      </c>
      <c r="I11051" t="inlineStr">
        <is>
          <t>12/04/2026</t>
        </is>
      </c>
      <c r="J11051" t="inlineStr">
        <is>
          <t>17/03/2026</t>
        </is>
      </c>
      <c r="K11051" t="inlineStr">
        <is>
          <t>N/A</t>
        </is>
      </c>
      <c r="L11051" t="inlineStr">
        <is>
          <t>Project Management, Bất Động Sản, AutoCAD, Quản Lý Dự Án, Xây Dựng</t>
        </is>
      </c>
      <c r="M11051" t="inlineStr">
        <is>
          <t>Bonus, Healthcare Plan, Paid Leave</t>
        </is>
      </c>
      <c r="N11051" s="8">
        <f>HYPERLINK("https://www.vietnamworks.com/manager-project-management--2023483-jv","Xem chi tiết")</f>
        <v/>
      </c>
    </row>
    <row r="11052">
      <c r="B11052" s="9" t="n">
        <v>11050</v>
      </c>
      <c r="C11052" s="10" t="inlineStr">
        <is>
          <t>Manager, Data Control &amp; Data Science</t>
        </is>
      </c>
      <c r="D11052" s="10" t="inlineStr">
        <is>
          <t>Công Ty Cổ Phần Đầu Tư Nam Long</t>
        </is>
      </c>
      <c r="E11052" s="10" t="inlineStr">
        <is>
          <t>Thương lượng</t>
        </is>
      </c>
      <c r="F11052" s="10" t="inlineStr">
        <is>
          <t>Hồ Chí Minh</t>
        </is>
      </c>
      <c r="G11052" s="10" t="inlineStr">
        <is>
          <t>Trưởng phòng</t>
        </is>
      </c>
      <c r="H11052" s="10" t="inlineStr">
        <is>
          <t>13/03/2026</t>
        </is>
      </c>
      <c r="I11052" s="10" t="inlineStr">
        <is>
          <t>12/04/2026</t>
        </is>
      </c>
      <c r="J11052" s="10" t="inlineStr">
        <is>
          <t>17/03/2026</t>
        </is>
      </c>
      <c r="K11052" s="10" t="inlineStr">
        <is>
          <t>N/A</t>
        </is>
      </c>
      <c r="L11052" s="10" t="inlineStr">
        <is>
          <t>Data Warehouse Systems, Data System Management, Information Technology, Python, Data Science</t>
        </is>
      </c>
      <c r="M11052" s="10" t="inlineStr">
        <is>
          <t>Bonus, Healthcare Plan, Paid Leave</t>
        </is>
      </c>
      <c r="N11052" s="11">
        <f>HYPERLINK("https://www.vietnamworks.com/manager-data-control-data-science--2023488-jv","Xem chi tiết")</f>
        <v/>
      </c>
      <c r="O11052" s="10" t="n"/>
    </row>
    <row r="11053">
      <c r="B11053" s="7" t="n">
        <v>11051</v>
      </c>
      <c r="C11053" t="inlineStr">
        <is>
          <t>Finance Manager, Vietnam</t>
        </is>
      </c>
      <c r="D11053" t="inlineStr">
        <is>
          <t>Văn phòng đại diện Tổ chức OneSky tại Việt Nam</t>
        </is>
      </c>
      <c r="E11053" t="inlineStr">
        <is>
          <t>Thương lượng</t>
        </is>
      </c>
      <c r="F11053" t="inlineStr">
        <is>
          <t>Đà Nẵng</t>
        </is>
      </c>
      <c r="G11053" t="inlineStr">
        <is>
          <t>Trưởng phòng</t>
        </is>
      </c>
      <c r="H11053" t="inlineStr">
        <is>
          <t>13/03/2026</t>
        </is>
      </c>
      <c r="I11053" t="inlineStr">
        <is>
          <t>12/04/2026</t>
        </is>
      </c>
      <c r="J11053" t="inlineStr">
        <is>
          <t>17/03/2026</t>
        </is>
      </c>
      <c r="K11053" t="inlineStr">
        <is>
          <t>N/A</t>
        </is>
      </c>
      <c r="L11053" t="inlineStr">
        <is>
          <t>Financial Management, Financial Analysis, English, Communication Skills, Excel</t>
        </is>
      </c>
      <c r="M11053" t="inlineStr">
        <is>
          <t>Bonus, Healthcare Plan, Team Activities</t>
        </is>
      </c>
      <c r="N11053" s="8">
        <f>HYPERLINK("https://www.vietnamworks.com/finance-manager-vietnam--2023496-jv","Xem chi tiết")</f>
        <v/>
      </c>
    </row>
    <row r="11054">
      <c r="B11054" s="9" t="n">
        <v>11052</v>
      </c>
      <c r="C11054" s="10" t="inlineStr">
        <is>
          <t>Nhân Viên Telesales Tư Vấn Dịch Vụ Kế Toán - Thuế</t>
        </is>
      </c>
      <c r="D11054" s="10" t="inlineStr">
        <is>
          <t>CÔNG TY TNHH KIỂM TOÁN &amp; TƯ VẤN MINGI</t>
        </is>
      </c>
      <c r="E11054" s="10" t="inlineStr">
        <is>
          <t>15tr-20tr ₫/tháng</t>
        </is>
      </c>
      <c r="F11054" s="10" t="inlineStr">
        <is>
          <t>Hà Nội</t>
        </is>
      </c>
      <c r="G11054" s="10" t="inlineStr">
        <is>
          <t>Mới Tốt Nghiệp</t>
        </is>
      </c>
      <c r="H11054" s="10" t="inlineStr">
        <is>
          <t>13/03/2026</t>
        </is>
      </c>
      <c r="I11054" s="10" t="inlineStr">
        <is>
          <t>12/04/2026</t>
        </is>
      </c>
      <c r="J11054" s="10" t="inlineStr">
        <is>
          <t>17/03/2026</t>
        </is>
      </c>
      <c r="K11054" s="10" t="inlineStr">
        <is>
          <t>N/A</t>
        </is>
      </c>
      <c r="L11054" s="10" t="inlineStr">
        <is>
          <t>Xử Lý Tình Huống, Giao Tiếp, Thuyết Phục, Dịch Vụ Kế Toán, Tài Chính</t>
        </is>
      </c>
      <c r="M11054" s="10" t="inlineStr">
        <is>
          <t>Bonus, Team Activities, Others</t>
        </is>
      </c>
      <c r="N11054" s="11">
        <f>HYPERLINK("https://www.vietnamworks.com/nhan-vien-telesales-tu-van-dich-vu-ke-toan-thue-2023497-jv","Xem chi tiết")</f>
        <v/>
      </c>
      <c r="O11054" s="10" t="n"/>
    </row>
    <row r="11055">
      <c r="B11055" s="7" t="n">
        <v>11053</v>
      </c>
      <c r="C11055" t="inlineStr">
        <is>
          <t>Trưởng Phòng, Tiếp Thị (Làm Việc Tại Cần Thơ)</t>
        </is>
      </c>
      <c r="D11055" t="inlineStr">
        <is>
          <t>Công Ty Cổ Phần Đầu Tư Nam Long</t>
        </is>
      </c>
      <c r="E11055" t="inlineStr">
        <is>
          <t>Thương lượng</t>
        </is>
      </c>
      <c r="F11055" t="inlineStr">
        <is>
          <t>Cần Thơ</t>
        </is>
      </c>
      <c r="G11055" t="inlineStr">
        <is>
          <t>Trưởng phòng</t>
        </is>
      </c>
      <c r="H11055" t="inlineStr">
        <is>
          <t>13/03/2026</t>
        </is>
      </c>
      <c r="I11055" t="inlineStr">
        <is>
          <t>12/04/2026</t>
        </is>
      </c>
      <c r="J11055" t="inlineStr">
        <is>
          <t>17/03/2026</t>
        </is>
      </c>
      <c r="K11055" t="inlineStr">
        <is>
          <t>N/A</t>
        </is>
      </c>
      <c r="L11055" t="inlineStr">
        <is>
          <t>Brand Development, Budget Management, Data Analysis, Marketing Strategy, Team Management</t>
        </is>
      </c>
      <c r="M11055" t="inlineStr">
        <is>
          <t>Bonus</t>
        </is>
      </c>
      <c r="N11055" s="8">
        <f>HYPERLINK("https://www.vietnamworks.com/truong-phong-tiep-thi-lam-viec-tai-can-tho-2023489-jv","Xem chi tiết")</f>
        <v/>
      </c>
    </row>
    <row r="11056">
      <c r="B11056" s="9" t="n">
        <v>11054</v>
      </c>
      <c r="C11056" s="10" t="inlineStr">
        <is>
          <t>Sales Executive</t>
        </is>
      </c>
      <c r="D11056" s="10" t="inlineStr">
        <is>
          <t>Công Ty TNHH Việt Nam Tomita</t>
        </is>
      </c>
      <c r="E11056" s="10" t="inlineStr">
        <is>
          <t>Thương lượng</t>
        </is>
      </c>
      <c r="F11056" s="10" t="inlineStr">
        <is>
          <t>Hồ Chí Minh</t>
        </is>
      </c>
      <c r="G11056" s="10" t="inlineStr">
        <is>
          <t>Nhân viên</t>
        </is>
      </c>
      <c r="H11056" s="10" t="inlineStr">
        <is>
          <t>13/03/2026</t>
        </is>
      </c>
      <c r="I11056" s="10" t="inlineStr">
        <is>
          <t>12/04/2026</t>
        </is>
      </c>
      <c r="J11056" s="10" t="inlineStr">
        <is>
          <t>17/03/2026</t>
        </is>
      </c>
      <c r="K11056" s="10" t="inlineStr">
        <is>
          <t>N/A</t>
        </is>
      </c>
      <c r="L11056" s="10" t="inlineStr">
        <is>
          <t>Sales experience, Client Acquisition, Market Research, Contract Negotiation, Communication Skills</t>
        </is>
      </c>
      <c r="M11056" s="10" t="inlineStr">
        <is>
          <t>Bonus, Healthcare Plan, Paid Leave</t>
        </is>
      </c>
      <c r="N11056" s="11">
        <f>HYPERLINK("https://www.vietnamworks.com/sales-executive-2023511-jv","Xem chi tiết")</f>
        <v/>
      </c>
      <c r="O11056" s="10" t="n"/>
    </row>
    <row r="11057">
      <c r="B11057" s="7" t="n">
        <v>11055</v>
      </c>
      <c r="C11057" t="inlineStr">
        <is>
          <t>Nhân Viên Phòng Quản Lý Sản Xuất (Production Control)</t>
        </is>
      </c>
      <c r="D11057" t="inlineStr">
        <is>
          <t>Công Ty TNHH DENSO Việt Nam</t>
        </is>
      </c>
      <c r="E11057" t="inlineStr">
        <is>
          <t>$$ 450-500 /tháng</t>
        </is>
      </c>
      <c r="F11057" t="inlineStr">
        <is>
          <t>Hà Nội, Vĩnh Phúc</t>
        </is>
      </c>
      <c r="G11057" t="inlineStr">
        <is>
          <t>Mới Tốt Nghiệp</t>
        </is>
      </c>
      <c r="H11057" t="inlineStr">
        <is>
          <t>13/03/2026</t>
        </is>
      </c>
      <c r="I11057" t="inlineStr">
        <is>
          <t>12/04/2026</t>
        </is>
      </c>
      <c r="J11057" t="inlineStr">
        <is>
          <t>17/03/2026</t>
        </is>
      </c>
      <c r="K11057" t="inlineStr">
        <is>
          <t>N/A</t>
        </is>
      </c>
      <c r="L11057" t="inlineStr">
        <is>
          <t>Production Control, Japanese N3, Quản Lý Đơn Hàng, MS Office, Kế Hoạch Sản Xuất</t>
        </is>
      </c>
      <c r="M11057" t="inlineStr">
        <is>
          <t>Bonus, Healthcare Plan, Transportation</t>
        </is>
      </c>
      <c r="N11057" s="8">
        <f>HYPERLINK("https://www.vietnamworks.com/nhan-vien-phong-quan-ly-san-xuat-production-control--2023500-jv","Xem chi tiết")</f>
        <v/>
      </c>
    </row>
    <row r="11058">
      <c r="B11058" s="9" t="n">
        <v>11056</v>
      </c>
      <c r="C11058" s="10" t="inlineStr">
        <is>
          <t>Giám Đốc Tài Chính</t>
        </is>
      </c>
      <c r="D11058" s="10" t="inlineStr">
        <is>
          <t>Công Ty Cổ Phần Tập Đoàn Thành Nam</t>
        </is>
      </c>
      <c r="E11058" s="10" t="inlineStr">
        <is>
          <t>Thương lượng</t>
        </is>
      </c>
      <c r="F11058" s="10" t="inlineStr">
        <is>
          <t>Hà Nội</t>
        </is>
      </c>
      <c r="G11058" s="10" t="inlineStr">
        <is>
          <t>Giám Đốc và Cấp Cao Hơn</t>
        </is>
      </c>
      <c r="H11058" s="10" t="inlineStr">
        <is>
          <t>13/03/2026</t>
        </is>
      </c>
      <c r="I11058" s="10" t="inlineStr">
        <is>
          <t>12/04/2026</t>
        </is>
      </c>
      <c r="J11058" s="10" t="inlineStr">
        <is>
          <t>17/03/2026</t>
        </is>
      </c>
      <c r="K11058" s="10" t="inlineStr">
        <is>
          <t>N/A</t>
        </is>
      </c>
      <c r="L11058" s="10" t="inlineStr">
        <is>
          <t>Financial Strategy, Investment Analysis, Cash Flow Management, Leadership, CFO</t>
        </is>
      </c>
      <c r="M11058" s="10" t="inlineStr">
        <is>
          <t>Bonus, Healthcare Plan, Paid Leave, Team Activities, Others</t>
        </is>
      </c>
      <c r="N11058" s="11">
        <f>HYPERLINK("https://www.vietnamworks.com/giam-djoc-tai-chinh-2023498-jv","Xem chi tiết")</f>
        <v/>
      </c>
      <c r="O11058" s="10" t="n"/>
    </row>
    <row r="11059">
      <c r="B11059" s="7" t="n">
        <v>11057</v>
      </c>
      <c r="C11059" t="inlineStr">
        <is>
          <t>QA Executive – Manufacturing (2+ Years Experience)</t>
        </is>
      </c>
      <c r="D11059" t="inlineStr">
        <is>
          <t>CÔNG TY TNHH LEADERART INDUSTRIES (VIETNAM)</t>
        </is>
      </c>
      <c r="E11059" t="inlineStr">
        <is>
          <t>Thương lượng</t>
        </is>
      </c>
      <c r="F11059" t="inlineStr">
        <is>
          <t>Bình Dương</t>
        </is>
      </c>
      <c r="G11059" t="inlineStr">
        <is>
          <t>Nhân viên</t>
        </is>
      </c>
      <c r="H11059" t="inlineStr">
        <is>
          <t>13/03/2026</t>
        </is>
      </c>
      <c r="I11059" t="inlineStr">
        <is>
          <t>12/04/2026</t>
        </is>
      </c>
      <c r="J11059" t="inlineStr">
        <is>
          <t>17/03/2026</t>
        </is>
      </c>
      <c r="K11059" t="inlineStr">
        <is>
          <t>N/A</t>
        </is>
      </c>
      <c r="L11059" t="inlineStr">
        <is>
          <t>6 Sigma, 7 QC Tools, English, Qc, NCR process</t>
        </is>
      </c>
      <c r="M11059" t="inlineStr">
        <is>
          <t>Bonus, Healthcare Plan, Transportation, Others</t>
        </is>
      </c>
      <c r="N11059" s="8">
        <f>HYPERLINK("https://www.vietnamworks.com/qa-executive-manufacturing-2-years-experience-2023502-jv","Xem chi tiết")</f>
        <v/>
      </c>
    </row>
    <row r="11060">
      <c r="B11060" s="9" t="n">
        <v>11058</v>
      </c>
      <c r="C11060" s="10" t="inlineStr">
        <is>
          <t>Trợ Lý Giám Đốc Nhân Sự</t>
        </is>
      </c>
      <c r="D11060" s="10" t="inlineStr">
        <is>
          <t>Công Ty Cổ Phần Tập Đoàn Sunhouse</t>
        </is>
      </c>
      <c r="E11060" s="10" t="inlineStr">
        <is>
          <t>Thương lượng</t>
        </is>
      </c>
      <c r="F11060" s="10" t="inlineStr">
        <is>
          <t>Hà Nội</t>
        </is>
      </c>
      <c r="G11060" s="10" t="inlineStr">
        <is>
          <t>Nhân viên</t>
        </is>
      </c>
      <c r="H11060" s="10" t="inlineStr">
        <is>
          <t>13/03/2026</t>
        </is>
      </c>
      <c r="I11060" s="10" t="inlineStr">
        <is>
          <t>12/04/2026</t>
        </is>
      </c>
      <c r="J11060" s="10" t="inlineStr">
        <is>
          <t>17/03/2026</t>
        </is>
      </c>
      <c r="K11060" s="10" t="inlineStr">
        <is>
          <t>N/A</t>
        </is>
      </c>
      <c r="L11060" s="10" t="inlineStr">
        <is>
          <t>Nhân sự C&amp;B, Power BI, Quản Trị Hiệu Suất, Hành Chính Nhân Sự, Trợ Lý Giám Đốc</t>
        </is>
      </c>
      <c r="M11060" s="10" t="inlineStr">
        <is>
          <t>Bonus, Healthcare Plan, Training, Laptop, Others</t>
        </is>
      </c>
      <c r="N11060" s="11">
        <f>HYPERLINK("https://www.vietnamworks.com/tro-ly-giam-djoc-nhan-su-2023504-jv","Xem chi tiết")</f>
        <v/>
      </c>
      <c r="O11060" s="10" t="n"/>
    </row>
    <row r="11061">
      <c r="B11061" s="7" t="n">
        <v>11059</v>
      </c>
      <c r="C11061" t="inlineStr">
        <is>
          <t>C&amp;B Lương/ Bảo Hiểm</t>
        </is>
      </c>
      <c r="D11061" t="inlineStr">
        <is>
          <t>Hanacans JSC</t>
        </is>
      </c>
      <c r="E11061" t="inlineStr">
        <is>
          <t>$$ 600-700 /tháng</t>
        </is>
      </c>
      <c r="F11061" t="inlineStr">
        <is>
          <t>Bắc Ninh</t>
        </is>
      </c>
      <c r="G11061" t="inlineStr">
        <is>
          <t>Nhân viên</t>
        </is>
      </c>
      <c r="H11061" t="inlineStr">
        <is>
          <t>13/03/2026</t>
        </is>
      </c>
      <c r="I11061" t="inlineStr">
        <is>
          <t>12/04/2026</t>
        </is>
      </c>
      <c r="J11061" t="inlineStr">
        <is>
          <t>17/03/2026</t>
        </is>
      </c>
      <c r="K11061" t="inlineStr">
        <is>
          <t>N/A</t>
        </is>
      </c>
      <c r="L11061" t="inlineStr">
        <is>
          <t>C&amp;B, Nhân Sự, Lương</t>
        </is>
      </c>
      <c r="M11061" t="inlineStr">
        <is>
          <t>Bonus, Paid Leave, Transportation</t>
        </is>
      </c>
      <c r="N11061" s="8">
        <f>HYPERLINK("https://www.vietnamworks.com/c-b-luong-bao-hiem--2023506-jv","Xem chi tiết")</f>
        <v/>
      </c>
    </row>
    <row r="11062">
      <c r="B11062" s="9" t="n">
        <v>11060</v>
      </c>
      <c r="C11062" s="10" t="inlineStr">
        <is>
          <t>Cross-Border Fulfillment Executive (US Market)</t>
        </is>
      </c>
      <c r="D11062" s="10" t="inlineStr">
        <is>
          <t>Công Ty TNHH Onpoint</t>
        </is>
      </c>
      <c r="E11062" s="10" t="inlineStr">
        <is>
          <t>Thương lượng</t>
        </is>
      </c>
      <c r="F11062" s="10" t="inlineStr">
        <is>
          <t>Hồ Chí Minh</t>
        </is>
      </c>
      <c r="G11062" s="10" t="inlineStr">
        <is>
          <t>Nhân viên</t>
        </is>
      </c>
      <c r="H11062" s="10" t="inlineStr">
        <is>
          <t>13/03/2026</t>
        </is>
      </c>
      <c r="I11062" s="10" t="inlineStr">
        <is>
          <t>12/04/2026</t>
        </is>
      </c>
      <c r="J11062" s="10" t="inlineStr">
        <is>
          <t>17/03/2026</t>
        </is>
      </c>
      <c r="K11062" s="10" t="inlineStr">
        <is>
          <t>N/A</t>
        </is>
      </c>
      <c r="L11062" s="10" t="inlineStr">
        <is>
          <t>Logistics Management, International Shipping, Customs Clearance, E-Commerce Logistics, IT Optimization</t>
        </is>
      </c>
      <c r="M11062" s="10" t="inlineStr">
        <is>
          <t>Bonus, Healthcare Plan, Paid Leave, Laptop, Others</t>
        </is>
      </c>
      <c r="N11062" s="11">
        <f>HYPERLINK("https://www.vietnamworks.com/cross-border-fulfillment-executive-us-market-2023505-jv","Xem chi tiết")</f>
        <v/>
      </c>
      <c r="O11062" s="10" t="n"/>
    </row>
    <row r="11063">
      <c r="B11063" s="7" t="n">
        <v>11061</v>
      </c>
      <c r="C11063" t="inlineStr">
        <is>
          <t>Senior Key Account Executive (Tiktok Shop US Cross-Border)</t>
        </is>
      </c>
      <c r="D11063" t="inlineStr">
        <is>
          <t>Công Ty TNHH Onpoint</t>
        </is>
      </c>
      <c r="E11063" t="inlineStr">
        <is>
          <t>Thương lượng</t>
        </is>
      </c>
      <c r="F11063" t="inlineStr">
        <is>
          <t>Hồ Chí Minh</t>
        </is>
      </c>
      <c r="G11063" t="inlineStr">
        <is>
          <t>Nhân viên</t>
        </is>
      </c>
      <c r="H11063" t="inlineStr">
        <is>
          <t>13/03/2026</t>
        </is>
      </c>
      <c r="I11063" t="inlineStr">
        <is>
          <t>12/04/2026</t>
        </is>
      </c>
      <c r="J11063" t="inlineStr">
        <is>
          <t>17/03/2026</t>
        </is>
      </c>
      <c r="K11063" t="inlineStr">
        <is>
          <t>N/A</t>
        </is>
      </c>
      <c r="L11063" t="inlineStr">
        <is>
          <t>Data Analysis, Project Management, Task Coordination, English Communication, Account Management</t>
        </is>
      </c>
      <c r="M11063" t="inlineStr">
        <is>
          <t>Bonus, Healthcare Plan, Paid Leave, Laptop, Others</t>
        </is>
      </c>
      <c r="N11063" s="8">
        <f>HYPERLINK("https://www.vietnamworks.com/senior-key-account-executive-tiktok-shop-us-cross-border-2023503-jv","Xem chi tiết")</f>
        <v/>
      </c>
    </row>
    <row r="11064">
      <c r="B11064" s="9" t="n">
        <v>11062</v>
      </c>
      <c r="C11064" s="10" t="inlineStr">
        <is>
          <t>Chủ Trì/ Kỹ Sư Thiết Kế (Kết Cấu, Kiến Trúc, Cơ Điện)</t>
        </is>
      </c>
      <c r="D11064" s="10" t="inlineStr">
        <is>
          <t>Công Ty TNHH Tư Vấn Xây Dựng Các Dự Án Quốc Tế (IPEA)</t>
        </is>
      </c>
      <c r="E11064" s="10" t="inlineStr">
        <is>
          <t>20tr-35tr ₫/tháng</t>
        </is>
      </c>
      <c r="F11064" s="10" t="inlineStr">
        <is>
          <t>Hà Nội</t>
        </is>
      </c>
      <c r="G11064" s="10" t="inlineStr">
        <is>
          <t>Nhân viên</t>
        </is>
      </c>
      <c r="H11064" s="10" t="inlineStr">
        <is>
          <t>13/03/2026</t>
        </is>
      </c>
      <c r="I11064" s="10" t="inlineStr">
        <is>
          <t>12/04/2026</t>
        </is>
      </c>
      <c r="J11064" s="10" t="inlineStr">
        <is>
          <t>17/03/2026</t>
        </is>
      </c>
      <c r="K11064" s="10" t="inlineStr">
        <is>
          <t>N/A</t>
        </is>
      </c>
      <c r="L11064" s="10" t="inlineStr">
        <is>
          <t>Thiết Kế Kiến Trúc, Thiết Kế Kết Cấu, Thiết Kế Cơ Điện, Lập Trình Revit, Kiến Trúc Xây Dựng</t>
        </is>
      </c>
      <c r="M11064" s="10" t="inlineStr">
        <is>
          <t>Healthcare Plan, Training, Travel Opportunities</t>
        </is>
      </c>
      <c r="N11064" s="11">
        <f>HYPERLINK("https://www.vietnamworks.com/chu-tri-ky-su-thiet-ke-ket-cau-kien-truc-co-djien-2023510-jv","Xem chi tiết")</f>
        <v/>
      </c>
      <c r="O11064" s="10" t="n"/>
    </row>
    <row r="11065">
      <c r="B11065" s="7" t="n">
        <v>11063</v>
      </c>
      <c r="C11065" t="inlineStr">
        <is>
          <t>Giám Đốc Điều Hành (CEO / Managing Director)</t>
        </is>
      </c>
      <c r="D11065" t="inlineStr">
        <is>
          <t>Công Ty TNHH Tư Vấn Xây Dựng Các Dự Án Quốc Tế (IPEA)</t>
        </is>
      </c>
      <c r="E11065" t="inlineStr">
        <is>
          <t>Thương lượng</t>
        </is>
      </c>
      <c r="F11065" t="inlineStr">
        <is>
          <t>Hà Nội</t>
        </is>
      </c>
      <c r="G11065" t="inlineStr">
        <is>
          <t>Giám Đốc và Cấp Cao Hơn</t>
        </is>
      </c>
      <c r="H11065" t="inlineStr">
        <is>
          <t>13/03/2026</t>
        </is>
      </c>
      <c r="I11065" t="inlineStr">
        <is>
          <t>12/04/2026</t>
        </is>
      </c>
      <c r="J11065" t="inlineStr">
        <is>
          <t>17/03/2026</t>
        </is>
      </c>
      <c r="K11065" t="inlineStr">
        <is>
          <t>N/A</t>
        </is>
      </c>
      <c r="L11065" t="inlineStr">
        <is>
          <t>Quản Trị, Tư Vấn Thiết Kế, Phát Triển Doanh Nghiệp, Điều Hành Tổ Chức, Chiến Lược Sản Phẩm</t>
        </is>
      </c>
      <c r="M11065" t="inlineStr">
        <is>
          <t>Bonus, Travel Opportunities, Others</t>
        </is>
      </c>
      <c r="N11065" s="8">
        <f>HYPERLINK("https://www.vietnamworks.com/giam-djoc-djieu-hanh-ceo-managing-director-2023515-jv","Xem chi tiết")</f>
        <v/>
      </c>
    </row>
    <row r="11066">
      <c r="B11066" s="9" t="n">
        <v>11064</v>
      </c>
      <c r="C11066" s="10" t="inlineStr">
        <is>
          <t>Logistics &amp; Trade Senior Staff</t>
        </is>
      </c>
      <c r="D11066" s="10" t="inlineStr">
        <is>
          <t>Piaggio Vietnam Co., Ltd (Pvn)</t>
        </is>
      </c>
      <c r="E11066" s="10" t="inlineStr">
        <is>
          <t>Thương lượng</t>
        </is>
      </c>
      <c r="F11066" s="10" t="inlineStr">
        <is>
          <t>Vĩnh Phúc, Hà Nội</t>
        </is>
      </c>
      <c r="G11066" s="10" t="inlineStr">
        <is>
          <t>Nhân viên</t>
        </is>
      </c>
      <c r="H11066" s="10" t="inlineStr">
        <is>
          <t>13/03/2026</t>
        </is>
      </c>
      <c r="I11066" s="10" t="inlineStr">
        <is>
          <t>12/04/2026</t>
        </is>
      </c>
      <c r="J11066" s="10" t="inlineStr">
        <is>
          <t>17/03/2026</t>
        </is>
      </c>
      <c r="K11066" s="10" t="inlineStr">
        <is>
          <t>N/A</t>
        </is>
      </c>
      <c r="L11066" s="10" t="inlineStr">
        <is>
          <t>Import-Export, International Business, International Trade, logistic management, Logistics &amp; Warehouse</t>
        </is>
      </c>
      <c r="M11066" s="10" t="inlineStr">
        <is>
          <t>Bonus, Healthcare Plan, Paid Leave, Training, Awards, Others</t>
        </is>
      </c>
      <c r="N11066" s="11">
        <f>HYPERLINK("https://www.vietnamworks.com/logistics-and-trade-senior-staff-2023513-jv","Xem chi tiết")</f>
        <v/>
      </c>
      <c r="O11066" s="10" t="n"/>
    </row>
    <row r="11067">
      <c r="B11067" s="7" t="n">
        <v>11065</v>
      </c>
      <c r="C11067" t="inlineStr">
        <is>
          <t>Commissioning Engineer</t>
        </is>
      </c>
      <c r="D11067" t="inlineStr">
        <is>
          <t>VARD Vung Tau Limited</t>
        </is>
      </c>
      <c r="E11067" t="inlineStr">
        <is>
          <t>Thương lượng</t>
        </is>
      </c>
      <c r="F11067" t="inlineStr">
        <is>
          <t>Hồ Chí Minh</t>
        </is>
      </c>
      <c r="G11067" t="inlineStr">
        <is>
          <t>Mới Tốt Nghiệp</t>
        </is>
      </c>
      <c r="H11067" t="inlineStr">
        <is>
          <t>13/03/2026</t>
        </is>
      </c>
      <c r="I11067" t="inlineStr">
        <is>
          <t>12/04/2026</t>
        </is>
      </c>
      <c r="J11067" t="inlineStr">
        <is>
          <t>17/03/2026</t>
        </is>
      </c>
      <c r="K11067" t="inlineStr">
        <is>
          <t>N/A</t>
        </is>
      </c>
      <c r="L11067" t="inlineStr">
        <is>
          <t>Commissioning Management, Control System, English, Machinery Operation, Power System</t>
        </is>
      </c>
      <c r="M11067" t="inlineStr">
        <is>
          <t>Bonus, Training, Others</t>
        </is>
      </c>
      <c r="N11067" s="8">
        <f>HYPERLINK("https://www.vietnamworks.com/commissioning-engineer-2023520-jv","Xem chi tiết")</f>
        <v/>
      </c>
    </row>
    <row r="11068">
      <c r="B11068" s="9" t="n">
        <v>11066</v>
      </c>
      <c r="C11068" s="10" t="inlineStr">
        <is>
          <t>Customer Service Executive Cum Admin Assistant</t>
        </is>
      </c>
      <c r="D11068" s="10" t="inlineStr">
        <is>
          <t>Cty TNHH CPL Aromas Việt Nam</t>
        </is>
      </c>
      <c r="E11068" s="10" t="inlineStr">
        <is>
          <t>Thương lượng</t>
        </is>
      </c>
      <c r="F11068" s="10" t="inlineStr">
        <is>
          <t>Hồ Chí Minh</t>
        </is>
      </c>
      <c r="G11068" s="10" t="inlineStr">
        <is>
          <t>Nhân viên</t>
        </is>
      </c>
      <c r="H11068" s="10" t="inlineStr">
        <is>
          <t>13/03/2026</t>
        </is>
      </c>
      <c r="I11068" s="10" t="inlineStr">
        <is>
          <t>12/04/2026</t>
        </is>
      </c>
      <c r="J11068" s="10" t="inlineStr">
        <is>
          <t>17/03/2026</t>
        </is>
      </c>
      <c r="K11068" s="10" t="inlineStr">
        <is>
          <t>N/A</t>
        </is>
      </c>
      <c r="L11068" s="10" t="inlineStr">
        <is>
          <t>Customer Service, Administration Support, Problem Solving, English, Office Operations</t>
        </is>
      </c>
      <c r="M11068" s="10" t="inlineStr">
        <is>
          <t>Bonus, Healthcare Plan, Paid Leave, Training, Team Activities, Others</t>
        </is>
      </c>
      <c r="N11068" s="11">
        <f>HYPERLINK("https://www.vietnamworks.com/customer-service-executive-cum-admin-assistant-2023501-jv","Xem chi tiết")</f>
        <v/>
      </c>
      <c r="O11068" s="10" t="n"/>
    </row>
    <row r="11069">
      <c r="B11069" s="7" t="n">
        <v>11067</v>
      </c>
      <c r="C11069" t="inlineStr">
        <is>
          <t>Production Supervisor B</t>
        </is>
      </c>
      <c r="D11069" t="inlineStr">
        <is>
          <t>Pepperl+Fuchs Vietnam Co., Ltd</t>
        </is>
      </c>
      <c r="E11069" t="inlineStr">
        <is>
          <t>Thương lượng</t>
        </is>
      </c>
      <c r="F11069" t="inlineStr">
        <is>
          <t>Hồ Chí Minh</t>
        </is>
      </c>
      <c r="G11069" t="inlineStr">
        <is>
          <t>Nhân viên</t>
        </is>
      </c>
      <c r="H11069" t="inlineStr">
        <is>
          <t>13/03/2026</t>
        </is>
      </c>
      <c r="I11069" t="inlineStr">
        <is>
          <t>12/04/2026</t>
        </is>
      </c>
      <c r="J11069" t="inlineStr">
        <is>
          <t>17/03/2026</t>
        </is>
      </c>
      <c r="K11069" t="inlineStr">
        <is>
          <t>N/A</t>
        </is>
      </c>
      <c r="L11069" t="inlineStr">
        <is>
          <t>Team leadership, Production Supervisor, Lean Concept, Shift &amp; Team Management, Line Leader Production</t>
        </is>
      </c>
      <c r="M11069" t="inlineStr">
        <is>
          <t>Bonus, Training, Others</t>
        </is>
      </c>
      <c r="N11069" s="8">
        <f>HYPERLINK("https://www.vietnamworks.com/production-supervisor-b-2023508-jv","Xem chi tiết")</f>
        <v/>
      </c>
    </row>
    <row r="11070">
      <c r="B11070" s="9" t="n">
        <v>11068</v>
      </c>
      <c r="C11070" s="10" t="inlineStr">
        <is>
          <t>Nhân Viên Kinh Doanh (Lưu Trú)/ S &amp; M Executive (Rooms)</t>
        </is>
      </c>
      <c r="D11070" s="10" t="inlineStr">
        <is>
          <t>Công Ty Liên Doanh Làng Quốc Tế Hướng Dương GS-HP</t>
        </is>
      </c>
      <c r="E11070" s="10" t="inlineStr">
        <is>
          <t>Thương lượng</t>
        </is>
      </c>
      <c r="F11070" s="10" t="inlineStr">
        <is>
          <t>Hải Phòng</t>
        </is>
      </c>
      <c r="G11070" s="10" t="inlineStr">
        <is>
          <t>Nhân viên</t>
        </is>
      </c>
      <c r="H11070" s="10" t="inlineStr">
        <is>
          <t>13/03/2026</t>
        </is>
      </c>
      <c r="I11070" s="10" t="inlineStr">
        <is>
          <t>12/04/2026</t>
        </is>
      </c>
      <c r="J11070" s="10" t="inlineStr">
        <is>
          <t>17/03/2026</t>
        </is>
      </c>
      <c r="K11070" s="10" t="inlineStr">
        <is>
          <t>N/A</t>
        </is>
      </c>
      <c r="L11070" s="10" t="inlineStr">
        <is>
          <t>Kinh Doanh Khách Sạn, Cho Thuê Căn Hộ, Tiếng Anh, Du Lịch Khách Sạn, Business Development</t>
        </is>
      </c>
      <c r="M11070" s="10" t="inlineStr">
        <is>
          <t>Bonus, Healthcare Plan, Awards</t>
        </is>
      </c>
      <c r="N11070" s="11">
        <f>HYPERLINK("https://www.vietnamworks.com/nhan-vien-kinh-doanh-luu-tru-s-m-executive-rooms--2023512-jv","Xem chi tiết")</f>
        <v/>
      </c>
      <c r="O11070" s="10" t="n"/>
    </row>
    <row r="11071">
      <c r="B11071" s="7" t="n">
        <v>11069</v>
      </c>
      <c r="C11071" t="inlineStr">
        <is>
          <t>Kỹ Sư Cao Tần</t>
        </is>
      </c>
      <c r="D11071" t="inlineStr">
        <is>
          <t>Tập Đoàn Công Nghiệp - Viễn Thông Quân Đội (Viettel Group)</t>
        </is>
      </c>
      <c r="E11071" t="inlineStr">
        <is>
          <t>Thương lượng</t>
        </is>
      </c>
      <c r="F11071" t="inlineStr">
        <is>
          <t>Hà Nội</t>
        </is>
      </c>
      <c r="G11071" t="inlineStr">
        <is>
          <t>Mới Tốt Nghiệp</t>
        </is>
      </c>
      <c r="H11071" t="inlineStr">
        <is>
          <t>13/03/2026</t>
        </is>
      </c>
      <c r="I11071" t="inlineStr">
        <is>
          <t>12/04/2026</t>
        </is>
      </c>
      <c r="J11071" t="inlineStr">
        <is>
          <t>17/03/2026</t>
        </is>
      </c>
      <c r="K11071" t="inlineStr">
        <is>
          <t>N/A</t>
        </is>
      </c>
      <c r="L11071" t="inlineStr">
        <is>
          <t>Phân Tích Hệ Thống, Sử Dụng Phần Mềm, Thiết Kế Mạch Điện, Đo Kiểm Thiết Bị Rf</t>
        </is>
      </c>
      <c r="M11071" t="inlineStr">
        <is>
          <t>Healthcare Plan, Paid Leave, Training, Others</t>
        </is>
      </c>
      <c r="N11071" s="8">
        <f>HYPERLINK("https://www.vietnamworks.com/ky-su-cao-tan-2023516-jv","Xem chi tiết")</f>
        <v/>
      </c>
    </row>
    <row r="11072">
      <c r="B11072" s="9" t="n">
        <v>11070</v>
      </c>
      <c r="C11072" s="10" t="inlineStr">
        <is>
          <t>Chuyên Viên Nhân Sự ( Ưu Tiên Kinh Nghiệm Trong Lĩnh Vực Bất Động Sản)</t>
        </is>
      </c>
      <c r="D11072" s="10" t="inlineStr">
        <is>
          <t>Công ty TNHH TM DV Tân Hiệp Phát</t>
        </is>
      </c>
      <c r="E11072" s="10" t="inlineStr">
        <is>
          <t>Thương lượng</t>
        </is>
      </c>
      <c r="F11072" s="10" t="inlineStr">
        <is>
          <t>Hồ Chí Minh</t>
        </is>
      </c>
      <c r="G11072" s="10" t="inlineStr">
        <is>
          <t>Nhân viên</t>
        </is>
      </c>
      <c r="H11072" s="10" t="inlineStr">
        <is>
          <t>13/03/2026</t>
        </is>
      </c>
      <c r="I11072" s="10" t="inlineStr">
        <is>
          <t>12/04/2026</t>
        </is>
      </c>
      <c r="J11072" s="10" t="inlineStr">
        <is>
          <t>17/03/2026</t>
        </is>
      </c>
      <c r="K11072" s="10" t="inlineStr">
        <is>
          <t>N/A</t>
        </is>
      </c>
      <c r="L11072" s="10" t="inlineStr">
        <is>
          <t>HR specialist, HRBP</t>
        </is>
      </c>
      <c r="M11072" s="10" t="inlineStr">
        <is>
          <t>Bonus, Healthcare Plan, Canteen</t>
        </is>
      </c>
      <c r="N11072" s="11">
        <f>HYPERLINK("https://www.vietnamworks.com/chuyen-vien-nhan-su-uu-tien-kinh-nghiem-trong-linh-vuc-bat-dong-san-2023514-jv","Xem chi tiết")</f>
        <v/>
      </c>
      <c r="O11072" s="10" t="n"/>
    </row>
    <row r="11073">
      <c r="B11073" s="7" t="n">
        <v>11071</v>
      </c>
      <c r="C11073" t="inlineStr">
        <is>
          <t>Kế Toán Tổng Hợp - Công Ty Thành Viên Mảng Năng Lượng</t>
        </is>
      </c>
      <c r="D11073" t="inlineStr">
        <is>
          <t>Công Ty CP Tập Đoàn Đầu Tư Việt Phương</t>
        </is>
      </c>
      <c r="E11073" t="inlineStr">
        <is>
          <t>Tới $ 1,000 /tháng</t>
        </is>
      </c>
      <c r="F11073" t="inlineStr">
        <is>
          <t>Hà Nội</t>
        </is>
      </c>
      <c r="G11073" t="inlineStr">
        <is>
          <t>Nhân viên</t>
        </is>
      </c>
      <c r="H11073" t="inlineStr">
        <is>
          <t>13/03/2026</t>
        </is>
      </c>
      <c r="I11073" t="inlineStr">
        <is>
          <t>12/04/2026</t>
        </is>
      </c>
      <c r="J11073" t="inlineStr">
        <is>
          <t>17/03/2026</t>
        </is>
      </c>
      <c r="K11073" t="inlineStr">
        <is>
          <t>N/A</t>
        </is>
      </c>
      <c r="L11073" t="inlineStr">
        <is>
          <t>Kế Toán Tổng Hợp, Báo Cáo Tài Chính Hợp Nhất, Thuế GTGT, TNDN, TNCN</t>
        </is>
      </c>
      <c r="M11073" t="inlineStr">
        <is>
          <t>Bonus, Healthcare Plan, Laptop</t>
        </is>
      </c>
      <c r="N11073" s="8">
        <f>HYPERLINK("https://www.vietnamworks.com/ke-toan-tong-hop-cong-ty-thanh-vien-mang-nang-luong--2023519-jv","Xem chi tiết")</f>
        <v/>
      </c>
    </row>
    <row r="11074">
      <c r="B11074" s="9" t="n">
        <v>11072</v>
      </c>
      <c r="C11074" s="10" t="inlineStr">
        <is>
          <t>HVAC &amp; Accommodation Engineer</t>
        </is>
      </c>
      <c r="D11074" s="10" t="inlineStr">
        <is>
          <t>VARD Vung Tau Limited</t>
        </is>
      </c>
      <c r="E11074" s="10" t="inlineStr">
        <is>
          <t>Thương lượng</t>
        </is>
      </c>
      <c r="F11074" s="10" t="inlineStr">
        <is>
          <t>Hồ Chí Minh</t>
        </is>
      </c>
      <c r="G11074" s="10" t="inlineStr">
        <is>
          <t>Nhân viên</t>
        </is>
      </c>
      <c r="H11074" s="10" t="inlineStr">
        <is>
          <t>13/03/2026</t>
        </is>
      </c>
      <c r="I11074" s="10" t="inlineStr">
        <is>
          <t>12/04/2026</t>
        </is>
      </c>
      <c r="J11074" s="10" t="inlineStr">
        <is>
          <t>17/03/2026</t>
        </is>
      </c>
      <c r="K11074" s="10" t="inlineStr">
        <is>
          <t>N/A</t>
        </is>
      </c>
      <c r="L11074" s="10" t="inlineStr">
        <is>
          <t>Document Management, ISO, Production Support, Quality Assurance, Technical Support</t>
        </is>
      </c>
      <c r="M11074" s="10" t="inlineStr">
        <is>
          <t>Bonus, Training, Others</t>
        </is>
      </c>
      <c r="N11074" s="11">
        <f>HYPERLINK("https://www.vietnamworks.com/hvac-and-accommodation-engineer-2023521-jv","Xem chi tiết")</f>
        <v/>
      </c>
      <c r="O11074" s="10" t="n"/>
    </row>
    <row r="11075">
      <c r="B11075" s="7" t="n">
        <v>11073</v>
      </c>
      <c r="C11075" t="inlineStr">
        <is>
          <t>Steel Outfitting Team Leader</t>
        </is>
      </c>
      <c r="D11075" t="inlineStr">
        <is>
          <t>VARD Vung Tau Limited</t>
        </is>
      </c>
      <c r="E11075" t="inlineStr">
        <is>
          <t>Thương lượng</t>
        </is>
      </c>
      <c r="F11075" t="inlineStr">
        <is>
          <t>Hồ Chí Minh</t>
        </is>
      </c>
      <c r="G11075" t="inlineStr">
        <is>
          <t>Mới Tốt Nghiệp</t>
        </is>
      </c>
      <c r="H11075" t="inlineStr">
        <is>
          <t>13/03/2026</t>
        </is>
      </c>
      <c r="I11075" t="inlineStr">
        <is>
          <t>12/04/2026</t>
        </is>
      </c>
      <c r="J11075" t="inlineStr">
        <is>
          <t>17/03/2026</t>
        </is>
      </c>
      <c r="K11075" t="inlineStr">
        <is>
          <t>N/A</t>
        </is>
      </c>
      <c r="L11075" t="inlineStr">
        <is>
          <t>English, Goal Management, HSE, Ship Building Management, Team Management</t>
        </is>
      </c>
      <c r="M11075" t="inlineStr">
        <is>
          <t>Bonus, Training, Others</t>
        </is>
      </c>
      <c r="N11075" s="8">
        <f>HYPERLINK("https://www.vietnamworks.com/steel-outfitting-team-leader-2023522-jv","Xem chi tiết")</f>
        <v/>
      </c>
    </row>
    <row r="11076">
      <c r="B11076" s="9" t="n">
        <v>11074</v>
      </c>
      <c r="C11076" s="10" t="inlineStr">
        <is>
          <t>Machinery &amp; Pipe Engineer</t>
        </is>
      </c>
      <c r="D11076" s="10" t="inlineStr">
        <is>
          <t>VARD Vung Tau Limited</t>
        </is>
      </c>
      <c r="E11076" s="10" t="inlineStr">
        <is>
          <t>Thương lượng</t>
        </is>
      </c>
      <c r="F11076" s="10" t="inlineStr">
        <is>
          <t>Hồ Chí Minh</t>
        </is>
      </c>
      <c r="G11076" s="10" t="inlineStr">
        <is>
          <t>Mới Tốt Nghiệp</t>
        </is>
      </c>
      <c r="H11076" s="10" t="inlineStr">
        <is>
          <t>13/03/2026</t>
        </is>
      </c>
      <c r="I11076" s="10" t="inlineStr">
        <is>
          <t>12/04/2026</t>
        </is>
      </c>
      <c r="J11076" s="10" t="inlineStr">
        <is>
          <t>17/03/2026</t>
        </is>
      </c>
      <c r="K11076" s="10" t="inlineStr">
        <is>
          <t>N/A</t>
        </is>
      </c>
      <c r="L11076" s="10" t="inlineStr">
        <is>
          <t>English, Heavy Industry, ISO, Piping System, Technical Support</t>
        </is>
      </c>
      <c r="M11076" s="10" t="inlineStr">
        <is>
          <t>Bonus, Training, Others</t>
        </is>
      </c>
      <c r="N11076" s="11">
        <f>HYPERLINK("https://www.vietnamworks.com/machinery-and-pipe-engineer-2023526-jv","Xem chi tiết")</f>
        <v/>
      </c>
      <c r="O11076" s="10" t="n"/>
    </row>
    <row r="11077">
      <c r="B11077" s="7" t="n">
        <v>11075</v>
      </c>
      <c r="C11077" t="inlineStr">
        <is>
          <t>Fullstack Software Developer (Java, Javascript, HTML5)</t>
        </is>
      </c>
      <c r="D11077" t="inlineStr">
        <is>
          <t>IGS Group Vietnam Company Limited</t>
        </is>
      </c>
      <c r="E11077" t="inlineStr">
        <is>
          <t>Thương lượng</t>
        </is>
      </c>
      <c r="F11077" t="inlineStr">
        <is>
          <t>Hồ Chí Minh</t>
        </is>
      </c>
      <c r="G11077" t="inlineStr">
        <is>
          <t>Nhân viên</t>
        </is>
      </c>
      <c r="H11077" t="inlineStr">
        <is>
          <t>13/03/2026</t>
        </is>
      </c>
      <c r="I11077" t="inlineStr">
        <is>
          <t>12/04/2026</t>
        </is>
      </c>
      <c r="J11077" t="inlineStr">
        <is>
          <t>17/03/2026</t>
        </is>
      </c>
      <c r="K11077" t="inlineStr">
        <is>
          <t>N/A</t>
        </is>
      </c>
      <c r="L11077" t="inlineStr">
        <is>
          <t>Java, CSS Framework, SQL, RESTful API, Spring Framework</t>
        </is>
      </c>
      <c r="M11077" t="inlineStr">
        <is>
          <t>Bonus, Training, Travel Opportunities, Team Activities</t>
        </is>
      </c>
      <c r="N11077" s="8">
        <f>HYPERLINK("https://www.vietnamworks.com/fullstack-software-developer-java-javascript-html5-2023541-jv","Xem chi tiết")</f>
        <v/>
      </c>
    </row>
    <row r="11078">
      <c r="B11078" s="9" t="n">
        <v>11076</v>
      </c>
      <c r="C11078" s="10" t="inlineStr">
        <is>
          <t>Sales Manager – TT Channel</t>
        </is>
      </c>
      <c r="D11078" s="10" t="inlineStr">
        <is>
          <t>Japfa Comfeed Vietnam Ltd</t>
        </is>
      </c>
      <c r="E11078" s="10" t="inlineStr">
        <is>
          <t>Thương lượng</t>
        </is>
      </c>
      <c r="F11078" s="10" t="inlineStr">
        <is>
          <t>Hồ Chí Minh</t>
        </is>
      </c>
      <c r="G11078" s="10" t="inlineStr">
        <is>
          <t>Trưởng phòng</t>
        </is>
      </c>
      <c r="H11078" s="10" t="inlineStr">
        <is>
          <t>13/03/2026</t>
        </is>
      </c>
      <c r="I11078" s="10" t="inlineStr">
        <is>
          <t>12/04/2026</t>
        </is>
      </c>
      <c r="J11078" s="10" t="inlineStr">
        <is>
          <t>17/03/2026</t>
        </is>
      </c>
      <c r="K11078" s="10" t="inlineStr">
        <is>
          <t>N/A</t>
        </is>
      </c>
      <c r="L11078" s="10" t="inlineStr">
        <is>
          <t>English, Business Planning, Horeca Sector, Modern Trade, Sales Management</t>
        </is>
      </c>
      <c r="M11078" s="10" t="inlineStr">
        <is>
          <t>Bonus, Healthcare Plan, Transportation</t>
        </is>
      </c>
      <c r="N11078" s="11">
        <f>HYPERLINK("https://www.vietnamworks.com/sales-manager-tt-channel-2023544-jv","Xem chi tiết")</f>
        <v/>
      </c>
      <c r="O11078" s="10" t="n"/>
    </row>
    <row r="11079">
      <c r="B11079" s="7" t="n">
        <v>11077</v>
      </c>
      <c r="C11079" t="inlineStr">
        <is>
          <t>Seaonics Mechanical Engineer</t>
        </is>
      </c>
      <c r="D11079" t="inlineStr">
        <is>
          <t>VARD Vung Tau Limited</t>
        </is>
      </c>
      <c r="E11079" t="inlineStr">
        <is>
          <t>Thương lượng</t>
        </is>
      </c>
      <c r="F11079" t="inlineStr">
        <is>
          <t>Hồ Chí Minh</t>
        </is>
      </c>
      <c r="G11079" t="inlineStr">
        <is>
          <t>Nhân viên</t>
        </is>
      </c>
      <c r="H11079" t="inlineStr">
        <is>
          <t>13/03/2026</t>
        </is>
      </c>
      <c r="I11079" t="inlineStr">
        <is>
          <t>12/04/2026</t>
        </is>
      </c>
      <c r="J11079" t="inlineStr">
        <is>
          <t>17/03/2026</t>
        </is>
      </c>
      <c r="K11079" t="inlineStr">
        <is>
          <t>N/A</t>
        </is>
      </c>
      <c r="L11079" t="inlineStr">
        <is>
          <t>Continuous Improvement, English, MS Office, Quality Control, Technical Support</t>
        </is>
      </c>
      <c r="M11079" t="inlineStr">
        <is>
          <t>Bonus, Training, Others</t>
        </is>
      </c>
      <c r="N11079" s="8">
        <f>HYPERLINK("https://www.vietnamworks.com/seaonics-mechanical-engineer-2023525-jv","Xem chi tiết")</f>
        <v/>
      </c>
    </row>
    <row r="11080">
      <c r="B11080" s="9" t="n">
        <v>11078</v>
      </c>
      <c r="C11080" s="10" t="inlineStr">
        <is>
          <t>Seaonics Electrical And Automation Engineer</t>
        </is>
      </c>
      <c r="D11080" s="10" t="inlineStr">
        <is>
          <t>VARD Vung Tau Limited</t>
        </is>
      </c>
      <c r="E11080" s="10" t="inlineStr">
        <is>
          <t>Thương lượng</t>
        </is>
      </c>
      <c r="F11080" s="10" t="inlineStr">
        <is>
          <t>Hồ Chí Minh</t>
        </is>
      </c>
      <c r="G11080" s="10" t="inlineStr">
        <is>
          <t>Mới Tốt Nghiệp</t>
        </is>
      </c>
      <c r="H11080" s="10" t="inlineStr">
        <is>
          <t>13/03/2026</t>
        </is>
      </c>
      <c r="I11080" s="10" t="inlineStr">
        <is>
          <t>12/04/2026</t>
        </is>
      </c>
      <c r="J11080" s="10" t="inlineStr">
        <is>
          <t>17/03/2026</t>
        </is>
      </c>
      <c r="K11080" s="10" t="inlineStr">
        <is>
          <t>N/A</t>
        </is>
      </c>
      <c r="L11080" s="10" t="inlineStr">
        <is>
          <t>Analytical Skills, Control System, Customer Relations, English, Technical Support</t>
        </is>
      </c>
      <c r="M11080" s="10" t="inlineStr">
        <is>
          <t>Bonus, Training, Others</t>
        </is>
      </c>
      <c r="N11080" s="11">
        <f>HYPERLINK("https://www.vietnamworks.com/seaonics-electrical-and-automation-engineer-2023535-jv","Xem chi tiết")</f>
        <v/>
      </c>
      <c r="O11080" s="10" t="n"/>
    </row>
    <row r="11081">
      <c r="B11081" s="7" t="n">
        <v>11079</v>
      </c>
      <c r="C11081" t="inlineStr">
        <is>
          <t>Hull &amp; Outfitting Engineer</t>
        </is>
      </c>
      <c r="D11081" t="inlineStr">
        <is>
          <t>VARD Vung Tau Limited</t>
        </is>
      </c>
      <c r="E11081" t="inlineStr">
        <is>
          <t>Thương lượng</t>
        </is>
      </c>
      <c r="F11081" t="inlineStr">
        <is>
          <t>Hồ Chí Minh</t>
        </is>
      </c>
      <c r="G11081" t="inlineStr">
        <is>
          <t>Mới Tốt Nghiệp</t>
        </is>
      </c>
      <c r="H11081" t="inlineStr">
        <is>
          <t>13/03/2026</t>
        </is>
      </c>
      <c r="I11081" t="inlineStr">
        <is>
          <t>12/04/2026</t>
        </is>
      </c>
      <c r="J11081" t="inlineStr">
        <is>
          <t>17/03/2026</t>
        </is>
      </c>
      <c r="K11081" t="inlineStr">
        <is>
          <t>N/A</t>
        </is>
      </c>
      <c r="L11081" t="inlineStr">
        <is>
          <t>ISO, Production Support, Quality Assurance, Technical Drawing, Technical Support</t>
        </is>
      </c>
      <c r="M11081" t="inlineStr">
        <is>
          <t>Bonus, Training, Others</t>
        </is>
      </c>
      <c r="N11081" s="8">
        <f>HYPERLINK("https://www.vietnamworks.com/hull-and-outfitting-engineer-2023524-jv","Xem chi tiết")</f>
        <v/>
      </c>
    </row>
    <row r="11082">
      <c r="B11082" s="9" t="n">
        <v>11080</v>
      </c>
      <c r="C11082" s="10" t="inlineStr">
        <is>
          <t>Pricing Staff</t>
        </is>
      </c>
      <c r="D11082" s="10" t="inlineStr">
        <is>
          <t>Piaggio Vietnam Co., Ltd (Pvn)</t>
        </is>
      </c>
      <c r="E11082" s="10" t="inlineStr">
        <is>
          <t>Thương lượng</t>
        </is>
      </c>
      <c r="F11082" s="10" t="inlineStr">
        <is>
          <t>Vĩnh Phúc, Hà Nội</t>
        </is>
      </c>
      <c r="G11082" s="10" t="inlineStr">
        <is>
          <t>Nhân viên</t>
        </is>
      </c>
      <c r="H11082" s="10" t="inlineStr">
        <is>
          <t>13/03/2026</t>
        </is>
      </c>
      <c r="I11082" s="10" t="inlineStr">
        <is>
          <t>12/04/2026</t>
        </is>
      </c>
      <c r="J11082" s="10" t="inlineStr">
        <is>
          <t>17/03/2026</t>
        </is>
      </c>
      <c r="K11082" s="10" t="inlineStr">
        <is>
          <t>N/A</t>
        </is>
      </c>
      <c r="L11082" s="10" t="inlineStr">
        <is>
          <t>Accounting Standards, Cost Controlling, Finance &amp; Accounting, Logistics &amp; Warehouse</t>
        </is>
      </c>
      <c r="M11082" s="10" t="inlineStr">
        <is>
          <t>Bonus, Healthcare Plan, Paid Leave, Training, Awards, Others</t>
        </is>
      </c>
      <c r="N11082" s="11">
        <f>HYPERLINK("https://www.vietnamworks.com/pricing-staff-2023534-jv","Xem chi tiết")</f>
        <v/>
      </c>
      <c r="O11082" s="10" t="n"/>
    </row>
    <row r="11083">
      <c r="B11083" s="7" t="n">
        <v>11081</v>
      </c>
      <c r="C11083" t="inlineStr">
        <is>
          <t>Trưởng Nhóm Kinh Doanh Ngành Ổ Cắm Điện/ngành Điện [Thu Nhập Cao]</t>
        </is>
      </c>
      <c r="D11083" t="inlineStr">
        <is>
          <t>Công ty TNHH Phát triển Deli Việt Nam</t>
        </is>
      </c>
      <c r="E11083" t="inlineStr">
        <is>
          <t>Thương lượng</t>
        </is>
      </c>
      <c r="F11083" t="inlineStr">
        <is>
          <t>Hà Nội</t>
        </is>
      </c>
      <c r="G11083" t="inlineStr">
        <is>
          <t>Nhân viên</t>
        </is>
      </c>
      <c r="H11083" t="inlineStr">
        <is>
          <t>13/03/2026</t>
        </is>
      </c>
      <c r="I11083" t="inlineStr">
        <is>
          <t>12/04/2026</t>
        </is>
      </c>
      <c r="J11083" t="inlineStr">
        <is>
          <t>17/03/2026</t>
        </is>
      </c>
      <c r="K11083" t="inlineStr">
        <is>
          <t>N/A</t>
        </is>
      </c>
      <c r="L11083" t="inlineStr">
        <is>
          <t>Giao Tiếp Chủ Động, Phân Tích Thị Trường, Quản Trị Khách Hàng, Phát Triển Khách Hàng, Phát Triển Kinh Doanh</t>
        </is>
      </c>
      <c r="M11083" t="inlineStr">
        <is>
          <t>Bonus, Healthcare Plan, Travel Opportunities, Others</t>
        </is>
      </c>
      <c r="N11083" s="8">
        <f>HYPERLINK("https://www.vietnamworks.com/truong-nhom-kinh-doanh-nganh-o-cam-djiennganh-djien-thu-nhap-cao-2023545-jv","Xem chi tiết")</f>
        <v/>
      </c>
    </row>
    <row r="11084">
      <c r="B11084" s="9" t="n">
        <v>11082</v>
      </c>
      <c r="C11084" s="10" t="inlineStr">
        <is>
          <t>Intern Mechanical Engineer (Must Have 3D Inventor)</t>
        </is>
      </c>
      <c r="D11084" s="10" t="inlineStr">
        <is>
          <t>Danieli – Industrielle Beteiligung Co., Ltd</t>
        </is>
      </c>
      <c r="E11084" s="10" t="inlineStr">
        <is>
          <t>Thương lượng</t>
        </is>
      </c>
      <c r="F11084" s="10" t="inlineStr">
        <is>
          <t>Hồ Chí Minh</t>
        </is>
      </c>
      <c r="G11084" s="10" t="inlineStr">
        <is>
          <t>Thực tập sinh/Sinh viên</t>
        </is>
      </c>
      <c r="H11084" s="10" t="inlineStr">
        <is>
          <t>13/03/2026</t>
        </is>
      </c>
      <c r="I11084" s="10" t="inlineStr">
        <is>
          <t>12/04/2026</t>
        </is>
      </c>
      <c r="J11084" s="10" t="inlineStr">
        <is>
          <t>17/03/2026</t>
        </is>
      </c>
      <c r="K11084" s="10" t="inlineStr">
        <is>
          <t>N/A</t>
        </is>
      </c>
      <c r="L11084" s="10" t="inlineStr">
        <is>
          <t>Mechanical Design, PLM, 3D Software, English, Steel Design</t>
        </is>
      </c>
      <c r="M11084" s="10" t="inlineStr">
        <is>
          <t>Bonus, Others</t>
        </is>
      </c>
      <c r="N11084" s="11">
        <f>HYPERLINK("https://www.vietnamworks.com/intern-mechanical-engineer-must-have-3d-inventor--2023538-jv","Xem chi tiết")</f>
        <v/>
      </c>
      <c r="O11084" s="10" t="n"/>
    </row>
    <row r="11085">
      <c r="B11085" s="7" t="n">
        <v>11083</v>
      </c>
      <c r="C11085" t="inlineStr">
        <is>
          <t>Công Nhân Nhà Máy (Thu Nhập 15-20 Triệu)</t>
        </is>
      </c>
      <c r="D11085" t="inlineStr">
        <is>
          <t>Công Ty Cổ Phần Điện Và Chiếu Sáng An Phú</t>
        </is>
      </c>
      <c r="E11085" t="inlineStr">
        <is>
          <t>15-20 ₫/tháng</t>
        </is>
      </c>
      <c r="F11085" t="inlineStr">
        <is>
          <t>Hà Nội</t>
        </is>
      </c>
      <c r="G11085" t="inlineStr">
        <is>
          <t>Nhân viên</t>
        </is>
      </c>
      <c r="H11085" t="inlineStr">
        <is>
          <t>13/03/2026</t>
        </is>
      </c>
      <c r="I11085" t="inlineStr">
        <is>
          <t>12/04/2026</t>
        </is>
      </c>
      <c r="J11085" t="inlineStr">
        <is>
          <t>17/03/2026</t>
        </is>
      </c>
      <c r="K11085" t="inlineStr">
        <is>
          <t>N/A</t>
        </is>
      </c>
      <c r="L11085" t="inlineStr">
        <is>
          <t>Chiếu Sáng, Sản Xuất, Hàn, Điện Chiếu Sáng, Thiết Bị Chiếu Sáng</t>
        </is>
      </c>
      <c r="M11085" t="inlineStr">
        <is>
          <t>Healthcare Plan, Training</t>
        </is>
      </c>
      <c r="N11085" s="8">
        <f>HYPERLINK("https://www.vietnamworks.com/cong-nhan-nha-may-thu-nhap-15-20-trieu-2023523-jv","Xem chi tiết")</f>
        <v/>
      </c>
    </row>
    <row r="11086">
      <c r="B11086" s="9" t="n">
        <v>11084</v>
      </c>
      <c r="C11086" s="10" t="inlineStr">
        <is>
          <t>Kỹ Thuật Điện Công Trình Và Thiết Bị Điện Mặt Trời</t>
        </is>
      </c>
      <c r="D11086" s="10" t="inlineStr">
        <is>
          <t>Công ty TNHH Đầu tư thương mại và Dịch vụ kỹ thuật Nhật Minh</t>
        </is>
      </c>
      <c r="E11086" s="10" t="inlineStr">
        <is>
          <t>12tr-25tr ₫/tháng</t>
        </is>
      </c>
      <c r="F11086" s="10" t="inlineStr">
        <is>
          <t>Hà Nội, Hồ Chí Minh</t>
        </is>
      </c>
      <c r="G11086" s="10" t="inlineStr">
        <is>
          <t>Nhân viên</t>
        </is>
      </c>
      <c r="H11086" s="10" t="inlineStr">
        <is>
          <t>13/03/2026</t>
        </is>
      </c>
      <c r="I11086" s="10" t="inlineStr">
        <is>
          <t>12/04/2026</t>
        </is>
      </c>
      <c r="J11086" s="10" t="inlineStr">
        <is>
          <t>17/03/2026</t>
        </is>
      </c>
      <c r="K11086" s="10" t="inlineStr">
        <is>
          <t>N/A</t>
        </is>
      </c>
      <c r="L11086" s="10" t="inlineStr">
        <is>
          <t>Kỹ Thuật Điện, Thiết Kế Hệ Thống Năng Lượng Mặt Trời, Lập Trình AutoCAD, Tin Học Văn Phòng, Giao Tiếp Tiếng Anh</t>
        </is>
      </c>
      <c r="M11086" s="10" t="inlineStr">
        <is>
          <t>Bonus, Healthcare Plan, Training, Others</t>
        </is>
      </c>
      <c r="N11086" s="11">
        <f>HYPERLINK("https://www.vietnamworks.com/ky-thuat-djien-cong-trinh-va-thiet-bi-djien-mat-troi-2023532-jv","Xem chi tiết")</f>
        <v/>
      </c>
      <c r="O11086" s="10" t="n"/>
    </row>
    <row r="11087">
      <c r="B11087" s="7" t="n">
        <v>11085</v>
      </c>
      <c r="C11087" t="inlineStr">
        <is>
          <t>Sea Export Staff</t>
        </is>
      </c>
      <c r="D11087" t="inlineStr">
        <is>
          <t>LX Pantos Vietnam</t>
        </is>
      </c>
      <c r="E11087" t="inlineStr">
        <is>
          <t>Thương lượng</t>
        </is>
      </c>
      <c r="F11087" t="inlineStr">
        <is>
          <t>Hồ Chí Minh</t>
        </is>
      </c>
      <c r="G11087" t="inlineStr">
        <is>
          <t>Nhân viên</t>
        </is>
      </c>
      <c r="H11087" t="inlineStr">
        <is>
          <t>13/03/2026</t>
        </is>
      </c>
      <c r="I11087" t="inlineStr">
        <is>
          <t>12/04/2026</t>
        </is>
      </c>
      <c r="J11087" t="inlineStr">
        <is>
          <t>17/03/2026</t>
        </is>
      </c>
      <c r="K11087" t="inlineStr">
        <is>
          <t>N/A</t>
        </is>
      </c>
      <c r="L11087" t="inlineStr">
        <is>
          <t>Sea Export Operation</t>
        </is>
      </c>
      <c r="M11087" t="inlineStr">
        <is>
          <t>Bonus, Healthcare Plan, Training</t>
        </is>
      </c>
      <c r="N11087" s="8">
        <f>HYPERLINK("https://www.vietnamworks.com/sea-export-staff--2023540-jv","Xem chi tiết")</f>
        <v/>
      </c>
    </row>
    <row r="11088">
      <c r="B11088" s="9" t="n">
        <v>11086</v>
      </c>
      <c r="C11088" s="10" t="inlineStr">
        <is>
          <t>Nhân Viên Kinh Doanh</t>
        </is>
      </c>
      <c r="D11088" s="10" t="inlineStr">
        <is>
          <t>Công ty TNHH MTV Vận Tải Biển Đông</t>
        </is>
      </c>
      <c r="E11088" s="10" t="inlineStr">
        <is>
          <t>Thương lượng</t>
        </is>
      </c>
      <c r="F11088" s="10" t="inlineStr">
        <is>
          <t>Hà Nội</t>
        </is>
      </c>
      <c r="G11088" s="10" t="inlineStr">
        <is>
          <t>Mới Tốt Nghiệp</t>
        </is>
      </c>
      <c r="H11088" s="10" t="inlineStr">
        <is>
          <t>13/03/2026</t>
        </is>
      </c>
      <c r="I11088" s="10" t="inlineStr">
        <is>
          <t>12/04/2026</t>
        </is>
      </c>
      <c r="J11088" s="10" t="inlineStr">
        <is>
          <t>17/03/2026</t>
        </is>
      </c>
      <c r="K11088" s="10" t="inlineStr">
        <is>
          <t>N/A</t>
        </is>
      </c>
      <c r="L11088" s="10" t="inlineStr">
        <is>
          <t>Logistics, Phát Triển Thị Trường, Tin Học Văn Phòng, Vận Tải Biển, Xuất Nhập Khẩu</t>
        </is>
      </c>
      <c r="M11088" s="10" t="inlineStr">
        <is>
          <t>Healthcare Plan, Training, Others</t>
        </is>
      </c>
      <c r="N11088" s="11">
        <f>HYPERLINK("https://www.vietnamworks.com/nhan-vien-kinh-doanh-2023546-jv","Xem chi tiết")</f>
        <v/>
      </c>
      <c r="O11088" s="10" t="n"/>
    </row>
    <row r="11089">
      <c r="B11089" s="7" t="n">
        <v>11087</v>
      </c>
      <c r="C11089" t="inlineStr">
        <is>
          <t>Kỹ Sư Cao Cấp Thủy Nhiệt Hạt Nhân</t>
        </is>
      </c>
      <c r="D11089" t="inlineStr">
        <is>
          <t>Tập Đoàn Công Nghiệp - Viễn Thông Quân Đội (Viettel Group)</t>
        </is>
      </c>
      <c r="E11089" t="inlineStr">
        <is>
          <t>Thương lượng</t>
        </is>
      </c>
      <c r="F11089" t="inlineStr">
        <is>
          <t>Hà Nội</t>
        </is>
      </c>
      <c r="G11089" t="inlineStr">
        <is>
          <t>Trưởng phòng</t>
        </is>
      </c>
      <c r="H11089" t="inlineStr">
        <is>
          <t>13/03/2026</t>
        </is>
      </c>
      <c r="I11089" t="inlineStr">
        <is>
          <t>12/04/2026</t>
        </is>
      </c>
      <c r="J11089" t="inlineStr">
        <is>
          <t>17/03/2026</t>
        </is>
      </c>
      <c r="K11089" t="inlineStr">
        <is>
          <t>N/A</t>
        </is>
      </c>
      <c r="L11089" t="inlineStr">
        <is>
          <t>Kỹ Thuật Hạt Nhân, Cơ Khí Tự Động Hóa, Computational Fluid Dynamics, ANSYS</t>
        </is>
      </c>
      <c r="M11089" t="inlineStr">
        <is>
          <t>Healthcare Plan, Paid Leave, Travel Opportunities</t>
        </is>
      </c>
      <c r="N11089" s="8">
        <f>HYPERLINK("https://www.vietnamworks.com/ky-su-cao-cap-thuy-nhiet-hat-nhan-2023531-jv","Xem chi tiết")</f>
        <v/>
      </c>
    </row>
    <row r="11090">
      <c r="B11090" s="9" t="n">
        <v>11088</v>
      </c>
      <c r="C11090" s="10" t="inlineStr">
        <is>
          <t>Nhân Viên Kinh Doanh - Khách Hàng Doanh Nghiệp/ Nhà Máy/ KCN</t>
        </is>
      </c>
      <c r="D11090" s="10" t="inlineStr">
        <is>
          <t>CÔNG TY CỔ PHẦN PHÁT TRIỂN CÔNG NGHỆ TECHPRO</t>
        </is>
      </c>
      <c r="E11090" s="10" t="inlineStr">
        <is>
          <t>Thương lượng</t>
        </is>
      </c>
      <c r="F11090" s="10" t="inlineStr">
        <is>
          <t>Hồ Chí Minh, Hà Nội</t>
        </is>
      </c>
      <c r="G11090" s="10" t="inlineStr">
        <is>
          <t>Nhân viên</t>
        </is>
      </c>
      <c r="H11090" s="10" t="inlineStr">
        <is>
          <t>13/03/2026</t>
        </is>
      </c>
      <c r="I11090" s="10" t="inlineStr">
        <is>
          <t>12/04/2026</t>
        </is>
      </c>
      <c r="J11090" s="10" t="inlineStr">
        <is>
          <t>17/03/2026</t>
        </is>
      </c>
      <c r="K11090" s="10" t="inlineStr">
        <is>
          <t>N/A</t>
        </is>
      </c>
      <c r="L11090" s="10" t="inlineStr">
        <is>
          <t>Bán Hàng Kỹ Thuật, Chăm Sóc Khách Hàng, Tin Học Văn Phòng, Xử Lý Tình Huống, Giao tiếp</t>
        </is>
      </c>
      <c r="M11090" s="10" t="inlineStr">
        <is>
          <t>Bonus, Healthcare Plan, Team Activities</t>
        </is>
      </c>
      <c r="N11090" s="11">
        <f>HYPERLINK("https://www.vietnamworks.com/nhan-vien-kinh-doanh-khach-hang-doanh-nghiep-nha-may-kcn-2023536-jv","Xem chi tiết")</f>
        <v/>
      </c>
      <c r="O11090" s="10" t="n"/>
    </row>
    <row r="11091">
      <c r="B11091" s="7" t="n">
        <v>11089</v>
      </c>
      <c r="C11091" t="inlineStr">
        <is>
          <t>Nữ Giám Đốc Marketing &amp; Truyền Thông Bất Động Sản (Lương Up to 50 Triệu)</t>
        </is>
      </c>
      <c r="D11091" t="inlineStr">
        <is>
          <t>Công Ty CP Tập Đoàn Bách Việt</t>
        </is>
      </c>
      <c r="E11091" t="inlineStr">
        <is>
          <t>40tr-50tr ₫/tháng</t>
        </is>
      </c>
      <c r="F11091" t="inlineStr">
        <is>
          <t>Hà Nội</t>
        </is>
      </c>
      <c r="G11091" t="inlineStr">
        <is>
          <t>Giám Đốc và Cấp Cao Hơn</t>
        </is>
      </c>
      <c r="H11091" t="inlineStr">
        <is>
          <t>13/03/2026</t>
        </is>
      </c>
      <c r="I11091" t="inlineStr">
        <is>
          <t>12/04/2026</t>
        </is>
      </c>
      <c r="J11091" t="inlineStr">
        <is>
          <t>17/03/2026</t>
        </is>
      </c>
      <c r="K11091" t="inlineStr">
        <is>
          <t>N/A</t>
        </is>
      </c>
      <c r="L11091" t="inlineStr">
        <is>
          <t>Digital Marketing, Sáng Tạo Nội Dung, Marketing Management, Nghiên Cứu Đối Thủ</t>
        </is>
      </c>
      <c r="M11091" t="inlineStr">
        <is>
          <t>Bonus, Healthcare Plan, Training, Others</t>
        </is>
      </c>
      <c r="N11091" s="8">
        <f>HYPERLINK("https://www.vietnamworks.com/nu-giam-djoc-marketing-and-truyen-thong-bat-djong-san-luong-up-to-50-trieu-2023527-jv","Xem chi tiết")</f>
        <v/>
      </c>
    </row>
    <row r="11092">
      <c r="B11092" s="9" t="n">
        <v>11090</v>
      </c>
      <c r="C11092" s="10" t="inlineStr">
        <is>
          <t>Kỹ Sư Thiết Kế Cơ Khí (Mechanical Design Engineer)</t>
        </is>
      </c>
      <c r="D11092" s="10" t="inlineStr">
        <is>
          <t>Tập Đoàn Công Nghiệp - Viễn Thông Quân Đội (Viettel Group)</t>
        </is>
      </c>
      <c r="E11092" s="10" t="inlineStr">
        <is>
          <t>Thương lượng</t>
        </is>
      </c>
      <c r="F11092" s="10" t="inlineStr">
        <is>
          <t>Hà Nội</t>
        </is>
      </c>
      <c r="G11092" s="10" t="inlineStr">
        <is>
          <t>Mới Tốt Nghiệp</t>
        </is>
      </c>
      <c r="H11092" s="10" t="inlineStr">
        <is>
          <t>13/03/2026</t>
        </is>
      </c>
      <c r="I11092" s="10" t="inlineStr">
        <is>
          <t>12/04/2026</t>
        </is>
      </c>
      <c r="J11092" s="10" t="inlineStr">
        <is>
          <t>17/03/2026</t>
        </is>
      </c>
      <c r="K11092" s="10" t="inlineStr">
        <is>
          <t>N/A</t>
        </is>
      </c>
      <c r="L11092" s="10" t="inlineStr">
        <is>
          <t>Làm Việc Nhóm, Phần Mềm CAD, Phân Tích Thiết Kế, Thiết Kế Cơ Khí, Tiếng Anh</t>
        </is>
      </c>
      <c r="M11092" s="10" t="inlineStr">
        <is>
          <t>Healthcare Plan, Paid Leave, Training, Others</t>
        </is>
      </c>
      <c r="N11092" s="11">
        <f>HYPERLINK("https://www.vietnamworks.com/ky-su-thiet-ke-co-khi-mechanical-design-engineer-2023539-jv","Xem chi tiết")</f>
        <v/>
      </c>
      <c r="O11092" s="10" t="n"/>
    </row>
    <row r="11093">
      <c r="B11093" s="7" t="n">
        <v>11091</v>
      </c>
      <c r="C11093" t="inlineStr">
        <is>
          <t>Field Marketing Officer (Video Content)/ E-Commerce Content Operations Coordinator (Mass Video Production)</t>
        </is>
      </c>
      <c r="D11093" t="inlineStr">
        <is>
          <t>Diana Unicharm JSC</t>
        </is>
      </c>
      <c r="E11093" t="inlineStr">
        <is>
          <t>Thương lượng</t>
        </is>
      </c>
      <c r="F11093" t="inlineStr">
        <is>
          <t>Hà Nội</t>
        </is>
      </c>
      <c r="G11093" t="inlineStr">
        <is>
          <t>Nhân viên</t>
        </is>
      </c>
      <c r="H11093" t="inlineStr">
        <is>
          <t>13/03/2026</t>
        </is>
      </c>
      <c r="I11093" t="inlineStr">
        <is>
          <t>12/04/2026</t>
        </is>
      </c>
      <c r="J11093" t="inlineStr">
        <is>
          <t>17/03/2026</t>
        </is>
      </c>
      <c r="K11093" t="inlineStr">
        <is>
          <t>N/A</t>
        </is>
      </c>
      <c r="L11093" t="inlineStr">
        <is>
          <t>E- Commerce, SEO &amp; Content Creation, Affiliate marketing on TikTok &amp; Shopee, Quản lý quảng cáo Shopee Ads, Tiktok Shop</t>
        </is>
      </c>
      <c r="M11093" t="inlineStr">
        <is>
          <t>Bonus, Healthcare Plan, Others</t>
        </is>
      </c>
      <c r="N11093" s="8">
        <f>HYPERLINK("https://www.vietnamworks.com/field-marketing-officer-video-content-e-commerce-content-operations-coordinator-mass-video-production-2023529-jv","Xem chi tiết")</f>
        <v/>
      </c>
    </row>
    <row r="11094">
      <c r="B11094" s="9" t="n">
        <v>11092</v>
      </c>
      <c r="C11094" s="10" t="inlineStr">
        <is>
          <t>Senior ESG Executive</t>
        </is>
      </c>
      <c r="D11094" s="10" t="inlineStr">
        <is>
          <t>Asia Chemical Corporation</t>
        </is>
      </c>
      <c r="E11094" s="10" t="inlineStr">
        <is>
          <t>Thương lượng</t>
        </is>
      </c>
      <c r="F11094" s="10" t="inlineStr">
        <is>
          <t>Hồ Chí Minh</t>
        </is>
      </c>
      <c r="G11094" s="10" t="inlineStr">
        <is>
          <t>Nhân viên</t>
        </is>
      </c>
      <c r="H11094" s="10" t="inlineStr">
        <is>
          <t>13/03/2026</t>
        </is>
      </c>
      <c r="I11094" s="10" t="inlineStr">
        <is>
          <t>12/04/2026</t>
        </is>
      </c>
      <c r="J11094" s="10" t="inlineStr">
        <is>
          <t>17/03/2026</t>
        </is>
      </c>
      <c r="K11094" s="10" t="inlineStr">
        <is>
          <t>N/A</t>
        </is>
      </c>
      <c r="L11094" s="10" t="inlineStr">
        <is>
          <t>ESG, ESG practicing, ESG Reporting, GRI Standards, SHEQ Management</t>
        </is>
      </c>
      <c r="M11094" s="10" t="inlineStr">
        <is>
          <t>Bonus, Healthcare Plan, Training, Laptop, Mobile, Travel Opportunities</t>
        </is>
      </c>
      <c r="N11094" s="11">
        <f>HYPERLINK("https://www.vietnamworks.com/senior-esg-executive-2023537-jv","Xem chi tiết")</f>
        <v/>
      </c>
      <c r="O11094" s="10" t="n"/>
    </row>
    <row r="11095">
      <c r="B11095" s="7" t="n">
        <v>11093</v>
      </c>
      <c r="C11095" t="inlineStr">
        <is>
          <t>Nhân Viên Kinh Doanh (15Tr - 25Tr + +)</t>
        </is>
      </c>
      <c r="D11095" t="inlineStr">
        <is>
          <t>Công ty CP Bơm và Thiết Bị Quang Phước</t>
        </is>
      </c>
      <c r="E11095" t="inlineStr">
        <is>
          <t>15tr-25tr ₫/tháng</t>
        </is>
      </c>
      <c r="F11095" t="inlineStr">
        <is>
          <t>Hồ Chí Minh, Hà Nội</t>
        </is>
      </c>
      <c r="G11095" t="inlineStr">
        <is>
          <t>Nhân viên</t>
        </is>
      </c>
      <c r="H11095" t="inlineStr">
        <is>
          <t>13/03/2026</t>
        </is>
      </c>
      <c r="I11095" t="inlineStr">
        <is>
          <t>12/04/2026</t>
        </is>
      </c>
      <c r="J11095" t="inlineStr">
        <is>
          <t>17/03/2026</t>
        </is>
      </c>
      <c r="K11095" t="inlineStr">
        <is>
          <t>N/A</t>
        </is>
      </c>
      <c r="L11095" t="inlineStr">
        <is>
          <t>Kinh Doanh, Phát Triển Kinh Doanh, Giao Tiếp Đàm Phán, Sales B2B, Tư Vấn Kỹ Thuật</t>
        </is>
      </c>
      <c r="M11095" t="inlineStr">
        <is>
          <t>Bonus, Healthcare Plan, Training, Travel Opportunities, Transportation</t>
        </is>
      </c>
      <c r="N11095" s="8">
        <f>HYPERLINK("https://www.vietnamworks.com/nhan-vien-kinh-doanh-15tr-25tr-2023542-jv","Xem chi tiết")</f>
        <v/>
      </c>
    </row>
    <row r="11096">
      <c r="B11096" s="9" t="n">
        <v>11094</v>
      </c>
      <c r="C11096" s="10" t="inlineStr">
        <is>
          <t>Sales Manager (Food Ingredients)</t>
        </is>
      </c>
      <c r="D11096" s="10" t="inlineStr">
        <is>
          <t>Asia Chemical Corporation</t>
        </is>
      </c>
      <c r="E11096" s="10" t="inlineStr">
        <is>
          <t>Thương lượng</t>
        </is>
      </c>
      <c r="F11096" s="10" t="inlineStr">
        <is>
          <t>Hồ Chí Minh</t>
        </is>
      </c>
      <c r="G11096" s="10" t="inlineStr">
        <is>
          <t>Trưởng phòng</t>
        </is>
      </c>
      <c r="H11096" s="10" t="inlineStr">
        <is>
          <t>13/03/2026</t>
        </is>
      </c>
      <c r="I11096" s="10" t="inlineStr">
        <is>
          <t>12/04/2026</t>
        </is>
      </c>
      <c r="J11096" s="10" t="inlineStr">
        <is>
          <t>17/03/2026</t>
        </is>
      </c>
      <c r="K11096" s="10" t="inlineStr">
        <is>
          <t>N/A</t>
        </is>
      </c>
      <c r="L11096" s="10" t="inlineStr">
        <is>
          <t>B2B, Business Strategy Development, Food industry knowledge, Ingredient Selection, Sales</t>
        </is>
      </c>
      <c r="M11096" s="10" t="inlineStr">
        <is>
          <t>Bonus, Healthcare Plan, Training, Laptop, Travel Opportunities</t>
        </is>
      </c>
      <c r="N11096" s="11">
        <f>HYPERLINK("https://www.vietnamworks.com/sales-manager-food-ingredients-2023549-jv","Xem chi tiết")</f>
        <v/>
      </c>
      <c r="O11096" s="10" t="n"/>
    </row>
    <row r="11097">
      <c r="B11097" s="7" t="n">
        <v>11095</v>
      </c>
      <c r="C11097" t="inlineStr">
        <is>
          <t>Recruitment Processing Officer</t>
        </is>
      </c>
      <c r="D11097" t="inlineStr">
        <is>
          <t>CÔNG TY TNHH TƯ VẤN GIÁO DỤC VÀ ĐẦU TƯ VISION FIRST</t>
        </is>
      </c>
      <c r="E11097" t="inlineStr">
        <is>
          <t>Thương lượng</t>
        </is>
      </c>
      <c r="F11097" t="inlineStr">
        <is>
          <t>Hồ Chí Minh</t>
        </is>
      </c>
      <c r="G11097" t="inlineStr">
        <is>
          <t>Nhân viên</t>
        </is>
      </c>
      <c r="H11097" t="inlineStr">
        <is>
          <t>13/03/2026</t>
        </is>
      </c>
      <c r="I11097" t="inlineStr">
        <is>
          <t>12/04/2026</t>
        </is>
      </c>
      <c r="J11097" t="inlineStr">
        <is>
          <t>17/03/2026</t>
        </is>
      </c>
      <c r="K11097" t="inlineStr">
        <is>
          <t>N/A</t>
        </is>
      </c>
      <c r="L11097" t="inlineStr">
        <is>
          <t>English Fluency, Communication Skills, Detailed And Careful Character</t>
        </is>
      </c>
      <c r="M11097" t="inlineStr">
        <is>
          <t>Bonus, Paid Leave, Training</t>
        </is>
      </c>
      <c r="N11097" s="8">
        <f>HYPERLINK("https://www.vietnamworks.com/recruitment-processing-officer--2023564-jv","Xem chi tiết")</f>
        <v/>
      </c>
    </row>
    <row r="11098">
      <c r="B11098" s="9" t="n">
        <v>11096</v>
      </c>
      <c r="C11098" s="10" t="inlineStr">
        <is>
          <t>Head of Operations</t>
        </is>
      </c>
      <c r="D11098" s="10" t="inlineStr">
        <is>
          <t>CÔNG TY TNHH BẢO HIỂM SHINHAN LIFE VIỆT NAM</t>
        </is>
      </c>
      <c r="E11098" s="10" t="inlineStr">
        <is>
          <t>Thương lượng</t>
        </is>
      </c>
      <c r="F11098" s="10" t="inlineStr">
        <is>
          <t>Hồ Chí Minh</t>
        </is>
      </c>
      <c r="G11098" s="10" t="inlineStr">
        <is>
          <t>Trưởng phòng</t>
        </is>
      </c>
      <c r="H11098" s="10" t="inlineStr">
        <is>
          <t>13/03/2026</t>
        </is>
      </c>
      <c r="I11098" s="10" t="inlineStr">
        <is>
          <t>12/04/2026</t>
        </is>
      </c>
      <c r="J11098" s="10" t="inlineStr">
        <is>
          <t>17/03/2026</t>
        </is>
      </c>
      <c r="K11098" s="10" t="inlineStr">
        <is>
          <t>N/A</t>
        </is>
      </c>
      <c r="L11098" s="10" t="inlineStr">
        <is>
          <t>Team management skills</t>
        </is>
      </c>
      <c r="M11098" s="10" t="inlineStr">
        <is>
          <t>Healthcare Plan</t>
        </is>
      </c>
      <c r="N11098" s="11">
        <f>HYPERLINK("https://www.vietnamworks.com/head-of-operations--2023562-jv","Xem chi tiết")</f>
        <v/>
      </c>
      <c r="O11098" s="10" t="n"/>
    </row>
    <row r="11099">
      <c r="B11099" s="7" t="n">
        <v>11097</v>
      </c>
      <c r="C11099" t="inlineStr">
        <is>
          <t>Tuyển Gấp Kỹ Sư Các Ngành Nghề Vận Hành Chạy Thử Nhà Máy Nhiệt Điện</t>
        </is>
      </c>
      <c r="D11099" t="inlineStr">
        <is>
          <t>Công ty TNHH giải pháp năng lượng LTT</t>
        </is>
      </c>
      <c r="E11099" t="inlineStr">
        <is>
          <t>Thương lượng</t>
        </is>
      </c>
      <c r="F11099" t="inlineStr">
        <is>
          <t>Quảng Bình</t>
        </is>
      </c>
      <c r="G11099" t="inlineStr">
        <is>
          <t>Nhân viên</t>
        </is>
      </c>
      <c r="H11099" t="inlineStr">
        <is>
          <t>13/03/2026</t>
        </is>
      </c>
      <c r="I11099" t="inlineStr">
        <is>
          <t>12/04/2026</t>
        </is>
      </c>
      <c r="J11099" t="inlineStr">
        <is>
          <t>17/03/2026</t>
        </is>
      </c>
      <c r="K11099" t="inlineStr">
        <is>
          <t>N/A</t>
        </is>
      </c>
      <c r="L11099" t="inlineStr">
        <is>
          <t>Kỹ Thuật Điện, Cơ Khí, Cơ Điện, Tiếng Anh Căn Bản, Chemical Engineering</t>
        </is>
      </c>
      <c r="M11099" t="inlineStr">
        <is>
          <t>Healthcare Plan, Training, Others</t>
        </is>
      </c>
      <c r="N11099" s="8">
        <f>HYPERLINK("https://www.vietnamworks.com/tuyen-gap-ky-su-cac-nganh-nghe-van-hanh-chay-thu-nha-may-nhiet-djien-2023570-jv","Xem chi tiết")</f>
        <v/>
      </c>
    </row>
    <row r="11100">
      <c r="B11100" s="9" t="n">
        <v>11098</v>
      </c>
      <c r="C11100" s="10" t="inlineStr">
        <is>
          <t>Trade Marketing Intern</t>
        </is>
      </c>
      <c r="D11100" s="10" t="inlineStr">
        <is>
          <t>ILA Vietnam</t>
        </is>
      </c>
      <c r="E11100" s="10" t="inlineStr">
        <is>
          <t>Thương lượng</t>
        </is>
      </c>
      <c r="F11100" s="10" t="inlineStr">
        <is>
          <t>Đà Nẵng, Quảng Nam</t>
        </is>
      </c>
      <c r="G11100" s="10" t="inlineStr">
        <is>
          <t>Thực tập sinh/Sinh viên</t>
        </is>
      </c>
      <c r="H11100" s="10" t="inlineStr">
        <is>
          <t>13/03/2026</t>
        </is>
      </c>
      <c r="I11100" s="10" t="inlineStr">
        <is>
          <t>12/04/2026</t>
        </is>
      </c>
      <c r="J11100" s="10" t="inlineStr">
        <is>
          <t>17/03/2026</t>
        </is>
      </c>
      <c r="K11100" s="10" t="inlineStr">
        <is>
          <t>N/A</t>
        </is>
      </c>
      <c r="L11100" s="10" t="inlineStr">
        <is>
          <t>Communication, Event Organizing, Merchandising, MS Office, Project Consulting</t>
        </is>
      </c>
      <c r="M11100" s="10" t="inlineStr">
        <is>
          <t>Training, Others</t>
        </is>
      </c>
      <c r="N11100" s="11">
        <f>HYPERLINK("https://www.vietnamworks.com/trade-marketing-intern-2023560-jv","Xem chi tiết")</f>
        <v/>
      </c>
      <c r="O11100" s="10" t="n"/>
    </row>
    <row r="11101">
      <c r="B11101" s="7" t="n">
        <v>11099</v>
      </c>
      <c r="C11101" t="inlineStr">
        <is>
          <t>Nhân viên Kế toán</t>
        </is>
      </c>
      <c r="D11101" t="inlineStr">
        <is>
          <t>Công ty TNHH MTV Vận Tải Biển Đông</t>
        </is>
      </c>
      <c r="E11101" t="inlineStr">
        <is>
          <t>Thương lượng</t>
        </is>
      </c>
      <c r="F11101" t="inlineStr">
        <is>
          <t>Hà Nội</t>
        </is>
      </c>
      <c r="G11101" t="inlineStr">
        <is>
          <t>Mới Tốt Nghiệp</t>
        </is>
      </c>
      <c r="H11101" t="inlineStr">
        <is>
          <t>13/03/2026</t>
        </is>
      </c>
      <c r="I11101" t="inlineStr">
        <is>
          <t>12/04/2026</t>
        </is>
      </c>
      <c r="J11101" t="inlineStr">
        <is>
          <t>17/03/2026</t>
        </is>
      </c>
      <c r="K11101" t="inlineStr">
        <is>
          <t>N/A</t>
        </is>
      </c>
      <c r="L11101" t="inlineStr">
        <is>
          <t>Tin Học Văn Phòng, Accounting, Kiến Thức Chuẩn Mực Kế Toán, Phần Mềm Kế Toán, Tiếng Anh</t>
        </is>
      </c>
      <c r="M11101" t="inlineStr">
        <is>
          <t>Healthcare Plan, Training, Others</t>
        </is>
      </c>
      <c r="N11101" s="8">
        <f>HYPERLINK("https://www.vietnamworks.com/nhan-vien-ke-toan-2023547-jv","Xem chi tiết")</f>
        <v/>
      </c>
    </row>
    <row r="11102">
      <c r="B11102" s="9" t="n">
        <v>11100</v>
      </c>
      <c r="C11102" s="10" t="inlineStr">
        <is>
          <t>Nhân Viên Bảo Trì (Nhà Máy Hà Nam/Ninh Bình)</t>
        </is>
      </c>
      <c r="D11102" s="10" t="inlineStr">
        <is>
          <t>PepsiCo Foods Vietnam Company</t>
        </is>
      </c>
      <c r="E11102" s="10" t="inlineStr">
        <is>
          <t>Thương lượng</t>
        </is>
      </c>
      <c r="F11102" s="10" t="inlineStr">
        <is>
          <t>Hà Nội, Hưng Yên</t>
        </is>
      </c>
      <c r="G11102" s="10" t="inlineStr">
        <is>
          <t>Nhân viên</t>
        </is>
      </c>
      <c r="H11102" s="10" t="inlineStr">
        <is>
          <t>13/03/2026</t>
        </is>
      </c>
      <c r="I11102" s="10" t="inlineStr">
        <is>
          <t>12/04/2026</t>
        </is>
      </c>
      <c r="J11102" s="10" t="inlineStr">
        <is>
          <t>17/03/2026</t>
        </is>
      </c>
      <c r="K11102" s="10" t="inlineStr">
        <is>
          <t>N/A</t>
        </is>
      </c>
      <c r="L11102" s="10" t="inlineStr">
        <is>
          <t>Bảo Trì, Giám Sát Bảo Trì, Kế Toán Phân Tích, Kỹ Thuật Bảo Trì</t>
        </is>
      </c>
      <c r="M11102" s="10" t="inlineStr">
        <is>
          <t>Bonus, Healthcare Plan, Training, Travel Opportunities, Others</t>
        </is>
      </c>
      <c r="N11102" s="11">
        <f>HYPERLINK("https://www.vietnamworks.com/nhan-vien-bao-tri-nha-may-ha-namninh-binh-2023565-jv","Xem chi tiết")</f>
        <v/>
      </c>
      <c r="O11102" s="10" t="n"/>
    </row>
    <row r="11103">
      <c r="B11103" s="7" t="n">
        <v>11101</v>
      </c>
      <c r="C11103" t="inlineStr">
        <is>
          <t>PYP English As An Additional Language (EAL) Teacher</t>
        </is>
      </c>
      <c r="D11103" t="inlineStr">
        <is>
          <t>Renaissance International School Saigon</t>
        </is>
      </c>
      <c r="E11103" t="inlineStr">
        <is>
          <t>Thương lượng</t>
        </is>
      </c>
      <c r="F11103" t="inlineStr">
        <is>
          <t>Hồ Chí Minh</t>
        </is>
      </c>
      <c r="G11103" t="inlineStr">
        <is>
          <t>Nhân viên</t>
        </is>
      </c>
      <c r="H11103" t="inlineStr">
        <is>
          <t>13/03/2026</t>
        </is>
      </c>
      <c r="I11103" t="inlineStr">
        <is>
          <t>12/04/2026</t>
        </is>
      </c>
      <c r="J11103" t="inlineStr">
        <is>
          <t>17/03/2026</t>
        </is>
      </c>
      <c r="K11103" t="inlineStr">
        <is>
          <t>N/A</t>
        </is>
      </c>
      <c r="L11103" t="inlineStr">
        <is>
          <t>English Language Proficiency, Tesol Certificate, Classroom Instruction, Interpersonal skills, Creativity</t>
        </is>
      </c>
      <c r="M11103" t="inlineStr">
        <is>
          <t>Healthcare Plan, Paid Leave, Others</t>
        </is>
      </c>
      <c r="N11103" s="8">
        <f>HYPERLINK("https://www.vietnamworks.com/pyp-english-as-an-additional-language-eal-teacher-2023556-jv","Xem chi tiết")</f>
        <v/>
      </c>
    </row>
    <row r="11104">
      <c r="B11104" s="9" t="n">
        <v>11102</v>
      </c>
      <c r="C11104" s="10" t="inlineStr">
        <is>
          <t>Trưởng Phòng Kinh Doanh Quốc Tế</t>
        </is>
      </c>
      <c r="D11104" s="10" t="inlineStr">
        <is>
          <t>CÔNG TY CỔ PHẦN TẬP ĐOÀN VINASTONE</t>
        </is>
      </c>
      <c r="E11104" s="10" t="inlineStr">
        <is>
          <t>Thương lượng</t>
        </is>
      </c>
      <c r="F11104" s="10" t="inlineStr">
        <is>
          <t>Hà Nội</t>
        </is>
      </c>
      <c r="G11104" s="10" t="inlineStr">
        <is>
          <t>Trưởng phòng</t>
        </is>
      </c>
      <c r="H11104" s="10" t="inlineStr">
        <is>
          <t>13/03/2026</t>
        </is>
      </c>
      <c r="I11104" s="10" t="inlineStr">
        <is>
          <t>12/04/2026</t>
        </is>
      </c>
      <c r="J11104" s="10" t="inlineStr">
        <is>
          <t>17/03/2026</t>
        </is>
      </c>
      <c r="K11104" s="10" t="inlineStr">
        <is>
          <t>N/A</t>
        </is>
      </c>
      <c r="L11104" s="10" t="inlineStr">
        <is>
          <t>Kinh Doanh Quốc Tế, Phát Triển Đối Tác, Quản Lý Dữ Liệu, Tiếng Anh, Tìm Kiếm Khách Hàng</t>
        </is>
      </c>
      <c r="M11104" s="10" t="inlineStr">
        <is>
          <t>Bonus, Healthcare Plan, Others</t>
        </is>
      </c>
      <c r="N11104" s="11">
        <f>HYPERLINK("https://www.vietnamworks.com/truong-phong-kinh-doanh-quoc-te-2023573-jv","Xem chi tiết")</f>
        <v/>
      </c>
      <c r="O11104" s="10" t="n"/>
    </row>
    <row r="11105">
      <c r="B11105" s="7" t="n">
        <v>11103</v>
      </c>
      <c r="C11105" t="inlineStr">
        <is>
          <t>Chuyên Viên Nhóm Hàng (Biết Tiếng Anh hoặc Tiếng Trung)</t>
        </is>
      </c>
      <c r="D11105" t="inlineStr">
        <is>
          <t>Công Ty Cổ Phần Tập Đoàn Sunhouse</t>
        </is>
      </c>
      <c r="E11105" t="inlineStr">
        <is>
          <t>Thương lượng</t>
        </is>
      </c>
      <c r="F11105" t="inlineStr">
        <is>
          <t>Hà Nội</t>
        </is>
      </c>
      <c r="G11105" t="inlineStr">
        <is>
          <t>Nhân viên</t>
        </is>
      </c>
      <c r="H11105" t="inlineStr">
        <is>
          <t>13/03/2026</t>
        </is>
      </c>
      <c r="I11105" t="inlineStr">
        <is>
          <t>12/04/2026</t>
        </is>
      </c>
      <c r="J11105" t="inlineStr">
        <is>
          <t>17/03/2026</t>
        </is>
      </c>
      <c r="K11105" t="inlineStr">
        <is>
          <t>N/A</t>
        </is>
      </c>
      <c r="L11105" t="inlineStr">
        <is>
          <t>Tài Chính, Phân Tích Thị Trường, Tiếng Anh, Tiếng Trung, Phát Triển Sản Phẩm</t>
        </is>
      </c>
      <c r="M11105" t="inlineStr">
        <is>
          <t>Bonus, Laptop, Travel Opportunities</t>
        </is>
      </c>
      <c r="N11105" s="8">
        <f>HYPERLINK("https://www.vietnamworks.com/chuyen-vien-nhom-hang-biet-tieng-anh-hoac-tieng-trung--2023572-jv","Xem chi tiết")</f>
        <v/>
      </c>
    </row>
    <row r="11106">
      <c r="B11106" s="9" t="n">
        <v>11104</v>
      </c>
      <c r="C11106" s="10" t="inlineStr">
        <is>
          <t>Phó Tổng Giám Đốc Tài Chính Và Kế Hoạch</t>
        </is>
      </c>
      <c r="D11106" s="10" t="inlineStr">
        <is>
          <t>CÔNG TY CỔ PHẦN TẬP ĐOÀN VINASTONE</t>
        </is>
      </c>
      <c r="E11106" s="10" t="inlineStr">
        <is>
          <t>25tr-40tr ₫/tháng</t>
        </is>
      </c>
      <c r="F11106" s="10" t="inlineStr">
        <is>
          <t>Hà Nội</t>
        </is>
      </c>
      <c r="G11106" s="10" t="inlineStr">
        <is>
          <t>Giám Đốc và Cấp Cao Hơn</t>
        </is>
      </c>
      <c r="H11106" s="10" t="inlineStr">
        <is>
          <t>13/03/2026</t>
        </is>
      </c>
      <c r="I11106" s="10" t="inlineStr">
        <is>
          <t>12/04/2026</t>
        </is>
      </c>
      <c r="J11106" s="10" t="inlineStr">
        <is>
          <t>17/03/2026</t>
        </is>
      </c>
      <c r="K11106" s="10" t="inlineStr">
        <is>
          <t>N/A</t>
        </is>
      </c>
      <c r="L11106" s="10" t="inlineStr">
        <is>
          <t>Kế Toán, Kinh Tế, Quản Trị Rủi Ro, Quản Trị Tài Chính, Tài Chính</t>
        </is>
      </c>
      <c r="M11106" s="10" t="inlineStr">
        <is>
          <t>Bonus, Healthcare Plan, Others</t>
        </is>
      </c>
      <c r="N11106" s="11">
        <f>HYPERLINK("https://www.vietnamworks.com/pho-tong-giam-djoc-tai-chinh-va-ke-hoach-2023571-jv","Xem chi tiết")</f>
        <v/>
      </c>
      <c r="O11106" s="10" t="n"/>
    </row>
    <row r="11107">
      <c r="B11107" s="7" t="n">
        <v>11105</v>
      </c>
      <c r="C11107" t="inlineStr">
        <is>
          <t>Nhân Viên Chứng Từ Logistics (Tiếng Trung)</t>
        </is>
      </c>
      <c r="D11107" t="inlineStr">
        <is>
          <t>CÔNG TY CỔ PHẦN TRANSCENDLINK</t>
        </is>
      </c>
      <c r="E11107" t="inlineStr">
        <is>
          <t>Thương lượng</t>
        </is>
      </c>
      <c r="F11107" t="inlineStr">
        <is>
          <t>Hồ Chí Minh</t>
        </is>
      </c>
      <c r="G11107" t="inlineStr">
        <is>
          <t>Nhân viên</t>
        </is>
      </c>
      <c r="H11107" t="inlineStr">
        <is>
          <t>13/03/2026</t>
        </is>
      </c>
      <c r="I11107" t="inlineStr">
        <is>
          <t>12/04/2026</t>
        </is>
      </c>
      <c r="J11107" t="inlineStr">
        <is>
          <t>17/03/2026</t>
        </is>
      </c>
      <c r="K11107" t="inlineStr">
        <is>
          <t>N/A</t>
        </is>
      </c>
      <c r="L11107" t="inlineStr">
        <is>
          <t>Chinese Speaking, Import Export Document, Logistics, logistics documentation, Shipping Documents</t>
        </is>
      </c>
      <c r="M11107" t="inlineStr">
        <is>
          <t>Bonus, Training, Awards, Laptop</t>
        </is>
      </c>
      <c r="N11107" s="8">
        <f>HYPERLINK("https://www.vietnamworks.com/nhan-vien-chung-tu-logistics-tieng-trung-2023575-jv","Xem chi tiết")</f>
        <v/>
      </c>
    </row>
    <row r="11108">
      <c r="B11108" s="9" t="n">
        <v>11106</v>
      </c>
      <c r="C11108" s="10" t="inlineStr">
        <is>
          <t>TRƯỞNG PHÒNG VẬN HÀNH LOGISTICS (Operations Manager)</t>
        </is>
      </c>
      <c r="D11108" s="10" t="inlineStr">
        <is>
          <t>CÔNG TY CỔ PHẦN TRANSCENDLINK</t>
        </is>
      </c>
      <c r="E11108" s="10" t="inlineStr">
        <is>
          <t>Thương lượng</t>
        </is>
      </c>
      <c r="F11108" s="10" t="inlineStr">
        <is>
          <t>Hồ Chí Minh</t>
        </is>
      </c>
      <c r="G11108" s="10" t="inlineStr">
        <is>
          <t>Trưởng phòng</t>
        </is>
      </c>
      <c r="H11108" s="10" t="inlineStr">
        <is>
          <t>13/03/2026</t>
        </is>
      </c>
      <c r="I11108" s="10" t="inlineStr">
        <is>
          <t>12/04/2026</t>
        </is>
      </c>
      <c r="J11108" s="10" t="inlineStr">
        <is>
          <t>17/03/2026</t>
        </is>
      </c>
      <c r="K11108" s="10" t="inlineStr">
        <is>
          <t>N/A</t>
        </is>
      </c>
      <c r="L11108" s="10" t="inlineStr">
        <is>
          <t>Freight Forwarding, Logistics, Logistics Management, Operations Management, Supply Chain Operations</t>
        </is>
      </c>
      <c r="M11108" s="10" t="inlineStr">
        <is>
          <t>Bonus, Awards, Library</t>
        </is>
      </c>
      <c r="N11108" s="11">
        <f>HYPERLINK("https://www.vietnamworks.com/truong-phong-van-hanh-logistics-operations-manager-2023567-jv","Xem chi tiết")</f>
        <v/>
      </c>
      <c r="O11108" s="10" t="n"/>
    </row>
    <row r="11109">
      <c r="B11109" s="7" t="n">
        <v>11107</v>
      </c>
      <c r="C11109" t="inlineStr">
        <is>
          <t>Kế Toán Trưởng (Chief Accountant) - Tuyển Gấp</t>
        </is>
      </c>
      <c r="D11109" t="inlineStr">
        <is>
          <t>MISA Jointstock Company</t>
        </is>
      </c>
      <c r="E11109" t="inlineStr">
        <is>
          <t>Thương lượng</t>
        </is>
      </c>
      <c r="F11109" t="inlineStr">
        <is>
          <t>Hà Nội</t>
        </is>
      </c>
      <c r="G11109" t="inlineStr">
        <is>
          <t>Trưởng phòng</t>
        </is>
      </c>
      <c r="H11109" t="inlineStr">
        <is>
          <t>13/03/2026</t>
        </is>
      </c>
      <c r="I11109" t="inlineStr">
        <is>
          <t>12/04/2026</t>
        </is>
      </c>
      <c r="J11109" t="inlineStr">
        <is>
          <t>17/03/2026</t>
        </is>
      </c>
      <c r="K11109" t="inlineStr">
        <is>
          <t>N/A</t>
        </is>
      </c>
      <c r="L11109" t="inlineStr">
        <is>
          <t>Tài Chính, Manage ERP Software, Phân tích dữ liệu, Hạch Toán, KẾ TOÁN TRƯỞNG</t>
        </is>
      </c>
      <c r="M11109" t="inlineStr">
        <is>
          <t>Bonus, Healthcare Plan, Training, Awards, Team Activities, Others</t>
        </is>
      </c>
      <c r="N11109" s="8">
        <f>HYPERLINK("https://www.vietnamworks.com/ke-toan-truong-chief-accountant-tuyen-gap--2023559-jv","Xem chi tiết")</f>
        <v/>
      </c>
    </row>
    <row r="11110">
      <c r="B11110" s="9" t="n">
        <v>11108</v>
      </c>
      <c r="C11110" s="10" t="inlineStr">
        <is>
          <t>Trưởng Phòng Quản Lý Xây Dựng - Nội Thất</t>
        </is>
      </c>
      <c r="D11110" s="10" t="inlineStr">
        <is>
          <t>Công Ty Cổ Phần Tập Đoàn BRG</t>
        </is>
      </c>
      <c r="E11110" s="10" t="inlineStr">
        <is>
          <t>Thương lượng</t>
        </is>
      </c>
      <c r="F11110" s="10" t="inlineStr">
        <is>
          <t>Hà Nội</t>
        </is>
      </c>
      <c r="G11110" s="10" t="inlineStr">
        <is>
          <t>Trưởng phòng</t>
        </is>
      </c>
      <c r="H11110" s="10" t="inlineStr">
        <is>
          <t>13/03/2026</t>
        </is>
      </c>
      <c r="I11110" s="10" t="inlineStr">
        <is>
          <t>12/04/2026</t>
        </is>
      </c>
      <c r="J11110" s="10" t="inlineStr">
        <is>
          <t>17/03/2026</t>
        </is>
      </c>
      <c r="K11110" s="10" t="inlineStr">
        <is>
          <t>N/A</t>
        </is>
      </c>
      <c r="L11110" s="10" t="inlineStr">
        <is>
          <t>Quản Lý Xây Dựng, Quản Lý Dự Án, Giám Sát Xây Dựng, Xây Dựng Dân Dụng, Project Managent</t>
        </is>
      </c>
      <c r="M11110" s="10" t="inlineStr">
        <is>
          <t>Bonus, Healthcare Plan, Travel Opportunities</t>
        </is>
      </c>
      <c r="N11110" s="11">
        <f>HYPERLINK("https://www.vietnamworks.com/truong-phong-quan-ly-xay-dung-noi-that--2023569-jv","Xem chi tiết")</f>
        <v/>
      </c>
      <c r="O11110" s="10" t="n"/>
    </row>
    <row r="11111">
      <c r="B11111" s="7" t="n">
        <v>11109</v>
      </c>
      <c r="C11111" t="inlineStr">
        <is>
          <t>Financial Crime Forensics Manager</t>
        </is>
      </c>
      <c r="D11111" t="inlineStr">
        <is>
          <t>Ernst &amp; Young Vietnam Limited (EY Vietnam)</t>
        </is>
      </c>
      <c r="E11111" t="inlineStr">
        <is>
          <t>Thương lượng</t>
        </is>
      </c>
      <c r="F11111" t="inlineStr">
        <is>
          <t>Hồ Chí Minh</t>
        </is>
      </c>
      <c r="G11111" t="inlineStr">
        <is>
          <t>Trưởng phòng</t>
        </is>
      </c>
      <c r="H11111" t="inlineStr">
        <is>
          <t>13/03/2026</t>
        </is>
      </c>
      <c r="I11111" t="inlineStr">
        <is>
          <t>12/04/2026</t>
        </is>
      </c>
      <c r="J11111" t="inlineStr">
        <is>
          <t>17/03/2026</t>
        </is>
      </c>
      <c r="K11111" t="inlineStr">
        <is>
          <t>N/A</t>
        </is>
      </c>
      <c r="L11111" t="inlineStr">
        <is>
          <t>Finance, Auditing, Financial, Managerial Experience, English</t>
        </is>
      </c>
      <c r="M11111" t="inlineStr">
        <is>
          <t>Bonus, Awards, Others</t>
        </is>
      </c>
      <c r="N11111" s="8">
        <f>HYPERLINK("https://www.vietnamworks.com/financial-crime-forensics-manager-2023558-jv","Xem chi tiết")</f>
        <v/>
      </c>
    </row>
    <row r="11112">
      <c r="B11112" s="9" t="n">
        <v>11110</v>
      </c>
      <c r="C11112" s="10" t="inlineStr">
        <is>
          <t>Chuyên Viên Kế Hoạch Tiến Độ</t>
        </is>
      </c>
      <c r="D11112" s="10" t="inlineStr">
        <is>
          <t>BIM Group Quảng Ninh</t>
        </is>
      </c>
      <c r="E11112" s="10" t="inlineStr">
        <is>
          <t>Thương lượng</t>
        </is>
      </c>
      <c r="F11112" s="10" t="inlineStr">
        <is>
          <t>Quảng Ninh</t>
        </is>
      </c>
      <c r="G11112" s="10" t="inlineStr">
        <is>
          <t>Nhân viên</t>
        </is>
      </c>
      <c r="H11112" s="10" t="inlineStr">
        <is>
          <t>13/03/2026</t>
        </is>
      </c>
      <c r="I11112" s="10" t="inlineStr">
        <is>
          <t>12/04/2026</t>
        </is>
      </c>
      <c r="J11112" s="10" t="inlineStr">
        <is>
          <t>17/03/2026</t>
        </is>
      </c>
      <c r="K11112" s="10" t="inlineStr">
        <is>
          <t>N/A</t>
        </is>
      </c>
      <c r="L11112" s="10" t="inlineStr">
        <is>
          <t>Kiểm Soát Tiến Độ Thi Công, Quản Lý Dự Án, Quản Lý Tiến Độ, Tiếng Anh, Xây Dựng</t>
        </is>
      </c>
      <c r="M11112" s="10" t="inlineStr">
        <is>
          <t>Others</t>
        </is>
      </c>
      <c r="N11112" s="11">
        <f>HYPERLINK("https://www.vietnamworks.com/chuyen-vien-ke-hoach-tien-djo-2023554-jv","Xem chi tiết")</f>
        <v/>
      </c>
      <c r="O11112" s="10" t="n"/>
    </row>
    <row r="11113">
      <c r="B11113" s="7" t="n">
        <v>11111</v>
      </c>
      <c r="C11113" t="inlineStr">
        <is>
          <t>IOS Developer (Swift)</t>
        </is>
      </c>
      <c r="D11113" t="inlineStr">
        <is>
          <t>CÔNG TY TNHH ICONDO VIỆT NAM</t>
        </is>
      </c>
      <c r="E11113" t="inlineStr">
        <is>
          <t>Thương lượng</t>
        </is>
      </c>
      <c r="F11113" t="inlineStr">
        <is>
          <t>Hồ Chí Minh</t>
        </is>
      </c>
      <c r="G11113" t="inlineStr">
        <is>
          <t>Nhân viên</t>
        </is>
      </c>
      <c r="H11113" t="inlineStr">
        <is>
          <t>13/03/2026</t>
        </is>
      </c>
      <c r="I11113" t="inlineStr">
        <is>
          <t>12/04/2026</t>
        </is>
      </c>
      <c r="J11113" t="inlineStr">
        <is>
          <t>17/03/2026</t>
        </is>
      </c>
      <c r="K11113" t="inlineStr">
        <is>
          <t>N/A</t>
        </is>
      </c>
      <c r="L11113" t="inlineStr">
        <is>
          <t>iOS, Swift, Oop Knowledge, RESTful API, English</t>
        </is>
      </c>
      <c r="M11113" t="inlineStr">
        <is>
          <t>Bonus, Healthcare Plan, Paid Leave, Training, Laptop, Travel Opportunities, Team Activities, Others</t>
        </is>
      </c>
      <c r="N11113" s="8">
        <f>HYPERLINK("https://www.vietnamworks.com/ios-developer-swift-2023576-jv","Xem chi tiết")</f>
        <v/>
      </c>
    </row>
    <row r="11114">
      <c r="B11114" s="9" t="n">
        <v>11112</v>
      </c>
      <c r="C11114" s="10" t="inlineStr">
        <is>
          <t>Talent Acquisition Business Partner</t>
        </is>
      </c>
      <c r="D11114" s="10" t="inlineStr">
        <is>
          <t>MISA Jointstock Company</t>
        </is>
      </c>
      <c r="E11114" s="10" t="inlineStr">
        <is>
          <t>Thương lượng</t>
        </is>
      </c>
      <c r="F11114" s="10" t="inlineStr">
        <is>
          <t>Hà Nội, Hồ Chí Minh</t>
        </is>
      </c>
      <c r="G11114" s="10" t="inlineStr">
        <is>
          <t>Trưởng phòng</t>
        </is>
      </c>
      <c r="H11114" s="10" t="inlineStr">
        <is>
          <t>13/03/2026</t>
        </is>
      </c>
      <c r="I11114" s="10" t="inlineStr">
        <is>
          <t>12/04/2026</t>
        </is>
      </c>
      <c r="J11114" s="10" t="inlineStr">
        <is>
          <t>17/03/2026</t>
        </is>
      </c>
      <c r="K11114" s="10" t="inlineStr">
        <is>
          <t>N/A</t>
        </is>
      </c>
      <c r="L11114" s="10" t="inlineStr">
        <is>
          <t>Talent Acquisition, Headhunting, Market Research, Communication Skills, Quản Trị Nhân Lực</t>
        </is>
      </c>
      <c r="M11114" s="10" t="inlineStr">
        <is>
          <t>Bonus, Healthcare Plan, Training, Awards, Laptop, Others</t>
        </is>
      </c>
      <c r="N11114" s="11">
        <f>HYPERLINK("https://www.vietnamworks.com/talent-acquisition-business-partner-2023561-jv","Xem chi tiết")</f>
        <v/>
      </c>
      <c r="O11114" s="10" t="n"/>
    </row>
    <row r="11115">
      <c r="B11115" s="7" t="n">
        <v>11113</v>
      </c>
      <c r="C11115" t="inlineStr">
        <is>
          <t>Nhân viên Công nghệ thông tin (IT)</t>
        </is>
      </c>
      <c r="D11115" t="inlineStr">
        <is>
          <t>Công ty TNHH MTV Vận Tải Biển Đông</t>
        </is>
      </c>
      <c r="E11115" t="inlineStr">
        <is>
          <t>Thương lượng</t>
        </is>
      </c>
      <c r="F11115" t="inlineStr">
        <is>
          <t>Hà Nội</t>
        </is>
      </c>
      <c r="G11115" t="inlineStr">
        <is>
          <t>Mới Tốt Nghiệp</t>
        </is>
      </c>
      <c r="H11115" t="inlineStr">
        <is>
          <t>13/03/2026</t>
        </is>
      </c>
      <c r="I11115" t="inlineStr">
        <is>
          <t>12/04/2026</t>
        </is>
      </c>
      <c r="J11115" t="inlineStr">
        <is>
          <t>17/03/2026</t>
        </is>
      </c>
      <c r="K11115" t="inlineStr">
        <is>
          <t>N/A</t>
        </is>
      </c>
      <c r="L11115" t="inlineStr">
        <is>
          <t>An Toàn Thông Tin Mạng, Cài Đặt Phần Mềm, IT Helpdesk, Quản Trị Hệ Thống Mạng, Quản Trị Website</t>
        </is>
      </c>
      <c r="M11115" t="inlineStr">
        <is>
          <t>Healthcare Plan, Training, Others</t>
        </is>
      </c>
      <c r="N11115" s="8">
        <f>HYPERLINK("https://www.vietnamworks.com/nhan-vien-cong-nghe-thong-tin-it-2023557-jv","Xem chi tiết")</f>
        <v/>
      </c>
    </row>
    <row r="11116">
      <c r="B11116" s="9" t="n">
        <v>11114</v>
      </c>
      <c r="C11116" s="10" t="inlineStr">
        <is>
          <t>Nhân Viên Đầu Tư Mua Sắm (Tiếng Anh Thành Thạo)</t>
        </is>
      </c>
      <c r="D11116" s="10" t="inlineStr">
        <is>
          <t>TCT CP Đầu tư Quốc tế Viettel</t>
        </is>
      </c>
      <c r="E11116" s="10" t="inlineStr">
        <is>
          <t>15tr-25tr ₫/tháng</t>
        </is>
      </c>
      <c r="F11116" s="10" t="inlineStr">
        <is>
          <t>Hà Nội</t>
        </is>
      </c>
      <c r="G11116" s="10" t="inlineStr">
        <is>
          <t>Nhân viên</t>
        </is>
      </c>
      <c r="H11116" s="10" t="inlineStr">
        <is>
          <t>13/03/2026</t>
        </is>
      </c>
      <c r="I11116" s="10" t="inlineStr">
        <is>
          <t>12/04/2026</t>
        </is>
      </c>
      <c r="J11116" s="10" t="inlineStr">
        <is>
          <t>17/03/2026</t>
        </is>
      </c>
      <c r="K11116" s="10" t="inlineStr">
        <is>
          <t>N/A</t>
        </is>
      </c>
      <c r="L11116" s="10" t="inlineStr">
        <is>
          <t>Mua Sắm Hàng Hóa, Tiếng Anh Toeic 600, Tiếng Pháp, Viễn Thông, Đầu Tư</t>
        </is>
      </c>
      <c r="M11116" s="10" t="inlineStr">
        <is>
          <t>Bonus, Healthcare Plan, Training, Team Activities</t>
        </is>
      </c>
      <c r="N11116" s="11">
        <f>HYPERLINK("https://www.vietnamworks.com/nhan-vien-dau-tu-mua-sam-tieng-anh-thanh-thao-2023580-jv","Xem chi tiết")</f>
        <v/>
      </c>
      <c r="O11116" s="10" t="n"/>
    </row>
    <row r="11117">
      <c r="B11117" s="7" t="n">
        <v>11115</v>
      </c>
      <c r="C11117" t="inlineStr">
        <is>
          <t>NHÂN VIÊN KINH DOANH LOGISTICS (Sales Logistics)</t>
        </is>
      </c>
      <c r="D11117" t="inlineStr">
        <is>
          <t>CÔNG TY CỔ PHẦN TRANSCENDLINK</t>
        </is>
      </c>
      <c r="E11117" t="inlineStr">
        <is>
          <t>Thương lượng</t>
        </is>
      </c>
      <c r="F11117" t="inlineStr">
        <is>
          <t>Hồ Chí Minh</t>
        </is>
      </c>
      <c r="G11117" t="inlineStr">
        <is>
          <t>Nhân viên</t>
        </is>
      </c>
      <c r="H11117" t="inlineStr">
        <is>
          <t>13/03/2026</t>
        </is>
      </c>
      <c r="I11117" t="inlineStr">
        <is>
          <t>12/04/2026</t>
        </is>
      </c>
      <c r="J11117" t="inlineStr">
        <is>
          <t>17/03/2026</t>
        </is>
      </c>
      <c r="K11117" t="inlineStr">
        <is>
          <t>N/A</t>
        </is>
      </c>
      <c r="L11117" t="inlineStr">
        <is>
          <t>Business Development, Freight Forwarding Sales, Logistics, Logistics Sales, Supply Chain</t>
        </is>
      </c>
      <c r="M11117" t="inlineStr">
        <is>
          <t>Bonus, Awards, Laptop</t>
        </is>
      </c>
      <c r="N11117" s="8">
        <f>HYPERLINK("https://www.vietnamworks.com/nhan-vien-kinh-doanh-logistics-sales-logistics-2023582-jv","Xem chi tiết")</f>
        <v/>
      </c>
    </row>
    <row r="11118">
      <c r="B11118" s="9" t="n">
        <v>11116</v>
      </c>
      <c r="C11118" s="10" t="inlineStr">
        <is>
          <t>Kỹ Thuật Viên Sản Xuất</t>
        </is>
      </c>
      <c r="D11118" s="10" t="inlineStr">
        <is>
          <t>Viettel VTX</t>
        </is>
      </c>
      <c r="E11118" s="10" t="inlineStr">
        <is>
          <t>Thương lượng</t>
        </is>
      </c>
      <c r="F11118" s="10" t="inlineStr">
        <is>
          <t>Hà Nội</t>
        </is>
      </c>
      <c r="G11118" s="10" t="inlineStr">
        <is>
          <t>Nhân viên</t>
        </is>
      </c>
      <c r="H11118" s="10" t="inlineStr">
        <is>
          <t>13/03/2026</t>
        </is>
      </c>
      <c r="I11118" s="10" t="inlineStr">
        <is>
          <t>12/04/2026</t>
        </is>
      </c>
      <c r="J11118" s="10" t="inlineStr">
        <is>
          <t>17/03/2026</t>
        </is>
      </c>
      <c r="K11118" s="10" t="inlineStr">
        <is>
          <t>N/A</t>
        </is>
      </c>
      <c r="L11118" s="10" t="inlineStr">
        <is>
          <t>N/A</t>
        </is>
      </c>
      <c r="M11118" s="10" t="inlineStr">
        <is>
          <t>Healthcare Plan, Training, Others</t>
        </is>
      </c>
      <c r="N11118" s="11">
        <f>HYPERLINK("https://www.vietnamworks.com/ky-thuat-vien-san-xuat-2023606-jv","Xem chi tiết")</f>
        <v/>
      </c>
      <c r="O11118" s="10" t="n"/>
    </row>
    <row r="11119">
      <c r="B11119" s="7" t="n">
        <v>11117</v>
      </c>
      <c r="C11119" t="inlineStr">
        <is>
          <t>KỸ SƯ KỸ THUẬT/ SHOP DRAWING (NGÀNH ĐÁ XÂY DỰNG)</t>
        </is>
      </c>
      <c r="D11119" t="inlineStr">
        <is>
          <t>CÔNG TY CỔ PHẦN TẬP ĐOÀN VINASTONE</t>
        </is>
      </c>
      <c r="E11119" t="inlineStr">
        <is>
          <t>Thương lượng</t>
        </is>
      </c>
      <c r="F11119" t="inlineStr">
        <is>
          <t>Hà Nội</t>
        </is>
      </c>
      <c r="G11119" t="inlineStr">
        <is>
          <t>Nhân viên</t>
        </is>
      </c>
      <c r="H11119" t="inlineStr">
        <is>
          <t>13/03/2026</t>
        </is>
      </c>
      <c r="I11119" t="inlineStr">
        <is>
          <t>12/04/2026</t>
        </is>
      </c>
      <c r="J11119" t="inlineStr">
        <is>
          <t>17/03/2026</t>
        </is>
      </c>
      <c r="K11119" t="inlineStr">
        <is>
          <t>N/A</t>
        </is>
      </c>
      <c r="L11119" t="inlineStr">
        <is>
          <t>AutoCAD, Kỹ Thuật Xây Dựng, Shop Drawing, Sketchup, Triển Khai Dự Án</t>
        </is>
      </c>
      <c r="M11119" t="inlineStr">
        <is>
          <t>Bonus, Healthcare Plan, Others</t>
        </is>
      </c>
      <c r="N11119" s="8">
        <f>HYPERLINK("https://www.vietnamworks.com/ky-su-ky-thuat-shop-drawing-nganh-dja-xay-dung-2023579-jv","Xem chi tiết")</f>
        <v/>
      </c>
    </row>
    <row r="11120">
      <c r="B11120" s="9" t="n">
        <v>11118</v>
      </c>
      <c r="C11120" s="10" t="inlineStr">
        <is>
          <t>Chief of Customer Value Management Division</t>
        </is>
      </c>
      <c r="D11120" s="10" t="inlineStr">
        <is>
          <t>Công Ty Tài Chính TNHH Ngân Hàng TMCP Sài Gòn - Hà Nội (SHBFinance)</t>
        </is>
      </c>
      <c r="E11120" s="10" t="inlineStr">
        <is>
          <t>Thương lượng</t>
        </is>
      </c>
      <c r="F11120" s="10" t="inlineStr">
        <is>
          <t>Hồ Chí Minh</t>
        </is>
      </c>
      <c r="G11120" s="10" t="inlineStr">
        <is>
          <t>Giám Đốc và Cấp Cao Hơn</t>
        </is>
      </c>
      <c r="H11120" s="10" t="inlineStr">
        <is>
          <t>13/03/2026</t>
        </is>
      </c>
      <c r="I11120" s="10" t="inlineStr">
        <is>
          <t>12/04/2026</t>
        </is>
      </c>
      <c r="J11120" s="10" t="inlineStr">
        <is>
          <t>17/03/2026</t>
        </is>
      </c>
      <c r="K11120" s="10" t="inlineStr">
        <is>
          <t>N/A</t>
        </is>
      </c>
      <c r="L11120" s="10" t="inlineStr">
        <is>
          <t>Cash Loans, Credit Card, Product Design, Product Development, Strategic Leadership</t>
        </is>
      </c>
      <c r="M11120" s="10" t="inlineStr">
        <is>
          <t>Bonus, Healthcare Plan, Travel Opportunities</t>
        </is>
      </c>
      <c r="N11120" s="11">
        <f>HYPERLINK("https://www.vietnamworks.com/chief-of-customer-value-management-division-2023598-jv","Xem chi tiết")</f>
        <v/>
      </c>
      <c r="O11120" s="10" t="n"/>
    </row>
    <row r="11121">
      <c r="B11121" s="7" t="n">
        <v>11119</v>
      </c>
      <c r="C11121" t="inlineStr">
        <is>
          <t>Manager, Construction Management (Based in HCM)</t>
        </is>
      </c>
      <c r="D11121" t="inlineStr">
        <is>
          <t>Sembcorp Development Vietnam Company Limited</t>
        </is>
      </c>
      <c r="E11121" t="inlineStr">
        <is>
          <t>Thương lượng</t>
        </is>
      </c>
      <c r="F11121" t="inlineStr">
        <is>
          <t>Hồ Chí Minh</t>
        </is>
      </c>
      <c r="G11121" t="inlineStr">
        <is>
          <t>Trưởng phòng</t>
        </is>
      </c>
      <c r="H11121" t="inlineStr">
        <is>
          <t>13/03/2026</t>
        </is>
      </c>
      <c r="I11121" t="inlineStr">
        <is>
          <t>12/04/2026</t>
        </is>
      </c>
      <c r="J11121" t="inlineStr">
        <is>
          <t>17/03/2026</t>
        </is>
      </c>
      <c r="K11121" t="inlineStr">
        <is>
          <t>N/A</t>
        </is>
      </c>
      <c r="L11121" t="inlineStr">
        <is>
          <t>Autocad, Civil Engineering, Design Management, Problem Solving, Project Management</t>
        </is>
      </c>
      <c r="M11121" t="inlineStr">
        <is>
          <t>Bonus, Healthcare Plan, Laptop</t>
        </is>
      </c>
      <c r="N11121" s="8">
        <f>HYPERLINK("https://www.vietnamworks.com/manager-construction-management-based-in-hcm-2023588-jv","Xem chi tiết")</f>
        <v/>
      </c>
    </row>
    <row r="11122">
      <c r="B11122" s="9" t="n">
        <v>11120</v>
      </c>
      <c r="C11122" s="10" t="inlineStr">
        <is>
          <t>Foxconn Tuyển Gấp Kỹ Sư PE FA</t>
        </is>
      </c>
      <c r="D11122" s="10" t="inlineStr">
        <is>
          <t>Công ty TNHH Công nghệ Chính xác FUYU</t>
        </is>
      </c>
      <c r="E11122" s="10" t="inlineStr">
        <is>
          <t>$$ 500-1,500 /tháng</t>
        </is>
      </c>
      <c r="F11122" s="10" t="inlineStr">
        <is>
          <t>Bắc Giang, Bắc Ninh</t>
        </is>
      </c>
      <c r="G11122" s="10" t="inlineStr">
        <is>
          <t>Nhân viên</t>
        </is>
      </c>
      <c r="H11122" s="10" t="inlineStr">
        <is>
          <t>13/03/2026</t>
        </is>
      </c>
      <c r="I11122" s="10" t="inlineStr">
        <is>
          <t>12/04/2026</t>
        </is>
      </c>
      <c r="J11122" s="10" t="inlineStr">
        <is>
          <t>17/03/2026</t>
        </is>
      </c>
      <c r="K11122" s="10" t="inlineStr">
        <is>
          <t>N/A</t>
        </is>
      </c>
      <c r="L11122" s="10" t="inlineStr">
        <is>
          <t>PE, FMEA, PCBA, Điện tử, Tự Động Hóa</t>
        </is>
      </c>
      <c r="M11122" s="10" t="inlineStr">
        <is>
          <t>Bonus, Healthcare Plan, Training</t>
        </is>
      </c>
      <c r="N11122" s="11">
        <f>HYPERLINK("https://www.vietnamworks.com/foxconn-tuyen-gap-ky-su-pe-fa-2023612-jv","Xem chi tiết")</f>
        <v/>
      </c>
      <c r="O11122" s="10" t="n"/>
    </row>
    <row r="11123">
      <c r="B11123" s="7" t="n">
        <v>11121</v>
      </c>
      <c r="C11123" t="inlineStr">
        <is>
          <t>[Hung Yen, Hai Duong, Bac Ninh, Bac Giang, Hai Phong] Senior Executive Construction Management</t>
        </is>
      </c>
      <c r="D11123" t="inlineStr">
        <is>
          <t>Sembcorp Development Vietnam Company Limited</t>
        </is>
      </c>
      <c r="E11123" t="inlineStr">
        <is>
          <t>Thương lượng</t>
        </is>
      </c>
      <c r="F11123" t="inlineStr">
        <is>
          <t>Hải Phòng, Bắc Ninh, Hưng Yên</t>
        </is>
      </c>
      <c r="G11123" t="inlineStr">
        <is>
          <t>Nhân viên</t>
        </is>
      </c>
      <c r="H11123" t="inlineStr">
        <is>
          <t>13/03/2026</t>
        </is>
      </c>
      <c r="I11123" t="inlineStr">
        <is>
          <t>12/04/2026</t>
        </is>
      </c>
      <c r="J11123" t="inlineStr">
        <is>
          <t>17/03/2026</t>
        </is>
      </c>
      <c r="K11123" t="inlineStr">
        <is>
          <t>N/A</t>
        </is>
      </c>
      <c r="L11123" t="inlineStr">
        <is>
          <t>Autocad, Civil Engineering, Design Management, Problem Solving, Project Management</t>
        </is>
      </c>
      <c r="M11123" t="inlineStr">
        <is>
          <t>Bonus, Healthcare Plan, Laptop</t>
        </is>
      </c>
      <c r="N11123" s="8">
        <f>HYPERLINK("https://www.vietnamworks.com/hung-yen-hai-duong-bac-ninh-bac-giang-hai-phong-senior-executive-construction-management-2023607-jv","Xem chi tiết")</f>
        <v/>
      </c>
    </row>
    <row r="11124">
      <c r="B11124" s="9" t="n">
        <v>11122</v>
      </c>
      <c r="C11124" s="10" t="inlineStr">
        <is>
          <t>Nhân Viên Kinh Doanh Bất Động Sản - Lương Cứng Từ 8-25Tr/tháng + Hoa Hồng 500 Triệu/giao Dịch - Không Áp Doanh Số</t>
        </is>
      </c>
      <c r="D11124" s="10" t="inlineStr">
        <is>
          <t>Công Ty Cổ Phần Dịch Vụ Và Địa Ốc Đất Xanh Miền Bắc</t>
        </is>
      </c>
      <c r="E11124" s="10" t="inlineStr">
        <is>
          <t>Từ 2,400 ₫/tháng</t>
        </is>
      </c>
      <c r="F11124" s="10" t="inlineStr">
        <is>
          <t>Hà Nội, Hồ Chí Minh, Đà Nẵng</t>
        </is>
      </c>
      <c r="G11124" s="10" t="inlineStr">
        <is>
          <t>Mới Tốt Nghiệp</t>
        </is>
      </c>
      <c r="H11124" s="10" t="inlineStr">
        <is>
          <t>13/03/2026</t>
        </is>
      </c>
      <c r="I11124" s="10" t="inlineStr">
        <is>
          <t>12/04/2026</t>
        </is>
      </c>
      <c r="J11124" s="10" t="inlineStr">
        <is>
          <t>17/03/2026</t>
        </is>
      </c>
      <c r="K11124" s="10" t="inlineStr">
        <is>
          <t>N/A</t>
        </is>
      </c>
      <c r="L11124" s="10" t="inlineStr">
        <is>
          <t>Kinh Doanh Bất Động Sản, Tư Vấn Khách Hàng, Chăm Sóc Khách Hàng, Đàm Phán, Tìm Kiếm Khách Hàng</t>
        </is>
      </c>
      <c r="M11124" s="10" t="inlineStr">
        <is>
          <t>Bonus, Healthcare Plan, Training</t>
        </is>
      </c>
      <c r="N11124" s="11">
        <f>HYPERLINK("https://www.vietnamworks.com/nhan-vien-kinh-doanh-bat-dong-san-luong-cung-tu-8-25tr-thang-hoa-hong-500-trieu-giao-dich-khong-ap-doanh-so--2023585-jv","Xem chi tiết")</f>
        <v/>
      </c>
      <c r="O11124" s="10" t="n"/>
    </row>
    <row r="11125">
      <c r="B11125" s="7" t="n">
        <v>11123</v>
      </c>
      <c r="C11125" t="inlineStr">
        <is>
          <t>[Phú Thọ] Trưởng Phòng Công Nghệ Thí Nghiệm</t>
        </is>
      </c>
      <c r="D11125" t="inlineStr">
        <is>
          <t>Công Ty Cổ Phần Tập Đoàn Quartz Stone</t>
        </is>
      </c>
      <c r="E11125" t="inlineStr">
        <is>
          <t>Thương lượng</t>
        </is>
      </c>
      <c r="F11125" t="inlineStr">
        <is>
          <t>Hà Nội, Phú Thọ</t>
        </is>
      </c>
      <c r="G11125" t="inlineStr">
        <is>
          <t>Trưởng phòng</t>
        </is>
      </c>
      <c r="H11125" t="inlineStr">
        <is>
          <t>13/03/2026</t>
        </is>
      </c>
      <c r="I11125" t="inlineStr">
        <is>
          <t>12/04/2026</t>
        </is>
      </c>
      <c r="J11125" t="inlineStr">
        <is>
          <t>17/03/2026</t>
        </is>
      </c>
      <c r="K11125" t="inlineStr">
        <is>
          <t>N/A</t>
        </is>
      </c>
      <c r="L11125" t="inlineStr">
        <is>
          <t>Công Nghệ Sinh Học, Hóa Lý, Đá Thạch Anh Nhân Tạo, Vật liệu xây dựng, R&amp;D</t>
        </is>
      </c>
      <c r="M11125" t="inlineStr">
        <is>
          <t>Bonus, Healthcare Plan, Others</t>
        </is>
      </c>
      <c r="N11125" s="8">
        <f>HYPERLINK("https://www.vietnamworks.com/phu-tho-truong-phong-cong-nghe-thi-nghiem--2023589-jv","Xem chi tiết")</f>
        <v/>
      </c>
    </row>
    <row r="11126">
      <c r="B11126" s="9" t="n">
        <v>11124</v>
      </c>
      <c r="C11126" s="10" t="inlineStr">
        <is>
          <t>Experienced/senior Consultant - Forensic &amp; Integrity Services</t>
        </is>
      </c>
      <c r="D11126" s="10" t="inlineStr">
        <is>
          <t>Ernst &amp; Young Vietnam Limited (EY Vietnam)</t>
        </is>
      </c>
      <c r="E11126" s="10" t="inlineStr">
        <is>
          <t>Thương lượng</t>
        </is>
      </c>
      <c r="F11126" s="10" t="inlineStr">
        <is>
          <t>Hồ Chí Minh</t>
        </is>
      </c>
      <c r="G11126" s="10" t="inlineStr">
        <is>
          <t>Nhân viên</t>
        </is>
      </c>
      <c r="H11126" s="10" t="inlineStr">
        <is>
          <t>13/03/2026</t>
        </is>
      </c>
      <c r="I11126" s="10" t="inlineStr">
        <is>
          <t>12/04/2026</t>
        </is>
      </c>
      <c r="J11126" s="10" t="inlineStr">
        <is>
          <t>17/03/2026</t>
        </is>
      </c>
      <c r="K11126" s="10" t="inlineStr">
        <is>
          <t>N/A</t>
        </is>
      </c>
      <c r="L11126" s="10" t="inlineStr">
        <is>
          <t>Auditing, Finance, English, Assurance</t>
        </is>
      </c>
      <c r="M11126" s="10" t="inlineStr">
        <is>
          <t>Bonus, Awards, Others</t>
        </is>
      </c>
      <c r="N11126" s="11">
        <f>HYPERLINK("https://www.vietnamworks.com/experienced-senior-consultant-forensic-integrity-services-2023587-jv","Xem chi tiết")</f>
        <v/>
      </c>
      <c r="O11126" s="10" t="n"/>
    </row>
    <row r="11127">
      <c r="B11127" s="7" t="n">
        <v>11125</v>
      </c>
      <c r="C11127" t="inlineStr">
        <is>
          <t>Senior Retail Commercial</t>
        </is>
      </c>
      <c r="D11127" t="inlineStr">
        <is>
          <t>Công Ty Cổ Phần Sữa Việt Nam (Vinamilk)</t>
        </is>
      </c>
      <c r="E11127" t="inlineStr">
        <is>
          <t>Thương lượng</t>
        </is>
      </c>
      <c r="F11127" t="inlineStr">
        <is>
          <t>Hồ Chí Minh</t>
        </is>
      </c>
      <c r="G11127" t="inlineStr">
        <is>
          <t>Nhân viên</t>
        </is>
      </c>
      <c r="H11127" t="inlineStr">
        <is>
          <t>13/03/2026</t>
        </is>
      </c>
      <c r="I11127" t="inlineStr">
        <is>
          <t>12/04/2026</t>
        </is>
      </c>
      <c r="J11127" t="inlineStr">
        <is>
          <t>17/03/2026</t>
        </is>
      </c>
      <c r="K11127" t="inlineStr">
        <is>
          <t>N/A</t>
        </is>
      </c>
      <c r="L11127" t="inlineStr">
        <is>
          <t>Retail Sales, Retail Analytics, Commercial, FMCG Marketing, FMCG</t>
        </is>
      </c>
      <c r="M11127" t="inlineStr">
        <is>
          <t>Bonus, Healthcare Plan, Training</t>
        </is>
      </c>
      <c r="N11127" s="8">
        <f>HYPERLINK("https://www.vietnamworks.com/senior-retail-commercial--2023605-jv","Xem chi tiết")</f>
        <v/>
      </c>
    </row>
    <row r="11128">
      <c r="B11128" s="9" t="n">
        <v>11126</v>
      </c>
      <c r="C11128" s="10" t="inlineStr">
        <is>
          <t>Project Specification &amp; Sales Manager</t>
        </is>
      </c>
      <c r="D11128" s="10" t="inlineStr">
        <is>
          <t>Knauf Vietnam</t>
        </is>
      </c>
      <c r="E11128" s="10" t="inlineStr">
        <is>
          <t>Thương lượng</t>
        </is>
      </c>
      <c r="F11128" s="10" t="inlineStr">
        <is>
          <t>Hà Nội</t>
        </is>
      </c>
      <c r="G11128" s="10" t="inlineStr">
        <is>
          <t>Trưởng phòng</t>
        </is>
      </c>
      <c r="H11128" s="10" t="inlineStr">
        <is>
          <t>13/03/2026</t>
        </is>
      </c>
      <c r="I11128" s="10" t="inlineStr">
        <is>
          <t>12/04/2026</t>
        </is>
      </c>
      <c r="J11128" s="10" t="inlineStr">
        <is>
          <t>17/03/2026</t>
        </is>
      </c>
      <c r="K11128" s="10" t="inlineStr">
        <is>
          <t>N/A</t>
        </is>
      </c>
      <c r="L11128" s="10" t="inlineStr">
        <is>
          <t>Specification, Project sales, Pre-sales, Building Material, Sales</t>
        </is>
      </c>
      <c r="M11128" s="10" t="inlineStr">
        <is>
          <t>Healthcare Plan, Paid Leave, Training</t>
        </is>
      </c>
      <c r="N11128" s="11">
        <f>HYPERLINK("https://www.vietnamworks.com/project-specification-sales-manager-2023604-jv","Xem chi tiết")</f>
        <v/>
      </c>
      <c r="O11128" s="10" t="n"/>
    </row>
    <row r="11129">
      <c r="B11129" s="7" t="n">
        <v>11127</v>
      </c>
      <c r="C11129" t="inlineStr">
        <is>
          <t>Foxconn Tuyển Gấp Chuyên Viên Quản Lý Dự Án PM</t>
        </is>
      </c>
      <c r="D11129" t="inlineStr">
        <is>
          <t>Công ty TNHH Công nghệ Chính xác FUYU</t>
        </is>
      </c>
      <c r="E11129" t="inlineStr">
        <is>
          <t>$$ 500-1,500 /tháng</t>
        </is>
      </c>
      <c r="F11129" t="inlineStr">
        <is>
          <t>Bắc Giang, Bắc Ninh</t>
        </is>
      </c>
      <c r="G11129" t="inlineStr">
        <is>
          <t>Nhân viên</t>
        </is>
      </c>
      <c r="H11129" t="inlineStr">
        <is>
          <t>13/03/2026</t>
        </is>
      </c>
      <c r="I11129" t="inlineStr">
        <is>
          <t>12/04/2026</t>
        </is>
      </c>
      <c r="J11129" t="inlineStr">
        <is>
          <t>17/03/2026</t>
        </is>
      </c>
      <c r="K11129" t="inlineStr">
        <is>
          <t>N/A</t>
        </is>
      </c>
      <c r="L11129" t="inlineStr">
        <is>
          <t>PE, FMEA, PCBA, Điện tử, Tự Động Hóa</t>
        </is>
      </c>
      <c r="M11129" t="inlineStr">
        <is>
          <t>Bonus, Healthcare Plan, Training</t>
        </is>
      </c>
      <c r="N11129" s="8">
        <f>HYPERLINK("https://www.vietnamworks.com/foxconn-tuyen-gap-chuyen-vien-quan-ly-du-an-pm-2023601-jv","Xem chi tiết")</f>
        <v/>
      </c>
    </row>
    <row r="11130">
      <c r="B11130" s="9" t="n">
        <v>11128</v>
      </c>
      <c r="C11130" s="10" t="inlineStr">
        <is>
          <t>Social Media &amp; Brand Executive (Senior)</t>
        </is>
      </c>
      <c r="D11130" s="10" t="inlineStr">
        <is>
          <t>GTE Localize ., JSC</t>
        </is>
      </c>
      <c r="E11130" s="10" t="inlineStr">
        <is>
          <t>Thương lượng</t>
        </is>
      </c>
      <c r="F11130" s="10" t="inlineStr">
        <is>
          <t>Hà Nội</t>
        </is>
      </c>
      <c r="G11130" s="10" t="inlineStr">
        <is>
          <t>Nhân viên</t>
        </is>
      </c>
      <c r="H11130" s="10" t="inlineStr">
        <is>
          <t>13/03/2026</t>
        </is>
      </c>
      <c r="I11130" s="10" t="inlineStr">
        <is>
          <t>12/04/2026</t>
        </is>
      </c>
      <c r="J11130" s="10" t="inlineStr">
        <is>
          <t>17/03/2026</t>
        </is>
      </c>
      <c r="K11130" s="10" t="inlineStr">
        <is>
          <t>N/A</t>
        </is>
      </c>
      <c r="L11130" s="10" t="inlineStr">
        <is>
          <t>Media Production, Copywriting, Branding, Design, Social Media Promotions</t>
        </is>
      </c>
      <c r="M11130" s="10" t="inlineStr">
        <is>
          <t>Bonus, Healthcare Plan, Paid Leave, Travel Opportunities, Others</t>
        </is>
      </c>
      <c r="N11130" s="11">
        <f>HYPERLINK("https://www.vietnamworks.com/social-media-and-brand-executive-senior-2023584-jv","Xem chi tiết")</f>
        <v/>
      </c>
      <c r="O11130" s="10" t="n"/>
    </row>
    <row r="11131">
      <c r="B11131" s="7" t="n">
        <v>11129</v>
      </c>
      <c r="C11131" t="inlineStr">
        <is>
          <t>Insight &amp; Analytics Manager, Vietnam</t>
        </is>
      </c>
      <c r="D11131" t="inlineStr">
        <is>
          <t>Mondelēz Kinh Đô Việt Nam</t>
        </is>
      </c>
      <c r="E11131" t="inlineStr">
        <is>
          <t>Thương lượng</t>
        </is>
      </c>
      <c r="F11131" t="inlineStr">
        <is>
          <t>Hồ Chí Minh</t>
        </is>
      </c>
      <c r="G11131" t="inlineStr">
        <is>
          <t>Trưởng phòng</t>
        </is>
      </c>
      <c r="H11131" t="inlineStr">
        <is>
          <t>13/03/2026</t>
        </is>
      </c>
      <c r="I11131" t="inlineStr">
        <is>
          <t>12/04/2026</t>
        </is>
      </c>
      <c r="J11131" t="inlineStr">
        <is>
          <t>17/03/2026</t>
        </is>
      </c>
      <c r="K11131" t="inlineStr">
        <is>
          <t>N/A</t>
        </is>
      </c>
      <c r="L11131" t="inlineStr">
        <is>
          <t>Analytical, English Fluency, Market Research, presentation, Stakeholder Management</t>
        </is>
      </c>
      <c r="M11131" t="inlineStr">
        <is>
          <t>Bonus, Healthcare Plan, Paid Leave</t>
        </is>
      </c>
      <c r="N11131" s="8">
        <f>HYPERLINK("https://www.vietnamworks.com/insight-and-analytics-manager-vietnam-2023608-jv","Xem chi tiết")</f>
        <v/>
      </c>
    </row>
    <row r="11132">
      <c r="B11132" s="9" t="n">
        <v>11130</v>
      </c>
      <c r="C11132" s="10" t="inlineStr">
        <is>
          <t>BD Manager for South Korea</t>
        </is>
      </c>
      <c r="D11132" s="10" t="inlineStr">
        <is>
          <t>Source Of Asia</t>
        </is>
      </c>
      <c r="E11132" s="10" t="inlineStr">
        <is>
          <t>$$ 1,000-3,000 /tháng</t>
        </is>
      </c>
      <c r="F11132" s="10" t="inlineStr">
        <is>
          <t>Hồ Chí Minh</t>
        </is>
      </c>
      <c r="G11132" s="10" t="inlineStr">
        <is>
          <t>Trưởng phòng</t>
        </is>
      </c>
      <c r="H11132" s="10" t="inlineStr">
        <is>
          <t>13/03/2026</t>
        </is>
      </c>
      <c r="I11132" s="10" t="inlineStr">
        <is>
          <t>12/04/2026</t>
        </is>
      </c>
      <c r="J11132" s="10" t="inlineStr">
        <is>
          <t>17/03/2026</t>
        </is>
      </c>
      <c r="K11132" s="10" t="inlineStr">
        <is>
          <t>N/A</t>
        </is>
      </c>
      <c r="L11132" s="10" t="inlineStr">
        <is>
          <t>Business Development, Korean Language, Partnership Management, Project Management, Self Reliance</t>
        </is>
      </c>
      <c r="M11132" s="10" t="inlineStr">
        <is>
          <t>Others</t>
        </is>
      </c>
      <c r="N11132" s="11">
        <f>HYPERLINK("https://www.vietnamworks.com/bd-manager-for-south-korea-2023610-jv","Xem chi tiết")</f>
        <v/>
      </c>
      <c r="O11132" s="10" t="n"/>
    </row>
    <row r="11133">
      <c r="B11133" s="7" t="n">
        <v>11131</v>
      </c>
      <c r="C11133" t="inlineStr">
        <is>
          <t>GEO &amp; SEO Marketing</t>
        </is>
      </c>
      <c r="D11133" t="inlineStr">
        <is>
          <t>Innotech Vietnam Corporation</t>
        </is>
      </c>
      <c r="E11133" t="inlineStr">
        <is>
          <t>Thương lượng</t>
        </is>
      </c>
      <c r="F11133" t="inlineStr">
        <is>
          <t>Hồ Chí Minh</t>
        </is>
      </c>
      <c r="G11133" t="inlineStr">
        <is>
          <t>Nhân viên</t>
        </is>
      </c>
      <c r="H11133" t="inlineStr">
        <is>
          <t>13/03/2026</t>
        </is>
      </c>
      <c r="I11133" t="inlineStr">
        <is>
          <t>12/04/2026</t>
        </is>
      </c>
      <c r="J11133" t="inlineStr">
        <is>
          <t>17/03/2026</t>
        </is>
      </c>
      <c r="K11133" t="inlineStr">
        <is>
          <t>N/A</t>
        </is>
      </c>
      <c r="L11133" t="inlineStr">
        <is>
          <t>English Reading, Entity-Based Seo, Generative Engine Optimization, Schema.Org Implementation, Seo Tools Proficiency</t>
        </is>
      </c>
      <c r="M11133" t="inlineStr">
        <is>
          <t>Bonus, Healthcare Plan, Training, Laptop, Team Activities</t>
        </is>
      </c>
      <c r="N11133" s="8">
        <f>HYPERLINK("https://www.vietnamworks.com/geo-and-seo-marketing-2023581-jv","Xem chi tiết")</f>
        <v/>
      </c>
    </row>
    <row r="11134">
      <c r="B11134" s="9" t="n">
        <v>11132</v>
      </c>
      <c r="C11134" s="10" t="inlineStr">
        <is>
          <t>Logistics Intern</t>
        </is>
      </c>
      <c r="D11134" s="10" t="inlineStr">
        <is>
          <t>BAT Vietnam</t>
        </is>
      </c>
      <c r="E11134" s="10" t="inlineStr">
        <is>
          <t>Thương lượng</t>
        </is>
      </c>
      <c r="F11134" s="10" t="inlineStr">
        <is>
          <t>Hồ Chí Minh</t>
        </is>
      </c>
      <c r="G11134" s="10" t="inlineStr">
        <is>
          <t>Thực tập sinh/Sinh viên</t>
        </is>
      </c>
      <c r="H11134" s="10" t="inlineStr">
        <is>
          <t>13/03/2026</t>
        </is>
      </c>
      <c r="I11134" s="10" t="inlineStr">
        <is>
          <t>12/04/2026</t>
        </is>
      </c>
      <c r="J11134" s="10" t="inlineStr">
        <is>
          <t>17/03/2026</t>
        </is>
      </c>
      <c r="K11134" s="10" t="inlineStr">
        <is>
          <t>N/A</t>
        </is>
      </c>
      <c r="L11134" s="10" t="inlineStr">
        <is>
          <t>Customs Procedures, English Communication, logistics documentation, SAP systems, Warehouse Management</t>
        </is>
      </c>
      <c r="M11134" s="10" t="inlineStr">
        <is>
          <t>Bonus, Laptop, Transportation</t>
        </is>
      </c>
      <c r="N11134" s="11">
        <f>HYPERLINK("https://www.vietnamworks.com/logistics-intern-2023616-jv","Xem chi tiết")</f>
        <v/>
      </c>
      <c r="O11134" s="10" t="n"/>
    </row>
    <row r="11135">
      <c r="B11135" s="7" t="n">
        <v>11133</v>
      </c>
      <c r="C11135" t="inlineStr">
        <is>
          <t>Senior Consultant</t>
        </is>
      </c>
      <c r="D11135" t="inlineStr">
        <is>
          <t>Navigos Group</t>
        </is>
      </c>
      <c r="E11135" t="inlineStr">
        <is>
          <t>19tr-22tr ₫/tháng</t>
        </is>
      </c>
      <c r="F11135" t="inlineStr">
        <is>
          <t>Hồ Chí Minh</t>
        </is>
      </c>
      <c r="G11135" t="inlineStr">
        <is>
          <t>Nhân viên</t>
        </is>
      </c>
      <c r="H11135" t="inlineStr">
        <is>
          <t>13/03/2026</t>
        </is>
      </c>
      <c r="I11135" t="inlineStr">
        <is>
          <t>12/04/2026</t>
        </is>
      </c>
      <c r="J11135" t="inlineStr">
        <is>
          <t>17/03/2026</t>
        </is>
      </c>
      <c r="K11135" t="inlineStr">
        <is>
          <t>N/A</t>
        </is>
      </c>
      <c r="L11135" t="inlineStr">
        <is>
          <t>Customer Service, Interpersonal Communication, Negotiation Skills, Results Driven, Team Work</t>
        </is>
      </c>
      <c r="M11135" t="inlineStr">
        <is>
          <t>Healthcare Plan, Paid Leave, Travel Opportunities</t>
        </is>
      </c>
      <c r="N11135" s="8">
        <f>HYPERLINK("https://www.vietnamworks.com/senior-consultant-2023609-jv","Xem chi tiết")</f>
        <v/>
      </c>
    </row>
    <row r="11136">
      <c r="B11136" s="9" t="n">
        <v>11134</v>
      </c>
      <c r="C11136" s="10" t="inlineStr">
        <is>
          <t>Business Development Executive</t>
        </is>
      </c>
      <c r="D11136" s="10" t="inlineStr">
        <is>
          <t>Vacons (Interior Design &amp; Build)</t>
        </is>
      </c>
      <c r="E11136" s="10" t="inlineStr">
        <is>
          <t>$$ 600-1,500 /tháng</t>
        </is>
      </c>
      <c r="F11136" s="10" t="inlineStr">
        <is>
          <t>Hồ Chí Minh, Hà Nội</t>
        </is>
      </c>
      <c r="G11136" s="10" t="inlineStr">
        <is>
          <t>Nhân viên</t>
        </is>
      </c>
      <c r="H11136" s="10" t="inlineStr">
        <is>
          <t>14/03/2026</t>
        </is>
      </c>
      <c r="I11136" s="10" t="inlineStr">
        <is>
          <t>13/04/2026</t>
        </is>
      </c>
      <c r="J11136" s="10" t="inlineStr">
        <is>
          <t>17/03/2026</t>
        </is>
      </c>
      <c r="K11136" s="10" t="inlineStr">
        <is>
          <t>N/A</t>
        </is>
      </c>
      <c r="L11136" s="10" t="inlineStr">
        <is>
          <t>Business Development, Customer Satisfaction, Bán Hàng, Chăm Sóc Khách Hàng, Tiếng Anh</t>
        </is>
      </c>
      <c r="M11136" s="10" t="inlineStr">
        <is>
          <t>Bonus, Paid Leave, Travel Opportunities</t>
        </is>
      </c>
      <c r="N11136" s="11">
        <f>HYPERLINK("https://www.vietnamworks.com/business-development-executive--2023643-jv","Xem chi tiết")</f>
        <v/>
      </c>
      <c r="O11136" s="10" t="n"/>
    </row>
    <row r="11137">
      <c r="B11137" s="7" t="n">
        <v>11135</v>
      </c>
      <c r="C11137" t="inlineStr">
        <is>
          <t>Customer Service Representative | Sales Representative</t>
        </is>
      </c>
      <c r="D11137" t="inlineStr">
        <is>
          <t>CÔNG TY TNHH AVOCADO VIRTUAL ASSISTANTS VN</t>
        </is>
      </c>
      <c r="E11137" t="inlineStr">
        <is>
          <t>$$ 485-571 /tháng</t>
        </is>
      </c>
      <c r="F11137" t="inlineStr">
        <is>
          <t>Hồ Chí Minh</t>
        </is>
      </c>
      <c r="G11137" t="inlineStr">
        <is>
          <t>Nhân viên</t>
        </is>
      </c>
      <c r="H11137" t="inlineStr">
        <is>
          <t>13/03/2026</t>
        </is>
      </c>
      <c r="I11137" t="inlineStr">
        <is>
          <t>12/04/2026</t>
        </is>
      </c>
      <c r="J11137" t="inlineStr">
        <is>
          <t>17/03/2026</t>
        </is>
      </c>
      <c r="K11137" t="inlineStr">
        <is>
          <t>N/A</t>
        </is>
      </c>
      <c r="L11137" t="inlineStr">
        <is>
          <t>Communication English, Hubspot CRM, Data Entry Accuracy, Sales, Night Shift Experience</t>
        </is>
      </c>
      <c r="M11137" t="inlineStr">
        <is>
          <t>Team Activities, Canteen, Others</t>
        </is>
      </c>
      <c r="N11137" s="8">
        <f>HYPERLINK("https://www.vietnamworks.com/customer-service-representative-sales-representative-2023624-jv","Xem chi tiết")</f>
        <v/>
      </c>
    </row>
    <row r="11138">
      <c r="B11138" s="9" t="n">
        <v>11136</v>
      </c>
      <c r="C11138" s="10" t="inlineStr">
        <is>
          <t>Kế Toán Bán Hàng và Công Nợ</t>
        </is>
      </c>
      <c r="D11138" s="10" t="inlineStr">
        <is>
          <t>CÔNG TY TNHH ĐẦU TƯ VÀ PHÁT TRIỂN PAN</t>
        </is>
      </c>
      <c r="E11138" s="10" t="inlineStr">
        <is>
          <t>Thương lượng</t>
        </is>
      </c>
      <c r="F11138" s="10" t="inlineStr">
        <is>
          <t>Hà Nội</t>
        </is>
      </c>
      <c r="G11138" s="10" t="inlineStr">
        <is>
          <t>Nhân viên</t>
        </is>
      </c>
      <c r="H11138" s="10" t="inlineStr">
        <is>
          <t>16/10/2025</t>
        </is>
      </c>
      <c r="I11138" s="10" t="inlineStr">
        <is>
          <t>13/04/2026</t>
        </is>
      </c>
      <c r="J11138" s="10" t="inlineStr">
        <is>
          <t>17/03/2026</t>
        </is>
      </c>
      <c r="K11138" s="10" t="inlineStr">
        <is>
          <t>N/A</t>
        </is>
      </c>
      <c r="L11138" s="10" t="inlineStr">
        <is>
          <t>Kế Toán, Quản Lý Kho, Thành Thạo Microsoft Office</t>
        </is>
      </c>
      <c r="M11138" s="10" t="inlineStr">
        <is>
          <t>Bonus, Healthcare Plan, Paid Leave, Training, Others</t>
        </is>
      </c>
      <c r="N11138" s="11">
        <f>HYPERLINK("https://www.vietnamworks.com/ke-toan-ban-hang-va-cong-no-1970495-jv","Xem chi tiết")</f>
        <v/>
      </c>
      <c r="O11138" s="10" t="n"/>
    </row>
    <row r="11139">
      <c r="B11139" s="7" t="n">
        <v>11137</v>
      </c>
      <c r="C11139" t="inlineStr">
        <is>
          <t>Phó Giám Đốc Sản Xuất</t>
        </is>
      </c>
      <c r="D11139" t="inlineStr">
        <is>
          <t>Công Ty Cổ Phần Đầu Tư Nhật Huy</t>
        </is>
      </c>
      <c r="E11139" t="inlineStr">
        <is>
          <t>$$ 1,500-2,500 /tháng</t>
        </is>
      </c>
      <c r="F11139" t="inlineStr">
        <is>
          <t>Nghệ An, Thanh Hóa, Hà Tĩnh</t>
        </is>
      </c>
      <c r="G11139" t="inlineStr">
        <is>
          <t>Giám Đốc và Cấp Cao Hơn</t>
        </is>
      </c>
      <c r="H11139" t="inlineStr">
        <is>
          <t>14/03/2026</t>
        </is>
      </c>
      <c r="I11139" t="inlineStr">
        <is>
          <t>13/04/2026</t>
        </is>
      </c>
      <c r="J11139" t="inlineStr">
        <is>
          <t>17/03/2026</t>
        </is>
      </c>
      <c r="K11139" t="inlineStr">
        <is>
          <t>N/A</t>
        </is>
      </c>
      <c r="L11139" t="inlineStr">
        <is>
          <t>Quản Lý Sản Xuất, Quản Lý Nhà Máy, Cơ Khí Chế Tạo Máy, Quản Lý Bảo Trì Nhà Máy</t>
        </is>
      </c>
      <c r="M11139" t="inlineStr">
        <is>
          <t>Bonus, Healthcare Plan, Training</t>
        </is>
      </c>
      <c r="N11139" s="8">
        <f>HYPERLINK("https://www.vietnamworks.com/pho-giam-doc-san-xuat--2023640-jv","Xem chi tiết")</f>
        <v/>
      </c>
    </row>
    <row r="11140">
      <c r="B11140" s="9" t="n">
        <v>11138</v>
      </c>
      <c r="C11140" s="10" t="inlineStr">
        <is>
          <t>Cán bộ đào tạo và phát triển</t>
        </is>
      </c>
      <c r="D11140" s="10" t="inlineStr">
        <is>
          <t>Đại Học FPT TP.HCM</t>
        </is>
      </c>
      <c r="E11140" s="10" t="inlineStr">
        <is>
          <t>Từ $ 500 /tháng</t>
        </is>
      </c>
      <c r="F11140" s="10" t="inlineStr">
        <is>
          <t>Hồ Chí Minh</t>
        </is>
      </c>
      <c r="G11140" s="10" t="inlineStr">
        <is>
          <t>Nhân viên</t>
        </is>
      </c>
      <c r="H11140" s="10" t="inlineStr">
        <is>
          <t>14/03/2026</t>
        </is>
      </c>
      <c r="I11140" s="10" t="inlineStr">
        <is>
          <t>13/04/2026</t>
        </is>
      </c>
      <c r="J11140" s="10" t="inlineStr">
        <is>
          <t>17/03/2026</t>
        </is>
      </c>
      <c r="K11140" s="10" t="inlineStr">
        <is>
          <t>N/A</t>
        </is>
      </c>
      <c r="L11140" s="10" t="inlineStr">
        <is>
          <t>Luật Lao Động, MS Office, Quản Trị Nhân Sự, Tổ chức, Đào Tạo</t>
        </is>
      </c>
      <c r="M11140" s="10" t="inlineStr">
        <is>
          <t>Healthcare Plan, Training, Others</t>
        </is>
      </c>
      <c r="N11140" s="11">
        <f>HYPERLINK("https://www.vietnamworks.com/can-bo-djao-tao-va-phat-trien-2023636-jv","Xem chi tiết")</f>
        <v/>
      </c>
      <c r="O11140" s="10" t="n"/>
    </row>
    <row r="11141">
      <c r="B11141" s="7" t="n">
        <v>11139</v>
      </c>
      <c r="C11141" t="inlineStr">
        <is>
          <t>Area Sales Manager - Quảng Ninh</t>
        </is>
      </c>
      <c r="D11141" t="inlineStr">
        <is>
          <t>Suntory PepsiCo Vietnam Beverage</t>
        </is>
      </c>
      <c r="E11141" t="inlineStr">
        <is>
          <t>Thương lượng</t>
        </is>
      </c>
      <c r="F11141" t="inlineStr">
        <is>
          <t>Quảng Ninh</t>
        </is>
      </c>
      <c r="G11141" t="inlineStr">
        <is>
          <t>Trưởng phòng</t>
        </is>
      </c>
      <c r="H11141" t="inlineStr">
        <is>
          <t>14/03/2026</t>
        </is>
      </c>
      <c r="I11141" t="inlineStr">
        <is>
          <t>13/04/2026</t>
        </is>
      </c>
      <c r="J11141" t="inlineStr">
        <is>
          <t>17/03/2026</t>
        </is>
      </c>
      <c r="K11141" t="inlineStr">
        <is>
          <t>N/A</t>
        </is>
      </c>
      <c r="L11141" t="inlineStr">
        <is>
          <t>Business Development, Communication, Planning, Problem Solving, Team Management</t>
        </is>
      </c>
      <c r="M11141" t="inlineStr">
        <is>
          <t>Bonus, Healthcare Plan, Training, Laptop</t>
        </is>
      </c>
      <c r="N11141" s="8">
        <f>HYPERLINK("https://www.vietnamworks.com/area-sales-manager-quang-ninh-2023645-jv","Xem chi tiết")</f>
        <v/>
      </c>
    </row>
    <row r="11142">
      <c r="B11142" s="9" t="n">
        <v>11140</v>
      </c>
      <c r="C11142" s="10" t="inlineStr">
        <is>
          <t>Chuyên Viên Nhân Sự</t>
        </is>
      </c>
      <c r="D11142" s="10" t="inlineStr">
        <is>
          <t>VINFAST TRADING AND PRODUCTION JSC</t>
        </is>
      </c>
      <c r="E11142" s="10" t="inlineStr">
        <is>
          <t>Thương lượng</t>
        </is>
      </c>
      <c r="F11142" s="10" t="inlineStr">
        <is>
          <t>Hà Nội</t>
        </is>
      </c>
      <c r="G11142" s="10" t="inlineStr">
        <is>
          <t>Nhân viên</t>
        </is>
      </c>
      <c r="H11142" s="10" t="inlineStr">
        <is>
          <t>14/03/2026</t>
        </is>
      </c>
      <c r="I11142" s="10" t="inlineStr">
        <is>
          <t>13/04/2026</t>
        </is>
      </c>
      <c r="J11142" s="10" t="inlineStr">
        <is>
          <t>17/03/2026</t>
        </is>
      </c>
      <c r="K11142" s="10" t="inlineStr">
        <is>
          <t>N/A</t>
        </is>
      </c>
      <c r="L11142" s="10" t="inlineStr">
        <is>
          <t>Hr Generalist Experience, HR Operations, Payroll, C</t>
        </is>
      </c>
      <c r="M11142" s="10" t="inlineStr">
        <is>
          <t>Bonus, Healthcare Plan, Others</t>
        </is>
      </c>
      <c r="N11142" s="11">
        <f>HYPERLINK("https://www.vietnamworks.com/chuyen-vien-nhan-su-507-2023657-jv","Xem chi tiết")</f>
        <v/>
      </c>
      <c r="O11142" s="10" t="n"/>
    </row>
    <row r="11143">
      <c r="B11143" s="7" t="n">
        <v>11141</v>
      </c>
      <c r="C11143" t="inlineStr">
        <is>
          <t>Kế Toán Trưởng</t>
        </is>
      </c>
      <c r="D11143" t="inlineStr">
        <is>
          <t>CÔNG TY CỔ PHẦN TƯ VẤN - THIẾT KẾ - XÂY DỰNG BÌNH DOANH</t>
        </is>
      </c>
      <c r="E11143" t="inlineStr">
        <is>
          <t>Thương lượng</t>
        </is>
      </c>
      <c r="F11143" t="inlineStr">
        <is>
          <t>Đồng Nai</t>
        </is>
      </c>
      <c r="G11143" t="inlineStr">
        <is>
          <t>Trưởng phòng</t>
        </is>
      </c>
      <c r="H11143" t="inlineStr">
        <is>
          <t>14/03/2026</t>
        </is>
      </c>
      <c r="I11143" t="inlineStr">
        <is>
          <t>13/04/2026</t>
        </is>
      </c>
      <c r="J11143" t="inlineStr">
        <is>
          <t>17/03/2026</t>
        </is>
      </c>
      <c r="K11143" t="inlineStr">
        <is>
          <t>N/A</t>
        </is>
      </c>
      <c r="L11143" t="inlineStr">
        <is>
          <t>ACCA, Báo Cáo Tài Chính, CPA, Quản Lý Công Nợ, Quản Lý Kế Toán</t>
        </is>
      </c>
      <c r="M11143" t="inlineStr">
        <is>
          <t>Bonus, Healthcare Plan, Paid Leave</t>
        </is>
      </c>
      <c r="N11143" s="8">
        <f>HYPERLINK("https://www.vietnamworks.com/ke-toan-truong-2023658-jv","Xem chi tiết")</f>
        <v/>
      </c>
    </row>
    <row r="11144">
      <c r="B11144" s="9" t="n">
        <v>11142</v>
      </c>
      <c r="C11144" s="10" t="inlineStr">
        <is>
          <t>Nhân Viên Truyền Thông – Marketing</t>
        </is>
      </c>
      <c r="D11144" s="10" t="inlineStr">
        <is>
          <t>CÔNG TY CỔ PHẦN CUNG ỨNG NHÂN LỰC VÀ THƯƠNG MẠI QUỐC TẾ</t>
        </is>
      </c>
      <c r="E11144" s="10" t="inlineStr">
        <is>
          <t>$$ 300-400 /tháng</t>
        </is>
      </c>
      <c r="F11144" s="10" t="inlineStr">
        <is>
          <t>Bắc Ninh</t>
        </is>
      </c>
      <c r="G11144" s="10" t="inlineStr">
        <is>
          <t>Nhân viên</t>
        </is>
      </c>
      <c r="H11144" s="10" t="inlineStr">
        <is>
          <t>13/03/2026</t>
        </is>
      </c>
      <c r="I11144" s="10" t="inlineStr">
        <is>
          <t>12/04/2026</t>
        </is>
      </c>
      <c r="J11144" s="10" t="inlineStr">
        <is>
          <t>17/03/2026</t>
        </is>
      </c>
      <c r="K11144" s="10" t="inlineStr">
        <is>
          <t>N/A</t>
        </is>
      </c>
      <c r="L11144" s="10" t="inlineStr">
        <is>
          <t>Content Writing, Creative Thinking, Marketing Strategy, Social Media Management, Teamwork</t>
        </is>
      </c>
      <c r="M11144" s="10" t="inlineStr">
        <is>
          <t>Bonus, Paid Leave, Others</t>
        </is>
      </c>
      <c r="N11144" s="11">
        <f>HYPERLINK("https://www.vietnamworks.com/nhan-vien-truyen-thong-marketing-2023620-jv","Xem chi tiết")</f>
        <v/>
      </c>
      <c r="O11144" s="10" t="n"/>
    </row>
    <row r="11145">
      <c r="B11145" s="7" t="n">
        <v>11143</v>
      </c>
      <c r="C11145" t="inlineStr">
        <is>
          <t>Tổ trưởng Sản xuất - Chuyên Sản xuất Thực phẩm</t>
        </is>
      </c>
      <c r="D11145" t="inlineStr">
        <is>
          <t>Công ty cổ phần Trang (TrangCorp)</t>
        </is>
      </c>
      <c r="E11145" t="inlineStr">
        <is>
          <t>Thương lượng</t>
        </is>
      </c>
      <c r="F11145" t="inlineStr">
        <is>
          <t>Hồ Chí Minh</t>
        </is>
      </c>
      <c r="G11145" t="inlineStr">
        <is>
          <t>Trưởng phòng</t>
        </is>
      </c>
      <c r="H11145" t="inlineStr">
        <is>
          <t>14/03/2026</t>
        </is>
      </c>
      <c r="I11145" t="inlineStr">
        <is>
          <t>13/04/2026</t>
        </is>
      </c>
      <c r="J11145" t="inlineStr">
        <is>
          <t>17/03/2026</t>
        </is>
      </c>
      <c r="K11145" t="inlineStr">
        <is>
          <t>N/A</t>
        </is>
      </c>
      <c r="L11145" t="inlineStr">
        <is>
          <t>Giao Tiếp, Nội Tổng Quát, Phân Tích Da, Trung Thực, Đánh Giá Dự Án</t>
        </is>
      </c>
      <c r="M11145" t="inlineStr">
        <is>
          <t>Healthcare Plan, Paid Leave, Training, Travel Opportunities, Canteen, Others</t>
        </is>
      </c>
      <c r="N11145" s="8">
        <f>HYPERLINK("https://www.vietnamworks.com/to-truong-san-xuat-chuyen-san-xuat-thuc-pham-2023664-jv","Xem chi tiết")</f>
        <v/>
      </c>
    </row>
    <row r="11146">
      <c r="B11146" s="9" t="n">
        <v>11144</v>
      </c>
      <c r="C11146" s="10" t="inlineStr">
        <is>
          <t>Trưởng Phòng Dịch Vụ Kỹ Thuật (Thương Mại &amp; Tuân Thủ)</t>
        </is>
      </c>
      <c r="D11146" s="10" t="inlineStr">
        <is>
          <t>Công ty cổ phần Trang (TrangCorp)</t>
        </is>
      </c>
      <c r="E11146" s="10" t="inlineStr">
        <is>
          <t>Thương lượng</t>
        </is>
      </c>
      <c r="F11146" s="10" t="inlineStr">
        <is>
          <t>Hồ Chí Minh</t>
        </is>
      </c>
      <c r="G11146" s="10" t="inlineStr">
        <is>
          <t>Trưởng phòng</t>
        </is>
      </c>
      <c r="H11146" s="10" t="inlineStr">
        <is>
          <t>14/03/2026</t>
        </is>
      </c>
      <c r="I11146" s="10" t="inlineStr">
        <is>
          <t>13/04/2026</t>
        </is>
      </c>
      <c r="J11146" s="10" t="inlineStr">
        <is>
          <t>17/03/2026</t>
        </is>
      </c>
      <c r="K11146" s="10" t="inlineStr">
        <is>
          <t>N/A</t>
        </is>
      </c>
      <c r="L11146" s="10" t="inlineStr">
        <is>
          <t>Công Nghệ Thực Phẩm, Regulatory Affairs, Food Safety Management, Technical manager, QA Manager</t>
        </is>
      </c>
      <c r="M11146" s="10" t="inlineStr">
        <is>
          <t>Healthcare Plan, Paid Leave, Training, Laptop, Transportation, Canteen</t>
        </is>
      </c>
      <c r="N11146" s="11">
        <f>HYPERLINK("https://www.vietnamworks.com/truong-phong-dich-vu-ky-thuat-thuong-mai-and-tuan-thu-2023661-jv","Xem chi tiết")</f>
        <v/>
      </c>
      <c r="O11146" s="10" t="n"/>
    </row>
    <row r="11147">
      <c r="B11147" s="7" t="n">
        <v>11145</v>
      </c>
      <c r="C11147" t="inlineStr">
        <is>
          <t>Tuyển Dụng Nhân Viên Quản Lý Chất Lượng (ISO 14001 / HSE Staff)</t>
        </is>
      </c>
      <c r="D11147" t="inlineStr">
        <is>
          <t>Shindengen Vietnam Co., Ltd</t>
        </is>
      </c>
      <c r="E11147" t="inlineStr">
        <is>
          <t>Thương lượng</t>
        </is>
      </c>
      <c r="F11147" t="inlineStr">
        <is>
          <t>Hưng Yên</t>
        </is>
      </c>
      <c r="G11147" t="inlineStr">
        <is>
          <t>Nhân viên</t>
        </is>
      </c>
      <c r="H11147" t="inlineStr">
        <is>
          <t>14/03/2026</t>
        </is>
      </c>
      <c r="I11147" t="inlineStr">
        <is>
          <t>13/04/2026</t>
        </is>
      </c>
      <c r="J11147" t="inlineStr">
        <is>
          <t>17/03/2026</t>
        </is>
      </c>
      <c r="K11147" t="inlineStr">
        <is>
          <t>N/A</t>
        </is>
      </c>
      <c r="L11147" t="inlineStr">
        <is>
          <t>Communication Skills, HSE Management, Incident Investigation, ISO 14001, Risk Assessment</t>
        </is>
      </c>
      <c r="M11147" t="inlineStr">
        <is>
          <t>Transportation</t>
        </is>
      </c>
      <c r="N11147" s="8">
        <f>HYPERLINK("https://www.vietnamworks.com/tuyen-dung-nhan-vien-quan-ly-chat-luong-iso-14001-hse-staff-2023655-jv","Xem chi tiết")</f>
        <v/>
      </c>
    </row>
    <row r="11148">
      <c r="B11148" s="9" t="n">
        <v>11146</v>
      </c>
      <c r="C11148" s="10" t="inlineStr">
        <is>
          <t>Trưởng Nhóm Tuyển Chọn Nhân Tài (Talent Acquisition Lead)</t>
        </is>
      </c>
      <c r="D11148" s="10" t="inlineStr">
        <is>
          <t>TẬP ĐOÀN HẢI SẢN HOÀNG GIA</t>
        </is>
      </c>
      <c r="E11148" s="10" t="inlineStr">
        <is>
          <t>Thương lượng</t>
        </is>
      </c>
      <c r="F11148" s="10" t="inlineStr">
        <is>
          <t>Hồ Chí Minh</t>
        </is>
      </c>
      <c r="G11148" s="10" t="inlineStr">
        <is>
          <t>Nhân viên</t>
        </is>
      </c>
      <c r="H11148" s="10" t="inlineStr">
        <is>
          <t>13/03/2026</t>
        </is>
      </c>
      <c r="I11148" s="10" t="inlineStr">
        <is>
          <t>12/04/2026</t>
        </is>
      </c>
      <c r="J11148" s="10" t="inlineStr">
        <is>
          <t>17/03/2026</t>
        </is>
      </c>
      <c r="K11148" s="10" t="inlineStr">
        <is>
          <t>N/A</t>
        </is>
      </c>
      <c r="L11148" s="10" t="inlineStr">
        <is>
          <t>Communication, Data Analysis, Employer Branding, Headhunting, Managing HR Operations</t>
        </is>
      </c>
      <c r="M11148" s="10" t="inlineStr">
        <is>
          <t>Bonus, Training, Laptop, Others</t>
        </is>
      </c>
      <c r="N11148" s="11">
        <f>HYPERLINK("https://www.vietnamworks.com/truong-nhom-tuyen-chon-nhan-tai-talent-acquisition-lead-2023619-jv","Xem chi tiết")</f>
        <v/>
      </c>
      <c r="O11148" s="10" t="n"/>
    </row>
    <row r="11149">
      <c r="B11149" s="7" t="n">
        <v>11147</v>
      </c>
      <c r="C11149" t="inlineStr">
        <is>
          <t>Trưởng Phòng Đối Tác Nhân Sự Và Tuyển Chọn Nhân Tài (HRBP Cum Talent Acquisition)</t>
        </is>
      </c>
      <c r="D11149" t="inlineStr">
        <is>
          <t>TẬP ĐOÀN HẢI SẢN HOÀNG GIA</t>
        </is>
      </c>
      <c r="E11149" t="inlineStr">
        <is>
          <t>Thương lượng</t>
        </is>
      </c>
      <c r="F11149" t="inlineStr">
        <is>
          <t>Hồ Chí Minh</t>
        </is>
      </c>
      <c r="G11149" t="inlineStr">
        <is>
          <t>Trưởng phòng</t>
        </is>
      </c>
      <c r="H11149" t="inlineStr">
        <is>
          <t>13/03/2026</t>
        </is>
      </c>
      <c r="I11149" t="inlineStr">
        <is>
          <t>12/04/2026</t>
        </is>
      </c>
      <c r="J11149" t="inlineStr">
        <is>
          <t>17/03/2026</t>
        </is>
      </c>
      <c r="K11149" t="inlineStr">
        <is>
          <t>N/A</t>
        </is>
      </c>
      <c r="L11149" t="inlineStr">
        <is>
          <t>Giao Tiếp, Phân Tích Dữ Liệu, Quản Trị Nhân Sự, Tuyển Dụng, Xây Dựng Thương Hiệu</t>
        </is>
      </c>
      <c r="M11149" t="inlineStr">
        <is>
          <t>Bonus, Training, Laptop, Others</t>
        </is>
      </c>
      <c r="N11149" s="8">
        <f>HYPERLINK("https://www.vietnamworks.com/truong-phong-djoi-tac-nhan-su-va-tuyen-chon-nhan-tai-hrbp-cum-talent-acquisition-2023618-jv","Xem chi tiết")</f>
        <v/>
      </c>
    </row>
    <row r="11150">
      <c r="B11150" s="9" t="n">
        <v>11148</v>
      </c>
      <c r="C11150" s="10" t="inlineStr">
        <is>
          <t>[Gia Lâm] Trade Marketing Manager (upto 50tr)</t>
        </is>
      </c>
      <c r="D11150" s="10" t="inlineStr">
        <is>
          <t>CÔNG TY CỔ PHẦN ĐẦU TƯ A&amp;B VIỆT NAM</t>
        </is>
      </c>
      <c r="E11150" s="10" t="inlineStr">
        <is>
          <t>$$ 1,000-1,500 /tháng</t>
        </is>
      </c>
      <c r="F11150" s="10" t="inlineStr">
        <is>
          <t>Hà Nội</t>
        </is>
      </c>
      <c r="G11150" s="10" t="inlineStr">
        <is>
          <t>Trưởng phòng</t>
        </is>
      </c>
      <c r="H11150" s="10" t="inlineStr">
        <is>
          <t>14/03/2026</t>
        </is>
      </c>
      <c r="I11150" s="10" t="inlineStr">
        <is>
          <t>13/04/2026</t>
        </is>
      </c>
      <c r="J11150" s="10" t="inlineStr">
        <is>
          <t>17/03/2026</t>
        </is>
      </c>
      <c r="K11150" s="10" t="inlineStr">
        <is>
          <t>N/A</t>
        </is>
      </c>
      <c r="L11150" s="10" t="inlineStr">
        <is>
          <t>Communication, Data Management, Market Analysis, Project Management, Trade Marketing</t>
        </is>
      </c>
      <c r="M11150" s="10" t="inlineStr">
        <is>
          <t>Bonus, Healthcare Plan, Training, Canteen, Others</t>
        </is>
      </c>
      <c r="N11150" s="11">
        <f>HYPERLINK("https://www.vietnamworks.com/gia-lam-trade-marketing-manager-upto-50tr-2023652-jv","Xem chi tiết")</f>
        <v/>
      </c>
      <c r="O11150" s="10" t="n"/>
    </row>
    <row r="11151">
      <c r="B11151" s="7" t="n">
        <v>11149</v>
      </c>
      <c r="C11151" t="inlineStr">
        <is>
          <t>Phó Phòng Kế Toán Quản Trị Thuế</t>
        </is>
      </c>
      <c r="D11151" t="inlineStr">
        <is>
          <t>Công Ty Cổ Phần Đầu Tư Phát Triển Máy Việt Nam</t>
        </is>
      </c>
      <c r="E11151" t="inlineStr">
        <is>
          <t>25tr-35tr ₫/tháng</t>
        </is>
      </c>
      <c r="F11151" t="inlineStr">
        <is>
          <t>Hà Nội</t>
        </is>
      </c>
      <c r="G11151" t="inlineStr">
        <is>
          <t>Trưởng phòng</t>
        </is>
      </c>
      <c r="H11151" t="inlineStr">
        <is>
          <t>14/03/2026</t>
        </is>
      </c>
      <c r="I11151" t="inlineStr">
        <is>
          <t>13/04/2026</t>
        </is>
      </c>
      <c r="J11151" t="inlineStr">
        <is>
          <t>17/03/2026</t>
        </is>
      </c>
      <c r="K11151" t="inlineStr">
        <is>
          <t>N/A</t>
        </is>
      </c>
      <c r="L11151" t="inlineStr">
        <is>
          <t>Kế toán Quản trị, Kế Toán Thuế, kế toán trưởng, Quản Trị</t>
        </is>
      </c>
      <c r="M11151" t="inlineStr">
        <is>
          <t>Bonus, Healthcare Plan, Paid Leave, Others</t>
        </is>
      </c>
      <c r="N11151" s="8">
        <f>HYPERLINK("https://www.vietnamworks.com/pho-phong-ke-toan-quan-tri-thue-2023665-jv","Xem chi tiết")</f>
        <v/>
      </c>
    </row>
    <row r="11152">
      <c r="B11152" s="9" t="n">
        <v>11150</v>
      </c>
      <c r="C11152" s="10" t="inlineStr">
        <is>
          <t>Sales Executive - Freight Forwarder</t>
        </is>
      </c>
      <c r="D11152" s="10" t="inlineStr">
        <is>
          <t>CF Global (Vietnam) Company Limited</t>
        </is>
      </c>
      <c r="E11152" s="10" t="inlineStr">
        <is>
          <t>Thương lượng</t>
        </is>
      </c>
      <c r="F11152" s="10" t="inlineStr">
        <is>
          <t>Hồ Chí Minh</t>
        </is>
      </c>
      <c r="G11152" s="10" t="inlineStr">
        <is>
          <t>Nhân viên</t>
        </is>
      </c>
      <c r="H11152" s="10" t="inlineStr">
        <is>
          <t>14/03/2026</t>
        </is>
      </c>
      <c r="I11152" s="10" t="inlineStr">
        <is>
          <t>13/04/2026</t>
        </is>
      </c>
      <c r="J11152" s="10" t="inlineStr">
        <is>
          <t>17/03/2026</t>
        </is>
      </c>
      <c r="K11152" s="10" t="inlineStr">
        <is>
          <t>N/A</t>
        </is>
      </c>
      <c r="L11152" s="10" t="inlineStr">
        <is>
          <t>Logistics Sales, Logistics, Kinh Doanh, Freight Forwarding, Business Development</t>
        </is>
      </c>
      <c r="M11152" s="10" t="inlineStr">
        <is>
          <t>Bonus, Healthcare Plan, Laptop</t>
        </is>
      </c>
      <c r="N11152" s="11">
        <f>HYPERLINK("https://www.vietnamworks.com/sales-executive-freight-forwarder--2023646-jv","Xem chi tiết")</f>
        <v/>
      </c>
      <c r="O11152" s="10" t="n"/>
    </row>
    <row r="11153">
      <c r="B11153" s="7" t="n">
        <v>11151</v>
      </c>
      <c r="C11153" t="inlineStr">
        <is>
          <t>Digital Marketing</t>
        </is>
      </c>
      <c r="D11153" t="inlineStr">
        <is>
          <t>CÔNG TY TNHH RAPIDO ASIA</t>
        </is>
      </c>
      <c r="E11153" t="inlineStr">
        <is>
          <t>Thương lượng</t>
        </is>
      </c>
      <c r="F11153" t="inlineStr">
        <is>
          <t>Hà Nội</t>
        </is>
      </c>
      <c r="G11153" t="inlineStr">
        <is>
          <t>Nhân viên</t>
        </is>
      </c>
      <c r="H11153" t="inlineStr">
        <is>
          <t>14/03/2026</t>
        </is>
      </c>
      <c r="I11153" t="inlineStr">
        <is>
          <t>13/04/2026</t>
        </is>
      </c>
      <c r="J11153" t="inlineStr">
        <is>
          <t>17/03/2026</t>
        </is>
      </c>
      <c r="K11153" t="inlineStr">
        <is>
          <t>N/A</t>
        </is>
      </c>
      <c r="L11153" t="inlineStr">
        <is>
          <t>Truyền Thông Báo Chí, Content Creative</t>
        </is>
      </c>
      <c r="M11153" t="inlineStr">
        <is>
          <t>Others</t>
        </is>
      </c>
      <c r="N11153" s="8">
        <f>HYPERLINK("https://www.vietnamworks.com/digital-marketing--2023659-jv","Xem chi tiết")</f>
        <v/>
      </c>
    </row>
    <row r="11154">
      <c r="B11154" s="9" t="n">
        <v>11152</v>
      </c>
      <c r="C11154" s="10" t="inlineStr">
        <is>
          <t>Chuyên Viên Cấp Cao Pháp Lý</t>
        </is>
      </c>
      <c r="D11154" s="10" t="inlineStr">
        <is>
          <t>Trung Thuy Group</t>
        </is>
      </c>
      <c r="E11154" s="10" t="inlineStr">
        <is>
          <t>$$ 1,200-1,500 /tháng</t>
        </is>
      </c>
      <c r="F11154" s="10" t="inlineStr">
        <is>
          <t>Hồ Chí Minh</t>
        </is>
      </c>
      <c r="G11154" s="10" t="inlineStr">
        <is>
          <t>Nhân viên</t>
        </is>
      </c>
      <c r="H11154" s="10" t="inlineStr">
        <is>
          <t>14/03/2026</t>
        </is>
      </c>
      <c r="I11154" s="10" t="inlineStr">
        <is>
          <t>13/04/2026</t>
        </is>
      </c>
      <c r="J11154" s="10" t="inlineStr">
        <is>
          <t>17/03/2026</t>
        </is>
      </c>
      <c r="K11154" s="10" t="inlineStr">
        <is>
          <t>N/A</t>
        </is>
      </c>
      <c r="L11154" s="10" t="inlineStr">
        <is>
          <t>Pháp Lý, Pháp Chế Doanh Nghiệp, Luật, Pháp Chế, Legal</t>
        </is>
      </c>
      <c r="M11154" s="10" t="inlineStr">
        <is>
          <t>Healthcare Plan, Canteen</t>
        </is>
      </c>
      <c r="N11154" s="11">
        <f>HYPERLINK("https://www.vietnamworks.com/chuyen-vien-cap-cao-phap-ly-2023648-jv","Xem chi tiết")</f>
        <v/>
      </c>
      <c r="O11154" s="10" t="n"/>
    </row>
    <row r="11155">
      <c r="B11155" s="7" t="n">
        <v>11153</v>
      </c>
      <c r="C11155" t="inlineStr">
        <is>
          <t>Sale Executive</t>
        </is>
      </c>
      <c r="D11155" t="inlineStr">
        <is>
          <t>CÔNG TY TNHH TESSELLATION BÌNH DƯƠNG</t>
        </is>
      </c>
      <c r="E11155" t="inlineStr">
        <is>
          <t>14tr-25tr ₫/tháng</t>
        </is>
      </c>
      <c r="F11155" t="inlineStr">
        <is>
          <t>Bình Dương</t>
        </is>
      </c>
      <c r="G11155" t="inlineStr">
        <is>
          <t>Nhân viên</t>
        </is>
      </c>
      <c r="H11155" t="inlineStr">
        <is>
          <t>14/03/2026</t>
        </is>
      </c>
      <c r="I11155" t="inlineStr">
        <is>
          <t>13/04/2026</t>
        </is>
      </c>
      <c r="J11155" t="inlineStr">
        <is>
          <t>17/03/2026</t>
        </is>
      </c>
      <c r="K11155" t="inlineStr">
        <is>
          <t>N/A</t>
        </is>
      </c>
      <c r="L11155" t="inlineStr">
        <is>
          <t>Automation Machine Engineering, Communication Skills, Problem Solving, Sales Experience, Solution Oriented</t>
        </is>
      </c>
      <c r="M11155" t="inlineStr">
        <is>
          <t>Healthcare Plan, Paid Leave, Training, Laptop, Travel Opportunities, Transportation, Canteen</t>
        </is>
      </c>
      <c r="N11155" s="8">
        <f>HYPERLINK("https://www.vietnamworks.com/sale-executive-2023644-jv","Xem chi tiết")</f>
        <v/>
      </c>
    </row>
    <row r="11156">
      <c r="B11156" s="9" t="n">
        <v>11154</v>
      </c>
      <c r="C11156" s="10" t="inlineStr">
        <is>
          <t>Senior Business Developement Executive - Xanh Food Project</t>
        </is>
      </c>
      <c r="D11156" s="10" t="inlineStr">
        <is>
          <t>GSM</t>
        </is>
      </c>
      <c r="E11156" s="10" t="inlineStr">
        <is>
          <t>$$ 800-1,200 /tháng</t>
        </is>
      </c>
      <c r="F11156" s="10" t="inlineStr">
        <is>
          <t>Hồ Chí Minh</t>
        </is>
      </c>
      <c r="G11156" s="10" t="inlineStr">
        <is>
          <t>Nhân viên</t>
        </is>
      </c>
      <c r="H11156" s="10" t="inlineStr">
        <is>
          <t>14/03/2026</t>
        </is>
      </c>
      <c r="I11156" s="10" t="inlineStr">
        <is>
          <t>13/04/2026</t>
        </is>
      </c>
      <c r="J11156" s="10" t="inlineStr">
        <is>
          <t>17/03/2026</t>
        </is>
      </c>
      <c r="K11156" s="10" t="inlineStr">
        <is>
          <t>N/A</t>
        </is>
      </c>
      <c r="L11156" s="10" t="inlineStr">
        <is>
          <t>Kinh Doanh Thực Phẩm, Kinh Doanh, Chăm Sóc Khách Hàng, Bán Hàng</t>
        </is>
      </c>
      <c r="M11156" s="10" t="inlineStr">
        <is>
          <t>Bonus, Healthcare Plan, Training</t>
        </is>
      </c>
      <c r="N11156" s="11">
        <f>HYPERLINK("https://www.vietnamworks.com/senior-business-developement-executive-xanh-food-project-2023682-jv","Xem chi tiết")</f>
        <v/>
      </c>
      <c r="O11156" s="10" t="n"/>
    </row>
    <row r="11157">
      <c r="B11157" s="7" t="n">
        <v>11155</v>
      </c>
      <c r="C11157" t="inlineStr">
        <is>
          <t>Specialist, Marketing And Media</t>
        </is>
      </c>
      <c r="D11157" t="inlineStr">
        <is>
          <t>APL Logistics Vietnam Company Limited</t>
        </is>
      </c>
      <c r="E11157" t="inlineStr">
        <is>
          <t>Thương lượng</t>
        </is>
      </c>
      <c r="F11157" t="inlineStr">
        <is>
          <t>Hồ Chí Minh</t>
        </is>
      </c>
      <c r="G11157" t="inlineStr">
        <is>
          <t>Nhân viên</t>
        </is>
      </c>
      <c r="H11157" t="inlineStr">
        <is>
          <t>14/03/2026</t>
        </is>
      </c>
      <c r="I11157" t="inlineStr">
        <is>
          <t>13/04/2026</t>
        </is>
      </c>
      <c r="J11157" t="inlineStr">
        <is>
          <t>17/03/2026</t>
        </is>
      </c>
      <c r="K11157" t="inlineStr">
        <is>
          <t>N/A</t>
        </is>
      </c>
      <c r="L11157" t="inlineStr">
        <is>
          <t>Adobe Graphic, Brand Consistency, Marketing Strategy, Visual Display Creation</t>
        </is>
      </c>
      <c r="M11157" t="inlineStr">
        <is>
          <t>Bonus, Healthcare Plan, Paid Leave, Training</t>
        </is>
      </c>
      <c r="N11157" s="8">
        <f>HYPERLINK("https://www.vietnamworks.com/specialist-marketing-and-media-2023672-jv","Xem chi tiết")</f>
        <v/>
      </c>
    </row>
    <row r="11158">
      <c r="B11158" s="9" t="n">
        <v>11156</v>
      </c>
      <c r="C11158" s="10" t="inlineStr">
        <is>
          <t>Production Manager</t>
        </is>
      </c>
      <c r="D11158" s="10" t="inlineStr">
        <is>
          <t>CÔNG TY CỔ PHẦN CHẾ BIẾN NÔNG SẢN SAO MAI</t>
        </is>
      </c>
      <c r="E11158" s="10" t="inlineStr">
        <is>
          <t>Thương lượng</t>
        </is>
      </c>
      <c r="F11158" s="10" t="inlineStr">
        <is>
          <t>Quảng Ngãi, Hồ Chí Minh</t>
        </is>
      </c>
      <c r="G11158" s="10" t="inlineStr">
        <is>
          <t>Trưởng phòng</t>
        </is>
      </c>
      <c r="H11158" s="10" t="inlineStr">
        <is>
          <t>14/03/2026</t>
        </is>
      </c>
      <c r="I11158" s="10" t="inlineStr">
        <is>
          <t>13/04/2026</t>
        </is>
      </c>
      <c r="J11158" s="10" t="inlineStr">
        <is>
          <t>17/03/2026</t>
        </is>
      </c>
      <c r="K11158" s="10" t="inlineStr">
        <is>
          <t>N/A</t>
        </is>
      </c>
      <c r="L11158" s="10" t="inlineStr">
        <is>
          <t>Analytical Skills, Problem-solving, Production Management, Quality Assurance, Team Management</t>
        </is>
      </c>
      <c r="M11158" s="10" t="inlineStr">
        <is>
          <t>Canteen, Others</t>
        </is>
      </c>
      <c r="N11158" s="11">
        <f>HYPERLINK("https://www.vietnamworks.com/production-manager-2023666-jv","Xem chi tiết")</f>
        <v/>
      </c>
      <c r="O11158" s="10" t="n"/>
    </row>
    <row r="11159">
      <c r="B11159" s="7" t="n">
        <v>11157</v>
      </c>
      <c r="C11159" t="inlineStr">
        <is>
          <t>Giám Đốc Kinh Doanh / Chuyên Viên Kinh Doanh</t>
        </is>
      </c>
      <c r="D11159" t="inlineStr">
        <is>
          <t>CÔNG TY CỔ PHẦN XÂY DỰNG QUỐC TẾ SEN LEGEND</t>
        </is>
      </c>
      <c r="E11159" t="inlineStr">
        <is>
          <t>Thương lượng</t>
        </is>
      </c>
      <c r="F11159" t="inlineStr">
        <is>
          <t>Hồ Chí Minh</t>
        </is>
      </c>
      <c r="G11159" t="inlineStr">
        <is>
          <t>Trưởng phòng</t>
        </is>
      </c>
      <c r="H11159" t="inlineStr">
        <is>
          <t>14/03/2026</t>
        </is>
      </c>
      <c r="I11159" t="inlineStr">
        <is>
          <t>13/04/2026</t>
        </is>
      </c>
      <c r="J11159" t="inlineStr">
        <is>
          <t>17/03/2026</t>
        </is>
      </c>
      <c r="K11159" t="inlineStr">
        <is>
          <t>N/A</t>
        </is>
      </c>
      <c r="L11159" t="inlineStr">
        <is>
          <t>Giao Tiếp, Kỹ năng bán hàng, Phát Triển Khách Hàng, Trung Thực, Đàm Phán</t>
        </is>
      </c>
      <c r="M11159" t="inlineStr">
        <is>
          <t>Bonus, Healthcare Plan, Team Activities, Others</t>
        </is>
      </c>
      <c r="N11159" s="8">
        <f>HYPERLINK("https://www.vietnamworks.com/giam-djoc-kinh-doanh-chuyen-vien-kinh-doanh-2023679-jv","Xem chi tiết")</f>
        <v/>
      </c>
    </row>
    <row r="11160">
      <c r="B11160" s="9" t="n">
        <v>11158</v>
      </c>
      <c r="C11160" s="10" t="inlineStr">
        <is>
          <t>Chuyên Viên Cao Cấp Kế Toán Thanh Toán &amp; Chi Phí</t>
        </is>
      </c>
      <c r="D11160" s="10" t="inlineStr">
        <is>
          <t>Công Ty Cổ Phần Tập Đoàn Masterise</t>
        </is>
      </c>
      <c r="E11160" s="10" t="inlineStr">
        <is>
          <t>Thương lượng</t>
        </is>
      </c>
      <c r="F11160" s="10" t="inlineStr">
        <is>
          <t>Hà Nội</t>
        </is>
      </c>
      <c r="G11160" s="10" t="inlineStr">
        <is>
          <t>Nhân viên</t>
        </is>
      </c>
      <c r="H11160" s="10" t="inlineStr">
        <is>
          <t>14/03/2026</t>
        </is>
      </c>
      <c r="I11160" s="10" t="inlineStr">
        <is>
          <t>13/04/2026</t>
        </is>
      </c>
      <c r="J11160" s="10" t="inlineStr">
        <is>
          <t>17/03/2026</t>
        </is>
      </c>
      <c r="K11160" s="10" t="inlineStr">
        <is>
          <t>N/A</t>
        </is>
      </c>
      <c r="L11160" s="10" t="inlineStr">
        <is>
          <t>Chứng Từ Thanh Toán, Kế Toán Chi Phí, Hạch Toán, Tính Giá Thành</t>
        </is>
      </c>
      <c r="M11160" s="10" t="inlineStr">
        <is>
          <t>Bonus, Healthcare Plan, Laptop</t>
        </is>
      </c>
      <c r="N11160" s="11">
        <f>HYPERLINK("https://www.vietnamworks.com/chuyen-vien-cao-cap-ke-toan-thanh-toan-chi-phi--2023674-jv","Xem chi tiết")</f>
        <v/>
      </c>
      <c r="O11160" s="10" t="n"/>
    </row>
    <row r="11161">
      <c r="B11161" s="7" t="n">
        <v>11159</v>
      </c>
      <c r="C11161" t="inlineStr">
        <is>
          <t>Kỹ thuật viên Chất lượng (NPI/ Mass Trial)/AQP Tech</t>
        </is>
      </c>
      <c r="D11161" t="inlineStr">
        <is>
          <t>Molex Vietnam Co., Ltd.</t>
        </is>
      </c>
      <c r="E11161" t="inlineStr">
        <is>
          <t>Thương lượng</t>
        </is>
      </c>
      <c r="F11161" t="inlineStr">
        <is>
          <t>Hưng Yên, Bắc Ninh, Hải Dương</t>
        </is>
      </c>
      <c r="G11161" t="inlineStr">
        <is>
          <t>Nhân viên</t>
        </is>
      </c>
      <c r="H11161" t="inlineStr">
        <is>
          <t>14/03/2026</t>
        </is>
      </c>
      <c r="I11161" t="inlineStr">
        <is>
          <t>13/04/2026</t>
        </is>
      </c>
      <c r="J11161" t="inlineStr">
        <is>
          <t>17/03/2026</t>
        </is>
      </c>
      <c r="K11161" t="inlineStr">
        <is>
          <t>N/A</t>
        </is>
      </c>
      <c r="L11161" t="inlineStr">
        <is>
          <t>Giao Tiếp, Kỹ Thuật Cơ Khí, Kỹ Thuật Điện, Vận Hành Thiết Bị, Đánh Giá Chất Lượng</t>
        </is>
      </c>
      <c r="M11161" t="inlineStr">
        <is>
          <t>Bonus, Healthcare Plan, Paid Leave, Travel Opportunities, Transportation</t>
        </is>
      </c>
      <c r="N11161" s="8">
        <f>HYPERLINK("https://www.vietnamworks.com/ky-thuat-vien-chat-luong-npi-mass-trial-aqp-tech-2023686-jv","Xem chi tiết")</f>
        <v/>
      </c>
    </row>
    <row r="11162">
      <c r="B11162" s="9" t="n">
        <v>11160</v>
      </c>
      <c r="C11162" s="10" t="inlineStr">
        <is>
          <t>Marketing &amp; Matchmaking Specialist (Korean-English Speaker)</t>
        </is>
      </c>
      <c r="D11162" s="10" t="inlineStr">
        <is>
          <t>O M L LTD.</t>
        </is>
      </c>
      <c r="E11162" s="10" t="inlineStr">
        <is>
          <t>$$ 500-1,000 /tháng</t>
        </is>
      </c>
      <c r="F11162" s="10" t="inlineStr">
        <is>
          <t>Hồ Chí Minh</t>
        </is>
      </c>
      <c r="G11162" s="10" t="inlineStr">
        <is>
          <t>Mới Tốt Nghiệp</t>
        </is>
      </c>
      <c r="H11162" s="10" t="inlineStr">
        <is>
          <t>14/03/2026</t>
        </is>
      </c>
      <c r="I11162" s="10" t="inlineStr">
        <is>
          <t>13/04/2026</t>
        </is>
      </c>
      <c r="J11162" s="10" t="inlineStr">
        <is>
          <t>17/03/2026</t>
        </is>
      </c>
      <c r="K11162" s="10" t="inlineStr">
        <is>
          <t>N/A</t>
        </is>
      </c>
      <c r="L11162" s="10" t="inlineStr">
        <is>
          <t>Korean-English Interpretation, Marketing, English, Korean</t>
        </is>
      </c>
      <c r="M11162" s="10" t="inlineStr">
        <is>
          <t>Paid Leave</t>
        </is>
      </c>
      <c r="N11162" s="11">
        <f>HYPERLINK("https://www.vietnamworks.com/marketing-matchmaking-specialist-korean-english-speaker-2023685-jv","Xem chi tiết")</f>
        <v/>
      </c>
      <c r="O11162" s="10" t="n"/>
    </row>
    <row r="11163">
      <c r="B11163" s="7" t="n">
        <v>11161</v>
      </c>
      <c r="C11163" t="inlineStr">
        <is>
          <t>Kỹ Sư Cơ Khí</t>
        </is>
      </c>
      <c r="D11163" t="inlineStr">
        <is>
          <t>Fushan Technology Vietnam</t>
        </is>
      </c>
      <c r="E11163" t="inlineStr">
        <is>
          <t>Thương lượng</t>
        </is>
      </c>
      <c r="F11163" t="inlineStr">
        <is>
          <t>Bắc Ninh, Hà Nội, Bắc Giang</t>
        </is>
      </c>
      <c r="G11163" t="inlineStr">
        <is>
          <t>Nhân viên</t>
        </is>
      </c>
      <c r="H11163" t="inlineStr">
        <is>
          <t>14/03/2026</t>
        </is>
      </c>
      <c r="I11163" t="inlineStr">
        <is>
          <t>13/04/2026</t>
        </is>
      </c>
      <c r="J11163" t="inlineStr">
        <is>
          <t>17/03/2026</t>
        </is>
      </c>
      <c r="K11163" t="inlineStr">
        <is>
          <t>N/A</t>
        </is>
      </c>
      <c r="L11163" t="inlineStr">
        <is>
          <t>Tự Động Hóa, Mechanical Engineering, Cơ Khí, Mechanical, AutoCAD</t>
        </is>
      </c>
      <c r="M11163" t="inlineStr">
        <is>
          <t>Bonus, Healthcare Plan, Paid Leave</t>
        </is>
      </c>
      <c r="N11163" s="8">
        <f>HYPERLINK("https://www.vietnamworks.com/ky-su-co-khi--2023683-jv","Xem chi tiết")</f>
        <v/>
      </c>
    </row>
    <row r="11164">
      <c r="B11164" s="9" t="n">
        <v>11162</v>
      </c>
      <c r="C11164" s="10" t="inlineStr">
        <is>
          <t>Giám Đốc Tài Chính Kế Toán</t>
        </is>
      </c>
      <c r="D11164" s="10" t="inlineStr">
        <is>
          <t>CÔNG TY CỔ PHẦN TRUNG TÂM HỘI CHỢ TRIỂN LÃM VIỆT NAM</t>
        </is>
      </c>
      <c r="E11164" s="10" t="inlineStr">
        <is>
          <t>Từ $ 2,000 /tháng</t>
        </is>
      </c>
      <c r="F11164" s="10" t="inlineStr">
        <is>
          <t>Hà Nội</t>
        </is>
      </c>
      <c r="G11164" s="10" t="inlineStr">
        <is>
          <t>Giám Đốc và Cấp Cao Hơn</t>
        </is>
      </c>
      <c r="H11164" s="10" t="inlineStr">
        <is>
          <t>14/03/2026</t>
        </is>
      </c>
      <c r="I11164" s="10" t="inlineStr">
        <is>
          <t>13/04/2026</t>
        </is>
      </c>
      <c r="J11164" s="10" t="inlineStr">
        <is>
          <t>17/03/2026</t>
        </is>
      </c>
      <c r="K11164" s="10" t="inlineStr">
        <is>
          <t>N/A</t>
        </is>
      </c>
      <c r="L11164" s="10" t="inlineStr">
        <is>
          <t>Kế Toán, Lập Ngân Sách, Phân Tích Chiến Lược, Phân Tích Tài Chính, Quản Lý Tài Chính</t>
        </is>
      </c>
      <c r="M11164" s="10" t="inlineStr">
        <is>
          <t>Bonus, Healthcare Plan, Others</t>
        </is>
      </c>
      <c r="N11164" s="11">
        <f>HYPERLINK("https://www.vietnamworks.com/giam-djoc-tai-chinh-ke-toan-2023697-jv","Xem chi tiết")</f>
        <v/>
      </c>
      <c r="O11164" s="10" t="n"/>
    </row>
    <row r="11165">
      <c r="B11165" s="7" t="n">
        <v>11163</v>
      </c>
      <c r="C11165" t="inlineStr">
        <is>
          <t>Quản Lý Đào Tạo Kinh Doanh</t>
        </is>
      </c>
      <c r="D11165" t="inlineStr">
        <is>
          <t>VINFAST TRADING AND PRODUCTION JSC</t>
        </is>
      </c>
      <c r="E11165" t="inlineStr">
        <is>
          <t>Thương lượng</t>
        </is>
      </c>
      <c r="F11165" t="inlineStr">
        <is>
          <t>Hà Nội, Hồ Chí Minh</t>
        </is>
      </c>
      <c r="G11165" t="inlineStr">
        <is>
          <t>Nhân viên</t>
        </is>
      </c>
      <c r="H11165" t="inlineStr">
        <is>
          <t>14/03/2026</t>
        </is>
      </c>
      <c r="I11165" t="inlineStr">
        <is>
          <t>13/04/2026</t>
        </is>
      </c>
      <c r="J11165" t="inlineStr">
        <is>
          <t>17/03/2026</t>
        </is>
      </c>
      <c r="K11165" t="inlineStr">
        <is>
          <t>N/A</t>
        </is>
      </c>
      <c r="L11165" t="inlineStr">
        <is>
          <t>English, Training, Sales Training, Coaching, Automotive</t>
        </is>
      </c>
      <c r="M11165" t="inlineStr">
        <is>
          <t>Bonus, Healthcare Plan, Others</t>
        </is>
      </c>
      <c r="N11165" s="8">
        <f>HYPERLINK("https://www.vietnamworks.com/quan-ly-dao-tao-kinh-doanh-2023669-jv","Xem chi tiết")</f>
        <v/>
      </c>
    </row>
    <row r="11166">
      <c r="B11166" s="9" t="n">
        <v>11164</v>
      </c>
      <c r="C11166" s="10" t="inlineStr">
        <is>
          <t>Senior Talent Acquisition Specialist/talent Acquisition Lead (Working in Hai Phong)</t>
        </is>
      </c>
      <c r="D11166" s="10" t="inlineStr">
        <is>
          <t>VINFAST TRADING AND PRODUCTION JSC</t>
        </is>
      </c>
      <c r="E11166" s="10" t="inlineStr">
        <is>
          <t>Thương lượng</t>
        </is>
      </c>
      <c r="F11166" s="10" t="inlineStr">
        <is>
          <t>Hà Nội, Hải Phòng, Hải Dương</t>
        </is>
      </c>
      <c r="G11166" s="10" t="inlineStr">
        <is>
          <t>Nhân viên</t>
        </is>
      </c>
      <c r="H11166" s="10" t="inlineStr">
        <is>
          <t>14/03/2026</t>
        </is>
      </c>
      <c r="I11166" s="10" t="inlineStr">
        <is>
          <t>13/04/2026</t>
        </is>
      </c>
      <c r="J11166" s="10" t="inlineStr">
        <is>
          <t>17/03/2026</t>
        </is>
      </c>
      <c r="K11166" s="10" t="inlineStr">
        <is>
          <t>N/A</t>
        </is>
      </c>
      <c r="L11166" s="10" t="inlineStr">
        <is>
          <t>Recruitment, Talent Sourcing, Candidate Mapping, Talent Acquisition, Candidate Searching</t>
        </is>
      </c>
      <c r="M11166" s="10" t="inlineStr">
        <is>
          <t>Bonus, Healthcare Plan, Others</t>
        </is>
      </c>
      <c r="N11166" s="11">
        <f>HYPERLINK("https://www.vietnamworks.com/senior-talent-acquisition-specialist-talent-acquisition-lead-working-in-hai-phong-2023694-jv","Xem chi tiết")</f>
        <v/>
      </c>
      <c r="O11166" s="10" t="n"/>
    </row>
    <row r="11167">
      <c r="B11167" s="7" t="n">
        <v>11165</v>
      </c>
      <c r="C11167" t="inlineStr">
        <is>
          <t>Trưởng Nhóm Tuyển Dụng Bất Động Sản (Lương Cứng Upto 25 Triệu/tháng + Thưởng)</t>
        </is>
      </c>
      <c r="D11167" t="inlineStr">
        <is>
          <t>Công ty cổ phần DKRA Vega</t>
        </is>
      </c>
      <c r="E11167" t="inlineStr">
        <is>
          <t>$$ 700-950 /tháng</t>
        </is>
      </c>
      <c r="F11167" t="inlineStr">
        <is>
          <t>Hồ Chí Minh</t>
        </is>
      </c>
      <c r="G11167" t="inlineStr">
        <is>
          <t>Trưởng phòng</t>
        </is>
      </c>
      <c r="H11167" t="inlineStr">
        <is>
          <t>14/03/2026</t>
        </is>
      </c>
      <c r="I11167" t="inlineStr">
        <is>
          <t>13/04/2026</t>
        </is>
      </c>
      <c r="J11167" t="inlineStr">
        <is>
          <t>17/03/2026</t>
        </is>
      </c>
      <c r="K11167" t="inlineStr">
        <is>
          <t>N/A</t>
        </is>
      </c>
      <c r="L11167" t="inlineStr">
        <is>
          <t>Lập Kế Hoạch Tuyển Dụng, Đánh giá ứng viên, Quản Lý Đội Nhóm, Xây Dựng Thương Hiệu</t>
        </is>
      </c>
      <c r="M11167" t="inlineStr">
        <is>
          <t>Bonus, Paid Leave</t>
        </is>
      </c>
      <c r="N11167" s="8">
        <f>HYPERLINK("https://www.vietnamworks.com/truong-nhom-tuyen-dung-bat-dong-san-luong-cung-upto-25-trieu-thang-thuong-2023671-jv","Xem chi tiết")</f>
        <v/>
      </c>
    </row>
    <row r="11168">
      <c r="B11168" s="9" t="n">
        <v>11166</v>
      </c>
      <c r="C11168" s="10" t="inlineStr">
        <is>
          <t>Product Delivery Manager</t>
        </is>
      </c>
      <c r="D11168" s="10" t="inlineStr">
        <is>
          <t>Công Ty Cổ Phần Chứng Khoán Phú Hưng (PHS)</t>
        </is>
      </c>
      <c r="E11168" s="10" t="inlineStr">
        <is>
          <t>Thương lượng</t>
        </is>
      </c>
      <c r="F11168" s="10" t="inlineStr">
        <is>
          <t>Hồ Chí Minh</t>
        </is>
      </c>
      <c r="G11168" s="10" t="inlineStr">
        <is>
          <t>Nhân viên</t>
        </is>
      </c>
      <c r="H11168" s="10" t="inlineStr">
        <is>
          <t>14/03/2026</t>
        </is>
      </c>
      <c r="I11168" s="10" t="inlineStr">
        <is>
          <t>13/04/2026</t>
        </is>
      </c>
      <c r="J11168" s="10" t="inlineStr">
        <is>
          <t>17/03/2026</t>
        </is>
      </c>
      <c r="K11168" s="10" t="inlineStr">
        <is>
          <t>N/A</t>
        </is>
      </c>
      <c r="L11168" s="10" t="inlineStr">
        <is>
          <t>Agile Methodologies, Business Analysis, Communication Skills, Project Management, Web Application Technology</t>
        </is>
      </c>
      <c r="M11168" s="10" t="inlineStr">
        <is>
          <t>Bonus, Healthcare Plan, Paid Leave, Training, Team Activities, Others</t>
        </is>
      </c>
      <c r="N11168" s="11">
        <f>HYPERLINK("https://www.vietnamworks.com/product-delivery-manager-2023696-jv","Xem chi tiết")</f>
        <v/>
      </c>
      <c r="O11168" s="10" t="n"/>
    </row>
    <row r="11169">
      <c r="B11169" s="7" t="n">
        <v>11167</v>
      </c>
      <c r="C11169" t="inlineStr">
        <is>
          <t>Quy Nhon Office Manager (in Base Quy Nhon)</t>
        </is>
      </c>
      <c r="D11169" t="inlineStr">
        <is>
          <t>Công Ty TNHH Gardenline International (VN)</t>
        </is>
      </c>
      <c r="E11169" t="inlineStr">
        <is>
          <t>Thương lượng</t>
        </is>
      </c>
      <c r="F11169" t="inlineStr">
        <is>
          <t>Bình Định</t>
        </is>
      </c>
      <c r="G11169" t="inlineStr">
        <is>
          <t>Trưởng phòng</t>
        </is>
      </c>
      <c r="H11169" t="inlineStr">
        <is>
          <t>14/03/2026</t>
        </is>
      </c>
      <c r="I11169" t="inlineStr">
        <is>
          <t>13/04/2026</t>
        </is>
      </c>
      <c r="J11169" t="inlineStr">
        <is>
          <t>17/03/2026</t>
        </is>
      </c>
      <c r="K11169" t="inlineStr">
        <is>
          <t>N/A</t>
        </is>
      </c>
      <c r="L11169" t="inlineStr">
        <is>
          <t>Communication  Effective Skill, Management, Control Systems, Business Networking, Business Information Systems</t>
        </is>
      </c>
      <c r="M11169" t="inlineStr">
        <is>
          <t>Bonus, Healthcare Plan, Others</t>
        </is>
      </c>
      <c r="N11169" s="8">
        <f>HYPERLINK("https://www.vietnamworks.com/quy-nhon-office-manager-in-base-quy-nhon-2023689-jv","Xem chi tiết")</f>
        <v/>
      </c>
    </row>
    <row r="11170">
      <c r="B11170" s="9" t="n">
        <v>11168</v>
      </c>
      <c r="C11170" s="10" t="inlineStr">
        <is>
          <t>Quản Lý Đào Tạo</t>
        </is>
      </c>
      <c r="D11170" s="10" t="inlineStr">
        <is>
          <t>Công Ty Phát Triển Trạm Sạc Toàn Cầu V-Green</t>
        </is>
      </c>
      <c r="E11170" s="10" t="inlineStr">
        <is>
          <t>Thương lượng</t>
        </is>
      </c>
      <c r="F11170" s="10" t="inlineStr">
        <is>
          <t>Hà Nội</t>
        </is>
      </c>
      <c r="G11170" s="10" t="inlineStr">
        <is>
          <t>Nhân viên</t>
        </is>
      </c>
      <c r="H11170" s="10" t="inlineStr">
        <is>
          <t>14/03/2026</t>
        </is>
      </c>
      <c r="I11170" s="10" t="inlineStr">
        <is>
          <t>13/04/2026</t>
        </is>
      </c>
      <c r="J11170" s="10" t="inlineStr">
        <is>
          <t>17/03/2026</t>
        </is>
      </c>
      <c r="K11170" s="10" t="inlineStr">
        <is>
          <t>N/A</t>
        </is>
      </c>
      <c r="L11170" s="10" t="inlineStr">
        <is>
          <t>Đào Tạo, Training Management, Quản Lý Đào Tạo, Training, Coaching</t>
        </is>
      </c>
      <c r="M11170" s="10" t="inlineStr">
        <is>
          <t>Bonus, Healthcare Plan, Others</t>
        </is>
      </c>
      <c r="N11170" s="11">
        <f>HYPERLINK("https://www.vietnamworks.com/quan-ly-dao-tao--2023667-jv","Xem chi tiết")</f>
        <v/>
      </c>
      <c r="O11170" s="10" t="n"/>
    </row>
    <row r="11171">
      <c r="B11171" s="7" t="n">
        <v>11169</v>
      </c>
      <c r="C11171" t="inlineStr">
        <is>
          <t>Paraplanner (Financial Planning Assistant) for Australian Financial Advice Company</t>
        </is>
      </c>
      <c r="D11171" t="inlineStr">
        <is>
          <t>Ziku Global LLC</t>
        </is>
      </c>
      <c r="E11171" t="inlineStr">
        <is>
          <t>$$ 450-1,000 /tháng</t>
        </is>
      </c>
      <c r="F11171" t="inlineStr">
        <is>
          <t>Hồ Chí Minh</t>
        </is>
      </c>
      <c r="G11171" t="inlineStr">
        <is>
          <t>Nhân viên</t>
        </is>
      </c>
      <c r="H11171" t="inlineStr">
        <is>
          <t>14/03/2026</t>
        </is>
      </c>
      <c r="I11171" t="inlineStr">
        <is>
          <t>13/04/2026</t>
        </is>
      </c>
      <c r="J11171" t="inlineStr">
        <is>
          <t>17/03/2026</t>
        </is>
      </c>
      <c r="K11171" t="inlineStr">
        <is>
          <t>N/A</t>
        </is>
      </c>
      <c r="L11171" t="inlineStr">
        <is>
          <t>English fluency, Financial Reporting, Financial Strategy, Financial Products, Analysis &amp; Reporting Skills</t>
        </is>
      </c>
      <c r="M11171" t="inlineStr">
        <is>
          <t>Bonus, Healthcare Plan, Training</t>
        </is>
      </c>
      <c r="N11171" s="8">
        <f>HYPERLINK("https://www.vietnamworks.com/paraplanner-financial-planning-assistant-for-australian-financial-advice-company--2023684-jv","Xem chi tiết")</f>
        <v/>
      </c>
    </row>
    <row r="11172">
      <c r="B11172" s="9" t="n">
        <v>11170</v>
      </c>
      <c r="C11172" s="10" t="inlineStr">
        <is>
          <t>Nhân Viên Kho Vật Tư Kỹ Thuật - Store Officer</t>
        </is>
      </c>
      <c r="D11172" s="10" t="inlineStr">
        <is>
          <t>Vietjet Air</t>
        </is>
      </c>
      <c r="E11172" s="10" t="inlineStr">
        <is>
          <t>Thương lượng</t>
        </is>
      </c>
      <c r="F11172" s="10" t="inlineStr">
        <is>
          <t>Đồng Nai</t>
        </is>
      </c>
      <c r="G11172" s="10" t="inlineStr">
        <is>
          <t>Mới Tốt Nghiệp</t>
        </is>
      </c>
      <c r="H11172" s="10" t="inlineStr">
        <is>
          <t>14/03/2026</t>
        </is>
      </c>
      <c r="I11172" s="10" t="inlineStr">
        <is>
          <t>13/04/2026</t>
        </is>
      </c>
      <c r="J11172" s="10" t="inlineStr">
        <is>
          <t>17/03/2026</t>
        </is>
      </c>
      <c r="K11172" s="10" t="inlineStr">
        <is>
          <t>N/A</t>
        </is>
      </c>
      <c r="L11172" s="10" t="inlineStr">
        <is>
          <t>Warehouse Management, Kho Vận, Quản Lý Kho Bãi, Store Operation</t>
        </is>
      </c>
      <c r="M11172" s="10" t="inlineStr">
        <is>
          <t>Bonus, Healthcare Plan, Travel Opportunities</t>
        </is>
      </c>
      <c r="N11172" s="11">
        <f>HYPERLINK("https://www.vietnamworks.com/nhan-vien-kho-vat-tu-ky-thuat-store-officer-2023668-jv","Xem chi tiết")</f>
        <v/>
      </c>
      <c r="O11172" s="10" t="n"/>
    </row>
    <row r="11173">
      <c r="B11173" s="7" t="n">
        <v>11171</v>
      </c>
      <c r="C11173" t="inlineStr">
        <is>
          <t>Film Marketing Manager</t>
        </is>
      </c>
      <c r="D11173" t="inlineStr">
        <is>
          <t>CÔNG TY CỔ PHẦN PHÁT TRIỂN ĐIỆN ẢNH V-FILM</t>
        </is>
      </c>
      <c r="E11173" t="inlineStr">
        <is>
          <t>Thương lượng</t>
        </is>
      </c>
      <c r="F11173" t="inlineStr">
        <is>
          <t>Hà Nội</t>
        </is>
      </c>
      <c r="G11173" t="inlineStr">
        <is>
          <t>Trưởng phòng</t>
        </is>
      </c>
      <c r="H11173" t="inlineStr">
        <is>
          <t>14/03/2026</t>
        </is>
      </c>
      <c r="I11173" t="inlineStr">
        <is>
          <t>13/04/2026</t>
        </is>
      </c>
      <c r="J11173" t="inlineStr">
        <is>
          <t>17/03/2026</t>
        </is>
      </c>
      <c r="K11173" t="inlineStr">
        <is>
          <t>N/A</t>
        </is>
      </c>
      <c r="L11173" t="inlineStr">
        <is>
          <t>Branding, Communication Strategy, Film Marketing, Marketing, Media</t>
        </is>
      </c>
      <c r="M11173" t="inlineStr">
        <is>
          <t>Bonus, Healthcare Plan, Others</t>
        </is>
      </c>
      <c r="N11173" s="8">
        <f>HYPERLINK("https://www.vietnamworks.com/film-marketing-manager-2023695-jv","Xem chi tiết")</f>
        <v/>
      </c>
    </row>
    <row r="11174">
      <c r="B11174" s="9" t="n">
        <v>11172</v>
      </c>
      <c r="C11174" s="10" t="inlineStr">
        <is>
          <t>Chuyên viên Kiểm soát nội bộ (mảng Kinh tế xây dựng)</t>
        </is>
      </c>
      <c r="D11174" s="10" t="inlineStr">
        <is>
          <t>Công Ty Cổ Phần Tập Đoàn Danko</t>
        </is>
      </c>
      <c r="E11174" s="10" t="inlineStr">
        <is>
          <t>$$ 1,000-1,300 /tháng</t>
        </is>
      </c>
      <c r="F11174" s="10" t="inlineStr">
        <is>
          <t>Hà Nội</t>
        </is>
      </c>
      <c r="G11174" s="10" t="inlineStr">
        <is>
          <t>Nhân viên</t>
        </is>
      </c>
      <c r="H11174" s="10" t="inlineStr">
        <is>
          <t>14/03/2026</t>
        </is>
      </c>
      <c r="I11174" s="10" t="inlineStr">
        <is>
          <t>13/04/2026</t>
        </is>
      </c>
      <c r="J11174" s="10" t="inlineStr">
        <is>
          <t>17/03/2026</t>
        </is>
      </c>
      <c r="K11174" s="10" t="inlineStr">
        <is>
          <t>N/A</t>
        </is>
      </c>
      <c r="L11174" s="10" t="inlineStr">
        <is>
          <t>AutoCAD Application, Dự Toán Báo Giá, Khả năng chịu áp lực, Đánh Giá Nội Bộ, Đấu Thầu Xây Dựng</t>
        </is>
      </c>
      <c r="M11174" s="10" t="inlineStr">
        <is>
          <t>Bonus, Healthcare Plan, Awards, Travel Opportunities</t>
        </is>
      </c>
      <c r="N11174" s="11">
        <f>HYPERLINK("https://www.vietnamworks.com/chuyen-vien-kiem-soat-noi-bo-mang-kinh-te-xay-dung-2023677-jv","Xem chi tiết")</f>
        <v/>
      </c>
      <c r="O11174" s="10" t="n"/>
    </row>
    <row r="11175">
      <c r="B11175" s="7" t="n">
        <v>11173</v>
      </c>
      <c r="C11175" t="inlineStr">
        <is>
          <t>Nhân Viên Kế Toán Thanh Toán</t>
        </is>
      </c>
      <c r="D11175" t="inlineStr">
        <is>
          <t>Công Ty Cổ Phần Openasia</t>
        </is>
      </c>
      <c r="E11175" t="inlineStr">
        <is>
          <t>$$ 10tr-12tr /tháng</t>
        </is>
      </c>
      <c r="F11175" t="inlineStr">
        <is>
          <t>Hà Nội</t>
        </is>
      </c>
      <c r="G11175" t="inlineStr">
        <is>
          <t>Nhân viên</t>
        </is>
      </c>
      <c r="H11175" t="inlineStr">
        <is>
          <t>14/03/2026</t>
        </is>
      </c>
      <c r="I11175" t="inlineStr">
        <is>
          <t>13/04/2026</t>
        </is>
      </c>
      <c r="J11175" t="inlineStr">
        <is>
          <t>17/03/2026</t>
        </is>
      </c>
      <c r="K11175" t="inlineStr">
        <is>
          <t>N/A</t>
        </is>
      </c>
      <c r="L11175" t="inlineStr">
        <is>
          <t>RNN</t>
        </is>
      </c>
      <c r="M11175" t="inlineStr">
        <is>
          <t>Bonus</t>
        </is>
      </c>
      <c r="N11175" s="8">
        <f>HYPERLINK("https://www.vietnamworks.com/nhan-vien-ke-toan-thanh-toan-9-2023670-jv","Xem chi tiết")</f>
        <v/>
      </c>
    </row>
    <row r="11176">
      <c r="B11176" s="9" t="n">
        <v>11174</v>
      </c>
      <c r="C11176" s="10" t="inlineStr">
        <is>
          <t>Chuyên Viên Hành Chính Tổng Hợp</t>
        </is>
      </c>
      <c r="D11176" s="10" t="inlineStr">
        <is>
          <t>CÔNG TY CỔ PHẦN PHÁT TRIỂN ĐIỆN ẢNH V-FILM</t>
        </is>
      </c>
      <c r="E11176" s="10" t="inlineStr">
        <is>
          <t>Thương lượng</t>
        </is>
      </c>
      <c r="F11176" s="10" t="inlineStr">
        <is>
          <t>Hà Nội</t>
        </is>
      </c>
      <c r="G11176" s="10" t="inlineStr">
        <is>
          <t>Nhân viên</t>
        </is>
      </c>
      <c r="H11176" s="10" t="inlineStr">
        <is>
          <t>14/03/2026</t>
        </is>
      </c>
      <c r="I11176" s="10" t="inlineStr">
        <is>
          <t>13/04/2026</t>
        </is>
      </c>
      <c r="J11176" s="10" t="inlineStr">
        <is>
          <t>17/03/2026</t>
        </is>
      </c>
      <c r="K11176" s="10" t="inlineStr">
        <is>
          <t>N/A</t>
        </is>
      </c>
      <c r="L11176" s="10" t="inlineStr">
        <is>
          <t>Tin Học Văn Phòng, Hành Chính, Văn Thư Lưu Trữ, SAP, Mua Sắm Hàng Hóa</t>
        </is>
      </c>
      <c r="M11176" s="10" t="inlineStr">
        <is>
          <t>Bonus, Healthcare Plan, Others</t>
        </is>
      </c>
      <c r="N11176" s="11">
        <f>HYPERLINK("https://www.vietnamworks.com/chuyen-vien-hanh-chinh-tong-hop--2023705-jv","Xem chi tiết")</f>
        <v/>
      </c>
      <c r="O11176" s="10" t="n"/>
    </row>
    <row r="11177">
      <c r="B11177" s="7" t="n">
        <v>11175</v>
      </c>
      <c r="C11177" t="inlineStr">
        <is>
          <t>Chuyên Viên Nhân Sự Tổng Hợp</t>
        </is>
      </c>
      <c r="D11177" t="inlineStr">
        <is>
          <t>CÔNG TY CỔ PHẦN PHÁT TRIỂN ĐIỆN ẢNH V-FILM</t>
        </is>
      </c>
      <c r="E11177" t="inlineStr">
        <is>
          <t>Thương lượng</t>
        </is>
      </c>
      <c r="F11177" t="inlineStr">
        <is>
          <t>Hà Nội</t>
        </is>
      </c>
      <c r="G11177" t="inlineStr">
        <is>
          <t>Nhân viên</t>
        </is>
      </c>
      <c r="H11177" t="inlineStr">
        <is>
          <t>14/03/2026</t>
        </is>
      </c>
      <c r="I11177" t="inlineStr">
        <is>
          <t>13/04/2026</t>
        </is>
      </c>
      <c r="J11177" t="inlineStr">
        <is>
          <t>17/03/2026</t>
        </is>
      </c>
      <c r="K11177" t="inlineStr">
        <is>
          <t>N/A</t>
        </is>
      </c>
      <c r="L11177" t="inlineStr">
        <is>
          <t>Nhân Sự, C&amp;B, SAP, HR General, Pháp Luật Lao Động, Thuế Tncn, Bhxh</t>
        </is>
      </c>
      <c r="M11177" t="inlineStr">
        <is>
          <t>Bonus, Healthcare Plan, Others</t>
        </is>
      </c>
      <c r="N11177" s="8">
        <f>HYPERLINK("https://www.vietnamworks.com/chuyen-vien-nhan-su-tong-hop--2023706-jv","Xem chi tiết")</f>
        <v/>
      </c>
    </row>
    <row r="11178">
      <c r="B11178" s="9" t="n">
        <v>11176</v>
      </c>
      <c r="C11178" s="10" t="inlineStr">
        <is>
          <t>Tour Operator - Điều Hành Tour du lịch</t>
        </is>
      </c>
      <c r="D11178" s="10" t="inlineStr">
        <is>
          <t>Tonkin Travel</t>
        </is>
      </c>
      <c r="E11178" s="10" t="inlineStr">
        <is>
          <t>8tr-12tr ₫/tháng</t>
        </is>
      </c>
      <c r="F11178" s="10" t="inlineStr">
        <is>
          <t>Hà Nội</t>
        </is>
      </c>
      <c r="G11178" s="10" t="inlineStr">
        <is>
          <t>Nhân viên</t>
        </is>
      </c>
      <c r="H11178" s="10" t="inlineStr">
        <is>
          <t>15/03/2026</t>
        </is>
      </c>
      <c r="I11178" s="10" t="inlineStr">
        <is>
          <t>14/04/2026</t>
        </is>
      </c>
      <c r="J11178" s="10" t="inlineStr">
        <is>
          <t>17/03/2026</t>
        </is>
      </c>
      <c r="K11178" s="10" t="inlineStr">
        <is>
          <t>N/A</t>
        </is>
      </c>
      <c r="L11178" s="10" t="inlineStr">
        <is>
          <t>Du lịch, Khách sạn, Điều Hành Tour, Inbound, Hướng dẫn viên</t>
        </is>
      </c>
      <c r="M11178" s="10" t="inlineStr">
        <is>
          <t>Bonus, Healthcare Plan, Team Activities, Others</t>
        </is>
      </c>
      <c r="N11178" s="11">
        <f>HYPERLINK("https://www.vietnamworks.com/tour-operator-djieu-hanh-tour-du-lich-2023739-jv","Xem chi tiết")</f>
        <v/>
      </c>
      <c r="O11178" s="10" t="n"/>
    </row>
    <row r="11179">
      <c r="B11179" s="7" t="n">
        <v>11177</v>
      </c>
      <c r="C11179" t="inlineStr">
        <is>
          <t>Senior Facilities Engineer (Water Treatment System)</t>
        </is>
      </c>
      <c r="D11179" t="inlineStr">
        <is>
          <t>Coherent Vietnam</t>
        </is>
      </c>
      <c r="E11179" t="inlineStr">
        <is>
          <t>Thương lượng</t>
        </is>
      </c>
      <c r="F11179" t="inlineStr">
        <is>
          <t>Đồng Nai</t>
        </is>
      </c>
      <c r="G11179" t="inlineStr">
        <is>
          <t>Nhân viên</t>
        </is>
      </c>
      <c r="H11179" t="inlineStr">
        <is>
          <t>13/03/2026</t>
        </is>
      </c>
      <c r="I11179" t="inlineStr">
        <is>
          <t>14/04/2026</t>
        </is>
      </c>
      <c r="J11179" t="inlineStr">
        <is>
          <t>17/03/2026</t>
        </is>
      </c>
      <c r="K11179" t="inlineStr">
        <is>
          <t>N/A</t>
        </is>
      </c>
      <c r="L11179" t="inlineStr">
        <is>
          <t>Facility Maintenance, Electronic Troubleshooting, Electrical Maintenance, HVAC, Utility</t>
        </is>
      </c>
      <c r="M11179" t="inlineStr">
        <is>
          <t>Bonus, Healthcare Plan, Travel Opportunities</t>
        </is>
      </c>
      <c r="N11179" s="8">
        <f>HYPERLINK("https://www.vietnamworks.com/senior-facilities-engineer-water-treatment-system-2023357-jv","Xem chi tiết")</f>
        <v/>
      </c>
    </row>
    <row r="11180">
      <c r="B11180" s="9" t="n">
        <v>11178</v>
      </c>
      <c r="C11180" s="10" t="inlineStr">
        <is>
          <t>Chuyên Viên Cao Cấp C&amp;B</t>
        </is>
      </c>
      <c r="D11180" s="10" t="inlineStr">
        <is>
          <t>Công ty Cổ Phần Hạ Tầng Hàng Không Masterise</t>
        </is>
      </c>
      <c r="E11180" s="10" t="inlineStr">
        <is>
          <t>Thương lượng</t>
        </is>
      </c>
      <c r="F11180" s="10" t="inlineStr">
        <is>
          <t>Hà Nội</t>
        </is>
      </c>
      <c r="G11180" s="10" t="inlineStr">
        <is>
          <t>Nhân viên</t>
        </is>
      </c>
      <c r="H11180" s="10" t="inlineStr">
        <is>
          <t>15/03/2026</t>
        </is>
      </c>
      <c r="I11180" s="10" t="inlineStr">
        <is>
          <t>14/04/2026</t>
        </is>
      </c>
      <c r="J11180" s="10" t="inlineStr">
        <is>
          <t>17/03/2026</t>
        </is>
      </c>
      <c r="K11180" s="10" t="inlineStr">
        <is>
          <t>N/A</t>
        </is>
      </c>
      <c r="L11180" s="10" t="inlineStr">
        <is>
          <t>C&amp;B, Payroll, Chính Sách Lương Thưởng, Pháp Luật Lao Động, Thuế Tncn, Bhxh, Total Rewards</t>
        </is>
      </c>
      <c r="M11180" s="10" t="inlineStr">
        <is>
          <t>Bonus, Healthcare Plan, Laptop</t>
        </is>
      </c>
      <c r="N11180" s="11">
        <f>HYPERLINK("https://www.vietnamworks.com/chuyen-vien-cao-cap-c-b--2023720-jv","Xem chi tiết")</f>
        <v/>
      </c>
      <c r="O11180" s="10" t="n"/>
    </row>
    <row r="11181">
      <c r="B11181" s="7" t="n">
        <v>11179</v>
      </c>
      <c r="C11181" t="inlineStr">
        <is>
          <t>Apparel Merchandiser Or Production Manager</t>
        </is>
      </c>
      <c r="D11181" t="inlineStr">
        <is>
          <t>Vietnamworks' Client</t>
        </is>
      </c>
      <c r="E11181" t="inlineStr">
        <is>
          <t>$$ 1,000-2,000 /tháng</t>
        </is>
      </c>
      <c r="F11181" t="inlineStr">
        <is>
          <t>Hồ Chí Minh</t>
        </is>
      </c>
      <c r="G11181" t="inlineStr">
        <is>
          <t>Nhân viên</t>
        </is>
      </c>
      <c r="H11181" t="inlineStr">
        <is>
          <t>14/03/2026</t>
        </is>
      </c>
      <c r="I11181" t="inlineStr">
        <is>
          <t>14/04/2026</t>
        </is>
      </c>
      <c r="J11181" t="inlineStr">
        <is>
          <t>17/03/2026</t>
        </is>
      </c>
      <c r="K11181" t="inlineStr">
        <is>
          <t>N/A</t>
        </is>
      </c>
      <c r="L11181" t="inlineStr">
        <is>
          <t>Communication Skills, Fabric Merchandising, Garment Production, Negotiation Skills, Production Management</t>
        </is>
      </c>
      <c r="M11181" t="inlineStr">
        <is>
          <t>Others</t>
        </is>
      </c>
      <c r="N11181" s="8">
        <f>HYPERLINK("https://www.vietnamworks.com/apparel-merchandiser-or-production-manager-2023712-jv","Xem chi tiết")</f>
        <v/>
      </c>
    </row>
    <row r="11182">
      <c r="B11182" s="9" t="n">
        <v>11180</v>
      </c>
      <c r="C11182" s="10" t="inlineStr">
        <is>
          <t>Tư Vấn Bán Hàng Showroom Ô Tô</t>
        </is>
      </c>
      <c r="D11182" s="10" t="inlineStr">
        <is>
          <t>Vietnamworks' Client</t>
        </is>
      </c>
      <c r="E11182" s="10" t="inlineStr">
        <is>
          <t>$$ 500-1,000 /tháng</t>
        </is>
      </c>
      <c r="F11182" s="10" t="inlineStr">
        <is>
          <t>Hồ Chí Minh</t>
        </is>
      </c>
      <c r="G11182" s="10" t="inlineStr">
        <is>
          <t>Mới Tốt Nghiệp</t>
        </is>
      </c>
      <c r="H11182" s="10" t="inlineStr">
        <is>
          <t>15/03/2026</t>
        </is>
      </c>
      <c r="I11182" s="10" t="inlineStr">
        <is>
          <t>14/04/2026</t>
        </is>
      </c>
      <c r="J11182" s="10" t="inlineStr">
        <is>
          <t>17/03/2026</t>
        </is>
      </c>
      <c r="K11182" s="10" t="inlineStr">
        <is>
          <t>N/A</t>
        </is>
      </c>
      <c r="L11182" s="10" t="inlineStr">
        <is>
          <t>sale, Car Service, CAR</t>
        </is>
      </c>
      <c r="M11182" s="10" t="inlineStr">
        <is>
          <t>Bonus</t>
        </is>
      </c>
      <c r="N11182" s="11">
        <f>HYPERLINK("https://www.vietnamworks.com/tu-van-ban-hang-showroom-o-to-2023713-jv","Xem chi tiết")</f>
        <v/>
      </c>
      <c r="O11182" s="10" t="n"/>
    </row>
    <row r="11183">
      <c r="B11183" s="7" t="n">
        <v>11181</v>
      </c>
      <c r="C11183" t="inlineStr">
        <is>
          <t>Trưởng Phòng Hành Chính</t>
        </is>
      </c>
      <c r="D11183" t="inlineStr">
        <is>
          <t>Công ty Cổ Phần Hạ Tầng Hàng Không Masterise</t>
        </is>
      </c>
      <c r="E11183" t="inlineStr">
        <is>
          <t>Thương lượng</t>
        </is>
      </c>
      <c r="F11183" t="inlineStr">
        <is>
          <t>Hà Nội</t>
        </is>
      </c>
      <c r="G11183" t="inlineStr">
        <is>
          <t>Trưởng phòng</t>
        </is>
      </c>
      <c r="H11183" t="inlineStr">
        <is>
          <t>15/03/2026</t>
        </is>
      </c>
      <c r="I11183" t="inlineStr">
        <is>
          <t>14/04/2026</t>
        </is>
      </c>
      <c r="J11183" t="inlineStr">
        <is>
          <t>17/03/2026</t>
        </is>
      </c>
      <c r="K11183" t="inlineStr">
        <is>
          <t>N/A</t>
        </is>
      </c>
      <c r="L11183" t="inlineStr">
        <is>
          <t>Administration, Vận Hành, Tiếng Anh Giao Tiếp, Quản Lý Hành Chính, Quản Lý Ngân Sách</t>
        </is>
      </c>
      <c r="M11183" t="inlineStr">
        <is>
          <t>Bonus, Healthcare Plan, Laptop</t>
        </is>
      </c>
      <c r="N11183" s="8">
        <f>HYPERLINK("https://www.vietnamworks.com/truong-phong-hanh-chinh--2023719-jv","Xem chi tiết")</f>
        <v/>
      </c>
    </row>
    <row r="11184">
      <c r="B11184" s="9" t="n">
        <v>11182</v>
      </c>
      <c r="C11184" s="10" t="inlineStr">
        <is>
          <t>Production Supervisor (Assembly)</t>
        </is>
      </c>
      <c r="D11184" s="10" t="inlineStr">
        <is>
          <t>Molex Vietnam Co., Ltd.</t>
        </is>
      </c>
      <c r="E11184" s="10" t="inlineStr">
        <is>
          <t>Thương lượng</t>
        </is>
      </c>
      <c r="F11184" s="10" t="inlineStr">
        <is>
          <t>Hà Nội, Hưng Yên</t>
        </is>
      </c>
      <c r="G11184" s="10" t="inlineStr">
        <is>
          <t>Nhân viên</t>
        </is>
      </c>
      <c r="H11184" s="10" t="inlineStr">
        <is>
          <t>15/03/2026</t>
        </is>
      </c>
      <c r="I11184" s="10" t="inlineStr">
        <is>
          <t>14/04/2026</t>
        </is>
      </c>
      <c r="J11184" s="10" t="inlineStr">
        <is>
          <t>17/03/2026</t>
        </is>
      </c>
      <c r="K11184" s="10" t="inlineStr">
        <is>
          <t>N/A</t>
        </is>
      </c>
      <c r="L11184" s="10" t="inlineStr">
        <is>
          <t>Assembly Process, Measurement Tools, Project Planning, Product Design Knowledge, Production Management</t>
        </is>
      </c>
      <c r="M11184" s="10" t="inlineStr">
        <is>
          <t>Bonus, Healthcare Plan, Paid Leave, Team Activities, Transportation, Canteen, Others</t>
        </is>
      </c>
      <c r="N11184" s="11">
        <f>HYPERLINK("https://www.vietnamworks.com/production-supervisor-assembly-2023725-jv","Xem chi tiết")</f>
        <v/>
      </c>
      <c r="O11184" s="10" t="n"/>
    </row>
    <row r="11185">
      <c r="B11185" s="7" t="n">
        <v>11183</v>
      </c>
      <c r="C11185" t="inlineStr">
        <is>
          <t>Physiotherapist/ KTV Vật Lý Trị Liệu</t>
        </is>
      </c>
      <c r="D11185" t="inlineStr">
        <is>
          <t>Regen3tics</t>
        </is>
      </c>
      <c r="E11185" t="inlineStr">
        <is>
          <t>$$ 700-1,000 /tháng</t>
        </is>
      </c>
      <c r="F11185" t="inlineStr">
        <is>
          <t>Hồ Chí Minh</t>
        </is>
      </c>
      <c r="G11185" t="inlineStr">
        <is>
          <t>Nhân viên</t>
        </is>
      </c>
      <c r="H11185" t="inlineStr">
        <is>
          <t>15/03/2026</t>
        </is>
      </c>
      <c r="I11185" t="inlineStr">
        <is>
          <t>14/04/2026</t>
        </is>
      </c>
      <c r="J11185" t="inlineStr">
        <is>
          <t>17/03/2026</t>
        </is>
      </c>
      <c r="K11185" t="inlineStr">
        <is>
          <t>N/A</t>
        </is>
      </c>
      <c r="L11185" t="inlineStr">
        <is>
          <t>Medical Planning, Musculoskeletal Physiotherapy, Communication English</t>
        </is>
      </c>
      <c r="M11185" t="inlineStr">
        <is>
          <t>Bonus, Paid Leave, Training</t>
        </is>
      </c>
      <c r="N11185" s="8">
        <f>HYPERLINK("https://www.vietnamworks.com/physiotherapist-ktv-vat-ly-tri-lieu-2023716-jv","Xem chi tiết")</f>
        <v/>
      </c>
    </row>
    <row r="11186">
      <c r="B11186" s="9" t="n">
        <v>11184</v>
      </c>
      <c r="C11186" s="10" t="inlineStr">
        <is>
          <t>50 Test Engineer</t>
        </is>
      </c>
      <c r="D11186" s="10" t="inlineStr">
        <is>
          <t>Fushan Technology Vietnam</t>
        </is>
      </c>
      <c r="E11186" s="10" t="inlineStr">
        <is>
          <t>$$ 500-1,500 /tháng</t>
        </is>
      </c>
      <c r="F11186" s="10" t="inlineStr">
        <is>
          <t>Bắc Ninh, Hà Nội, Bắc Giang</t>
        </is>
      </c>
      <c r="G11186" s="10" t="inlineStr">
        <is>
          <t>Nhân viên</t>
        </is>
      </c>
      <c r="H11186" s="10" t="inlineStr">
        <is>
          <t>15/03/2026</t>
        </is>
      </c>
      <c r="I11186" s="10" t="inlineStr">
        <is>
          <t>14/04/2026</t>
        </is>
      </c>
      <c r="J11186" s="10" t="inlineStr">
        <is>
          <t>17/03/2026</t>
        </is>
      </c>
      <c r="K11186" s="10" t="inlineStr">
        <is>
          <t>N/A</t>
        </is>
      </c>
      <c r="L11186" s="10" t="inlineStr">
        <is>
          <t>Test, Automation system, Development, Sensor Systems, Correlation Analysis</t>
        </is>
      </c>
      <c r="M11186" s="10" t="inlineStr">
        <is>
          <t>Bonus, Healthcare Plan, Paid Leave</t>
        </is>
      </c>
      <c r="N11186" s="11">
        <f>HYPERLINK("https://www.vietnamworks.com/50-test-engineer-2023721-jv","Xem chi tiết")</f>
        <v/>
      </c>
      <c r="O11186" s="10" t="n"/>
    </row>
    <row r="11187">
      <c r="B11187" s="7" t="n">
        <v>11185</v>
      </c>
      <c r="C11187" t="inlineStr">
        <is>
          <t>Executive Execution &amp; Logistics</t>
        </is>
      </c>
      <c r="D11187" t="inlineStr">
        <is>
          <t>Archer Daniels Midland (ADM)</t>
        </is>
      </c>
      <c r="E11187" t="inlineStr">
        <is>
          <t>Thương lượng</t>
        </is>
      </c>
      <c r="F11187" t="inlineStr">
        <is>
          <t>Hồ Chí Minh</t>
        </is>
      </c>
      <c r="G11187" t="inlineStr">
        <is>
          <t>Nhân viên</t>
        </is>
      </c>
      <c r="H11187" t="inlineStr">
        <is>
          <t>14/03/2026</t>
        </is>
      </c>
      <c r="I11187" t="inlineStr">
        <is>
          <t>13/04/2026</t>
        </is>
      </c>
      <c r="J11187" t="inlineStr">
        <is>
          <t>17/03/2026</t>
        </is>
      </c>
      <c r="K11187" t="inlineStr">
        <is>
          <t>N/A</t>
        </is>
      </c>
      <c r="L11187" t="inlineStr">
        <is>
          <t>Import-Export Procedure, Supply Chain Management, Customs Regulation, Logistics operations, Logistics</t>
        </is>
      </c>
      <c r="M11187" t="inlineStr">
        <is>
          <t>Healthcare Plan</t>
        </is>
      </c>
      <c r="N11187" s="8">
        <f>HYPERLINK("https://www.vietnamworks.com/executive-execution-logistics--2023710-jv","Xem chi tiết")</f>
        <v/>
      </c>
    </row>
    <row r="11188">
      <c r="B11188" s="9" t="n">
        <v>11186</v>
      </c>
      <c r="C11188" s="10" t="inlineStr">
        <is>
          <t>Engineering Manager</t>
        </is>
      </c>
      <c r="D11188" s="10" t="inlineStr">
        <is>
          <t>CÔNG TY TNHH C-HAWK TECHNOLOGY VIỆT NAM</t>
        </is>
      </c>
      <c r="E11188" s="10" t="inlineStr">
        <is>
          <t>Thương lượng</t>
        </is>
      </c>
      <c r="F11188" s="10" t="inlineStr">
        <is>
          <t>Đồng Nai</t>
        </is>
      </c>
      <c r="G11188" s="10" t="inlineStr">
        <is>
          <t>Trưởng phòng</t>
        </is>
      </c>
      <c r="H11188" s="10" t="inlineStr">
        <is>
          <t>15/03/2026</t>
        </is>
      </c>
      <c r="I11188" s="10" t="inlineStr">
        <is>
          <t>14/04/2026</t>
        </is>
      </c>
      <c r="J11188" s="10" t="inlineStr">
        <is>
          <t>17/03/2026</t>
        </is>
      </c>
      <c r="K11188" s="10" t="inlineStr">
        <is>
          <t>N/A</t>
        </is>
      </c>
      <c r="L11188" s="10" t="inlineStr">
        <is>
          <t>Quản Lý Kỹ Thuật, Kỹ Sư, Kỹ Sư Cơ, Điện, điều khiển, tự động hóa, Điện tử</t>
        </is>
      </c>
      <c r="M11188" s="10" t="inlineStr">
        <is>
          <t>Bonus, Training, Laptop</t>
        </is>
      </c>
      <c r="N11188" s="11">
        <f>HYPERLINK("https://www.vietnamworks.com/engineering-manager--2023729-jv","Xem chi tiết")</f>
        <v/>
      </c>
      <c r="O11188" s="10" t="n"/>
    </row>
    <row r="11189">
      <c r="B11189" s="7" t="n">
        <v>11187</v>
      </c>
      <c r="C11189" t="inlineStr">
        <is>
          <t>Clinic Concierge/ Tư Vấn Viên Phòng Khám</t>
        </is>
      </c>
      <c r="D11189" t="inlineStr">
        <is>
          <t>Regen3tics</t>
        </is>
      </c>
      <c r="E11189" t="inlineStr">
        <is>
          <t>$$ 800-1,000 /tháng</t>
        </is>
      </c>
      <c r="F11189" t="inlineStr">
        <is>
          <t>Hồ Chí Minh</t>
        </is>
      </c>
      <c r="G11189" t="inlineStr">
        <is>
          <t>Nhân viên</t>
        </is>
      </c>
      <c r="H11189" t="inlineStr">
        <is>
          <t>15/03/2026</t>
        </is>
      </c>
      <c r="I11189" t="inlineStr">
        <is>
          <t>14/04/2026</t>
        </is>
      </c>
      <c r="J11189" t="inlineStr">
        <is>
          <t>17/03/2026</t>
        </is>
      </c>
      <c r="K11189" t="inlineStr">
        <is>
          <t>N/A</t>
        </is>
      </c>
      <c r="L11189" t="inlineStr">
        <is>
          <t>Sales Consultant, Communication Skills, Teamwork</t>
        </is>
      </c>
      <c r="M11189" t="inlineStr">
        <is>
          <t>Bonus, Paid Leave, Training</t>
        </is>
      </c>
      <c r="N11189" s="8">
        <f>HYPERLINK("https://www.vietnamworks.com/clinic-concierge-tu-van-vien-phong-kham-2023717-jv","Xem chi tiết")</f>
        <v/>
      </c>
    </row>
    <row r="11190">
      <c r="B11190" s="9" t="n">
        <v>11188</v>
      </c>
      <c r="C11190" s="10" t="inlineStr">
        <is>
          <t>Graduate Engineering Trainee 2026 - Manufacturing</t>
        </is>
      </c>
      <c r="D11190" s="10" t="inlineStr">
        <is>
          <t>AkzoNobel Vietnam</t>
        </is>
      </c>
      <c r="E11190" s="10" t="inlineStr">
        <is>
          <t>Thương lượng</t>
        </is>
      </c>
      <c r="F11190" s="10" t="inlineStr">
        <is>
          <t>Đồng Nai</t>
        </is>
      </c>
      <c r="G11190" s="10" t="inlineStr">
        <is>
          <t>Mới Tốt Nghiệp</t>
        </is>
      </c>
      <c r="H11190" s="10" t="inlineStr">
        <is>
          <t>15/03/2026</t>
        </is>
      </c>
      <c r="I11190" s="10" t="inlineStr">
        <is>
          <t>14/04/2026</t>
        </is>
      </c>
      <c r="J11190" s="10" t="inlineStr">
        <is>
          <t>17/03/2026</t>
        </is>
      </c>
      <c r="K11190" s="10" t="inlineStr">
        <is>
          <t>N/A</t>
        </is>
      </c>
      <c r="L11190" s="10" t="inlineStr">
        <is>
          <t>Automation, Automation Control Engineering, Mechanical, Mechatronics Engineering</t>
        </is>
      </c>
      <c r="M11190" s="10" t="inlineStr">
        <is>
          <t>Bonus, Healthcare Plan, Paid Leave, Transportation, Canteen</t>
        </is>
      </c>
      <c r="N11190" s="11">
        <f>HYPERLINK("https://www.vietnamworks.com/graduate-engineering-trainee-2026-manufacturing-2023731-jv","Xem chi tiết")</f>
        <v/>
      </c>
      <c r="O11190" s="10" t="n"/>
    </row>
    <row r="11191">
      <c r="B11191" s="7" t="n">
        <v>11189</v>
      </c>
      <c r="C11191" t="inlineStr">
        <is>
          <t>Senior Legal Executive</t>
        </is>
      </c>
      <c r="D11191" t="inlineStr">
        <is>
          <t>Ninja Van Vietnam</t>
        </is>
      </c>
      <c r="E11191" t="inlineStr">
        <is>
          <t>Thương lượng</t>
        </is>
      </c>
      <c r="F11191" t="inlineStr">
        <is>
          <t>Hồ Chí Minh</t>
        </is>
      </c>
      <c r="G11191" t="inlineStr">
        <is>
          <t>Nhân viên</t>
        </is>
      </c>
      <c r="H11191" t="inlineStr">
        <is>
          <t>15/03/2026</t>
        </is>
      </c>
      <c r="I11191" t="inlineStr">
        <is>
          <t>14/04/2026</t>
        </is>
      </c>
      <c r="J11191" t="inlineStr">
        <is>
          <t>17/03/2026</t>
        </is>
      </c>
      <c r="K11191" t="inlineStr">
        <is>
          <t>N/A</t>
        </is>
      </c>
      <c r="L11191" t="inlineStr">
        <is>
          <t>Legal, Legal Support, Legal Document</t>
        </is>
      </c>
      <c r="M11191" t="inlineStr">
        <is>
          <t>Paid Leave, Training, Laptop</t>
        </is>
      </c>
      <c r="N11191" s="8">
        <f>HYPERLINK("https://www.vietnamworks.com/senior-legal-executive--2023740-jv","Xem chi tiết")</f>
        <v/>
      </c>
    </row>
    <row r="11192">
      <c r="B11192" s="9" t="n">
        <v>11190</v>
      </c>
      <c r="C11192" s="10" t="inlineStr">
        <is>
          <t>CV Kinh doanh Bán Hàng Dự Án (Gia dụng, Năng lượng mặt trời)</t>
        </is>
      </c>
      <c r="D11192" s="10" t="inlineStr">
        <is>
          <t>Công Ty Cổ Phần Quốc Tế Sơn Hà</t>
        </is>
      </c>
      <c r="E11192" s="10" t="inlineStr">
        <is>
          <t>20tr-40tr ₫/tháng</t>
        </is>
      </c>
      <c r="F11192" s="10" t="inlineStr">
        <is>
          <t>Hà Nội</t>
        </is>
      </c>
      <c r="G11192" s="10" t="inlineStr">
        <is>
          <t>Nhân viên</t>
        </is>
      </c>
      <c r="H11192" s="10" t="inlineStr">
        <is>
          <t>15/03/2026</t>
        </is>
      </c>
      <c r="I11192" s="10" t="inlineStr">
        <is>
          <t>14/04/2026</t>
        </is>
      </c>
      <c r="J11192" s="10" t="inlineStr">
        <is>
          <t>17/03/2026</t>
        </is>
      </c>
      <c r="K11192" s="10" t="inlineStr">
        <is>
          <t>N/A</t>
        </is>
      </c>
      <c r="L11192" s="10" t="inlineStr">
        <is>
          <t>Kinh Doanh Dự Án, sale, Thiết Bị Gia Dụng, Thiết Bị Điện, Nghiên Cứu Năng Lượng Tái Tạo</t>
        </is>
      </c>
      <c r="M11192" s="10" t="inlineStr">
        <is>
          <t>Bonus, Healthcare Plan, Training, Others</t>
        </is>
      </c>
      <c r="N11192" s="11">
        <f>HYPERLINK("https://www.vietnamworks.com/cv-kinh-doanh-ban-hang-du-an-gia-dung-nang-luong-mat-troi-2023743-jv","Xem chi tiết")</f>
        <v/>
      </c>
      <c r="O11192" s="10" t="n"/>
    </row>
    <row r="11193">
      <c r="B11193" s="7" t="n">
        <v>11191</v>
      </c>
      <c r="C11193" t="inlineStr">
        <is>
          <t>Operation Manager/Production Manager (Chinese speaking)</t>
        </is>
      </c>
      <c r="D11193" t="inlineStr">
        <is>
          <t>Molex Vietnam Co., Ltd.</t>
        </is>
      </c>
      <c r="E11193" t="inlineStr">
        <is>
          <t>Thương lượng</t>
        </is>
      </c>
      <c r="F11193" t="inlineStr">
        <is>
          <t>Bắc Giang, Bắc Ninh</t>
        </is>
      </c>
      <c r="G11193" t="inlineStr">
        <is>
          <t>Trưởng phòng</t>
        </is>
      </c>
      <c r="H11193" t="inlineStr">
        <is>
          <t>15/03/2026</t>
        </is>
      </c>
      <c r="I11193" t="inlineStr">
        <is>
          <t>14/04/2026</t>
        </is>
      </c>
      <c r="J11193" t="inlineStr">
        <is>
          <t>17/03/2026</t>
        </is>
      </c>
      <c r="K11193" t="inlineStr">
        <is>
          <t>N/A</t>
        </is>
      </c>
      <c r="L11193" t="inlineStr">
        <is>
          <t>Assembly Process, Production Management, Chinese Communication, Operation Management, Team management skills</t>
        </is>
      </c>
      <c r="M11193" t="inlineStr">
        <is>
          <t>Bonus, Healthcare Plan, Paid Leave, Team Activities, Transportation, Canteen, Others</t>
        </is>
      </c>
      <c r="N11193" s="8">
        <f>HYPERLINK("https://www.vietnamworks.com/operation-managerproduction-manager-chinese-speaking-2023734-jv","Xem chi tiết")</f>
        <v/>
      </c>
    </row>
    <row r="11194">
      <c r="B11194" s="9" t="n">
        <v>11192</v>
      </c>
      <c r="C11194" s="10" t="inlineStr">
        <is>
          <t>Trưởng Phòng Kinh Doanh Ô Tô</t>
        </is>
      </c>
      <c r="D11194" s="10" t="inlineStr">
        <is>
          <t>Vietnamworks' Client</t>
        </is>
      </c>
      <c r="E11194" s="10" t="inlineStr">
        <is>
          <t>20tr-45tr ₫/tháng</t>
        </is>
      </c>
      <c r="F11194" s="10" t="inlineStr">
        <is>
          <t>Hồ Chí Minh</t>
        </is>
      </c>
      <c r="G11194" s="10" t="inlineStr">
        <is>
          <t>Trưởng phòng</t>
        </is>
      </c>
      <c r="H11194" s="10" t="inlineStr">
        <is>
          <t>15/03/2026</t>
        </is>
      </c>
      <c r="I11194" s="10" t="inlineStr">
        <is>
          <t>14/04/2026</t>
        </is>
      </c>
      <c r="J11194" s="10" t="inlineStr">
        <is>
          <t>17/03/2026</t>
        </is>
      </c>
      <c r="K11194" s="10" t="inlineStr">
        <is>
          <t>N/A</t>
        </is>
      </c>
      <c r="L11194" s="10" t="inlineStr">
        <is>
          <t>Kỹ năng giao tiếp, Lãnh Đạo, Phân Tích Dữ Liệu, Quản Trị Đội Ngũ, Đào Tạo Nhân Sự</t>
        </is>
      </c>
      <c r="M11194" s="10" t="inlineStr">
        <is>
          <t>Bonus, Healthcare Plan, Team Activities, Others</t>
        </is>
      </c>
      <c r="N11194" s="11">
        <f>HYPERLINK("https://www.vietnamworks.com/truong-phong-kinh-doanh-o-to-2023715-jv","Xem chi tiết")</f>
        <v/>
      </c>
      <c r="O11194" s="10" t="n"/>
    </row>
    <row r="11195">
      <c r="B11195" s="7" t="n">
        <v>11193</v>
      </c>
      <c r="C11195" t="inlineStr">
        <is>
          <t>Phó Tổng Giám Đốc Khối Đầu Tư (Deputy General Director Of Investment)</t>
        </is>
      </c>
      <c r="D11195" t="inlineStr">
        <is>
          <t>Tập Đoàn Đất Xanh</t>
        </is>
      </c>
      <c r="E11195" t="inlineStr">
        <is>
          <t>Thương lượng</t>
        </is>
      </c>
      <c r="F11195" t="inlineStr">
        <is>
          <t>Hồ Chí Minh</t>
        </is>
      </c>
      <c r="G11195" t="inlineStr">
        <is>
          <t>Giám Đốc và Cấp Cao Hơn</t>
        </is>
      </c>
      <c r="H11195" t="inlineStr">
        <is>
          <t>15/03/2026</t>
        </is>
      </c>
      <c r="I11195" t="inlineStr">
        <is>
          <t>14/04/2026</t>
        </is>
      </c>
      <c r="J11195" t="inlineStr">
        <is>
          <t>17/03/2026</t>
        </is>
      </c>
      <c r="K11195" t="inlineStr">
        <is>
          <t>N/A</t>
        </is>
      </c>
      <c r="L11195" t="inlineStr">
        <is>
          <t>Deal Sourcing, Investment Planning, Stakeholder Management, Strategic Development</t>
        </is>
      </c>
      <c r="M11195" t="inlineStr">
        <is>
          <t>Bonus, Healthcare Plan, Training, Laptop, Others</t>
        </is>
      </c>
      <c r="N11195" s="8">
        <f>HYPERLINK("https://www.vietnamworks.com/pho-tong-giam-djoc-khoi-djau-tu-deputy-general-director-of-investment-2023759-jv","Xem chi tiết")</f>
        <v/>
      </c>
    </row>
    <row r="11196">
      <c r="B11196" s="9" t="n">
        <v>11194</v>
      </c>
      <c r="C11196" s="10" t="inlineStr">
        <is>
          <t>Supply Chain Specialist</t>
        </is>
      </c>
      <c r="D11196" s="10" t="inlineStr">
        <is>
          <t>Công Ty TNHH Sagemcom Energy &amp; Telecom</t>
        </is>
      </c>
      <c r="E11196" s="10" t="inlineStr">
        <is>
          <t>Thương lượng</t>
        </is>
      </c>
      <c r="F11196" s="10" t="inlineStr">
        <is>
          <t>Hải Phòng</t>
        </is>
      </c>
      <c r="G11196" s="10" t="inlineStr">
        <is>
          <t>Nhân viên</t>
        </is>
      </c>
      <c r="H11196" s="10" t="inlineStr">
        <is>
          <t>15/01/2026</t>
        </is>
      </c>
      <c r="I11196" s="10" t="inlineStr">
        <is>
          <t>15/04/2026</t>
        </is>
      </c>
      <c r="J11196" s="10" t="inlineStr">
        <is>
          <t>17/03/2026</t>
        </is>
      </c>
      <c r="K11196" s="10" t="inlineStr">
        <is>
          <t>N/A</t>
        </is>
      </c>
      <c r="L11196" s="10" t="inlineStr">
        <is>
          <t>Contract Negotiation, Procurement, Purchasing, Supply Chain, Vendor Management</t>
        </is>
      </c>
      <c r="M11196" s="10" t="inlineStr">
        <is>
          <t>Bonus, Healthcare Plan, Paid Leave</t>
        </is>
      </c>
      <c r="N11196" s="11">
        <f>HYPERLINK("https://www.vietnamworks.com/supply-chain-specialist-2002999-jv","Xem chi tiết")</f>
        <v/>
      </c>
      <c r="O11196" s="10" t="n"/>
    </row>
    <row r="11197">
      <c r="B11197" s="7" t="n">
        <v>11195</v>
      </c>
      <c r="C11197" t="inlineStr">
        <is>
          <t>Process Engineer</t>
        </is>
      </c>
      <c r="D11197" t="inlineStr">
        <is>
          <t>Coherent Vietnam</t>
        </is>
      </c>
      <c r="E11197" t="inlineStr">
        <is>
          <t>Thương lượng</t>
        </is>
      </c>
      <c r="F11197" t="inlineStr">
        <is>
          <t>Đồng Nai</t>
        </is>
      </c>
      <c r="G11197" t="inlineStr">
        <is>
          <t>Nhân viên</t>
        </is>
      </c>
      <c r="H11197" t="inlineStr">
        <is>
          <t>15/03/2026</t>
        </is>
      </c>
      <c r="I11197" t="inlineStr">
        <is>
          <t>14/04/2026</t>
        </is>
      </c>
      <c r="J11197" t="inlineStr">
        <is>
          <t>17/03/2026</t>
        </is>
      </c>
      <c r="K11197" t="inlineStr">
        <is>
          <t>N/A</t>
        </is>
      </c>
      <c r="L11197" t="inlineStr">
        <is>
          <t>FMEA, Process Engineering, SPC, Optical Manufacture, Semiconductor</t>
        </is>
      </c>
      <c r="M11197" t="inlineStr">
        <is>
          <t>Bonus, Healthcare Plan, Travel Opportunities</t>
        </is>
      </c>
      <c r="N11197" s="8">
        <f>HYPERLINK("https://www.vietnamworks.com/process-engineer--2023765-jv","Xem chi tiết")</f>
        <v/>
      </c>
    </row>
    <row r="11198">
      <c r="B11198" s="9" t="n">
        <v>11196</v>
      </c>
      <c r="C11198" s="10" t="inlineStr">
        <is>
          <t>Kế Toán Trưởng</t>
        </is>
      </c>
      <c r="D11198" s="10" t="inlineStr">
        <is>
          <t>Công Ty TNHH Đông Dương Sài Gòn</t>
        </is>
      </c>
      <c r="E11198" s="10" t="inlineStr">
        <is>
          <t>Thương lượng</t>
        </is>
      </c>
      <c r="F11198" s="10" t="inlineStr">
        <is>
          <t>Long An, Hồ Chí Minh</t>
        </is>
      </c>
      <c r="G11198" s="10" t="inlineStr">
        <is>
          <t>Trưởng phòng</t>
        </is>
      </c>
      <c r="H11198" s="10" t="inlineStr">
        <is>
          <t>15/03/2026</t>
        </is>
      </c>
      <c r="I11198" s="10" t="inlineStr">
        <is>
          <t>14/04/2026</t>
        </is>
      </c>
      <c r="J11198" s="10" t="inlineStr">
        <is>
          <t>17/03/2026</t>
        </is>
      </c>
      <c r="K11198" s="10" t="inlineStr">
        <is>
          <t>N/A</t>
        </is>
      </c>
      <c r="L11198" s="10" t="inlineStr">
        <is>
          <t>Phần mềm kế toán, Phân Tích Tài Chính, Quản Lý Kế Toán, Quản Lý Tài Chính, Tiếng Anh</t>
        </is>
      </c>
      <c r="M11198" s="10" t="inlineStr">
        <is>
          <t>Healthcare Plan, Paid Leave, Transportation</t>
        </is>
      </c>
      <c r="N11198" s="11">
        <f>HYPERLINK("https://www.vietnamworks.com/ke-toan-truong-2023726-jv","Xem chi tiết")</f>
        <v/>
      </c>
      <c r="O11198" s="10" t="n"/>
    </row>
    <row r="11199">
      <c r="B11199" s="7" t="n">
        <v>11197</v>
      </c>
      <c r="C11199" t="inlineStr">
        <is>
          <t>Chuyên Gia Tư Vấn Khởi Nghiệp - Parttime - Trường Đại Học FPT</t>
        </is>
      </c>
      <c r="D11199" t="inlineStr">
        <is>
          <t>Tổ Chức Giáo Dục FPT</t>
        </is>
      </c>
      <c r="E11199" t="inlineStr">
        <is>
          <t>Thương lượng</t>
        </is>
      </c>
      <c r="F11199" t="inlineStr">
        <is>
          <t>Hà Nội</t>
        </is>
      </c>
      <c r="G11199" t="inlineStr">
        <is>
          <t>Nhân viên</t>
        </is>
      </c>
      <c r="H11199" t="inlineStr">
        <is>
          <t>20/11/2025</t>
        </is>
      </c>
      <c r="I11199" t="inlineStr">
        <is>
          <t>15/04/2026</t>
        </is>
      </c>
      <c r="J11199" t="inlineStr">
        <is>
          <t>17/03/2026</t>
        </is>
      </c>
      <c r="K11199" t="inlineStr">
        <is>
          <t>N/A</t>
        </is>
      </c>
      <c r="L11199" t="inlineStr">
        <is>
          <t>Tư Vấn, Giáo Dục, Giáo Dục Đào Tạo, Quản Trị Doanh Nghiệp, Mentoring</t>
        </is>
      </c>
      <c r="M11199" t="inlineStr">
        <is>
          <t>Bonus, Healthcare Plan, Travel Opportunities</t>
        </is>
      </c>
      <c r="N11199" s="8">
        <f>HYPERLINK("https://www.vietnamworks.com/chuyen-gia-tu-van-khoi-nghiep-parttime-truong-dai-hoc-fpt--1983977-jv","Xem chi tiết")</f>
        <v/>
      </c>
    </row>
    <row r="11200">
      <c r="B11200" s="9" t="n">
        <v>11198</v>
      </c>
      <c r="C11200" s="10" t="inlineStr">
        <is>
          <t>QA/QC Team Leader</t>
        </is>
      </c>
      <c r="D11200" s="10" t="inlineStr">
        <is>
          <t>Galaxy Digital Holdings Co., Ltd (GH)</t>
        </is>
      </c>
      <c r="E11200" s="10" t="inlineStr">
        <is>
          <t>Thương lượng</t>
        </is>
      </c>
      <c r="F11200" s="10" t="inlineStr">
        <is>
          <t>Hồ Chí Minh</t>
        </is>
      </c>
      <c r="G11200" s="10" t="inlineStr">
        <is>
          <t>Nhân viên</t>
        </is>
      </c>
      <c r="H11200" s="10" t="inlineStr">
        <is>
          <t>15/03/2026</t>
        </is>
      </c>
      <c r="I11200" s="10" t="inlineStr">
        <is>
          <t>14/04/2026</t>
        </is>
      </c>
      <c r="J11200" s="10" t="inlineStr">
        <is>
          <t>17/03/2026</t>
        </is>
      </c>
      <c r="K11200" s="10" t="inlineStr">
        <is>
          <t>N/A</t>
        </is>
      </c>
      <c r="L11200" s="10" t="inlineStr">
        <is>
          <t>Coaching, Giao Tiếp, Phân Tích Dữ Liệu, Thành Thạo Excel, Hiểu Rõ Contact Center Kpis</t>
        </is>
      </c>
      <c r="M11200" s="10" t="inlineStr">
        <is>
          <t>Bonus, Healthcare Plan, Paid Leave, Laptop, Team Activities, Canteen</t>
        </is>
      </c>
      <c r="N11200" s="11">
        <f>HYPERLINK("https://www.vietnamworks.com/qaqc-team-leader-2023779-jv","Xem chi tiết")</f>
        <v/>
      </c>
      <c r="O11200" s="10" t="n"/>
    </row>
    <row r="11201">
      <c r="B11201" s="7" t="n">
        <v>11199</v>
      </c>
      <c r="C11201" t="inlineStr">
        <is>
          <t>Tư Vấn Tuyển Sinh</t>
        </is>
      </c>
      <c r="D11201" t="inlineStr">
        <is>
          <t>CÔNG TY CỔ PHẦN ĐẦU TƯ XÂY DỰNG PHÁT TRIỂN NHÀ VẠN XUÂN</t>
        </is>
      </c>
      <c r="E11201" t="inlineStr">
        <is>
          <t>25tr-30tr ₫/tháng</t>
        </is>
      </c>
      <c r="F11201" t="inlineStr">
        <is>
          <t>Hà Nội</t>
        </is>
      </c>
      <c r="G11201" t="inlineStr">
        <is>
          <t>Mới Tốt Nghiệp</t>
        </is>
      </c>
      <c r="H11201" t="inlineStr">
        <is>
          <t>12/02/2025</t>
        </is>
      </c>
      <c r="I11201" t="inlineStr">
        <is>
          <t>15/04/2026</t>
        </is>
      </c>
      <c r="J11201" t="inlineStr">
        <is>
          <t>17/03/2026</t>
        </is>
      </c>
      <c r="K11201" t="inlineStr">
        <is>
          <t>N/A</t>
        </is>
      </c>
      <c r="L11201" t="inlineStr">
        <is>
          <t>Giao Tiếp, Telesales, Nắm Bắt Tâm Lý Khách, Tìm Kiếm Khách Hàng, Tư Vấn Tuyển Sinh</t>
        </is>
      </c>
      <c r="M11201" t="inlineStr">
        <is>
          <t>Bonus, Healthcare Plan, Paid Leave, Training, Team Activities, Others</t>
        </is>
      </c>
      <c r="N11201" s="8">
        <f>HYPERLINK("https://www.vietnamworks.com/tu-van-tuyen-sinh-1868505-jv","Xem chi tiết")</f>
        <v/>
      </c>
    </row>
    <row r="11202">
      <c r="B11202" s="9" t="n">
        <v>11200</v>
      </c>
      <c r="C11202" s="10" t="inlineStr">
        <is>
          <t>Quản Lý Marketing (Phim)</t>
        </is>
      </c>
      <c r="D11202" s="10" t="inlineStr">
        <is>
          <t>CÔNG TY CỔ PHẦN PHÁT TRIỂN ĐIỆN ẢNH V-FILM</t>
        </is>
      </c>
      <c r="E11202" s="10" t="inlineStr">
        <is>
          <t>Thương lượng</t>
        </is>
      </c>
      <c r="F11202" s="10" t="inlineStr">
        <is>
          <t>Hà Nội</t>
        </is>
      </c>
      <c r="G11202" s="10" t="inlineStr">
        <is>
          <t>Trưởng phòng</t>
        </is>
      </c>
      <c r="H11202" s="10" t="inlineStr">
        <is>
          <t>14/03/2026</t>
        </is>
      </c>
      <c r="I11202" s="10" t="inlineStr">
        <is>
          <t>13/04/2026</t>
        </is>
      </c>
      <c r="J11202" s="10" t="inlineStr">
        <is>
          <t>17/03/2026</t>
        </is>
      </c>
      <c r="K11202" s="10" t="inlineStr">
        <is>
          <t>N/A</t>
        </is>
      </c>
      <c r="L11202" s="10" t="inlineStr">
        <is>
          <t>Marketing, Branding, Communication Strategy, PR, Media</t>
        </is>
      </c>
      <c r="M11202" s="10" t="inlineStr">
        <is>
          <t>Bonus, Healthcare Plan, Others</t>
        </is>
      </c>
      <c r="N11202" s="11">
        <f>HYPERLINK("https://www.vietnamworks.com/quan-ly-marketing-phim-2023704-jv","Xem chi tiết")</f>
        <v/>
      </c>
      <c r="O11202" s="10" t="n"/>
    </row>
    <row r="11203">
      <c r="B11203" s="7" t="n">
        <v>11201</v>
      </c>
      <c r="C11203" t="inlineStr">
        <is>
          <t>Architectural Design Staff</t>
        </is>
      </c>
      <c r="D11203" t="inlineStr">
        <is>
          <t>Intes Co., Ltd</t>
        </is>
      </c>
      <c r="E11203" t="inlineStr">
        <is>
          <t>Thương lượng</t>
        </is>
      </c>
      <c r="F11203" t="inlineStr">
        <is>
          <t>Hồ Chí Minh, Hà Nội</t>
        </is>
      </c>
      <c r="G11203" t="inlineStr">
        <is>
          <t>Nhân viên</t>
        </is>
      </c>
      <c r="H11203" t="inlineStr">
        <is>
          <t>16/01/2026</t>
        </is>
      </c>
      <c r="I11203" t="inlineStr">
        <is>
          <t>15/04/2026</t>
        </is>
      </c>
      <c r="J11203" t="inlineStr">
        <is>
          <t>17/03/2026</t>
        </is>
      </c>
      <c r="K11203" t="inlineStr">
        <is>
          <t>N/A</t>
        </is>
      </c>
      <c r="L11203" t="inlineStr">
        <is>
          <t>AutoCAD, Revit, Sketchup, Architecture Design, 3D Modeling</t>
        </is>
      </c>
      <c r="M11203" t="inlineStr">
        <is>
          <t>Bonus, Healthcare Plan, Training</t>
        </is>
      </c>
      <c r="N11203" s="8">
        <f>HYPERLINK("https://www.vietnamworks.com/architectural-design-staff--2003454-jv","Xem chi tiết")</f>
        <v/>
      </c>
    </row>
    <row r="11204">
      <c r="B11204" s="9" t="n">
        <v>11202</v>
      </c>
      <c r="C11204" s="10" t="inlineStr">
        <is>
          <t>Information Security Staff (Nhân Viên Phòng An Ninh)</t>
        </is>
      </c>
      <c r="D11204" s="10" t="inlineStr">
        <is>
          <t>Công Ty TNHH LG Display Việt Nam Hải Phòng</t>
        </is>
      </c>
      <c r="E11204" s="10" t="inlineStr">
        <is>
          <t>Thương lượng</t>
        </is>
      </c>
      <c r="F11204" s="10" t="inlineStr">
        <is>
          <t>Hải Phòng</t>
        </is>
      </c>
      <c r="G11204" s="10" t="inlineStr">
        <is>
          <t>Mới Tốt Nghiệp</t>
        </is>
      </c>
      <c r="H11204" s="10" t="inlineStr">
        <is>
          <t>20/01/2026</t>
        </is>
      </c>
      <c r="I11204" s="10" t="inlineStr">
        <is>
          <t>15/04/2026</t>
        </is>
      </c>
      <c r="J11204" s="10" t="inlineStr">
        <is>
          <t>17/03/2026</t>
        </is>
      </c>
      <c r="K11204" s="10" t="inlineStr">
        <is>
          <t>N/A</t>
        </is>
      </c>
      <c r="L11204" s="10" t="inlineStr">
        <is>
          <t>Electrical, Security, Thiết Bị An Ninh Giám Sát, Operation Management, Engineering</t>
        </is>
      </c>
      <c r="M11204" s="10" t="inlineStr">
        <is>
          <t>Bonus, Transportation, Others</t>
        </is>
      </c>
      <c r="N11204" s="11">
        <f>HYPERLINK("https://www.vietnamworks.com/information-security-staff-nhan-vien-phong-an-ninh-2004425-jv","Xem chi tiết")</f>
        <v/>
      </c>
      <c r="O11204" s="10" t="n"/>
    </row>
    <row r="11205">
      <c r="B11205" s="7" t="n">
        <v>11203</v>
      </c>
      <c r="C11205" t="inlineStr">
        <is>
          <t>Nhân Viên Pháp Chế (Legal Officer) - Pon Phú Thái Mobility - Land Rover Vietnam</t>
        </is>
      </c>
      <c r="D11205" t="inlineStr">
        <is>
          <t>Pon Phu Thai Mobility Group</t>
        </is>
      </c>
      <c r="E11205" t="inlineStr">
        <is>
          <t>Thương lượng</t>
        </is>
      </c>
      <c r="F11205" t="inlineStr">
        <is>
          <t>Hà Nội</t>
        </is>
      </c>
      <c r="G11205" t="inlineStr">
        <is>
          <t>Nhân viên</t>
        </is>
      </c>
      <c r="H11205" t="inlineStr">
        <is>
          <t>22/01/2026</t>
        </is>
      </c>
      <c r="I11205" t="inlineStr">
        <is>
          <t>15/04/2026</t>
        </is>
      </c>
      <c r="J11205" t="inlineStr">
        <is>
          <t>17/03/2026</t>
        </is>
      </c>
      <c r="K11205" t="inlineStr">
        <is>
          <t>N/A</t>
        </is>
      </c>
      <c r="L11205" t="inlineStr">
        <is>
          <t>Chính Trực, Luật Doanh Nghiệp, Pháp Lý, Tư Vấn, Đàm Phán</t>
        </is>
      </c>
      <c r="M11205" t="inlineStr">
        <is>
          <t>Bonus, Healthcare Plan, Training, Team Activities, Canteen</t>
        </is>
      </c>
      <c r="N11205" s="8">
        <f>HYPERLINK("https://www.vietnamworks.com/nhan-vien-phap-che-legal-officer-pon-phu-thai-mobility-land-rover-vietnam-2005249-jv","Xem chi tiết")</f>
        <v/>
      </c>
    </row>
    <row r="11206">
      <c r="B11206" s="9" t="n">
        <v>11204</v>
      </c>
      <c r="C11206" s="10" t="inlineStr">
        <is>
          <t>[HO] AI Engineer</t>
        </is>
      </c>
      <c r="D11206" s="10" t="inlineStr">
        <is>
          <t>Shinhan Bank Vietnam</t>
        </is>
      </c>
      <c r="E11206" s="10" t="inlineStr">
        <is>
          <t>Thương lượng</t>
        </is>
      </c>
      <c r="F11206" s="10" t="inlineStr">
        <is>
          <t>Hồ Chí Minh</t>
        </is>
      </c>
      <c r="G11206" s="10" t="inlineStr">
        <is>
          <t>Nhân viên</t>
        </is>
      </c>
      <c r="H11206" s="10" t="inlineStr">
        <is>
          <t>21/01/2026</t>
        </is>
      </c>
      <c r="I11206" s="10" t="inlineStr">
        <is>
          <t>15/04/2026</t>
        </is>
      </c>
      <c r="J11206" s="10" t="inlineStr">
        <is>
          <t>17/03/2026</t>
        </is>
      </c>
      <c r="K11206" s="10" t="inlineStr">
        <is>
          <t>N/A</t>
        </is>
      </c>
      <c r="L11206" s="10" t="inlineStr">
        <is>
          <t>Banking, Machine Learning, Natural Processing Language, Computer Science, Data Science</t>
        </is>
      </c>
      <c r="M11206" s="10" t="inlineStr">
        <is>
          <t>Paid Leave</t>
        </is>
      </c>
      <c r="N11206" s="11">
        <f>HYPERLINK("https://www.vietnamworks.com/ho-ai-engineer-2005101-jv","Xem chi tiết")</f>
        <v/>
      </c>
      <c r="O11206" s="10" t="n"/>
    </row>
    <row r="11207">
      <c r="B11207" s="7" t="n">
        <v>11205</v>
      </c>
      <c r="C11207" t="inlineStr">
        <is>
          <t>Cluster Sales Manager (Corporate Sales)</t>
        </is>
      </c>
      <c r="D11207" t="inlineStr">
        <is>
          <t>Công Ty Cổ Phần Tập Đoàn BRG</t>
        </is>
      </c>
      <c r="E11207" t="inlineStr">
        <is>
          <t>Thương lượng</t>
        </is>
      </c>
      <c r="F11207" t="inlineStr">
        <is>
          <t>Hà Nội</t>
        </is>
      </c>
      <c r="G11207" t="inlineStr">
        <is>
          <t>Trưởng phòng</t>
        </is>
      </c>
      <c r="H11207" t="inlineStr">
        <is>
          <t>22/01/2026</t>
        </is>
      </c>
      <c r="I11207" t="inlineStr">
        <is>
          <t>15/04/2026</t>
        </is>
      </c>
      <c r="J11207" t="inlineStr">
        <is>
          <t>17/03/2026</t>
        </is>
      </c>
      <c r="K11207" t="inlineStr">
        <is>
          <t>N/A</t>
        </is>
      </c>
      <c r="L11207" t="inlineStr">
        <is>
          <t>Sales, B2B Development, Corporate Relations</t>
        </is>
      </c>
      <c r="M11207" t="inlineStr">
        <is>
          <t>Bonus, Healthcare Plan, Travel Opportunities</t>
        </is>
      </c>
      <c r="N11207" s="8">
        <f>HYPERLINK("https://www.vietnamworks.com/cluster-sales-manager-corporate-sales-2005456-jv","Xem chi tiết")</f>
        <v/>
      </c>
    </row>
    <row r="11208">
      <c r="B11208" s="9" t="n">
        <v>11206</v>
      </c>
      <c r="C11208" s="10" t="inlineStr">
        <is>
          <t>Merchandise Developer (MD) – Bag Factory</t>
        </is>
      </c>
      <c r="D11208" s="10" t="inlineStr">
        <is>
          <t>Công Ty TNHH 4Ever D&amp;i</t>
        </is>
      </c>
      <c r="E11208" s="10" t="inlineStr">
        <is>
          <t>Thương lượng</t>
        </is>
      </c>
      <c r="F11208" s="10" t="inlineStr">
        <is>
          <t>Hồ Chí Minh</t>
        </is>
      </c>
      <c r="G11208" s="10" t="inlineStr">
        <is>
          <t>Nhân viên</t>
        </is>
      </c>
      <c r="H11208" s="10" t="inlineStr">
        <is>
          <t>23/01/2026</t>
        </is>
      </c>
      <c r="I11208" s="10" t="inlineStr">
        <is>
          <t>15/04/2026</t>
        </is>
      </c>
      <c r="J11208" s="10" t="inlineStr">
        <is>
          <t>17/03/2026</t>
        </is>
      </c>
      <c r="K11208" s="10" t="inlineStr">
        <is>
          <t>N/A</t>
        </is>
      </c>
      <c r="L11208" s="10" t="inlineStr">
        <is>
          <t>Buyer Handling, Production Process, Sample Development, Sourcing, Merchandising</t>
        </is>
      </c>
      <c r="M11208" s="10" t="inlineStr">
        <is>
          <t>Healthcare Plan, Paid Leave</t>
        </is>
      </c>
      <c r="N11208" s="11">
        <f>HYPERLINK("https://www.vietnamworks.com/merchandise-developer-md-bag-factory-2005644-jv","Xem chi tiết")</f>
        <v/>
      </c>
      <c r="O11208" s="10" t="n"/>
    </row>
    <row r="11209">
      <c r="B11209" s="7" t="n">
        <v>11207</v>
      </c>
      <c r="C11209" t="inlineStr">
        <is>
          <t>Information System Specialist - ERP (Epicor) Dev</t>
        </is>
      </c>
      <c r="D11209" t="inlineStr">
        <is>
          <t>CÔNG TY TNHH LTD MATERIAL FAB</t>
        </is>
      </c>
      <c r="E11209" t="inlineStr">
        <is>
          <t>Thương lượng</t>
        </is>
      </c>
      <c r="F11209" t="inlineStr">
        <is>
          <t>Đà Nẵng</t>
        </is>
      </c>
      <c r="G11209" t="inlineStr">
        <is>
          <t>Nhân viên</t>
        </is>
      </c>
      <c r="H11209" t="inlineStr">
        <is>
          <t>22/01/2026</t>
        </is>
      </c>
      <c r="I11209" t="inlineStr">
        <is>
          <t>15/04/2026</t>
        </is>
      </c>
      <c r="J11209" t="inlineStr">
        <is>
          <t>17/03/2026</t>
        </is>
      </c>
      <c r="K11209" t="inlineStr">
        <is>
          <t>N/A</t>
        </is>
      </c>
      <c r="L11209" t="inlineStr">
        <is>
          <t>Manage ERP Software, SQL, C#, Microsoft Office 365, Analytical Skills</t>
        </is>
      </c>
      <c r="M11209" t="inlineStr">
        <is>
          <t>Training</t>
        </is>
      </c>
      <c r="N11209" s="8">
        <f>HYPERLINK("https://www.vietnamworks.com/information-system-specialist-erp-epicor-dev-2005305-jv","Xem chi tiết")</f>
        <v/>
      </c>
    </row>
    <row r="11210">
      <c r="B11210" s="9" t="n">
        <v>11208</v>
      </c>
      <c r="C11210" s="10" t="inlineStr">
        <is>
          <t>Trợ Lý Tổng Giám Đốc - Tiếng Nhật JLPT N1</t>
        </is>
      </c>
      <c r="D11210" s="10" t="inlineStr">
        <is>
          <t>Công Ty TNHH Điện Tử Meiko Việt Nam (MKVC)</t>
        </is>
      </c>
      <c r="E11210" s="10" t="inlineStr">
        <is>
          <t>Thương lượng</t>
        </is>
      </c>
      <c r="F11210" s="10" t="inlineStr">
        <is>
          <t>Hà Nội</t>
        </is>
      </c>
      <c r="G11210" s="10" t="inlineStr">
        <is>
          <t>Nhân viên</t>
        </is>
      </c>
      <c r="H11210" s="10" t="inlineStr">
        <is>
          <t>22/01/2026</t>
        </is>
      </c>
      <c r="I11210" s="10" t="inlineStr">
        <is>
          <t>15/04/2026</t>
        </is>
      </c>
      <c r="J11210" s="10" t="inlineStr">
        <is>
          <t>17/03/2026</t>
        </is>
      </c>
      <c r="K11210" s="10" t="inlineStr">
        <is>
          <t>N/A</t>
        </is>
      </c>
      <c r="L11210" s="10" t="inlineStr">
        <is>
          <t>Japanese proficiency, English Communicate, Secretary Administration</t>
        </is>
      </c>
      <c r="M11210" s="10" t="inlineStr">
        <is>
          <t>Bonus, Transportation, Others</t>
        </is>
      </c>
      <c r="N11210" s="11">
        <f>HYPERLINK("https://www.vietnamworks.com/tro-ly-tong-giam-doc-tieng-nhat-jlpt-n1-2005237-jv","Xem chi tiết")</f>
        <v/>
      </c>
      <c r="O11210" s="10" t="n"/>
    </row>
    <row r="11211">
      <c r="B11211" s="7" t="n">
        <v>11209</v>
      </c>
      <c r="C11211" t="inlineStr">
        <is>
          <t>Giám Sát Kinh Doanh - Khu Vực Bình Tân</t>
        </is>
      </c>
      <c r="D11211" t="inlineStr">
        <is>
          <t>Shinhan Vietnam Finance Company Limited</t>
        </is>
      </c>
      <c r="E11211" t="inlineStr">
        <is>
          <t>Thương lượng</t>
        </is>
      </c>
      <c r="F11211" t="inlineStr">
        <is>
          <t>Hồ Chí Minh</t>
        </is>
      </c>
      <c r="G11211" t="inlineStr">
        <is>
          <t>Trưởng phòng</t>
        </is>
      </c>
      <c r="H11211" t="inlineStr">
        <is>
          <t>20/01/2026</t>
        </is>
      </c>
      <c r="I11211" t="inlineStr">
        <is>
          <t>15/04/2026</t>
        </is>
      </c>
      <c r="J11211" t="inlineStr">
        <is>
          <t>17/03/2026</t>
        </is>
      </c>
      <c r="K11211" t="inlineStr">
        <is>
          <t>N/A</t>
        </is>
      </c>
      <c r="L11211" t="inlineStr">
        <is>
          <t>Giao Tiếp Thuyết Phục, Quản Lý Chỉ Số KPI, Sales Supervisor, Tài Chính, Telesales Marketing</t>
        </is>
      </c>
      <c r="M11211" t="inlineStr">
        <is>
          <t>Bonus, Healthcare Plan, Laptop, Travel Opportunities</t>
        </is>
      </c>
      <c r="N11211" s="8">
        <f>HYPERLINK("https://www.vietnamworks.com/giam-sat-kinh-doanh-khu-vuc-binh-tan-2004447-jv","Xem chi tiết")</f>
        <v/>
      </c>
    </row>
    <row r="11212">
      <c r="B11212" s="9" t="n">
        <v>11210</v>
      </c>
      <c r="C11212" s="10" t="inlineStr">
        <is>
          <t>Trưởng Phòng Kỹ Thuật – Dự Án Điện Mặt Trời</t>
        </is>
      </c>
      <c r="D11212" s="10" t="inlineStr">
        <is>
          <t>WIN Energy Joint Stock Company</t>
        </is>
      </c>
      <c r="E11212" s="10" t="inlineStr">
        <is>
          <t>Thương lượng</t>
        </is>
      </c>
      <c r="F11212" s="10" t="inlineStr">
        <is>
          <t>Hà Nội</t>
        </is>
      </c>
      <c r="G11212" s="10" t="inlineStr">
        <is>
          <t>Trưởng phòng</t>
        </is>
      </c>
      <c r="H11212" s="10" t="inlineStr">
        <is>
          <t>22/01/2026</t>
        </is>
      </c>
      <c r="I11212" s="10" t="inlineStr">
        <is>
          <t>15/04/2026</t>
        </is>
      </c>
      <c r="J11212" s="10" t="inlineStr">
        <is>
          <t>17/03/2026</t>
        </is>
      </c>
      <c r="K11212" s="10" t="inlineStr">
        <is>
          <t>N/A</t>
        </is>
      </c>
      <c r="L11212" s="10" t="inlineStr">
        <is>
          <t>Quản Lý Dự Án, Kỹ Thuật Điện, Nghiên Cứu Năng Lượng Tái Tạo, Tiếng Anh, Quản Trị Đội Ngũ</t>
        </is>
      </c>
      <c r="M11212" s="10" t="inlineStr">
        <is>
          <t>Bonus, Healthcare Plan, Paid Leave, Others</t>
        </is>
      </c>
      <c r="N11212" s="11">
        <f>HYPERLINK("https://www.vietnamworks.com/truong-phong-ky-thuat-du-an-dien-mat-troi-2005284-jv","Xem chi tiết")</f>
        <v/>
      </c>
      <c r="O11212" s="10" t="n"/>
    </row>
    <row r="11213">
      <c r="B11213" s="7" t="n">
        <v>11211</v>
      </c>
      <c r="C11213" t="inlineStr">
        <is>
          <t>Chuyên Viên Cao Cấp Pháp Chế (Mảng Tài Chính - Bất Động Sản)</t>
        </is>
      </c>
      <c r="D11213" t="inlineStr">
        <is>
          <t>CÔNG TY CỔ PHẦN BOLT HOLDINGS</t>
        </is>
      </c>
      <c r="E11213" t="inlineStr">
        <is>
          <t>Tới $ 1,000 /tháng</t>
        </is>
      </c>
      <c r="F11213" t="inlineStr">
        <is>
          <t>Hà Nội</t>
        </is>
      </c>
      <c r="G11213" t="inlineStr">
        <is>
          <t>Nhân viên</t>
        </is>
      </c>
      <c r="H11213" t="inlineStr">
        <is>
          <t>15/01/2026</t>
        </is>
      </c>
      <c r="I11213" t="inlineStr">
        <is>
          <t>15/04/2026</t>
        </is>
      </c>
      <c r="J11213" t="inlineStr">
        <is>
          <t>17/03/2026</t>
        </is>
      </c>
      <c r="K11213" t="inlineStr">
        <is>
          <t>N/A</t>
        </is>
      </c>
      <c r="L11213" t="inlineStr">
        <is>
          <t>Pháp Chế, Legal, Tài Chính Bất Động Sản, Tài Chính, Luật</t>
        </is>
      </c>
      <c r="M11213" t="inlineStr">
        <is>
          <t>Bonus, Healthcare Plan, Team Activities</t>
        </is>
      </c>
      <c r="N11213" s="8">
        <f>HYPERLINK("https://www.vietnamworks.com/chuyen-vien-cao-cap-phap-che-mang-tai-chinh-bat-dong-san-2003163-jv","Xem chi tiết")</f>
        <v/>
      </c>
    </row>
    <row r="11214">
      <c r="B11214" s="9" t="n">
        <v>11212</v>
      </c>
      <c r="C11214" s="10" t="inlineStr">
        <is>
          <t>Chuyên Viên Cung Ứng</t>
        </is>
      </c>
      <c r="D11214" s="10" t="inlineStr">
        <is>
          <t>Tập Đoàn Kangaroo</t>
        </is>
      </c>
      <c r="E11214" s="10" t="inlineStr">
        <is>
          <t>24tr-28tr ₫/tháng</t>
        </is>
      </c>
      <c r="F11214" s="10" t="inlineStr">
        <is>
          <t>Hà Nội</t>
        </is>
      </c>
      <c r="G11214" s="10" t="inlineStr">
        <is>
          <t>Nhân viên</t>
        </is>
      </c>
      <c r="H11214" s="10" t="inlineStr">
        <is>
          <t>15/01/2026</t>
        </is>
      </c>
      <c r="I11214" s="10" t="inlineStr">
        <is>
          <t>15/04/2026</t>
        </is>
      </c>
      <c r="J11214" s="10" t="inlineStr">
        <is>
          <t>17/03/2026</t>
        </is>
      </c>
      <c r="K11214" s="10" t="inlineStr">
        <is>
          <t>N/A</t>
        </is>
      </c>
      <c r="L11214" s="10" t="inlineStr">
        <is>
          <t>Thuế Xuất Nhập Khẩu, Cung Ứng, Chứng Từ Xuất Nhập Khẩu, Ngoại Thương, Mua Hàng</t>
        </is>
      </c>
      <c r="M11214" s="10" t="inlineStr">
        <is>
          <t>Bonus, Team Activities, Vouchers</t>
        </is>
      </c>
      <c r="N11214" s="11">
        <f>HYPERLINK("https://www.vietnamworks.com/chuyen-vien-cung-ung--2003078-jv","Xem chi tiết")</f>
        <v/>
      </c>
      <c r="O11214" s="10" t="n"/>
    </row>
    <row r="11215">
      <c r="B11215" s="7" t="n">
        <v>11213</v>
      </c>
      <c r="C11215" t="inlineStr">
        <is>
          <t>Chủ Trì &amp; Kỹ Sư Thiết Kế Điện/ Điện Nhẹ/ HVAC/ Kết Cấu</t>
        </is>
      </c>
      <c r="D11215" t="inlineStr">
        <is>
          <t>Công Ty CP Tư Vấn Công Nghệ, Thiết Bị Và Kiểm Định Xây Dựng - Coninco</t>
        </is>
      </c>
      <c r="E11215" t="inlineStr">
        <is>
          <t>Thương lượng</t>
        </is>
      </c>
      <c r="F11215" t="inlineStr">
        <is>
          <t>Hà Nội</t>
        </is>
      </c>
      <c r="G11215" t="inlineStr">
        <is>
          <t>Nhân viên</t>
        </is>
      </c>
      <c r="H11215" t="inlineStr">
        <is>
          <t>16/01/2026</t>
        </is>
      </c>
      <c r="I11215" t="inlineStr">
        <is>
          <t>15/04/2026</t>
        </is>
      </c>
      <c r="J11215" t="inlineStr">
        <is>
          <t>17/03/2026</t>
        </is>
      </c>
      <c r="K11215" t="inlineStr">
        <is>
          <t>N/A</t>
        </is>
      </c>
      <c r="L11215" t="inlineStr">
        <is>
          <t>Điện Nặng, HVAC, Kết Cấu Công Trình, Kỹ sư thiết kế Điện</t>
        </is>
      </c>
      <c r="M11215" t="inlineStr">
        <is>
          <t>Bonus, Paid Leave, Training, Awards, Others</t>
        </is>
      </c>
      <c r="N11215" s="8">
        <f>HYPERLINK("https://www.vietnamworks.com/chu-tri-ky-su-thiet-ke-dien-dien-nhe-hvac-ket-cau-2003566-jv","Xem chi tiết")</f>
        <v/>
      </c>
    </row>
    <row r="11216">
      <c r="B11216" s="9" t="n">
        <v>11214</v>
      </c>
      <c r="C11216" s="10" t="inlineStr">
        <is>
          <t>Fabric Component Analyst (Chuyên Viên Phân Tích Thành Phần Vải)</t>
        </is>
      </c>
      <c r="D11216" s="10" t="inlineStr">
        <is>
          <t>Công ty TNHH Novel Dyeing &amp; Printing VN</t>
        </is>
      </c>
      <c r="E11216" s="10" t="inlineStr">
        <is>
          <t>15tr-30tr ₫/tháng</t>
        </is>
      </c>
      <c r="F11216" s="10" t="inlineStr">
        <is>
          <t>Nam Định, Ninh Bình, Hà Nam</t>
        </is>
      </c>
      <c r="G11216" s="10" t="inlineStr">
        <is>
          <t>Nhân viên</t>
        </is>
      </c>
      <c r="H11216" s="10" t="inlineStr">
        <is>
          <t>22/01/2026</t>
        </is>
      </c>
      <c r="I11216" s="10" t="inlineStr">
        <is>
          <t>15/04/2026</t>
        </is>
      </c>
      <c r="J11216" s="10" t="inlineStr">
        <is>
          <t>17/03/2026</t>
        </is>
      </c>
      <c r="K11216" s="10" t="inlineStr">
        <is>
          <t>N/A</t>
        </is>
      </c>
      <c r="L11216" s="10" t="inlineStr">
        <is>
          <t>Analytical Skills, Communication Skills, Fabric Analysis, Textile technology</t>
        </is>
      </c>
      <c r="M11216" s="10" t="inlineStr">
        <is>
          <t>Bonus, Paid Leave, Training, Team Activities</t>
        </is>
      </c>
      <c r="N11216" s="11">
        <f>HYPERLINK("https://www.vietnamworks.com/fabric-component-analyst-chuyen-vien-phan-tich-thanh-phan-vai-2005128-jv","Xem chi tiết")</f>
        <v/>
      </c>
      <c r="O11216" s="10" t="n"/>
    </row>
    <row r="11217">
      <c r="B11217" s="7" t="n">
        <v>11215</v>
      </c>
      <c r="C11217" t="inlineStr">
        <is>
          <t>Quality Manager</t>
        </is>
      </c>
      <c r="D11217" t="inlineStr">
        <is>
          <t>Givaudan Vietnam Company Limited</t>
        </is>
      </c>
      <c r="E11217" t="inlineStr">
        <is>
          <t>Thương lượng</t>
        </is>
      </c>
      <c r="F11217" t="inlineStr">
        <is>
          <t>Bình Dương</t>
        </is>
      </c>
      <c r="G11217" t="inlineStr">
        <is>
          <t>Trưởng phòng</t>
        </is>
      </c>
      <c r="H11217" t="inlineStr">
        <is>
          <t>22/01/2026</t>
        </is>
      </c>
      <c r="I11217" t="inlineStr">
        <is>
          <t>15/04/2026</t>
        </is>
      </c>
      <c r="J11217" t="inlineStr">
        <is>
          <t>17/03/2026</t>
        </is>
      </c>
      <c r="K11217" t="inlineStr">
        <is>
          <t>N/A</t>
        </is>
      </c>
      <c r="L11217" t="inlineStr">
        <is>
          <t>Food Manufacturing, Food Safety, FSSC 22000, Supplier Quality Management, Continuous Improvement</t>
        </is>
      </c>
      <c r="M11217" t="inlineStr">
        <is>
          <t>Bonus, Paid Leave, Team Activities</t>
        </is>
      </c>
      <c r="N11217" s="8">
        <f>HYPERLINK("https://www.vietnamworks.com/quality-manager--2005252-jv","Xem chi tiết")</f>
        <v/>
      </c>
    </row>
    <row r="11218">
      <c r="B11218" s="9" t="n">
        <v>11216</v>
      </c>
      <c r="C11218" s="10" t="inlineStr">
        <is>
          <t xml:space="preserve">Senior Tax Global Compliance And Reporting (Including Accounting Compliance And Reporting) </t>
        </is>
      </c>
      <c r="D11218" s="10" t="inlineStr">
        <is>
          <t>Ernst &amp; Young Vietnam Limited (EY Vietnam)</t>
        </is>
      </c>
      <c r="E11218" s="10" t="inlineStr">
        <is>
          <t>Thương lượng</t>
        </is>
      </c>
      <c r="F11218" s="10" t="inlineStr">
        <is>
          <t>Hà Nội</t>
        </is>
      </c>
      <c r="G11218" s="10" t="inlineStr">
        <is>
          <t>Nhân viên</t>
        </is>
      </c>
      <c r="H11218" s="10" t="inlineStr">
        <is>
          <t>19/01/2026</t>
        </is>
      </c>
      <c r="I11218" s="10" t="inlineStr">
        <is>
          <t>15/04/2026</t>
        </is>
      </c>
      <c r="J11218" s="10" t="inlineStr">
        <is>
          <t>17/03/2026</t>
        </is>
      </c>
      <c r="K11218" s="10" t="inlineStr">
        <is>
          <t>N/A</t>
        </is>
      </c>
      <c r="L11218" s="10" t="inlineStr">
        <is>
          <t>Accounting, Compliance Law, Finance, Tax Advisory Services, Global Reporting</t>
        </is>
      </c>
      <c r="M11218" s="10" t="inlineStr">
        <is>
          <t>Others</t>
        </is>
      </c>
      <c r="N11218" s="11">
        <f>HYPERLINK("https://www.vietnamworks.com/senior-tax-global-compliance-and-reporting-including-accounting-compliance-and-reporting-2003714-jv","Xem chi tiết")</f>
        <v/>
      </c>
      <c r="O11218" s="10" t="n"/>
    </row>
    <row r="11219">
      <c r="B11219" s="7" t="n">
        <v>11217</v>
      </c>
      <c r="C11219" t="inlineStr">
        <is>
          <t>Experienced Senior, Global Trade And Customs - Hanoi Office</t>
        </is>
      </c>
      <c r="D11219" t="inlineStr">
        <is>
          <t>Ernst &amp; Young Vietnam Limited (EY Vietnam)</t>
        </is>
      </c>
      <c r="E11219" t="inlineStr">
        <is>
          <t>Thương lượng</t>
        </is>
      </c>
      <c r="F11219" t="inlineStr">
        <is>
          <t>Hà Nội</t>
        </is>
      </c>
      <c r="G11219" t="inlineStr">
        <is>
          <t>Nhân viên</t>
        </is>
      </c>
      <c r="H11219" t="inlineStr">
        <is>
          <t>19/01/2026</t>
        </is>
      </c>
      <c r="I11219" t="inlineStr">
        <is>
          <t>15/04/2026</t>
        </is>
      </c>
      <c r="J11219" t="inlineStr">
        <is>
          <t>17/03/2026</t>
        </is>
      </c>
      <c r="K11219" t="inlineStr">
        <is>
          <t>N/A</t>
        </is>
      </c>
      <c r="L11219" t="inlineStr">
        <is>
          <t>Customs Dealing, Tax Advisory Services, Trade Marketing Service</t>
        </is>
      </c>
      <c r="M11219" t="inlineStr">
        <is>
          <t>Training, Others</t>
        </is>
      </c>
      <c r="N11219" s="8">
        <f>HYPERLINK("https://www.vietnamworks.com/experienced-senior-global-trade-and-customs-hanoi-office-2003733-jv","Xem chi tiết")</f>
        <v/>
      </c>
    </row>
    <row r="11220">
      <c r="B11220" s="9" t="n">
        <v>11218</v>
      </c>
      <c r="C11220" s="10" t="inlineStr">
        <is>
          <t>Chuyên Viên Digital Marketing</t>
        </is>
      </c>
      <c r="D11220" s="10" t="inlineStr">
        <is>
          <t>TẬP ĐOÀN HẢI SẢN HOÀNG GIA</t>
        </is>
      </c>
      <c r="E11220" s="10" t="inlineStr">
        <is>
          <t>Thương lượng</t>
        </is>
      </c>
      <c r="F11220" s="10" t="inlineStr">
        <is>
          <t>Hồ Chí Minh</t>
        </is>
      </c>
      <c r="G11220" s="10" t="inlineStr">
        <is>
          <t>Nhân viên</t>
        </is>
      </c>
      <c r="H11220" s="10" t="inlineStr">
        <is>
          <t>19/01/2026</t>
        </is>
      </c>
      <c r="I11220" s="10" t="inlineStr">
        <is>
          <t>15/04/2026</t>
        </is>
      </c>
      <c r="J11220" s="10" t="inlineStr">
        <is>
          <t>17/03/2026</t>
        </is>
      </c>
      <c r="K11220" s="10" t="inlineStr">
        <is>
          <t>N/A</t>
        </is>
      </c>
      <c r="L11220" s="10" t="inlineStr">
        <is>
          <t>Social Media Development, SEO, Online Marketing, Google Ads, Digital Marketing</t>
        </is>
      </c>
      <c r="M11220" s="10" t="inlineStr">
        <is>
          <t>Bonus, Healthcare Plan, Laptop</t>
        </is>
      </c>
      <c r="N11220" s="11">
        <f>HYPERLINK("https://www.vietnamworks.com/chuyen-vien-digital-marketing--2004048-jv","Xem chi tiết")</f>
        <v/>
      </c>
      <c r="O11220" s="10" t="n"/>
    </row>
    <row r="11221">
      <c r="B11221" s="7" t="n">
        <v>11219</v>
      </c>
      <c r="C11221" t="inlineStr">
        <is>
          <t>Senior - Strategy &amp; Execution - Hanoi Office</t>
        </is>
      </c>
      <c r="D11221" t="inlineStr">
        <is>
          <t>Ernst &amp; Young Vietnam Limited (EY Vietnam)</t>
        </is>
      </c>
      <c r="E11221" t="inlineStr">
        <is>
          <t>Thương lượng</t>
        </is>
      </c>
      <c r="F11221" t="inlineStr">
        <is>
          <t>Hà Nội</t>
        </is>
      </c>
      <c r="G11221" t="inlineStr">
        <is>
          <t>Nhân viên</t>
        </is>
      </c>
      <c r="H11221" t="inlineStr">
        <is>
          <t>19/01/2026</t>
        </is>
      </c>
      <c r="I11221" t="inlineStr">
        <is>
          <t>15/04/2026</t>
        </is>
      </c>
      <c r="J11221" t="inlineStr">
        <is>
          <t>17/03/2026</t>
        </is>
      </c>
      <c r="K11221" t="inlineStr">
        <is>
          <t>N/A</t>
        </is>
      </c>
      <c r="L11221" t="inlineStr">
        <is>
          <t>Financial Analysis, Financial Modeling, Market Research, Strategic Thinking, Strategy Execution</t>
        </is>
      </c>
      <c r="M11221" t="inlineStr">
        <is>
          <t>Training, Team Activities, Others</t>
        </is>
      </c>
      <c r="N11221" s="8">
        <f>HYPERLINK("https://www.vietnamworks.com/senior-strategy-and-execution-hanoi-office-2003735-jv","Xem chi tiết")</f>
        <v/>
      </c>
    </row>
    <row r="11222">
      <c r="B11222" s="9" t="n">
        <v>11220</v>
      </c>
      <c r="C11222" s="10" t="inlineStr">
        <is>
          <t>Giám đốc Marketing (Bất động sản &amp; Tài chính chứng khoán)</t>
        </is>
      </c>
      <c r="D11222" s="10" t="inlineStr">
        <is>
          <t>CÔNG TY CỔ PHẦN BOLT HOLDINGS</t>
        </is>
      </c>
      <c r="E11222" s="10" t="inlineStr">
        <is>
          <t>Thương lượng</t>
        </is>
      </c>
      <c r="F11222" s="10" t="inlineStr">
        <is>
          <t>Hà Nội</t>
        </is>
      </c>
      <c r="G11222" s="10" t="inlineStr">
        <is>
          <t>Giám Đốc và Cấp Cao Hơn</t>
        </is>
      </c>
      <c r="H11222" s="10" t="inlineStr">
        <is>
          <t>23/01/2026</t>
        </is>
      </c>
      <c r="I11222" s="10" t="inlineStr">
        <is>
          <t>15/04/2026</t>
        </is>
      </c>
      <c r="J11222" s="10" t="inlineStr">
        <is>
          <t>17/03/2026</t>
        </is>
      </c>
      <c r="K11222" s="10" t="inlineStr">
        <is>
          <t>N/A</t>
        </is>
      </c>
      <c r="L11222" s="10" t="inlineStr">
        <is>
          <t>Brand Management, Digital Marketing, Leadership, Market Analysis, Marketing Strategy</t>
        </is>
      </c>
      <c r="M11222" s="10" t="inlineStr">
        <is>
          <t>Bonus, Healthcare Plan</t>
        </is>
      </c>
      <c r="N11222" s="11">
        <f>HYPERLINK("https://www.vietnamworks.com/giam-djoc-marketing-bat-djong-san-and-tai-chinh-chung-khoan-2005716-jv","Xem chi tiết")</f>
        <v/>
      </c>
      <c r="O11222" s="10" t="n"/>
    </row>
    <row r="11223">
      <c r="B11223" s="7" t="n">
        <v>11221</v>
      </c>
      <c r="C11223" t="inlineStr">
        <is>
          <t>Payable Accountant</t>
        </is>
      </c>
      <c r="D11223" t="inlineStr">
        <is>
          <t>Olam Global Agri Việt Nam</t>
        </is>
      </c>
      <c r="E11223" t="inlineStr">
        <is>
          <t>8tr-12tr ₫/tháng</t>
        </is>
      </c>
      <c r="F11223" t="inlineStr">
        <is>
          <t>Hồ Chí Minh</t>
        </is>
      </c>
      <c r="G11223" t="inlineStr">
        <is>
          <t>Nhân viên</t>
        </is>
      </c>
      <c r="H11223" t="inlineStr">
        <is>
          <t>26/01/2026</t>
        </is>
      </c>
      <c r="I11223" t="inlineStr">
        <is>
          <t>15/04/2026</t>
        </is>
      </c>
      <c r="J11223" t="inlineStr">
        <is>
          <t>17/03/2026</t>
        </is>
      </c>
      <c r="K11223" t="inlineStr">
        <is>
          <t>N/A</t>
        </is>
      </c>
      <c r="L11223" t="inlineStr">
        <is>
          <t>Account Reconciliation, Accounts Payable, Communication Skills, SAP-FI, VAT Invoice</t>
        </is>
      </c>
      <c r="M11223" t="inlineStr">
        <is>
          <t>Others</t>
        </is>
      </c>
      <c r="N11223" s="8">
        <f>HYPERLINK("https://www.vietnamworks.com/payable-accountant-2006345-jv","Xem chi tiết")</f>
        <v/>
      </c>
    </row>
    <row r="11224">
      <c r="B11224" s="9" t="n">
        <v>11222</v>
      </c>
      <c r="C11224" s="10" t="inlineStr">
        <is>
          <t>Test Technician - Kỹ Thuật Viên Máy Kiểm Tra</t>
        </is>
      </c>
      <c r="D11224" s="10" t="inlineStr">
        <is>
          <t>CÔNG TY TNHH UE VIỆT NAM</t>
        </is>
      </c>
      <c r="E11224" s="10" t="inlineStr">
        <is>
          <t>9.5tr-14tr ₫/tháng</t>
        </is>
      </c>
      <c r="F11224" s="10" t="inlineStr">
        <is>
          <t>Hải Phòng, Bắc Ninh, Hưng Yên</t>
        </is>
      </c>
      <c r="G11224" s="10" t="inlineStr">
        <is>
          <t>Nhân viên</t>
        </is>
      </c>
      <c r="H11224" s="10" t="inlineStr">
        <is>
          <t>26/01/2026</t>
        </is>
      </c>
      <c r="I11224" s="10" t="inlineStr">
        <is>
          <t>15/04/2026</t>
        </is>
      </c>
      <c r="J11224" s="10" t="inlineStr">
        <is>
          <t>17/03/2026</t>
        </is>
      </c>
      <c r="K11224" s="10" t="inlineStr">
        <is>
          <t>N/A</t>
        </is>
      </c>
      <c r="L11224" s="10" t="inlineStr">
        <is>
          <t>Equipment Testing, Test Automation Tools, Test Lab, Troubleshooting, English</t>
        </is>
      </c>
      <c r="M11224" s="10" t="inlineStr">
        <is>
          <t>Bonus, Healthcare Plan, Others</t>
        </is>
      </c>
      <c r="N11224" s="11">
        <f>HYPERLINK("https://www.vietnamworks.com/test-technician-ky-thuat-vien-may-kiem-tra-2006314-jv","Xem chi tiết")</f>
        <v/>
      </c>
      <c r="O11224" s="10" t="n"/>
    </row>
    <row r="11225">
      <c r="B11225" s="7" t="n">
        <v>11223</v>
      </c>
      <c r="C11225" t="inlineStr">
        <is>
          <t>Nhân Viên Kinh Doanh Xe Ô Tô-Land Rover</t>
        </is>
      </c>
      <c r="D11225" t="inlineStr">
        <is>
          <t>Pon Phu Thai Mobility Group</t>
        </is>
      </c>
      <c r="E11225" t="inlineStr">
        <is>
          <t>Thương lượng</t>
        </is>
      </c>
      <c r="F11225" t="inlineStr">
        <is>
          <t>Hồ Chí Minh, Hà Nội</t>
        </is>
      </c>
      <c r="G11225" t="inlineStr">
        <is>
          <t>Nhân viên</t>
        </is>
      </c>
      <c r="H11225" t="inlineStr">
        <is>
          <t>23/01/2026</t>
        </is>
      </c>
      <c r="I11225" t="inlineStr">
        <is>
          <t>15/04/2026</t>
        </is>
      </c>
      <c r="J11225" t="inlineStr">
        <is>
          <t>17/03/2026</t>
        </is>
      </c>
      <c r="K11225" t="inlineStr">
        <is>
          <t>N/A</t>
        </is>
      </c>
      <c r="L11225" t="inlineStr">
        <is>
          <t>Chăm Sóc Khách Hàng, Kinh Doanh, Ô Tô, Sales, Tư Vấn Khách Hàng</t>
        </is>
      </c>
      <c r="M11225" t="inlineStr">
        <is>
          <t>Bonus, Healthcare Plan, Training, Travel Opportunities, Canteen</t>
        </is>
      </c>
      <c r="N11225" s="8">
        <f>HYPERLINK("https://www.vietnamworks.com/nhan-vien-kinh-doanh-xe-o-to-land-rover-2005910-jv","Xem chi tiết")</f>
        <v/>
      </c>
    </row>
    <row r="11226">
      <c r="B11226" s="9" t="n">
        <v>11224</v>
      </c>
      <c r="C11226" s="10" t="inlineStr">
        <is>
          <t>Expert Backend Engineer (AWS, DevOps)</t>
        </is>
      </c>
      <c r="D11226" s="10" t="inlineStr">
        <is>
          <t>Công Ty Cổ Phần Vàng Bạc Đá Quý Phú Nhuận (PNJ)</t>
        </is>
      </c>
      <c r="E11226" s="10" t="inlineStr">
        <is>
          <t>Thương lượng</t>
        </is>
      </c>
      <c r="F11226" s="10" t="inlineStr">
        <is>
          <t>Hồ Chí Minh</t>
        </is>
      </c>
      <c r="G11226" s="10" t="inlineStr">
        <is>
          <t>Nhân viên</t>
        </is>
      </c>
      <c r="H11226" s="10" t="inlineStr">
        <is>
          <t>23/01/2026</t>
        </is>
      </c>
      <c r="I11226" s="10" t="inlineStr">
        <is>
          <t>15/04/2026</t>
        </is>
      </c>
      <c r="J11226" s="10" t="inlineStr">
        <is>
          <t>17/03/2026</t>
        </is>
      </c>
      <c r="K11226" s="10" t="inlineStr">
        <is>
          <t>N/A</t>
        </is>
      </c>
      <c r="L11226" s="10" t="inlineStr">
        <is>
          <t>AWS, Backend Application, NoSQL, API</t>
        </is>
      </c>
      <c r="M11226" s="10" t="inlineStr">
        <is>
          <t>Bonus, Healthcare Plan, Laptop, Travel Opportunities, Others</t>
        </is>
      </c>
      <c r="N11226" s="11">
        <f>HYPERLINK("https://www.vietnamworks.com/expert-backend-engineer-aws-devops-2005840-jv","Xem chi tiết")</f>
        <v/>
      </c>
      <c r="O11226" s="10" t="n"/>
    </row>
    <row r="11227">
      <c r="B11227" s="7" t="n">
        <v>11225</v>
      </c>
      <c r="C11227" t="inlineStr">
        <is>
          <t>Senior Manufacturing Systems Engineer</t>
        </is>
      </c>
      <c r="D11227" t="inlineStr">
        <is>
          <t>Vietnamworks' Client</t>
        </is>
      </c>
      <c r="E11227" t="inlineStr">
        <is>
          <t>15.5tr-30tr ₫/tháng</t>
        </is>
      </c>
      <c r="F11227" t="inlineStr">
        <is>
          <t>Hải Phòng, Hưng Yên, Bắc Ninh</t>
        </is>
      </c>
      <c r="G11227" t="inlineStr">
        <is>
          <t>Nhân viên</t>
        </is>
      </c>
      <c r="H11227" t="inlineStr">
        <is>
          <t>26/01/2026</t>
        </is>
      </c>
      <c r="I11227" t="inlineStr">
        <is>
          <t>15/04/2026</t>
        </is>
      </c>
      <c r="J11227" t="inlineStr">
        <is>
          <t>17/03/2026</t>
        </is>
      </c>
      <c r="K11227" t="inlineStr">
        <is>
          <t>N/A</t>
        </is>
      </c>
      <c r="L11227" t="inlineStr">
        <is>
          <t>C#, SQL Database, Manufacturing Systems, Debugging, Java</t>
        </is>
      </c>
      <c r="M11227" t="inlineStr">
        <is>
          <t>Bonus, Healthcare Plan, Others</t>
        </is>
      </c>
      <c r="N11227" s="8">
        <f>HYPERLINK("https://www.vietnamworks.com/senior-manufacturing-systems-engineer-2006298-jv","Xem chi tiết")</f>
        <v/>
      </c>
    </row>
    <row r="11228">
      <c r="B11228" s="9" t="n">
        <v>11226</v>
      </c>
      <c r="C11228" s="10" t="inlineStr">
        <is>
          <t>Trưởng Phòng Mua Hàng (Dược)</t>
        </is>
      </c>
      <c r="D11228" s="10" t="inlineStr">
        <is>
          <t>Công Ty Cổ Phần Tập Đoàn BRG</t>
        </is>
      </c>
      <c r="E11228" s="10" t="inlineStr">
        <is>
          <t>Thương lượng</t>
        </is>
      </c>
      <c r="F11228" s="10" t="inlineStr">
        <is>
          <t>Nghệ An</t>
        </is>
      </c>
      <c r="G11228" s="10" t="inlineStr">
        <is>
          <t>Trưởng phòng</t>
        </is>
      </c>
      <c r="H11228" s="10" t="inlineStr">
        <is>
          <t>26/01/2026</t>
        </is>
      </c>
      <c r="I11228" s="10" t="inlineStr">
        <is>
          <t>15/04/2026</t>
        </is>
      </c>
      <c r="J11228" s="10" t="inlineStr">
        <is>
          <t>17/03/2026</t>
        </is>
      </c>
      <c r="K11228" s="10" t="inlineStr">
        <is>
          <t>N/A</t>
        </is>
      </c>
      <c r="L11228" s="10" t="inlineStr">
        <is>
          <t>Dược Phẩm, Mua Hàng</t>
        </is>
      </c>
      <c r="M11228" s="10" t="inlineStr">
        <is>
          <t>Bonus, Healthcare Plan, Travel Opportunities</t>
        </is>
      </c>
      <c r="N11228" s="11">
        <f>HYPERLINK("https://www.vietnamworks.com/truong-phong-mua-hang-duoc-2006385-jv","Xem chi tiết")</f>
        <v/>
      </c>
      <c r="O11228" s="10" t="n"/>
    </row>
    <row r="11229">
      <c r="B11229" s="7" t="n">
        <v>11227</v>
      </c>
      <c r="C11229" t="inlineStr">
        <is>
          <t>Accounting Staff</t>
        </is>
      </c>
      <c r="D11229" t="inlineStr">
        <is>
          <t>Hoya Glass Disk Vietnam</t>
        </is>
      </c>
      <c r="E11229" t="inlineStr">
        <is>
          <t>Thương lượng</t>
        </is>
      </c>
      <c r="F11229" t="inlineStr">
        <is>
          <t>Hưng Yên</t>
        </is>
      </c>
      <c r="G11229" t="inlineStr">
        <is>
          <t>Mới Tốt Nghiệp</t>
        </is>
      </c>
      <c r="H11229" t="inlineStr">
        <is>
          <t>26/01/2026</t>
        </is>
      </c>
      <c r="I11229" t="inlineStr">
        <is>
          <t>15/04/2026</t>
        </is>
      </c>
      <c r="J11229" t="inlineStr">
        <is>
          <t>17/03/2026</t>
        </is>
      </c>
      <c r="K11229" t="inlineStr">
        <is>
          <t>N/A</t>
        </is>
      </c>
      <c r="L11229" t="inlineStr">
        <is>
          <t>Kế Toán, English fluency, Chứng Chỉ Ielts</t>
        </is>
      </c>
      <c r="M11229" t="inlineStr">
        <is>
          <t>Bonus, Healthcare Plan, Paid Leave</t>
        </is>
      </c>
      <c r="N11229" s="8">
        <f>HYPERLINK("https://www.vietnamworks.com/accounting-staff--2006188-jv","Xem chi tiết")</f>
        <v/>
      </c>
    </row>
    <row r="11230">
      <c r="B11230" s="9" t="n">
        <v>11228</v>
      </c>
      <c r="C11230" s="10" t="inlineStr">
        <is>
          <t>Business Development Executive (E-Commerce &amp; Digital Marketing)</t>
        </is>
      </c>
      <c r="D11230" s="10" t="inlineStr">
        <is>
          <t>Innovative Hub</t>
        </is>
      </c>
      <c r="E11230" s="10" t="inlineStr">
        <is>
          <t>17tr-25tr ₫/tháng</t>
        </is>
      </c>
      <c r="F11230" s="10" t="inlineStr">
        <is>
          <t>Hồ Chí Minh</t>
        </is>
      </c>
      <c r="G11230" s="10" t="inlineStr">
        <is>
          <t>Nhân viên</t>
        </is>
      </c>
      <c r="H11230" s="10" t="inlineStr">
        <is>
          <t>26/01/2026</t>
        </is>
      </c>
      <c r="I11230" s="10" t="inlineStr">
        <is>
          <t>15/04/2026</t>
        </is>
      </c>
      <c r="J11230" s="10" t="inlineStr">
        <is>
          <t>17/03/2026</t>
        </is>
      </c>
      <c r="K11230" s="10" t="inlineStr">
        <is>
          <t>N/A</t>
        </is>
      </c>
      <c r="L11230" s="10" t="inlineStr">
        <is>
          <t>Account Management, English, Sales Planning, Sales Strategy, Stakeholder Management</t>
        </is>
      </c>
      <c r="M11230" s="10" t="inlineStr">
        <is>
          <t>Healthcare Plan, Others</t>
        </is>
      </c>
      <c r="N11230" s="11">
        <f>HYPERLINK("https://www.vietnamworks.com/business-development-executive-e-commerce-digital-marketing-2006238-jv","Xem chi tiết")</f>
        <v/>
      </c>
      <c r="O11230" s="10" t="n"/>
    </row>
    <row r="11231">
      <c r="B11231" s="7" t="n">
        <v>11229</v>
      </c>
      <c r="C11231" t="inlineStr">
        <is>
          <t>Quản Lý Trung Tâm - Center Sales Manager</t>
        </is>
      </c>
      <c r="D11231" t="inlineStr">
        <is>
          <t>Mathnasium Việt Nam</t>
        </is>
      </c>
      <c r="E11231" t="inlineStr">
        <is>
          <t>$$ 800-1,200 /tháng</t>
        </is>
      </c>
      <c r="F11231" t="inlineStr">
        <is>
          <t>Cần Thơ, Hải Phòng, Hà Nội</t>
        </is>
      </c>
      <c r="G11231" t="inlineStr">
        <is>
          <t>Trưởng phòng</t>
        </is>
      </c>
      <c r="H11231" t="inlineStr">
        <is>
          <t>27/01/2026</t>
        </is>
      </c>
      <c r="I11231" t="inlineStr">
        <is>
          <t>15/04/2026</t>
        </is>
      </c>
      <c r="J11231" t="inlineStr">
        <is>
          <t>17/03/2026</t>
        </is>
      </c>
      <c r="K11231" t="inlineStr">
        <is>
          <t>N/A</t>
        </is>
      </c>
      <c r="L11231" t="inlineStr">
        <is>
          <t>Quản Lý Kinh Doanh, Educational Platform Business Development, Đánh Giá Nhân Sự, Tuyển Sinh, Tư Vấn Khách Hàng</t>
        </is>
      </c>
      <c r="M11231" t="inlineStr">
        <is>
          <t>Healthcare Plan, Training, Vouchers</t>
        </is>
      </c>
      <c r="N11231" s="8">
        <f>HYPERLINK("https://www.vietnamworks.com/quan-ly-trung-tam-center-sales-manager--2006505-jv","Xem chi tiết")</f>
        <v/>
      </c>
    </row>
    <row r="11232">
      <c r="B11232" s="9" t="n">
        <v>11230</v>
      </c>
      <c r="C11232" s="10" t="inlineStr">
        <is>
          <t>Kỹ Sư Thiết Kế Kết Cấu Công Trình Upto 18 Triệu (Phỏng Vấn Đi Làm Luôn)</t>
        </is>
      </c>
      <c r="D11232" s="10" t="inlineStr">
        <is>
          <t>Công ty Cổ phần Tư vấn Kết cấu G20</t>
        </is>
      </c>
      <c r="E11232" s="10" t="inlineStr">
        <is>
          <t>350-800 ₫/tháng</t>
        </is>
      </c>
      <c r="F11232" s="10" t="inlineStr">
        <is>
          <t>Hà Nội</t>
        </is>
      </c>
      <c r="G11232" s="10" t="inlineStr">
        <is>
          <t>Nhân viên</t>
        </is>
      </c>
      <c r="H11232" s="10" t="inlineStr">
        <is>
          <t>27/01/2026</t>
        </is>
      </c>
      <c r="I11232" s="10" t="inlineStr">
        <is>
          <t>15/04/2026</t>
        </is>
      </c>
      <c r="J11232" s="10" t="inlineStr">
        <is>
          <t>17/03/2026</t>
        </is>
      </c>
      <c r="K11232" s="10" t="inlineStr">
        <is>
          <t>N/A</t>
        </is>
      </c>
      <c r="L11232" s="10" t="inlineStr">
        <is>
          <t>Thiết Kế Dân Dụng, Thiết Kế Công Trình, Kiến Trúc Dân Dụng, AutoCAD, Etabs</t>
        </is>
      </c>
      <c r="M11232" s="10" t="inlineStr">
        <is>
          <t>Bonus, Healthcare Plan, Travel Opportunities</t>
        </is>
      </c>
      <c r="N11232" s="11">
        <f>HYPERLINK("https://www.vietnamworks.com/ky-su-thiet-ke-ket-cau-cong-trinh-upto-18-trieu-phong-van-di-lam-luon-2006609-jv","Xem chi tiết")</f>
        <v/>
      </c>
      <c r="O11232" s="10" t="n"/>
    </row>
    <row r="11233">
      <c r="B11233" s="7" t="n">
        <v>11231</v>
      </c>
      <c r="C11233" t="inlineStr">
        <is>
          <t>Sales Planning Staff</t>
        </is>
      </c>
      <c r="D11233" t="inlineStr">
        <is>
          <t>Daikin Air Conditioning (Vietnam) Joint Stock Company</t>
        </is>
      </c>
      <c r="E11233" t="inlineStr">
        <is>
          <t>Thương lượng</t>
        </is>
      </c>
      <c r="F11233" t="inlineStr">
        <is>
          <t>Hồ Chí Minh</t>
        </is>
      </c>
      <c r="G11233" t="inlineStr">
        <is>
          <t>Nhân viên</t>
        </is>
      </c>
      <c r="H11233" t="inlineStr">
        <is>
          <t>27/01/2026</t>
        </is>
      </c>
      <c r="I11233" t="inlineStr">
        <is>
          <t>15/04/2026</t>
        </is>
      </c>
      <c r="J11233" t="inlineStr">
        <is>
          <t>17/03/2026</t>
        </is>
      </c>
      <c r="K11233" t="inlineStr">
        <is>
          <t>N/A</t>
        </is>
      </c>
      <c r="L11233" t="inlineStr">
        <is>
          <t>Sales Planning, Data Analysis, Business Planning, Sales Operations, Sales Strategy</t>
        </is>
      </c>
      <c r="M11233" t="inlineStr">
        <is>
          <t>Bonus, Healthcare Plan</t>
        </is>
      </c>
      <c r="N11233" s="8">
        <f>HYPERLINK("https://www.vietnamworks.com/sales-planning-staff--2006527-jv","Xem chi tiết")</f>
        <v/>
      </c>
    </row>
    <row r="11234">
      <c r="B11234" s="9" t="n">
        <v>11232</v>
      </c>
      <c r="C11234" s="10" t="inlineStr">
        <is>
          <t>Chuyên Viên Phát Triển Kinh Doanh</t>
        </is>
      </c>
      <c r="D11234" s="10" t="inlineStr">
        <is>
          <t>Công ty Cổ phần Kinh doanh Hưng Việt</t>
        </is>
      </c>
      <c r="E11234" s="10" t="inlineStr">
        <is>
          <t>Thương lượng</t>
        </is>
      </c>
      <c r="F11234" s="10" t="inlineStr">
        <is>
          <t>Hà Nội</t>
        </is>
      </c>
      <c r="G11234" s="10" t="inlineStr">
        <is>
          <t>Nhân viên</t>
        </is>
      </c>
      <c r="H11234" s="10" t="inlineStr">
        <is>
          <t>26/01/2026</t>
        </is>
      </c>
      <c r="I11234" s="10" t="inlineStr">
        <is>
          <t>15/04/2026</t>
        </is>
      </c>
      <c r="J11234" s="10" t="inlineStr">
        <is>
          <t>17/03/2026</t>
        </is>
      </c>
      <c r="K11234" s="10" t="inlineStr">
        <is>
          <t>N/A</t>
        </is>
      </c>
      <c r="L11234" s="10" t="inlineStr">
        <is>
          <t>Kinh Doanh, Phát Triển Thị Trường, Kế Hoạch Kinh Doanh, Quan Hệ Khách Hàng, Tìm Kiếm Đối Tác</t>
        </is>
      </c>
      <c r="M11234" s="10" t="inlineStr">
        <is>
          <t>Bonus, Healthcare Plan, Training, Travel Opportunities, Others</t>
        </is>
      </c>
      <c r="N11234" s="11">
        <f>HYPERLINK("https://www.vietnamworks.com/chuyen-vien-phat-trien-kinh-doanh--2006135-jv","Xem chi tiết")</f>
        <v/>
      </c>
      <c r="O11234" s="10" t="n"/>
    </row>
    <row r="11235">
      <c r="B11235" s="7" t="n">
        <v>11233</v>
      </c>
      <c r="C11235" t="inlineStr">
        <is>
          <t>Test Engineer - Kỹ Sư Máy Kiểm Tra</t>
        </is>
      </c>
      <c r="D11235" t="inlineStr">
        <is>
          <t>CÔNG TY TNHH UE VIỆT NAM</t>
        </is>
      </c>
      <c r="E11235" t="inlineStr">
        <is>
          <t>13.5tr-20tr ₫/tháng</t>
        </is>
      </c>
      <c r="F11235" t="inlineStr">
        <is>
          <t>Hải Phòng, Bắc Ninh, Hưng Yên</t>
        </is>
      </c>
      <c r="G11235" t="inlineStr">
        <is>
          <t>Nhân viên</t>
        </is>
      </c>
      <c r="H11235" t="inlineStr">
        <is>
          <t>26/01/2026</t>
        </is>
      </c>
      <c r="I11235" t="inlineStr">
        <is>
          <t>15/04/2026</t>
        </is>
      </c>
      <c r="J11235" t="inlineStr">
        <is>
          <t>17/03/2026</t>
        </is>
      </c>
      <c r="K11235" t="inlineStr">
        <is>
          <t>N/A</t>
        </is>
      </c>
      <c r="L11235" t="inlineStr">
        <is>
          <t>English, Phân Tích Sản Phẩm, Software Testing, Test Engineer, Fct Machine Experience</t>
        </is>
      </c>
      <c r="M11235" t="inlineStr">
        <is>
          <t>Bonus, Healthcare Plan, Others</t>
        </is>
      </c>
      <c r="N11235" s="8">
        <f>HYPERLINK("https://www.vietnamworks.com/test-engineer-ky-su-may-kiem-tra-2006326-jv","Xem chi tiết")</f>
        <v/>
      </c>
    </row>
    <row r="11236">
      <c r="B11236" s="9" t="n">
        <v>11234</v>
      </c>
      <c r="C11236" s="10" t="inlineStr">
        <is>
          <t>Chuyên Gia Học Liệu Hệ Thống Elearning</t>
        </is>
      </c>
      <c r="D11236" s="10" t="inlineStr">
        <is>
          <t>Language Link Vietnam</t>
        </is>
      </c>
      <c r="E11236" s="10" t="inlineStr">
        <is>
          <t>$$ 900-1,000 /tháng</t>
        </is>
      </c>
      <c r="F11236" s="10" t="inlineStr">
        <is>
          <t>Hà Nội</t>
        </is>
      </c>
      <c r="G11236" s="10" t="inlineStr">
        <is>
          <t>Nhân viên</t>
        </is>
      </c>
      <c r="H11236" s="10" t="inlineStr">
        <is>
          <t>23/01/2026</t>
        </is>
      </c>
      <c r="I11236" s="10" t="inlineStr">
        <is>
          <t>15/04/2026</t>
        </is>
      </c>
      <c r="J11236" s="10" t="inlineStr">
        <is>
          <t>17/03/2026</t>
        </is>
      </c>
      <c r="K11236" s="10" t="inlineStr">
        <is>
          <t>N/A</t>
        </is>
      </c>
      <c r="L11236" s="10" t="inlineStr">
        <is>
          <t>EdTech, LMS Platforms, Learning Management System (LMS)</t>
        </is>
      </c>
      <c r="M11236" s="10" t="inlineStr">
        <is>
          <t>Bonus, Healthcare Plan, Paid Leave</t>
        </is>
      </c>
      <c r="N11236" s="11">
        <f>HYPERLINK("https://www.vietnamworks.com/chuyen-gia-hoc-lieu-he-thong-elearning-2005741-jv","Xem chi tiết")</f>
        <v/>
      </c>
      <c r="O11236" s="10" t="n"/>
    </row>
    <row r="11237">
      <c r="B11237" s="7" t="n">
        <v>11235</v>
      </c>
      <c r="C11237" t="inlineStr">
        <is>
          <t>Chuyên Viên Tuyển Dụng - Talent Acquisition Specialist</t>
        </is>
      </c>
      <c r="D11237" t="inlineStr">
        <is>
          <t>Mathnasium Việt Nam</t>
        </is>
      </c>
      <c r="E11237" t="inlineStr">
        <is>
          <t>$$ 400-800 /tháng</t>
        </is>
      </c>
      <c r="F11237" t="inlineStr">
        <is>
          <t>Hồ Chí Minh</t>
        </is>
      </c>
      <c r="G11237" t="inlineStr">
        <is>
          <t>Nhân viên</t>
        </is>
      </c>
      <c r="H11237" t="inlineStr">
        <is>
          <t>27/01/2026</t>
        </is>
      </c>
      <c r="I11237" t="inlineStr">
        <is>
          <t>15/04/2026</t>
        </is>
      </c>
      <c r="J11237" t="inlineStr">
        <is>
          <t>17/03/2026</t>
        </is>
      </c>
      <c r="K11237" t="inlineStr">
        <is>
          <t>N/A</t>
        </is>
      </c>
      <c r="L11237" t="inlineStr">
        <is>
          <t>Tuyển Dụng, Talent Acquisition, Recruitment, Human Resources</t>
        </is>
      </c>
      <c r="M11237" t="inlineStr">
        <is>
          <t>Healthcare Plan, Training, Vouchers</t>
        </is>
      </c>
      <c r="N11237" s="8">
        <f>HYPERLINK("https://www.vietnamworks.com/chuyen-vien-tuyen-dung-talent-acquisition-specialist--2006509-jv","Xem chi tiết")</f>
        <v/>
      </c>
    </row>
    <row r="11238">
      <c r="B11238" s="9" t="n">
        <v>11236</v>
      </c>
      <c r="C11238" s="10" t="inlineStr">
        <is>
          <t>Trưởng bộ phận Bảo mật &amp; An toàn thông tin</t>
        </is>
      </c>
      <c r="D11238" s="10" t="inlineStr">
        <is>
          <t>Công Ty CP Dây Cáp Điện Việt Nam - CADIVI</t>
        </is>
      </c>
      <c r="E11238" s="10" t="inlineStr">
        <is>
          <t>Thương lượng</t>
        </is>
      </c>
      <c r="F11238" s="10" t="inlineStr">
        <is>
          <t>Hồ Chí Minh</t>
        </is>
      </c>
      <c r="G11238" s="10" t="inlineStr">
        <is>
          <t>Trưởng phòng</t>
        </is>
      </c>
      <c r="H11238" s="10" t="inlineStr">
        <is>
          <t>27/01/2026</t>
        </is>
      </c>
      <c r="I11238" s="10" t="inlineStr">
        <is>
          <t>15/04/2026</t>
        </is>
      </c>
      <c r="J11238" s="10" t="inlineStr">
        <is>
          <t>17/03/2026</t>
        </is>
      </c>
      <c r="K11238" s="10" t="inlineStr">
        <is>
          <t>N/A</t>
        </is>
      </c>
      <c r="L11238" s="10" t="inlineStr">
        <is>
          <t>Công Nghệ Thông Tin, An Ninh Mạng, Bảo mật thông tin</t>
        </is>
      </c>
      <c r="M11238" s="10" t="inlineStr">
        <is>
          <t>Bonus, Training, Awards</t>
        </is>
      </c>
      <c r="N11238" s="11">
        <f>HYPERLINK("https://www.vietnamworks.com/truong-bo-phan-bao-mat-and-an-toan-thong-tin-2006510-jv","Xem chi tiết")</f>
        <v/>
      </c>
      <c r="O11238" s="10" t="n"/>
    </row>
    <row r="11239">
      <c r="B11239" s="7" t="n">
        <v>11237</v>
      </c>
      <c r="C11239" t="inlineStr">
        <is>
          <t>Đại Diện Thương Mại và Quảng Bá - Ngành Hàng Giải Pháp Nông Nghiệp (ĐBSCL, Tây Nguyên, Miền Trung)</t>
        </is>
      </c>
      <c r="D11239" t="inlineStr">
        <is>
          <t>BASF Vietnam Co., Ltd</t>
        </is>
      </c>
      <c r="E11239" t="inlineStr">
        <is>
          <t>Thương lượng</t>
        </is>
      </c>
      <c r="F11239" t="inlineStr">
        <is>
          <t>Lâm Đồng, Sóc Trăng, Gia Lai</t>
        </is>
      </c>
      <c r="G11239" t="inlineStr">
        <is>
          <t>Nhân viên</t>
        </is>
      </c>
      <c r="H11239" t="inlineStr">
        <is>
          <t>27/01/2026</t>
        </is>
      </c>
      <c r="I11239" t="inlineStr">
        <is>
          <t>31/03/2026</t>
        </is>
      </c>
      <c r="J11239" t="inlineStr">
        <is>
          <t>17/03/2026</t>
        </is>
      </c>
      <c r="K11239" t="inlineStr">
        <is>
          <t>N/A</t>
        </is>
      </c>
      <c r="L11239" t="inlineStr">
        <is>
          <t>Bảo Vệ Thực Vật, Kinh Doanh Nông Nghiệp, Quản Lý Kênh Bán Hàng, Nông nghiệp, Bán Hàng</t>
        </is>
      </c>
      <c r="M11239" t="inlineStr">
        <is>
          <t>Bonus, Healthcare Plan, Others</t>
        </is>
      </c>
      <c r="N11239" s="8">
        <f>HYPERLINK("https://www.vietnamworks.com/dai-dien-thuong-mai-va-quang-ba-nganh-hang-giai-phap-nong-nghiep-dbscl-tay-nguyen-mien-trung-2006518-jv","Xem chi tiết")</f>
        <v/>
      </c>
    </row>
    <row r="11240">
      <c r="B11240" s="9" t="n">
        <v>11238</v>
      </c>
      <c r="C11240" s="10" t="inlineStr">
        <is>
          <t>Executive Search/ Global Expert Recruiter</t>
        </is>
      </c>
      <c r="D11240" s="10" t="inlineStr">
        <is>
          <t>Arches Corporation</t>
        </is>
      </c>
      <c r="E11240" s="10" t="inlineStr">
        <is>
          <t>Tới $ 1,500 /tháng</t>
        </is>
      </c>
      <c r="F11240" s="10" t="inlineStr">
        <is>
          <t>Hồ Chí Minh</t>
        </is>
      </c>
      <c r="G11240" s="10" t="inlineStr">
        <is>
          <t>Nhân viên</t>
        </is>
      </c>
      <c r="H11240" s="10" t="inlineStr">
        <is>
          <t>27/01/2026</t>
        </is>
      </c>
      <c r="I11240" s="10" t="inlineStr">
        <is>
          <t>15/04/2026</t>
        </is>
      </c>
      <c r="J11240" s="10" t="inlineStr">
        <is>
          <t>17/03/2026</t>
        </is>
      </c>
      <c r="K11240" s="10" t="inlineStr">
        <is>
          <t>N/A</t>
        </is>
      </c>
      <c r="L11240" s="10" t="inlineStr">
        <is>
          <t>Candidate Screening, Recruitment Consulting, Recruitment Management, Recruitment Planning, Tuyển Dụng</t>
        </is>
      </c>
      <c r="M11240" s="10" t="inlineStr">
        <is>
          <t>Bonus, Healthcare Plan, Paid Leave, Training, Team Activities, Others</t>
        </is>
      </c>
      <c r="N11240" s="11">
        <f>HYPERLINK("https://www.vietnamworks.com/executive-search-global-expert-recruiter-2006608-jv","Xem chi tiết")</f>
        <v/>
      </c>
      <c r="O11240" s="10" t="n"/>
    </row>
    <row r="11241">
      <c r="B11241" s="7" t="n">
        <v>11239</v>
      </c>
      <c r="C11241" t="inlineStr">
        <is>
          <t>Customer Service Supervisor</t>
        </is>
      </c>
      <c r="D11241" t="inlineStr">
        <is>
          <t>Công Ty TNHH MTV Chăm Sóc Sức Khỏe Bờ Biển Tây</t>
        </is>
      </c>
      <c r="E11241" t="inlineStr">
        <is>
          <t>Thương lượng</t>
        </is>
      </c>
      <c r="F11241" t="inlineStr">
        <is>
          <t>Hồ Chí Minh</t>
        </is>
      </c>
      <c r="G11241" t="inlineStr">
        <is>
          <t>Nhân viên</t>
        </is>
      </c>
      <c r="H11241" t="inlineStr">
        <is>
          <t>26/01/2026</t>
        </is>
      </c>
      <c r="I11241" t="inlineStr">
        <is>
          <t>15/04/2026</t>
        </is>
      </c>
      <c r="J11241" t="inlineStr">
        <is>
          <t>17/03/2026</t>
        </is>
      </c>
      <c r="K11241" t="inlineStr">
        <is>
          <t>N/A</t>
        </is>
      </c>
      <c r="L11241" t="inlineStr">
        <is>
          <t>Administrative Support, Chăm Sóc Khách Hàng, Customer Care, Dịch Vụ Khách Hàng, Front Desk Management</t>
        </is>
      </c>
      <c r="M11241" t="inlineStr">
        <is>
          <t>Bonus, Healthcare Plan, Travel Opportunities, Team Activities, Others</t>
        </is>
      </c>
      <c r="N11241" s="8">
        <f>HYPERLINK("https://www.vietnamworks.com/customer-service-supervisor-2006415-jv","Xem chi tiết")</f>
        <v/>
      </c>
    </row>
    <row r="11242">
      <c r="B11242" s="9" t="n">
        <v>11240</v>
      </c>
      <c r="C11242" s="10" t="inlineStr">
        <is>
          <t>Supply Chain Process Officer (Japanese + English)</t>
        </is>
      </c>
      <c r="D11242" s="10" t="inlineStr">
        <is>
          <t>Bosch Global Software Technologies Company Limited</t>
        </is>
      </c>
      <c r="E11242" s="10" t="inlineStr">
        <is>
          <t>Thương lượng</t>
        </is>
      </c>
      <c r="F11242" s="10" t="inlineStr">
        <is>
          <t>Hồ Chí Minh</t>
        </is>
      </c>
      <c r="G11242" s="10" t="inlineStr">
        <is>
          <t>Nhân viên</t>
        </is>
      </c>
      <c r="H11242" s="10" t="inlineStr">
        <is>
          <t>26/01/2026</t>
        </is>
      </c>
      <c r="I11242" s="10" t="inlineStr">
        <is>
          <t>15/04/2026</t>
        </is>
      </c>
      <c r="J11242" s="10" t="inlineStr">
        <is>
          <t>17/03/2026</t>
        </is>
      </c>
      <c r="K11242" s="10" t="inlineStr">
        <is>
          <t>N/A</t>
        </is>
      </c>
      <c r="L11242" s="10" t="inlineStr">
        <is>
          <t>Analytical Skills, ERP Systems, Japanese Communication, Logistics, Supply Chain Management</t>
        </is>
      </c>
      <c r="M11242" s="10" t="inlineStr">
        <is>
          <t>Bonus, Healthcare Plan, Paid Leave, Training, Team Activities, Others</t>
        </is>
      </c>
      <c r="N11242" s="11">
        <f>HYPERLINK("https://www.vietnamworks.com/supply-chain-process-officer-japanese-english-2006418-jv","Xem chi tiết")</f>
        <v/>
      </c>
      <c r="O11242" s="10" t="n"/>
    </row>
    <row r="11243">
      <c r="B11243" s="7" t="n">
        <v>11241</v>
      </c>
      <c r="C11243" t="inlineStr">
        <is>
          <t>Virtual Technical Design (3D)</t>
        </is>
      </c>
      <c r="D11243" t="inlineStr">
        <is>
          <t>Sae-A Vietnam Company Limited</t>
        </is>
      </c>
      <c r="E11243" t="inlineStr">
        <is>
          <t>10tr-12tr ₫/tháng</t>
        </is>
      </c>
      <c r="F11243" t="inlineStr">
        <is>
          <t>Hồ Chí Minh</t>
        </is>
      </c>
      <c r="G11243" t="inlineStr">
        <is>
          <t>Mới Tốt Nghiệp</t>
        </is>
      </c>
      <c r="H11243" t="inlineStr">
        <is>
          <t>27/01/2026</t>
        </is>
      </c>
      <c r="I11243" t="inlineStr">
        <is>
          <t>15/04/2026</t>
        </is>
      </c>
      <c r="J11243" t="inlineStr">
        <is>
          <t>17/03/2026</t>
        </is>
      </c>
      <c r="K11243" t="inlineStr">
        <is>
          <t>N/A</t>
        </is>
      </c>
      <c r="L11243" t="inlineStr">
        <is>
          <t>3D Design, Fashion Design, Fashion Garment, Virtual Design, Clo</t>
        </is>
      </c>
      <c r="M11243" t="inlineStr">
        <is>
          <t>Bonus, Healthcare Plan, Training, Others</t>
        </is>
      </c>
      <c r="N11243" s="8">
        <f>HYPERLINK("https://www.vietnamworks.com/virtual-technical-design-3d-2006653-jv","Xem chi tiết")</f>
        <v/>
      </c>
    </row>
    <row r="11244">
      <c r="B11244" s="9" t="n">
        <v>11242</v>
      </c>
      <c r="C11244" s="10" t="inlineStr">
        <is>
          <t>Office Admin – Cantonese Or Mandarin Required</t>
        </is>
      </c>
      <c r="D11244" s="10" t="inlineStr">
        <is>
          <t>Vina Biocare VN</t>
        </is>
      </c>
      <c r="E11244" s="10" t="inlineStr">
        <is>
          <t>13tr-15tr ₫/tháng</t>
        </is>
      </c>
      <c r="F11244" s="10" t="inlineStr">
        <is>
          <t>Hồ Chí Minh</t>
        </is>
      </c>
      <c r="G11244" s="10" t="inlineStr">
        <is>
          <t>Nhân viên</t>
        </is>
      </c>
      <c r="H11244" s="10" t="inlineStr">
        <is>
          <t>27/01/2026</t>
        </is>
      </c>
      <c r="I11244" s="10" t="inlineStr">
        <is>
          <t>15/04/2026</t>
        </is>
      </c>
      <c r="J11244" s="10" t="inlineStr">
        <is>
          <t>17/03/2026</t>
        </is>
      </c>
      <c r="K11244" s="10" t="inlineStr">
        <is>
          <t>N/A</t>
        </is>
      </c>
      <c r="L11244" s="10" t="inlineStr">
        <is>
          <t>Administrative Support, Document Management, Communication Skills, Client Onboarding, Business Administration</t>
        </is>
      </c>
      <c r="M11244" s="10" t="inlineStr">
        <is>
          <t>Bonus, Healthcare Plan, Paid Leave, Laptop, Transportation, Others</t>
        </is>
      </c>
      <c r="N11244" s="11">
        <f>HYPERLINK("https://www.vietnamworks.com/office-admin-cantonese-or-mandarin-required-2006673-jv","Xem chi tiết")</f>
        <v/>
      </c>
      <c r="O11244" s="10" t="n"/>
    </row>
    <row r="11245">
      <c r="B11245" s="7" t="n">
        <v>11243</v>
      </c>
      <c r="C11245" t="inlineStr">
        <is>
          <t>Giám Đốc Nghiên Cứu và Phát Triển (R&amp;D)</t>
        </is>
      </c>
      <c r="D11245" t="inlineStr">
        <is>
          <t>Công Ty TNHH Đầu Tư Ứng Dụng Sản Xuất Bao Bì Việt</t>
        </is>
      </c>
      <c r="E11245" t="inlineStr">
        <is>
          <t>45tr-60tr ₫/tháng</t>
        </is>
      </c>
      <c r="F11245" t="inlineStr">
        <is>
          <t>Hưng Yên</t>
        </is>
      </c>
      <c r="G11245" t="inlineStr">
        <is>
          <t>Giám Đốc và Cấp Cao Hơn</t>
        </is>
      </c>
      <c r="H11245" t="inlineStr">
        <is>
          <t>27/01/2026</t>
        </is>
      </c>
      <c r="I11245" t="inlineStr">
        <is>
          <t>15/04/2026</t>
        </is>
      </c>
      <c r="J11245" t="inlineStr">
        <is>
          <t>17/03/2026</t>
        </is>
      </c>
      <c r="K11245" t="inlineStr">
        <is>
          <t>N/A</t>
        </is>
      </c>
      <c r="L11245" t="inlineStr">
        <is>
          <t>Chiến Lược Sản Phẩm, Lãnh Đạo, Nghiên Cứu Phân Tích, Phân Tích Xu Hướng Thị Trường, Thuyết Phục Đàm Phán</t>
        </is>
      </c>
      <c r="M11245" t="inlineStr">
        <is>
          <t>Bonus, Laptop, Transportation, Others</t>
        </is>
      </c>
      <c r="N11245" s="8">
        <f>HYPERLINK("https://www.vietnamworks.com/giam-djoc-nghien-cuu-va-phat-trien-randd-2006750-jv","Xem chi tiết")</f>
        <v/>
      </c>
    </row>
    <row r="11246">
      <c r="B11246" s="9" t="n">
        <v>11244</v>
      </c>
      <c r="C11246" s="10" t="inlineStr">
        <is>
          <t>Medical Device Sales Executive</t>
        </is>
      </c>
      <c r="D11246" s="10" t="inlineStr">
        <is>
          <t>Vina Biocare VN</t>
        </is>
      </c>
      <c r="E11246" s="10" t="inlineStr">
        <is>
          <t>8tr-10tr ₫/tháng</t>
        </is>
      </c>
      <c r="F11246" s="10" t="inlineStr">
        <is>
          <t>Hồ Chí Minh</t>
        </is>
      </c>
      <c r="G11246" s="10" t="inlineStr">
        <is>
          <t>Nhân viên</t>
        </is>
      </c>
      <c r="H11246" s="10" t="inlineStr">
        <is>
          <t>27/01/2026</t>
        </is>
      </c>
      <c r="I11246" s="10" t="inlineStr">
        <is>
          <t>15/04/2026</t>
        </is>
      </c>
      <c r="J11246" s="10" t="inlineStr">
        <is>
          <t>17/03/2026</t>
        </is>
      </c>
      <c r="K11246" s="10" t="inlineStr">
        <is>
          <t>N/A</t>
        </is>
      </c>
      <c r="L11246" s="10" t="inlineStr">
        <is>
          <t>Kinh Doanh, Thiết Bị Y Tế, B2B Sales, Negotiation, Quan Hệ Khách Hàng</t>
        </is>
      </c>
      <c r="M11246" s="10" t="inlineStr">
        <is>
          <t>Bonus, Healthcare Plan, Paid Leave, Training, Laptop, Transportation, Others</t>
        </is>
      </c>
      <c r="N11246" s="11">
        <f>HYPERLINK("https://www.vietnamworks.com/medical-device-sales-executive-2006676-jv","Xem chi tiết")</f>
        <v/>
      </c>
      <c r="O11246" s="10" t="n"/>
    </row>
    <row r="11247">
      <c r="B11247" s="7" t="n">
        <v>11245</v>
      </c>
      <c r="C11247" t="inlineStr">
        <is>
          <t>General Accountant - Kế Toán</t>
        </is>
      </c>
      <c r="D11247" t="inlineStr">
        <is>
          <t>CÔNG TY TNHH HITRUST</t>
        </is>
      </c>
      <c r="E11247" t="inlineStr">
        <is>
          <t>15tr-25tr ₫/tháng</t>
        </is>
      </c>
      <c r="F11247" t="inlineStr">
        <is>
          <t>Hà Nội</t>
        </is>
      </c>
      <c r="G11247" t="inlineStr">
        <is>
          <t>Trưởng phòng</t>
        </is>
      </c>
      <c r="H11247" t="inlineStr">
        <is>
          <t>27/01/2026</t>
        </is>
      </c>
      <c r="I11247" t="inlineStr">
        <is>
          <t>15/04/2026</t>
        </is>
      </c>
      <c r="J11247" t="inlineStr">
        <is>
          <t>17/03/2026</t>
        </is>
      </c>
      <c r="K11247" t="inlineStr">
        <is>
          <t>N/A</t>
        </is>
      </c>
      <c r="L11247" t="inlineStr">
        <is>
          <t>Administration, Financial Report, Payroll, Tax Declaration, Tax Filing</t>
        </is>
      </c>
      <c r="M11247" t="inlineStr">
        <is>
          <t>Bonus, Paid Leave, Training, Laptop, Travel Opportunities, Others</t>
        </is>
      </c>
      <c r="N11247" s="8">
        <f>HYPERLINK("https://www.vietnamworks.com/general-accountant-ke-toan-2006660-jv","Xem chi tiết")</f>
        <v/>
      </c>
    </row>
    <row r="11248">
      <c r="B11248" s="9" t="n">
        <v>11246</v>
      </c>
      <c r="C11248" s="10" t="inlineStr">
        <is>
          <t>Garment Merchandiser</t>
        </is>
      </c>
      <c r="D11248" s="10" t="inlineStr">
        <is>
          <t>Sae-A Vietnam Company Limited</t>
        </is>
      </c>
      <c r="E11248" s="10" t="inlineStr">
        <is>
          <t>$$ 500-1,000 /tháng</t>
        </is>
      </c>
      <c r="F11248" s="10" t="inlineStr">
        <is>
          <t>Hồ Chí Minh</t>
        </is>
      </c>
      <c r="G11248" s="10" t="inlineStr">
        <is>
          <t>Nhân viên</t>
        </is>
      </c>
      <c r="H11248" s="10" t="inlineStr">
        <is>
          <t>27/01/2026</t>
        </is>
      </c>
      <c r="I11248" s="10" t="inlineStr">
        <is>
          <t>15/04/2026</t>
        </is>
      </c>
      <c r="J11248" s="10" t="inlineStr">
        <is>
          <t>17/03/2026</t>
        </is>
      </c>
      <c r="K11248" s="10" t="inlineStr">
        <is>
          <t>N/A</t>
        </is>
      </c>
      <c r="L11248" s="10" t="inlineStr">
        <is>
          <t>Bulk Production, Garment Sewing, Garment Sourcing, Order Management, Merchandising</t>
        </is>
      </c>
      <c r="M11248" s="10" t="inlineStr">
        <is>
          <t>Bonus, Healthcare Plan, Others</t>
        </is>
      </c>
      <c r="N11248" s="11">
        <f>HYPERLINK("https://www.vietnamworks.com/garment-merchandiser-2006652-jv","Xem chi tiết")</f>
        <v/>
      </c>
      <c r="O11248" s="10" t="n"/>
    </row>
    <row r="11249">
      <c r="B11249" s="7" t="n">
        <v>11247</v>
      </c>
      <c r="C11249" t="inlineStr">
        <is>
          <t>Nhân Viên Mua Hàng</t>
        </is>
      </c>
      <c r="D11249" t="inlineStr">
        <is>
          <t>INOAC Vietnam CO., LTD.</t>
        </is>
      </c>
      <c r="E11249" t="inlineStr">
        <is>
          <t>Thương lượng</t>
        </is>
      </c>
      <c r="F11249" t="inlineStr">
        <is>
          <t>Hà Nội</t>
        </is>
      </c>
      <c r="G11249" t="inlineStr">
        <is>
          <t>Nhân viên</t>
        </is>
      </c>
      <c r="H11249" t="inlineStr">
        <is>
          <t>27/01/2026</t>
        </is>
      </c>
      <c r="I11249" t="inlineStr">
        <is>
          <t>15/04/2026</t>
        </is>
      </c>
      <c r="J11249" t="inlineStr">
        <is>
          <t>17/03/2026</t>
        </is>
      </c>
      <c r="K11249" t="inlineStr">
        <is>
          <t>N/A</t>
        </is>
      </c>
      <c r="L11249" t="inlineStr">
        <is>
          <t>Xuất Nhập Khẩu, Mua Hàng, Tiếng Anh, Purchase Management, Excel</t>
        </is>
      </c>
      <c r="M11249" t="inlineStr">
        <is>
          <t>Bonus, Training, Transportation</t>
        </is>
      </c>
      <c r="N11249" s="8">
        <f>HYPERLINK("https://www.vietnamworks.com/nhan-vien-mua-hang--2006727-jv","Xem chi tiết")</f>
        <v/>
      </c>
    </row>
    <row r="11250">
      <c r="B11250" s="9" t="n">
        <v>11248</v>
      </c>
      <c r="C11250" s="10" t="inlineStr">
        <is>
          <t>Chuyên Viên Quản Trị Nguồn Nhân Lực (HRBP)</t>
        </is>
      </c>
      <c r="D11250" s="10" t="inlineStr">
        <is>
          <t>Vietnamworks' Client</t>
        </is>
      </c>
      <c r="E11250" s="10" t="inlineStr">
        <is>
          <t>$$ 10tr-15tr /tháng</t>
        </is>
      </c>
      <c r="F11250" s="10" t="inlineStr">
        <is>
          <t>Bến Tre</t>
        </is>
      </c>
      <c r="G11250" s="10" t="inlineStr">
        <is>
          <t>Nhân viên</t>
        </is>
      </c>
      <c r="H11250" s="10" t="inlineStr">
        <is>
          <t>27/01/2026</t>
        </is>
      </c>
      <c r="I11250" s="10" t="inlineStr">
        <is>
          <t>15/04/2026</t>
        </is>
      </c>
      <c r="J11250" s="10" t="inlineStr">
        <is>
          <t>17/03/2026</t>
        </is>
      </c>
      <c r="K11250" s="10" t="inlineStr">
        <is>
          <t>N/A</t>
        </is>
      </c>
      <c r="L11250" s="10" t="inlineStr">
        <is>
          <t>Giao Tiếp Đàm Phán, HRBP, Quản Lý Nhân Sự, Quản Trị Nhân Lực, Tuyển Dụng</t>
        </is>
      </c>
      <c r="M11250" s="10" t="inlineStr">
        <is>
          <t>Bonus, Training, Others</t>
        </is>
      </c>
      <c r="N11250" s="11">
        <f>HYPERLINK("https://www.vietnamworks.com/chuyen-vien-quan-tri-nguon-nhan-luc-hrbp-2006719-jv","Xem chi tiết")</f>
        <v/>
      </c>
      <c r="O11250" s="10" t="n"/>
    </row>
    <row r="11251">
      <c r="B11251" s="7" t="n">
        <v>11249</v>
      </c>
      <c r="C11251" t="inlineStr">
        <is>
          <t>Technical Designer</t>
        </is>
      </c>
      <c r="D11251" t="inlineStr">
        <is>
          <t>Sae-A Vietnam Company Limited</t>
        </is>
      </c>
      <c r="E11251" t="inlineStr">
        <is>
          <t>$$ 600-1,500 /tháng</t>
        </is>
      </c>
      <c r="F11251" t="inlineStr">
        <is>
          <t>Hồ Chí Minh</t>
        </is>
      </c>
      <c r="G11251" t="inlineStr">
        <is>
          <t>Nhân viên</t>
        </is>
      </c>
      <c r="H11251" t="inlineStr">
        <is>
          <t>27/01/2026</t>
        </is>
      </c>
      <c r="I11251" t="inlineStr">
        <is>
          <t>15/04/2026</t>
        </is>
      </c>
      <c r="J11251" t="inlineStr">
        <is>
          <t>17/03/2026</t>
        </is>
      </c>
      <c r="K11251" t="inlineStr">
        <is>
          <t>N/A</t>
        </is>
      </c>
      <c r="L11251" t="inlineStr">
        <is>
          <t>Design, Garment Technical Design, CAD Technology, Garment Sample, Technical Design (2D AutoCAD)</t>
        </is>
      </c>
      <c r="M11251" t="inlineStr">
        <is>
          <t>Bonus, Team Activities, Others</t>
        </is>
      </c>
      <c r="N11251" s="8">
        <f>HYPERLINK("https://www.vietnamworks.com/technical-designer-2006881-jv","Xem chi tiết")</f>
        <v/>
      </c>
    </row>
    <row r="11252">
      <c r="B11252" s="9" t="n">
        <v>11250</v>
      </c>
      <c r="C11252" s="10" t="inlineStr">
        <is>
          <t>Sales Training Supervisor</t>
        </is>
      </c>
      <c r="D11252" s="10" t="inlineStr">
        <is>
          <t>Shinhan Vietnam Finance Company Limited</t>
        </is>
      </c>
      <c r="E11252" s="10" t="inlineStr">
        <is>
          <t>Thương lượng</t>
        </is>
      </c>
      <c r="F11252" s="10" t="inlineStr">
        <is>
          <t>Hồ Chí Minh</t>
        </is>
      </c>
      <c r="G11252" s="10" t="inlineStr">
        <is>
          <t>Nhân viên</t>
        </is>
      </c>
      <c r="H11252" s="10" t="inlineStr">
        <is>
          <t>27/01/2026</t>
        </is>
      </c>
      <c r="I11252" s="10" t="inlineStr">
        <is>
          <t>15/04/2026</t>
        </is>
      </c>
      <c r="J11252" s="10" t="inlineStr">
        <is>
          <t>17/03/2026</t>
        </is>
      </c>
      <c r="K11252" s="10" t="inlineStr">
        <is>
          <t>N/A</t>
        </is>
      </c>
      <c r="L11252" s="10" t="inlineStr">
        <is>
          <t>N/A</t>
        </is>
      </c>
      <c r="M11252" s="10" t="inlineStr">
        <is>
          <t>Healthcare Plan, Paid Leave, Library, Laptop, Travel Opportunities, Canteen</t>
        </is>
      </c>
      <c r="N11252" s="11">
        <f>HYPERLINK("https://www.vietnamworks.com/sales-training-supervisor-2006701-jv","Xem chi tiết")</f>
        <v/>
      </c>
      <c r="O11252" s="10" t="n"/>
    </row>
    <row r="11253">
      <c r="B11253" s="7" t="n">
        <v>11251</v>
      </c>
      <c r="C11253" t="inlineStr">
        <is>
          <t>Quản lý Kho (Chuyên về Sản xuất)</t>
        </is>
      </c>
      <c r="D11253" t="inlineStr">
        <is>
          <t>Công ty cổ phần Trang (TrangCorp)</t>
        </is>
      </c>
      <c r="E11253" t="inlineStr">
        <is>
          <t>Thương lượng</t>
        </is>
      </c>
      <c r="F11253" t="inlineStr">
        <is>
          <t>Hồ Chí Minh</t>
        </is>
      </c>
      <c r="G11253" t="inlineStr">
        <is>
          <t>Trưởng phòng</t>
        </is>
      </c>
      <c r="H11253" t="inlineStr">
        <is>
          <t>27/01/2026</t>
        </is>
      </c>
      <c r="I11253" t="inlineStr">
        <is>
          <t>15/04/2026</t>
        </is>
      </c>
      <c r="J11253" t="inlineStr">
        <is>
          <t>17/03/2026</t>
        </is>
      </c>
      <c r="K11253" t="inlineStr">
        <is>
          <t>N/A</t>
        </is>
      </c>
      <c r="L11253" t="inlineStr">
        <is>
          <t>An Toàn Lao Động, Giải Quyết Vấn Đề, Làm Việc Kho, Quản Lý Nhân Sự, Quản Lý Tài Sản</t>
        </is>
      </c>
      <c r="M11253" t="inlineStr">
        <is>
          <t>Healthcare Plan, Paid Leave, Training, Travel Opportunities</t>
        </is>
      </c>
      <c r="N11253" s="8">
        <f>HYPERLINK("https://www.vietnamworks.com/quan-ly-kho-chuyen-ve-san-xuat-2006788-jv","Xem chi tiết")</f>
        <v/>
      </c>
    </row>
    <row r="11254">
      <c r="B11254" s="9" t="n">
        <v>11252</v>
      </c>
      <c r="C11254" s="10" t="inlineStr">
        <is>
          <t>Chuyên Viên Thẩm Định / Validation Specialist</t>
        </is>
      </c>
      <c r="D11254" s="10" t="inlineStr">
        <is>
          <t>CÔNG TY CỔ PHẦN DƯỢC PHẨM ĐẠT VI PHÚ (DAVIPHARM)</t>
        </is>
      </c>
      <c r="E11254" s="10" t="inlineStr">
        <is>
          <t>Thương lượng</t>
        </is>
      </c>
      <c r="F11254" s="10" t="inlineStr">
        <is>
          <t>Hồ Chí Minh</t>
        </is>
      </c>
      <c r="G11254" s="10" t="inlineStr">
        <is>
          <t>Nhân viên</t>
        </is>
      </c>
      <c r="H11254" s="10" t="inlineStr">
        <is>
          <t>27/01/2026</t>
        </is>
      </c>
      <c r="I11254" s="10" t="inlineStr">
        <is>
          <t>15/04/2026</t>
        </is>
      </c>
      <c r="J11254" s="10" t="inlineStr">
        <is>
          <t>17/03/2026</t>
        </is>
      </c>
      <c r="K11254" s="10" t="inlineStr">
        <is>
          <t>N/A</t>
        </is>
      </c>
      <c r="L11254" s="10" t="inlineStr">
        <is>
          <t>Pharmaceutical Law, Thẩm Định, Validation, Dược Phẩm, Pharmacy</t>
        </is>
      </c>
      <c r="M11254" s="10" t="inlineStr">
        <is>
          <t>Bonus, Training, Transportation</t>
        </is>
      </c>
      <c r="N11254" s="11">
        <f>HYPERLINK("https://www.vietnamworks.com/chuyen-vien-tham-djinh-validation-specialist-2006895-jv","Xem chi tiết")</f>
        <v/>
      </c>
      <c r="O11254" s="10" t="n"/>
    </row>
    <row r="11255">
      <c r="B11255" s="7" t="n">
        <v>11253</v>
      </c>
      <c r="C11255" t="inlineStr">
        <is>
          <t>Kỹ Sư Xây Dựng Nhà Xưởng, Thiết Kế Và Bóc Tách Khối Lượng</t>
        </is>
      </c>
      <c r="D11255" t="inlineStr">
        <is>
          <t>CÔNG TY TNHH AN E&amp;C GROUP</t>
        </is>
      </c>
      <c r="E11255" t="inlineStr">
        <is>
          <t>15tr-30tr ₫/tháng</t>
        </is>
      </c>
      <c r="F11255" t="inlineStr">
        <is>
          <t>Bắc Ninh</t>
        </is>
      </c>
      <c r="G11255" t="inlineStr">
        <is>
          <t>Nhân viên</t>
        </is>
      </c>
      <c r="H11255" t="inlineStr">
        <is>
          <t>27/01/2026</t>
        </is>
      </c>
      <c r="I11255" t="inlineStr">
        <is>
          <t>15/04/2026</t>
        </is>
      </c>
      <c r="J11255" t="inlineStr">
        <is>
          <t>17/03/2026</t>
        </is>
      </c>
      <c r="K11255" t="inlineStr">
        <is>
          <t>N/A</t>
        </is>
      </c>
      <c r="L11255" t="inlineStr">
        <is>
          <t>Autocad, Civil engineer, Quản Lý Chi Phí, Sketchup, Xây Dựng</t>
        </is>
      </c>
      <c r="M11255" t="inlineStr">
        <is>
          <t>Bonus, Healthcare Plan, Paid Leave, Team Activities, Others</t>
        </is>
      </c>
      <c r="N11255" s="8">
        <f>HYPERLINK("https://www.vietnamworks.com/ky-su-xay-dung-nha-xuong-thiet-ke-va-boc-tach-khoi-luong-2006958-jv","Xem chi tiết")</f>
        <v/>
      </c>
    </row>
    <row r="11256">
      <c r="B11256" s="9" t="n">
        <v>11254</v>
      </c>
      <c r="C11256" s="10" t="inlineStr">
        <is>
          <t>Financial Planning Officer - 1 Year contract</t>
        </is>
      </c>
      <c r="D11256" s="10" t="inlineStr">
        <is>
          <t>Shinhan Vietnam Finance Company Limited</t>
        </is>
      </c>
      <c r="E11256" s="10" t="inlineStr">
        <is>
          <t>Thương lượng</t>
        </is>
      </c>
      <c r="F11256" s="10" t="inlineStr">
        <is>
          <t>Hồ Chí Minh</t>
        </is>
      </c>
      <c r="G11256" s="10" t="inlineStr">
        <is>
          <t>Nhân viên</t>
        </is>
      </c>
      <c r="H11256" s="10" t="inlineStr">
        <is>
          <t>27/01/2026</t>
        </is>
      </c>
      <c r="I11256" s="10" t="inlineStr">
        <is>
          <t>15/04/2026</t>
        </is>
      </c>
      <c r="J11256" s="10" t="inlineStr">
        <is>
          <t>17/03/2026</t>
        </is>
      </c>
      <c r="K11256" s="10" t="inlineStr">
        <is>
          <t>N/A</t>
        </is>
      </c>
      <c r="L11256" s="10" t="inlineStr">
        <is>
          <t>Budget Management, Communication Skills, Financial Analysis, MS Office, SAS</t>
        </is>
      </c>
      <c r="M11256" s="10" t="inlineStr">
        <is>
          <t>Paid Leave, Library, Travel Opportunities, Canteen</t>
        </is>
      </c>
      <c r="N11256" s="11">
        <f>HYPERLINK("https://www.vietnamworks.com/financial-planning-officer-1-year-contract-2006690-jv","Xem chi tiết")</f>
        <v/>
      </c>
      <c r="O11256" s="10" t="n"/>
    </row>
    <row r="11257">
      <c r="B11257" s="7" t="n">
        <v>11255</v>
      </c>
      <c r="C11257" t="inlineStr">
        <is>
          <t>Chuyên Viên Thanh Quyết Toán Cơ Điện (M&amp;E)</t>
        </is>
      </c>
      <c r="D11257" t="inlineStr">
        <is>
          <t>Công Ty Cổ Phần Thaiholdings</t>
        </is>
      </c>
      <c r="E11257" t="inlineStr">
        <is>
          <t>Thương lượng</t>
        </is>
      </c>
      <c r="F11257" t="inlineStr">
        <is>
          <t>Hà Nội</t>
        </is>
      </c>
      <c r="G11257" t="inlineStr">
        <is>
          <t>Nhân viên</t>
        </is>
      </c>
      <c r="H11257" t="inlineStr">
        <is>
          <t>27/01/2026</t>
        </is>
      </c>
      <c r="I11257" t="inlineStr">
        <is>
          <t>15/04/2026</t>
        </is>
      </c>
      <c r="J11257" t="inlineStr">
        <is>
          <t>17/03/2026</t>
        </is>
      </c>
      <c r="K11257" t="inlineStr">
        <is>
          <t>N/A</t>
        </is>
      </c>
      <c r="L11257" t="inlineStr">
        <is>
          <t>Trung thực, CÓ trách nhiệm với công việc, Cẩn Thận</t>
        </is>
      </c>
      <c r="M11257" t="inlineStr">
        <is>
          <t>Bonus, Healthcare Plan, Team Activities</t>
        </is>
      </c>
      <c r="N11257" s="8">
        <f>HYPERLINK("https://www.vietnamworks.com/chuyen-vien-thanh-quyet-toan-co-dien-m-e--2006709-jv","Xem chi tiết")</f>
        <v/>
      </c>
    </row>
    <row r="11258">
      <c r="B11258" s="9" t="n">
        <v>11256</v>
      </c>
      <c r="C11258" s="10" t="inlineStr">
        <is>
          <t>Telemarketing Sales Medical Devices</t>
        </is>
      </c>
      <c r="D11258" s="10" t="inlineStr">
        <is>
          <t>Vina Biocare VN</t>
        </is>
      </c>
      <c r="E11258" s="10" t="inlineStr">
        <is>
          <t>8tr-20tr ₫/tháng</t>
        </is>
      </c>
      <c r="F11258" s="10" t="inlineStr">
        <is>
          <t>Hồ Chí Minh</t>
        </is>
      </c>
      <c r="G11258" s="10" t="inlineStr">
        <is>
          <t>Nhân viên</t>
        </is>
      </c>
      <c r="H11258" s="10" t="inlineStr">
        <is>
          <t>27/01/2026</t>
        </is>
      </c>
      <c r="I11258" s="10" t="inlineStr">
        <is>
          <t>15/04/2026</t>
        </is>
      </c>
      <c r="J11258" s="10" t="inlineStr">
        <is>
          <t>17/03/2026</t>
        </is>
      </c>
      <c r="K11258" s="10" t="inlineStr">
        <is>
          <t>N/A</t>
        </is>
      </c>
      <c r="L11258" s="10" t="inlineStr">
        <is>
          <t>Customer Service, Telesales, telemaketing, Bán Hàng, Tư Vấn</t>
        </is>
      </c>
      <c r="M11258" s="10" t="inlineStr">
        <is>
          <t>Bonus, Healthcare Plan, Paid Leave, Training, Laptop, Team Activities, Transportation</t>
        </is>
      </c>
      <c r="N11258" s="11">
        <f>HYPERLINK("https://www.vietnamworks.com/telemarketing-sales-medical-devices-2006681-jv","Xem chi tiết")</f>
        <v/>
      </c>
      <c r="O11258" s="10" t="n"/>
    </row>
    <row r="11259">
      <c r="B11259" s="7" t="n">
        <v>11257</v>
      </c>
      <c r="C11259" t="inlineStr">
        <is>
          <t>Tổng Giám Đốc - Công Ty Thi Công Cơ Giới</t>
        </is>
      </c>
      <c r="D11259" t="inlineStr">
        <is>
          <t>Công Ty Cổ Phần Tập Đoàn Sunshine</t>
        </is>
      </c>
      <c r="E11259" t="inlineStr">
        <is>
          <t>Thương lượng</t>
        </is>
      </c>
      <c r="F11259" t="inlineStr">
        <is>
          <t>Hà Nội</t>
        </is>
      </c>
      <c r="G11259" t="inlineStr">
        <is>
          <t>Giám Đốc và Cấp Cao Hơn</t>
        </is>
      </c>
      <c r="H11259" t="inlineStr">
        <is>
          <t>27/01/2026</t>
        </is>
      </c>
      <c r="I11259" t="inlineStr">
        <is>
          <t>15/04/2026</t>
        </is>
      </c>
      <c r="J11259" t="inlineStr">
        <is>
          <t>17/03/2026</t>
        </is>
      </c>
      <c r="K11259" t="inlineStr">
        <is>
          <t>N/A</t>
        </is>
      </c>
      <c r="L11259" t="inlineStr">
        <is>
          <t>Quản Lý Máy Móc, Quản Trị Vận Hành, Thi Công Hạ Tầng, Điều Hành, Chiến lược phát Triển</t>
        </is>
      </c>
      <c r="M11259" t="inlineStr">
        <is>
          <t>Bonus, Healthcare Plan, Others</t>
        </is>
      </c>
      <c r="N11259" s="8">
        <f>HYPERLINK("https://www.vietnamworks.com/tong-giam-djoc-cong-ty-thi-cong-co-gioi-2006617-jv","Xem chi tiết")</f>
        <v/>
      </c>
    </row>
    <row r="11260">
      <c r="B11260" s="9" t="n">
        <v>11258</v>
      </c>
      <c r="C11260" s="10" t="inlineStr">
        <is>
          <t>Giám Sát Xây Dựng / Construction Supervisor (Làm Việc Tại Trung Quốc)</t>
        </is>
      </c>
      <c r="D11260" s="10" t="inlineStr">
        <is>
          <t>Viet Uc Seafood Corporation</t>
        </is>
      </c>
      <c r="E11260" s="10" t="inlineStr">
        <is>
          <t>Thương lượng</t>
        </is>
      </c>
      <c r="F11260" s="10" t="inlineStr">
        <is>
          <t>Quốc tế</t>
        </is>
      </c>
      <c r="G11260" s="10" t="inlineStr">
        <is>
          <t>Nhân viên</t>
        </is>
      </c>
      <c r="H11260" s="10" t="inlineStr">
        <is>
          <t>27/01/2026</t>
        </is>
      </c>
      <c r="I11260" s="10" t="inlineStr">
        <is>
          <t>15/04/2026</t>
        </is>
      </c>
      <c r="J11260" s="10" t="inlineStr">
        <is>
          <t>17/03/2026</t>
        </is>
      </c>
      <c r="K11260" s="10" t="inlineStr">
        <is>
          <t>N/A</t>
        </is>
      </c>
      <c r="L11260" s="10" t="inlineStr">
        <is>
          <t>Hướng Dẫn Thi Công, công trình, Thi Công, Tiếng Hoa</t>
        </is>
      </c>
      <c r="M11260" s="10" t="inlineStr">
        <is>
          <t>Bonus, Training, Others</t>
        </is>
      </c>
      <c r="N11260" s="11">
        <f>HYPERLINK("https://www.vietnamworks.com/giam-sat-xay-dung-construction-supervisor-lam-viec-tai-trung-quoc-2006706-jv","Xem chi tiết")</f>
        <v/>
      </c>
      <c r="O11260" s="10" t="n"/>
    </row>
    <row r="11261">
      <c r="B11261" s="7" t="n">
        <v>11259</v>
      </c>
      <c r="C11261" t="inlineStr">
        <is>
          <t>Chuyên Viên Khai Báo Hải Quan</t>
        </is>
      </c>
      <c r="D11261" t="inlineStr">
        <is>
          <t>Công ty TNHH VNFT GROUP</t>
        </is>
      </c>
      <c r="E11261" t="inlineStr">
        <is>
          <t>10tr-14tr ₫/tháng</t>
        </is>
      </c>
      <c r="F11261" t="inlineStr">
        <is>
          <t>Hà Nội, Hồ Chí Minh</t>
        </is>
      </c>
      <c r="G11261" t="inlineStr">
        <is>
          <t>Nhân viên</t>
        </is>
      </c>
      <c r="H11261" t="inlineStr">
        <is>
          <t>27/01/2026</t>
        </is>
      </c>
      <c r="I11261" t="inlineStr">
        <is>
          <t>15/04/2026</t>
        </is>
      </c>
      <c r="J11261" t="inlineStr">
        <is>
          <t>17/03/2026</t>
        </is>
      </c>
      <c r="K11261" t="inlineStr">
        <is>
          <t>N/A</t>
        </is>
      </c>
      <c r="L11261" t="inlineStr">
        <is>
          <t>Chứng Từ Hải Quan, Kho Vận, Tiếng Anh, Tư Vấn Giải Pháp, Xử Lý Khiếu Nại</t>
        </is>
      </c>
      <c r="M11261" t="inlineStr">
        <is>
          <t>Bonus, Healthcare Plan, Paid Leave, Awards, Laptop, Team Activities</t>
        </is>
      </c>
      <c r="N11261" s="8">
        <f>HYPERLINK("https://www.vietnamworks.com/chuyen-vien-khai-bao-hai-quan-2006905-jv","Xem chi tiết")</f>
        <v/>
      </c>
    </row>
    <row r="11262">
      <c r="B11262" s="9" t="n">
        <v>11260</v>
      </c>
      <c r="C11262" s="10" t="inlineStr">
        <is>
          <t>Chuyên Viên Tư Vấn Tài Chính - Kênh Liên Doanh Ngân Hàng BIDV</t>
        </is>
      </c>
      <c r="D11262" s="10" t="inlineStr">
        <is>
          <t>BIDV MetLife</t>
        </is>
      </c>
      <c r="E11262" s="10" t="inlineStr">
        <is>
          <t>$$ 400-1,000 /tháng</t>
        </is>
      </c>
      <c r="F11262" s="10" t="inlineStr">
        <is>
          <t>Hồ Chí Minh, Đồng Nai, Hà Nội</t>
        </is>
      </c>
      <c r="G11262" s="10" t="inlineStr">
        <is>
          <t>Nhân viên</t>
        </is>
      </c>
      <c r="H11262" s="10" t="inlineStr">
        <is>
          <t>27/01/2026</t>
        </is>
      </c>
      <c r="I11262" s="10" t="inlineStr">
        <is>
          <t>15/04/2026</t>
        </is>
      </c>
      <c r="J11262" s="10" t="inlineStr">
        <is>
          <t>17/03/2026</t>
        </is>
      </c>
      <c r="K11262" s="10" t="inlineStr">
        <is>
          <t>N/A</t>
        </is>
      </c>
      <c r="L11262" s="10" t="inlineStr">
        <is>
          <t>Bảo Hiểm, Tư Vấn Tài Chính, Bất Động Sản, Xây Dựng Mối Quan Hệ, Lập Kế Hoạch Kinh Doanh</t>
        </is>
      </c>
      <c r="M11262" s="10" t="inlineStr">
        <is>
          <t>Bonus, Training, Awards</t>
        </is>
      </c>
      <c r="N11262" s="11">
        <f>HYPERLINK("https://www.vietnamworks.com/chuyen-vien-tu-van-tai-chinh-kenh-lien-doanh-ngan-hang-bidv--2006689-jv","Xem chi tiết")</f>
        <v/>
      </c>
      <c r="O11262" s="10" t="n"/>
    </row>
    <row r="11263">
      <c r="B11263" s="7" t="n">
        <v>11261</v>
      </c>
      <c r="C11263" t="inlineStr">
        <is>
          <t>Kế Toán Trưởng</t>
        </is>
      </c>
      <c r="D11263" t="inlineStr">
        <is>
          <t>CÔNG TY TNHH AN E&amp;C GROUP</t>
        </is>
      </c>
      <c r="E11263" t="inlineStr">
        <is>
          <t>Thương lượng</t>
        </is>
      </c>
      <c r="F11263" t="inlineStr">
        <is>
          <t>Bắc Ninh</t>
        </is>
      </c>
      <c r="G11263" t="inlineStr">
        <is>
          <t>Trưởng phòng</t>
        </is>
      </c>
      <c r="H11263" t="inlineStr">
        <is>
          <t>27/01/2026</t>
        </is>
      </c>
      <c r="I11263" t="inlineStr">
        <is>
          <t>15/04/2026</t>
        </is>
      </c>
      <c r="J11263" t="inlineStr">
        <is>
          <t>17/03/2026</t>
        </is>
      </c>
      <c r="K11263" t="inlineStr">
        <is>
          <t>N/A</t>
        </is>
      </c>
      <c r="L11263" t="inlineStr">
        <is>
          <t>kế toán trưởng, Kế toán &amp; Tài chính, Thuế, Kế Toán Tổng Hợp, Công nợ khách hàng</t>
        </is>
      </c>
      <c r="M11263" t="inlineStr">
        <is>
          <t>Bonus, Healthcare Plan, Paid Leave, Team Activities, Others</t>
        </is>
      </c>
      <c r="N11263" s="8">
        <f>HYPERLINK("https://www.vietnamworks.com/ke-toan-truong-2006961-jv","Xem chi tiết")</f>
        <v/>
      </c>
    </row>
    <row r="11264">
      <c r="B11264" s="9" t="n">
        <v>11262</v>
      </c>
      <c r="C11264" s="10" t="inlineStr">
        <is>
          <t>Software Engineer (C#, .NET, 3D)</t>
        </is>
      </c>
      <c r="D11264" s="10" t="inlineStr">
        <is>
          <t>MiTek Việt Nam</t>
        </is>
      </c>
      <c r="E11264" s="10" t="inlineStr">
        <is>
          <t>Thương lượng</t>
        </is>
      </c>
      <c r="F11264" s="10" t="inlineStr">
        <is>
          <t>Hồ Chí Minh</t>
        </is>
      </c>
      <c r="G11264" s="10" t="inlineStr">
        <is>
          <t>Nhân viên</t>
        </is>
      </c>
      <c r="H11264" s="10" t="inlineStr">
        <is>
          <t>28/01/2026</t>
        </is>
      </c>
      <c r="I11264" s="10" t="inlineStr">
        <is>
          <t>15/04/2026</t>
        </is>
      </c>
      <c r="J11264" s="10" t="inlineStr">
        <is>
          <t>17/03/2026</t>
        </is>
      </c>
      <c r="K11264" s="10" t="inlineStr">
        <is>
          <t>N/A</t>
        </is>
      </c>
      <c r="L11264" s="10" t="inlineStr">
        <is>
          <t>C#, .NET Framework, Window Application Form, Back end, Construction</t>
        </is>
      </c>
      <c r="M11264" s="10" t="inlineStr">
        <is>
          <t>Bonus, Team Activities, Others</t>
        </is>
      </c>
      <c r="N11264" s="11">
        <f>HYPERLINK("https://www.vietnamworks.com/software-engineer-c-sharp-net-3d-2006995-jv","Xem chi tiết")</f>
        <v/>
      </c>
      <c r="O11264" s="10" t="n"/>
    </row>
    <row r="11265">
      <c r="B11265" s="7" t="n">
        <v>11263</v>
      </c>
      <c r="C11265" t="inlineStr">
        <is>
          <t>ERP Manager (ERM) - Quản Lý Triển Khai Dự Án ERP</t>
        </is>
      </c>
      <c r="D11265" t="inlineStr">
        <is>
          <t>Công ty TNHH Innovative Lighting</t>
        </is>
      </c>
      <c r="E11265" t="inlineStr">
        <is>
          <t>Thương lượng</t>
        </is>
      </c>
      <c r="F11265" t="inlineStr">
        <is>
          <t>Đồng Nai, Hồ Chí Minh</t>
        </is>
      </c>
      <c r="G11265" t="inlineStr">
        <is>
          <t>Nhân viên</t>
        </is>
      </c>
      <c r="H11265" t="inlineStr">
        <is>
          <t>29/01/2026</t>
        </is>
      </c>
      <c r="I11265" t="inlineStr">
        <is>
          <t>15/04/2026</t>
        </is>
      </c>
      <c r="J11265" t="inlineStr">
        <is>
          <t>17/03/2026</t>
        </is>
      </c>
      <c r="K11265" t="inlineStr">
        <is>
          <t>N/A</t>
        </is>
      </c>
      <c r="L11265" t="inlineStr">
        <is>
          <t>ERP, Data Analysis, LED, ERP Implementation, MRP</t>
        </is>
      </c>
      <c r="M11265" t="inlineStr">
        <is>
          <t>Bonus, Transportation, Others</t>
        </is>
      </c>
      <c r="N11265" s="8">
        <f>HYPERLINK("https://www.vietnamworks.com/erp-manager-erm-quan-ly-trien-khai-du-an-erp-2007483-jv","Xem chi tiết")</f>
        <v/>
      </c>
    </row>
    <row r="11266">
      <c r="B11266" s="9" t="n">
        <v>11264</v>
      </c>
      <c r="C11266" s="10" t="inlineStr">
        <is>
          <t>Trợ Lý Tổng Giám Đốc (Mảng Tài Chính)</t>
        </is>
      </c>
      <c r="D11266" s="10" t="inlineStr">
        <is>
          <t>Công Ty Cổ Phần Công Nghệ Sapo</t>
        </is>
      </c>
      <c r="E11266" s="10" t="inlineStr">
        <is>
          <t>Thương lượng</t>
        </is>
      </c>
      <c r="F11266" s="10" t="inlineStr">
        <is>
          <t>Hà Nội</t>
        </is>
      </c>
      <c r="G11266" s="10" t="inlineStr">
        <is>
          <t>Nhân viên</t>
        </is>
      </c>
      <c r="H11266" s="10" t="inlineStr">
        <is>
          <t>28/01/2026</t>
        </is>
      </c>
      <c r="I11266" s="10" t="inlineStr">
        <is>
          <t>15/04/2026</t>
        </is>
      </c>
      <c r="J11266" s="10" t="inlineStr">
        <is>
          <t>17/03/2026</t>
        </is>
      </c>
      <c r="K11266" s="10" t="inlineStr">
        <is>
          <t>N/A</t>
        </is>
      </c>
      <c r="L11266" s="10" t="inlineStr">
        <is>
          <t>Administration, Quản Lý Dự Án, Tin Học Văn Phòng, Trợ Lý, Tài Chính</t>
        </is>
      </c>
      <c r="M11266" s="10" t="inlineStr">
        <is>
          <t>Bonus, Healthcare Plan, Training, Others</t>
        </is>
      </c>
      <c r="N11266" s="11">
        <f>HYPERLINK("https://www.vietnamworks.com/tro-ly-tong-giam-doc-mang-tai-chinh--2006999-jv","Xem chi tiết")</f>
        <v/>
      </c>
      <c r="O11266" s="10" t="n"/>
    </row>
    <row r="11267">
      <c r="B11267" s="7" t="n">
        <v>11265</v>
      </c>
      <c r="C11267" t="inlineStr">
        <is>
          <t>Kế Toán Thuế</t>
        </is>
      </c>
      <c r="D11267" t="inlineStr">
        <is>
          <t>Công Ty TNHH Dịch Vụ Minh Việt</t>
        </is>
      </c>
      <c r="E11267" t="inlineStr">
        <is>
          <t>20tr-30tr ₫/tháng</t>
        </is>
      </c>
      <c r="F11267" t="inlineStr">
        <is>
          <t>Hà Nội</t>
        </is>
      </c>
      <c r="G11267" t="inlineStr">
        <is>
          <t>Nhân viên</t>
        </is>
      </c>
      <c r="H11267" t="inlineStr">
        <is>
          <t>28/01/2026</t>
        </is>
      </c>
      <c r="I11267" t="inlineStr">
        <is>
          <t>15/04/2026</t>
        </is>
      </c>
      <c r="J11267" t="inlineStr">
        <is>
          <t>17/03/2026</t>
        </is>
      </c>
      <c r="K11267" t="inlineStr">
        <is>
          <t>N/A</t>
        </is>
      </c>
      <c r="L11267" t="inlineStr">
        <is>
          <t>Kế Toán Thuế, Kế Toán Trưởng, Kế Toán Tổng Hợp, Hệ Thống Thuế, Tax Accounting</t>
        </is>
      </c>
      <c r="M11267" t="inlineStr">
        <is>
          <t>Bonus, Paid Leave, Travel Opportunities</t>
        </is>
      </c>
      <c r="N11267" s="8">
        <f>HYPERLINK("https://www.vietnamworks.com/ke-toan-thue--2007034-jv","Xem chi tiết")</f>
        <v/>
      </c>
    </row>
    <row r="11268">
      <c r="B11268" s="9" t="n">
        <v>11266</v>
      </c>
      <c r="C11268" s="10" t="inlineStr">
        <is>
          <t>Chuyên Viên Đấu Thầu</t>
        </is>
      </c>
      <c r="D11268" s="10" t="inlineStr">
        <is>
          <t>Công Ty Cổ Phần Tập Đoàn Danko</t>
        </is>
      </c>
      <c r="E11268" s="10" t="inlineStr">
        <is>
          <t>$$ 1,000-1,400 /tháng</t>
        </is>
      </c>
      <c r="F11268" s="10" t="inlineStr">
        <is>
          <t>Hà Nội</t>
        </is>
      </c>
      <c r="G11268" s="10" t="inlineStr">
        <is>
          <t>Nhân viên</t>
        </is>
      </c>
      <c r="H11268" s="10" t="inlineStr">
        <is>
          <t>28/01/2026</t>
        </is>
      </c>
      <c r="I11268" s="10" t="inlineStr">
        <is>
          <t>15/04/2026</t>
        </is>
      </c>
      <c r="J11268" s="10" t="inlineStr">
        <is>
          <t>17/03/2026</t>
        </is>
      </c>
      <c r="K11268" s="10" t="inlineStr">
        <is>
          <t>N/A</t>
        </is>
      </c>
      <c r="L11268" s="10" t="inlineStr">
        <is>
          <t>Dự Toán Đấu Thầu Xây Dựng, Kinh Tế Xây Dựng</t>
        </is>
      </c>
      <c r="M11268" s="10" t="inlineStr">
        <is>
          <t>Bonus, Awards, Travel Opportunities</t>
        </is>
      </c>
      <c r="N11268" s="11">
        <f>HYPERLINK("https://www.vietnamworks.com/chuyen-vien-dau-thau--2007055-jv","Xem chi tiết")</f>
        <v/>
      </c>
      <c r="O11268" s="10" t="n"/>
    </row>
    <row r="11269">
      <c r="B11269" s="7" t="n">
        <v>11267</v>
      </c>
      <c r="C11269" t="inlineStr">
        <is>
          <t>Senior Specialist, Compliance (AML/Securities Background Preferred)</t>
        </is>
      </c>
      <c r="D11269" t="inlineStr">
        <is>
          <t>Maybank Securities Limited</t>
        </is>
      </c>
      <c r="E11269" t="inlineStr">
        <is>
          <t>$$ 900-1,100 /tháng</t>
        </is>
      </c>
      <c r="F11269" t="inlineStr">
        <is>
          <t>Hồ Chí Minh</t>
        </is>
      </c>
      <c r="G11269" t="inlineStr">
        <is>
          <t>Nhân viên</t>
        </is>
      </c>
      <c r="H11269" t="inlineStr">
        <is>
          <t>28/01/2026</t>
        </is>
      </c>
      <c r="I11269" t="inlineStr">
        <is>
          <t>15/04/2026</t>
        </is>
      </c>
      <c r="J11269" t="inlineStr">
        <is>
          <t>17/03/2026</t>
        </is>
      </c>
      <c r="K11269" t="inlineStr">
        <is>
          <t>N/A</t>
        </is>
      </c>
      <c r="L11269" t="inlineStr">
        <is>
          <t>AML, Compliance, Securities, Chống Rửa Tiền, Kiểm Soát Tuân Thủ</t>
        </is>
      </c>
      <c r="M11269" t="inlineStr">
        <is>
          <t>Bonus, Healthcare Plan, Training</t>
        </is>
      </c>
      <c r="N11269" s="8">
        <f>HYPERLINK("https://www.vietnamworks.com/senior-specialist-compliance-aml-securities-background-preferred-2007035-jv","Xem chi tiết")</f>
        <v/>
      </c>
    </row>
    <row r="11270">
      <c r="B11270" s="9" t="n">
        <v>11268</v>
      </c>
      <c r="C11270" s="10" t="inlineStr">
        <is>
          <t>Kỹ Sư EHS - Chuyên Ngành Hoá Học (GDO)</t>
        </is>
      </c>
      <c r="D11270" s="10" t="inlineStr">
        <is>
          <t>Công Ty TNHH Điện Tử Meiko Việt Nam (MKVC)</t>
        </is>
      </c>
      <c r="E11270" s="10" t="inlineStr">
        <is>
          <t>Thương lượng</t>
        </is>
      </c>
      <c r="F11270" s="10" t="inlineStr">
        <is>
          <t>Hà Nội</t>
        </is>
      </c>
      <c r="G11270" s="10" t="inlineStr">
        <is>
          <t>Nhân viên</t>
        </is>
      </c>
      <c r="H11270" s="10" t="inlineStr">
        <is>
          <t>28/01/2026</t>
        </is>
      </c>
      <c r="I11270" s="10" t="inlineStr">
        <is>
          <t>15/04/2026</t>
        </is>
      </c>
      <c r="J11270" s="10" t="inlineStr">
        <is>
          <t>17/03/2026</t>
        </is>
      </c>
      <c r="K11270" s="10" t="inlineStr">
        <is>
          <t>N/A</t>
        </is>
      </c>
      <c r="L11270" s="10" t="inlineStr">
        <is>
          <t>Giám Sát, Kinh Nghiệm Ehs, Kỹ năng giao tiếp, Lập Bản Đồ</t>
        </is>
      </c>
      <c r="M11270" s="10" t="inlineStr">
        <is>
          <t>Healthcare Plan, Paid Leave, Training, Transportation, Kindergarten, Others</t>
        </is>
      </c>
      <c r="N11270" s="11">
        <f>HYPERLINK("https://www.vietnamworks.com/ky-su-ehs-chuyen-nganh-hoa-hoc-gdo-2007033-jv","Xem chi tiết")</f>
        <v/>
      </c>
      <c r="O11270" s="10" t="n"/>
    </row>
    <row r="11271">
      <c r="B11271" s="7" t="n">
        <v>11269</v>
      </c>
      <c r="C11271" t="inlineStr">
        <is>
          <t>Supplier CI Manager</t>
        </is>
      </c>
      <c r="D11271" t="inlineStr">
        <is>
          <t>La Z Boy</t>
        </is>
      </c>
      <c r="E11271" t="inlineStr">
        <is>
          <t>Thương lượng</t>
        </is>
      </c>
      <c r="F11271" t="inlineStr">
        <is>
          <t>Hồ Chí Minh</t>
        </is>
      </c>
      <c r="G11271" t="inlineStr">
        <is>
          <t>Trưởng phòng</t>
        </is>
      </c>
      <c r="H11271" t="inlineStr">
        <is>
          <t>28/01/2026</t>
        </is>
      </c>
      <c r="I11271" t="inlineStr">
        <is>
          <t>15/04/2026</t>
        </is>
      </c>
      <c r="J11271" t="inlineStr">
        <is>
          <t>17/03/2026</t>
        </is>
      </c>
      <c r="K11271" t="inlineStr">
        <is>
          <t>N/A</t>
        </is>
      </c>
      <c r="L11271" t="inlineStr">
        <is>
          <t>PPAP, Costs Management, Lean Production, APQP, VSM</t>
        </is>
      </c>
      <c r="M11271" t="inlineStr">
        <is>
          <t>Bonus, Healthcare Plan, Training</t>
        </is>
      </c>
      <c r="N11271" s="8">
        <f>HYPERLINK("https://www.vietnamworks.com/supplier-ci-manager-2007152-jv","Xem chi tiết")</f>
        <v/>
      </c>
    </row>
    <row r="11272">
      <c r="B11272" s="9" t="n">
        <v>11270</v>
      </c>
      <c r="C11272" s="10" t="inlineStr">
        <is>
          <t>Senior Solution Design Specialist</t>
        </is>
      </c>
      <c r="D11272" s="10" t="inlineStr">
        <is>
          <t>DHL Supply Chain</t>
        </is>
      </c>
      <c r="E11272" s="10" t="inlineStr">
        <is>
          <t>Thương lượng</t>
        </is>
      </c>
      <c r="F11272" s="10" t="inlineStr">
        <is>
          <t>Hồ Chí Minh</t>
        </is>
      </c>
      <c r="G11272" s="10" t="inlineStr">
        <is>
          <t>Nhân viên</t>
        </is>
      </c>
      <c r="H11272" s="10" t="inlineStr">
        <is>
          <t>28/01/2026</t>
        </is>
      </c>
      <c r="I11272" s="10" t="inlineStr">
        <is>
          <t>15/04/2026</t>
        </is>
      </c>
      <c r="J11272" s="10" t="inlineStr">
        <is>
          <t>17/03/2026</t>
        </is>
      </c>
      <c r="K11272" s="10" t="inlineStr">
        <is>
          <t>N/A</t>
        </is>
      </c>
      <c r="L11272" s="10" t="inlineStr">
        <is>
          <t>Layout Design, Excel, Data Analysis, Warehouse Design</t>
        </is>
      </c>
      <c r="M11272" s="10" t="inlineStr">
        <is>
          <t>Bonus, Training, Others</t>
        </is>
      </c>
      <c r="N11272" s="11">
        <f>HYPERLINK("https://www.vietnamworks.com/senior-solution-design-specialist-2007036-jv","Xem chi tiết")</f>
        <v/>
      </c>
      <c r="O11272" s="10" t="n"/>
    </row>
    <row r="11273">
      <c r="B11273" s="7" t="n">
        <v>11271</v>
      </c>
      <c r="C11273" t="inlineStr">
        <is>
          <t>Port Commercial Manager</t>
        </is>
      </c>
      <c r="D11273" t="inlineStr">
        <is>
          <t>Interflour Vietnam Co., Ltd.</t>
        </is>
      </c>
      <c r="E11273" t="inlineStr">
        <is>
          <t>Thương lượng</t>
        </is>
      </c>
      <c r="F11273" t="inlineStr">
        <is>
          <t>Hồ Chí Minh, Bà Rịa - Vũng Tàu</t>
        </is>
      </c>
      <c r="G11273" t="inlineStr">
        <is>
          <t>Trưởng phòng</t>
        </is>
      </c>
      <c r="H11273" t="inlineStr">
        <is>
          <t>28/01/2026</t>
        </is>
      </c>
      <c r="I11273" t="inlineStr">
        <is>
          <t>15/04/2026</t>
        </is>
      </c>
      <c r="J11273" t="inlineStr">
        <is>
          <t>17/03/2026</t>
        </is>
      </c>
      <c r="K11273" t="inlineStr">
        <is>
          <t>N/A</t>
        </is>
      </c>
      <c r="L11273" t="inlineStr">
        <is>
          <t>Port Management, Sales, Sales &amp; Business Development, Commercial Sense, Trading Marketing</t>
        </is>
      </c>
      <c r="M11273" t="inlineStr">
        <is>
          <t>Bonus, Healthcare Plan, Paid Leave</t>
        </is>
      </c>
      <c r="N11273" s="8">
        <f>HYPERLINK("https://www.vietnamworks.com/port-commercial-manager--2007256-jv","Xem chi tiết")</f>
        <v/>
      </c>
    </row>
    <row r="11274">
      <c r="B11274" s="9" t="n">
        <v>11272</v>
      </c>
      <c r="C11274" s="10" t="inlineStr">
        <is>
          <t>Kỹ Sư Bảo Dưỡng, Sửa Chữa - Thu Nhập Tối Thiểu 17 Triệu Tùy Năng Lực</t>
        </is>
      </c>
      <c r="D11274" s="10" t="inlineStr">
        <is>
          <t>Công Ty CP Thương Mại Dầu Khí An Dương</t>
        </is>
      </c>
      <c r="E11274" s="10" t="inlineStr">
        <is>
          <t>Từ 17tr ₫/tháng</t>
        </is>
      </c>
      <c r="F11274" s="10" t="inlineStr">
        <is>
          <t>Hà Nội, Hưng Yên, Bắc Ninh</t>
        </is>
      </c>
      <c r="G11274" s="10" t="inlineStr">
        <is>
          <t>Nhân viên</t>
        </is>
      </c>
      <c r="H11274" s="10" t="inlineStr">
        <is>
          <t>29/01/2026</t>
        </is>
      </c>
      <c r="I11274" s="10" t="inlineStr">
        <is>
          <t>15/04/2026</t>
        </is>
      </c>
      <c r="J11274" s="10" t="inlineStr">
        <is>
          <t>17/03/2026</t>
        </is>
      </c>
      <c r="K11274" s="10" t="inlineStr">
        <is>
          <t>N/A</t>
        </is>
      </c>
      <c r="L11274" s="10" t="inlineStr">
        <is>
          <t>Kỹ Thuật Cơ Khí, Sửa Chữa Hệ Thống, Sửa Chữa Bảo Dưỡng, Giám Sát Thi Công, Quản Lý Kỹ Thuật</t>
        </is>
      </c>
      <c r="M11274" s="10" t="inlineStr">
        <is>
          <t>Bonus, Healthcare Plan, Training, Others</t>
        </is>
      </c>
      <c r="N11274" s="11">
        <f>HYPERLINK("https://www.vietnamworks.com/ky-su-bao-duong-sua-chua-thu-nhap-toi-thieu-17-trieu-tuy-nang-luc-2007510-jv","Xem chi tiết")</f>
        <v/>
      </c>
      <c r="O11274" s="10" t="n"/>
    </row>
    <row r="11275">
      <c r="B11275" s="7" t="n">
        <v>11273</v>
      </c>
      <c r="C11275" t="inlineStr">
        <is>
          <t>HR Business Partner</t>
        </is>
      </c>
      <c r="D11275" t="inlineStr">
        <is>
          <t>Bosch Global Software Technologies Company Limited</t>
        </is>
      </c>
      <c r="E11275" t="inlineStr">
        <is>
          <t>Thương lượng</t>
        </is>
      </c>
      <c r="F11275" t="inlineStr">
        <is>
          <t>Hồ Chí Minh</t>
        </is>
      </c>
      <c r="G11275" t="inlineStr">
        <is>
          <t>Nhân viên</t>
        </is>
      </c>
      <c r="H11275" t="inlineStr">
        <is>
          <t>29/01/2026</t>
        </is>
      </c>
      <c r="I11275" t="inlineStr">
        <is>
          <t>15/04/2026</t>
        </is>
      </c>
      <c r="J11275" t="inlineStr">
        <is>
          <t>17/03/2026</t>
        </is>
      </c>
      <c r="K11275" t="inlineStr">
        <is>
          <t>N/A</t>
        </is>
      </c>
      <c r="L11275" t="inlineStr">
        <is>
          <t>Employee Engagement, Employee Relations, HR Business Partner, Stakeholder Management, Workforce Planning</t>
        </is>
      </c>
      <c r="M11275" t="inlineStr">
        <is>
          <t>Bonus, Healthcare Plan, Paid Leave, Training, Team Activities, Others</t>
        </is>
      </c>
      <c r="N11275" s="8">
        <f>HYPERLINK("https://www.vietnamworks.com/hr-business-partner-2007539-jv","Xem chi tiết")</f>
        <v/>
      </c>
    </row>
    <row r="11276">
      <c r="B11276" s="9" t="n">
        <v>11274</v>
      </c>
      <c r="C11276" s="10" t="inlineStr">
        <is>
          <t>R&amp;D Mechanical Expert</t>
        </is>
      </c>
      <c r="D11276" s="10" t="inlineStr">
        <is>
          <t>Công Ty TNHH Premo Việt Nam</t>
        </is>
      </c>
      <c r="E11276" s="10" t="inlineStr">
        <is>
          <t>Thương lượng</t>
        </is>
      </c>
      <c r="F11276" s="10" t="inlineStr">
        <is>
          <t>Quảng Nam</t>
        </is>
      </c>
      <c r="G11276" s="10" t="inlineStr">
        <is>
          <t>Nhân viên</t>
        </is>
      </c>
      <c r="H11276" s="10" t="inlineStr">
        <is>
          <t>29/01/2026</t>
        </is>
      </c>
      <c r="I11276" s="10" t="inlineStr">
        <is>
          <t>15/04/2026</t>
        </is>
      </c>
      <c r="J11276" s="10" t="inlineStr">
        <is>
          <t>17/03/2026</t>
        </is>
      </c>
      <c r="K11276" s="10" t="inlineStr">
        <is>
          <t>N/A</t>
        </is>
      </c>
      <c r="L11276" s="10" t="inlineStr">
        <is>
          <t>Mechanical Design, Plastics Molding, Thermal Modeling, Magnetic Design, Plastic Injection Operation</t>
        </is>
      </c>
      <c r="M11276" s="10" t="inlineStr">
        <is>
          <t>Healthcare Plan, Paid Leave, Training, Team Activities, Transportation, Others</t>
        </is>
      </c>
      <c r="N11276" s="11">
        <f>HYPERLINK("https://www.vietnamworks.com/randd-mechanical-expert-2007559-jv","Xem chi tiết")</f>
        <v/>
      </c>
      <c r="O11276" s="10" t="n"/>
    </row>
    <row r="11277">
      <c r="B11277" s="7" t="n">
        <v>11275</v>
      </c>
      <c r="C11277" t="inlineStr">
        <is>
          <t>Kế Toán Trưởng (Thành Thạo Tiếng Trung)</t>
        </is>
      </c>
      <c r="D11277" t="inlineStr">
        <is>
          <t>CÔNG TY TNHH TOPASIA LOGISTICS</t>
        </is>
      </c>
      <c r="E11277" t="inlineStr">
        <is>
          <t>$$ 1,100-1,700 /tháng</t>
        </is>
      </c>
      <c r="F11277" t="inlineStr">
        <is>
          <t>Hồ Chí Minh</t>
        </is>
      </c>
      <c r="G11277" t="inlineStr">
        <is>
          <t>Trưởng phòng</t>
        </is>
      </c>
      <c r="H11277" t="inlineStr">
        <is>
          <t>29/01/2026</t>
        </is>
      </c>
      <c r="I11277" t="inlineStr">
        <is>
          <t>15/04/2026</t>
        </is>
      </c>
      <c r="J11277" t="inlineStr">
        <is>
          <t>17/03/2026</t>
        </is>
      </c>
      <c r="K11277" t="inlineStr">
        <is>
          <t>N/A</t>
        </is>
      </c>
      <c r="L11277" t="inlineStr">
        <is>
          <t>Kế Toán Thuế, Kế Toán Trưởng, Kế Toán Tổng Hợp, Chief Accountant Certificate, Tiếng Trung</t>
        </is>
      </c>
      <c r="M11277" t="inlineStr">
        <is>
          <t>Bonus, Healthcare Plan, Team Activities</t>
        </is>
      </c>
      <c r="N11277" s="8">
        <f>HYPERLINK("https://www.vietnamworks.com/ke-toan-truong-thanh-thao-tieng-trung--2007452-jv","Xem chi tiết")</f>
        <v/>
      </c>
    </row>
    <row r="11278">
      <c r="B11278" s="9" t="n">
        <v>11276</v>
      </c>
      <c r="C11278" s="10" t="inlineStr">
        <is>
          <t>Chuyên Viên Tài Chính (Chủ Đầu Tư BĐS)</t>
        </is>
      </c>
      <c r="D11278" s="10" t="inlineStr">
        <is>
          <t>Công Ty Cổ Phần Đầu Tư Bất Động Sản Toàn Cầu (GP. INVEST)</t>
        </is>
      </c>
      <c r="E11278" s="10" t="inlineStr">
        <is>
          <t>Thương lượng</t>
        </is>
      </c>
      <c r="F11278" s="10" t="inlineStr">
        <is>
          <t>Hà Nội</t>
        </is>
      </c>
      <c r="G11278" s="10" t="inlineStr">
        <is>
          <t>Nhân viên</t>
        </is>
      </c>
      <c r="H11278" s="10" t="inlineStr">
        <is>
          <t>29/01/2026</t>
        </is>
      </c>
      <c r="I11278" s="10" t="inlineStr">
        <is>
          <t>15/04/2026</t>
        </is>
      </c>
      <c r="J11278" s="10" t="inlineStr">
        <is>
          <t>17/03/2026</t>
        </is>
      </c>
      <c r="K11278" s="10" t="inlineStr">
        <is>
          <t>N/A</t>
        </is>
      </c>
      <c r="L11278" s="10" t="inlineStr">
        <is>
          <t>Phân Tích Tài Chính, Quản Lý Chi Phí, Xây Dựng Chiến Lược, Kế Hoạch Tài Chính, Đánh Giá Đầu Tư</t>
        </is>
      </c>
      <c r="M11278" s="10" t="inlineStr">
        <is>
          <t>Bonus, Healthcare Plan, Training, Team Activities, Vouchers, Others</t>
        </is>
      </c>
      <c r="N11278" s="11">
        <f>HYPERLINK("https://www.vietnamworks.com/chuyen-vien-tai-chinh-chu-djau-tu-bdjs-2007565-jv","Xem chi tiết")</f>
        <v/>
      </c>
      <c r="O11278" s="10" t="n"/>
    </row>
    <row r="11279">
      <c r="B11279" s="7" t="n">
        <v>11277</v>
      </c>
      <c r="C11279" t="inlineStr">
        <is>
          <t>Trình Dược Viên Thiết Bị Y Tế ETC - Lương Upto 50 Triệu (Địa Bàn Hà Nội/ Hải Phòng/ Quảng Ninh/ Các Tỉnh Miền Tây)</t>
        </is>
      </c>
      <c r="D11279" t="inlineStr">
        <is>
          <t>CÔNG TY Y TẾ HÙNG VĨ</t>
        </is>
      </c>
      <c r="E11279" t="inlineStr">
        <is>
          <t>Tới 50tr ₫/tháng</t>
        </is>
      </c>
      <c r="F11279" t="inlineStr">
        <is>
          <t>Hà Nội, Hải Phòng, Quảng Ninh</t>
        </is>
      </c>
      <c r="G11279" t="inlineStr">
        <is>
          <t>Nhân viên</t>
        </is>
      </c>
      <c r="H11279" t="inlineStr">
        <is>
          <t>29/01/2026</t>
        </is>
      </c>
      <c r="I11279" t="inlineStr">
        <is>
          <t>15/04/2026</t>
        </is>
      </c>
      <c r="J11279" t="inlineStr">
        <is>
          <t>17/03/2026</t>
        </is>
      </c>
      <c r="K11279" t="inlineStr">
        <is>
          <t>N/A</t>
        </is>
      </c>
      <c r="L11279" t="inlineStr">
        <is>
          <t>Medical Sales, Kinh Doanh, Y Dược, Trình dược viên ETC, Thiết Bị Y Tế</t>
        </is>
      </c>
      <c r="M11279" t="inlineStr">
        <is>
          <t>Bonus, Healthcare Plan, Training</t>
        </is>
      </c>
      <c r="N11279" s="8">
        <f>HYPERLINK("https://www.vietnamworks.com/trinh-duoc-vien-thiet-bi-y-te-etc-luong-upto-50-trieu-dia-ban-ha-noi-hai-phong-quang-ninh-cac-tinh-mien-tay-2007588-jv","Xem chi tiết")</f>
        <v/>
      </c>
    </row>
    <row r="11280">
      <c r="B11280" s="9" t="n">
        <v>11278</v>
      </c>
      <c r="C11280" s="10" t="inlineStr">
        <is>
          <t>Giám Đốc Nhà Máy Dược (Plant Director / Factory Director Pharmaceutical Manufacturing)</t>
        </is>
      </c>
      <c r="D11280" s="10" t="inlineStr">
        <is>
          <t>Công Ty CP Dược Vật Tư Y Tế Hà Nam</t>
        </is>
      </c>
      <c r="E11280" s="10" t="inlineStr">
        <is>
          <t>Thương lượng</t>
        </is>
      </c>
      <c r="F11280" s="10" t="inlineStr">
        <is>
          <t>Ninh Bình, Hà Nam</t>
        </is>
      </c>
      <c r="G11280" s="10" t="inlineStr">
        <is>
          <t>Giám Đốc và Cấp Cao Hơn</t>
        </is>
      </c>
      <c r="H11280" s="10" t="inlineStr">
        <is>
          <t>29/01/2026</t>
        </is>
      </c>
      <c r="I11280" s="10" t="inlineStr">
        <is>
          <t>15/04/2026</t>
        </is>
      </c>
      <c r="J11280" s="10" t="inlineStr">
        <is>
          <t>17/03/2026</t>
        </is>
      </c>
      <c r="K11280" s="10" t="inlineStr">
        <is>
          <t>N/A</t>
        </is>
      </c>
      <c r="L11280" s="10" t="inlineStr">
        <is>
          <t>Quản Lý Sản Xuất, Bào Chế Tân Dược, Lãnh Đạo, Phân Tích Dữ Liệu, Quản lý chất lượng</t>
        </is>
      </c>
      <c r="M11280" s="10" t="inlineStr">
        <is>
          <t>Bonus, Paid Leave, Training</t>
        </is>
      </c>
      <c r="N11280" s="11">
        <f>HYPERLINK("https://www.vietnamworks.com/giam-doc-nha-may-duoc-plant-director-factory-director-pharmaceutical-manufacturing-2007575-jv","Xem chi tiết")</f>
        <v/>
      </c>
      <c r="O11280" s="10" t="n"/>
    </row>
    <row r="11281">
      <c r="B11281" s="7" t="n">
        <v>11279</v>
      </c>
      <c r="C11281" t="inlineStr">
        <is>
          <t>SI Engineer</t>
        </is>
      </c>
      <c r="D11281" t="inlineStr">
        <is>
          <t>Quantel Global Vietnam Co. Ltd</t>
        </is>
      </c>
      <c r="E11281" t="inlineStr">
        <is>
          <t>Thương lượng</t>
        </is>
      </c>
      <c r="F11281" t="inlineStr">
        <is>
          <t>Hà Nội, Hà Tĩnh</t>
        </is>
      </c>
      <c r="G11281" t="inlineStr">
        <is>
          <t>Mới Tốt Nghiệp</t>
        </is>
      </c>
      <c r="H11281" t="inlineStr">
        <is>
          <t>28/01/2026</t>
        </is>
      </c>
      <c r="I11281" t="inlineStr">
        <is>
          <t>15/04/2026</t>
        </is>
      </c>
      <c r="J11281" t="inlineStr">
        <is>
          <t>17/03/2026</t>
        </is>
      </c>
      <c r="K11281" t="inlineStr">
        <is>
          <t>N/A</t>
        </is>
      </c>
      <c r="L11281" t="inlineStr">
        <is>
          <t>Electronic, Equipment Measurement, Equipment Operation, Solve Technical Issues, Automation</t>
        </is>
      </c>
      <c r="M11281" t="inlineStr">
        <is>
          <t>Healthcare Plan, Training, Travel Opportunities</t>
        </is>
      </c>
      <c r="N11281" s="8">
        <f>HYPERLINK("https://www.vietnamworks.com/si-engineer-2007311-jv","Xem chi tiết")</f>
        <v/>
      </c>
    </row>
    <row r="11282">
      <c r="B11282" s="9" t="n">
        <v>11280</v>
      </c>
      <c r="C11282" s="10" t="inlineStr">
        <is>
          <t>Senior Partnership Manager</t>
        </is>
      </c>
      <c r="D11282" s="10" t="inlineStr">
        <is>
          <t>Công Ty Cổ Phần Prowtech International Vina</t>
        </is>
      </c>
      <c r="E11282" s="10" t="inlineStr">
        <is>
          <t>Thương lượng</t>
        </is>
      </c>
      <c r="F11282" s="10" t="inlineStr">
        <is>
          <t>Hồ Chí Minh</t>
        </is>
      </c>
      <c r="G11282" s="10" t="inlineStr">
        <is>
          <t>Trưởng phòng</t>
        </is>
      </c>
      <c r="H11282" s="10" t="inlineStr">
        <is>
          <t>28/01/2026</t>
        </is>
      </c>
      <c r="I11282" s="10" t="inlineStr">
        <is>
          <t>15/04/2026</t>
        </is>
      </c>
      <c r="J11282" s="10" t="inlineStr">
        <is>
          <t>17/03/2026</t>
        </is>
      </c>
      <c r="K11282" s="10" t="inlineStr">
        <is>
          <t>N/A</t>
        </is>
      </c>
      <c r="L11282" s="10" t="inlineStr">
        <is>
          <t>Quan Hệ Khách Hàng, Tìm Kiếm Dự Án, Partnership Development, Partnership Management, OOH Marketing</t>
        </is>
      </c>
      <c r="M11282" s="10" t="inlineStr">
        <is>
          <t>Bonus, Others</t>
        </is>
      </c>
      <c r="N11282" s="11">
        <f>HYPERLINK("https://www.vietnamworks.com/senior-partnership-manager--2007257-jv","Xem chi tiết")</f>
        <v/>
      </c>
      <c r="O11282" s="10" t="n"/>
    </row>
    <row r="11283">
      <c r="B11283" s="7" t="n">
        <v>11281</v>
      </c>
      <c r="C11283" t="inlineStr">
        <is>
          <t>Kỹ Sư Thiết Kế Giao Thông</t>
        </is>
      </c>
      <c r="D11283" t="inlineStr">
        <is>
          <t>Công ty CP phát triển Công nghệ &amp; Môi trường TDP</t>
        </is>
      </c>
      <c r="E11283" t="inlineStr">
        <is>
          <t>12tr-20tr ₫/tháng</t>
        </is>
      </c>
      <c r="F11283" t="inlineStr">
        <is>
          <t>Hà Nội</t>
        </is>
      </c>
      <c r="G11283" t="inlineStr">
        <is>
          <t>Nhân viên</t>
        </is>
      </c>
      <c r="H11283" t="inlineStr">
        <is>
          <t>29/01/2026</t>
        </is>
      </c>
      <c r="I11283" t="inlineStr">
        <is>
          <t>15/04/2026</t>
        </is>
      </c>
      <c r="J11283" t="inlineStr">
        <is>
          <t>17/03/2026</t>
        </is>
      </c>
      <c r="K11283" t="inlineStr">
        <is>
          <t>N/A</t>
        </is>
      </c>
      <c r="L11283" t="inlineStr">
        <is>
          <t>Thiết Kế Đường Giao Thông, AutoCAD, Civil 3D, Thiết Kế Xây Dựng, Thiết Kế Kỹ Thuật</t>
        </is>
      </c>
      <c r="M11283" t="inlineStr">
        <is>
          <t>Bonus, Healthcare Plan, Training, Awards, Laptop, Travel Opportunities, Team Activities</t>
        </is>
      </c>
      <c r="N11283" s="8">
        <f>HYPERLINK("https://www.vietnamworks.com/ky-su-thiet-ke-giao-thong-2007631-jv","Xem chi tiết")</f>
        <v/>
      </c>
    </row>
    <row r="11284">
      <c r="B11284" s="9" t="n">
        <v>11282</v>
      </c>
      <c r="C11284" s="10" t="inlineStr">
        <is>
          <t>Trade &amp; Shopper Marketing Manager</t>
        </is>
      </c>
      <c r="D11284" s="10" t="inlineStr">
        <is>
          <t>Công Ty Cổ Phần Sữa Việt Nam (Vinamilk)</t>
        </is>
      </c>
      <c r="E11284" s="10" t="inlineStr">
        <is>
          <t>$$ 1,000-3,000 /tháng</t>
        </is>
      </c>
      <c r="F11284" s="10" t="inlineStr">
        <is>
          <t>Hồ Chí Minh</t>
        </is>
      </c>
      <c r="G11284" s="10" t="inlineStr">
        <is>
          <t>Trưởng phòng</t>
        </is>
      </c>
      <c r="H11284" s="10" t="inlineStr">
        <is>
          <t>29/01/2026</t>
        </is>
      </c>
      <c r="I11284" s="10" t="inlineStr">
        <is>
          <t>15/04/2026</t>
        </is>
      </c>
      <c r="J11284" s="10" t="inlineStr">
        <is>
          <t>17/03/2026</t>
        </is>
      </c>
      <c r="K11284" s="10" t="inlineStr">
        <is>
          <t>N/A</t>
        </is>
      </c>
      <c r="L11284" s="10" t="inlineStr">
        <is>
          <t>Communication, Data Analysis, E-commerce, Retail Marketing, Trade Marketing</t>
        </is>
      </c>
      <c r="M11284" s="10" t="inlineStr">
        <is>
          <t>Awards, Laptop, Transportation, Vouchers</t>
        </is>
      </c>
      <c r="N11284" s="11">
        <f>HYPERLINK("https://www.vietnamworks.com/trade-and-shopper-marketing-manager-2007578-jv","Xem chi tiết")</f>
        <v/>
      </c>
      <c r="O11284" s="10" t="n"/>
    </row>
    <row r="11285">
      <c r="B11285" s="7" t="n">
        <v>11283</v>
      </c>
      <c r="C11285" t="inlineStr">
        <is>
          <t>Chuyên Viên Kế Toán (Biết tiếng Trung)</t>
        </is>
      </c>
      <c r="D11285" t="inlineStr">
        <is>
          <t>CÔNG TY TNHH SEMIR INTERNATIONAL VIỆT NAM</t>
        </is>
      </c>
      <c r="E11285" t="inlineStr">
        <is>
          <t>Thương lượng</t>
        </is>
      </c>
      <c r="F11285" t="inlineStr">
        <is>
          <t>Hồ Chí Minh</t>
        </is>
      </c>
      <c r="G11285" t="inlineStr">
        <is>
          <t>Nhân viên</t>
        </is>
      </c>
      <c r="H11285" t="inlineStr">
        <is>
          <t>29/01/2026</t>
        </is>
      </c>
      <c r="I11285" t="inlineStr">
        <is>
          <t>15/04/2026</t>
        </is>
      </c>
      <c r="J11285" t="inlineStr">
        <is>
          <t>17/03/2026</t>
        </is>
      </c>
      <c r="K11285" t="inlineStr">
        <is>
          <t>N/A</t>
        </is>
      </c>
      <c r="L11285" t="inlineStr">
        <is>
          <t>Giao Tiếp, Kế Toán, Phần mềm kế toán, Tiếng Trung, Tin Học Văn Phòng</t>
        </is>
      </c>
      <c r="M11285" t="inlineStr">
        <is>
          <t>Bonus, Healthcare Plan, Paid Leave, Training, Team Activities, Others</t>
        </is>
      </c>
      <c r="N11285" s="8">
        <f>HYPERLINK("https://www.vietnamworks.com/chuyen-vien-ke-toan-biet-tieng-trung-2007604-jv","Xem chi tiết")</f>
        <v/>
      </c>
    </row>
    <row r="11286">
      <c r="B11286" s="9" t="n">
        <v>11284</v>
      </c>
      <c r="C11286" s="10" t="inlineStr">
        <is>
          <t>Service Engineer - Làm Việc Tại Vinh - Nghệ An</t>
        </is>
      </c>
      <c r="D11286" s="10" t="inlineStr">
        <is>
          <t>Quantel Global Vietnam Co. Ltd</t>
        </is>
      </c>
      <c r="E11286" s="10" t="inlineStr">
        <is>
          <t>Thương lượng</t>
        </is>
      </c>
      <c r="F11286" s="10" t="inlineStr">
        <is>
          <t>Hà Tĩnh, Hồ Chí Minh, Nghệ An</t>
        </is>
      </c>
      <c r="G11286" s="10" t="inlineStr">
        <is>
          <t>Mới Tốt Nghiệp</t>
        </is>
      </c>
      <c r="H11286" s="10" t="inlineStr">
        <is>
          <t>28/01/2026</t>
        </is>
      </c>
      <c r="I11286" s="10" t="inlineStr">
        <is>
          <t>15/04/2026</t>
        </is>
      </c>
      <c r="J11286" s="10" t="inlineStr">
        <is>
          <t>17/03/2026</t>
        </is>
      </c>
      <c r="K11286" s="10" t="inlineStr">
        <is>
          <t>N/A</t>
        </is>
      </c>
      <c r="L11286" s="10" t="inlineStr">
        <is>
          <t>Electronic Circuit, Electrical, Công Nghệ Bán Dẫn, Điện, Điện tử</t>
        </is>
      </c>
      <c r="M11286" s="10" t="inlineStr">
        <is>
          <t>Bonus, Healthcare Plan, Training, Travel Opportunities, Transportation, Others</t>
        </is>
      </c>
      <c r="N11286" s="11">
        <f>HYPERLINK("https://www.vietnamworks.com/service-engineer-lam-viec-tai-vinh-nghe-an-2007358-jv","Xem chi tiết")</f>
        <v/>
      </c>
      <c r="O11286" s="10" t="n"/>
    </row>
    <row r="11287">
      <c r="B11287" s="7" t="n">
        <v>11285</v>
      </c>
      <c r="C11287" t="inlineStr">
        <is>
          <t>Kỹ Sư Thiết Kế Điện - Nước</t>
        </is>
      </c>
      <c r="D11287" t="inlineStr">
        <is>
          <t>Công ty CP phát triển Công nghệ &amp; Môi trường TDP</t>
        </is>
      </c>
      <c r="E11287" t="inlineStr">
        <is>
          <t>Thương lượng</t>
        </is>
      </c>
      <c r="F11287" t="inlineStr">
        <is>
          <t>Hà Nội</t>
        </is>
      </c>
      <c r="G11287" t="inlineStr">
        <is>
          <t>Nhân viên</t>
        </is>
      </c>
      <c r="H11287" t="inlineStr">
        <is>
          <t>29/01/2026</t>
        </is>
      </c>
      <c r="I11287" t="inlineStr">
        <is>
          <t>15/04/2026</t>
        </is>
      </c>
      <c r="J11287" t="inlineStr">
        <is>
          <t>17/03/2026</t>
        </is>
      </c>
      <c r="K11287" t="inlineStr">
        <is>
          <t>N/A</t>
        </is>
      </c>
      <c r="L11287" t="inlineStr">
        <is>
          <t>Thiết Kế Cấp Thoát Nước, Thiết Kế Điện, Lập Trình AutoCAD, Lập Trình Revit, Thiết Kế Công Trình</t>
        </is>
      </c>
      <c r="M11287" t="inlineStr">
        <is>
          <t>Bonus, Healthcare Plan, Training, Laptop, Team Activities, Others</t>
        </is>
      </c>
      <c r="N11287" s="8">
        <f>HYPERLINK("https://www.vietnamworks.com/ky-su-thiet-ke-dien-nuoc--2007633-jv","Xem chi tiết")</f>
        <v/>
      </c>
    </row>
    <row r="11288">
      <c r="B11288" s="9" t="n">
        <v>11286</v>
      </c>
      <c r="C11288" s="10" t="inlineStr">
        <is>
          <t>Kỹ Sư Thiết Kế Kết Cấu (Structural Design Engineer)</t>
        </is>
      </c>
      <c r="D11288" s="10" t="inlineStr">
        <is>
          <t>Công Ty Cổ Phần Kiến Trúc Tư Vấn Quản Lý Đông Dương</t>
        </is>
      </c>
      <c r="E11288" s="10" t="inlineStr">
        <is>
          <t>Thương lượng</t>
        </is>
      </c>
      <c r="F11288" s="10" t="inlineStr">
        <is>
          <t>Hồ Chí Minh</t>
        </is>
      </c>
      <c r="G11288" s="10" t="inlineStr">
        <is>
          <t>Nhân viên</t>
        </is>
      </c>
      <c r="H11288" s="10" t="inlineStr">
        <is>
          <t>28/01/2026</t>
        </is>
      </c>
      <c r="I11288" s="10" t="inlineStr">
        <is>
          <t>15/04/2026</t>
        </is>
      </c>
      <c r="J11288" s="10" t="inlineStr">
        <is>
          <t>17/03/2026</t>
        </is>
      </c>
      <c r="K11288" s="10" t="inlineStr">
        <is>
          <t>N/A</t>
        </is>
      </c>
      <c r="L11288" s="10" t="inlineStr">
        <is>
          <t>Structural Design, Etabs, SAP2000, AutoCAD, Shop Drawing</t>
        </is>
      </c>
      <c r="M11288" s="10" t="inlineStr">
        <is>
          <t>Bonus, Healthcare Plan, Training</t>
        </is>
      </c>
      <c r="N11288" s="11">
        <f>HYPERLINK("https://www.vietnamworks.com/ky-su-thiet-ke-ket-cau-structural-design-engineer--2007423-jv","Xem chi tiết")</f>
        <v/>
      </c>
      <c r="O11288" s="10" t="n"/>
    </row>
    <row r="11289">
      <c r="B11289" s="7" t="n">
        <v>11287</v>
      </c>
      <c r="C11289" t="inlineStr">
        <is>
          <t>Giám Sát Nhà Phân Phối (Miền Tây)</t>
        </is>
      </c>
      <c r="D11289" t="inlineStr">
        <is>
          <t>Công Ty Cổ Phần Sữa Việt Nam (Vinamilk)</t>
        </is>
      </c>
      <c r="E11289" t="inlineStr">
        <is>
          <t>Thương lượng</t>
        </is>
      </c>
      <c r="F11289" t="inlineStr">
        <is>
          <t>Cần Thơ, Bạc Liêu</t>
        </is>
      </c>
      <c r="G11289" t="inlineStr">
        <is>
          <t>Nhân viên</t>
        </is>
      </c>
      <c r="H11289" t="inlineStr">
        <is>
          <t>29/01/2026</t>
        </is>
      </c>
      <c r="I11289" t="inlineStr">
        <is>
          <t>15/04/2026</t>
        </is>
      </c>
      <c r="J11289" t="inlineStr">
        <is>
          <t>17/03/2026</t>
        </is>
      </c>
      <c r="K11289" t="inlineStr">
        <is>
          <t>N/A</t>
        </is>
      </c>
      <c r="L11289" t="inlineStr">
        <is>
          <t>FMCG, Sales Supervisor, Sales Team Leadership, Giám Sát Bán Hàng, Quản Lý Nhân Viên</t>
        </is>
      </c>
      <c r="M11289" t="inlineStr">
        <is>
          <t>Bonus, Healthcare Plan, Training</t>
        </is>
      </c>
      <c r="N11289" s="8">
        <f>HYPERLINK("https://www.vietnamworks.com/giam-sat-nha-phan-phoi-mien-tay--2007450-jv","Xem chi tiết")</f>
        <v/>
      </c>
    </row>
    <row r="11290">
      <c r="B11290" s="9" t="n">
        <v>11288</v>
      </c>
      <c r="C11290" s="10" t="inlineStr">
        <is>
          <t>Learning Experience Design Coordinator</t>
        </is>
      </c>
      <c r="D11290" s="10" t="inlineStr">
        <is>
          <t>Trường THCS Và THPT Đinh Thiện Lý ( Lawrence S.ting School )</t>
        </is>
      </c>
      <c r="E11290" s="10" t="inlineStr">
        <is>
          <t>Thương lượng</t>
        </is>
      </c>
      <c r="F11290" s="10" t="inlineStr">
        <is>
          <t>Hồ Chí Minh</t>
        </is>
      </c>
      <c r="G11290" s="10" t="inlineStr">
        <is>
          <t>Nhân viên</t>
        </is>
      </c>
      <c r="H11290" s="10" t="inlineStr">
        <is>
          <t>28/01/2026</t>
        </is>
      </c>
      <c r="I11290" s="10" t="inlineStr">
        <is>
          <t>15/04/2026</t>
        </is>
      </c>
      <c r="J11290" s="10" t="inlineStr">
        <is>
          <t>17/03/2026</t>
        </is>
      </c>
      <c r="K11290" s="10" t="inlineStr">
        <is>
          <t>N/A</t>
        </is>
      </c>
      <c r="L11290" s="10" t="inlineStr">
        <is>
          <t>Canvas LMS, E-Learning, EdTech, Instructional Design, Learning Management System (LMS)</t>
        </is>
      </c>
      <c r="M11290" s="10" t="inlineStr">
        <is>
          <t>Bonus, Healthcare Plan, Paid Leave, Others</t>
        </is>
      </c>
      <c r="N11290" s="11">
        <f>HYPERLINK("https://www.vietnamworks.com/learning-experience-design-coordinator-2007392-jv","Xem chi tiết")</f>
        <v/>
      </c>
      <c r="O11290" s="10" t="n"/>
    </row>
    <row r="11291">
      <c r="B11291" s="7" t="n">
        <v>11289</v>
      </c>
      <c r="C11291" t="inlineStr">
        <is>
          <t>Giám Sát Nhà Phân Phối (Sales Supervisor)</t>
        </is>
      </c>
      <c r="D11291" t="inlineStr">
        <is>
          <t>Công Ty Cổ Phần Sữa Việt Nam (Vinamilk)</t>
        </is>
      </c>
      <c r="E11291" t="inlineStr">
        <is>
          <t>Thương lượng</t>
        </is>
      </c>
      <c r="F11291" t="inlineStr">
        <is>
          <t>Hồ Chí Minh, Tây Ninh, Đồng Nai</t>
        </is>
      </c>
      <c r="G11291" t="inlineStr">
        <is>
          <t>Nhân viên</t>
        </is>
      </c>
      <c r="H11291" t="inlineStr">
        <is>
          <t>29/01/2026</t>
        </is>
      </c>
      <c r="I11291" t="inlineStr">
        <is>
          <t>15/04/2026</t>
        </is>
      </c>
      <c r="J11291" t="inlineStr">
        <is>
          <t>17/03/2026</t>
        </is>
      </c>
      <c r="K11291" t="inlineStr">
        <is>
          <t>N/A</t>
        </is>
      </c>
      <c r="L11291" t="inlineStr">
        <is>
          <t>Sales Supervisor, Sales Development, General Trade, GT Channel, FMCG</t>
        </is>
      </c>
      <c r="M11291" t="inlineStr">
        <is>
          <t>Bonus, Healthcare Plan, Training</t>
        </is>
      </c>
      <c r="N11291" s="8">
        <f>HYPERLINK("https://www.vietnamworks.com/giam-sat-nha-phan-phoi-sales-supervisor--2007458-jv","Xem chi tiết")</f>
        <v/>
      </c>
    </row>
    <row r="11292">
      <c r="B11292" s="9" t="n">
        <v>11290</v>
      </c>
      <c r="C11292" s="10" t="inlineStr">
        <is>
          <t>Kỹ Sư Tích Hợp IoT</t>
        </is>
      </c>
      <c r="D11292" s="10" t="inlineStr">
        <is>
          <t>Công Ty Cổ phần FSI Việt Nam</t>
        </is>
      </c>
      <c r="E11292" s="10" t="inlineStr">
        <is>
          <t>25tr-35tr ₫/tháng</t>
        </is>
      </c>
      <c r="F11292" s="10" t="inlineStr">
        <is>
          <t>Hà Nội</t>
        </is>
      </c>
      <c r="G11292" s="10" t="inlineStr">
        <is>
          <t>Nhân viên</t>
        </is>
      </c>
      <c r="H11292" s="10" t="inlineStr">
        <is>
          <t>28/01/2026</t>
        </is>
      </c>
      <c r="I11292" s="10" t="inlineStr">
        <is>
          <t>15/04/2026</t>
        </is>
      </c>
      <c r="J11292" s="10" t="inlineStr">
        <is>
          <t>17/03/2026</t>
        </is>
      </c>
      <c r="K11292" s="10" t="inlineStr">
        <is>
          <t>N/A</t>
        </is>
      </c>
      <c r="L11292" s="10" t="inlineStr">
        <is>
          <t>Thiết Kế Hệ Thống Điện, Giao Thức Iot, Thiết Kế Mạch Điện Tử, An Toàn Điện, Nghiên Cứu Sản Phẩm</t>
        </is>
      </c>
      <c r="M11292" s="10" t="inlineStr">
        <is>
          <t>Bonus, Training, Team Activities, Others</t>
        </is>
      </c>
      <c r="N11292" s="11">
        <f>HYPERLINK("https://www.vietnamworks.com/ky-su-tich-hop-iot-2007220-jv","Xem chi tiết")</f>
        <v/>
      </c>
      <c r="O11292" s="10" t="n"/>
    </row>
    <row r="11293">
      <c r="B11293" s="7" t="n">
        <v>11291</v>
      </c>
      <c r="C11293" t="inlineStr">
        <is>
          <t>Trưởng Phòng Kế Toán Dự Án Bất Động Sản</t>
        </is>
      </c>
      <c r="D11293" t="inlineStr">
        <is>
          <t>T&amp;T Group</t>
        </is>
      </c>
      <c r="E11293" t="inlineStr">
        <is>
          <t>Thương lượng</t>
        </is>
      </c>
      <c r="F11293" t="inlineStr">
        <is>
          <t>Hà Nội</t>
        </is>
      </c>
      <c r="G11293" t="inlineStr">
        <is>
          <t>Trưởng phòng</t>
        </is>
      </c>
      <c r="H11293" t="inlineStr">
        <is>
          <t>28/01/2026</t>
        </is>
      </c>
      <c r="I11293" t="inlineStr">
        <is>
          <t>15/04/2026</t>
        </is>
      </c>
      <c r="J11293" t="inlineStr">
        <is>
          <t>17/03/2026</t>
        </is>
      </c>
      <c r="K11293" t="inlineStr">
        <is>
          <t>N/A</t>
        </is>
      </c>
      <c r="L11293" t="inlineStr">
        <is>
          <t>Kế Toán Dự Án, Kế Toán Bán Hàng, Kế Toán Chi Phí, Kế Toán Giá Thành</t>
        </is>
      </c>
      <c r="M11293" t="inlineStr">
        <is>
          <t>Bonus, Healthcare Plan, Others</t>
        </is>
      </c>
      <c r="N11293" s="8">
        <f>HYPERLINK("https://www.vietnamworks.com/truong-phong-ke-toan-du-an-bat-dong-san-2007131-jv","Xem chi tiết")</f>
        <v/>
      </c>
    </row>
    <row r="11294">
      <c r="B11294" s="9" t="n">
        <v>11292</v>
      </c>
      <c r="C11294" s="10" t="inlineStr">
        <is>
          <t>Marketing Supervisor</t>
        </is>
      </c>
      <c r="D11294" s="10" t="inlineStr">
        <is>
          <t>CÔNG TY TNHH FOBE</t>
        </is>
      </c>
      <c r="E11294" s="10" t="inlineStr">
        <is>
          <t>Thương lượng</t>
        </is>
      </c>
      <c r="F11294" s="10" t="inlineStr">
        <is>
          <t>Hồ Chí Minh</t>
        </is>
      </c>
      <c r="G11294" s="10" t="inlineStr">
        <is>
          <t>Nhân viên</t>
        </is>
      </c>
      <c r="H11294" s="10" t="inlineStr">
        <is>
          <t>29/01/2026</t>
        </is>
      </c>
      <c r="I11294" s="10" t="inlineStr">
        <is>
          <t>15/04/2026</t>
        </is>
      </c>
      <c r="J11294" s="10" t="inlineStr">
        <is>
          <t>17/03/2026</t>
        </is>
      </c>
      <c r="K11294" s="10" t="inlineStr">
        <is>
          <t>N/A</t>
        </is>
      </c>
      <c r="L11294" s="10" t="inlineStr">
        <is>
          <t>Kinh Doanh Thực Phẩm, Marketing, Trade Marketing, Event Organizing, Tiếng Anh Lưu Loát</t>
        </is>
      </c>
      <c r="M11294" s="10" t="inlineStr">
        <is>
          <t>Bonus, Healthcare Plan, Training, Travel Opportunities, Others</t>
        </is>
      </c>
      <c r="N11294" s="11">
        <f>HYPERLINK("https://www.vietnamworks.com/marketing-supervisor-2007801-jv","Xem chi tiết")</f>
        <v/>
      </c>
      <c r="O11294" s="10" t="n"/>
    </row>
    <row r="11295">
      <c r="B11295" s="7" t="n">
        <v>11293</v>
      </c>
      <c r="C11295" t="inlineStr">
        <is>
          <t>Senior Pricing Specialist - Inhouse Logistics</t>
        </is>
      </c>
      <c r="D11295" t="inlineStr">
        <is>
          <t>Stavian Group</t>
        </is>
      </c>
      <c r="E11295" t="inlineStr">
        <is>
          <t>Thương lượng</t>
        </is>
      </c>
      <c r="F11295" t="inlineStr">
        <is>
          <t>Hà Nội</t>
        </is>
      </c>
      <c r="G11295" t="inlineStr">
        <is>
          <t>Nhân viên</t>
        </is>
      </c>
      <c r="H11295" t="inlineStr">
        <is>
          <t>29/01/2026</t>
        </is>
      </c>
      <c r="I11295" t="inlineStr">
        <is>
          <t>15/04/2026</t>
        </is>
      </c>
      <c r="J11295" t="inlineStr">
        <is>
          <t>17/03/2026</t>
        </is>
      </c>
      <c r="K11295" t="inlineStr">
        <is>
          <t>N/A</t>
        </is>
      </c>
      <c r="L11295" t="inlineStr">
        <is>
          <t>Logistics Experience, Pricing negotiation, Sea Shipments, Sea Freight, Shipping Lines</t>
        </is>
      </c>
      <c r="M11295" t="inlineStr">
        <is>
          <t>Bonus, Healthcare Plan, Travel Opportunities</t>
        </is>
      </c>
      <c r="N11295" s="8">
        <f>HYPERLINK("https://www.vietnamworks.com/senior-pricing-specialist-inhouse-logistics-2007692-jv","Xem chi tiết")</f>
        <v/>
      </c>
    </row>
    <row r="11296">
      <c r="B11296" s="9" t="n">
        <v>11294</v>
      </c>
      <c r="C11296" s="10" t="inlineStr">
        <is>
          <t>Giám Đốc Quản Lý Chất Lượng</t>
        </is>
      </c>
      <c r="D11296" s="10" t="inlineStr">
        <is>
          <t>Công Ty TNHH Thương Mại Sản Xuất Tân Hùng Cơ</t>
        </is>
      </c>
      <c r="E11296" s="10" t="inlineStr">
        <is>
          <t>30tr-45tr ₫/tháng</t>
        </is>
      </c>
      <c r="F11296" s="10" t="inlineStr">
        <is>
          <t>Long An, Hồ Chí Minh</t>
        </is>
      </c>
      <c r="G11296" s="10" t="inlineStr">
        <is>
          <t>Giám Đốc và Cấp Cao Hơn</t>
        </is>
      </c>
      <c r="H11296" s="10" t="inlineStr">
        <is>
          <t>29/01/2026</t>
        </is>
      </c>
      <c r="I11296" s="10" t="inlineStr">
        <is>
          <t>15/04/2026</t>
        </is>
      </c>
      <c r="J11296" s="10" t="inlineStr">
        <is>
          <t>17/03/2026</t>
        </is>
      </c>
      <c r="K11296" s="10" t="inlineStr">
        <is>
          <t>N/A</t>
        </is>
      </c>
      <c r="L11296" s="10" t="inlineStr">
        <is>
          <t>Kiểm Soát Chất Lượng, Quality Management, Quality Control, plastic, QA/QC</t>
        </is>
      </c>
      <c r="M11296" s="10" t="inlineStr">
        <is>
          <t>Bonus, Training, Travel Opportunities</t>
        </is>
      </c>
      <c r="N11296" s="11">
        <f>HYPERLINK("https://www.vietnamworks.com/giam-doc-quan-ly-chat-luong--2007724-jv","Xem chi tiết")</f>
        <v/>
      </c>
      <c r="O11296" s="10" t="n"/>
    </row>
    <row r="11297">
      <c r="B11297" s="7" t="n">
        <v>11295</v>
      </c>
      <c r="C11297" t="inlineStr">
        <is>
          <t>Global Sales Specialist - Kinh Doanh Quốc Tế Lương Upto 1800$</t>
        </is>
      </c>
      <c r="D11297" t="inlineStr">
        <is>
          <t>Công ty TNHH Cáp điện KBI Cosmolink Vina</t>
        </is>
      </c>
      <c r="E11297" t="inlineStr">
        <is>
          <t>Tới $ 2,000 /tháng</t>
        </is>
      </c>
      <c r="F11297" t="inlineStr">
        <is>
          <t>Hà Nội</t>
        </is>
      </c>
      <c r="G11297" t="inlineStr">
        <is>
          <t>Nhân viên</t>
        </is>
      </c>
      <c r="H11297" t="inlineStr">
        <is>
          <t>29/01/2026</t>
        </is>
      </c>
      <c r="I11297" t="inlineStr">
        <is>
          <t>15/04/2026</t>
        </is>
      </c>
      <c r="J11297" t="inlineStr">
        <is>
          <t>17/03/2026</t>
        </is>
      </c>
      <c r="K11297" t="inlineStr">
        <is>
          <t>N/A</t>
        </is>
      </c>
      <c r="L11297" t="inlineStr">
        <is>
          <t>Excel, ERP, Communication English, Market Research, Reporting</t>
        </is>
      </c>
      <c r="M11297" t="inlineStr">
        <is>
          <t>Bonus, Healthcare Plan, Team Activities</t>
        </is>
      </c>
      <c r="N11297" s="8">
        <f>HYPERLINK("https://www.vietnamworks.com/global-sales-specialist-kinh-doanh-quoc-te-luong-upto-1800-2007833-jv","Xem chi tiết")</f>
        <v/>
      </c>
    </row>
    <row r="11298">
      <c r="B11298" s="9" t="n">
        <v>11296</v>
      </c>
      <c r="C11298" s="10" t="inlineStr">
        <is>
          <t>Nhân Viên Kỹ Thuật Sửa Chữa Xe Nâng</t>
        </is>
      </c>
      <c r="D11298" s="10" t="inlineStr">
        <is>
          <t>CÔNG TY TNHH INDUSTREE VIETNAM</t>
        </is>
      </c>
      <c r="E11298" s="10" t="inlineStr">
        <is>
          <t>10tr-15tr ₫/tháng</t>
        </is>
      </c>
      <c r="F11298" s="10" t="inlineStr">
        <is>
          <t>Bình Dương, Hồ Chí Minh</t>
        </is>
      </c>
      <c r="G11298" s="10" t="inlineStr">
        <is>
          <t>Nhân viên</t>
        </is>
      </c>
      <c r="H11298" s="10" t="inlineStr">
        <is>
          <t>29/01/2026</t>
        </is>
      </c>
      <c r="I11298" s="10" t="inlineStr">
        <is>
          <t>15/04/2026</t>
        </is>
      </c>
      <c r="J11298" s="10" t="inlineStr">
        <is>
          <t>17/03/2026</t>
        </is>
      </c>
      <c r="K11298" s="10" t="inlineStr">
        <is>
          <t>N/A</t>
        </is>
      </c>
      <c r="L11298" s="10" t="inlineStr">
        <is>
          <t>Sửa Chữa Xe Nâng, Bảo Trì Xe Nâng, Thay Thế Phụ Tùng, Sửa Chữa Ô Tô, Cơ Khí</t>
        </is>
      </c>
      <c r="M11298" s="10" t="inlineStr">
        <is>
          <t>Bonus, Healthcare Plan, Training, Team Activities, Others</t>
        </is>
      </c>
      <c r="N11298" s="11">
        <f>HYPERLINK("https://www.vietnamworks.com/nhan-vien-ky-thuat-sua-chua-xe-nang-2007847-jv","Xem chi tiết")</f>
        <v/>
      </c>
      <c r="O11298" s="10" t="n"/>
    </row>
    <row r="11299">
      <c r="B11299" s="7" t="n">
        <v>11297</v>
      </c>
      <c r="C11299" t="inlineStr">
        <is>
          <t>Senior Manager, Country OMS (Operations Excellence)</t>
        </is>
      </c>
      <c r="D11299" t="inlineStr">
        <is>
          <t>DHL Supply Chain</t>
        </is>
      </c>
      <c r="E11299" t="inlineStr">
        <is>
          <t>Thương lượng</t>
        </is>
      </c>
      <c r="F11299" t="inlineStr">
        <is>
          <t>Hồ Chí Minh, Bình Dương, Đồng Nai</t>
        </is>
      </c>
      <c r="G11299" t="inlineStr">
        <is>
          <t>Trưởng phòng</t>
        </is>
      </c>
      <c r="H11299" t="inlineStr">
        <is>
          <t>29/01/2026</t>
        </is>
      </c>
      <c r="I11299" t="inlineStr">
        <is>
          <t>15/04/2026</t>
        </is>
      </c>
      <c r="J11299" t="inlineStr">
        <is>
          <t>17/03/2026</t>
        </is>
      </c>
      <c r="K11299" t="inlineStr">
        <is>
          <t>N/A</t>
        </is>
      </c>
      <c r="L11299" t="inlineStr">
        <is>
          <t>Continuous Improvement, Lean, Lean Thinking, Operational Excellence, Warehouse operational experience</t>
        </is>
      </c>
      <c r="M11299" t="inlineStr">
        <is>
          <t>Bonus, Training, Others</t>
        </is>
      </c>
      <c r="N11299" s="8">
        <f>HYPERLINK("https://www.vietnamworks.com/senior-manager-country-oms-operations-excellence-2007874-jv","Xem chi tiết")</f>
        <v/>
      </c>
    </row>
    <row r="11300">
      <c r="B11300" s="9" t="n">
        <v>11298</v>
      </c>
      <c r="C11300" s="10" t="inlineStr">
        <is>
          <t>Nhân Viên Mua Hàng</t>
        </is>
      </c>
      <c r="D11300" s="10" t="inlineStr">
        <is>
          <t>Công Ty TNHH Thủ Công Mỹ Nghệ Và Nội Thất Ngọc Sơn</t>
        </is>
      </c>
      <c r="E11300" s="10" t="inlineStr">
        <is>
          <t>Thương lượng</t>
        </is>
      </c>
      <c r="F11300" s="10" t="inlineStr">
        <is>
          <t>Hà Nội</t>
        </is>
      </c>
      <c r="G11300" s="10" t="inlineStr">
        <is>
          <t>Nhân viên</t>
        </is>
      </c>
      <c r="H11300" s="10" t="inlineStr">
        <is>
          <t>29/01/2026</t>
        </is>
      </c>
      <c r="I11300" s="10" t="inlineStr">
        <is>
          <t>15/04/2026</t>
        </is>
      </c>
      <c r="J11300" s="10" t="inlineStr">
        <is>
          <t>17/03/2026</t>
        </is>
      </c>
      <c r="K11300" s="10" t="inlineStr">
        <is>
          <t>N/A</t>
        </is>
      </c>
      <c r="L11300" s="10" t="inlineStr">
        <is>
          <t>Thu Mua, Mua Hàng, Kế Toán, Xuất Nhập Khẩu</t>
        </is>
      </c>
      <c r="M11300" s="10" t="inlineStr">
        <is>
          <t>Bonus, Healthcare Plan, Training</t>
        </is>
      </c>
      <c r="N11300" s="11">
        <f>HYPERLINK("https://www.vietnamworks.com/nhan-vien-mua-hang-452--2007746-jv","Xem chi tiết")</f>
        <v/>
      </c>
      <c r="O11300" s="10" t="n"/>
    </row>
    <row r="11301">
      <c r="B11301" s="7" t="n">
        <v>11299</v>
      </c>
      <c r="C11301" t="inlineStr">
        <is>
          <t>Chuyên Viên Kinh Doanh Dự Án Lương Upto 1200 (Từ 1 Năm KN)</t>
        </is>
      </c>
      <c r="D11301" t="inlineStr">
        <is>
          <t>Công ty TNHH Cáp điện KBI Cosmolink Vina</t>
        </is>
      </c>
      <c r="E11301" t="inlineStr">
        <is>
          <t>$$ 600-1,200 /tháng</t>
        </is>
      </c>
      <c r="F11301" t="inlineStr">
        <is>
          <t>Hà Nội</t>
        </is>
      </c>
      <c r="G11301" t="inlineStr">
        <is>
          <t>Nhân viên</t>
        </is>
      </c>
      <c r="H11301" t="inlineStr">
        <is>
          <t>29/01/2026</t>
        </is>
      </c>
      <c r="I11301" t="inlineStr">
        <is>
          <t>15/04/2026</t>
        </is>
      </c>
      <c r="J11301" t="inlineStr">
        <is>
          <t>17/03/2026</t>
        </is>
      </c>
      <c r="K11301" t="inlineStr">
        <is>
          <t>N/A</t>
        </is>
      </c>
      <c r="L11301" t="inlineStr">
        <is>
          <t>Kinh Doanh, Tìm Kiếm Khách Hàng, Chăm Sóc Khách Hàng, Kinh Doanh Cáp Điện</t>
        </is>
      </c>
      <c r="M11301" t="inlineStr">
        <is>
          <t>Bonus, Healthcare Plan, Team Activities</t>
        </is>
      </c>
      <c r="N11301" s="8">
        <f>HYPERLINK("https://www.vietnamworks.com/chuyen-vien-kinh-doanh-du-an-luong-upto-1200-tu-1-nam-kn-2007831-jv","Xem chi tiết")</f>
        <v/>
      </c>
    </row>
    <row r="11302">
      <c r="B11302" s="9" t="n">
        <v>11300</v>
      </c>
      <c r="C11302" s="10" t="inlineStr">
        <is>
          <t>Nhân Viên Kinh Doanh</t>
        </is>
      </c>
      <c r="D11302" s="10" t="inlineStr">
        <is>
          <t>CÔNG TY TNHH INDUSTREE VIETNAM</t>
        </is>
      </c>
      <c r="E11302" s="10" t="inlineStr">
        <is>
          <t>Tới 20tr ₫/tháng</t>
        </is>
      </c>
      <c r="F11302" s="10" t="inlineStr">
        <is>
          <t>Bình Dương, Hồ Chí Minh</t>
        </is>
      </c>
      <c r="G11302" s="10" t="inlineStr">
        <is>
          <t>Nhân viên</t>
        </is>
      </c>
      <c r="H11302" s="10" t="inlineStr">
        <is>
          <t>29/01/2026</t>
        </is>
      </c>
      <c r="I11302" s="10" t="inlineStr">
        <is>
          <t>15/04/2026</t>
        </is>
      </c>
      <c r="J11302" s="10" t="inlineStr">
        <is>
          <t>17/03/2026</t>
        </is>
      </c>
      <c r="K11302" s="10" t="inlineStr">
        <is>
          <t>N/A</t>
        </is>
      </c>
      <c r="L11302" s="10" t="inlineStr">
        <is>
          <t>Kinh Doanh, Sales Kỹ Thuật, XE NÂNG, Bán Hàng, Bán Hàng Cơ Khí</t>
        </is>
      </c>
      <c r="M11302" s="10" t="inlineStr">
        <is>
          <t>Bonus, Healthcare Plan, Training, Team Activities, Others</t>
        </is>
      </c>
      <c r="N11302" s="11">
        <f>HYPERLINK("https://www.vietnamworks.com/nhan-vien-kinh-doanh-2007879-jv","Xem chi tiết")</f>
        <v/>
      </c>
      <c r="O11302" s="10" t="n"/>
    </row>
    <row r="11303">
      <c r="B11303" s="7" t="n">
        <v>11301</v>
      </c>
      <c r="C11303" t="inlineStr">
        <is>
          <t>Senior Manager, Country HSE</t>
        </is>
      </c>
      <c r="D11303" t="inlineStr">
        <is>
          <t>DHL Supply Chain</t>
        </is>
      </c>
      <c r="E11303" t="inlineStr">
        <is>
          <t>Thương lượng</t>
        </is>
      </c>
      <c r="F11303" t="inlineStr">
        <is>
          <t>Hồ Chí Minh, Đồng Nai, Bình Dương</t>
        </is>
      </c>
      <c r="G11303" t="inlineStr">
        <is>
          <t>Trưởng phòng</t>
        </is>
      </c>
      <c r="H11303" t="inlineStr">
        <is>
          <t>29/01/2026</t>
        </is>
      </c>
      <c r="I11303" t="inlineStr">
        <is>
          <t>15/04/2026</t>
        </is>
      </c>
      <c r="J11303" t="inlineStr">
        <is>
          <t>17/03/2026</t>
        </is>
      </c>
      <c r="K11303" t="inlineStr">
        <is>
          <t>N/A</t>
        </is>
      </c>
      <c r="L11303" t="inlineStr">
        <is>
          <t>HSE, HSE Certification, HSE Training, HSE Audit, HSE Management</t>
        </is>
      </c>
      <c r="M11303" t="inlineStr">
        <is>
          <t>Bonus, Training, Others</t>
        </is>
      </c>
      <c r="N11303" s="8">
        <f>HYPERLINK("https://www.vietnamworks.com/senior-manager-country-hse-2007880-jv","Xem chi tiết")</f>
        <v/>
      </c>
    </row>
    <row r="11304">
      <c r="B11304" s="9" t="n">
        <v>11302</v>
      </c>
      <c r="C11304" s="10" t="inlineStr">
        <is>
          <t>Nhân Viên Chăm Sóc Người Cao Tuổi</t>
        </is>
      </c>
      <c r="D11304" s="10" t="inlineStr">
        <is>
          <t>Plaisant Vietnam</t>
        </is>
      </c>
      <c r="E11304" s="10" t="inlineStr">
        <is>
          <t>8.875tr-18.335tr ₫/tháng</t>
        </is>
      </c>
      <c r="F11304" s="10" t="inlineStr">
        <is>
          <t>Hà Nội</t>
        </is>
      </c>
      <c r="G11304" s="10" t="inlineStr">
        <is>
          <t>Mới Tốt Nghiệp</t>
        </is>
      </c>
      <c r="H11304" s="10" t="inlineStr">
        <is>
          <t>12/03/2026</t>
        </is>
      </c>
      <c r="I11304" s="10" t="inlineStr">
        <is>
          <t>15/04/2026</t>
        </is>
      </c>
      <c r="J11304" s="10" t="inlineStr">
        <is>
          <t>17/03/2026</t>
        </is>
      </c>
      <c r="K11304" s="10" t="inlineStr">
        <is>
          <t>N/A</t>
        </is>
      </c>
      <c r="L11304" s="10" t="inlineStr">
        <is>
          <t>Chăm Sóc Sức Khỏe, Hỗ Trợ Người Cao Tuổi, Giao Tiếp, Chăm Sóc Người Già, điều dưỡng</t>
        </is>
      </c>
      <c r="M11304" s="10" t="inlineStr">
        <is>
          <t>Bonus, Healthcare Plan, Canteen</t>
        </is>
      </c>
      <c r="N11304" s="11">
        <f>HYPERLINK("https://www.vietnamworks.com/nhan-vien-cham-soc-nguoi-cao-tuoi-2022513-jv","Xem chi tiết")</f>
        <v/>
      </c>
      <c r="O11304" s="10" t="n"/>
    </row>
    <row r="11305">
      <c r="B11305" s="7" t="n">
        <v>11303</v>
      </c>
      <c r="C11305" t="inlineStr">
        <is>
          <t>Senior Sales Tour Inbound - Basic Salary: Upto 15 Million VND + Commision</t>
        </is>
      </c>
      <c r="D11305" t="inlineStr">
        <is>
          <t>Exotic Voyages</t>
        </is>
      </c>
      <c r="E11305" t="inlineStr">
        <is>
          <t>$$ 700-1,000 /tháng</t>
        </is>
      </c>
      <c r="F11305" t="inlineStr">
        <is>
          <t>Hà Nội</t>
        </is>
      </c>
      <c r="G11305" t="inlineStr">
        <is>
          <t>Nhân viên</t>
        </is>
      </c>
      <c r="H11305" t="inlineStr">
        <is>
          <t>29/01/2026</t>
        </is>
      </c>
      <c r="I11305" t="inlineStr">
        <is>
          <t>15/04/2026</t>
        </is>
      </c>
      <c r="J11305" t="inlineStr">
        <is>
          <t>17/03/2026</t>
        </is>
      </c>
      <c r="K11305" t="inlineStr">
        <is>
          <t>N/A</t>
        </is>
      </c>
      <c r="L11305" t="inlineStr">
        <is>
          <t>Inbound Tour, English, B2B Business, Relationship Management, Quotation Making</t>
        </is>
      </c>
      <c r="M11305" t="inlineStr">
        <is>
          <t>Healthcare Plan, Paid Leave, Canteen</t>
        </is>
      </c>
      <c r="N11305" s="8">
        <f>HYPERLINK("https://www.vietnamworks.com/senior-sales-tour-inbound-basic-salary-upto-15-million-vnd-commision--2007878-jv","Xem chi tiết")</f>
        <v/>
      </c>
    </row>
    <row r="11306">
      <c r="B11306" s="9" t="n">
        <v>11304</v>
      </c>
      <c r="C11306" s="10" t="inlineStr">
        <is>
          <t>Nhân Viên Hành Chính + Hỗ Trợ Xử Lý Hồ Sơ</t>
        </is>
      </c>
      <c r="D11306" s="10" t="inlineStr">
        <is>
          <t>CÔNG TY TNHH GIÁO DỤC &amp; ĐẦU TƯ CANADA WAY</t>
        </is>
      </c>
      <c r="E11306" s="10" t="inlineStr">
        <is>
          <t>8tr-9tr ₫/tháng</t>
        </is>
      </c>
      <c r="F11306" s="10" t="inlineStr">
        <is>
          <t>Hồ Chí Minh</t>
        </is>
      </c>
      <c r="G11306" s="10" t="inlineStr">
        <is>
          <t>Mới Tốt Nghiệp</t>
        </is>
      </c>
      <c r="H11306" s="10" t="inlineStr">
        <is>
          <t>10/03/2026</t>
        </is>
      </c>
      <c r="I11306" s="10" t="inlineStr">
        <is>
          <t>15/04/2026</t>
        </is>
      </c>
      <c r="J11306" s="10" t="inlineStr">
        <is>
          <t>17/03/2026</t>
        </is>
      </c>
      <c r="K11306" s="10" t="inlineStr">
        <is>
          <t>N/A</t>
        </is>
      </c>
      <c r="L11306" s="10" t="inlineStr">
        <is>
          <t>Kỹ Năng Quản Lý, Thành Thạo Excel, Thành Thạo Tiếng Lào, Tiếng Anh Căn Bản, Định Hướng Công Việc</t>
        </is>
      </c>
      <c r="M11306" s="10" t="inlineStr">
        <is>
          <t>Bonus, Healthcare Plan, Paid Leave</t>
        </is>
      </c>
      <c r="N11306" s="11">
        <f>HYPERLINK("https://www.vietnamworks.com/nhan-vien-hanh-chinh-ho-tro-xu-ly-ho-so-2020974-jv","Xem chi tiết")</f>
        <v/>
      </c>
      <c r="O11306" s="10" t="n"/>
    </row>
    <row r="11307">
      <c r="B11307" s="7" t="n">
        <v>11305</v>
      </c>
      <c r="C11307" t="inlineStr">
        <is>
          <t>Logistics Staff (Chinese Required)</t>
        </is>
      </c>
      <c r="D11307" t="inlineStr">
        <is>
          <t>Quantel Global Vietnam Co. Ltd</t>
        </is>
      </c>
      <c r="E11307" t="inlineStr">
        <is>
          <t>Thương lượng</t>
        </is>
      </c>
      <c r="F11307" t="inlineStr">
        <is>
          <t>Hà Nội</t>
        </is>
      </c>
      <c r="G11307" t="inlineStr">
        <is>
          <t>Nhân viên</t>
        </is>
      </c>
      <c r="H11307" t="inlineStr">
        <is>
          <t>29/01/2026</t>
        </is>
      </c>
      <c r="I11307" t="inlineStr">
        <is>
          <t>15/04/2026</t>
        </is>
      </c>
      <c r="J11307" t="inlineStr">
        <is>
          <t>17/03/2026</t>
        </is>
      </c>
      <c r="K11307" t="inlineStr">
        <is>
          <t>N/A</t>
        </is>
      </c>
      <c r="L11307" t="inlineStr">
        <is>
          <t>Import &amp; Export, Logistics, English, MS Office, Customs</t>
        </is>
      </c>
      <c r="M11307" t="inlineStr">
        <is>
          <t>Bonus, Healthcare Plan, Training, Travel Opportunities, Transportation, Others</t>
        </is>
      </c>
      <c r="N11307" s="8">
        <f>HYPERLINK("https://www.vietnamworks.com/logistics-staff-chinese-required-2007904-jv","Xem chi tiết")</f>
        <v/>
      </c>
    </row>
    <row r="11308">
      <c r="B11308" s="9" t="n">
        <v>11306</v>
      </c>
      <c r="C11308" s="10" t="inlineStr">
        <is>
          <t>Trưởng Phòng Bán Hàng / Sales Manager</t>
        </is>
      </c>
      <c r="D11308" s="10" t="inlineStr">
        <is>
          <t>O-SUNG VINA</t>
        </is>
      </c>
      <c r="E11308" s="10" t="inlineStr">
        <is>
          <t>Thương lượng</t>
        </is>
      </c>
      <c r="F11308" s="10" t="inlineStr">
        <is>
          <t>Hồ Chí Minh, Bà Rịa - Vũng Tàu</t>
        </is>
      </c>
      <c r="G11308" s="10" t="inlineStr">
        <is>
          <t>Trưởng phòng</t>
        </is>
      </c>
      <c r="H11308" s="10" t="inlineStr">
        <is>
          <t>12/03/2026</t>
        </is>
      </c>
      <c r="I11308" s="10" t="inlineStr">
        <is>
          <t>15/04/2026</t>
        </is>
      </c>
      <c r="J11308" s="10" t="inlineStr">
        <is>
          <t>17/03/2026</t>
        </is>
      </c>
      <c r="K11308" s="10" t="inlineStr">
        <is>
          <t>N/A</t>
        </is>
      </c>
      <c r="L11308" s="10" t="inlineStr">
        <is>
          <t>Sales Management, Quản Lý Kinh Doanh, Kinh Doanh, Business Development, Bán Hàng</t>
        </is>
      </c>
      <c r="M11308" s="10" t="inlineStr">
        <is>
          <t>Healthcare Plan, Awards, Transportation</t>
        </is>
      </c>
      <c r="N11308" s="11">
        <f>HYPERLINK("https://www.vietnamworks.com/truong-phong-ban-hang-sales-manager--2022498-jv","Xem chi tiết")</f>
        <v/>
      </c>
      <c r="O11308" s="10" t="n"/>
    </row>
    <row r="11309">
      <c r="B11309" s="7" t="n">
        <v>11307</v>
      </c>
      <c r="C11309" t="inlineStr">
        <is>
          <t>Kế Toán Tổng Hợp</t>
        </is>
      </c>
      <c r="D11309" t="inlineStr">
        <is>
          <t>Công ty cổ phần bất động sản Lumia Estate</t>
        </is>
      </c>
      <c r="E11309" t="inlineStr">
        <is>
          <t>Thương lượng</t>
        </is>
      </c>
      <c r="F11309" t="inlineStr">
        <is>
          <t>Hà Nội</t>
        </is>
      </c>
      <c r="G11309" t="inlineStr">
        <is>
          <t>Nhân viên</t>
        </is>
      </c>
      <c r="H11309" t="inlineStr">
        <is>
          <t>12/03/2026</t>
        </is>
      </c>
      <c r="I11309" t="inlineStr">
        <is>
          <t>15/04/2026</t>
        </is>
      </c>
      <c r="J11309" t="inlineStr">
        <is>
          <t>17/03/2026</t>
        </is>
      </c>
      <c r="K11309" t="inlineStr">
        <is>
          <t>N/A</t>
        </is>
      </c>
      <c r="L11309" t="inlineStr">
        <is>
          <t>General Accountant, General Accounting, General Accounting Principals, Kế Toán, Kế Toán Tổng Hợp</t>
        </is>
      </c>
      <c r="M11309" t="inlineStr">
        <is>
          <t>Bonus, Healthcare Plan, Others</t>
        </is>
      </c>
      <c r="N11309" s="8">
        <f>HYPERLINK("https://www.vietnamworks.com/ke-toan-tong-hop-2022569-jv","Xem chi tiết")</f>
        <v/>
      </c>
    </row>
    <row r="11310">
      <c r="B11310" s="9" t="n">
        <v>11308</v>
      </c>
      <c r="C11310" s="10" t="inlineStr">
        <is>
          <t>Giám Đốc Kinh Doanh</t>
        </is>
      </c>
      <c r="D11310" s="10" t="inlineStr">
        <is>
          <t>Công Ty CP Thiết Bị Điện Vi-na-si-no (VSEE JSC )</t>
        </is>
      </c>
      <c r="E11310" s="10" t="inlineStr">
        <is>
          <t>Thương lượng</t>
        </is>
      </c>
      <c r="F11310" s="10" t="inlineStr">
        <is>
          <t>Hồ Chí Minh</t>
        </is>
      </c>
      <c r="G11310" s="10" t="inlineStr">
        <is>
          <t>Giám Đốc và Cấp Cao Hơn</t>
        </is>
      </c>
      <c r="H11310" s="10" t="inlineStr">
        <is>
          <t>12/03/2026</t>
        </is>
      </c>
      <c r="I11310" s="10" t="inlineStr">
        <is>
          <t>15/04/2026</t>
        </is>
      </c>
      <c r="J11310" s="10" t="inlineStr">
        <is>
          <t>17/03/2026</t>
        </is>
      </c>
      <c r="K11310" s="10" t="inlineStr">
        <is>
          <t>N/A</t>
        </is>
      </c>
      <c r="L11310" s="10" t="inlineStr">
        <is>
          <t>Kinh Doanh, Marketing Development, Lãnh Đạo, Giao Tiếp, Phân Tích Da</t>
        </is>
      </c>
      <c r="M11310" s="10" t="inlineStr">
        <is>
          <t>Bonus, Others</t>
        </is>
      </c>
      <c r="N11310" s="11">
        <f>HYPERLINK("https://www.vietnamworks.com/giam-djoc-kinh-doanh-2022648-jv","Xem chi tiết")</f>
        <v/>
      </c>
      <c r="O11310" s="10" t="n"/>
    </row>
    <row r="11311">
      <c r="B11311" s="7" t="n">
        <v>11309</v>
      </c>
      <c r="C11311" t="inlineStr">
        <is>
          <t>Chỉ Huy Phó Công Trình (Chuyên QA/QC/QS) - Gấp Đi Làm Sau Tết</t>
        </is>
      </c>
      <c r="D11311" t="inlineStr">
        <is>
          <t>Công ty TNHH Xây dựng NEGECO</t>
        </is>
      </c>
      <c r="E11311" t="inlineStr">
        <is>
          <t>Thương lượng</t>
        </is>
      </c>
      <c r="F11311" t="inlineStr">
        <is>
          <t>Hồ Chí Minh</t>
        </is>
      </c>
      <c r="G11311" t="inlineStr">
        <is>
          <t>Trưởng phòng</t>
        </is>
      </c>
      <c r="H11311" t="inlineStr">
        <is>
          <t>29/01/2026</t>
        </is>
      </c>
      <c r="I11311" t="inlineStr">
        <is>
          <t>15/04/2026</t>
        </is>
      </c>
      <c r="J11311" t="inlineStr">
        <is>
          <t>17/03/2026</t>
        </is>
      </c>
      <c r="K11311" t="inlineStr">
        <is>
          <t>N/A</t>
        </is>
      </c>
      <c r="L11311" t="inlineStr">
        <is>
          <t>QS công trường, Chỉ Huy Công Trình, Giám Sát Công Trình, Giám Sát Xây Dựng, Chỉ Huy Xây Dựng</t>
        </is>
      </c>
      <c r="M11311" t="inlineStr">
        <is>
          <t>Bonus, Healthcare Plan, Training, Travel Opportunities, Team Activities, Others</t>
        </is>
      </c>
      <c r="N11311" s="8">
        <f>HYPERLINK("https://www.vietnamworks.com/chi-huy-pho-cong-trinh-chuyen-qa-qc-qs-gap-di-lam-sau-tet-2007703-jv","Xem chi tiết")</f>
        <v/>
      </c>
    </row>
    <row r="11312">
      <c r="B11312" s="9" t="n">
        <v>11310</v>
      </c>
      <c r="C11312" s="10" t="inlineStr">
        <is>
          <t>Key Account Manager</t>
        </is>
      </c>
      <c r="D11312" s="10" t="inlineStr">
        <is>
          <t>DHL Supply Chain</t>
        </is>
      </c>
      <c r="E11312" s="10" t="inlineStr">
        <is>
          <t>Thương lượng</t>
        </is>
      </c>
      <c r="F11312" s="10" t="inlineStr">
        <is>
          <t>Hồ Chí Minh</t>
        </is>
      </c>
      <c r="G11312" s="10" t="inlineStr">
        <is>
          <t>Trưởng phòng</t>
        </is>
      </c>
      <c r="H11312" s="10" t="inlineStr">
        <is>
          <t>29/01/2026</t>
        </is>
      </c>
      <c r="I11312" s="10" t="inlineStr">
        <is>
          <t>15/04/2026</t>
        </is>
      </c>
      <c r="J11312" s="10" t="inlineStr">
        <is>
          <t>17/03/2026</t>
        </is>
      </c>
      <c r="K11312" s="10" t="inlineStr">
        <is>
          <t>N/A</t>
        </is>
      </c>
      <c r="L11312" s="10" t="inlineStr">
        <is>
          <t>Logistics, Key Account Management, Key Account Development, Business Development, Supply Chain Logistics</t>
        </is>
      </c>
      <c r="M11312" s="10" t="inlineStr">
        <is>
          <t>Bonus, Training, Others</t>
        </is>
      </c>
      <c r="N11312" s="11">
        <f>HYPERLINK("https://www.vietnamworks.com/key-account-manager--2007834-jv","Xem chi tiết")</f>
        <v/>
      </c>
      <c r="O11312" s="10" t="n"/>
    </row>
    <row r="11313">
      <c r="B11313" s="7" t="n">
        <v>11311</v>
      </c>
      <c r="C11313" t="inlineStr">
        <is>
          <t>Nhân Viên Kinh Doanh Logistics</t>
        </is>
      </c>
      <c r="D11313" t="inlineStr">
        <is>
          <t>CÔNG TY TNHH TIẾP VẬN YIYU</t>
        </is>
      </c>
      <c r="E11313" t="inlineStr">
        <is>
          <t>20tr-30tr ₫/tháng</t>
        </is>
      </c>
      <c r="F11313" t="inlineStr">
        <is>
          <t>Hà Nội</t>
        </is>
      </c>
      <c r="G11313" t="inlineStr">
        <is>
          <t>Nhân viên</t>
        </is>
      </c>
      <c r="H11313" t="inlineStr">
        <is>
          <t>11/03/2026</t>
        </is>
      </c>
      <c r="I11313" t="inlineStr">
        <is>
          <t>15/04/2026</t>
        </is>
      </c>
      <c r="J11313" t="inlineStr">
        <is>
          <t>17/03/2026</t>
        </is>
      </c>
      <c r="K11313" t="inlineStr">
        <is>
          <t>N/A</t>
        </is>
      </c>
      <c r="L11313" t="inlineStr">
        <is>
          <t>Kinh Doanh Vận Tải, Tiếng Anh, Tiếng Trung, nhân viên Kinh Doanh Logistics, Xuất Nhập Khẩu</t>
        </is>
      </c>
      <c r="M11313" t="inlineStr">
        <is>
          <t>Bonus, Healthcare Plan, Team Activities</t>
        </is>
      </c>
      <c r="N11313" s="8">
        <f>HYPERLINK("https://www.vietnamworks.com/nhan-vien-kinh-doanh-logistics-2021768-jv","Xem chi tiết")</f>
        <v/>
      </c>
    </row>
    <row r="11314">
      <c r="B11314" s="9" t="n">
        <v>11312</v>
      </c>
      <c r="C11314" s="10" t="inlineStr">
        <is>
          <t>Giám Đốc Dự Án/ Project Management</t>
        </is>
      </c>
      <c r="D11314" s="10" t="inlineStr">
        <is>
          <t>O-SUNG VINA</t>
        </is>
      </c>
      <c r="E11314" s="10" t="inlineStr">
        <is>
          <t>Thương lượng</t>
        </is>
      </c>
      <c r="F11314" s="10" t="inlineStr">
        <is>
          <t>Hồ Chí Minh, Bà Rịa - Vũng Tàu</t>
        </is>
      </c>
      <c r="G11314" s="10" t="inlineStr">
        <is>
          <t>Giám Đốc và Cấp Cao Hơn</t>
        </is>
      </c>
      <c r="H11314" s="10" t="inlineStr">
        <is>
          <t>12/03/2026</t>
        </is>
      </c>
      <c r="I11314" s="10" t="inlineStr">
        <is>
          <t>15/04/2026</t>
        </is>
      </c>
      <c r="J11314" s="10" t="inlineStr">
        <is>
          <t>17/03/2026</t>
        </is>
      </c>
      <c r="K11314" s="10" t="inlineStr">
        <is>
          <t>N/A</t>
        </is>
      </c>
      <c r="L11314" s="10" t="inlineStr">
        <is>
          <t>Project Management, Cơ Khí Chế Tạo, Quản Lý Dự Án, Mechanical Engineering, Kế Hoạch Sản Xuất</t>
        </is>
      </c>
      <c r="M11314" s="10" t="inlineStr">
        <is>
          <t>Healthcare Plan, Awards, Transportation</t>
        </is>
      </c>
      <c r="N11314" s="11">
        <f>HYPERLINK("https://www.vietnamworks.com/giam-doc-du-an-project-management-2022329-jv","Xem chi tiết")</f>
        <v/>
      </c>
      <c r="O11314" s="10" t="n"/>
    </row>
    <row r="11315">
      <c r="B11315" s="7" t="n">
        <v>11313</v>
      </c>
      <c r="C11315" t="inlineStr">
        <is>
          <t>Kỹ Sư Giải Pháp ELV &amp; Chiếu Sáng (Pre-Sales Engineer)</t>
        </is>
      </c>
      <c r="D11315" t="inlineStr">
        <is>
          <t>Saigoncomm</t>
        </is>
      </c>
      <c r="E11315" t="inlineStr">
        <is>
          <t>Tới 25tr ₫/tháng</t>
        </is>
      </c>
      <c r="F11315" t="inlineStr">
        <is>
          <t>Hồ Chí Minh</t>
        </is>
      </c>
      <c r="G11315" t="inlineStr">
        <is>
          <t>Nhân viên</t>
        </is>
      </c>
      <c r="H11315" t="inlineStr">
        <is>
          <t>13/03/2026</t>
        </is>
      </c>
      <c r="I11315" t="inlineStr">
        <is>
          <t>15/04/2026</t>
        </is>
      </c>
      <c r="J11315" t="inlineStr">
        <is>
          <t>17/03/2026</t>
        </is>
      </c>
      <c r="K11315" t="inlineStr">
        <is>
          <t>N/A</t>
        </is>
      </c>
      <c r="L11315" t="inlineStr">
        <is>
          <t>Điện Chiếu Sáng, Điện Nhẹ, Lập Kế Hoạch, Tiếng Anh, Tư Vấn Giải Pháp</t>
        </is>
      </c>
      <c r="M11315" t="inlineStr">
        <is>
          <t>Bonus, Healthcare Plan, Training, Team Activities</t>
        </is>
      </c>
      <c r="N11315" s="8">
        <f>HYPERLINK("https://www.vietnamworks.com/ky-su-giai-phap-elv-and-chieu-sang-pre-sales-engineer-2023039-jv","Xem chi tiết")</f>
        <v/>
      </c>
    </row>
    <row r="11316">
      <c r="B11316" s="9" t="n">
        <v>11314</v>
      </c>
      <c r="C11316" s="10" t="inlineStr">
        <is>
          <t>Nhân Viên Chứng Từ Thủ Tục Hải Quan</t>
        </is>
      </c>
      <c r="D11316" s="10" t="inlineStr">
        <is>
          <t>Chenghui International Logistics Company Limited</t>
        </is>
      </c>
      <c r="E11316" s="10" t="inlineStr">
        <is>
          <t>13tr-20tr ₫/tháng</t>
        </is>
      </c>
      <c r="F11316" s="10" t="inlineStr">
        <is>
          <t>Hồ Chí Minh</t>
        </is>
      </c>
      <c r="G11316" s="10" t="inlineStr">
        <is>
          <t>Nhân viên</t>
        </is>
      </c>
      <c r="H11316" s="10" t="inlineStr">
        <is>
          <t>29/01/2026</t>
        </is>
      </c>
      <c r="I11316" s="10" t="inlineStr">
        <is>
          <t>15/04/2026</t>
        </is>
      </c>
      <c r="J11316" s="10" t="inlineStr">
        <is>
          <t>17/03/2026</t>
        </is>
      </c>
      <c r="K11316" s="10" t="inlineStr">
        <is>
          <t>N/A</t>
        </is>
      </c>
      <c r="L11316" s="10" t="inlineStr">
        <is>
          <t>Chứng Từ Xuất Nhập Khẩu, Hồ Sơ Hải Quan, Thủ Tục Hải Quan, Tiếng Trung, Xuất Nhập Khẩu</t>
        </is>
      </c>
      <c r="M11316" s="10" t="inlineStr">
        <is>
          <t>Bonus, Healthcare Plan, Others</t>
        </is>
      </c>
      <c r="N11316" s="11">
        <f>HYPERLINK("https://www.vietnamworks.com/nhan-vien-chung-tu-thu-tuc-hai-quan-2007923-jv","Xem chi tiết")</f>
        <v/>
      </c>
      <c r="O11316" s="10" t="n"/>
    </row>
    <row r="11317">
      <c r="B11317" s="7" t="n">
        <v>11315</v>
      </c>
      <c r="C11317" t="inlineStr">
        <is>
          <t>Trưởng Phòng Thu Hút Nhân Tài</t>
        </is>
      </c>
      <c r="D11317" t="inlineStr">
        <is>
          <t>Capital House Group</t>
        </is>
      </c>
      <c r="E11317" t="inlineStr">
        <is>
          <t>Thương lượng</t>
        </is>
      </c>
      <c r="F11317" t="inlineStr">
        <is>
          <t>Hà Nội</t>
        </is>
      </c>
      <c r="G11317" t="inlineStr">
        <is>
          <t>Trưởng phòng</t>
        </is>
      </c>
      <c r="H11317" t="inlineStr">
        <is>
          <t>11/03/2026</t>
        </is>
      </c>
      <c r="I11317" t="inlineStr">
        <is>
          <t>15/04/2026</t>
        </is>
      </c>
      <c r="J11317" t="inlineStr">
        <is>
          <t>17/03/2026</t>
        </is>
      </c>
      <c r="K11317" t="inlineStr">
        <is>
          <t>N/A</t>
        </is>
      </c>
      <c r="L11317" t="inlineStr">
        <is>
          <t>Talent Acquisition, Human Resources, Nhân Sự, Recruitment, Tuyển Dụng</t>
        </is>
      </c>
      <c r="M11317" t="inlineStr">
        <is>
          <t>Bonus, Training, Canteen</t>
        </is>
      </c>
      <c r="N11317" s="8">
        <f>HYPERLINK("https://www.vietnamworks.com/truong-phong-thu-hut-nhan-tai--2021919-jv","Xem chi tiết")</f>
        <v/>
      </c>
    </row>
    <row r="11318">
      <c r="B11318" s="9" t="n">
        <v>11316</v>
      </c>
      <c r="C11318" s="10" t="inlineStr">
        <is>
          <t>内部会计 - Kế Toán Nội Bộ Kiêm Hành Chính (CV Tiếng Trung)</t>
        </is>
      </c>
      <c r="D11318" s="10" t="inlineStr">
        <is>
          <t>Chenghui International Logistics Company Limited</t>
        </is>
      </c>
      <c r="E11318" s="10" t="inlineStr">
        <is>
          <t>15tr-18tr ₫/tháng</t>
        </is>
      </c>
      <c r="F11318" s="10" t="inlineStr">
        <is>
          <t>Hồ Chí Minh</t>
        </is>
      </c>
      <c r="G11318" s="10" t="inlineStr">
        <is>
          <t>Mới Tốt Nghiệp</t>
        </is>
      </c>
      <c r="H11318" s="10" t="inlineStr">
        <is>
          <t>29/01/2026</t>
        </is>
      </c>
      <c r="I11318" s="10" t="inlineStr">
        <is>
          <t>15/04/2026</t>
        </is>
      </c>
      <c r="J11318" s="10" t="inlineStr">
        <is>
          <t>17/03/2026</t>
        </is>
      </c>
      <c r="K11318" s="10" t="inlineStr">
        <is>
          <t>N/A</t>
        </is>
      </c>
      <c r="L11318" s="10" t="inlineStr">
        <is>
          <t>Lưu Trữ Hồ Sơ, Quản Lý Công Nợ, Quản Lý Thu Chi, Tiếng Trung, Đối Chiếu Số Liệu</t>
        </is>
      </c>
      <c r="M11318" s="10" t="inlineStr">
        <is>
          <t>Bonus, Healthcare Plan, Others</t>
        </is>
      </c>
      <c r="N11318" s="11">
        <f>HYPERLINK("https://www.vietnamworks.com/zhu-dou-ke-toan-noi-bo-kiem-hanh-chinh-cv-tieng-trung-2007928-jv","Xem chi tiết")</f>
        <v/>
      </c>
      <c r="O11318" s="10" t="n"/>
    </row>
    <row r="11319">
      <c r="B11319" s="7" t="n">
        <v>11317</v>
      </c>
      <c r="C11319" t="inlineStr">
        <is>
          <t>Nhân Viên Phòng Kiểm Tra Chất Lượng Ngành Điện - Điện Tử (QA/QC)</t>
        </is>
      </c>
      <c r="D11319" t="inlineStr">
        <is>
          <t>Công ty TNHH Cáp điện KBI Cosmolink Vina</t>
        </is>
      </c>
      <c r="E11319" t="inlineStr">
        <is>
          <t>Thương lượng</t>
        </is>
      </c>
      <c r="F11319" t="inlineStr">
        <is>
          <t>Vĩnh Phúc, Phú Thọ</t>
        </is>
      </c>
      <c r="G11319" t="inlineStr">
        <is>
          <t>Nhân viên</t>
        </is>
      </c>
      <c r="H11319" t="inlineStr">
        <is>
          <t>29/01/2026</t>
        </is>
      </c>
      <c r="I11319" t="inlineStr">
        <is>
          <t>15/04/2026</t>
        </is>
      </c>
      <c r="J11319" t="inlineStr">
        <is>
          <t>17/03/2026</t>
        </is>
      </c>
      <c r="K11319" t="inlineStr">
        <is>
          <t>N/A</t>
        </is>
      </c>
      <c r="L11319" t="inlineStr">
        <is>
          <t>Tin Học Văn Phòng (Word- Excel- Powerpoint), Tiếng Anh, Quản lý chất lượng, ISO9001 standards, Giao Tiếp</t>
        </is>
      </c>
      <c r="M11319" t="inlineStr">
        <is>
          <t>Bonus, Healthcare Plan, Paid Leave, Training, Travel Opportunities, Team Activities, Others</t>
        </is>
      </c>
      <c r="N11319" s="8">
        <f>HYPERLINK("https://www.vietnamworks.com/nhan-vien-phong-kiem-tra-chat-luong-nganh-dien-dien-tu-qa-qc-2007718-jv","Xem chi tiết")</f>
        <v/>
      </c>
    </row>
    <row r="11320">
      <c r="B11320" s="9" t="n">
        <v>11318</v>
      </c>
      <c r="C11320" s="10" t="inlineStr">
        <is>
          <t>Kỹ Sư Thiết Bị Di Động IOT - Mobile &amp; IoT Device Solutions Engineer - Thu Nhập Upto 25Tr/ Tháng</t>
        </is>
      </c>
      <c r="D11320" s="10" t="inlineStr">
        <is>
          <t>Công ty TNHH Nhà Nước MTV Thương mại và XNK Viettel</t>
        </is>
      </c>
      <c r="E11320" s="10" t="inlineStr">
        <is>
          <t>Tới 25tr ₫/tháng</t>
        </is>
      </c>
      <c r="F11320" s="10" t="inlineStr">
        <is>
          <t>Hà Nội</t>
        </is>
      </c>
      <c r="G11320" s="10" t="inlineStr">
        <is>
          <t>Nhân viên</t>
        </is>
      </c>
      <c r="H11320" s="10" t="inlineStr">
        <is>
          <t>13/03/2026</t>
        </is>
      </c>
      <c r="I11320" s="10" t="inlineStr">
        <is>
          <t>15/04/2026</t>
        </is>
      </c>
      <c r="J11320" s="10" t="inlineStr">
        <is>
          <t>17/03/2026</t>
        </is>
      </c>
      <c r="K11320" s="10" t="inlineStr">
        <is>
          <t>N/A</t>
        </is>
      </c>
      <c r="L11320" s="10" t="inlineStr">
        <is>
          <t>Điện Tử Viễn Thông, Công Nghệ Thông Tin, Nghiên Cứu Sản Phẩm, Tiếng Anh, Tư Vấn Kỹ Thuật</t>
        </is>
      </c>
      <c r="M11320" s="10" t="inlineStr">
        <is>
          <t>Bonus, Healthcare Plan, Training, Travel Opportunities, Others</t>
        </is>
      </c>
      <c r="N11320" s="11">
        <f>HYPERLINK("https://www.vietnamworks.com/ky-su-thiet-bi-di-dong-iot-mobile-iot-device-solutions-engineer-thu-nhap-upto-25tr-thang-2023269-jv","Xem chi tiết")</f>
        <v/>
      </c>
      <c r="O11320" s="10" t="n"/>
    </row>
    <row r="11321">
      <c r="B11321" s="7" t="n">
        <v>11319</v>
      </c>
      <c r="C11321" t="inlineStr">
        <is>
          <t>Kỹ Sư Vô Tuyến - Wireless Engineer - Thu Nhập Upto 25Tr/ Tháng</t>
        </is>
      </c>
      <c r="D11321" t="inlineStr">
        <is>
          <t>Công ty TNHH Nhà Nước MTV Thương mại và XNK Viettel</t>
        </is>
      </c>
      <c r="E11321" t="inlineStr">
        <is>
          <t>Tới 25tr ₫/tháng</t>
        </is>
      </c>
      <c r="F11321" t="inlineStr">
        <is>
          <t>Hà Nội</t>
        </is>
      </c>
      <c r="G11321" t="inlineStr">
        <is>
          <t>Nhân viên</t>
        </is>
      </c>
      <c r="H11321" t="inlineStr">
        <is>
          <t>13/03/2026</t>
        </is>
      </c>
      <c r="I11321" t="inlineStr">
        <is>
          <t>15/04/2026</t>
        </is>
      </c>
      <c r="J11321" t="inlineStr">
        <is>
          <t>17/03/2026</t>
        </is>
      </c>
      <c r="K11321" t="inlineStr">
        <is>
          <t>N/A</t>
        </is>
      </c>
      <c r="L11321" t="inlineStr">
        <is>
          <t>Tiếng Anh, Phân Tích Sản Phẩm, Tìm Kiếm Nhà Cung Cấp, Tư Vấn Giải Pháp, Tư Vấn Kỹ Thuật</t>
        </is>
      </c>
      <c r="M11321" t="inlineStr">
        <is>
          <t>Bonus, Healthcare Plan, Training, Travel Opportunities, Others</t>
        </is>
      </c>
      <c r="N11321" s="8">
        <f>HYPERLINK("https://www.vietnamworks.com/ky-su-vo-tuyen-wireless-engineer-thu-nhap-upto-25tr-thang-2023267-jv","Xem chi tiết")</f>
        <v/>
      </c>
    </row>
    <row r="11322">
      <c r="B11322" s="9" t="n">
        <v>11320</v>
      </c>
      <c r="C11322" s="10" t="inlineStr">
        <is>
          <t>Kế Toán Công Nợ Phải Trả - Payable Accountant [An Phu - Thu Duc]</t>
        </is>
      </c>
      <c r="D11322" s="10" t="inlineStr">
        <is>
          <t>ABC Vietnam Manufacturing &amp; SOURCING Company Limited</t>
        </is>
      </c>
      <c r="E11322" s="10" t="inlineStr">
        <is>
          <t>12tr-14tr ₫/tháng</t>
        </is>
      </c>
      <c r="F11322" s="10" t="inlineStr">
        <is>
          <t>Hồ Chí Minh</t>
        </is>
      </c>
      <c r="G11322" s="10" t="inlineStr">
        <is>
          <t>Nhân viên</t>
        </is>
      </c>
      <c r="H11322" s="10" t="inlineStr">
        <is>
          <t>13/03/2026</t>
        </is>
      </c>
      <c r="I11322" s="10" t="inlineStr">
        <is>
          <t>15/04/2026</t>
        </is>
      </c>
      <c r="J11322" s="10" t="inlineStr">
        <is>
          <t>17/03/2026</t>
        </is>
      </c>
      <c r="K11322" s="10" t="inlineStr">
        <is>
          <t>N/A</t>
        </is>
      </c>
      <c r="L11322" s="10" t="inlineStr">
        <is>
          <t>Payable Accounting, VAT Refund, Vendor Management, Payment Processing, Invoice Processing</t>
        </is>
      </c>
      <c r="M11322" s="10" t="inlineStr">
        <is>
          <t>Bonus, Healthcare Plan, Paid Leave</t>
        </is>
      </c>
      <c r="N11322" s="11">
        <f>HYPERLINK("https://www.vietnamworks.com/ke-toan-cong-no-phai-tra-payable-accountant-an-phu-thu-duc--2023271-jv","Xem chi tiết")</f>
        <v/>
      </c>
      <c r="O11322" s="10" t="n"/>
    </row>
    <row r="11323">
      <c r="B11323" s="7" t="n">
        <v>11321</v>
      </c>
      <c r="C11323" t="inlineStr">
        <is>
          <t>Trưởng Phòng Kinh Doanh &amp; Phát Triển Thị Trường</t>
        </is>
      </c>
      <c r="D11323" t="inlineStr">
        <is>
          <t>Công Ty Cổ Phần Supership Việt Nam</t>
        </is>
      </c>
      <c r="E11323" t="inlineStr">
        <is>
          <t>20tr-25tr ₫/tháng</t>
        </is>
      </c>
      <c r="F11323" t="inlineStr">
        <is>
          <t>Hồ Chí Minh</t>
        </is>
      </c>
      <c r="G11323" t="inlineStr">
        <is>
          <t>Trưởng phòng</t>
        </is>
      </c>
      <c r="H11323" t="inlineStr">
        <is>
          <t>13/03/2026</t>
        </is>
      </c>
      <c r="I11323" t="inlineStr">
        <is>
          <t>15/04/2026</t>
        </is>
      </c>
      <c r="J11323" t="inlineStr">
        <is>
          <t>17/03/2026</t>
        </is>
      </c>
      <c r="K11323" t="inlineStr">
        <is>
          <t>N/A</t>
        </is>
      </c>
      <c r="L11323" t="inlineStr">
        <is>
          <t>Marketing Development, Logistics, Quản Trị Đội Ngũ, Phát Triển Kinh Doanh, Tìm Kiếm Khách Hàng</t>
        </is>
      </c>
      <c r="M11323" t="inlineStr">
        <is>
          <t>Bonus, Paid Leave, Training, Travel Opportunities, Others</t>
        </is>
      </c>
      <c r="N11323" s="8">
        <f>HYPERLINK("https://www.vietnamworks.com/truong-phong-kinh-doanh-and-phat-trien-thi-truong-2023574-jv","Xem chi tiết")</f>
        <v/>
      </c>
    </row>
    <row r="11324">
      <c r="B11324" s="9" t="n">
        <v>11322</v>
      </c>
      <c r="C11324" s="10" t="inlineStr">
        <is>
          <t>Nhân Viên Kinh Doanh Thiết Bị Y Tế – Thu Nhập Trên 20 Triệu, Không Giới Hạn</t>
        </is>
      </c>
      <c r="D11324" s="10" t="inlineStr">
        <is>
          <t>Công Ty TNHH Thương Mại Và Dịch Vụ Kỹ Thuật Ime</t>
        </is>
      </c>
      <c r="E11324" s="10" t="inlineStr">
        <is>
          <t>Thương lượng</t>
        </is>
      </c>
      <c r="F11324" s="10" t="inlineStr">
        <is>
          <t>Hà Nội</t>
        </is>
      </c>
      <c r="G11324" s="10" t="inlineStr">
        <is>
          <t>Nhân viên</t>
        </is>
      </c>
      <c r="H11324" s="10" t="inlineStr">
        <is>
          <t>13/03/2026</t>
        </is>
      </c>
      <c r="I11324" s="10" t="inlineStr">
        <is>
          <t>15/04/2026</t>
        </is>
      </c>
      <c r="J11324" s="10" t="inlineStr">
        <is>
          <t>17/03/2026</t>
        </is>
      </c>
      <c r="K11324" s="10" t="inlineStr">
        <is>
          <t>N/A</t>
        </is>
      </c>
      <c r="L11324" s="10" t="inlineStr">
        <is>
          <t>Kinh Doanh, Y Tế, Chăm Sóc Khách Hàng, Lập Kế Hoạch Kinh Doanh, Tìm Kiếm Khách Hàng</t>
        </is>
      </c>
      <c r="M11324" s="10" t="inlineStr">
        <is>
          <t>Bonus, Healthcare Plan, Awards</t>
        </is>
      </c>
      <c r="N11324" s="11">
        <f>HYPERLINK("https://www.vietnamworks.com/nhan-vien-kinh-doanh-thiet-bi-y-te-thu-nhap-tren-20-trieu-khong-gioi-han--2023530-jv","Xem chi tiết")</f>
        <v/>
      </c>
      <c r="O11324" s="10" t="n"/>
    </row>
    <row r="11325">
      <c r="B11325" s="7" t="n">
        <v>11323</v>
      </c>
      <c r="C11325" t="inlineStr">
        <is>
          <t>Giáo Viên Tiếng Anh Fulltime</t>
        </is>
      </c>
      <c r="D11325" t="inlineStr">
        <is>
          <t>CÔNG TY CỔ PHẦN ĐẦU TƯ XÂY DỰNG PHÁT TRIỂN NHÀ VẠN XUÂN</t>
        </is>
      </c>
      <c r="E11325" t="inlineStr">
        <is>
          <t>10tr-15tr ₫/tháng</t>
        </is>
      </c>
      <c r="F11325" t="inlineStr">
        <is>
          <t>Hà Nội</t>
        </is>
      </c>
      <c r="G11325" t="inlineStr">
        <is>
          <t>Nhân viên</t>
        </is>
      </c>
      <c r="H11325" t="inlineStr">
        <is>
          <t>13/03/2026</t>
        </is>
      </c>
      <c r="I11325" t="inlineStr">
        <is>
          <t>15/04/2026</t>
        </is>
      </c>
      <c r="J11325" t="inlineStr">
        <is>
          <t>17/03/2026</t>
        </is>
      </c>
      <c r="K11325" t="inlineStr">
        <is>
          <t>N/A</t>
        </is>
      </c>
      <c r="L11325" t="inlineStr">
        <is>
          <t>English Teaching, Curriculum Development, Office Software, Analytical Skills, Giao Tiếp Tiếng Anh</t>
        </is>
      </c>
      <c r="M11325" t="inlineStr">
        <is>
          <t>Bonus, Healthcare Plan, Paid Leave, Training, Team Activities, Others</t>
        </is>
      </c>
      <c r="N11325" s="8">
        <f>HYPERLINK("https://www.vietnamworks.com/giao-vien-tieng-anh-fulltime-2023507-jv","Xem chi tiết")</f>
        <v/>
      </c>
    </row>
    <row r="11326">
      <c r="B11326" s="9" t="n">
        <v>11324</v>
      </c>
      <c r="C11326" s="10" t="inlineStr">
        <is>
          <t>Chuyên Viên Tài Chính - Kiểm Toán Nội Bộ</t>
        </is>
      </c>
      <c r="D11326" s="10" t="inlineStr">
        <is>
          <t>CÔNG TY CỔ PHẦN MEGRAM</t>
        </is>
      </c>
      <c r="E11326" s="10" t="inlineStr">
        <is>
          <t>Tới 25tr ₫/tháng</t>
        </is>
      </c>
      <c r="F11326" s="10" t="inlineStr">
        <is>
          <t>Hà Nội</t>
        </is>
      </c>
      <c r="G11326" s="10" t="inlineStr">
        <is>
          <t>Nhân viên</t>
        </is>
      </c>
      <c r="H11326" s="10" t="inlineStr">
        <is>
          <t>13/03/2026</t>
        </is>
      </c>
      <c r="I11326" s="10" t="inlineStr">
        <is>
          <t>15/04/2026</t>
        </is>
      </c>
      <c r="J11326" s="10" t="inlineStr">
        <is>
          <t>17/03/2026</t>
        </is>
      </c>
      <c r="K11326" s="10" t="inlineStr">
        <is>
          <t>N/A</t>
        </is>
      </c>
      <c r="L11326" s="10" t="inlineStr">
        <is>
          <t>Kiểm Soát Tài Chính, Kiểm Toán Nội Bộ, Quản Lý Rủi Ro, Lập Ngân Sách, Phân Tích Tài Chính</t>
        </is>
      </c>
      <c r="M11326" s="10" t="inlineStr">
        <is>
          <t>Bonus, Healthcare Plan, Team Activities, Others</t>
        </is>
      </c>
      <c r="N11326" s="11">
        <f>HYPERLINK("https://www.vietnamworks.com/chuyen-vien-tai-chinh-kiem-toan-noi-bo-2023590-jv","Xem chi tiết")</f>
        <v/>
      </c>
      <c r="O11326" s="10" t="n"/>
    </row>
    <row r="11327">
      <c r="B11327" s="7" t="n">
        <v>11325</v>
      </c>
      <c r="C11327" t="inlineStr">
        <is>
          <t>Chuyên Viên Cao Cấp Vận Hành An Ninh (Secops)</t>
        </is>
      </c>
      <c r="D11327" t="inlineStr">
        <is>
          <t>One Mount</t>
        </is>
      </c>
      <c r="E11327" t="inlineStr">
        <is>
          <t>Thương lượng</t>
        </is>
      </c>
      <c r="F11327" t="inlineStr">
        <is>
          <t>Hà Nội</t>
        </is>
      </c>
      <c r="G11327" t="inlineStr">
        <is>
          <t>Nhân viên</t>
        </is>
      </c>
      <c r="H11327" t="inlineStr">
        <is>
          <t>13/03/2026</t>
        </is>
      </c>
      <c r="I11327" t="inlineStr">
        <is>
          <t>15/04/2026</t>
        </is>
      </c>
      <c r="J11327" t="inlineStr">
        <is>
          <t>17/03/2026</t>
        </is>
      </c>
      <c r="K11327" t="inlineStr">
        <is>
          <t>N/A</t>
        </is>
      </c>
      <c r="L11327" t="inlineStr">
        <is>
          <t>An Ninh Mạng, AWS, DevSecOps, Linux, SOC</t>
        </is>
      </c>
      <c r="M11327" t="inlineStr">
        <is>
          <t>Bonus, Healthcare Plan, Paid Leave</t>
        </is>
      </c>
      <c r="N11327" s="8">
        <f>HYPERLINK("https://www.vietnamworks.com/chuyen-vien-cao-cap-van-hanh-an-ninh-secops-2023386-jv","Xem chi tiết")</f>
        <v/>
      </c>
    </row>
    <row r="11328">
      <c r="B11328" s="9" t="n">
        <v>11326</v>
      </c>
      <c r="C11328" s="10" t="inlineStr">
        <is>
          <t>Software Engineer Intern</t>
        </is>
      </c>
      <c r="D11328" s="10" t="inlineStr">
        <is>
          <t>La Vie Limited Liability Company</t>
        </is>
      </c>
      <c r="E11328" s="10" t="inlineStr">
        <is>
          <t>Thương lượng</t>
        </is>
      </c>
      <c r="F11328" s="10" t="inlineStr">
        <is>
          <t>Hồ Chí Minh</t>
        </is>
      </c>
      <c r="G11328" s="10" t="inlineStr">
        <is>
          <t>Thực tập sinh/Sinh viên</t>
        </is>
      </c>
      <c r="H11328" s="10" t="inlineStr">
        <is>
          <t>16/03/2026</t>
        </is>
      </c>
      <c r="I11328" s="10" t="inlineStr">
        <is>
          <t>15/04/2026</t>
        </is>
      </c>
      <c r="J11328" s="10" t="inlineStr">
        <is>
          <t>17/03/2026</t>
        </is>
      </c>
      <c r="K11328" s="10" t="inlineStr">
        <is>
          <t>N/A</t>
        </is>
      </c>
      <c r="L11328" s="10" t="inlineStr">
        <is>
          <t>Software Engineering, VueJS, Python, C# Development, IT Phần Mềm</t>
        </is>
      </c>
      <c r="M11328" s="10" t="inlineStr">
        <is>
          <t>Training</t>
        </is>
      </c>
      <c r="N11328" s="11">
        <f>HYPERLINK("https://www.vietnamworks.com/software-engineer-intern--2023780-jv","Xem chi tiết")</f>
        <v/>
      </c>
      <c r="O11328" s="10" t="n"/>
    </row>
    <row r="11329">
      <c r="B11329" s="7" t="n">
        <v>11327</v>
      </c>
      <c r="C11329" t="inlineStr">
        <is>
          <t>Accounting &amp; Admin Staff (Logistics Company)</t>
        </is>
      </c>
      <c r="D11329" t="inlineStr">
        <is>
          <t>Uplink Global Logistics</t>
        </is>
      </c>
      <c r="E11329" t="inlineStr">
        <is>
          <t>15tr-20tr ₫/tháng</t>
        </is>
      </c>
      <c r="F11329" t="inlineStr">
        <is>
          <t>Hà Nội</t>
        </is>
      </c>
      <c r="G11329" t="inlineStr">
        <is>
          <t>Nhân viên</t>
        </is>
      </c>
      <c r="H11329" t="inlineStr">
        <is>
          <t>16/03/2026</t>
        </is>
      </c>
      <c r="I11329" t="inlineStr">
        <is>
          <t>15/04/2026</t>
        </is>
      </c>
      <c r="J11329" t="inlineStr">
        <is>
          <t>17/03/2026</t>
        </is>
      </c>
      <c r="K11329" t="inlineStr">
        <is>
          <t>N/A</t>
        </is>
      </c>
      <c r="L11329" t="inlineStr">
        <is>
          <t>Accounting, Administration Management, Basic English, Invoice Processing, Organizational skills</t>
        </is>
      </c>
      <c r="M11329" t="inlineStr">
        <is>
          <t>Bonus, Others</t>
        </is>
      </c>
      <c r="N11329" s="8">
        <f>HYPERLINK("https://www.vietnamworks.com/accounting-and-admin-staff-logistics-company-2023781-jv","Xem chi tiết")</f>
        <v/>
      </c>
    </row>
    <row r="11330">
      <c r="B11330" s="9" t="n">
        <v>11328</v>
      </c>
      <c r="C11330" s="10" t="inlineStr">
        <is>
          <t>Entry Level Technical Va - No Experience Needed</t>
        </is>
      </c>
      <c r="D11330" s="10" t="inlineStr">
        <is>
          <t>Vietnamworks' Client</t>
        </is>
      </c>
      <c r="E11330" s="10" t="inlineStr">
        <is>
          <t>$$ 520-520 /tháng</t>
        </is>
      </c>
      <c r="F11330" s="10" t="inlineStr">
        <is>
          <t>Quốc tế</t>
        </is>
      </c>
      <c r="G11330" s="10" t="inlineStr">
        <is>
          <t>Mới Tốt Nghiệp</t>
        </is>
      </c>
      <c r="H11330" s="10" t="inlineStr">
        <is>
          <t>12/03/2026</t>
        </is>
      </c>
      <c r="I11330" s="10" t="inlineStr">
        <is>
          <t>15/04/2026</t>
        </is>
      </c>
      <c r="J11330" s="10" t="inlineStr">
        <is>
          <t>17/03/2026</t>
        </is>
      </c>
      <c r="K11330" s="10" t="inlineStr">
        <is>
          <t>N/A</t>
        </is>
      </c>
      <c r="L11330" s="10" t="inlineStr">
        <is>
          <t>Seo, Administrative Management, Virtual Assistance, Virtual Collaboration, Marketing</t>
        </is>
      </c>
      <c r="M11330" s="10" t="inlineStr">
        <is>
          <t>Bonus, Paid Leave</t>
        </is>
      </c>
      <c r="N11330" s="11">
        <f>HYPERLINK("https://www.vietnamworks.com/entry-level-technical-va-no-experience-needed-2022855-jv","Xem chi tiết")</f>
        <v/>
      </c>
      <c r="O11330" s="10" t="n"/>
    </row>
    <row r="11331">
      <c r="B11331" s="7" t="n">
        <v>11329</v>
      </c>
      <c r="C11331" t="inlineStr">
        <is>
          <t>Graduate/junior Accountant Australia Accounting Firm</t>
        </is>
      </c>
      <c r="D11331" t="inlineStr">
        <is>
          <t>Pitt Martin Group</t>
        </is>
      </c>
      <c r="E11331" t="inlineStr">
        <is>
          <t>Thương lượng</t>
        </is>
      </c>
      <c r="F11331" t="inlineStr">
        <is>
          <t>Hồ Chí Minh</t>
        </is>
      </c>
      <c r="G11331" t="inlineStr">
        <is>
          <t>Mới Tốt Nghiệp</t>
        </is>
      </c>
      <c r="H11331" t="inlineStr">
        <is>
          <t>16/03/2026</t>
        </is>
      </c>
      <c r="I11331" t="inlineStr">
        <is>
          <t>15/04/2026</t>
        </is>
      </c>
      <c r="J11331" t="inlineStr">
        <is>
          <t>17/03/2026</t>
        </is>
      </c>
      <c r="K11331" t="inlineStr">
        <is>
          <t>N/A</t>
        </is>
      </c>
      <c r="L11331" t="inlineStr">
        <is>
          <t>Accounting, Accounting Software, Financial Reporting, Tax Compliance, Teamwork</t>
        </is>
      </c>
      <c r="M11331" t="inlineStr">
        <is>
          <t>Bonus, Training, Laptop, Travel Opportunities, Others</t>
        </is>
      </c>
      <c r="N11331" s="8">
        <f>HYPERLINK("https://www.vietnamworks.com/graduatejunior-accountant-australia-accounting-firm-2023784-jv","Xem chi tiết")</f>
        <v/>
      </c>
    </row>
    <row r="11332">
      <c r="B11332" s="9" t="n">
        <v>11330</v>
      </c>
      <c r="C11332" s="10" t="inlineStr">
        <is>
          <t>Chuyên Viên Kỹ Thuật, Kỹ Thuật Viên</t>
        </is>
      </c>
      <c r="D11332" s="10" t="inlineStr">
        <is>
          <t>Công Ty TNHH Thương Mại Và Dịch Vụ Kỹ Thuật Ime</t>
        </is>
      </c>
      <c r="E11332" s="10" t="inlineStr">
        <is>
          <t>Thương lượng</t>
        </is>
      </c>
      <c r="F11332" s="10" t="inlineStr">
        <is>
          <t>Hà Nội</t>
        </is>
      </c>
      <c r="G11332" s="10" t="inlineStr">
        <is>
          <t>Nhân viên</t>
        </is>
      </c>
      <c r="H11332" s="10" t="inlineStr">
        <is>
          <t>13/03/2026</t>
        </is>
      </c>
      <c r="I11332" s="10" t="inlineStr">
        <is>
          <t>15/04/2026</t>
        </is>
      </c>
      <c r="J11332" s="10" t="inlineStr">
        <is>
          <t>17/03/2026</t>
        </is>
      </c>
      <c r="K11332" s="10" t="inlineStr">
        <is>
          <t>N/A</t>
        </is>
      </c>
      <c r="L11332" s="10" t="inlineStr">
        <is>
          <t>Maintenance, Cad, Bảo Trì, Bảo Dưỡng, Thiết Bị Y Tế</t>
        </is>
      </c>
      <c r="M11332" s="10" t="inlineStr">
        <is>
          <t>Bonus, Healthcare Plan, Awards</t>
        </is>
      </c>
      <c r="N11332" s="11">
        <f>HYPERLINK("https://www.vietnamworks.com/chuyen-vien-ky-thuat-ky-thuat-vien-2023517-jv","Xem chi tiết")</f>
        <v/>
      </c>
      <c r="O11332" s="10" t="n"/>
    </row>
    <row r="11333">
      <c r="B11333" s="7" t="n">
        <v>11331</v>
      </c>
      <c r="C11333" t="inlineStr">
        <is>
          <t>Thực Tập Sinh - Internship Program 2026</t>
        </is>
      </c>
      <c r="D11333" t="inlineStr">
        <is>
          <t>Molex Vietnam Co., Ltd.</t>
        </is>
      </c>
      <c r="E11333" t="inlineStr">
        <is>
          <t>Tới 7tr ₫/tháng</t>
        </is>
      </c>
      <c r="F11333" t="inlineStr">
        <is>
          <t>Hà Nội</t>
        </is>
      </c>
      <c r="G11333" t="inlineStr">
        <is>
          <t>Thực tập sinh/Sinh viên</t>
        </is>
      </c>
      <c r="H11333" t="inlineStr">
        <is>
          <t>16/03/2026</t>
        </is>
      </c>
      <c r="I11333" t="inlineStr">
        <is>
          <t>15/04/2026</t>
        </is>
      </c>
      <c r="J11333" t="inlineStr">
        <is>
          <t>17/03/2026</t>
        </is>
      </c>
      <c r="K11333" t="inlineStr">
        <is>
          <t>N/A</t>
        </is>
      </c>
      <c r="L11333" t="inlineStr">
        <is>
          <t>Bảo dưỡng khuôn, Cơ Điện, Sản Xuất Tủ Điện, Tự động hoá, Điện tử</t>
        </is>
      </c>
      <c r="M11333" t="inlineStr">
        <is>
          <t>Transportation, Canteen, Others</t>
        </is>
      </c>
      <c r="N11333" s="8">
        <f>HYPERLINK("https://www.vietnamworks.com/thuc-tap-sinh-internship-program-2026-2023794-jv","Xem chi tiết")</f>
        <v/>
      </c>
    </row>
    <row r="11334">
      <c r="B11334" s="9" t="n">
        <v>11332</v>
      </c>
      <c r="C11334" s="10" t="inlineStr">
        <is>
          <t>Hanoi Sales Manager</t>
        </is>
      </c>
      <c r="D11334" s="10" t="inlineStr">
        <is>
          <t>HUASHENGDA ZIPPER</t>
        </is>
      </c>
      <c r="E11334" s="10" t="inlineStr">
        <is>
          <t>$$ 2,000-3,000 /tháng</t>
        </is>
      </c>
      <c r="F11334" s="10" t="inlineStr">
        <is>
          <t>Hà Nội</t>
        </is>
      </c>
      <c r="G11334" s="10" t="inlineStr">
        <is>
          <t>Trưởng phòng</t>
        </is>
      </c>
      <c r="H11334" s="10" t="inlineStr">
        <is>
          <t>16/03/2026</t>
        </is>
      </c>
      <c r="I11334" s="10" t="inlineStr">
        <is>
          <t>15/04/2026</t>
        </is>
      </c>
      <c r="J11334" s="10" t="inlineStr">
        <is>
          <t>17/03/2026</t>
        </is>
      </c>
      <c r="K11334" s="10" t="inlineStr">
        <is>
          <t>N/A</t>
        </is>
      </c>
      <c r="L11334" s="10" t="inlineStr">
        <is>
          <t>B2B Sales, Customer Account Management, Business negotiation</t>
        </is>
      </c>
      <c r="M11334" s="10" t="inlineStr">
        <is>
          <t>Bonus</t>
        </is>
      </c>
      <c r="N11334" s="11">
        <f>HYPERLINK("https://www.vietnamworks.com/hanoi-sales-manager--2023787-jv","Xem chi tiết")</f>
        <v/>
      </c>
      <c r="O11334" s="10" t="n"/>
    </row>
    <row r="11335">
      <c r="B11335" s="7" t="n">
        <v>11333</v>
      </c>
      <c r="C11335" t="inlineStr">
        <is>
          <t>Trợ Lý Thu Mua Tiếng Trung (Mảng Xây Dựng Và MEP)</t>
        </is>
      </c>
      <c r="D11335" t="inlineStr">
        <is>
          <t>CÔNG TY TNHH CÔNG TRÌNH L &amp; K VIỆT NAM</t>
        </is>
      </c>
      <c r="E11335" t="inlineStr">
        <is>
          <t>20tr-25tr ₫/tháng</t>
        </is>
      </c>
      <c r="F11335" t="inlineStr">
        <is>
          <t>Hà Nội</t>
        </is>
      </c>
      <c r="G11335" t="inlineStr">
        <is>
          <t>Nhân viên</t>
        </is>
      </c>
      <c r="H11335" t="inlineStr">
        <is>
          <t>16/03/2026</t>
        </is>
      </c>
      <c r="I11335" t="inlineStr">
        <is>
          <t>15/04/2026</t>
        </is>
      </c>
      <c r="J11335" t="inlineStr">
        <is>
          <t>17/03/2026</t>
        </is>
      </c>
      <c r="K11335" t="inlineStr">
        <is>
          <t>N/A</t>
        </is>
      </c>
      <c r="L11335" t="inlineStr">
        <is>
          <t>Quản Lý Thu Mua, Thu Mua, Tiếng Trung, Tìm Kiếm Nhà Cung Cấp, Đàm Phán Hợp Đồng</t>
        </is>
      </c>
      <c r="M11335" t="inlineStr">
        <is>
          <t>Healthcare Plan, Others</t>
        </is>
      </c>
      <c r="N11335" s="8">
        <f>HYPERLINK("https://www.vietnamworks.com/tro-ly-thu-mua-tieng-trung-mang-xay-dung-va-mep-2023790-jv","Xem chi tiết")</f>
        <v/>
      </c>
    </row>
    <row r="11336">
      <c r="B11336" s="9" t="n">
        <v>11334</v>
      </c>
      <c r="C11336" s="10" t="inlineStr">
        <is>
          <t>HSE Specialist</t>
        </is>
      </c>
      <c r="D11336" s="10" t="inlineStr">
        <is>
          <t>Marico South East Asia Corporation</t>
        </is>
      </c>
      <c r="E11336" s="10" t="inlineStr">
        <is>
          <t>$$ 1,000-1,200 /tháng</t>
        </is>
      </c>
      <c r="F11336" s="10" t="inlineStr">
        <is>
          <t>Bình Dương</t>
        </is>
      </c>
      <c r="G11336" s="10" t="inlineStr">
        <is>
          <t>Nhân viên</t>
        </is>
      </c>
      <c r="H11336" s="10" t="inlineStr">
        <is>
          <t>16/03/2026</t>
        </is>
      </c>
      <c r="I11336" s="10" t="inlineStr">
        <is>
          <t>15/04/2026</t>
        </is>
      </c>
      <c r="J11336" s="10" t="inlineStr">
        <is>
          <t>17/03/2026</t>
        </is>
      </c>
      <c r="K11336" s="10" t="inlineStr">
        <is>
          <t>N/A</t>
        </is>
      </c>
      <c r="L11336" s="10" t="inlineStr">
        <is>
          <t>Safety Management, Labor Safety, Communication And Problem-Solving Skills</t>
        </is>
      </c>
      <c r="M11336" s="10" t="inlineStr">
        <is>
          <t>Others</t>
        </is>
      </c>
      <c r="N11336" s="11">
        <f>HYPERLINK("https://www.vietnamworks.com/hse-specialist--2023799-jv","Xem chi tiết")</f>
        <v/>
      </c>
      <c r="O11336" s="10" t="n"/>
    </row>
    <row r="11337">
      <c r="B11337" s="7" t="n">
        <v>11335</v>
      </c>
      <c r="C11337" t="inlineStr">
        <is>
          <t>Nhân Viên Thiết Kế Sản Phẩm (Quản Lý Mặt Hàng, Qui Trình BA Lô Và Kỹ Thuật Phát Triển BA Lô)</t>
        </is>
      </c>
      <c r="D11337" t="inlineStr">
        <is>
          <t>Mountech Co Ltd.</t>
        </is>
      </c>
      <c r="E11337" t="inlineStr">
        <is>
          <t>Thương lượng</t>
        </is>
      </c>
      <c r="F11337" t="inlineStr">
        <is>
          <t>Bình Định, Hồ Chí Minh</t>
        </is>
      </c>
      <c r="G11337" t="inlineStr">
        <is>
          <t>Nhân viên</t>
        </is>
      </c>
      <c r="H11337" t="inlineStr">
        <is>
          <t>16/03/2026</t>
        </is>
      </c>
      <c r="I11337" t="inlineStr">
        <is>
          <t>15/04/2026</t>
        </is>
      </c>
      <c r="J11337" t="inlineStr">
        <is>
          <t>17/03/2026</t>
        </is>
      </c>
      <c r="K11337" t="inlineStr">
        <is>
          <t>N/A</t>
        </is>
      </c>
      <c r="L11337" t="inlineStr">
        <is>
          <t>Photoshop, CorelDRAW, illustrator, Product Design, Sample Development</t>
        </is>
      </c>
      <c r="M11337" t="inlineStr">
        <is>
          <t>Bonus, Healthcare Plan, Travel Opportunities</t>
        </is>
      </c>
      <c r="N11337" s="8">
        <f>HYPERLINK("https://www.vietnamworks.com/nhan-vien-thiet-ke-san-pham-quan-ly-mat-hang-qui-trinh-ba-lo-va-ky-thuat-phat-trien-ba-lo-2023800-jv","Xem chi tiết")</f>
        <v/>
      </c>
    </row>
    <row r="11338">
      <c r="B11338" s="9" t="n">
        <v>11336</v>
      </c>
      <c r="C11338" s="10" t="inlineStr">
        <is>
          <t>Sales Executive in Hanoi</t>
        </is>
      </c>
      <c r="D11338" s="10" t="inlineStr">
        <is>
          <t>Công Ty TNHH DIC (Việt Nam)</t>
        </is>
      </c>
      <c r="E11338" s="10" t="inlineStr">
        <is>
          <t>Thương lượng</t>
        </is>
      </c>
      <c r="F11338" s="10" t="inlineStr">
        <is>
          <t>Hà Nội</t>
        </is>
      </c>
      <c r="G11338" s="10" t="inlineStr">
        <is>
          <t>Nhân viên</t>
        </is>
      </c>
      <c r="H11338" s="10" t="inlineStr">
        <is>
          <t>16/03/2026</t>
        </is>
      </c>
      <c r="I11338" s="10" t="inlineStr">
        <is>
          <t>15/04/2026</t>
        </is>
      </c>
      <c r="J11338" s="10" t="inlineStr">
        <is>
          <t>17/03/2026</t>
        </is>
      </c>
      <c r="K11338" s="10" t="inlineStr">
        <is>
          <t>N/A</t>
        </is>
      </c>
      <c r="L11338" s="10" t="inlineStr">
        <is>
          <t>Bán Hàng Kỹ Thuật, B2B Sales, Business Development, Customer Relations</t>
        </is>
      </c>
      <c r="M11338" s="10" t="inlineStr">
        <is>
          <t>Bonus, Healthcare Plan, Travel Opportunities</t>
        </is>
      </c>
      <c r="N11338" s="11">
        <f>HYPERLINK("https://www.vietnamworks.com/sales-executive-in-hanoi-2023802-jv","Xem chi tiết")</f>
        <v/>
      </c>
      <c r="O11338" s="10" t="n"/>
    </row>
    <row r="11339">
      <c r="B11339" s="7" t="n">
        <v>11337</v>
      </c>
      <c r="C11339" t="inlineStr">
        <is>
          <t>Kỹ Sư Thiết Kế Cơ Điện / Kiến Trúc Sư - Thiết Kế Hệ MEP (Làm Việc Tại Hà Nội và Các Dự Án Quanh Miền)</t>
        </is>
      </c>
      <c r="D11339" t="inlineStr">
        <is>
          <t>CÔNG TY TNHH CÔNG TRÌNH L &amp; K VIỆT NAM</t>
        </is>
      </c>
      <c r="E11339" t="inlineStr">
        <is>
          <t>Thương lượng</t>
        </is>
      </c>
      <c r="F11339" t="inlineStr">
        <is>
          <t>Hà Nội</t>
        </is>
      </c>
      <c r="G11339" t="inlineStr">
        <is>
          <t>Nhân viên</t>
        </is>
      </c>
      <c r="H11339" t="inlineStr">
        <is>
          <t>16/03/2026</t>
        </is>
      </c>
      <c r="I11339" t="inlineStr">
        <is>
          <t>15/04/2026</t>
        </is>
      </c>
      <c r="J11339" t="inlineStr">
        <is>
          <t>17/03/2026</t>
        </is>
      </c>
      <c r="K11339" t="inlineStr">
        <is>
          <t>N/A</t>
        </is>
      </c>
      <c r="L11339" t="inlineStr">
        <is>
          <t>Thiết Kế Hệ Thống MEP, Lập Trình AutoCAD, Hệ Thống SAP, CSI Etabs, Kiến Trúc Xây Dựng</t>
        </is>
      </c>
      <c r="M11339" t="inlineStr">
        <is>
          <t>Healthcare Plan, Others</t>
        </is>
      </c>
      <c r="N11339" s="8">
        <f>HYPERLINK("https://www.vietnamworks.com/ky-su-thiet-ke-co-djien-kien-truc-su-thiet-ke-he-mep-lam-viec-tai-ha-noi-va-cac-du-an-quanh-mien-2023786-jv","Xem chi tiết")</f>
        <v/>
      </c>
    </row>
    <row r="11340">
      <c r="B11340" s="9" t="n">
        <v>11338</v>
      </c>
      <c r="C11340" s="10" t="inlineStr">
        <is>
          <t>Kỹ Sư Cơ Điện - Làm Việc Tại Các Dự Án Quanh Miền Bắc</t>
        </is>
      </c>
      <c r="D11340" s="10" t="inlineStr">
        <is>
          <t>CÔNG TY TNHH CÔNG TRÌNH L &amp; K VIỆT NAM</t>
        </is>
      </c>
      <c r="E11340" s="10" t="inlineStr">
        <is>
          <t>$$ 1,000-1,500 /tháng</t>
        </is>
      </c>
      <c r="F11340" s="10" t="inlineStr">
        <is>
          <t>Khác</t>
        </is>
      </c>
      <c r="G11340" s="10" t="inlineStr">
        <is>
          <t>Nhân viên</t>
        </is>
      </c>
      <c r="H11340" s="10" t="inlineStr">
        <is>
          <t>16/03/2026</t>
        </is>
      </c>
      <c r="I11340" s="10" t="inlineStr">
        <is>
          <t>15/04/2026</t>
        </is>
      </c>
      <c r="J11340" s="10" t="inlineStr">
        <is>
          <t>17/03/2026</t>
        </is>
      </c>
      <c r="K11340" s="10" t="inlineStr">
        <is>
          <t>N/A</t>
        </is>
      </c>
      <c r="L11340" s="10" t="inlineStr">
        <is>
          <t>Autocad, Bóc Tách Khối Lượng, Lập Hồ Sơ Quyết Toán, Quản Lý Chất Lượng, Quản Lý Dự Án</t>
        </is>
      </c>
      <c r="M11340" s="10" t="inlineStr">
        <is>
          <t>Healthcare Plan, Paid Leave, Others</t>
        </is>
      </c>
      <c r="N11340" s="11">
        <f>HYPERLINK("https://www.vietnamworks.com/ky-su-co-djien-lam-viec-tai-cac-du-an-quanh-mien-bac-2023788-jv","Xem chi tiết")</f>
        <v/>
      </c>
      <c r="O11340" s="10" t="n"/>
    </row>
    <row r="11341">
      <c r="B11341" s="7" t="n">
        <v>11339</v>
      </c>
      <c r="C11341" t="inlineStr">
        <is>
          <t>Tuyển Dụng Nhân Sự Thuê Ngoài (Freelancer)</t>
        </is>
      </c>
      <c r="D11341" t="inlineStr">
        <is>
          <t>Công Ty Cổ Phẩn FP</t>
        </is>
      </c>
      <c r="E11341" t="inlineStr">
        <is>
          <t>2tr-30tr ₫/tháng</t>
        </is>
      </c>
      <c r="F11341" t="inlineStr">
        <is>
          <t>Hồ Chí Minh, Hà Nội</t>
        </is>
      </c>
      <c r="G11341" t="inlineStr">
        <is>
          <t>Nhân viên</t>
        </is>
      </c>
      <c r="H11341" t="inlineStr">
        <is>
          <t>16/03/2026</t>
        </is>
      </c>
      <c r="I11341" t="inlineStr">
        <is>
          <t>15/04/2026</t>
        </is>
      </c>
      <c r="J11341" t="inlineStr">
        <is>
          <t>17/03/2026</t>
        </is>
      </c>
      <c r="K11341" t="inlineStr">
        <is>
          <t>N/A</t>
        </is>
      </c>
      <c r="L11341" t="inlineStr">
        <is>
          <t>Autocad, Cơ Khí, Kiến Trúc Công Trình, Thiết Kế Bản Vẽ Xây Dựng, Trách Nhiệm</t>
        </is>
      </c>
      <c r="M11341" t="inlineStr">
        <is>
          <t>Others</t>
        </is>
      </c>
      <c r="N11341" s="8">
        <f>HYPERLINK("https://www.vietnamworks.com/tuyen-dung-nhan-su-thue-ngoai-freelancer-2023798-jv","Xem chi tiết")</f>
        <v/>
      </c>
    </row>
    <row r="11342">
      <c r="B11342" s="9" t="n">
        <v>11340</v>
      </c>
      <c r="C11342" s="10" t="inlineStr">
        <is>
          <t>Nhân Viên Kỹ Thuật DOOH</t>
        </is>
      </c>
      <c r="D11342" s="10" t="inlineStr">
        <is>
          <t>Công Ty Cổ Phần Prowtech International Vina</t>
        </is>
      </c>
      <c r="E11342" s="10" t="inlineStr">
        <is>
          <t>Từ 10tr ₫/tháng</t>
        </is>
      </c>
      <c r="F11342" s="10" t="inlineStr">
        <is>
          <t>Hồ Chí Minh</t>
        </is>
      </c>
      <c r="G11342" s="10" t="inlineStr">
        <is>
          <t>Nhân viên</t>
        </is>
      </c>
      <c r="H11342" s="10" t="inlineStr">
        <is>
          <t>16/03/2026</t>
        </is>
      </c>
      <c r="I11342" s="10" t="inlineStr">
        <is>
          <t>15/04/2026</t>
        </is>
      </c>
      <c r="J11342" s="10" t="inlineStr">
        <is>
          <t>17/03/2026</t>
        </is>
      </c>
      <c r="K11342" s="10" t="inlineStr">
        <is>
          <t>N/A</t>
        </is>
      </c>
      <c r="L11342" s="10" t="inlineStr">
        <is>
          <t>Điện, Điện Dân Dụng, Bảo Trì, Bảo Dưỡng, Lắp Đặt</t>
        </is>
      </c>
      <c r="M11342" s="10" t="inlineStr">
        <is>
          <t>Bonus, Healthcare Plan, Training, Laptop, Travel Opportunities, Team Activities, Others</t>
        </is>
      </c>
      <c r="N11342" s="11">
        <f>HYPERLINK("https://www.vietnamworks.com/nhan-vien-ky-thuat-dooh-2023805-jv","Xem chi tiết")</f>
        <v/>
      </c>
      <c r="O11342" s="10" t="n"/>
    </row>
    <row r="11343">
      <c r="B11343" s="7" t="n">
        <v>11341</v>
      </c>
      <c r="C11343" t="inlineStr">
        <is>
          <t>Kế Toán Trưởng</t>
        </is>
      </c>
      <c r="D11343" t="inlineStr">
        <is>
          <t>CÔNG TY CP TẬP ĐOÀN VINATECH VIỆT NAM</t>
        </is>
      </c>
      <c r="E11343" t="inlineStr">
        <is>
          <t>$$ 1,200-1,500 /tháng</t>
        </is>
      </c>
      <c r="F11343" t="inlineStr">
        <is>
          <t>Hồ Chí Minh</t>
        </is>
      </c>
      <c r="G11343" t="inlineStr">
        <is>
          <t>Trưởng phòng</t>
        </is>
      </c>
      <c r="H11343" t="inlineStr">
        <is>
          <t>16/03/2026</t>
        </is>
      </c>
      <c r="I11343" t="inlineStr">
        <is>
          <t>15/04/2026</t>
        </is>
      </c>
      <c r="J11343" t="inlineStr">
        <is>
          <t>17/03/2026</t>
        </is>
      </c>
      <c r="K11343" t="inlineStr">
        <is>
          <t>N/A</t>
        </is>
      </c>
      <c r="L11343" t="inlineStr">
        <is>
          <t>Chief Accountant, Kế Toán Trưởng, Sản Xuất, Kiểm toán tài chính, SAP</t>
        </is>
      </c>
      <c r="M11343" t="inlineStr">
        <is>
          <t>Bonus, Paid Leave, Training</t>
        </is>
      </c>
      <c r="N11343" s="8">
        <f>HYPERLINK("https://www.vietnamworks.com/ke-toan-truong--2023785-jv","Xem chi tiết")</f>
        <v/>
      </c>
    </row>
    <row r="11344">
      <c r="B11344" s="9" t="n">
        <v>11342</v>
      </c>
      <c r="C11344" s="10" t="inlineStr">
        <is>
          <t xml:space="preserve">Chuyên viên Kế toán Thanh toán </t>
        </is>
      </c>
      <c r="D11344" s="10" t="inlineStr">
        <is>
          <t>Công Ty CP Dây Cáp Điện Việt Nam - CADIVI</t>
        </is>
      </c>
      <c r="E11344" s="10" t="inlineStr">
        <is>
          <t>Thương lượng</t>
        </is>
      </c>
      <c r="F11344" s="10" t="inlineStr">
        <is>
          <t>Hồ Chí Minh</t>
        </is>
      </c>
      <c r="G11344" s="10" t="inlineStr">
        <is>
          <t>Nhân viên</t>
        </is>
      </c>
      <c r="H11344" s="10" t="inlineStr">
        <is>
          <t>16/03/2026</t>
        </is>
      </c>
      <c r="I11344" s="10" t="inlineStr">
        <is>
          <t>15/04/2026</t>
        </is>
      </c>
      <c r="J11344" s="10" t="inlineStr">
        <is>
          <t>17/03/2026</t>
        </is>
      </c>
      <c r="K11344" s="10" t="inlineStr">
        <is>
          <t>N/A</t>
        </is>
      </c>
      <c r="L11344" s="10" t="inlineStr">
        <is>
          <t>Kế toán, Kế Toán Ngân Hàng, Kế Toán Thanh Toán, Thanh Toán Quốc Tế</t>
        </is>
      </c>
      <c r="M11344" s="10" t="inlineStr">
        <is>
          <t>Bonus, Training, Awards</t>
        </is>
      </c>
      <c r="N11344" s="11">
        <f>HYPERLINK("https://www.vietnamworks.com/chuyen-vien-ke-toan-thanh-toan-2023804-jv","Xem chi tiết")</f>
        <v/>
      </c>
      <c r="O11344" s="10" t="n"/>
    </row>
    <row r="11345">
      <c r="B11345" s="7" t="n">
        <v>11343</v>
      </c>
      <c r="C11345" t="inlineStr">
        <is>
          <t>Financial Planning Officer - 1 Year contract</t>
        </is>
      </c>
      <c r="D11345" t="inlineStr">
        <is>
          <t>Shinhan Vietnam Finance Company Limited</t>
        </is>
      </c>
      <c r="E11345" t="inlineStr">
        <is>
          <t>Thương lượng</t>
        </is>
      </c>
      <c r="F11345" t="inlineStr">
        <is>
          <t>Hồ Chí Minh</t>
        </is>
      </c>
      <c r="G11345" t="inlineStr">
        <is>
          <t>Nhân viên</t>
        </is>
      </c>
      <c r="H11345" t="inlineStr">
        <is>
          <t>16/03/2026</t>
        </is>
      </c>
      <c r="I11345" t="inlineStr">
        <is>
          <t>15/04/2026</t>
        </is>
      </c>
      <c r="J11345" t="inlineStr">
        <is>
          <t>17/03/2026</t>
        </is>
      </c>
      <c r="K11345" t="inlineStr">
        <is>
          <t>N/A</t>
        </is>
      </c>
      <c r="L11345" t="inlineStr">
        <is>
          <t>Budget Management, Communication Skills, Financial Analysis, MS Office, SAS</t>
        </is>
      </c>
      <c r="M11345" t="inlineStr">
        <is>
          <t>Paid Leave, Library, Travel Opportunities, Canteen</t>
        </is>
      </c>
      <c r="N11345" s="8">
        <f>HYPERLINK("https://www.vietnamworks.com/financial-planning-officer-1-year-contract-2023811-jv","Xem chi tiết")</f>
        <v/>
      </c>
    </row>
    <row r="11346">
      <c r="B11346" s="9" t="n">
        <v>11344</v>
      </c>
      <c r="C11346" s="10" t="inlineStr">
        <is>
          <t>Kỹ Sư Xây Dựng - Làm Việc Tại Các Dự Án Quanh Miền Bắc / 土建工程師</t>
        </is>
      </c>
      <c r="D11346" s="10" t="inlineStr">
        <is>
          <t>CÔNG TY TNHH CÔNG TRÌNH L &amp; K VIỆT NAM</t>
        </is>
      </c>
      <c r="E11346" s="10" t="inlineStr">
        <is>
          <t>Thương lượng</t>
        </is>
      </c>
      <c r="F11346" s="10" t="inlineStr">
        <is>
          <t>Khác</t>
        </is>
      </c>
      <c r="G11346" s="10" t="inlineStr">
        <is>
          <t>Mới Tốt Nghiệp</t>
        </is>
      </c>
      <c r="H11346" s="10" t="inlineStr">
        <is>
          <t>16/03/2026</t>
        </is>
      </c>
      <c r="I11346" s="10" t="inlineStr">
        <is>
          <t>15/04/2026</t>
        </is>
      </c>
      <c r="J11346" s="10" t="inlineStr">
        <is>
          <t>17/03/2026</t>
        </is>
      </c>
      <c r="K11346" s="10" t="inlineStr">
        <is>
          <t>N/A</t>
        </is>
      </c>
      <c r="L11346" s="10" t="inlineStr">
        <is>
          <t>Giám Sát Thi Công, Giám Sát Chất Lượng Thi Công, Nghiệm Thu, Thẩm Định Thiết Bị, Lập Báo Cáo</t>
        </is>
      </c>
      <c r="M11346" s="10" t="inlineStr">
        <is>
          <t>Bonus, Healthcare Plan, Awards</t>
        </is>
      </c>
      <c r="N11346" s="11">
        <f>HYPERLINK("https://www.vietnamworks.com/ky-su-xay-dung-lam-viec-tai-cac-du-an-quanh-mien-bac-cycle-xiao--2023789-jv","Xem chi tiết")</f>
        <v/>
      </c>
      <c r="O11346" s="10" t="n"/>
    </row>
    <row r="11347">
      <c r="B11347" s="7" t="n">
        <v>11345</v>
      </c>
      <c r="C11347" t="inlineStr">
        <is>
          <t>Senior Consultant - Risk Consulting, Internal Audit, Internal Control</t>
        </is>
      </c>
      <c r="D11347" t="inlineStr">
        <is>
          <t>Ernst &amp; Young Vietnam Limited (EY Vietnam)</t>
        </is>
      </c>
      <c r="E11347" t="inlineStr">
        <is>
          <t>Thương lượng</t>
        </is>
      </c>
      <c r="F11347" t="inlineStr">
        <is>
          <t>Hồ Chí Minh</t>
        </is>
      </c>
      <c r="G11347" t="inlineStr">
        <is>
          <t>Nhân viên</t>
        </is>
      </c>
      <c r="H11347" t="inlineStr">
        <is>
          <t>16/03/2026</t>
        </is>
      </c>
      <c r="I11347" t="inlineStr">
        <is>
          <t>15/04/2026</t>
        </is>
      </c>
      <c r="J11347" t="inlineStr">
        <is>
          <t>17/03/2026</t>
        </is>
      </c>
      <c r="K11347" t="inlineStr">
        <is>
          <t>N/A</t>
        </is>
      </c>
      <c r="L11347" t="inlineStr">
        <is>
          <t>English, Auditing, Internal Audit, Internal Control, Excel</t>
        </is>
      </c>
      <c r="M11347" t="inlineStr">
        <is>
          <t>Bonus, Awards, Others</t>
        </is>
      </c>
      <c r="N11347" s="8">
        <f>HYPERLINK("https://www.vietnamworks.com/senior-consultant-risk-consulting-internal-audit-internal-control-2023809-jv","Xem chi tiết")</f>
        <v/>
      </c>
    </row>
    <row r="11348">
      <c r="B11348" s="9" t="n">
        <v>11346</v>
      </c>
      <c r="C11348" s="10" t="inlineStr">
        <is>
          <t>Chuyên Viên Pháp Chế (Tiếng Trung)</t>
        </is>
      </c>
      <c r="D11348" s="10" t="inlineStr">
        <is>
          <t>Công Ty TNHH Gemtek Việt Nam</t>
        </is>
      </c>
      <c r="E11348" s="10" t="inlineStr">
        <is>
          <t>Thương lượng</t>
        </is>
      </c>
      <c r="F11348" s="10" t="inlineStr">
        <is>
          <t>Hà Nội, Hà Nam</t>
        </is>
      </c>
      <c r="G11348" s="10" t="inlineStr">
        <is>
          <t>Mới Tốt Nghiệp</t>
        </is>
      </c>
      <c r="H11348" s="10" t="inlineStr">
        <is>
          <t>16/03/2026</t>
        </is>
      </c>
      <c r="I11348" s="10" t="inlineStr">
        <is>
          <t>15/04/2026</t>
        </is>
      </c>
      <c r="J11348" s="10" t="inlineStr">
        <is>
          <t>17/03/2026</t>
        </is>
      </c>
      <c r="K11348" s="10" t="inlineStr">
        <is>
          <t>N/A</t>
        </is>
      </c>
      <c r="L11348" s="10" t="inlineStr">
        <is>
          <t>Pháp Lý, Pháp Chế, Luật, Legal, Tiếng Trung</t>
        </is>
      </c>
      <c r="M11348" s="10" t="inlineStr">
        <is>
          <t>Bonus, Transportation, Others</t>
        </is>
      </c>
      <c r="N11348" s="11">
        <f>HYPERLINK("https://www.vietnamworks.com/chuyen-vien-phap-che-tieng-trung--2023801-jv","Xem chi tiết")</f>
        <v/>
      </c>
      <c r="O11348" s="10" t="n"/>
    </row>
    <row r="11349">
      <c r="B11349" s="7" t="n">
        <v>11347</v>
      </c>
      <c r="C11349" t="inlineStr">
        <is>
          <t>Chuyên Viên Cao Cấp Kế Toán Quản Trị (Senior Accounting Management)</t>
        </is>
      </c>
      <c r="D11349" t="inlineStr">
        <is>
          <t>Công Ty Cổ Phần Prowtech International Vina</t>
        </is>
      </c>
      <c r="E11349" t="inlineStr">
        <is>
          <t>Thương lượng</t>
        </is>
      </c>
      <c r="F11349" t="inlineStr">
        <is>
          <t>Hồ Chí Minh</t>
        </is>
      </c>
      <c r="G11349" t="inlineStr">
        <is>
          <t>Nhân viên</t>
        </is>
      </c>
      <c r="H11349" t="inlineStr">
        <is>
          <t>16/03/2026</t>
        </is>
      </c>
      <c r="I11349" t="inlineStr">
        <is>
          <t>15/04/2026</t>
        </is>
      </c>
      <c r="J11349" t="inlineStr">
        <is>
          <t>17/03/2026</t>
        </is>
      </c>
      <c r="K11349" t="inlineStr">
        <is>
          <t>N/A</t>
        </is>
      </c>
      <c r="L11349" t="inlineStr">
        <is>
          <t>Power BI, Kế Toán, Kiểm Toán, Tài Chính Doanh Nghiệp, IFRS</t>
        </is>
      </c>
      <c r="M11349" t="inlineStr">
        <is>
          <t>Training, Awards, Others</t>
        </is>
      </c>
      <c r="N11349" s="8">
        <f>HYPERLINK("https://www.vietnamworks.com/chuyen-vien-cao-cap-ke-toan-quan-tri-senior-accounting-management-2023808-jv","Xem chi tiết")</f>
        <v/>
      </c>
    </row>
    <row r="11350">
      <c r="B11350" s="9" t="n">
        <v>11348</v>
      </c>
      <c r="C11350" s="10" t="inlineStr">
        <is>
          <t>[Hà Nội] Chuyên Viên Pháp Chế</t>
        </is>
      </c>
      <c r="D11350" s="10" t="inlineStr">
        <is>
          <t>Công Ty Cổ Phần Thép Hòa Phát Dung Quất</t>
        </is>
      </c>
      <c r="E11350" s="10" t="inlineStr">
        <is>
          <t>Thương lượng</t>
        </is>
      </c>
      <c r="F11350" s="10" t="inlineStr">
        <is>
          <t>Hà Nội</t>
        </is>
      </c>
      <c r="G11350" s="10" t="inlineStr">
        <is>
          <t>Nhân viên</t>
        </is>
      </c>
      <c r="H11350" s="10" t="inlineStr">
        <is>
          <t>16/03/2026</t>
        </is>
      </c>
      <c r="I11350" s="10" t="inlineStr">
        <is>
          <t>15/04/2026</t>
        </is>
      </c>
      <c r="J11350" s="10" t="inlineStr">
        <is>
          <t>17/03/2026</t>
        </is>
      </c>
      <c r="K11350" s="10" t="inlineStr">
        <is>
          <t>N/A</t>
        </is>
      </c>
      <c r="L11350" s="10" t="inlineStr">
        <is>
          <t>Pháp lý &amp; Hồ sơ xây dựng, Đấu Thầu, Tư Vấn Pháp Luật Đấu Thầu, Chuẩn Bị Hồ Sơ Đấu Thầu, Công Tác Đấu Thầu</t>
        </is>
      </c>
      <c r="M11350" s="10" t="inlineStr">
        <is>
          <t>Bonus, Travel Opportunities, Transportation</t>
        </is>
      </c>
      <c r="N11350" s="11">
        <f>HYPERLINK("https://www.vietnamworks.com/ha-noi-chuyen-vien-phap-che--2023822-jv","Xem chi tiết")</f>
        <v/>
      </c>
      <c r="O11350" s="10" t="n"/>
    </row>
    <row r="11351">
      <c r="B11351" s="7" t="n">
        <v>11349</v>
      </c>
      <c r="C11351" t="inlineStr">
        <is>
          <t>Business Consultant - Hospital/ Tư Vấn Kinh Doanh - Bệnh Viện (TP.HCM)</t>
        </is>
      </c>
      <c r="D11351" t="inlineStr">
        <is>
          <t>Zuellig Pharma Viet Nam</t>
        </is>
      </c>
      <c r="E11351" t="inlineStr">
        <is>
          <t>Thương lượng</t>
        </is>
      </c>
      <c r="F11351" t="inlineStr">
        <is>
          <t>Hồ Chí Minh</t>
        </is>
      </c>
      <c r="G11351" t="inlineStr">
        <is>
          <t>Nhân viên</t>
        </is>
      </c>
      <c r="H11351" t="inlineStr">
        <is>
          <t>16/03/2026</t>
        </is>
      </c>
      <c r="I11351" t="inlineStr">
        <is>
          <t>15/04/2026</t>
        </is>
      </c>
      <c r="J11351" t="inlineStr">
        <is>
          <t>17/03/2026</t>
        </is>
      </c>
      <c r="K11351" t="inlineStr">
        <is>
          <t>N/A</t>
        </is>
      </c>
      <c r="L11351" t="inlineStr">
        <is>
          <t>Hệ Thống Bệnh Viện, Trình dược viên, ETC</t>
        </is>
      </c>
      <c r="M11351" t="inlineStr">
        <is>
          <t>Bonus, Healthcare Plan, Paid Leave</t>
        </is>
      </c>
      <c r="N11351" s="8">
        <f>HYPERLINK("https://www.vietnamworks.com/business-consultant-hospital-tu-van-kinh-doanh-benh-vien-tp-hcm-2023820-jv","Xem chi tiết")</f>
        <v/>
      </c>
    </row>
    <row r="11352">
      <c r="B11352" s="9" t="n">
        <v>11350</v>
      </c>
      <c r="C11352" s="10" t="inlineStr">
        <is>
          <t>Nhân Viên Hành Chính Nhân Sự (Admin HR)</t>
        </is>
      </c>
      <c r="D11352" s="10" t="inlineStr">
        <is>
          <t>Công ty cổ phần Hàng không Hải Âu</t>
        </is>
      </c>
      <c r="E11352" s="10" t="inlineStr">
        <is>
          <t>Thương lượng</t>
        </is>
      </c>
      <c r="F11352" s="10" t="inlineStr">
        <is>
          <t>Hà Nội</t>
        </is>
      </c>
      <c r="G11352" s="10" t="inlineStr">
        <is>
          <t>Nhân viên</t>
        </is>
      </c>
      <c r="H11352" s="10" t="inlineStr">
        <is>
          <t>16/03/2026</t>
        </is>
      </c>
      <c r="I11352" s="10" t="inlineStr">
        <is>
          <t>15/04/2026</t>
        </is>
      </c>
      <c r="J11352" s="10" t="inlineStr">
        <is>
          <t>17/03/2026</t>
        </is>
      </c>
      <c r="K11352" s="10" t="inlineStr">
        <is>
          <t>N/A</t>
        </is>
      </c>
      <c r="L11352" s="10" t="inlineStr">
        <is>
          <t>Giao Tiếp, Quản Lý Hồ Sơ, Tin Học Văn Phòng, Tuyển Dụng, Xử Lý Tình Huống</t>
        </is>
      </c>
      <c r="M11352" s="10" t="inlineStr">
        <is>
          <t>Bonus, Healthcare Plan, Paid Leave, Training</t>
        </is>
      </c>
      <c r="N11352" s="11">
        <f>HYPERLINK("https://www.vietnamworks.com/nhan-vien-hanh-chinh-nhan-su-admin-hr-2023824-jv","Xem chi tiết")</f>
        <v/>
      </c>
      <c r="O11352" s="10" t="n"/>
    </row>
    <row r="11353">
      <c r="B11353" s="7" t="n">
        <v>11351</v>
      </c>
      <c r="C11353" t="inlineStr">
        <is>
          <t>Chuyên Viên Phát Triển Thị Trường và Đối Tác (Site Expansion)</t>
        </is>
      </c>
      <c r="D11353" t="inlineStr">
        <is>
          <t>Công Ty Cổ Phần Sữa Việt Nam (Vinamilk)</t>
        </is>
      </c>
      <c r="E11353" t="inlineStr">
        <is>
          <t>Thương lượng</t>
        </is>
      </c>
      <c r="F11353" t="inlineStr">
        <is>
          <t>Hồ Chí Minh, Hà Nội</t>
        </is>
      </c>
      <c r="G11353" t="inlineStr">
        <is>
          <t>Nhân viên</t>
        </is>
      </c>
      <c r="H11353" t="inlineStr">
        <is>
          <t>16/03/2026</t>
        </is>
      </c>
      <c r="I11353" t="inlineStr">
        <is>
          <t>15/04/2026</t>
        </is>
      </c>
      <c r="J11353" t="inlineStr">
        <is>
          <t>17/03/2026</t>
        </is>
      </c>
      <c r="K11353" t="inlineStr">
        <is>
          <t>N/A</t>
        </is>
      </c>
      <c r="L11353" t="inlineStr">
        <is>
          <t>Real Estate Strategic, Lease Negotiations, Real Estate Business, Partnership Development, Retail Expansion</t>
        </is>
      </c>
      <c r="M11353" t="inlineStr">
        <is>
          <t>Bonus, Healthcare Plan, Training</t>
        </is>
      </c>
      <c r="N11353" s="8">
        <f>HYPERLINK("https://www.vietnamworks.com/chuyen-vien-phat-trien-thi-truong-va-doi-tac-site-expansion--2023821-jv","Xem chi tiết")</f>
        <v/>
      </c>
    </row>
    <row r="11354">
      <c r="B11354" s="9" t="n">
        <v>11352</v>
      </c>
      <c r="C11354" s="10" t="inlineStr">
        <is>
          <t>Senior Retail Operation Specialist (Chuyên Viên Vận Hành Chuỗi Cửa Hàng Vinamilk)</t>
        </is>
      </c>
      <c r="D11354" s="10" t="inlineStr">
        <is>
          <t>Công Ty Cổ Phần Sữa Việt Nam (Vinamilk)</t>
        </is>
      </c>
      <c r="E11354" s="10" t="inlineStr">
        <is>
          <t>Thương lượng</t>
        </is>
      </c>
      <c r="F11354" s="10" t="inlineStr">
        <is>
          <t>Hồ Chí Minh, Hà Nội</t>
        </is>
      </c>
      <c r="G11354" s="10" t="inlineStr">
        <is>
          <t>Nhân viên</t>
        </is>
      </c>
      <c r="H11354" s="10" t="inlineStr">
        <is>
          <t>16/03/2026</t>
        </is>
      </c>
      <c r="I11354" s="10" t="inlineStr">
        <is>
          <t>15/04/2026</t>
        </is>
      </c>
      <c r="J11354" s="10" t="inlineStr">
        <is>
          <t>17/03/2026</t>
        </is>
      </c>
      <c r="K11354" s="10" t="inlineStr">
        <is>
          <t>N/A</t>
        </is>
      </c>
      <c r="L11354" s="10" t="inlineStr">
        <is>
          <t>Store Operation, Store Management, Quản Lý Kênh Bán Lẻ, Quản Lý Khu Vực, Quản Lý Chuỗi Cửa Hàng Bán Lẻ</t>
        </is>
      </c>
      <c r="M11354" s="10" t="inlineStr">
        <is>
          <t>Bonus, Healthcare Plan, Training</t>
        </is>
      </c>
      <c r="N11354" s="11">
        <f>HYPERLINK("https://www.vietnamworks.com/senior-retail-operation-specialist-chuyen-vien-van-hanh-chuoi-cua-hang-vinamilk--2023823-jv","Xem chi tiết")</f>
        <v/>
      </c>
      <c r="O11354" s="10" t="n"/>
    </row>
    <row r="11355">
      <c r="B11355" s="7" t="n">
        <v>11353</v>
      </c>
      <c r="C11355" t="inlineStr">
        <is>
          <t>Credit Control On Corporate Banking – Senior Officer</t>
        </is>
      </c>
      <c r="D11355" t="inlineStr">
        <is>
          <t>Bangkok Bank Public Company Limited, Ho Chi Minh City Branch</t>
        </is>
      </c>
      <c r="E11355" t="inlineStr">
        <is>
          <t>Thương lượng</t>
        </is>
      </c>
      <c r="F11355" t="inlineStr">
        <is>
          <t>Hồ Chí Minh</t>
        </is>
      </c>
      <c r="G11355" t="inlineStr">
        <is>
          <t>Nhân viên</t>
        </is>
      </c>
      <c r="H11355" t="inlineStr">
        <is>
          <t>16/03/2026</t>
        </is>
      </c>
      <c r="I11355" t="inlineStr">
        <is>
          <t>15/04/2026</t>
        </is>
      </c>
      <c r="J11355" t="inlineStr">
        <is>
          <t>17/03/2026</t>
        </is>
      </c>
      <c r="K11355" t="inlineStr">
        <is>
          <t>N/A</t>
        </is>
      </c>
      <c r="L11355" t="inlineStr">
        <is>
          <t>Credit Admin, Credit System, Credit Control, Tài Chính Ngân Hàng, Tín Dụng Ngân Hàng</t>
        </is>
      </c>
      <c r="M11355" t="inlineStr">
        <is>
          <t>Bonus, Healthcare Plan, Team Activities</t>
        </is>
      </c>
      <c r="N11355" s="8">
        <f>HYPERLINK("https://www.vietnamworks.com/credit-control-on-corporate-banking-senior-officer--2023828-jv","Xem chi tiết")</f>
        <v/>
      </c>
    </row>
    <row r="11356">
      <c r="B11356" s="9" t="n">
        <v>11354</v>
      </c>
      <c r="C11356" s="10" t="inlineStr">
        <is>
          <t>Project QA Technician</t>
        </is>
      </c>
      <c r="D11356" s="10" t="inlineStr">
        <is>
          <t>La Vie Limited Liability Company</t>
        </is>
      </c>
      <c r="E11356" s="10" t="inlineStr">
        <is>
          <t>Thương lượng</t>
        </is>
      </c>
      <c r="F11356" s="10" t="inlineStr">
        <is>
          <t>Long An</t>
        </is>
      </c>
      <c r="G11356" s="10" t="inlineStr">
        <is>
          <t>Nhân viên</t>
        </is>
      </c>
      <c r="H11356" s="10" t="inlineStr">
        <is>
          <t>16/03/2026</t>
        </is>
      </c>
      <c r="I11356" s="10" t="inlineStr">
        <is>
          <t>15/04/2026</t>
        </is>
      </c>
      <c r="J11356" s="10" t="inlineStr">
        <is>
          <t>17/03/2026</t>
        </is>
      </c>
      <c r="K11356" s="10" t="inlineStr">
        <is>
          <t>N/A</t>
        </is>
      </c>
      <c r="L11356" s="10" t="inlineStr">
        <is>
          <t>N/A</t>
        </is>
      </c>
      <c r="M11356" s="10" t="inlineStr">
        <is>
          <t>Bonus, Healthcare Plan, Training</t>
        </is>
      </c>
      <c r="N11356" s="11">
        <f>HYPERLINK("https://www.vietnamworks.com/project-qa-technician-2023832-jv","Xem chi tiết")</f>
        <v/>
      </c>
      <c r="O11356" s="10" t="n"/>
    </row>
    <row r="11357">
      <c r="B11357" s="7" t="n">
        <v>11355</v>
      </c>
      <c r="C11357" t="inlineStr">
        <is>
          <t>Assistant Relationship Manager (Contractor 06 Months)- Japanese &amp; Korean Corporate Banking Dept, Asia Pacific Division</t>
        </is>
      </c>
      <c r="D11357" t="inlineStr">
        <is>
          <t>Sumitomo Mitsui Banking Corporation (SMBC)</t>
        </is>
      </c>
      <c r="E11357" t="inlineStr">
        <is>
          <t>Thương lượng</t>
        </is>
      </c>
      <c r="F11357" t="inlineStr">
        <is>
          <t>Hồ Chí Minh</t>
        </is>
      </c>
      <c r="G11357" t="inlineStr">
        <is>
          <t>Trưởng phòng</t>
        </is>
      </c>
      <c r="H11357" t="inlineStr">
        <is>
          <t>16/03/2026</t>
        </is>
      </c>
      <c r="I11357" t="inlineStr">
        <is>
          <t>15/04/2026</t>
        </is>
      </c>
      <c r="J11357" t="inlineStr">
        <is>
          <t>17/03/2026</t>
        </is>
      </c>
      <c r="K11357" t="inlineStr">
        <is>
          <t>N/A</t>
        </is>
      </c>
      <c r="L11357" t="inlineStr">
        <is>
          <t>Relationship Management, Corporate Banking, Credit, Credit Risk, English Communication</t>
        </is>
      </c>
      <c r="M11357" t="inlineStr">
        <is>
          <t>Bonus, Healthcare Plan, Paid Leave</t>
        </is>
      </c>
      <c r="N11357" s="8">
        <f>HYPERLINK("https://www.vietnamworks.com/assistant-relationship-manager-contractor-06-months-japanese-korean-corporate-banking-dept-asia-pacific-division-2023831-jv","Xem chi tiết")</f>
        <v/>
      </c>
    </row>
    <row r="11358">
      <c r="B11358" s="9" t="n">
        <v>11356</v>
      </c>
      <c r="C11358" s="10" t="inlineStr">
        <is>
          <t>Trưởng Phòng Hỗ Trợ Vận Hành Kinh Doanh Bán Xe</t>
        </is>
      </c>
      <c r="D11358" s="10" t="inlineStr">
        <is>
          <t>GSM</t>
        </is>
      </c>
      <c r="E11358" s="10" t="inlineStr">
        <is>
          <t>$$ 2,000-3,000 /tháng</t>
        </is>
      </c>
      <c r="F11358" s="10" t="inlineStr">
        <is>
          <t>Hà Nội</t>
        </is>
      </c>
      <c r="G11358" s="10" t="inlineStr">
        <is>
          <t>Trưởng phòng</t>
        </is>
      </c>
      <c r="H11358" s="10" t="inlineStr">
        <is>
          <t>16/03/2026</t>
        </is>
      </c>
      <c r="I11358" s="10" t="inlineStr">
        <is>
          <t>15/04/2026</t>
        </is>
      </c>
      <c r="J11358" s="10" t="inlineStr">
        <is>
          <t>17/03/2026</t>
        </is>
      </c>
      <c r="K11358" s="10" t="inlineStr">
        <is>
          <t>N/A</t>
        </is>
      </c>
      <c r="L11358" s="10" t="inlineStr">
        <is>
          <t>Hỗ Trợ Kinh Doanh, Vận Hành Kinh Doanh, CRM, Quản Lý Hợp Đồng, Quản Lý Doanh Số</t>
        </is>
      </c>
      <c r="M11358" s="10" t="inlineStr">
        <is>
          <t>Bonus, Healthcare Plan, Training</t>
        </is>
      </c>
      <c r="N11358" s="11">
        <f>HYPERLINK("https://www.vietnamworks.com/truong-phong-ho-tro-van-hanh-kinh-doanh-ban-xe-2023833-jv","Xem chi tiết")</f>
        <v/>
      </c>
      <c r="O11358" s="10" t="n"/>
    </row>
    <row r="11359">
      <c r="B11359" s="7" t="n">
        <v>11357</v>
      </c>
      <c r="C11359" t="inlineStr">
        <is>
          <t>Digital Planner</t>
        </is>
      </c>
      <c r="D11359" t="inlineStr">
        <is>
          <t>Công Ty Cổ Phần DatVietVAC Group Holdings</t>
        </is>
      </c>
      <c r="E11359" t="inlineStr">
        <is>
          <t>Thương lượng</t>
        </is>
      </c>
      <c r="F11359" t="inlineStr">
        <is>
          <t>Hồ Chí Minh</t>
        </is>
      </c>
      <c r="G11359" t="inlineStr">
        <is>
          <t>Nhân viên</t>
        </is>
      </c>
      <c r="H11359" t="inlineStr">
        <is>
          <t>16/03/2026</t>
        </is>
      </c>
      <c r="I11359" t="inlineStr">
        <is>
          <t>15/04/2026</t>
        </is>
      </c>
      <c r="J11359" t="inlineStr">
        <is>
          <t>17/03/2026</t>
        </is>
      </c>
      <c r="K11359" t="inlineStr">
        <is>
          <t>N/A</t>
        </is>
      </c>
      <c r="L11359" t="inlineStr">
        <is>
          <t>Digital Media Planning, Media, Digital Advertising Tools, Digital</t>
        </is>
      </c>
      <c r="M11359" t="inlineStr">
        <is>
          <t>Bonus, Healthcare Plan, Paid Leave</t>
        </is>
      </c>
      <c r="N11359" s="8">
        <f>HYPERLINK("https://www.vietnamworks.com/digital-planner--2023827-jv","Xem chi tiết")</f>
        <v/>
      </c>
    </row>
    <row r="11360">
      <c r="B11360" s="9" t="n">
        <v>11358</v>
      </c>
      <c r="C11360" s="10" t="inlineStr">
        <is>
          <t>Giám Sát Nhà Phân Phối (Sales Supervisor)</t>
        </is>
      </c>
      <c r="D11360" s="10" t="inlineStr">
        <is>
          <t>Công Ty Cổ Phần Sữa Việt Nam (Vinamilk)</t>
        </is>
      </c>
      <c r="E11360" s="10" t="inlineStr">
        <is>
          <t>Thương lượng</t>
        </is>
      </c>
      <c r="F11360" s="10" t="inlineStr">
        <is>
          <t>Hồ Chí Minh, Bạc Liêu, Đồng Nai</t>
        </is>
      </c>
      <c r="G11360" s="10" t="inlineStr">
        <is>
          <t>Nhân viên</t>
        </is>
      </c>
      <c r="H11360" s="10" t="inlineStr">
        <is>
          <t>16/03/2026</t>
        </is>
      </c>
      <c r="I11360" s="10" t="inlineStr">
        <is>
          <t>15/04/2026</t>
        </is>
      </c>
      <c r="J11360" s="10" t="inlineStr">
        <is>
          <t>17/03/2026</t>
        </is>
      </c>
      <c r="K11360" s="10" t="inlineStr">
        <is>
          <t>N/A</t>
        </is>
      </c>
      <c r="L11360" s="10" t="inlineStr">
        <is>
          <t>Sales Supervisor, Sales Development, General Trade, GT Channel, FMCG</t>
        </is>
      </c>
      <c r="M11360" s="10" t="inlineStr">
        <is>
          <t>Bonus, Healthcare Plan, Training</t>
        </is>
      </c>
      <c r="N11360" s="11">
        <f>HYPERLINK("https://www.vietnamworks.com/giam-sat-nha-phan-phoi-sales-supervisor--2023830-jv","Xem chi tiết")</f>
        <v/>
      </c>
      <c r="O11360" s="10" t="n"/>
    </row>
    <row r="11361">
      <c r="B11361" s="7" t="n">
        <v>11359</v>
      </c>
      <c r="C11361" t="inlineStr">
        <is>
          <t>Chuyên Viên Pháp Chế /legal Specialist</t>
        </is>
      </c>
      <c r="D11361" t="inlineStr">
        <is>
          <t>Công ty TNHH DB Home</t>
        </is>
      </c>
      <c r="E11361" t="inlineStr">
        <is>
          <t>Thương lượng</t>
        </is>
      </c>
      <c r="F11361" t="inlineStr">
        <is>
          <t>Hưng Yên</t>
        </is>
      </c>
      <c r="G11361" t="inlineStr">
        <is>
          <t>Nhân viên</t>
        </is>
      </c>
      <c r="H11361" t="inlineStr">
        <is>
          <t>16/03/2026</t>
        </is>
      </c>
      <c r="I11361" t="inlineStr">
        <is>
          <t>15/04/2026</t>
        </is>
      </c>
      <c r="J11361" t="inlineStr">
        <is>
          <t>17/03/2026</t>
        </is>
      </c>
      <c r="K11361" t="inlineStr">
        <is>
          <t>N/A</t>
        </is>
      </c>
      <c r="L11361" t="inlineStr">
        <is>
          <t>Kiến Thức Pháp Lý, Pháp Lý Bất Động Sản, Pháp Chế, Legal, Soạn Thảo Hợp Đồng</t>
        </is>
      </c>
      <c r="M11361" t="inlineStr">
        <is>
          <t>Bonus, Healthcare Plan, Paid Leave, Others</t>
        </is>
      </c>
      <c r="N11361" s="8">
        <f>HYPERLINK("https://www.vietnamworks.com/chuyen-vien-phap-che-legal-specialist--2023842-jv","Xem chi tiết")</f>
        <v/>
      </c>
    </row>
    <row r="11362">
      <c r="B11362" s="9" t="n">
        <v>11360</v>
      </c>
      <c r="C11362" s="10" t="inlineStr">
        <is>
          <t>Nhân Viên Mua Hàng- POSM ( Biết Tiếng Trung)</t>
        </is>
      </c>
      <c r="D11362" s="10" t="inlineStr">
        <is>
          <t>Công Ty TNHH Đầu Tư Và Sản Xuất Đại Việt - Daveco</t>
        </is>
      </c>
      <c r="E11362" s="10" t="inlineStr">
        <is>
          <t>10tr-15tr ₫/tháng</t>
        </is>
      </c>
      <c r="F11362" s="10" t="inlineStr">
        <is>
          <t>Hà Nội</t>
        </is>
      </c>
      <c r="G11362" s="10" t="inlineStr">
        <is>
          <t>Nhân viên</t>
        </is>
      </c>
      <c r="H11362" s="10" t="inlineStr">
        <is>
          <t>16/03/2026</t>
        </is>
      </c>
      <c r="I11362" s="10" t="inlineStr">
        <is>
          <t>15/04/2026</t>
        </is>
      </c>
      <c r="J11362" s="10" t="inlineStr">
        <is>
          <t>17/03/2026</t>
        </is>
      </c>
      <c r="K11362" s="10" t="inlineStr">
        <is>
          <t>N/A</t>
        </is>
      </c>
      <c r="L11362" s="10" t="inlineStr">
        <is>
          <t>Tiếng Trung, Đàm Phán, Tư Vấn Mua Hàng, Chứng Từ Nhập Khẩu, Tổ Chức Sự Kiện</t>
        </is>
      </c>
      <c r="M11362" s="10" t="inlineStr">
        <is>
          <t>Bonus, Healthcare Plan, Team Activities, Others</t>
        </is>
      </c>
      <c r="N11362" s="11">
        <f>HYPERLINK("https://www.vietnamworks.com/nhan-vien-mua-hang-posm-biet-tieng-trung-2023835-jv","Xem chi tiết")</f>
        <v/>
      </c>
      <c r="O11362" s="10" t="n"/>
    </row>
    <row r="11363">
      <c r="B11363" s="7" t="n">
        <v>11361</v>
      </c>
      <c r="C11363" t="inlineStr">
        <is>
          <t>Customer Service Manager</t>
        </is>
      </c>
      <c r="D11363" t="inlineStr">
        <is>
          <t>Công Ty TNHH Gardenline International (VN)</t>
        </is>
      </c>
      <c r="E11363" t="inlineStr">
        <is>
          <t>Thương lượng</t>
        </is>
      </c>
      <c r="F11363" t="inlineStr">
        <is>
          <t>Bình Định</t>
        </is>
      </c>
      <c r="G11363" t="inlineStr">
        <is>
          <t>Trưởng phòng</t>
        </is>
      </c>
      <c r="H11363" t="inlineStr">
        <is>
          <t>16/03/2026</t>
        </is>
      </c>
      <c r="I11363" t="inlineStr">
        <is>
          <t>15/04/2026</t>
        </is>
      </c>
      <c r="J11363" t="inlineStr">
        <is>
          <t>17/03/2026</t>
        </is>
      </c>
      <c r="K11363" t="inlineStr">
        <is>
          <t>N/A</t>
        </is>
      </c>
      <c r="L11363" t="inlineStr">
        <is>
          <t>Customer Service, Management, Customer Service Skill, Human Administrator skill, Good Relationship With Suppliers</t>
        </is>
      </c>
      <c r="M11363" t="inlineStr">
        <is>
          <t>Bonus, Healthcare Plan, Others</t>
        </is>
      </c>
      <c r="N11363" s="8">
        <f>HYPERLINK("https://www.vietnamworks.com/customer-service-manager--2023815-jv","Xem chi tiết")</f>
        <v/>
      </c>
    </row>
    <row r="11364">
      <c r="B11364" s="9" t="n">
        <v>11362</v>
      </c>
      <c r="C11364" s="10" t="inlineStr">
        <is>
          <t>Trưởng Phòng Hành Chính Tổ Chức - Nhân Sự</t>
        </is>
      </c>
      <c r="D11364" s="10" t="inlineStr">
        <is>
          <t>CÔNG TY CỔ PHẦN TẬP ĐOÀN ĐK VẠN THỊNH</t>
        </is>
      </c>
      <c r="E11364" s="10" t="inlineStr">
        <is>
          <t>20tr-30tr ₫/tháng</t>
        </is>
      </c>
      <c r="F11364" s="10" t="inlineStr">
        <is>
          <t>Hồ Chí Minh</t>
        </is>
      </c>
      <c r="G11364" s="10" t="inlineStr">
        <is>
          <t>Trưởng phòng</t>
        </is>
      </c>
      <c r="H11364" s="10" t="inlineStr">
        <is>
          <t>16/03/2026</t>
        </is>
      </c>
      <c r="I11364" s="10" t="inlineStr">
        <is>
          <t>15/04/2026</t>
        </is>
      </c>
      <c r="J11364" s="10" t="inlineStr">
        <is>
          <t>17/03/2026</t>
        </is>
      </c>
      <c r="K11364" s="10" t="inlineStr">
        <is>
          <t>N/A</t>
        </is>
      </c>
      <c r="L11364" s="10" t="inlineStr">
        <is>
          <t>HR Management, Compensation &amp; Benefits Management, Hành Chính, Office Operations, Quản Lý Nhân Sự</t>
        </is>
      </c>
      <c r="M11364" s="10" t="inlineStr">
        <is>
          <t>Bonus, Healthcare Plan, Paid Leave, Training, Awards, Travel Opportunities, Team Activities, Others</t>
        </is>
      </c>
      <c r="N11364" s="11">
        <f>HYPERLINK("https://www.vietnamworks.com/truong-phong-hanh-chinh-to-chuc-nhan-su-2023817-jv","Xem chi tiết")</f>
        <v/>
      </c>
      <c r="O11364" s="10" t="n"/>
    </row>
    <row r="11365">
      <c r="B11365" s="7" t="n">
        <v>11363</v>
      </c>
      <c r="C11365" t="inlineStr">
        <is>
          <t>Chuyên Viên Vận Hành Npp Vinamilk</t>
        </is>
      </c>
      <c r="D11365" t="inlineStr">
        <is>
          <t>Công Ty Cổ Phần Sữa Việt Nam (Vinamilk)</t>
        </is>
      </c>
      <c r="E11365" t="inlineStr">
        <is>
          <t>Thương lượng</t>
        </is>
      </c>
      <c r="F11365" t="inlineStr">
        <is>
          <t>Hồ Chí Minh</t>
        </is>
      </c>
      <c r="G11365" t="inlineStr">
        <is>
          <t>Nhân viên</t>
        </is>
      </c>
      <c r="H11365" t="inlineStr">
        <is>
          <t>16/03/2026</t>
        </is>
      </c>
      <c r="I11365" t="inlineStr">
        <is>
          <t>15/04/2026</t>
        </is>
      </c>
      <c r="J11365" t="inlineStr">
        <is>
          <t>17/03/2026</t>
        </is>
      </c>
      <c r="K11365" t="inlineStr">
        <is>
          <t>N/A</t>
        </is>
      </c>
      <c r="L11365" t="inlineStr">
        <is>
          <t>Logistics Management, Inventory Tracking, System SAP, Demand Planning, Sales</t>
        </is>
      </c>
      <c r="M11365" t="inlineStr">
        <is>
          <t>Bonus, Healthcare Plan, Training</t>
        </is>
      </c>
      <c r="N11365" s="8">
        <f>HYPERLINK("https://www.vietnamworks.com/chuyen-vien-van-hanh-npp-vinamilk-2023837-jv","Xem chi tiết")</f>
        <v/>
      </c>
    </row>
    <row r="11366">
      <c r="B11366" s="9" t="n">
        <v>11364</v>
      </c>
      <c r="C11366" s="10" t="inlineStr">
        <is>
          <t>Sales Support</t>
        </is>
      </c>
      <c r="D11366" s="10" t="inlineStr">
        <is>
          <t>Dachser Vietnam Co., Ltd</t>
        </is>
      </c>
      <c r="E11366" s="10" t="inlineStr">
        <is>
          <t>Thương lượng</t>
        </is>
      </c>
      <c r="F11366" s="10" t="inlineStr">
        <is>
          <t>Hồ Chí Minh</t>
        </is>
      </c>
      <c r="G11366" s="10" t="inlineStr">
        <is>
          <t>Nhân viên</t>
        </is>
      </c>
      <c r="H11366" s="10" t="inlineStr">
        <is>
          <t>16/03/2026</t>
        </is>
      </c>
      <c r="I11366" s="10" t="inlineStr">
        <is>
          <t>15/04/2026</t>
        </is>
      </c>
      <c r="J11366" s="10" t="inlineStr">
        <is>
          <t>17/03/2026</t>
        </is>
      </c>
      <c r="K11366" s="10" t="inlineStr">
        <is>
          <t>N/A</t>
        </is>
      </c>
      <c r="L11366" s="10" t="inlineStr">
        <is>
          <t>Sales Support, Sales Administration, Freight Forwarding, Communication, English Communicate</t>
        </is>
      </c>
      <c r="M11366" s="10" t="inlineStr">
        <is>
          <t>Bonus, Healthcare Plan, Team Activities</t>
        </is>
      </c>
      <c r="N11366" s="11">
        <f>HYPERLINK("https://www.vietnamworks.com/sales-support--2023841-jv","Xem chi tiết")</f>
        <v/>
      </c>
      <c r="O11366" s="10" t="n"/>
    </row>
    <row r="11367">
      <c r="B11367" s="7" t="n">
        <v>11365</v>
      </c>
      <c r="C11367" t="inlineStr">
        <is>
          <t>Kế Toán Tổng Hợp Chủ Đầu Tư Bất Động Sản</t>
        </is>
      </c>
      <c r="D11367" t="inlineStr">
        <is>
          <t>Công Ty Cổ Phần Tập Đoàn Sunshine</t>
        </is>
      </c>
      <c r="E11367" t="inlineStr">
        <is>
          <t>20tr-30tr ₫/tháng</t>
        </is>
      </c>
      <c r="F11367" t="inlineStr">
        <is>
          <t>Hà Nội</t>
        </is>
      </c>
      <c r="G11367" t="inlineStr">
        <is>
          <t>Nhân viên</t>
        </is>
      </c>
      <c r="H11367" t="inlineStr">
        <is>
          <t>16/03/2026</t>
        </is>
      </c>
      <c r="I11367" t="inlineStr">
        <is>
          <t>15/04/2026</t>
        </is>
      </c>
      <c r="J11367" t="inlineStr">
        <is>
          <t>17/03/2026</t>
        </is>
      </c>
      <c r="K11367" t="inlineStr">
        <is>
          <t>N/A</t>
        </is>
      </c>
      <c r="L11367" t="inlineStr">
        <is>
          <t>Giải Quyết Vấn Đề, Kế Toán Tổng Hợp, Lập Báo Cáo Tài Chính, Phần mềm kế toán, Quy Định Pháp Luật Về Thuế</t>
        </is>
      </c>
      <c r="M11367" t="inlineStr">
        <is>
          <t>Others</t>
        </is>
      </c>
      <c r="N11367" s="8">
        <f>HYPERLINK("https://www.vietnamworks.com/ke-toan-tong-hop-chu-djau-tu-bat-djong-san-2023838-jv","Xem chi tiết")</f>
        <v/>
      </c>
    </row>
    <row r="11368">
      <c r="B11368" s="9" t="n">
        <v>11366</v>
      </c>
      <c r="C11368" s="10" t="inlineStr">
        <is>
          <t>Director of Quantity Surveying (Director of QS) / Giám Đốc QS - Living Global - 1U015</t>
        </is>
      </c>
      <c r="D11368" s="10" t="inlineStr">
        <is>
          <t>Tập đoàn ROX (ROX Group)</t>
        </is>
      </c>
      <c r="E11368" s="10" t="inlineStr">
        <is>
          <t>Thương lượng</t>
        </is>
      </c>
      <c r="F11368" s="10" t="inlineStr">
        <is>
          <t>Hà Nội</t>
        </is>
      </c>
      <c r="G11368" s="10" t="inlineStr">
        <is>
          <t>Giám Đốc và Cấp Cao Hơn</t>
        </is>
      </c>
      <c r="H11368" s="10" t="inlineStr">
        <is>
          <t>16/03/2026</t>
        </is>
      </c>
      <c r="I11368" s="10" t="inlineStr">
        <is>
          <t>15/04/2026</t>
        </is>
      </c>
      <c r="J11368" s="10" t="inlineStr">
        <is>
          <t>17/03/2026</t>
        </is>
      </c>
      <c r="K11368" s="10" t="inlineStr">
        <is>
          <t>N/A</t>
        </is>
      </c>
      <c r="L11368" s="10" t="inlineStr">
        <is>
          <t>Quản Lý Chi Phí Dự Án, Dự Án Nhà Cao Tầng, FIDIC, Kiểm Soát Mua Sắm</t>
        </is>
      </c>
      <c r="M11368" s="10" t="inlineStr">
        <is>
          <t>Bonus, Healthcare Plan, Paid Leave</t>
        </is>
      </c>
      <c r="N11368" s="11">
        <f>HYPERLINK("https://www.vietnamworks.com/director-of-quantity-surveying-director-of-qs-giam-doc-qs-living-global-1u015-2023844-jv","Xem chi tiết")</f>
        <v/>
      </c>
      <c r="O11368" s="10" t="n"/>
    </row>
    <row r="11369">
      <c r="B11369" s="7" t="n">
        <v>11367</v>
      </c>
      <c r="C11369" t="inlineStr">
        <is>
          <t>E-Commerce Account Executive (Shopee/lazada/tiktok Shop)</t>
        </is>
      </c>
      <c r="D11369" t="inlineStr">
        <is>
          <t>Công Ty TNHH Onpoint</t>
        </is>
      </c>
      <c r="E11369" t="inlineStr">
        <is>
          <t>Thương lượng</t>
        </is>
      </c>
      <c r="F11369" t="inlineStr">
        <is>
          <t>Hồ Chí Minh</t>
        </is>
      </c>
      <c r="G11369" t="inlineStr">
        <is>
          <t>Nhân viên</t>
        </is>
      </c>
      <c r="H11369" t="inlineStr">
        <is>
          <t>16/03/2026</t>
        </is>
      </c>
      <c r="I11369" t="inlineStr">
        <is>
          <t>15/04/2026</t>
        </is>
      </c>
      <c r="J11369" t="inlineStr">
        <is>
          <t>17/03/2026</t>
        </is>
      </c>
      <c r="K11369" t="inlineStr">
        <is>
          <t>N/A</t>
        </is>
      </c>
      <c r="L11369" t="inlineStr">
        <is>
          <t>Key Account Management, Account Management, English Communicate, Ecommerce Operations, Ecommerce</t>
        </is>
      </c>
      <c r="M11369" t="inlineStr">
        <is>
          <t>Healthcare Plan, Paid Leave, Laptop</t>
        </is>
      </c>
      <c r="N11369" s="8">
        <f>HYPERLINK("https://www.vietnamworks.com/e-commerce-account-executive-shopee-lazada-tiktok-shop-2023847-jv","Xem chi tiết")</f>
        <v/>
      </c>
    </row>
    <row r="11370">
      <c r="B11370" s="9" t="n">
        <v>11368</v>
      </c>
      <c r="C11370" s="10" t="inlineStr">
        <is>
          <t>Kỹ Sư Hạ Tầng Đô Thị</t>
        </is>
      </c>
      <c r="D11370" s="10" t="inlineStr">
        <is>
          <t>Công Ty Cổ Phần Tập Đoàn Nam Mê Kông</t>
        </is>
      </c>
      <c r="E11370" s="10" t="inlineStr">
        <is>
          <t>$$ 1,000-1,100 /tháng</t>
        </is>
      </c>
      <c r="F11370" s="10" t="inlineStr">
        <is>
          <t>Hà Nội</t>
        </is>
      </c>
      <c r="G11370" s="10" t="inlineStr">
        <is>
          <t>Nhân viên</t>
        </is>
      </c>
      <c r="H11370" s="10" t="inlineStr">
        <is>
          <t>16/03/2026</t>
        </is>
      </c>
      <c r="I11370" s="10" t="inlineStr">
        <is>
          <t>15/04/2026</t>
        </is>
      </c>
      <c r="J11370" s="10" t="inlineStr">
        <is>
          <t>17/03/2026</t>
        </is>
      </c>
      <c r="K11370" s="10" t="inlineStr">
        <is>
          <t>N/A</t>
        </is>
      </c>
      <c r="L11370" s="10" t="inlineStr">
        <is>
          <t>Hạ Tầng Đô Thị, Thi Công Nhà Cao Tầng, Xây Dựng, AutoCAD, Kỹ Sư Xây Dựng</t>
        </is>
      </c>
      <c r="M11370" s="10" t="inlineStr">
        <is>
          <t>Healthcare Plan, Paid Leave, Others</t>
        </is>
      </c>
      <c r="N11370" s="11">
        <f>HYPERLINK("https://www.vietnamworks.com/ky-su-ha-tang-do-thi--2023853-jv","Xem chi tiết")</f>
        <v/>
      </c>
      <c r="O11370" s="10" t="n"/>
    </row>
    <row r="11371">
      <c r="B11371" s="7" t="n">
        <v>11369</v>
      </c>
      <c r="C11371" t="inlineStr">
        <is>
          <t>Nhân Viên Sale Admin</t>
        </is>
      </c>
      <c r="D11371" t="inlineStr">
        <is>
          <t>Công Ty CP SX TM Vina Fnv</t>
        </is>
      </c>
      <c r="E11371" t="inlineStr">
        <is>
          <t>$$ 700-1,000 /tháng</t>
        </is>
      </c>
      <c r="F11371" t="inlineStr">
        <is>
          <t>Hồ Chí Minh</t>
        </is>
      </c>
      <c r="G11371" t="inlineStr">
        <is>
          <t>Nhân viên</t>
        </is>
      </c>
      <c r="H11371" t="inlineStr">
        <is>
          <t>16/03/2026</t>
        </is>
      </c>
      <c r="I11371" t="inlineStr">
        <is>
          <t>15/04/2026</t>
        </is>
      </c>
      <c r="J11371" t="inlineStr">
        <is>
          <t>17/03/2026</t>
        </is>
      </c>
      <c r="K11371" t="inlineStr">
        <is>
          <t>N/A</t>
        </is>
      </c>
      <c r="L11371" t="inlineStr">
        <is>
          <t>Kỹ Năng Văn Phòng, Phân Tích Số Liệu, Lập Báo Cáo, Quản Lý Thời Gian, Giao Tiếp</t>
        </is>
      </c>
      <c r="M11371" t="inlineStr">
        <is>
          <t>Bonus, Healthcare Plan, Laptop, Others</t>
        </is>
      </c>
      <c r="N11371" s="8">
        <f>HYPERLINK("https://www.vietnamworks.com/nhan-vien-sale-admin-2023846-jv","Xem chi tiết")</f>
        <v/>
      </c>
    </row>
    <row r="11372">
      <c r="B11372" s="9" t="n">
        <v>11370</v>
      </c>
      <c r="C11372" s="10" t="inlineStr">
        <is>
          <t>Quản Lý Vận Hành Chi Nhánh - Ưu Tiên Nghiệp Vụ Kế Toán</t>
        </is>
      </c>
      <c r="D11372" s="10" t="inlineStr">
        <is>
          <t>Công Ty Cổ Phần Cơ Khí Hồng Ký</t>
        </is>
      </c>
      <c r="E11372" s="10" t="inlineStr">
        <is>
          <t>$$ 700-1,000 /tháng</t>
        </is>
      </c>
      <c r="F11372" s="10" t="inlineStr">
        <is>
          <t>Hà Nội</t>
        </is>
      </c>
      <c r="G11372" s="10" t="inlineStr">
        <is>
          <t>Trưởng phòng</t>
        </is>
      </c>
      <c r="H11372" s="10" t="inlineStr">
        <is>
          <t>16/03/2026</t>
        </is>
      </c>
      <c r="I11372" s="10" t="inlineStr">
        <is>
          <t>15/04/2026</t>
        </is>
      </c>
      <c r="J11372" s="10" t="inlineStr">
        <is>
          <t>17/03/2026</t>
        </is>
      </c>
      <c r="K11372" s="10" t="inlineStr">
        <is>
          <t>N/A</t>
        </is>
      </c>
      <c r="L11372" s="10" t="inlineStr">
        <is>
          <t>Kế toán, Nhân Sự, HR, Accounting, Quản Lý</t>
        </is>
      </c>
      <c r="M11372" s="10" t="inlineStr">
        <is>
          <t>Bonus, Paid Leave, Awards</t>
        </is>
      </c>
      <c r="N11372" s="11">
        <f>HYPERLINK("https://www.vietnamworks.com/quan-ly-van-hanh-chi-nhanh-uu-tien-nghiep-vu-ke-toan-2023843-jv","Xem chi tiết")</f>
        <v/>
      </c>
      <c r="O11372" s="10" t="n"/>
    </row>
    <row r="11373">
      <c r="B11373" s="7" t="n">
        <v>11371</v>
      </c>
      <c r="C11373" t="inlineStr">
        <is>
          <t>Quản Lý Dự Án Làm Việc Tại Bình Định</t>
        </is>
      </c>
      <c r="D11373" t="inlineStr">
        <is>
          <t>KAS E&amp;C (Vietnam) Ltd Company</t>
        </is>
      </c>
      <c r="E11373" t="inlineStr">
        <is>
          <t>$$ 1,000-2,500 /tháng</t>
        </is>
      </c>
      <c r="F11373" t="inlineStr">
        <is>
          <t>Bình Định</t>
        </is>
      </c>
      <c r="G11373" t="inlineStr">
        <is>
          <t>Trưởng phòng</t>
        </is>
      </c>
      <c r="H11373" t="inlineStr">
        <is>
          <t>16/03/2026</t>
        </is>
      </c>
      <c r="I11373" t="inlineStr">
        <is>
          <t>15/04/2026</t>
        </is>
      </c>
      <c r="J11373" t="inlineStr">
        <is>
          <t>17/03/2026</t>
        </is>
      </c>
      <c r="K11373" t="inlineStr">
        <is>
          <t>N/A</t>
        </is>
      </c>
      <c r="L11373" t="inlineStr">
        <is>
          <t>Auto CAD, MEP Construction, Giám Sát Thi Công, Thiết Kế Kết Cấu, Structural Design</t>
        </is>
      </c>
      <c r="M11373" t="inlineStr">
        <is>
          <t>Bonus, Healthcare Plan, Others</t>
        </is>
      </c>
      <c r="N11373" s="8">
        <f>HYPERLINK("https://www.vietnamworks.com/quan-ly-du-an-lam-viec-tai-binh-dinh--2023848-jv","Xem chi tiết")</f>
        <v/>
      </c>
    </row>
    <row r="11374">
      <c r="B11374" s="9" t="n">
        <v>11372</v>
      </c>
      <c r="C11374" s="10" t="inlineStr">
        <is>
          <t>Admin Officer – Nhân Viên Phòng Hành Chính Tổng Hợp</t>
        </is>
      </c>
      <c r="D11374" s="10" t="inlineStr">
        <is>
          <t>CÔNG TY CỔ PHẦN DỊCH VỤ ĐIỆN GIÓ CHÂU Á</t>
        </is>
      </c>
      <c r="E11374" s="10" t="inlineStr">
        <is>
          <t>Thương lượng</t>
        </is>
      </c>
      <c r="F11374" s="10" t="inlineStr">
        <is>
          <t>Gia Lai, Bình Định</t>
        </is>
      </c>
      <c r="G11374" s="10" t="inlineStr">
        <is>
          <t>Nhân viên</t>
        </is>
      </c>
      <c r="H11374" s="10" t="inlineStr">
        <is>
          <t>16/03/2026</t>
        </is>
      </c>
      <c r="I11374" s="10" t="inlineStr">
        <is>
          <t>15/04/2026</t>
        </is>
      </c>
      <c r="J11374" s="10" t="inlineStr">
        <is>
          <t>17/03/2026</t>
        </is>
      </c>
      <c r="K11374" s="10" t="inlineStr">
        <is>
          <t>N/A</t>
        </is>
      </c>
      <c r="L11374" s="10" t="inlineStr">
        <is>
          <t>Administrative Management, Communication, MS Office, Purchasing, Recruitment</t>
        </is>
      </c>
      <c r="M11374" s="10" t="inlineStr">
        <is>
          <t>Bonus, Healthcare Plan, Training, Team Activities, Others</t>
        </is>
      </c>
      <c r="N11374" s="11">
        <f>HYPERLINK("https://www.vietnamworks.com/admin-officer-nhan-vien-phong-hanh-chinh-tong-hop-2023845-jv","Xem chi tiết")</f>
        <v/>
      </c>
      <c r="O11374" s="10" t="n"/>
    </row>
    <row r="11375">
      <c r="B11375" s="7" t="n">
        <v>11373</v>
      </c>
      <c r="C11375" t="inlineStr">
        <is>
          <t>Kế Toán Tổng Hợp - Lương Đến 25 Triệu</t>
        </is>
      </c>
      <c r="D11375" t="inlineStr">
        <is>
          <t>Công Ty TNHH MTV Thương Mại Sản Xuất Lạc Long</t>
        </is>
      </c>
      <c r="E11375" t="inlineStr">
        <is>
          <t>Tới 25tr ₫/tháng</t>
        </is>
      </c>
      <c r="F11375" t="inlineStr">
        <is>
          <t>Hồ Chí Minh, Tây Ninh</t>
        </is>
      </c>
      <c r="G11375" t="inlineStr">
        <is>
          <t>Nhân viên</t>
        </is>
      </c>
      <c r="H11375" t="inlineStr">
        <is>
          <t>16/03/2026</t>
        </is>
      </c>
      <c r="I11375" t="inlineStr">
        <is>
          <t>15/04/2026</t>
        </is>
      </c>
      <c r="J11375" t="inlineStr">
        <is>
          <t>17/03/2026</t>
        </is>
      </c>
      <c r="K11375" t="inlineStr">
        <is>
          <t>N/A</t>
        </is>
      </c>
      <c r="L11375" t="inlineStr">
        <is>
          <t>Luật Doanh Nghiệp, ERP, Chứng Từ Thanh Toán, Kế Hoạch Thanh Toán, Đối Chiếu Công Nợ</t>
        </is>
      </c>
      <c r="M11375" t="inlineStr">
        <is>
          <t>Bonus, Healthcare Plan, Others</t>
        </is>
      </c>
      <c r="N11375" s="8">
        <f>HYPERLINK("https://www.vietnamworks.com/ke-toan-tong-hop-luong-den-25-trieu-2023866-jv","Xem chi tiết")</f>
        <v/>
      </c>
    </row>
    <row r="11376">
      <c r="B11376" s="9" t="n">
        <v>11374</v>
      </c>
      <c r="C11376" s="10" t="inlineStr">
        <is>
          <t>Marketing Staff</t>
        </is>
      </c>
      <c r="D11376" s="10" t="inlineStr">
        <is>
          <t>Panasonic Appliances Vietnam</t>
        </is>
      </c>
      <c r="E11376" s="10" t="inlineStr">
        <is>
          <t>Thương lượng</t>
        </is>
      </c>
      <c r="F11376" s="10" t="inlineStr">
        <is>
          <t>Hưng Yên</t>
        </is>
      </c>
      <c r="G11376" s="10" t="inlineStr">
        <is>
          <t>Nhân viên</t>
        </is>
      </c>
      <c r="H11376" s="10" t="inlineStr">
        <is>
          <t>16/03/2026</t>
        </is>
      </c>
      <c r="I11376" s="10" t="inlineStr">
        <is>
          <t>15/04/2026</t>
        </is>
      </c>
      <c r="J11376" s="10" t="inlineStr">
        <is>
          <t>17/03/2026</t>
        </is>
      </c>
      <c r="K11376" s="10" t="inlineStr">
        <is>
          <t>N/A</t>
        </is>
      </c>
      <c r="L11376" s="10" t="inlineStr">
        <is>
          <t>Truyền Thông, Hành Chính, Marketing Campaign, Digital Marketing, Event Organization</t>
        </is>
      </c>
      <c r="M11376" s="10" t="inlineStr">
        <is>
          <t>Bonus, Healthcare Plan, Transportation</t>
        </is>
      </c>
      <c r="N11376" s="11">
        <f>HYPERLINK("https://www.vietnamworks.com/marketing-staff--2023850-jv","Xem chi tiết")</f>
        <v/>
      </c>
      <c r="O11376" s="10" t="n"/>
    </row>
    <row r="11377">
      <c r="B11377" s="7" t="n">
        <v>11375</v>
      </c>
      <c r="C11377" t="inlineStr">
        <is>
          <t>Kỹ Sư Phòng Cháy Chữa Cháy</t>
        </is>
      </c>
      <c r="D11377" t="inlineStr">
        <is>
          <t>Công Ty Cổ Phần Tập Đoàn Nam Mê Kông</t>
        </is>
      </c>
      <c r="E11377" t="inlineStr">
        <is>
          <t>$$ 1,000-1,100 /tháng</t>
        </is>
      </c>
      <c r="F11377" t="inlineStr">
        <is>
          <t>Hà Nội</t>
        </is>
      </c>
      <c r="G11377" t="inlineStr">
        <is>
          <t>Nhân viên</t>
        </is>
      </c>
      <c r="H11377" t="inlineStr">
        <is>
          <t>16/03/2026</t>
        </is>
      </c>
      <c r="I11377" t="inlineStr">
        <is>
          <t>15/04/2026</t>
        </is>
      </c>
      <c r="J11377" t="inlineStr">
        <is>
          <t>17/03/2026</t>
        </is>
      </c>
      <c r="K11377" t="inlineStr">
        <is>
          <t>N/A</t>
        </is>
      </c>
      <c r="L11377" t="inlineStr">
        <is>
          <t>Thi Công Hệ Thống PCCC, Phòng Cháy Chữa Cháy, Nhà cao tầng</t>
        </is>
      </c>
      <c r="M11377" t="inlineStr">
        <is>
          <t>Healthcare Plan, Paid Leave, Others</t>
        </is>
      </c>
      <c r="N11377" s="8">
        <f>HYPERLINK("https://www.vietnamworks.com/ky-su-phong-chay-chua-chay--2023856-jv","Xem chi tiết")</f>
        <v/>
      </c>
    </row>
    <row r="11378">
      <c r="B11378" s="9" t="n">
        <v>11376</v>
      </c>
      <c r="C11378" s="10" t="inlineStr">
        <is>
          <t>Nhân Viên Kế Toán / Accounting</t>
        </is>
      </c>
      <c r="D11378" s="10" t="inlineStr">
        <is>
          <t>Công Ty Luật TNHH BB &amp; Nu</t>
        </is>
      </c>
      <c r="E11378" s="10" t="inlineStr">
        <is>
          <t>Thương lượng</t>
        </is>
      </c>
      <c r="F11378" s="10" t="inlineStr">
        <is>
          <t>Hồ Chí Minh</t>
        </is>
      </c>
      <c r="G11378" s="10" t="inlineStr">
        <is>
          <t>Nhân viên</t>
        </is>
      </c>
      <c r="H11378" s="10" t="inlineStr">
        <is>
          <t>16/03/2026</t>
        </is>
      </c>
      <c r="I11378" s="10" t="inlineStr">
        <is>
          <t>15/04/2026</t>
        </is>
      </c>
      <c r="J11378" s="10" t="inlineStr">
        <is>
          <t>17/03/2026</t>
        </is>
      </c>
      <c r="K11378" s="10" t="inlineStr">
        <is>
          <t>N/A</t>
        </is>
      </c>
      <c r="L11378" s="10" t="inlineStr">
        <is>
          <t>Báo Cáo Thuế, Kế Toán Doanh Nghiệp, Nghiệp Vụ Kế Toán, Quyết Toán Thuế, Tính Lương</t>
        </is>
      </c>
      <c r="M11378" s="10" t="inlineStr">
        <is>
          <t>Bonus, Healthcare Plan, Paid Leave, Training, Team Activities, Others</t>
        </is>
      </c>
      <c r="N11378" s="11">
        <f>HYPERLINK("https://www.vietnamworks.com/nhan-vien-ke-toan-accounting-2023852-jv","Xem chi tiết")</f>
        <v/>
      </c>
      <c r="O11378" s="10" t="n"/>
    </row>
    <row r="11379">
      <c r="B11379" s="7" t="n">
        <v>11377</v>
      </c>
      <c r="C11379" t="inlineStr">
        <is>
          <t>Senior Total Rewards Specialist</t>
        </is>
      </c>
      <c r="D11379" t="inlineStr">
        <is>
          <t>Công Ty CP Dây Cáp Điện Việt Nam - CADIVI</t>
        </is>
      </c>
      <c r="E11379" t="inlineStr">
        <is>
          <t>Thương lượng</t>
        </is>
      </c>
      <c r="F11379" t="inlineStr">
        <is>
          <t>Hồ Chí Minh</t>
        </is>
      </c>
      <c r="G11379" t="inlineStr">
        <is>
          <t>Nhân viên</t>
        </is>
      </c>
      <c r="H11379" t="inlineStr">
        <is>
          <t>16/03/2026</t>
        </is>
      </c>
      <c r="I11379" t="inlineStr">
        <is>
          <t>15/04/2026</t>
        </is>
      </c>
      <c r="J11379" t="inlineStr">
        <is>
          <t>17/03/2026</t>
        </is>
      </c>
      <c r="K11379" t="inlineStr">
        <is>
          <t>N/A</t>
        </is>
      </c>
      <c r="L11379" t="inlineStr">
        <is>
          <t>Kế toán, Kế Toán Ngân Hàng, Kế Toán Thanh Toán, Thanh Toán Quốc Tế</t>
        </is>
      </c>
      <c r="M11379" t="inlineStr">
        <is>
          <t>Bonus, Training, Awards</t>
        </is>
      </c>
      <c r="N11379" s="8">
        <f>HYPERLINK("https://www.vietnamworks.com/senior-total-rewards-specialist-2023858-jv","Xem chi tiết")</f>
        <v/>
      </c>
    </row>
    <row r="11380">
      <c r="B11380" s="9" t="n">
        <v>11378</v>
      </c>
      <c r="C11380" s="10" t="inlineStr">
        <is>
          <t>Head of Quality Assurance</t>
        </is>
      </c>
      <c r="D11380" s="10" t="inlineStr">
        <is>
          <t>Công Ty Cổ Phần Dịch Vụ Thương Mại Tổng Hợp WinCommerce</t>
        </is>
      </c>
      <c r="E11380" s="10" t="inlineStr">
        <is>
          <t>Thương lượng</t>
        </is>
      </c>
      <c r="F11380" s="10" t="inlineStr">
        <is>
          <t>Hà Nội, Hồ Chí Minh</t>
        </is>
      </c>
      <c r="G11380" s="10" t="inlineStr">
        <is>
          <t>Giám Đốc và Cấp Cao Hơn</t>
        </is>
      </c>
      <c r="H11380" s="10" t="inlineStr">
        <is>
          <t>16/03/2026</t>
        </is>
      </c>
      <c r="I11380" s="10" t="inlineStr">
        <is>
          <t>15/04/2026</t>
        </is>
      </c>
      <c r="J11380" s="10" t="inlineStr">
        <is>
          <t>17/03/2026</t>
        </is>
      </c>
      <c r="K11380" s="10" t="inlineStr">
        <is>
          <t>N/A</t>
        </is>
      </c>
      <c r="L11380" s="10" t="inlineStr">
        <is>
          <t>Quality Control Management, QC, QA, Quality Assurance, ISO</t>
        </is>
      </c>
      <c r="M11380" s="10" t="inlineStr">
        <is>
          <t>Bonus, Healthcare Plan, Others</t>
        </is>
      </c>
      <c r="N11380" s="11">
        <f>HYPERLINK("https://www.vietnamworks.com/head-of-quality-assurance--2023865-jv","Xem chi tiết")</f>
        <v/>
      </c>
      <c r="O11380" s="10" t="n"/>
    </row>
    <row r="11381">
      <c r="B11381" s="7" t="n">
        <v>11379</v>
      </c>
      <c r="C11381" t="inlineStr">
        <is>
          <t>Relationship Manager, Priority Clients</t>
        </is>
      </c>
      <c r="D11381" t="inlineStr">
        <is>
          <t>Standard Chartered Bank</t>
        </is>
      </c>
      <c r="E11381" t="inlineStr">
        <is>
          <t>Thương lượng</t>
        </is>
      </c>
      <c r="F11381" t="inlineStr">
        <is>
          <t>Hồ Chí Minh, Hà Nội</t>
        </is>
      </c>
      <c r="G11381" t="inlineStr">
        <is>
          <t>Nhân viên</t>
        </is>
      </c>
      <c r="H11381" t="inlineStr">
        <is>
          <t>16/03/2026</t>
        </is>
      </c>
      <c r="I11381" t="inlineStr">
        <is>
          <t>15/04/2026</t>
        </is>
      </c>
      <c r="J11381" t="inlineStr">
        <is>
          <t>17/03/2026</t>
        </is>
      </c>
      <c r="K11381" t="inlineStr">
        <is>
          <t>N/A</t>
        </is>
      </c>
      <c r="L11381" t="inlineStr">
        <is>
          <t>Banking, Bảo Hiểm, Khách Hàng Cá Nhân, Kinh Nghiệm Direct Sales, Quản Lý Khách Hàng Ưu Tiên</t>
        </is>
      </c>
      <c r="M11381" t="inlineStr">
        <is>
          <t>Others</t>
        </is>
      </c>
      <c r="N11381" s="8">
        <f>HYPERLINK("https://www.vietnamworks.com/relationship-manager-priority-clients-2023864-jv","Xem chi tiết")</f>
        <v/>
      </c>
    </row>
    <row r="11382">
      <c r="B11382" s="9" t="n">
        <v>11380</v>
      </c>
      <c r="C11382" s="10" t="inlineStr">
        <is>
          <t>Sales Logistics Executive</t>
        </is>
      </c>
      <c r="D11382" s="10" t="inlineStr">
        <is>
          <t>Dachser Vietnam Co., Ltd</t>
        </is>
      </c>
      <c r="E11382" s="10" t="inlineStr">
        <is>
          <t>Thương lượng</t>
        </is>
      </c>
      <c r="F11382" s="10" t="inlineStr">
        <is>
          <t>Hồ Chí Minh</t>
        </is>
      </c>
      <c r="G11382" s="10" t="inlineStr">
        <is>
          <t>Nhân viên</t>
        </is>
      </c>
      <c r="H11382" s="10" t="inlineStr">
        <is>
          <t>16/03/2026</t>
        </is>
      </c>
      <c r="I11382" s="10" t="inlineStr">
        <is>
          <t>15/04/2026</t>
        </is>
      </c>
      <c r="J11382" s="10" t="inlineStr">
        <is>
          <t>17/03/2026</t>
        </is>
      </c>
      <c r="K11382" s="10" t="inlineStr">
        <is>
          <t>N/A</t>
        </is>
      </c>
      <c r="L11382" s="10" t="inlineStr">
        <is>
          <t>English, Customer Service Knowledge, Sales Capability</t>
        </is>
      </c>
      <c r="M11382" s="10" t="inlineStr">
        <is>
          <t>Bonus, Healthcare Plan, Team Activities</t>
        </is>
      </c>
      <c r="N11382" s="11">
        <f>HYPERLINK("https://www.vietnamworks.com/sales-logistics-executive--2023862-jv","Xem chi tiết")</f>
        <v/>
      </c>
      <c r="O11382" s="10" t="n"/>
    </row>
    <row r="11383">
      <c r="B11383" s="7" t="n">
        <v>11381</v>
      </c>
      <c r="C11383" t="inlineStr">
        <is>
          <t>Supervisor, Facility (Hanoi)</t>
        </is>
      </c>
      <c r="D11383" t="inlineStr">
        <is>
          <t>Molex Vietnam Co., Ltd.</t>
        </is>
      </c>
      <c r="E11383" t="inlineStr">
        <is>
          <t>Thương lượng</t>
        </is>
      </c>
      <c r="F11383" t="inlineStr">
        <is>
          <t>Hà Nội</t>
        </is>
      </c>
      <c r="G11383" t="inlineStr">
        <is>
          <t>Nhân viên</t>
        </is>
      </c>
      <c r="H11383" t="inlineStr">
        <is>
          <t>16/03/2026</t>
        </is>
      </c>
      <c r="I11383" t="inlineStr">
        <is>
          <t>15/04/2026</t>
        </is>
      </c>
      <c r="J11383" t="inlineStr">
        <is>
          <t>17/03/2026</t>
        </is>
      </c>
      <c r="K11383" t="inlineStr">
        <is>
          <t>N/A</t>
        </is>
      </c>
      <c r="L11383" t="inlineStr">
        <is>
          <t>Autocad, Engineering Design, Interpersonal Skills, Manufacturing knowledge, Problem-solving</t>
        </is>
      </c>
      <c r="M11383" t="inlineStr">
        <is>
          <t>Bonus, Healthcare Plan, Paid Leave, Travel Opportunities, Transportation, Canteen, Others</t>
        </is>
      </c>
      <c r="N11383" s="8">
        <f>HYPERLINK("https://www.vietnamworks.com/supervisor-facility-hanoi-2023859-jv","Xem chi tiết")</f>
        <v/>
      </c>
    </row>
    <row r="11384">
      <c r="B11384" s="9" t="n">
        <v>11382</v>
      </c>
      <c r="C11384" s="10" t="inlineStr">
        <is>
          <t>Phó Ban Marketing (Phụ Trách PR - Thương Hiệu)</t>
        </is>
      </c>
      <c r="D11384" s="10" t="inlineStr">
        <is>
          <t>Tập đoàn Đạt Phương</t>
        </is>
      </c>
      <c r="E11384" s="10" t="inlineStr">
        <is>
          <t>35tr-53tr ₫/tháng</t>
        </is>
      </c>
      <c r="F11384" s="10" t="inlineStr">
        <is>
          <t>Hà Nội</t>
        </is>
      </c>
      <c r="G11384" s="10" t="inlineStr">
        <is>
          <t>Nhân viên</t>
        </is>
      </c>
      <c r="H11384" s="10" t="inlineStr">
        <is>
          <t>16/03/2026</t>
        </is>
      </c>
      <c r="I11384" s="10" t="inlineStr">
        <is>
          <t>15/04/2026</t>
        </is>
      </c>
      <c r="J11384" s="10" t="inlineStr">
        <is>
          <t>17/03/2026</t>
        </is>
      </c>
      <c r="K11384" s="10" t="inlineStr">
        <is>
          <t>N/A</t>
        </is>
      </c>
      <c r="L11384" s="10" t="inlineStr">
        <is>
          <t>Quản Lý Thương Hiệu, Chiến Lược Truyền Thông, Kỹ năng lập kế hoạch, Tư Duy Sáng Tạo, Kỹ năng đàm phán</t>
        </is>
      </c>
      <c r="M11384" s="10" t="inlineStr">
        <is>
          <t>Bonus, Healthcare Plan, Travel Opportunities, Transportation, Canteen, Others</t>
        </is>
      </c>
      <c r="N11384" s="11">
        <f>HYPERLINK("https://www.vietnamworks.com/pho-ban-marketing-phu-trach-pr-thuong-hieu-2023849-jv","Xem chi tiết")</f>
        <v/>
      </c>
      <c r="O11384" s="10" t="n"/>
    </row>
    <row r="11385">
      <c r="B11385" s="7" t="n">
        <v>11383</v>
      </c>
      <c r="C11385" t="inlineStr">
        <is>
          <t>Accountant</t>
        </is>
      </c>
      <c r="D11385" t="inlineStr">
        <is>
          <t>Viet Nam Golf Distribution Co., Ltd</t>
        </is>
      </c>
      <c r="E11385" t="inlineStr">
        <is>
          <t>8tr-12tr ₫/tháng</t>
        </is>
      </c>
      <c r="F11385" t="inlineStr">
        <is>
          <t>Hà Nội</t>
        </is>
      </c>
      <c r="G11385" t="inlineStr">
        <is>
          <t>Mới Tốt Nghiệp</t>
        </is>
      </c>
      <c r="H11385" t="inlineStr">
        <is>
          <t>16/03/2026</t>
        </is>
      </c>
      <c r="I11385" t="inlineStr">
        <is>
          <t>15/04/2026</t>
        </is>
      </c>
      <c r="J11385" t="inlineStr">
        <is>
          <t>17/03/2026</t>
        </is>
      </c>
      <c r="K11385" t="inlineStr">
        <is>
          <t>N/A</t>
        </is>
      </c>
      <c r="L11385" t="inlineStr">
        <is>
          <t>MS Excel, Data Entry, Inventory Accounting, Reporting, Accounting Softwares</t>
        </is>
      </c>
      <c r="M11385" t="inlineStr">
        <is>
          <t>Bonus, Team Activities</t>
        </is>
      </c>
      <c r="N11385" s="8">
        <f>HYPERLINK("https://www.vietnamworks.com/accountant--2023860-jv","Xem chi tiết")</f>
        <v/>
      </c>
    </row>
    <row r="11386">
      <c r="B11386" s="9" t="n">
        <v>11384</v>
      </c>
      <c r="C11386" s="10" t="inlineStr">
        <is>
          <t>Chuyên Viên Kế Hoạch - Chuỗi Cung Ứng</t>
        </is>
      </c>
      <c r="D11386" s="10" t="inlineStr">
        <is>
          <t>CÔNG TY CỔ PHẦN CÔNG NGHỆ PAVANA</t>
        </is>
      </c>
      <c r="E11386" s="10" t="inlineStr">
        <is>
          <t>20tr-30tr ₫/tháng</t>
        </is>
      </c>
      <c r="F11386" s="10" t="inlineStr">
        <is>
          <t>Hà Nội</t>
        </is>
      </c>
      <c r="G11386" s="10" t="inlineStr">
        <is>
          <t>Nhân viên</t>
        </is>
      </c>
      <c r="H11386" s="10" t="inlineStr">
        <is>
          <t>16/03/2026</t>
        </is>
      </c>
      <c r="I11386" s="10" t="inlineStr">
        <is>
          <t>15/04/2026</t>
        </is>
      </c>
      <c r="J11386" s="10" t="inlineStr">
        <is>
          <t>17/03/2026</t>
        </is>
      </c>
      <c r="K11386" s="10" t="inlineStr">
        <is>
          <t>N/A</t>
        </is>
      </c>
      <c r="L11386" s="10" t="inlineStr">
        <is>
          <t>Chuỗi Cung Ứng, Kế Hoạch Giao Hàng, Quản Lý Ngân Sách, Quản Lý Thu Mua, Vận Hành Kho</t>
        </is>
      </c>
      <c r="M11386" s="10" t="inlineStr">
        <is>
          <t>Bonus, Healthcare Plan</t>
        </is>
      </c>
      <c r="N11386" s="11">
        <f>HYPERLINK("https://www.vietnamworks.com/chuyen-vien-ke-hoach-chuoi-cung-ung-2023861-jv","Xem chi tiết")</f>
        <v/>
      </c>
      <c r="O11386" s="10" t="n"/>
    </row>
    <row r="11387">
      <c r="B11387" s="7" t="n">
        <v>11385</v>
      </c>
      <c r="C11387" t="inlineStr">
        <is>
          <t>Technical Sales Manager - Personal Care (Chemical)</t>
        </is>
      </c>
      <c r="D11387" t="inlineStr">
        <is>
          <t>AZELIS</t>
        </is>
      </c>
      <c r="E11387" t="inlineStr">
        <is>
          <t>Thương lượng</t>
        </is>
      </c>
      <c r="F11387" t="inlineStr">
        <is>
          <t>Hồ Chí Minh</t>
        </is>
      </c>
      <c r="G11387" t="inlineStr">
        <is>
          <t>Trưởng phòng</t>
        </is>
      </c>
      <c r="H11387" t="inlineStr">
        <is>
          <t>16/03/2026</t>
        </is>
      </c>
      <c r="I11387" t="inlineStr">
        <is>
          <t>15/04/2026</t>
        </is>
      </c>
      <c r="J11387" t="inlineStr">
        <is>
          <t>17/03/2026</t>
        </is>
      </c>
      <c r="K11387" t="inlineStr">
        <is>
          <t>N/A</t>
        </is>
      </c>
      <c r="L11387" t="inlineStr">
        <is>
          <t>Cosmetic, Chemical, R&amp;D</t>
        </is>
      </c>
      <c r="M11387" t="inlineStr">
        <is>
          <t>Bonus, Healthcare Plan, Team Activities</t>
        </is>
      </c>
      <c r="N11387" s="8">
        <f>HYPERLINK("https://www.vietnamworks.com/technical-sales-manager-personal-care-chemical-2023855-jv","Xem chi tiết")</f>
        <v/>
      </c>
    </row>
    <row r="11388">
      <c r="B11388" s="9" t="n">
        <v>11386</v>
      </c>
      <c r="C11388" s="10" t="inlineStr">
        <is>
          <t>Senior Marketing cum Sales Leader – Care Segment (Chemical)</t>
        </is>
      </c>
      <c r="D11388" s="10" t="inlineStr">
        <is>
          <t>AZELIS</t>
        </is>
      </c>
      <c r="E11388" s="10" t="inlineStr">
        <is>
          <t>Thương lượng</t>
        </is>
      </c>
      <c r="F11388" s="10" t="inlineStr">
        <is>
          <t>Hà Nội</t>
        </is>
      </c>
      <c r="G11388" s="10" t="inlineStr">
        <is>
          <t>Nhân viên</t>
        </is>
      </c>
      <c r="H11388" s="10" t="inlineStr">
        <is>
          <t>16/03/2026</t>
        </is>
      </c>
      <c r="I11388" s="10" t="inlineStr">
        <is>
          <t>15/04/2026</t>
        </is>
      </c>
      <c r="J11388" s="10" t="inlineStr">
        <is>
          <t>17/03/2026</t>
        </is>
      </c>
      <c r="K11388" s="10" t="inlineStr">
        <is>
          <t>N/A</t>
        </is>
      </c>
      <c r="L11388" s="10" t="inlineStr">
        <is>
          <t>Technical Sales Support, Business Planning, Home Care, Chemical, Marketing</t>
        </is>
      </c>
      <c r="M11388" s="10" t="inlineStr">
        <is>
          <t>Bonus, Healthcare Plan, Team Activities</t>
        </is>
      </c>
      <c r="N11388" s="11">
        <f>HYPERLINK("https://www.vietnamworks.com/senior-marketing-cum-sales-leader-care-segment-chemical--2023851-jv","Xem chi tiết")</f>
        <v/>
      </c>
      <c r="O11388" s="10" t="n"/>
    </row>
    <row r="11389">
      <c r="B11389" s="7" t="n">
        <v>11387</v>
      </c>
      <c r="C11389" t="inlineStr">
        <is>
          <t>* HOT JOB * FULL STACK DEVELOPER (m/f/d) |Remote | Vietnam| Full-Time, Permanent</t>
        </is>
      </c>
      <c r="D11389" t="inlineStr">
        <is>
          <t>CÔNG TY TNHH TƯ VẤN VÀ PHÁT TRIỂN PHẦN MỀM DEVILINK</t>
        </is>
      </c>
      <c r="E11389" t="inlineStr">
        <is>
          <t>Thương lượng</t>
        </is>
      </c>
      <c r="F11389" t="inlineStr">
        <is>
          <t>Hà Nội, Hồ Chí Minh, Đà Nẵng</t>
        </is>
      </c>
      <c r="G11389" t="inlineStr">
        <is>
          <t>Nhân viên</t>
        </is>
      </c>
      <c r="H11389" t="inlineStr">
        <is>
          <t>16/03/2026</t>
        </is>
      </c>
      <c r="I11389" t="inlineStr">
        <is>
          <t>15/04/2026</t>
        </is>
      </c>
      <c r="J11389" t="inlineStr">
        <is>
          <t>17/03/2026</t>
        </is>
      </c>
      <c r="K11389" t="inlineStr">
        <is>
          <t>N/A</t>
        </is>
      </c>
      <c r="L11389" t="inlineStr">
        <is>
          <t>Azure, Full Stack Development, Problem-solving, Python, React</t>
        </is>
      </c>
      <c r="M11389" t="inlineStr">
        <is>
          <t>Bonus, Paid Leave, Others</t>
        </is>
      </c>
      <c r="N11389" s="8">
        <f>HYPERLINK("https://www.vietnamworks.com/-hot-job-full-stack-developer-mfd-orremote-or-vietnamor-full-time-permanent-2023870-jv","Xem chi tiết")</f>
        <v/>
      </c>
    </row>
    <row r="11390">
      <c r="B11390" s="9" t="n">
        <v>11388</v>
      </c>
      <c r="C11390" s="10" t="inlineStr">
        <is>
          <t>Accountant</t>
        </is>
      </c>
      <c r="D11390" s="10" t="inlineStr">
        <is>
          <t>AG WORLD TRANSPORT (VIETNAM) CO., LTD.</t>
        </is>
      </c>
      <c r="E11390" s="10" t="inlineStr">
        <is>
          <t>Thương lượng</t>
        </is>
      </c>
      <c r="F11390" s="10" t="inlineStr">
        <is>
          <t>Hà Nội</t>
        </is>
      </c>
      <c r="G11390" s="10" t="inlineStr">
        <is>
          <t>Nhân viên</t>
        </is>
      </c>
      <c r="H11390" s="10" t="inlineStr">
        <is>
          <t>16/03/2026</t>
        </is>
      </c>
      <c r="I11390" s="10" t="inlineStr">
        <is>
          <t>15/04/2026</t>
        </is>
      </c>
      <c r="J11390" s="10" t="inlineStr">
        <is>
          <t>17/03/2026</t>
        </is>
      </c>
      <c r="K11390" s="10" t="inlineStr">
        <is>
          <t>N/A</t>
        </is>
      </c>
      <c r="L11390" s="10" t="inlineStr">
        <is>
          <t>Accounting, Audit Management, Budgeting, Communication, Financial Reporting</t>
        </is>
      </c>
      <c r="M11390" s="10" t="inlineStr">
        <is>
          <t>Healthcare Plan, Laptop, Others</t>
        </is>
      </c>
      <c r="N11390" s="11">
        <f>HYPERLINK("https://www.vietnamworks.com/accountant-2023877-jv","Xem chi tiết")</f>
        <v/>
      </c>
      <c r="O11390" s="10" t="n"/>
    </row>
    <row r="11391">
      <c r="B11391" s="7" t="n">
        <v>11389</v>
      </c>
      <c r="C11391" t="inlineStr">
        <is>
          <t>Trưởng Phòng Hành Chính Nhân Sự</t>
        </is>
      </c>
      <c r="D11391" t="inlineStr">
        <is>
          <t>Công ty Cổ phần Tập đoàn Anh Kiệt</t>
        </is>
      </c>
      <c r="E11391" t="inlineStr">
        <is>
          <t>18tr-40tr ₫/tháng</t>
        </is>
      </c>
      <c r="F11391" t="inlineStr">
        <is>
          <t>Hà Nội, Hải Dương</t>
        </is>
      </c>
      <c r="G11391" t="inlineStr">
        <is>
          <t>Trưởng phòng</t>
        </is>
      </c>
      <c r="H11391" t="inlineStr">
        <is>
          <t>16/03/2026</t>
        </is>
      </c>
      <c r="I11391" t="inlineStr">
        <is>
          <t>15/04/2026</t>
        </is>
      </c>
      <c r="J11391" t="inlineStr">
        <is>
          <t>17/03/2026</t>
        </is>
      </c>
      <c r="K11391" t="inlineStr">
        <is>
          <t>N/A</t>
        </is>
      </c>
      <c r="L11391" t="inlineStr">
        <is>
          <t>Lãnh Đạo, Giao Tiếp, Giám Sát Công Việc, Hành Chính Nhân Sự, Hoạch Định Chiến Lược Nhân Sự</t>
        </is>
      </c>
      <c r="M11391" t="inlineStr">
        <is>
          <t>Healthcare Plan, Laptop, Travel Opportunities, Others</t>
        </is>
      </c>
      <c r="N11391" s="8">
        <f>HYPERLINK("https://www.vietnamworks.com/truong-phong-hanh-chinh-nhan-su-2023873-jv","Xem chi tiết")</f>
        <v/>
      </c>
    </row>
    <row r="11392">
      <c r="B11392" s="9" t="n">
        <v>11390</v>
      </c>
      <c r="C11392" s="10" t="inlineStr">
        <is>
          <t>Trưởng Nhóm Hành Chính Bếp</t>
        </is>
      </c>
      <c r="D11392" s="10" t="inlineStr">
        <is>
          <t>Wellspring Saigon International Bilingual School</t>
        </is>
      </c>
      <c r="E11392" s="10" t="inlineStr">
        <is>
          <t>Thương lượng</t>
        </is>
      </c>
      <c r="F11392" s="10" t="inlineStr">
        <is>
          <t>Hồ Chí Minh</t>
        </is>
      </c>
      <c r="G11392" s="10" t="inlineStr">
        <is>
          <t>Nhân viên</t>
        </is>
      </c>
      <c r="H11392" s="10" t="inlineStr">
        <is>
          <t>16/03/2026</t>
        </is>
      </c>
      <c r="I11392" s="10" t="inlineStr">
        <is>
          <t>15/04/2026</t>
        </is>
      </c>
      <c r="J11392" s="10" t="inlineStr">
        <is>
          <t>17/03/2026</t>
        </is>
      </c>
      <c r="K11392" s="10" t="inlineStr">
        <is>
          <t>N/A</t>
        </is>
      </c>
      <c r="L11392" s="10" t="inlineStr">
        <is>
          <t>Kitchen Management, Kitchen Experience, Quản lý bếp, Hành chính - Admin, Hỗ Trợ Điều Hành Bếp</t>
        </is>
      </c>
      <c r="M11392" s="10" t="inlineStr">
        <is>
          <t>Bonus, Healthcare Plan, Travel Opportunities</t>
        </is>
      </c>
      <c r="N11392" s="11">
        <f>HYPERLINK("https://www.vietnamworks.com/truong-nhom-hanh-chinh-bep-2023872-jv","Xem chi tiết")</f>
        <v/>
      </c>
      <c r="O11392" s="10" t="n"/>
    </row>
    <row r="11393">
      <c r="B11393" s="7" t="n">
        <v>11391</v>
      </c>
      <c r="C11393" t="inlineStr">
        <is>
          <t>Nhân Viên Kinh Doanh Logistics/ Sales Staff (Trên 2 Năm Kinh Nghiệm)</t>
        </is>
      </c>
      <c r="D11393" t="inlineStr">
        <is>
          <t>CÔNG TY TNHH JOOSUNG LOGISTICS VIỆT NAM</t>
        </is>
      </c>
      <c r="E11393" t="inlineStr">
        <is>
          <t>Thương lượng</t>
        </is>
      </c>
      <c r="F11393" t="inlineStr">
        <is>
          <t>Hồ Chí Minh</t>
        </is>
      </c>
      <c r="G11393" t="inlineStr">
        <is>
          <t>Nhân viên</t>
        </is>
      </c>
      <c r="H11393" t="inlineStr">
        <is>
          <t>16/03/2026</t>
        </is>
      </c>
      <c r="I11393" t="inlineStr">
        <is>
          <t>15/04/2026</t>
        </is>
      </c>
      <c r="J11393" t="inlineStr">
        <is>
          <t>17/03/2026</t>
        </is>
      </c>
      <c r="K11393" t="inlineStr">
        <is>
          <t>N/A</t>
        </is>
      </c>
      <c r="L11393" t="inlineStr">
        <is>
          <t>Sales Logistics, Freight Forwarding, Tìm Kiếm Khách Hàng, Chăm Sóc Khách Hàng, Tư Vấn</t>
        </is>
      </c>
      <c r="M11393" t="inlineStr">
        <is>
          <t>Bonus, Healthcare Plan, Paid Leave</t>
        </is>
      </c>
      <c r="N11393" s="8">
        <f>HYPERLINK("https://www.vietnamworks.com/nhan-vien-kinh-doanh-logistics-sales-staff-tren-2-nam-kinh-nghiem--2023875-jv","Xem chi tiết")</f>
        <v/>
      </c>
    </row>
    <row r="11394">
      <c r="B11394" s="9" t="n">
        <v>11392</v>
      </c>
      <c r="C11394" s="10" t="inlineStr">
        <is>
          <t>Kế Toán Kiêm Hành Chính Nhân Sự</t>
        </is>
      </c>
      <c r="D11394" s="10" t="inlineStr">
        <is>
          <t>CÔNG TY TNHH MTV MAY MẶC THƯƠNG MẠI VÀ DỊCH VỤ MINH SƠN</t>
        </is>
      </c>
      <c r="E11394" s="10" t="inlineStr">
        <is>
          <t>Thương lượng</t>
        </is>
      </c>
      <c r="F11394" s="10" t="inlineStr">
        <is>
          <t>Hồ Chí Minh</t>
        </is>
      </c>
      <c r="G11394" s="10" t="inlineStr">
        <is>
          <t>Nhân viên</t>
        </is>
      </c>
      <c r="H11394" s="10" t="inlineStr">
        <is>
          <t>16/03/2026</t>
        </is>
      </c>
      <c r="I11394" s="10" t="inlineStr">
        <is>
          <t>15/04/2026</t>
        </is>
      </c>
      <c r="J11394" s="10" t="inlineStr">
        <is>
          <t>17/03/2026</t>
        </is>
      </c>
      <c r="K11394" s="10" t="inlineStr">
        <is>
          <t>N/A</t>
        </is>
      </c>
      <c r="L11394" s="10" t="inlineStr">
        <is>
          <t>Kê Khai Thuế, Bảo Hiểm Xã Hội, Luật Lao Động, Luật Thuế, Soạn Thảo Hợp Đồng</t>
        </is>
      </c>
      <c r="M11394" s="10" t="inlineStr">
        <is>
          <t>Bonus, Healthcare Plan, Others</t>
        </is>
      </c>
      <c r="N11394" s="11">
        <f>HYPERLINK("https://www.vietnamworks.com/ke-toan-kiem-hanh-chinh-nhan-su-2023876-jv","Xem chi tiết")</f>
        <v/>
      </c>
      <c r="O11394" s="10" t="n"/>
    </row>
    <row r="11395">
      <c r="B11395" s="7" t="n">
        <v>11393</v>
      </c>
      <c r="C11395" t="inlineStr">
        <is>
          <t>Kiến Trúc Sư Thu Nhập Từ 15 - 30 Triệu/tháng</t>
        </is>
      </c>
      <c r="D11395" t="inlineStr">
        <is>
          <t>CÔNG TY CỔ PHẦN XÂY DỰNG TAD E&amp;C</t>
        </is>
      </c>
      <c r="E11395" t="inlineStr">
        <is>
          <t>15tr-30tr ₫/tháng</t>
        </is>
      </c>
      <c r="F11395" t="inlineStr">
        <is>
          <t>Hà Nội</t>
        </is>
      </c>
      <c r="G11395" t="inlineStr">
        <is>
          <t>Nhân viên</t>
        </is>
      </c>
      <c r="H11395" t="inlineStr">
        <is>
          <t>16/03/2026</t>
        </is>
      </c>
      <c r="I11395" t="inlineStr">
        <is>
          <t>15/04/2026</t>
        </is>
      </c>
      <c r="J11395" t="inlineStr">
        <is>
          <t>17/03/2026</t>
        </is>
      </c>
      <c r="K11395" t="inlineStr">
        <is>
          <t>N/A</t>
        </is>
      </c>
      <c r="L11395" t="inlineStr">
        <is>
          <t>Autocad, Sketchup, Thiết Kế Kiến Trúc, V-Ray 3ds Max, Revit</t>
        </is>
      </c>
      <c r="M11395" t="inlineStr">
        <is>
          <t>Bonus, Healthcare Plan, Training, Team Activities, Others</t>
        </is>
      </c>
      <c r="N11395" s="8">
        <f>HYPERLINK("https://www.vietnamworks.com/kien-truc-su-thu-nhap-tu-15-30-trieu-thang-2023886-jv","Xem chi tiết")</f>
        <v/>
      </c>
    </row>
    <row r="11396">
      <c r="B11396" s="9" t="n">
        <v>11394</v>
      </c>
      <c r="C11396" s="10" t="inlineStr">
        <is>
          <t>Admin Manager - Manufacturing</t>
        </is>
      </c>
      <c r="D11396" s="10" t="inlineStr">
        <is>
          <t>Vietnamworks' Client</t>
        </is>
      </c>
      <c r="E11396" s="10" t="inlineStr">
        <is>
          <t>Thương lượng</t>
        </is>
      </c>
      <c r="F11396" s="10" t="inlineStr">
        <is>
          <t>Bình Dương</t>
        </is>
      </c>
      <c r="G11396" s="10" t="inlineStr">
        <is>
          <t>Trưởng phòng</t>
        </is>
      </c>
      <c r="H11396" s="10" t="inlineStr">
        <is>
          <t>16/03/2026</t>
        </is>
      </c>
      <c r="I11396" s="10" t="inlineStr">
        <is>
          <t>15/04/2026</t>
        </is>
      </c>
      <c r="J11396" s="10" t="inlineStr">
        <is>
          <t>17/03/2026</t>
        </is>
      </c>
      <c r="K11396" s="10" t="inlineStr">
        <is>
          <t>N/A</t>
        </is>
      </c>
      <c r="L11396" s="10" t="inlineStr">
        <is>
          <t>Administration, Administrative Duties, Managerial Skills, Presentation Skills, Problem Solving</t>
        </is>
      </c>
      <c r="M11396" s="10" t="inlineStr">
        <is>
          <t>Bonus, Laptop, Others</t>
        </is>
      </c>
      <c r="N11396" s="11">
        <f>HYPERLINK("https://www.vietnamworks.com/admin-manager-manufacturing--2023885-jv","Xem chi tiết")</f>
        <v/>
      </c>
      <c r="O11396" s="10" t="n"/>
    </row>
    <row r="11397">
      <c r="B11397" s="7" t="n">
        <v>11395</v>
      </c>
      <c r="C11397" t="inlineStr">
        <is>
          <t>Commercial &amp; Marketing Manager</t>
        </is>
      </c>
      <c r="D11397" t="inlineStr">
        <is>
          <t>CÔNG TY TNHH MINH HÀ VN</t>
        </is>
      </c>
      <c r="E11397" t="inlineStr">
        <is>
          <t>40tr-50tr ₫/tháng</t>
        </is>
      </c>
      <c r="F11397" t="inlineStr">
        <is>
          <t>Hồ Chí Minh</t>
        </is>
      </c>
      <c r="G11397" t="inlineStr">
        <is>
          <t>Trưởng phòng</t>
        </is>
      </c>
      <c r="H11397" t="inlineStr">
        <is>
          <t>16/03/2026</t>
        </is>
      </c>
      <c r="I11397" t="inlineStr">
        <is>
          <t>15/04/2026</t>
        </is>
      </c>
      <c r="J11397" t="inlineStr">
        <is>
          <t>17/03/2026</t>
        </is>
      </c>
      <c r="K11397" t="inlineStr">
        <is>
          <t>N/A</t>
        </is>
      </c>
      <c r="L11397" t="inlineStr">
        <is>
          <t>Business Strategy, Performance Analysis, Marketing Strategy, Brand Management, Stakeholder Management</t>
        </is>
      </c>
      <c r="M11397" t="inlineStr">
        <is>
          <t>Bonus, Healthcare Plan, Paid Leave, Training, Laptop, Others</t>
        </is>
      </c>
      <c r="N11397" s="8">
        <f>HYPERLINK("https://www.vietnamworks.com/commercial-and-marketing-manager-2023879-jv","Xem chi tiết")</f>
        <v/>
      </c>
    </row>
    <row r="11398">
      <c r="B11398" s="9" t="n">
        <v>11396</v>
      </c>
      <c r="C11398" s="10" t="inlineStr">
        <is>
          <t>Sales &amp; Operations Intern_Cle De Peau' Beaute' &amp; Nars Brand (Base on Ha Noi)</t>
        </is>
      </c>
      <c r="D11398" s="10" t="inlineStr">
        <is>
          <t>Shiseido Cosmetics Vietnam CO., LTD</t>
        </is>
      </c>
      <c r="E11398" s="10" t="inlineStr">
        <is>
          <t>Thương lượng</t>
        </is>
      </c>
      <c r="F11398" s="10" t="inlineStr">
        <is>
          <t>Hà Nội</t>
        </is>
      </c>
      <c r="G11398" s="10" t="inlineStr">
        <is>
          <t>Mới Tốt Nghiệp</t>
        </is>
      </c>
      <c r="H11398" s="10" t="inlineStr">
        <is>
          <t>16/03/2026</t>
        </is>
      </c>
      <c r="I11398" s="10" t="inlineStr">
        <is>
          <t>15/04/2026</t>
        </is>
      </c>
      <c r="J11398" s="10" t="inlineStr">
        <is>
          <t>17/03/2026</t>
        </is>
      </c>
      <c r="K11398" s="10" t="inlineStr">
        <is>
          <t>N/A</t>
        </is>
      </c>
      <c r="L11398" s="10" t="inlineStr">
        <is>
          <t>Sales, Marketing, Marketing Assistance, Trade Marketing, sales operations</t>
        </is>
      </c>
      <c r="M11398" s="10" t="inlineStr">
        <is>
          <t>Healthcare Plan, Laptop</t>
        </is>
      </c>
      <c r="N11398" s="11">
        <f>HYPERLINK("https://www.vietnamworks.com/sales-operations-intern-cle-de-peau-beaute-nars-brand-base-on-ha-noi-2023882-jv","Xem chi tiết")</f>
        <v/>
      </c>
      <c r="O11398" s="10" t="n"/>
    </row>
    <row r="11399">
      <c r="B11399" s="7" t="n">
        <v>11397</v>
      </c>
      <c r="C11399" t="inlineStr">
        <is>
          <t>Senior Operation Analyst</t>
        </is>
      </c>
      <c r="D11399" t="inlineStr">
        <is>
          <t>Công Ty TNHH Geniebook Vietnam</t>
        </is>
      </c>
      <c r="E11399" t="inlineStr">
        <is>
          <t>Thương lượng</t>
        </is>
      </c>
      <c r="F11399" t="inlineStr">
        <is>
          <t>Hồ Chí Minh</t>
        </is>
      </c>
      <c r="G11399" t="inlineStr">
        <is>
          <t>Nhân viên</t>
        </is>
      </c>
      <c r="H11399" t="inlineStr">
        <is>
          <t>16/03/2026</t>
        </is>
      </c>
      <c r="I11399" t="inlineStr">
        <is>
          <t>15/04/2026</t>
        </is>
      </c>
      <c r="J11399" t="inlineStr">
        <is>
          <t>17/03/2026</t>
        </is>
      </c>
      <c r="K11399" t="inlineStr">
        <is>
          <t>N/A</t>
        </is>
      </c>
      <c r="L11399" t="inlineStr">
        <is>
          <t>Sales Operation, Customer Care, CRM System, Analytical Skills, Collaboration</t>
        </is>
      </c>
      <c r="M11399" t="inlineStr">
        <is>
          <t>Bonus, Healthcare Plan, Paid Leave</t>
        </is>
      </c>
      <c r="N11399" s="8">
        <f>HYPERLINK("https://www.vietnamworks.com/senior-operation-analyst-2023868-jv","Xem chi tiết")</f>
        <v/>
      </c>
    </row>
    <row r="11400">
      <c r="B11400" s="9" t="n">
        <v>11398</v>
      </c>
      <c r="C11400" s="10" t="inlineStr">
        <is>
          <t>Operator/ Nhân Viên Chứng Từ XNK (Freight Forwarder)/ Export/ Import/ US Trade &amp; Other Bounds</t>
        </is>
      </c>
      <c r="D11400" s="10" t="inlineStr">
        <is>
          <t>CÔNG TY TNHH JOOSUNG LOGISTICS VIỆT NAM</t>
        </is>
      </c>
      <c r="E11400" s="10" t="inlineStr">
        <is>
          <t>Thương lượng</t>
        </is>
      </c>
      <c r="F11400" s="10" t="inlineStr">
        <is>
          <t>Hồ Chí Minh</t>
        </is>
      </c>
      <c r="G11400" s="10" t="inlineStr">
        <is>
          <t>Mới Tốt Nghiệp</t>
        </is>
      </c>
      <c r="H11400" s="10" t="inlineStr">
        <is>
          <t>16/03/2026</t>
        </is>
      </c>
      <c r="I11400" s="10" t="inlineStr">
        <is>
          <t>15/04/2026</t>
        </is>
      </c>
      <c r="J11400" s="10" t="inlineStr">
        <is>
          <t>17/03/2026</t>
        </is>
      </c>
      <c r="K11400" s="10" t="inlineStr">
        <is>
          <t>N/A</t>
        </is>
      </c>
      <c r="L11400" s="10" t="inlineStr">
        <is>
          <t>Chứng Từ Xuất Nhập Khẩu, Documentation, Shipment Schedule, Sea Freight Knowledge, Chứng Từ Hải Quan</t>
        </is>
      </c>
      <c r="M11400" s="10" t="inlineStr">
        <is>
          <t>Bonus, Healthcare Plan, Paid Leave</t>
        </is>
      </c>
      <c r="N11400" s="11">
        <f>HYPERLINK("https://www.vietnamworks.com/operator-nhan-vien-chung-tu-xnk-freight-forwarder-export-import-us-trade-other-bounds--2023874-jv","Xem chi tiết")</f>
        <v/>
      </c>
      <c r="O11400" s="10" t="n"/>
    </row>
    <row r="11401">
      <c r="B11401" s="7" t="n">
        <v>11399</v>
      </c>
      <c r="C11401" t="inlineStr">
        <is>
          <t>Trưởng Phòng Kinh Doanh OTC – Ngành Dược (Khu Vực Miền Trung)</t>
        </is>
      </c>
      <c r="D11401" t="inlineStr">
        <is>
          <t>Công ty Cổ phần Đại Bắc Miền Trung</t>
        </is>
      </c>
      <c r="E11401" t="inlineStr">
        <is>
          <t>Từ 35tr ₫/tháng</t>
        </is>
      </c>
      <c r="F11401" t="inlineStr">
        <is>
          <t>Đà Nẵng</t>
        </is>
      </c>
      <c r="G11401" t="inlineStr">
        <is>
          <t>Trưởng phòng</t>
        </is>
      </c>
      <c r="H11401" t="inlineStr">
        <is>
          <t>16/03/2026</t>
        </is>
      </c>
      <c r="I11401" t="inlineStr">
        <is>
          <t>15/04/2026</t>
        </is>
      </c>
      <c r="J11401" t="inlineStr">
        <is>
          <t>17/03/2026</t>
        </is>
      </c>
      <c r="K11401" t="inlineStr">
        <is>
          <t>N/A</t>
        </is>
      </c>
      <c r="L11401" t="inlineStr">
        <is>
          <t>Quản Lý Kinh Doanh, Dược Phẩm, Y Dược, Kênh OTC, Quản Lý Đội Ngũ Kinh Doanh</t>
        </is>
      </c>
      <c r="M11401" t="inlineStr">
        <is>
          <t>Bonus, Healthcare Plan, Travel Opportunities</t>
        </is>
      </c>
      <c r="N11401" s="8">
        <f>HYPERLINK("https://www.vietnamworks.com/truong-phong-kinh-doanh-otc-nganh-duoc-khu-vuc-mien-trung-2023889-jv","Xem chi tiết")</f>
        <v/>
      </c>
    </row>
    <row r="11402">
      <c r="B11402" s="9" t="n">
        <v>11400</v>
      </c>
      <c r="C11402" s="10" t="inlineStr">
        <is>
          <t>Production Shift Manager - (Trưởng Ca Sản Xuất – Đi 3 Ca)</t>
        </is>
      </c>
      <c r="D11402" s="10" t="inlineStr">
        <is>
          <t>Mainetti (Vietnam)</t>
        </is>
      </c>
      <c r="E11402" s="10" t="inlineStr">
        <is>
          <t>Thương lượng</t>
        </is>
      </c>
      <c r="F11402" s="10" t="inlineStr">
        <is>
          <t>Đồng Nai</t>
        </is>
      </c>
      <c r="G11402" s="10" t="inlineStr">
        <is>
          <t>Trưởng phòng</t>
        </is>
      </c>
      <c r="H11402" s="10" t="inlineStr">
        <is>
          <t>16/03/2026</t>
        </is>
      </c>
      <c r="I11402" s="10" t="inlineStr">
        <is>
          <t>15/04/2026</t>
        </is>
      </c>
      <c r="J11402" s="10" t="inlineStr">
        <is>
          <t>17/03/2026</t>
        </is>
      </c>
      <c r="K11402" s="10" t="inlineStr">
        <is>
          <t>N/A</t>
        </is>
      </c>
      <c r="L11402" s="10" t="inlineStr">
        <is>
          <t>Packaging, Chemical, Plastics Molding, Production Planning, Shift Management</t>
        </is>
      </c>
      <c r="M11402" s="10" t="inlineStr">
        <is>
          <t>Bonus</t>
        </is>
      </c>
      <c r="N11402" s="11">
        <f>HYPERLINK("https://www.vietnamworks.com/production-shift-manager-truong-ca-san-xuat-dji-3-ca-2023887-jv","Xem chi tiết")</f>
        <v/>
      </c>
      <c r="O11402" s="10" t="n"/>
    </row>
    <row r="11403">
      <c r="B11403" s="7" t="n">
        <v>11401</v>
      </c>
      <c r="C11403" t="inlineStr">
        <is>
          <t>Kỹ Sư Cơ Điện (Điện / HVAC / Cấp Thoát Nước / PCCC)</t>
        </is>
      </c>
      <c r="D11403" t="inlineStr">
        <is>
          <t>Công Ty Cổ Phần Kỹ Thuật Sigma</t>
        </is>
      </c>
      <c r="E11403" t="inlineStr">
        <is>
          <t>$$ 500-1,500 /tháng</t>
        </is>
      </c>
      <c r="F11403" t="inlineStr">
        <is>
          <t>Hà Nội, Quảng Ninh, Hồ Chí Minh</t>
        </is>
      </c>
      <c r="G11403" t="inlineStr">
        <is>
          <t>Nhân viên</t>
        </is>
      </c>
      <c r="H11403" t="inlineStr">
        <is>
          <t>16/03/2026</t>
        </is>
      </c>
      <c r="I11403" t="inlineStr">
        <is>
          <t>31/03/2026</t>
        </is>
      </c>
      <c r="J11403" t="inlineStr">
        <is>
          <t>17/03/2026</t>
        </is>
      </c>
      <c r="K11403" t="inlineStr">
        <is>
          <t>N/A</t>
        </is>
      </c>
      <c r="L11403" t="inlineStr">
        <is>
          <t>Bóc Tách Khối Lượng Cơ Điện, Đọc Bản Vẽ Cơ Điện, Giám Sát Thi Công, Phòng Cháy Chữa Cháy, HVAC</t>
        </is>
      </c>
      <c r="M11403" t="inlineStr">
        <is>
          <t>Bonus, Healthcare Plan, Others</t>
        </is>
      </c>
      <c r="N11403" s="8">
        <f>HYPERLINK("https://www.vietnamworks.com/ky-su-co-dien-dien-hvac-cap-thoat-nuoc-pccc--2023883-jv","Xem chi tiết")</f>
        <v/>
      </c>
    </row>
    <row r="11404">
      <c r="B11404" s="9" t="n">
        <v>11402</v>
      </c>
      <c r="C11404" s="10" t="inlineStr">
        <is>
          <t>Kế Toán Trưởng (Lương Từ 20-50 Triệu)</t>
        </is>
      </c>
      <c r="D11404" s="10" t="inlineStr">
        <is>
          <t>Công ty Cổ phần Tập đoàn Anh Kiệt</t>
        </is>
      </c>
      <c r="E11404" s="10" t="inlineStr">
        <is>
          <t>20tr-50tr ₫/tháng</t>
        </is>
      </c>
      <c r="F11404" s="10" t="inlineStr">
        <is>
          <t>Hà Nội, Hải Dương</t>
        </is>
      </c>
      <c r="G11404" s="10" t="inlineStr">
        <is>
          <t>Trưởng phòng</t>
        </is>
      </c>
      <c r="H11404" s="10" t="inlineStr">
        <is>
          <t>16/03/2026</t>
        </is>
      </c>
      <c r="I11404" s="10" t="inlineStr">
        <is>
          <t>15/04/2026</t>
        </is>
      </c>
      <c r="J11404" s="10" t="inlineStr">
        <is>
          <t>17/03/2026</t>
        </is>
      </c>
      <c r="K11404" s="10" t="inlineStr">
        <is>
          <t>N/A</t>
        </is>
      </c>
      <c r="L11404" s="10" t="inlineStr">
        <is>
          <t>Quản Lý Kế Toán, Phân tích dữ liệu, Quyết Toán Thuế, Luật Kế Toán, Luật Thuế</t>
        </is>
      </c>
      <c r="M11404" s="10" t="inlineStr">
        <is>
          <t>Bonus, Healthcare Plan, Others</t>
        </is>
      </c>
      <c r="N11404" s="11">
        <f>HYPERLINK("https://www.vietnamworks.com/ke-toan-truong-luong-tu-20-50-trieu-2023880-jv","Xem chi tiết")</f>
        <v/>
      </c>
      <c r="O11404" s="10" t="n"/>
    </row>
    <row r="11405">
      <c r="B11405" s="7" t="n">
        <v>11403</v>
      </c>
      <c r="C11405" t="inlineStr">
        <is>
          <t>HSE Supervisor</t>
        </is>
      </c>
      <c r="D11405" t="inlineStr">
        <is>
          <t>Saitex International Dong Nai (VN)</t>
        </is>
      </c>
      <c r="E11405" t="inlineStr">
        <is>
          <t>$$ 400-1,000 /tháng</t>
        </is>
      </c>
      <c r="F11405" t="inlineStr">
        <is>
          <t>Đồng Nai</t>
        </is>
      </c>
      <c r="G11405" t="inlineStr">
        <is>
          <t>Nhân viên</t>
        </is>
      </c>
      <c r="H11405" t="inlineStr">
        <is>
          <t>16/03/2026</t>
        </is>
      </c>
      <c r="I11405" t="inlineStr">
        <is>
          <t>15/04/2026</t>
        </is>
      </c>
      <c r="J11405" t="inlineStr">
        <is>
          <t>17/03/2026</t>
        </is>
      </c>
      <c r="K11405" t="inlineStr">
        <is>
          <t>N/A</t>
        </is>
      </c>
      <c r="L11405" t="inlineStr">
        <is>
          <t>HSE, ISO, An Toàn Lao Động, Compliance, Environment</t>
        </is>
      </c>
      <c r="M11405" t="inlineStr">
        <is>
          <t>Bonus, Healthcare Plan, Transportation</t>
        </is>
      </c>
      <c r="N11405" s="8">
        <f>HYPERLINK("https://www.vietnamworks.com/hse-supervisor--2023884-jv","Xem chi tiết")</f>
        <v/>
      </c>
    </row>
    <row r="11406">
      <c r="B11406" s="9" t="n">
        <v>11404</v>
      </c>
      <c r="C11406" s="10" t="inlineStr">
        <is>
          <t>Director Of Sales - Marketing (DOSM)</t>
        </is>
      </c>
      <c r="D11406" s="10" t="inlineStr">
        <is>
          <t>Công ty TNHH Đức Dương – Chi nhánh Hạ Long</t>
        </is>
      </c>
      <c r="E11406" s="10" t="inlineStr">
        <is>
          <t>Thương lượng</t>
        </is>
      </c>
      <c r="F11406" s="10" t="inlineStr">
        <is>
          <t>Quảng Ninh</t>
        </is>
      </c>
      <c r="G11406" s="10" t="inlineStr">
        <is>
          <t>Giám Đốc và Cấp Cao Hơn</t>
        </is>
      </c>
      <c r="H11406" s="10" t="inlineStr">
        <is>
          <t>16/03/2026</t>
        </is>
      </c>
      <c r="I11406" s="10" t="inlineStr">
        <is>
          <t>15/04/2026</t>
        </is>
      </c>
      <c r="J11406" s="10" t="inlineStr">
        <is>
          <t>17/03/2026</t>
        </is>
      </c>
      <c r="K11406" s="10" t="inlineStr">
        <is>
          <t>N/A</t>
        </is>
      </c>
      <c r="L11406" s="10" t="inlineStr">
        <is>
          <t>Quản Lý Kênh Phân Phối, Chuong Trinh Marketing, Quản Trị Đội Ngũ, Lãnh Đạo, Khách sạn 4-5 sao</t>
        </is>
      </c>
      <c r="M11406" s="10" t="inlineStr">
        <is>
          <t>Bonus</t>
        </is>
      </c>
      <c r="N11406" s="11">
        <f>HYPERLINK("https://www.vietnamworks.com/director-of-sales-marketing-dosm-2023878-jv","Xem chi tiết")</f>
        <v/>
      </c>
      <c r="O11406" s="10" t="n"/>
    </row>
    <row r="11407">
      <c r="B11407" s="7" t="n">
        <v>11405</v>
      </c>
      <c r="C11407" t="inlineStr">
        <is>
          <t>Phát Triển Kinh Doanh</t>
        </is>
      </c>
      <c r="D11407" t="inlineStr">
        <is>
          <t>ROTAREX VIETNAM CO; LTD</t>
        </is>
      </c>
      <c r="E11407" t="inlineStr">
        <is>
          <t>20tr-30tr ₫/tháng</t>
        </is>
      </c>
      <c r="F11407" t="inlineStr">
        <is>
          <t>Hà Nội</t>
        </is>
      </c>
      <c r="G11407" t="inlineStr">
        <is>
          <t>Nhân viên</t>
        </is>
      </c>
      <c r="H11407" t="inlineStr">
        <is>
          <t>16/03/2026</t>
        </is>
      </c>
      <c r="I11407" t="inlineStr">
        <is>
          <t>15/04/2026</t>
        </is>
      </c>
      <c r="J11407" t="inlineStr">
        <is>
          <t>17/03/2026</t>
        </is>
      </c>
      <c r="K11407" t="inlineStr">
        <is>
          <t>N/A</t>
        </is>
      </c>
      <c r="L11407" t="inlineStr">
        <is>
          <t>MS Excel, Communication Skills, Marketing, Sales, Sales Strategy</t>
        </is>
      </c>
      <c r="M11407" t="inlineStr">
        <is>
          <t>Healthcare Plan</t>
        </is>
      </c>
      <c r="N11407" s="8">
        <f>HYPERLINK("https://www.vietnamworks.com/phat-trien-kinh-doanh-2023867-jv","Xem chi tiết")</f>
        <v/>
      </c>
    </row>
    <row r="11408">
      <c r="B11408" s="9" t="n">
        <v>11406</v>
      </c>
      <c r="C11408" s="10" t="inlineStr">
        <is>
          <t>Chuyên Viên Hoạt Náo</t>
        </is>
      </c>
      <c r="D11408" s="10" t="inlineStr">
        <is>
          <t>Tập Đoàn Thiên Long - Thien Long Corporation</t>
        </is>
      </c>
      <c r="E11408" s="10" t="inlineStr">
        <is>
          <t>Thương lượng</t>
        </is>
      </c>
      <c r="F11408" s="10" t="inlineStr">
        <is>
          <t>Hồ Chí Minh</t>
        </is>
      </c>
      <c r="G11408" s="10" t="inlineStr">
        <is>
          <t>Nhân viên</t>
        </is>
      </c>
      <c r="H11408" s="10" t="inlineStr">
        <is>
          <t>16/03/2026</t>
        </is>
      </c>
      <c r="I11408" s="10" t="inlineStr">
        <is>
          <t>15/04/2026</t>
        </is>
      </c>
      <c r="J11408" s="10" t="inlineStr">
        <is>
          <t>17/03/2026</t>
        </is>
      </c>
      <c r="K11408" s="10" t="inlineStr">
        <is>
          <t>N/A</t>
        </is>
      </c>
      <c r="L11408" s="10" t="inlineStr">
        <is>
          <t>Tổ Chức Sự Kiện, Tiếng Anh, Tin Học Văn Phòng (Word- Excel- Powerpoint)</t>
        </is>
      </c>
      <c r="M11408" s="10" t="inlineStr">
        <is>
          <t>Bonus, Paid Leave, Training</t>
        </is>
      </c>
      <c r="N11408" s="11">
        <f>HYPERLINK("https://www.vietnamworks.com/chuyen-vien-hoat-nao-2023890-jv","Xem chi tiết")</f>
        <v/>
      </c>
      <c r="O11408" s="10" t="n"/>
    </row>
    <row r="11409">
      <c r="B11409" s="7" t="n">
        <v>11407</v>
      </c>
      <c r="C11409" t="inlineStr">
        <is>
          <t>Accounting Staff</t>
        </is>
      </c>
      <c r="D11409" t="inlineStr">
        <is>
          <t>Công Ty TNHH Kintetsu World Express Việt Nam</t>
        </is>
      </c>
      <c r="E11409" t="inlineStr">
        <is>
          <t>Thương lượng</t>
        </is>
      </c>
      <c r="F11409" t="inlineStr">
        <is>
          <t>Hồ Chí Minh</t>
        </is>
      </c>
      <c r="G11409" t="inlineStr">
        <is>
          <t>Nhân viên</t>
        </is>
      </c>
      <c r="H11409" t="inlineStr">
        <is>
          <t>16/03/2026</t>
        </is>
      </c>
      <c r="I11409" t="inlineStr">
        <is>
          <t>15/04/2026</t>
        </is>
      </c>
      <c r="J11409" t="inlineStr">
        <is>
          <t>17/03/2026</t>
        </is>
      </c>
      <c r="K11409" t="inlineStr">
        <is>
          <t>N/A</t>
        </is>
      </c>
      <c r="L11409" t="inlineStr">
        <is>
          <t>Kế Toán, Finance, Kế Toán Chứng Từ, Accounts receivable, Accounts Payable</t>
        </is>
      </c>
      <c r="M11409" t="inlineStr">
        <is>
          <t>Bonus, Healthcare Plan, Others</t>
        </is>
      </c>
      <c r="N11409" s="8">
        <f>HYPERLINK("https://www.vietnamworks.com/accounting-staff--2023891-jv","Xem chi tiết")</f>
        <v/>
      </c>
    </row>
    <row r="11410">
      <c r="B11410" s="9" t="n">
        <v>11408</v>
      </c>
      <c r="C11410" s="10" t="inlineStr">
        <is>
          <t>Sales Supervisor GT</t>
        </is>
      </c>
      <c r="D11410" s="10" t="inlineStr">
        <is>
          <t>Bel</t>
        </is>
      </c>
      <c r="E11410" s="10" t="inlineStr">
        <is>
          <t>Thương lượng</t>
        </is>
      </c>
      <c r="F11410" s="10" t="inlineStr">
        <is>
          <t>Đồng Nai, Hồ Chí Minh, Hòa Bình</t>
        </is>
      </c>
      <c r="G11410" s="10" t="inlineStr">
        <is>
          <t>Nhân viên</t>
        </is>
      </c>
      <c r="H11410" s="10" t="inlineStr">
        <is>
          <t>16/03/2026</t>
        </is>
      </c>
      <c r="I11410" s="10" t="inlineStr">
        <is>
          <t>15/04/2026</t>
        </is>
      </c>
      <c r="J11410" s="10" t="inlineStr">
        <is>
          <t>17/03/2026</t>
        </is>
      </c>
      <c r="K11410" s="10" t="inlineStr">
        <is>
          <t>N/A</t>
        </is>
      </c>
      <c r="L11410" s="10" t="inlineStr">
        <is>
          <t>GT Channel, Giám Sát Bán Hàng, FMCG, Giám Sát Kinh Doanh, Quản Lý Nhà Phân Phối</t>
        </is>
      </c>
      <c r="M11410" s="10" t="inlineStr">
        <is>
          <t>Bonus, Healthcare Plan, Paid Leave</t>
        </is>
      </c>
      <c r="N11410" s="11">
        <f>HYPERLINK("https://www.vietnamworks.com/sales-supervisor-gt--2023900-jv","Xem chi tiết")</f>
        <v/>
      </c>
      <c r="O11410" s="10" t="n"/>
    </row>
    <row r="11411">
      <c r="B11411" s="7" t="n">
        <v>11409</v>
      </c>
      <c r="C11411" t="inlineStr">
        <is>
          <t>人資專員 - Chuyên Viên Nhân Sự</t>
        </is>
      </c>
      <c r="D11411" t="inlineStr">
        <is>
          <t>Fubon Life Insurance (Vietnam) Co., Ltd</t>
        </is>
      </c>
      <c r="E11411" t="inlineStr">
        <is>
          <t>Thương lượng</t>
        </is>
      </c>
      <c r="F11411" t="inlineStr">
        <is>
          <t>Hà Nội</t>
        </is>
      </c>
      <c r="G11411" t="inlineStr">
        <is>
          <t>Nhân viên</t>
        </is>
      </c>
      <c r="H11411" t="inlineStr">
        <is>
          <t>16/03/2026</t>
        </is>
      </c>
      <c r="I11411" t="inlineStr">
        <is>
          <t>15/04/2026</t>
        </is>
      </c>
      <c r="J11411" t="inlineStr">
        <is>
          <t>17/03/2026</t>
        </is>
      </c>
      <c r="K11411" t="inlineStr">
        <is>
          <t>N/A</t>
        </is>
      </c>
      <c r="L11411" t="inlineStr">
        <is>
          <t>MS Office, Photoshop, Quản Lý Dữ Liệu Mạch, Tuyển Dụng, Đào Tạo Nội Bộ</t>
        </is>
      </c>
      <c r="M11411" t="inlineStr">
        <is>
          <t>Bonus, Healthcare Plan, Training, Team Activities, Others</t>
        </is>
      </c>
      <c r="N11411" s="8">
        <f>HYPERLINK("https://www.vietnamworks.com/chuyen-vien-nhan-su-2023902-jv","Xem chi tiết")</f>
        <v/>
      </c>
    </row>
    <row r="11412">
      <c r="B11412" s="9" t="n">
        <v>11410</v>
      </c>
      <c r="C11412" s="10" t="inlineStr">
        <is>
          <t>Accountant Staff</t>
        </is>
      </c>
      <c r="D11412" s="10" t="inlineStr">
        <is>
          <t>JINJIANG SHIPPING (VIET NAM)</t>
        </is>
      </c>
      <c r="E11412" s="10" t="inlineStr">
        <is>
          <t>Thương lượng</t>
        </is>
      </c>
      <c r="F11412" s="10" t="inlineStr">
        <is>
          <t>Hồ Chí Minh</t>
        </is>
      </c>
      <c r="G11412" s="10" t="inlineStr">
        <is>
          <t>Nhân viên</t>
        </is>
      </c>
      <c r="H11412" s="10" t="inlineStr">
        <is>
          <t>16/03/2026</t>
        </is>
      </c>
      <c r="I11412" s="10" t="inlineStr">
        <is>
          <t>15/04/2026</t>
        </is>
      </c>
      <c r="J11412" s="10" t="inlineStr">
        <is>
          <t>17/03/2026</t>
        </is>
      </c>
      <c r="K11412" s="10" t="inlineStr">
        <is>
          <t>N/A</t>
        </is>
      </c>
      <c r="L11412" s="10" t="inlineStr">
        <is>
          <t>Budget Estimation, Budget Management, Financial Controlling, Kế Toán Tổng Hợp, Tài Chính</t>
        </is>
      </c>
      <c r="M11412" s="10" t="inlineStr">
        <is>
          <t>Bonus, Healthcare Plan, Mobile, Transportation, Canteen</t>
        </is>
      </c>
      <c r="N11412" s="11">
        <f>HYPERLINK("https://www.vietnamworks.com/accountant-staff-2023908-jv","Xem chi tiết")</f>
        <v/>
      </c>
      <c r="O11412" s="10" t="n"/>
    </row>
    <row r="11413">
      <c r="B11413" s="7" t="n">
        <v>11411</v>
      </c>
      <c r="C11413" t="inlineStr">
        <is>
          <t>Senior Growth Strategy Marketing (Martech)</t>
        </is>
      </c>
      <c r="D11413" t="inlineStr">
        <is>
          <t>Công Ty Cổ Phần Vàng Bạc Đá Quý Phú Nhuận (PNJ)</t>
        </is>
      </c>
      <c r="E11413" t="inlineStr">
        <is>
          <t>Thương lượng</t>
        </is>
      </c>
      <c r="F11413" t="inlineStr">
        <is>
          <t>Hồ Chí Minh</t>
        </is>
      </c>
      <c r="G11413" t="inlineStr">
        <is>
          <t>Nhân viên</t>
        </is>
      </c>
      <c r="H11413" t="inlineStr">
        <is>
          <t>16/03/2026</t>
        </is>
      </c>
      <c r="I11413" t="inlineStr">
        <is>
          <t>15/04/2026</t>
        </is>
      </c>
      <c r="J11413" t="inlineStr">
        <is>
          <t>17/03/2026</t>
        </is>
      </c>
      <c r="K11413" t="inlineStr">
        <is>
          <t>N/A</t>
        </is>
      </c>
      <c r="L11413" t="inlineStr">
        <is>
          <t>Campaign Marketing, Communication Skills, Data Analysis, Marketing Strategy</t>
        </is>
      </c>
      <c r="M11413" t="inlineStr">
        <is>
          <t>Bonus, Healthcare Plan, Paid Leave, Training, Laptop, Travel Opportunities, Others</t>
        </is>
      </c>
      <c r="N11413" s="8">
        <f>HYPERLINK("https://www.vietnamworks.com/senior-growth-strategy-marketing-martech-2023871-jv","Xem chi tiết")</f>
        <v/>
      </c>
    </row>
    <row r="11414">
      <c r="B11414" s="9" t="n">
        <v>11412</v>
      </c>
      <c r="C11414" s="10" t="inlineStr">
        <is>
          <t>Đại Lý Viên Tàu Biển (Nam)</t>
        </is>
      </c>
      <c r="D11414" s="10" t="inlineStr">
        <is>
          <t>Công Ty Cổ Phần Dịch Vụ Vận Tải Biển Hải Vân</t>
        </is>
      </c>
      <c r="E11414" s="10" t="inlineStr">
        <is>
          <t>20tr-30tr ₫/tháng</t>
        </is>
      </c>
      <c r="F11414" s="10" t="inlineStr">
        <is>
          <t>Hồ Chí Minh</t>
        </is>
      </c>
      <c r="G11414" s="10" t="inlineStr">
        <is>
          <t>Nhân viên</t>
        </is>
      </c>
      <c r="H11414" s="10" t="inlineStr">
        <is>
          <t>16/03/2026</t>
        </is>
      </c>
      <c r="I11414" s="10" t="inlineStr">
        <is>
          <t>15/04/2026</t>
        </is>
      </c>
      <c r="J11414" s="10" t="inlineStr">
        <is>
          <t>17/03/2026</t>
        </is>
      </c>
      <c r="K11414" s="10" t="inlineStr">
        <is>
          <t>N/A</t>
        </is>
      </c>
      <c r="L11414" s="10" t="inlineStr">
        <is>
          <t>Bán Hàng Đại Lý, Quản Lý Đại Lý, Dịch Vụ Tàu Biển, Dịch Vụ Đại Lý Tàu Biển, Kinh Doanh</t>
        </is>
      </c>
      <c r="M11414" s="10" t="inlineStr">
        <is>
          <t>Bonus, Healthcare Plan, Travel Opportunities</t>
        </is>
      </c>
      <c r="N11414" s="11">
        <f>HYPERLINK("https://www.vietnamworks.com/dai-ly-vien-tau-bien-nam--2023903-jv","Xem chi tiết")</f>
        <v/>
      </c>
      <c r="O11414" s="10" t="n"/>
    </row>
    <row r="11415">
      <c r="B11415" s="7" t="n">
        <v>11413</v>
      </c>
      <c r="C11415" t="inlineStr">
        <is>
          <t>AR Accountant</t>
        </is>
      </c>
      <c r="D11415" t="inlineStr">
        <is>
          <t>Công Ty TNHH KJTT Việt Nam</t>
        </is>
      </c>
      <c r="E11415" t="inlineStr">
        <is>
          <t>Thương lượng</t>
        </is>
      </c>
      <c r="F11415" t="inlineStr">
        <is>
          <t>Hà Nội</t>
        </is>
      </c>
      <c r="G11415" t="inlineStr">
        <is>
          <t>Nhân viên</t>
        </is>
      </c>
      <c r="H11415" t="inlineStr">
        <is>
          <t>16/03/2026</t>
        </is>
      </c>
      <c r="I11415" t="inlineStr">
        <is>
          <t>15/04/2026</t>
        </is>
      </c>
      <c r="J11415" t="inlineStr">
        <is>
          <t>17/03/2026</t>
        </is>
      </c>
      <c r="K11415" t="inlineStr">
        <is>
          <t>N/A</t>
        </is>
      </c>
      <c r="L11415" t="inlineStr">
        <is>
          <t>Accounting, Auditing, Finance, Logistics, Communication</t>
        </is>
      </c>
      <c r="M11415" t="inlineStr">
        <is>
          <t>Bonus, Healthcare Plan, Paid Leave, Travel Opportunities, Team Activities, Others</t>
        </is>
      </c>
      <c r="N11415" s="8">
        <f>HYPERLINK("https://www.vietnamworks.com/ar-accountant-2023905-jv","Xem chi tiết")</f>
        <v/>
      </c>
    </row>
    <row r="11416">
      <c r="B11416" s="9" t="n">
        <v>11414</v>
      </c>
      <c r="C11416" s="10" t="inlineStr">
        <is>
          <t>Quản Lý Dự Án</t>
        </is>
      </c>
      <c r="D11416" s="10" t="inlineStr">
        <is>
          <t>CÔNG TY CỔ PHẦN KIẾN TRÚC VÀ NỘI THẤT HD STYLE</t>
        </is>
      </c>
      <c r="E11416" s="10" t="inlineStr">
        <is>
          <t>$$ 700-1,200 /tháng</t>
        </is>
      </c>
      <c r="F11416" s="10" t="inlineStr">
        <is>
          <t>Hà Nội</t>
        </is>
      </c>
      <c r="G11416" s="10" t="inlineStr">
        <is>
          <t>Nhân viên</t>
        </is>
      </c>
      <c r="H11416" s="10" t="inlineStr">
        <is>
          <t>16/03/2026</t>
        </is>
      </c>
      <c r="I11416" s="10" t="inlineStr">
        <is>
          <t>15/04/2026</t>
        </is>
      </c>
      <c r="J11416" s="10" t="inlineStr">
        <is>
          <t>17/03/2026</t>
        </is>
      </c>
      <c r="K11416" s="10" t="inlineStr">
        <is>
          <t>N/A</t>
        </is>
      </c>
      <c r="L11416" s="10" t="inlineStr">
        <is>
          <t>AutoCAD, Xây Dựng Dân Dụng, Giám Sát Thi Công, Bóc Tách Khối Lượng, Quản Lý Dự Án</t>
        </is>
      </c>
      <c r="M11416" s="10" t="inlineStr">
        <is>
          <t>Bonus, Healthcare Plan, Others</t>
        </is>
      </c>
      <c r="N11416" s="11">
        <f>HYPERLINK("https://www.vietnamworks.com/quan-ly-du-an--2023909-jv","Xem chi tiết")</f>
        <v/>
      </c>
      <c r="O11416" s="10" t="n"/>
    </row>
    <row r="11417">
      <c r="B11417" s="7" t="n">
        <v>11415</v>
      </c>
      <c r="C11417" t="inlineStr">
        <is>
          <t>Chuyên Viên Kiểm Soát Nội Bộ (Senior Internal Control)</t>
        </is>
      </c>
      <c r="D11417" t="inlineStr">
        <is>
          <t>Công Ty Cổ Phần Sữa Việt Nam (Vinamilk)</t>
        </is>
      </c>
      <c r="E11417" t="inlineStr">
        <is>
          <t>Thương lượng</t>
        </is>
      </c>
      <c r="F11417" t="inlineStr">
        <is>
          <t>Hồ Chí Minh</t>
        </is>
      </c>
      <c r="G11417" t="inlineStr">
        <is>
          <t>Nhân viên</t>
        </is>
      </c>
      <c r="H11417" t="inlineStr">
        <is>
          <t>16/03/2026</t>
        </is>
      </c>
      <c r="I11417" t="inlineStr">
        <is>
          <t>15/04/2026</t>
        </is>
      </c>
      <c r="J11417" t="inlineStr">
        <is>
          <t>17/03/2026</t>
        </is>
      </c>
      <c r="K11417" t="inlineStr">
        <is>
          <t>N/A</t>
        </is>
      </c>
      <c r="L11417" t="inlineStr">
        <is>
          <t>Internal Control, Internal Control Activities, Internal Control Advisory</t>
        </is>
      </c>
      <c r="M11417" t="inlineStr">
        <is>
          <t>Bonus, Healthcare Plan, Training</t>
        </is>
      </c>
      <c r="N11417" s="8">
        <f>HYPERLINK("https://www.vietnamworks.com/chuyen-vien-kiem-soat-noi-bo-senior-internal-control--2023898-jv","Xem chi tiết")</f>
        <v/>
      </c>
    </row>
    <row r="11418">
      <c r="B11418" s="9" t="n">
        <v>11416</v>
      </c>
      <c r="C11418" s="10" t="inlineStr">
        <is>
          <t>Procurement Executive - Indirect</t>
        </is>
      </c>
      <c r="D11418" s="10" t="inlineStr">
        <is>
          <t>Archer Daniels Midland (ADM)</t>
        </is>
      </c>
      <c r="E11418" s="10" t="inlineStr">
        <is>
          <t>Thương lượng</t>
        </is>
      </c>
      <c r="F11418" s="10" t="inlineStr">
        <is>
          <t>Bình Dương</t>
        </is>
      </c>
      <c r="G11418" s="10" t="inlineStr">
        <is>
          <t>Nhân viên</t>
        </is>
      </c>
      <c r="H11418" s="10" t="inlineStr">
        <is>
          <t>16/03/2026</t>
        </is>
      </c>
      <c r="I11418" s="10" t="inlineStr">
        <is>
          <t>15/04/2026</t>
        </is>
      </c>
      <c r="J11418" s="10" t="inlineStr">
        <is>
          <t>17/03/2026</t>
        </is>
      </c>
      <c r="K11418" s="10" t="inlineStr">
        <is>
          <t>N/A</t>
        </is>
      </c>
      <c r="L11418" s="10" t="inlineStr">
        <is>
          <t>Supplier Negotiation, Purchase Management, Procurement Outsourcing, Problem Solving, Procurement</t>
        </is>
      </c>
      <c r="M11418" s="10" t="inlineStr">
        <is>
          <t>Healthcare Plan</t>
        </is>
      </c>
      <c r="N11418" s="11">
        <f>HYPERLINK("https://www.vietnamworks.com/procurement-executive-indirect--2023906-jv","Xem chi tiết")</f>
        <v/>
      </c>
      <c r="O11418" s="10" t="n"/>
    </row>
    <row r="11419">
      <c r="B11419" s="7" t="n">
        <v>11417</v>
      </c>
      <c r="C11419" t="inlineStr">
        <is>
          <t>Chuyên Viên Marketing (ABM - Assistant Brand Manager)</t>
        </is>
      </c>
      <c r="D11419" t="inlineStr">
        <is>
          <t>Công Ty Cổ Phần Sữa Việt Nam (Vinamilk)</t>
        </is>
      </c>
      <c r="E11419" t="inlineStr">
        <is>
          <t>Thương lượng</t>
        </is>
      </c>
      <c r="F11419" t="inlineStr">
        <is>
          <t>Hồ Chí Minh</t>
        </is>
      </c>
      <c r="G11419" t="inlineStr">
        <is>
          <t>Nhân viên</t>
        </is>
      </c>
      <c r="H11419" t="inlineStr">
        <is>
          <t>16/03/2026</t>
        </is>
      </c>
      <c r="I11419" t="inlineStr">
        <is>
          <t>15/04/2026</t>
        </is>
      </c>
      <c r="J11419" t="inlineStr">
        <is>
          <t>17/03/2026</t>
        </is>
      </c>
      <c r="K11419" t="inlineStr">
        <is>
          <t>N/A</t>
        </is>
      </c>
      <c r="L11419" t="inlineStr">
        <is>
          <t>Brand Activation, Branding, Digital Marketing, Marketing Planning, Brand Marketing</t>
        </is>
      </c>
      <c r="M11419" t="inlineStr">
        <is>
          <t>Bonus, Healthcare Plan, Training</t>
        </is>
      </c>
      <c r="N11419" s="8">
        <f>HYPERLINK("https://www.vietnamworks.com/chuyen-vien-marketing-abm-assistant-brand-manager--2023901-jv","Xem chi tiết")</f>
        <v/>
      </c>
    </row>
    <row r="11420">
      <c r="B11420" s="9" t="n">
        <v>11418</v>
      </c>
      <c r="C11420" s="10" t="inlineStr">
        <is>
          <t>Nhân Viên Phiên Dịch Tiếng Nhật</t>
        </is>
      </c>
      <c r="D11420" s="10" t="inlineStr">
        <is>
          <t>Công Ty Cổ Phần Hanel Xốp Nhựa</t>
        </is>
      </c>
      <c r="E11420" s="10" t="inlineStr">
        <is>
          <t>Thương lượng</t>
        </is>
      </c>
      <c r="F11420" s="10" t="inlineStr">
        <is>
          <t>Hà Nội</t>
        </is>
      </c>
      <c r="G11420" s="10" t="inlineStr">
        <is>
          <t>Nhân viên</t>
        </is>
      </c>
      <c r="H11420" s="10" t="inlineStr">
        <is>
          <t>16/03/2026</t>
        </is>
      </c>
      <c r="I11420" s="10" t="inlineStr">
        <is>
          <t>15/04/2026</t>
        </is>
      </c>
      <c r="J11420" s="10" t="inlineStr">
        <is>
          <t>17/03/2026</t>
        </is>
      </c>
      <c r="K11420" s="10" t="inlineStr">
        <is>
          <t>N/A</t>
        </is>
      </c>
      <c r="L11420" s="10" t="inlineStr">
        <is>
          <t>Phiên Dịch Tài Liệu, Lập Báo Cáo, Soạn Thảo Hợp Đồng, MS Office, Phiên Dịch Tiếng Nhật</t>
        </is>
      </c>
      <c r="M11420" s="10" t="inlineStr">
        <is>
          <t>Bonus, Healthcare Plan, Training, Travel Opportunities, Transportation, Canteen, Others</t>
        </is>
      </c>
      <c r="N11420" s="11">
        <f>HYPERLINK("https://www.vietnamworks.com/nhan-vien-phien-dich-tieng-nhat-2023899-jv","Xem chi tiết")</f>
        <v/>
      </c>
      <c r="O11420" s="10" t="n"/>
    </row>
    <row r="11421">
      <c r="B11421" s="7" t="n">
        <v>11419</v>
      </c>
      <c r="C11421" t="inlineStr">
        <is>
          <t>Nhân Viên Kế Toán</t>
        </is>
      </c>
      <c r="D11421" t="inlineStr">
        <is>
          <t>PVY CHEMICAL</t>
        </is>
      </c>
      <c r="E11421" t="inlineStr">
        <is>
          <t>Thương lượng</t>
        </is>
      </c>
      <c r="F11421" t="inlineStr">
        <is>
          <t>Bắc Ninh</t>
        </is>
      </c>
      <c r="G11421" t="inlineStr">
        <is>
          <t>Nhân viên</t>
        </is>
      </c>
      <c r="H11421" t="inlineStr">
        <is>
          <t>16/03/2026</t>
        </is>
      </c>
      <c r="I11421" t="inlineStr">
        <is>
          <t>15/04/2026</t>
        </is>
      </c>
      <c r="J11421" t="inlineStr">
        <is>
          <t>17/03/2026</t>
        </is>
      </c>
      <c r="K11421" t="inlineStr">
        <is>
          <t>N/A</t>
        </is>
      </c>
      <c r="L11421" t="inlineStr">
        <is>
          <t>Sản Xuất Hoá Chất, Quản Lý Hóa Chất, Kế Toán Tổng Hợp</t>
        </is>
      </c>
      <c r="M11421" t="inlineStr">
        <is>
          <t>Bonus, Training, Laptop</t>
        </is>
      </c>
      <c r="N11421" s="8">
        <f>HYPERLINK("https://www.vietnamworks.com/nhan-vien-ke-toan--2023918-jv","Xem chi tiết")</f>
        <v/>
      </c>
    </row>
    <row r="11422">
      <c r="B11422" s="9" t="n">
        <v>11420</v>
      </c>
      <c r="C11422" s="10" t="inlineStr">
        <is>
          <t>Sales Support cum Admin</t>
        </is>
      </c>
      <c r="D11422" s="10" t="inlineStr">
        <is>
          <t>Công Ty TNHH Tiara Healthcare</t>
        </is>
      </c>
      <c r="E11422" s="10" t="inlineStr">
        <is>
          <t>8tr-8tr ₫/tháng</t>
        </is>
      </c>
      <c r="F11422" s="10" t="inlineStr">
        <is>
          <t>Hồ Chí Minh</t>
        </is>
      </c>
      <c r="G11422" s="10" t="inlineStr">
        <is>
          <t>Mới Tốt Nghiệp</t>
        </is>
      </c>
      <c r="H11422" s="10" t="inlineStr">
        <is>
          <t>16/03/2026</t>
        </is>
      </c>
      <c r="I11422" s="10" t="inlineStr">
        <is>
          <t>15/04/2026</t>
        </is>
      </c>
      <c r="J11422" s="10" t="inlineStr">
        <is>
          <t>17/03/2026</t>
        </is>
      </c>
      <c r="K11422" s="10" t="inlineStr">
        <is>
          <t>N/A</t>
        </is>
      </c>
      <c r="L11422" s="10" t="inlineStr">
        <is>
          <t>Customer Service, Office Administration, Sales Admin, Telesales</t>
        </is>
      </c>
      <c r="M11422" s="10" t="inlineStr">
        <is>
          <t>Healthcare Plan</t>
        </is>
      </c>
      <c r="N11422" s="11">
        <f>HYPERLINK("https://www.vietnamworks.com/sales-support-cum-admin--2023922-jv","Xem chi tiết")</f>
        <v/>
      </c>
      <c r="O11422" s="10" t="n"/>
    </row>
    <row r="11423">
      <c r="B11423" s="7" t="n">
        <v>11421</v>
      </c>
      <c r="C11423" t="inlineStr">
        <is>
          <t>Chỉ Huy Trưởng - Lương Lên Tới 25 Triệu/tháng</t>
        </is>
      </c>
      <c r="D11423" t="inlineStr">
        <is>
          <t>Vina-Sanwa Company Liability Limited</t>
        </is>
      </c>
      <c r="E11423" t="inlineStr">
        <is>
          <t>Thương lượng</t>
        </is>
      </c>
      <c r="F11423" t="inlineStr">
        <is>
          <t>Hà Nội</t>
        </is>
      </c>
      <c r="G11423" t="inlineStr">
        <is>
          <t>Trưởng phòng</t>
        </is>
      </c>
      <c r="H11423" t="inlineStr">
        <is>
          <t>16/03/2026</t>
        </is>
      </c>
      <c r="I11423" t="inlineStr">
        <is>
          <t>15/04/2026</t>
        </is>
      </c>
      <c r="J11423" t="inlineStr">
        <is>
          <t>17/03/2026</t>
        </is>
      </c>
      <c r="K11423" t="inlineStr">
        <is>
          <t>N/A</t>
        </is>
      </c>
      <c r="L11423" t="inlineStr">
        <is>
          <t>AutoCAD, Site Management, Construction Planning, Giám Sát Thi Công, Quản Lý Tiến Độ</t>
        </is>
      </c>
      <c r="M11423" t="inlineStr">
        <is>
          <t>Bonus, Healthcare Plan, Transportation</t>
        </is>
      </c>
      <c r="N11423" s="8">
        <f>HYPERLINK("https://www.vietnamworks.com/chi-huy-truong-luong-len-toi-25-trieu-thang-2023921-jv","Xem chi tiết")</f>
        <v/>
      </c>
    </row>
    <row r="11424">
      <c r="B11424" s="9" t="n">
        <v>11422</v>
      </c>
      <c r="C11424" s="10" t="inlineStr">
        <is>
          <t>Nhân Viên Vận Hành Sàn Thương Mại Điện Tử (TMĐT) - E-Commerce AMAZON/EBAY/WALMART/Lương Cao/Hồ Chí Minh</t>
        </is>
      </c>
      <c r="D11424" s="10" t="inlineStr">
        <is>
          <t>CÔNG TY TNHH DUDU VIỆT NAM</t>
        </is>
      </c>
      <c r="E11424" s="10" t="inlineStr">
        <is>
          <t>13tr-23tr ₫/tháng</t>
        </is>
      </c>
      <c r="F11424" s="10" t="inlineStr">
        <is>
          <t>Hồ Chí Minh</t>
        </is>
      </c>
      <c r="G11424" s="10" t="inlineStr">
        <is>
          <t>Nhân viên</t>
        </is>
      </c>
      <c r="H11424" s="10" t="inlineStr">
        <is>
          <t>16/03/2026</t>
        </is>
      </c>
      <c r="I11424" s="10" t="inlineStr">
        <is>
          <t>15/04/2026</t>
        </is>
      </c>
      <c r="J11424" s="10" t="inlineStr">
        <is>
          <t>17/03/2026</t>
        </is>
      </c>
      <c r="K11424" s="10" t="inlineStr">
        <is>
          <t>N/A</t>
        </is>
      </c>
      <c r="L11424" s="10" t="inlineStr">
        <is>
          <t>Giao Tiếp, Làm Việc Nhóm, Phân Tích Dữ Liệu, Quản Lý Thời Gian, Thương Mại Điện Tử</t>
        </is>
      </c>
      <c r="M11424" s="10" t="inlineStr">
        <is>
          <t>Healthcare Plan, Paid Leave, Training, Team Activities, Others</t>
        </is>
      </c>
      <c r="N11424" s="11">
        <f>HYPERLINK("https://www.vietnamworks.com/nhan-vien-van-hanh-san-thuong-mai-djien-tu-tmdjt-e-commerce-amazonebaywalmartluong-caoho-chi-minh-2023910-jv","Xem chi tiết")</f>
        <v/>
      </c>
      <c r="O11424" s="10" t="n"/>
    </row>
    <row r="11425">
      <c r="B11425" s="7" t="n">
        <v>11423</v>
      </c>
      <c r="C11425" t="inlineStr">
        <is>
          <t>Kế Toán Nội Bộ</t>
        </is>
      </c>
      <c r="D11425" t="inlineStr">
        <is>
          <t>CÔNG TY TNHH CAFETECH</t>
        </is>
      </c>
      <c r="E11425" t="inlineStr">
        <is>
          <t>12tr-15tr ₫/tháng</t>
        </is>
      </c>
      <c r="F11425" t="inlineStr">
        <is>
          <t>Hồ Chí Minh</t>
        </is>
      </c>
      <c r="G11425" t="inlineStr">
        <is>
          <t>Nhân viên</t>
        </is>
      </c>
      <c r="H11425" t="inlineStr">
        <is>
          <t>16/03/2026</t>
        </is>
      </c>
      <c r="I11425" t="inlineStr">
        <is>
          <t>15/04/2026</t>
        </is>
      </c>
      <c r="J11425" t="inlineStr">
        <is>
          <t>17/03/2026</t>
        </is>
      </c>
      <c r="K11425" t="inlineStr">
        <is>
          <t>N/A</t>
        </is>
      </c>
      <c r="L11425" t="inlineStr">
        <is>
          <t>Báo Cáo Quản Trị, Excel, Kế Toán Nội Bộ, Kiểm Soát Kho, Quản Lý Công Nợ</t>
        </is>
      </c>
      <c r="M11425" t="inlineStr">
        <is>
          <t>Healthcare Plan, Paid Leave, Travel Opportunities</t>
        </is>
      </c>
      <c r="N11425" s="8">
        <f>HYPERLINK("https://www.vietnamworks.com/ke-toan-noi-bo-2023923-jv","Xem chi tiết")</f>
        <v/>
      </c>
    </row>
    <row r="11426">
      <c r="B11426" s="9" t="n">
        <v>11424</v>
      </c>
      <c r="C11426" s="10" t="inlineStr">
        <is>
          <t>[Hà Nội] Vận Hành Hạ Tầng</t>
        </is>
      </c>
      <c r="D11426" s="10" t="inlineStr">
        <is>
          <t>Ngân hàng Lộc Phát Việt Nam LPBank</t>
        </is>
      </c>
      <c r="E11426" s="10" t="inlineStr">
        <is>
          <t>Thương lượng</t>
        </is>
      </c>
      <c r="F11426" s="10" t="inlineStr">
        <is>
          <t>Hà Nội</t>
        </is>
      </c>
      <c r="G11426" s="10" t="inlineStr">
        <is>
          <t>Nhân viên</t>
        </is>
      </c>
      <c r="H11426" s="10" t="inlineStr">
        <is>
          <t>16/03/2026</t>
        </is>
      </c>
      <c r="I11426" s="10" t="inlineStr">
        <is>
          <t>15/04/2026</t>
        </is>
      </c>
      <c r="J11426" s="10" t="inlineStr">
        <is>
          <t>17/03/2026</t>
        </is>
      </c>
      <c r="K11426" s="10" t="inlineStr">
        <is>
          <t>N/A</t>
        </is>
      </c>
      <c r="L11426" s="10" t="inlineStr">
        <is>
          <t>System Admin, IT Operations, Windows Server, IT Security</t>
        </is>
      </c>
      <c r="M11426" s="10" t="inlineStr">
        <is>
          <t>Bonus, Laptop, Canteen</t>
        </is>
      </c>
      <c r="N11426" s="11">
        <f>HYPERLINK("https://www.vietnamworks.com/ha-noi-van-hanh-ha-tang--2023928-jv","Xem chi tiết")</f>
        <v/>
      </c>
      <c r="O11426" s="10" t="n"/>
    </row>
    <row r="11427">
      <c r="B11427" s="7" t="n">
        <v>11425</v>
      </c>
      <c r="C11427" t="inlineStr">
        <is>
          <t>Kỹ Thuật Viên Vận Hành Máy (Khu Chế Biến/khu Đóng Gói) - Nhà Máy Hà Nam/ninh Bình</t>
        </is>
      </c>
      <c r="D11427" t="inlineStr">
        <is>
          <t>PepsiCo Foods Vietnam Company</t>
        </is>
      </c>
      <c r="E11427" t="inlineStr">
        <is>
          <t>Thương lượng</t>
        </is>
      </c>
      <c r="F11427" t="inlineStr">
        <is>
          <t>Hà Nam, Hưng Yên, Hà Nội</t>
        </is>
      </c>
      <c r="G11427" t="inlineStr">
        <is>
          <t>Nhân viên</t>
        </is>
      </c>
      <c r="H11427" t="inlineStr">
        <is>
          <t>16/03/2026</t>
        </is>
      </c>
      <c r="I11427" t="inlineStr">
        <is>
          <t>15/04/2026</t>
        </is>
      </c>
      <c r="J11427" t="inlineStr">
        <is>
          <t>17/03/2026</t>
        </is>
      </c>
      <c r="K11427" t="inlineStr">
        <is>
          <t>N/A</t>
        </is>
      </c>
      <c r="L11427" t="inlineStr">
        <is>
          <t>An Toàn Lao Động, Kỹ Thuật Vận Hành Máy Đúc, Vận Hành Cơ Điện, Vận Hành Sản Xuất</t>
        </is>
      </c>
      <c r="M11427" t="inlineStr">
        <is>
          <t>Bonus, Healthcare Plan, Training, Others</t>
        </is>
      </c>
      <c r="N11427" s="8">
        <f>HYPERLINK("https://www.vietnamworks.com/ky-thuat-vien-van-hanh-may-khu-che-bienkhu-djong-goi-nha-may-ha-namninh-binh-2023919-jv","Xem chi tiết")</f>
        <v/>
      </c>
    </row>
    <row r="11428">
      <c r="B11428" s="9" t="n">
        <v>11426</v>
      </c>
      <c r="C11428" s="10" t="inlineStr">
        <is>
          <t>Application Support, IT Department, Head Office</t>
        </is>
      </c>
      <c r="D11428" s="10" t="inlineStr">
        <is>
          <t>Public Bank Vietnam Ltd</t>
        </is>
      </c>
      <c r="E11428" s="10" t="inlineStr">
        <is>
          <t>Tới $ 2,500 /tháng</t>
        </is>
      </c>
      <c r="F11428" s="10" t="inlineStr">
        <is>
          <t>Hà Nội</t>
        </is>
      </c>
      <c r="G11428" s="10" t="inlineStr">
        <is>
          <t>Mới Tốt Nghiệp</t>
        </is>
      </c>
      <c r="H11428" s="10" t="inlineStr">
        <is>
          <t>16/03/2026</t>
        </is>
      </c>
      <c r="I11428" s="10" t="inlineStr">
        <is>
          <t>15/04/2026</t>
        </is>
      </c>
      <c r="J11428" s="10" t="inlineStr">
        <is>
          <t>17/03/2026</t>
        </is>
      </c>
      <c r="K11428" s="10" t="inlineStr">
        <is>
          <t>N/A</t>
        </is>
      </c>
      <c r="L11428" s="10" t="inlineStr">
        <is>
          <t>IT System Administration, Core Banking Development, Application Support, Application Management Services, Technical Support</t>
        </is>
      </c>
      <c r="M11428" s="10" t="inlineStr">
        <is>
          <t>Bonus, Paid Leave, Training</t>
        </is>
      </c>
      <c r="N11428" s="11">
        <f>HYPERLINK("https://www.vietnamworks.com/application-support-it-department-head-office--2023932-jv","Xem chi tiết")</f>
        <v/>
      </c>
      <c r="O11428" s="10" t="n"/>
    </row>
    <row r="11429">
      <c r="B11429" s="7" t="n">
        <v>11427</v>
      </c>
      <c r="C11429" t="inlineStr">
        <is>
          <t>Power Electronics Test &amp; Certification Engineer</t>
        </is>
      </c>
      <c r="D11429" t="inlineStr">
        <is>
          <t>MINIT CHARGER L.L.C.</t>
        </is>
      </c>
      <c r="E11429" t="inlineStr">
        <is>
          <t>Thương lượng</t>
        </is>
      </c>
      <c r="F11429" t="inlineStr">
        <is>
          <t>Hồ Chí Minh</t>
        </is>
      </c>
      <c r="G11429" t="inlineStr">
        <is>
          <t>Nhân viên</t>
        </is>
      </c>
      <c r="H11429" t="inlineStr">
        <is>
          <t>16/03/2026</t>
        </is>
      </c>
      <c r="I11429" t="inlineStr">
        <is>
          <t>15/04/2026</t>
        </is>
      </c>
      <c r="J11429" t="inlineStr">
        <is>
          <t>17/03/2026</t>
        </is>
      </c>
      <c r="K11429" t="inlineStr">
        <is>
          <t>N/A</t>
        </is>
      </c>
      <c r="L11429" t="inlineStr">
        <is>
          <t>Project Management, Compliance Management, Electronic Testing, Safety Management, Thermal Testing</t>
        </is>
      </c>
      <c r="M11429" t="inlineStr">
        <is>
          <t>Bonus</t>
        </is>
      </c>
      <c r="N11429" s="8">
        <f>HYPERLINK("https://www.vietnamworks.com/power-electronics-test-and-certification-engineer-2023934-jv","Xem chi tiết")</f>
        <v/>
      </c>
    </row>
    <row r="11430">
      <c r="B11430" s="9" t="n">
        <v>11428</v>
      </c>
      <c r="C11430" s="10" t="inlineStr">
        <is>
          <t>Kỹ Sư Tư Vấn Giám Sát (Các Chuyên Ngành)</t>
        </is>
      </c>
      <c r="D11430" s="10" t="inlineStr">
        <is>
          <t>Công ty Cổ phần TEXO tư vấn và đầu tư</t>
        </is>
      </c>
      <c r="E11430" s="10" t="inlineStr">
        <is>
          <t>15tr-30tr ₫/tháng</t>
        </is>
      </c>
      <c r="F11430" s="10" t="inlineStr">
        <is>
          <t>Hà Nam, Quảng Ninh, Kiên Giang</t>
        </is>
      </c>
      <c r="G11430" s="10" t="inlineStr">
        <is>
          <t>Nhân viên</t>
        </is>
      </c>
      <c r="H11430" s="10" t="inlineStr">
        <is>
          <t>16/03/2026</t>
        </is>
      </c>
      <c r="I11430" s="10" t="inlineStr">
        <is>
          <t>15/04/2026</t>
        </is>
      </c>
      <c r="J11430" s="10" t="inlineStr">
        <is>
          <t>17/03/2026</t>
        </is>
      </c>
      <c r="K11430" s="10" t="inlineStr">
        <is>
          <t>N/A</t>
        </is>
      </c>
      <c r="L11430" s="10" t="inlineStr">
        <is>
          <t>Quản Trị Tiến Độ, Giám Sát Nhà Thầu, Kiểm Tra Bản Vẽ Thiết Kế, Điều Phối Giám Sát, Tư Vấn Giám Sát</t>
        </is>
      </c>
      <c r="M11430" s="10" t="inlineStr">
        <is>
          <t>Healthcare Plan, Training, Others</t>
        </is>
      </c>
      <c r="N11430" s="11">
        <f>HYPERLINK("https://www.vietnamworks.com/ky-su-tu-van-giam-sat-cac-chuyen-nganh-2023911-jv","Xem chi tiết")</f>
        <v/>
      </c>
      <c r="O11430" s="10" t="n"/>
    </row>
    <row r="11431">
      <c r="B11431" s="7" t="n">
        <v>11429</v>
      </c>
      <c r="C11431" t="inlineStr">
        <is>
          <t>Kỹ Sư Quản Lý Chất Lượng Nhà Cung Cấp (SQE) (15-20 Triệu)</t>
        </is>
      </c>
      <c r="D11431" t="inlineStr">
        <is>
          <t>Công Ty Cổ Phần Công Nghiệp KIMSEN</t>
        </is>
      </c>
      <c r="E11431" t="inlineStr">
        <is>
          <t>15tr-20tr ₫/tháng</t>
        </is>
      </c>
      <c r="F11431" t="inlineStr">
        <is>
          <t>Bắc Ninh</t>
        </is>
      </c>
      <c r="G11431" t="inlineStr">
        <is>
          <t>Nhân viên</t>
        </is>
      </c>
      <c r="H11431" t="inlineStr">
        <is>
          <t>16/03/2026</t>
        </is>
      </c>
      <c r="I11431" t="inlineStr">
        <is>
          <t>15/04/2026</t>
        </is>
      </c>
      <c r="J11431" t="inlineStr">
        <is>
          <t>17/03/2026</t>
        </is>
      </c>
      <c r="K11431" t="inlineStr">
        <is>
          <t>N/A</t>
        </is>
      </c>
      <c r="L11431" t="inlineStr">
        <is>
          <t>IQC, Quality Tools, Quản Lý Chất Lượng, SQE</t>
        </is>
      </c>
      <c r="M11431" t="inlineStr">
        <is>
          <t>Bonus, Healthcare Plan, Paid Leave, Training, Laptop, Team Activities, Transportation, Others</t>
        </is>
      </c>
      <c r="N11431" s="8">
        <f>HYPERLINK("https://www.vietnamworks.com/ky-su-quan-ly-chat-luong-nha-cung-cap-sqe-15-20-trieu-2023920-jv","Xem chi tiết")</f>
        <v/>
      </c>
    </row>
    <row r="11432">
      <c r="B11432" s="9" t="n">
        <v>11430</v>
      </c>
      <c r="C11432" s="10" t="inlineStr">
        <is>
          <t>Sales Consultant</t>
        </is>
      </c>
      <c r="D11432" s="10" t="inlineStr">
        <is>
          <t>Bin CORPORATION GROUP Việt Nam</t>
        </is>
      </c>
      <c r="E11432" s="10" t="inlineStr">
        <is>
          <t>Thương lượng</t>
        </is>
      </c>
      <c r="F11432" s="10" t="inlineStr">
        <is>
          <t>Hồ Chí Minh</t>
        </is>
      </c>
      <c r="G11432" s="10" t="inlineStr">
        <is>
          <t>Nhân viên</t>
        </is>
      </c>
      <c r="H11432" s="10" t="inlineStr">
        <is>
          <t>16/03/2026</t>
        </is>
      </c>
      <c r="I11432" s="10" t="inlineStr">
        <is>
          <t>15/04/2026</t>
        </is>
      </c>
      <c r="J11432" s="10" t="inlineStr">
        <is>
          <t>17/03/2026</t>
        </is>
      </c>
      <c r="K11432" s="10" t="inlineStr">
        <is>
          <t>N/A</t>
        </is>
      </c>
      <c r="L11432" s="10" t="inlineStr">
        <is>
          <t>Bussiness Development, Consultant Service, Pháp Lý Doanh Nghiệp, Legal</t>
        </is>
      </c>
      <c r="M11432" s="10" t="inlineStr">
        <is>
          <t>Bonus, Healthcare Plan, Team Activities</t>
        </is>
      </c>
      <c r="N11432" s="11">
        <f>HYPERLINK("https://www.vietnamworks.com/sales-consultant--2023915-jv","Xem chi tiết")</f>
        <v/>
      </c>
      <c r="O11432" s="10" t="n"/>
    </row>
    <row r="11433">
      <c r="B11433" s="7" t="n">
        <v>11431</v>
      </c>
      <c r="C11433" t="inlineStr">
        <is>
          <t>Kỹ Sư Tư Vấn Giải Pháp Hạ Tầng Mạng Tại Hà Nội (Thu Nhập ~ 25 Triệu)</t>
        </is>
      </c>
      <c r="D11433" t="inlineStr">
        <is>
          <t>Công ty CP Tư vấn và Dịch vụ Viettel</t>
        </is>
      </c>
      <c r="E11433" t="inlineStr">
        <is>
          <t>$$ 16tr-25tr /tháng</t>
        </is>
      </c>
      <c r="F11433" t="inlineStr">
        <is>
          <t>Hà Nội</t>
        </is>
      </c>
      <c r="G11433" t="inlineStr">
        <is>
          <t>Nhân viên</t>
        </is>
      </c>
      <c r="H11433" t="inlineStr">
        <is>
          <t>16/03/2026</t>
        </is>
      </c>
      <c r="I11433" t="inlineStr">
        <is>
          <t>15/04/2026</t>
        </is>
      </c>
      <c r="J11433" t="inlineStr">
        <is>
          <t>17/03/2026</t>
        </is>
      </c>
      <c r="K11433" t="inlineStr">
        <is>
          <t>N/A</t>
        </is>
      </c>
      <c r="L11433" t="inlineStr">
        <is>
          <t>Tư Vấn Giải Pháp, Xây Dựng Hồ Sơ Đấu Thầu, Đọc Tài Liệu Kĩ Thuật, Hạ Tầng Công Nghệ, Cisco</t>
        </is>
      </c>
      <c r="M11433" t="inlineStr">
        <is>
          <t>Bonus, Healthcare Plan, Others</t>
        </is>
      </c>
      <c r="N11433" s="8">
        <f>HYPERLINK("https://www.vietnamworks.com/ky-su-tu-van-giai-phap-ha-tang-mang-tai-ha-noi-thu-nhap-25-trieu-2023912-jv","Xem chi tiết")</f>
        <v/>
      </c>
    </row>
    <row r="11434">
      <c r="B11434" s="9" t="n">
        <v>11432</v>
      </c>
      <c r="C11434" s="10" t="inlineStr">
        <is>
          <t>Trợ Lý Kinh Doanh</t>
        </is>
      </c>
      <c r="D11434" s="10" t="inlineStr">
        <is>
          <t>YG-1 Vietnam</t>
        </is>
      </c>
      <c r="E11434" s="10" t="inlineStr">
        <is>
          <t>500-700 ₫/tháng</t>
        </is>
      </c>
      <c r="F11434" s="10" t="inlineStr">
        <is>
          <t>Hà Nội</t>
        </is>
      </c>
      <c r="G11434" s="10" t="inlineStr">
        <is>
          <t>Nhân viên</t>
        </is>
      </c>
      <c r="H11434" s="10" t="inlineStr">
        <is>
          <t>16/03/2026</t>
        </is>
      </c>
      <c r="I11434" s="10" t="inlineStr">
        <is>
          <t>15/04/2026</t>
        </is>
      </c>
      <c r="J11434" s="10" t="inlineStr">
        <is>
          <t>17/03/2026</t>
        </is>
      </c>
      <c r="K11434" s="10" t="inlineStr">
        <is>
          <t>N/A</t>
        </is>
      </c>
      <c r="L11434" s="10" t="inlineStr">
        <is>
          <t>Hỗ Trợ Kinh Doanh, Báo Giá, Sales Administration, Tổng Hợp Phân Tích, Tiếng  Anh Giao Tiếp</t>
        </is>
      </c>
      <c r="M11434" s="10" t="inlineStr">
        <is>
          <t>Bonus, Healthcare Plan, Others</t>
        </is>
      </c>
      <c r="N11434" s="11">
        <f>HYPERLINK("https://www.vietnamworks.com/tro-ly-kinh-doanh--2023924-jv","Xem chi tiết")</f>
        <v/>
      </c>
      <c r="O11434" s="10" t="n"/>
    </row>
    <row r="11435">
      <c r="B11435" s="7" t="n">
        <v>11433</v>
      </c>
      <c r="C11435" t="inlineStr">
        <is>
          <t>Chuyên Viên Kiến Trúc Quy Hoạch</t>
        </is>
      </c>
      <c r="D11435" t="inlineStr">
        <is>
          <t>Công Ty Cổ Phần Phát Triển Và Tăng Trưởng Xanh - Edge</t>
        </is>
      </c>
      <c r="E11435" t="inlineStr">
        <is>
          <t>Thương lượng</t>
        </is>
      </c>
      <c r="F11435" t="inlineStr">
        <is>
          <t>Hà Nội</t>
        </is>
      </c>
      <c r="G11435" t="inlineStr">
        <is>
          <t>Nhân viên</t>
        </is>
      </c>
      <c r="H11435" t="inlineStr">
        <is>
          <t>16/03/2026</t>
        </is>
      </c>
      <c r="I11435" t="inlineStr">
        <is>
          <t>15/04/2026</t>
        </is>
      </c>
      <c r="J11435" t="inlineStr">
        <is>
          <t>17/03/2026</t>
        </is>
      </c>
      <c r="K11435" t="inlineStr">
        <is>
          <t>N/A</t>
        </is>
      </c>
      <c r="L11435" t="inlineStr">
        <is>
          <t>Xây Dựng, Bất Động Sản, Thiết Kế Quy Hoạch</t>
        </is>
      </c>
      <c r="M11435" t="inlineStr">
        <is>
          <t>Bonus, Paid Leave, Training</t>
        </is>
      </c>
      <c r="N11435" s="8">
        <f>HYPERLINK("https://www.vietnamworks.com/chuyen-vien-kien-truc-quy-hoach--2023917-jv","Xem chi tiết")</f>
        <v/>
      </c>
    </row>
    <row r="11436">
      <c r="B11436" s="9" t="n">
        <v>11434</v>
      </c>
      <c r="C11436" s="10" t="inlineStr">
        <is>
          <t>Industrial Engineering - Manufacturing Planning</t>
        </is>
      </c>
      <c r="D11436" s="10" t="inlineStr">
        <is>
          <t>Công ty Cổ Phần Draexlmaier Automotive Việt Nam</t>
        </is>
      </c>
      <c r="E11436" s="10" t="inlineStr">
        <is>
          <t>Thương lượng</t>
        </is>
      </c>
      <c r="F11436" s="10" t="inlineStr">
        <is>
          <t>Quảng Nam, Đà Nẵng</t>
        </is>
      </c>
      <c r="G11436" s="10" t="inlineStr">
        <is>
          <t>Nhân viên</t>
        </is>
      </c>
      <c r="H11436" s="10" t="inlineStr">
        <is>
          <t>16/03/2026</t>
        </is>
      </c>
      <c r="I11436" s="10" t="inlineStr">
        <is>
          <t>15/04/2026</t>
        </is>
      </c>
      <c r="J11436" s="10" t="inlineStr">
        <is>
          <t>17/03/2026</t>
        </is>
      </c>
      <c r="K11436" s="10" t="inlineStr">
        <is>
          <t>N/A</t>
        </is>
      </c>
      <c r="L11436" s="10" t="inlineStr">
        <is>
          <t>Capacity Planning, KAIZEN, Lean Manufacturing, Line Balancing, Poka Yoke</t>
        </is>
      </c>
      <c r="M11436" s="10" t="inlineStr">
        <is>
          <t>Bonus, Healthcare Plan, Transportation, Canteen, Others</t>
        </is>
      </c>
      <c r="N11436" s="11">
        <f>HYPERLINK("https://www.vietnamworks.com/industrial-engineering-manufacturing-planning-2023929-jv","Xem chi tiết")</f>
        <v/>
      </c>
      <c r="O11436" s="10" t="n"/>
    </row>
    <row r="11437">
      <c r="B11437" s="7" t="n">
        <v>11435</v>
      </c>
      <c r="C11437" t="inlineStr">
        <is>
          <t>[Hà Nội] Kiến Trúc Sư Giải Pháp (SA)</t>
        </is>
      </c>
      <c r="D11437" t="inlineStr">
        <is>
          <t>Ngân hàng Lộc Phát Việt Nam LPBank</t>
        </is>
      </c>
      <c r="E11437" t="inlineStr">
        <is>
          <t>Thương lượng</t>
        </is>
      </c>
      <c r="F11437" t="inlineStr">
        <is>
          <t>Hà Nội</t>
        </is>
      </c>
      <c r="G11437" t="inlineStr">
        <is>
          <t>Nhân viên</t>
        </is>
      </c>
      <c r="H11437" t="inlineStr">
        <is>
          <t>16/03/2026</t>
        </is>
      </c>
      <c r="I11437" t="inlineStr">
        <is>
          <t>15/04/2026</t>
        </is>
      </c>
      <c r="J11437" t="inlineStr">
        <is>
          <t>17/03/2026</t>
        </is>
      </c>
      <c r="K11437" t="inlineStr">
        <is>
          <t>N/A</t>
        </is>
      </c>
      <c r="L11437" t="inlineStr">
        <is>
          <t>Solution Architecture, Software Architect, Fintech, System Design, Cloud Computing</t>
        </is>
      </c>
      <c r="M11437" t="inlineStr">
        <is>
          <t>Bonus, Laptop, Canteen</t>
        </is>
      </c>
      <c r="N11437" s="8">
        <f>HYPERLINK("https://www.vietnamworks.com/ha-noi-kien-truc-su-giai-phap-sa--2023933-jv","Xem chi tiết")</f>
        <v/>
      </c>
    </row>
    <row r="11438">
      <c r="B11438" s="9" t="n">
        <v>11436</v>
      </c>
      <c r="C11438" s="10" t="inlineStr">
        <is>
          <t xml:space="preserve">IT Administration </t>
        </is>
      </c>
      <c r="D11438" s="10" t="inlineStr">
        <is>
          <t>Public Bank Vietnam Ltd</t>
        </is>
      </c>
      <c r="E11438" s="10" t="inlineStr">
        <is>
          <t>Tới $ 1,500 /tháng</t>
        </is>
      </c>
      <c r="F11438" s="10" t="inlineStr">
        <is>
          <t>Hà Nội</t>
        </is>
      </c>
      <c r="G11438" s="10" t="inlineStr">
        <is>
          <t>Nhân viên</t>
        </is>
      </c>
      <c r="H11438" s="10" t="inlineStr">
        <is>
          <t>16/03/2026</t>
        </is>
      </c>
      <c r="I11438" s="10" t="inlineStr">
        <is>
          <t>15/04/2026</t>
        </is>
      </c>
      <c r="J11438" s="10" t="inlineStr">
        <is>
          <t>17/03/2026</t>
        </is>
      </c>
      <c r="K11438" s="10" t="inlineStr">
        <is>
          <t>N/A</t>
        </is>
      </c>
      <c r="L11438" s="10" t="inlineStr">
        <is>
          <t>IT Governance, IT Risk Management, IT Security, Analytical Skills, IT Administration</t>
        </is>
      </c>
      <c r="M11438" s="10" t="inlineStr">
        <is>
          <t>Bonus, Paid Leave, Training, Team Activities</t>
        </is>
      </c>
      <c r="N11438" s="11">
        <f>HYPERLINK("https://www.vietnamworks.com/it-administration-2023925-jv","Xem chi tiết")</f>
        <v/>
      </c>
      <c r="O11438" s="10" t="n"/>
    </row>
    <row r="11439">
      <c r="B11439" s="7" t="n">
        <v>11437</v>
      </c>
      <c r="C11439" t="inlineStr">
        <is>
          <t>Chubb Life - Giám Sát Thẩm Định (Medical Background)</t>
        </is>
      </c>
      <c r="D11439" t="inlineStr">
        <is>
          <t>Chubb Life Vietnam</t>
        </is>
      </c>
      <c r="E11439" t="inlineStr">
        <is>
          <t>Thương lượng</t>
        </is>
      </c>
      <c r="F11439" t="inlineStr">
        <is>
          <t>Hồ Chí Minh</t>
        </is>
      </c>
      <c r="G11439" t="inlineStr">
        <is>
          <t>Nhân viên</t>
        </is>
      </c>
      <c r="H11439" t="inlineStr">
        <is>
          <t>16/03/2026</t>
        </is>
      </c>
      <c r="I11439" t="inlineStr">
        <is>
          <t>15/04/2026</t>
        </is>
      </c>
      <c r="J11439" t="inlineStr">
        <is>
          <t>17/03/2026</t>
        </is>
      </c>
      <c r="K11439" t="inlineStr">
        <is>
          <t>N/A</t>
        </is>
      </c>
      <c r="L11439" t="inlineStr">
        <is>
          <t>Medical Qualification, Underwriting, English, System Innovation, Thẩm Định</t>
        </is>
      </c>
      <c r="M11439" t="inlineStr">
        <is>
          <t>Healthcare Plan, Paid Leave, Travel Opportunities</t>
        </is>
      </c>
      <c r="N11439" s="8">
        <f>HYPERLINK("https://www.vietnamworks.com/chubb-life-giam-sat-tham-dinh-medical-background--2023935-jv","Xem chi tiết")</f>
        <v/>
      </c>
    </row>
    <row r="11440">
      <c r="B11440" s="9" t="n">
        <v>11438</v>
      </c>
      <c r="C11440" s="10" t="inlineStr">
        <is>
          <t>CVC/CVCC Kiểm Định Mô Hình Rủi Ro (Risk Model Validation) - TNEX - 4B036</t>
        </is>
      </c>
      <c r="D11440" s="10" t="inlineStr">
        <is>
          <t>Tập đoàn ROX (ROX Group)</t>
        </is>
      </c>
      <c r="E11440" s="10" t="inlineStr">
        <is>
          <t>$$ 1,300-1,800 /tháng</t>
        </is>
      </c>
      <c r="F11440" s="10" t="inlineStr">
        <is>
          <t>Hà Nội</t>
        </is>
      </c>
      <c r="G11440" s="10" t="inlineStr">
        <is>
          <t>Nhân viên</t>
        </is>
      </c>
      <c r="H11440" s="10" t="inlineStr">
        <is>
          <t>16/03/2026</t>
        </is>
      </c>
      <c r="I11440" s="10" t="inlineStr">
        <is>
          <t>15/04/2026</t>
        </is>
      </c>
      <c r="J11440" s="10" t="inlineStr">
        <is>
          <t>17/03/2026</t>
        </is>
      </c>
      <c r="K11440" s="10" t="inlineStr">
        <is>
          <t>N/A</t>
        </is>
      </c>
      <c r="L11440" s="10" t="inlineStr">
        <is>
          <t>Xây Dựng Mô Hình, Phân Tích Dữ Liệu, Tư Duy Phản Biện</t>
        </is>
      </c>
      <c r="M11440" s="10" t="inlineStr">
        <is>
          <t>Bonus, Healthcare Plan, Paid Leave</t>
        </is>
      </c>
      <c r="N11440" s="11">
        <f>HYPERLINK("https://www.vietnamworks.com/cvc-cvcc-kiem-dinh-mo-hinh-rui-ro-risk-model-validation-tnex-4b036-2023927-jv","Xem chi tiết")</f>
        <v/>
      </c>
      <c r="O11440" s="10" t="n"/>
    </row>
    <row r="11441">
      <c r="B11441" s="7" t="n">
        <v>11439</v>
      </c>
      <c r="C11441" t="inlineStr">
        <is>
          <t>Deputy Head of Customer Service &amp; Experience</t>
        </is>
      </c>
      <c r="D11441" t="inlineStr">
        <is>
          <t>Công Ty Cổ Phần Công Nghệ Sapo</t>
        </is>
      </c>
      <c r="E11441" t="inlineStr">
        <is>
          <t>Thương lượng</t>
        </is>
      </c>
      <c r="F11441" t="inlineStr">
        <is>
          <t>Hà Nội</t>
        </is>
      </c>
      <c r="G11441" t="inlineStr">
        <is>
          <t>Giám Đốc và Cấp Cao Hơn</t>
        </is>
      </c>
      <c r="H11441" t="inlineStr">
        <is>
          <t>16/03/2026</t>
        </is>
      </c>
      <c r="I11441" t="inlineStr">
        <is>
          <t>15/04/2026</t>
        </is>
      </c>
      <c r="J11441" t="inlineStr">
        <is>
          <t>17/03/2026</t>
        </is>
      </c>
      <c r="K11441" t="inlineStr">
        <is>
          <t>N/A</t>
        </is>
      </c>
      <c r="L11441" t="inlineStr">
        <is>
          <t>Dịch Vụ Khách Hàng, Đàm Phán Khách Hàng, Quản Lý, Kế Hoạch Chiến Lược, CRM</t>
        </is>
      </c>
      <c r="M11441" t="inlineStr">
        <is>
          <t>Healthcare Plan, Paid Leave, Laptop</t>
        </is>
      </c>
      <c r="N11441" s="8">
        <f>HYPERLINK("https://www.vietnamworks.com/deputy-head-of-customer-service-experience-2023936-jv","Xem chi tiết")</f>
        <v/>
      </c>
    </row>
    <row r="11442">
      <c r="B11442" s="9" t="n">
        <v>11440</v>
      </c>
      <c r="C11442" s="10" t="inlineStr">
        <is>
          <t>[VietnamWorks] Nhân Viên Kinh Doanh (B2B)</t>
        </is>
      </c>
      <c r="D11442" s="10" t="inlineStr">
        <is>
          <t>Navigos Group</t>
        </is>
      </c>
      <c r="E11442" s="10" t="inlineStr">
        <is>
          <t>$$ 400-500 /tháng</t>
        </is>
      </c>
      <c r="F11442" s="10" t="inlineStr">
        <is>
          <t>Hà Nội</t>
        </is>
      </c>
      <c r="G11442" s="10" t="inlineStr">
        <is>
          <t>Mới Tốt Nghiệp</t>
        </is>
      </c>
      <c r="H11442" s="10" t="inlineStr">
        <is>
          <t>16/03/2026</t>
        </is>
      </c>
      <c r="I11442" s="10" t="inlineStr">
        <is>
          <t>15/04/2026</t>
        </is>
      </c>
      <c r="J11442" s="10" t="inlineStr">
        <is>
          <t>17/03/2026</t>
        </is>
      </c>
      <c r="K11442" s="10" t="inlineStr">
        <is>
          <t>N/A</t>
        </is>
      </c>
      <c r="L11442" s="10" t="inlineStr">
        <is>
          <t>Giao Tiếp, Bán hàng, MS Office, Tư vấn phần mềm, Telesales</t>
        </is>
      </c>
      <c r="M11442" s="10" t="inlineStr">
        <is>
          <t>Bonus, Paid Leave, Training</t>
        </is>
      </c>
      <c r="N11442" s="11">
        <f>HYPERLINK("https://www.vietnamworks.com/vietnamworks-nhan-vien-kinh-doanh-b2b--2023938-jv","Xem chi tiết")</f>
        <v/>
      </c>
      <c r="O11442" s="10" t="n"/>
    </row>
    <row r="11443">
      <c r="B11443" s="7" t="n">
        <v>11441</v>
      </c>
      <c r="C11443" t="inlineStr">
        <is>
          <t>Senior Embedded Driver Engineer (Posix Os, Linux Kernel, Qnx)</t>
        </is>
      </c>
      <c r="D11443" t="inlineStr">
        <is>
          <t>Bosch Global Software Technologies Company Limited</t>
        </is>
      </c>
      <c r="E11443" t="inlineStr">
        <is>
          <t>Thương lượng</t>
        </is>
      </c>
      <c r="F11443" t="inlineStr">
        <is>
          <t>Hồ Chí Minh</t>
        </is>
      </c>
      <c r="G11443" t="inlineStr">
        <is>
          <t>Nhân viên</t>
        </is>
      </c>
      <c r="H11443" t="inlineStr">
        <is>
          <t>16/03/2026</t>
        </is>
      </c>
      <c r="I11443" t="inlineStr">
        <is>
          <t>15/04/2026</t>
        </is>
      </c>
      <c r="J11443" t="inlineStr">
        <is>
          <t>17/03/2026</t>
        </is>
      </c>
      <c r="K11443" t="inlineStr">
        <is>
          <t>N/A</t>
        </is>
      </c>
      <c r="L11443" t="inlineStr">
        <is>
          <t>QNX, Android, SOC, Embedded</t>
        </is>
      </c>
      <c r="M11443" t="inlineStr">
        <is>
          <t>Bonus, Healthcare Plan, Paid Leave</t>
        </is>
      </c>
      <c r="N11443" s="8">
        <f>HYPERLINK("https://www.vietnamworks.com/senior-embedded-driver-engineer-posix-os-linux-kernel-qnx--2023939-jv","Xem chi tiết")</f>
        <v/>
      </c>
    </row>
    <row r="11444">
      <c r="B11444" s="9" t="n">
        <v>11442</v>
      </c>
      <c r="C11444" s="10" t="inlineStr">
        <is>
          <t>Trade Marketing</t>
        </is>
      </c>
      <c r="D11444" s="10" t="inlineStr">
        <is>
          <t>Công Ty TNHH Davimin</t>
        </is>
      </c>
      <c r="E11444" s="10" t="inlineStr">
        <is>
          <t>Thương lượng</t>
        </is>
      </c>
      <c r="F11444" s="10" t="inlineStr">
        <is>
          <t>Hồ Chí Minh</t>
        </is>
      </c>
      <c r="G11444" s="10" t="inlineStr">
        <is>
          <t>Nhân viên</t>
        </is>
      </c>
      <c r="H11444" s="10" t="inlineStr">
        <is>
          <t>16/03/2026</t>
        </is>
      </c>
      <c r="I11444" s="10" t="inlineStr">
        <is>
          <t>15/04/2026</t>
        </is>
      </c>
      <c r="J11444" s="10" t="inlineStr">
        <is>
          <t>17/03/2026</t>
        </is>
      </c>
      <c r="K11444" s="10" t="inlineStr">
        <is>
          <t>N/A</t>
        </is>
      </c>
      <c r="L11444" s="10" t="inlineStr">
        <is>
          <t>PR, Event Marketing, Kinh Nghiệm Dược Mỹ Phẩm, Marketing, POSM</t>
        </is>
      </c>
      <c r="M11444" s="10" t="inlineStr">
        <is>
          <t>Bonus, Healthcare Plan, Training, Others</t>
        </is>
      </c>
      <c r="N11444" s="11">
        <f>HYPERLINK("https://www.vietnamworks.com/trade-marketing-2023947-jv","Xem chi tiết")</f>
        <v/>
      </c>
      <c r="O11444" s="10" t="n"/>
    </row>
    <row r="11445">
      <c r="B11445" s="7" t="n">
        <v>11443</v>
      </c>
      <c r="C11445" t="inlineStr">
        <is>
          <t>Giám Đốc Kinh Doanh</t>
        </is>
      </c>
      <c r="D11445" t="inlineStr">
        <is>
          <t>Công Ty TNHH Đầu Tư Ứng Dụng Sản Xuất Bao Bì Việt</t>
        </is>
      </c>
      <c r="E11445" t="inlineStr">
        <is>
          <t>60tr-80tr ₫/tháng</t>
        </is>
      </c>
      <c r="F11445" t="inlineStr">
        <is>
          <t>Hưng Yên, Hà Nội</t>
        </is>
      </c>
      <c r="G11445" t="inlineStr">
        <is>
          <t>Giám Đốc và Cấp Cao Hơn</t>
        </is>
      </c>
      <c r="H11445" t="inlineStr">
        <is>
          <t>16/03/2026</t>
        </is>
      </c>
      <c r="I11445" t="inlineStr">
        <is>
          <t>15/04/2026</t>
        </is>
      </c>
      <c r="J11445" t="inlineStr">
        <is>
          <t>17/03/2026</t>
        </is>
      </c>
      <c r="K11445" t="inlineStr">
        <is>
          <t>N/A</t>
        </is>
      </c>
      <c r="L11445" t="inlineStr">
        <is>
          <t>Quản Trị, Tiếng Anh lưu loát, Đàm Phán Thương Thuyết, Chiến Lược Kinh Doanh, Quản Lý Vận Hành</t>
        </is>
      </c>
      <c r="M11445" t="inlineStr">
        <is>
          <t>Transportation, Others</t>
        </is>
      </c>
      <c r="N11445" s="8">
        <f>HYPERLINK("https://www.vietnamworks.com/giam-djoc-kinh-doanh-2023948-jv","Xem chi tiết")</f>
        <v/>
      </c>
    </row>
    <row r="11446">
      <c r="B11446" s="9" t="n">
        <v>11444</v>
      </c>
      <c r="C11446" s="10" t="inlineStr">
        <is>
          <t>[Gấp] Kỹ Sư Thiết Kế Cơ Điện (Điện, Điện Nhẹ, Cấp Thoát Nước, Điều Hoà, PCCC) - Upto 40 triệu</t>
        </is>
      </c>
      <c r="D11446" s="10" t="inlineStr">
        <is>
          <t>Công ty cổ phần cơ điện Himep https://himep.vn/</t>
        </is>
      </c>
      <c r="E11446" s="10" t="inlineStr">
        <is>
          <t>Tới 40tr ₫/tháng</t>
        </is>
      </c>
      <c r="F11446" s="10" t="inlineStr">
        <is>
          <t>Hà Nội</t>
        </is>
      </c>
      <c r="G11446" s="10" t="inlineStr">
        <is>
          <t>Nhân viên</t>
        </is>
      </c>
      <c r="H11446" s="10" t="inlineStr">
        <is>
          <t>16/03/2026</t>
        </is>
      </c>
      <c r="I11446" s="10" t="inlineStr">
        <is>
          <t>15/04/2026</t>
        </is>
      </c>
      <c r="J11446" s="10" t="inlineStr">
        <is>
          <t>17/03/2026</t>
        </is>
      </c>
      <c r="K11446" s="10" t="inlineStr">
        <is>
          <t>N/A</t>
        </is>
      </c>
      <c r="L11446" s="10" t="inlineStr">
        <is>
          <t>AutoCAD, Revit, Technical Design, Thiết Kế Xây Dựng, Đấu Thầu</t>
        </is>
      </c>
      <c r="M11446" s="10" t="inlineStr">
        <is>
          <t>Bonus, Healthcare Plan, Paid Leave, Training, Others</t>
        </is>
      </c>
      <c r="N11446" s="11">
        <f>HYPERLINK("https://www.vietnamworks.com/gap-ky-su-thiet-ke-co-djien-djien-djien-nhe-cap-thoat-nuoc-djieu-hoa-pccc-upto-40-trieu-2023955-jv","Xem chi tiết")</f>
        <v/>
      </c>
      <c r="O11446" s="10" t="n"/>
    </row>
    <row r="11447">
      <c r="B11447" s="7" t="n">
        <v>11445</v>
      </c>
      <c r="C11447" t="inlineStr">
        <is>
          <t>[Tuyển Gấp] Chuyên Viên Phát Triển Dự Án</t>
        </is>
      </c>
      <c r="D11447" t="inlineStr">
        <is>
          <t>Xuân Cầu Holdings</t>
        </is>
      </c>
      <c r="E11447" t="inlineStr">
        <is>
          <t>25tr-35tr ₫/tháng</t>
        </is>
      </c>
      <c r="F11447" t="inlineStr">
        <is>
          <t>Hà Nội</t>
        </is>
      </c>
      <c r="G11447" t="inlineStr">
        <is>
          <t>Nhân viên</t>
        </is>
      </c>
      <c r="H11447" t="inlineStr">
        <is>
          <t>16/03/2026</t>
        </is>
      </c>
      <c r="I11447" t="inlineStr">
        <is>
          <t>15/04/2026</t>
        </is>
      </c>
      <c r="J11447" t="inlineStr">
        <is>
          <t>17/03/2026</t>
        </is>
      </c>
      <c r="K11447" t="inlineStr">
        <is>
          <t>N/A</t>
        </is>
      </c>
      <c r="L11447" t="inlineStr">
        <is>
          <t>Luật, Phát Triển Dự Án, Pháp Lý Dự Án Đầu Tư, Bất Động Sản Công Nghiệp, Luật Đầu Tư</t>
        </is>
      </c>
      <c r="M11447" t="inlineStr">
        <is>
          <t>Bonus, Healthcare Plan, Paid Leave</t>
        </is>
      </c>
      <c r="N11447" s="8">
        <f>HYPERLINK("https://www.vietnamworks.com/tuyen-gap-chuyen-vien-phat-trien-du-an-2023945-jv","Xem chi tiết")</f>
        <v/>
      </c>
    </row>
    <row r="11448">
      <c r="B11448" s="9" t="n">
        <v>11446</v>
      </c>
      <c r="C11448" s="10" t="inlineStr">
        <is>
          <t>Chuyên Viên Cao Cấp Quản Trị Rủi Ro Hoạt Động</t>
        </is>
      </c>
      <c r="D11448" s="10" t="inlineStr">
        <is>
          <t>Techcom Securities (Tcbs)</t>
        </is>
      </c>
      <c r="E11448" s="10" t="inlineStr">
        <is>
          <t>$$ 700-1,500 /tháng</t>
        </is>
      </c>
      <c r="F11448" s="10" t="inlineStr">
        <is>
          <t>Hà Nội</t>
        </is>
      </c>
      <c r="G11448" s="10" t="inlineStr">
        <is>
          <t>Nhân viên</t>
        </is>
      </c>
      <c r="H11448" s="10" t="inlineStr">
        <is>
          <t>16/03/2026</t>
        </is>
      </c>
      <c r="I11448" s="10" t="inlineStr">
        <is>
          <t>15/04/2026</t>
        </is>
      </c>
      <c r="J11448" s="10" t="inlineStr">
        <is>
          <t>17/03/2026</t>
        </is>
      </c>
      <c r="K11448" s="10" t="inlineStr">
        <is>
          <t>N/A</t>
        </is>
      </c>
      <c r="L11448" s="10" t="inlineStr">
        <is>
          <t>Kiểm Toán Nội Bộ, Phân Tích Tài Chính, Phát Triển Sản Phẩm, Quản Trị Rủi Ro Hoạt Động, Quản Trị Hoạt Động</t>
        </is>
      </c>
      <c r="M11448" s="10" t="inlineStr">
        <is>
          <t>Bonus, Healthcare Plan, Travel Opportunities</t>
        </is>
      </c>
      <c r="N11448" s="11">
        <f>HYPERLINK("https://www.vietnamworks.com/chuyen-vien-cao-cap-quan-tri-rui-ro-hoat-djong-2023960-jv","Xem chi tiết")</f>
        <v/>
      </c>
      <c r="O11448" s="10" t="n"/>
    </row>
    <row r="11449">
      <c r="B11449" s="7" t="n">
        <v>11447</v>
      </c>
      <c r="C11449" t="inlineStr">
        <is>
          <t>Ordering Coordinator - Nhân Viên Điều Phối Mua Hàng</t>
        </is>
      </c>
      <c r="D11449" t="inlineStr">
        <is>
          <t>Công ty TNHH Aden Services (Việt Nam)</t>
        </is>
      </c>
      <c r="E11449" t="inlineStr">
        <is>
          <t>Thương lượng</t>
        </is>
      </c>
      <c r="F11449" t="inlineStr">
        <is>
          <t>Hồ Chí Minh</t>
        </is>
      </c>
      <c r="G11449" t="inlineStr">
        <is>
          <t>Nhân viên</t>
        </is>
      </c>
      <c r="H11449" t="inlineStr">
        <is>
          <t>16/03/2026</t>
        </is>
      </c>
      <c r="I11449" t="inlineStr">
        <is>
          <t>15/04/2026</t>
        </is>
      </c>
      <c r="J11449" t="inlineStr">
        <is>
          <t>17/03/2026</t>
        </is>
      </c>
      <c r="K11449" t="inlineStr">
        <is>
          <t>N/A</t>
        </is>
      </c>
      <c r="L11449" t="inlineStr">
        <is>
          <t>Communication, Coordinating, Logistics, Microsoft Office, Procurement</t>
        </is>
      </c>
      <c r="M11449" t="inlineStr">
        <is>
          <t>Training, Others</t>
        </is>
      </c>
      <c r="N11449" s="8">
        <f>HYPERLINK("https://www.vietnamworks.com/ordering-coordinator-nhan-vien-djieu-phoi-mua-hang-2023942-jv","Xem chi tiết")</f>
        <v/>
      </c>
    </row>
    <row r="11450">
      <c r="B11450" s="9" t="n">
        <v>11448</v>
      </c>
      <c r="C11450" s="10" t="inlineStr">
        <is>
          <t>Kế Toán Tổng Hợp</t>
        </is>
      </c>
      <c r="D11450" s="10" t="inlineStr">
        <is>
          <t>CÔNG TY CỔ PHẦN DỊCH VỤ VÀ TƯ VẤN ĐẦU TƯ IFAMI</t>
        </is>
      </c>
      <c r="E11450" s="10" t="inlineStr">
        <is>
          <t>12tr-18tr ₫/tháng</t>
        </is>
      </c>
      <c r="F11450" s="10" t="inlineStr">
        <is>
          <t>Hà Nội</t>
        </is>
      </c>
      <c r="G11450" s="10" t="inlineStr">
        <is>
          <t>Nhân viên</t>
        </is>
      </c>
      <c r="H11450" s="10" t="inlineStr">
        <is>
          <t>16/03/2026</t>
        </is>
      </c>
      <c r="I11450" s="10" t="inlineStr">
        <is>
          <t>15/04/2026</t>
        </is>
      </c>
      <c r="J11450" s="10" t="inlineStr">
        <is>
          <t>17/03/2026</t>
        </is>
      </c>
      <c r="K11450" s="10" t="inlineStr">
        <is>
          <t>N/A</t>
        </is>
      </c>
      <c r="L11450" s="10" t="inlineStr">
        <is>
          <t>Kế Toán Tổng Hợp, Phần mềm kế toán Misa, Word, Excel, Quản Lý Thời Gian</t>
        </is>
      </c>
      <c r="M11450" s="10" t="inlineStr">
        <is>
          <t>Bonus, Healthcare Plan, Paid Leave, Travel Opportunities, Others</t>
        </is>
      </c>
      <c r="N11450" s="11">
        <f>HYPERLINK("https://www.vietnamworks.com/ke-toan-tong-hop-2023946-jv","Xem chi tiết")</f>
        <v/>
      </c>
      <c r="O11450" s="10" t="n"/>
    </row>
    <row r="11451">
      <c r="B11451" s="7" t="n">
        <v>11449</v>
      </c>
      <c r="C11451" t="inlineStr">
        <is>
          <t>Trợ Lý Kỹ Thuật</t>
        </is>
      </c>
      <c r="D11451" t="inlineStr">
        <is>
          <t>Công Ty TNHH Sanden Intercool (Việt Nam)</t>
        </is>
      </c>
      <c r="E11451" t="inlineStr">
        <is>
          <t>10tr-14tr ₫/tháng</t>
        </is>
      </c>
      <c r="F11451" t="inlineStr">
        <is>
          <t>Hồ Chí Minh</t>
        </is>
      </c>
      <c r="G11451" t="inlineStr">
        <is>
          <t>Nhân viên</t>
        </is>
      </c>
      <c r="H11451" t="inlineStr">
        <is>
          <t>16/03/2026</t>
        </is>
      </c>
      <c r="I11451" t="inlineStr">
        <is>
          <t>15/04/2026</t>
        </is>
      </c>
      <c r="J11451" t="inlineStr">
        <is>
          <t>17/03/2026</t>
        </is>
      </c>
      <c r="K11451" t="inlineStr">
        <is>
          <t>N/A</t>
        </is>
      </c>
      <c r="L11451" t="inlineStr">
        <is>
          <t>Technical Support, Kỹ Thuật, Bảo Trì, AutoCAD, Tồn Kho Vật Tư</t>
        </is>
      </c>
      <c r="M11451" t="inlineStr">
        <is>
          <t>Bonus, Healthcare Plan, Training</t>
        </is>
      </c>
      <c r="N11451" s="8">
        <f>HYPERLINK("https://www.vietnamworks.com/tro-ly-ky-thuat--2023954-jv","Xem chi tiết")</f>
        <v/>
      </c>
    </row>
    <row r="11452">
      <c r="B11452" s="9" t="n">
        <v>11450</v>
      </c>
      <c r="C11452" s="10" t="inlineStr">
        <is>
          <t>Senior Technical Project Manager - Automotive Chiplet Software</t>
        </is>
      </c>
      <c r="D11452" s="10" t="inlineStr">
        <is>
          <t>Bosch Global Software Technologies Company Limited</t>
        </is>
      </c>
      <c r="E11452" s="10" t="inlineStr">
        <is>
          <t>Thương lượng</t>
        </is>
      </c>
      <c r="F11452" s="10" t="inlineStr">
        <is>
          <t>Hồ Chí Minh</t>
        </is>
      </c>
      <c r="G11452" s="10" t="inlineStr">
        <is>
          <t>Trưởng phòng</t>
        </is>
      </c>
      <c r="H11452" s="10" t="inlineStr">
        <is>
          <t>16/03/2026</t>
        </is>
      </c>
      <c r="I11452" s="10" t="inlineStr">
        <is>
          <t>15/04/2026</t>
        </is>
      </c>
      <c r="J11452" s="10" t="inlineStr">
        <is>
          <t>17/03/2026</t>
        </is>
      </c>
      <c r="K11452" s="10" t="inlineStr">
        <is>
          <t>N/A</t>
        </is>
      </c>
      <c r="L11452" s="10" t="inlineStr">
        <is>
          <t>SOC, ARM, QNX, Project Management</t>
        </is>
      </c>
      <c r="M11452" s="10" t="inlineStr">
        <is>
          <t>Bonus, Healthcare Plan, Paid Leave</t>
        </is>
      </c>
      <c r="N11452" s="11">
        <f>HYPERLINK("https://www.vietnamworks.com/senior-technical-project-manager-automotive-chiplet-software--2023940-jv","Xem chi tiết")</f>
        <v/>
      </c>
      <c r="O11452" s="10" t="n"/>
    </row>
    <row r="11453">
      <c r="B11453" s="7" t="n">
        <v>11451</v>
      </c>
      <c r="C11453" t="inlineStr">
        <is>
          <t>[Hà Nội] CV Kế Hoạch Chiến Lược và Chuyển Đổi Số (AI/ Big Data/ Công Nghệ)</t>
        </is>
      </c>
      <c r="D11453" t="inlineStr">
        <is>
          <t>Ngân hàng Lộc Phát Việt Nam LPBank</t>
        </is>
      </c>
      <c r="E11453" t="inlineStr">
        <is>
          <t>Thương lượng</t>
        </is>
      </c>
      <c r="F11453" t="inlineStr">
        <is>
          <t>Hà Nội</t>
        </is>
      </c>
      <c r="G11453" t="inlineStr">
        <is>
          <t>Nhân viên</t>
        </is>
      </c>
      <c r="H11453" t="inlineStr">
        <is>
          <t>16/03/2026</t>
        </is>
      </c>
      <c r="I11453" t="inlineStr">
        <is>
          <t>15/04/2026</t>
        </is>
      </c>
      <c r="J11453" t="inlineStr">
        <is>
          <t>17/03/2026</t>
        </is>
      </c>
      <c r="K11453" t="inlineStr">
        <is>
          <t>N/A</t>
        </is>
      </c>
      <c r="L11453" t="inlineStr">
        <is>
          <t>Fintech, Mlops, Python, Generative AI</t>
        </is>
      </c>
      <c r="M11453" t="inlineStr">
        <is>
          <t>Bonus, Laptop, Canteen</t>
        </is>
      </c>
      <c r="N11453" s="8">
        <f>HYPERLINK("https://www.vietnamworks.com/ha-noi-cv-ke-hoach-chien-luoc-va-chuyen-doi-so-ai-big-data-cong-nghe--2023943-jv","Xem chi tiết")</f>
        <v/>
      </c>
    </row>
    <row r="11454">
      <c r="B11454" s="9" t="n">
        <v>11452</v>
      </c>
      <c r="C11454" s="10" t="inlineStr">
        <is>
          <t>Trưởng Phòng Kỹ Thuật Cơ Điện</t>
        </is>
      </c>
      <c r="D11454" s="10" t="inlineStr">
        <is>
          <t>Công Ty TNHH Thương Mại Tín Dân</t>
        </is>
      </c>
      <c r="E11454" s="10" t="inlineStr">
        <is>
          <t>20tr-25tr ₫/tháng</t>
        </is>
      </c>
      <c r="F11454" s="10" t="inlineStr">
        <is>
          <t>Hồ Chí Minh</t>
        </is>
      </c>
      <c r="G11454" s="10" t="inlineStr">
        <is>
          <t>Trưởng phòng</t>
        </is>
      </c>
      <c r="H11454" s="10" t="inlineStr">
        <is>
          <t>16/03/2026</t>
        </is>
      </c>
      <c r="I11454" s="10" t="inlineStr">
        <is>
          <t>15/04/2026</t>
        </is>
      </c>
      <c r="J11454" s="10" t="inlineStr">
        <is>
          <t>17/03/2026</t>
        </is>
      </c>
      <c r="K11454" s="10" t="inlineStr">
        <is>
          <t>N/A</t>
        </is>
      </c>
      <c r="L11454" s="10" t="inlineStr">
        <is>
          <t>Quản Lý Kỹ Thuật, Tự Động Hóa, Cơ Khí Chế Tạo, Phần Mềm Thiết Kế 3D, Kỹ năng giao tiêp</t>
        </is>
      </c>
      <c r="M11454" s="10" t="inlineStr">
        <is>
          <t>Bonus, Healthcare Plan, Paid Leave, Training, Team Activities, Others</t>
        </is>
      </c>
      <c r="N11454" s="11">
        <f>HYPERLINK("https://www.vietnamworks.com/truong-phong-ky-thuat-co-djien-2023951-jv","Xem chi tiết")</f>
        <v/>
      </c>
      <c r="O11454" s="10" t="n"/>
    </row>
    <row r="11455">
      <c r="B11455" s="7" t="n">
        <v>11453</v>
      </c>
      <c r="C11455" t="inlineStr">
        <is>
          <t>Retail Design Executive (Triển Khai Hệ Thống Cửa Hàng)</t>
        </is>
      </c>
      <c r="D11455" t="inlineStr">
        <is>
          <t>CÔNG TY TNHH JOMOO KITCHEN &amp; BATH VIỆT NAM</t>
        </is>
      </c>
      <c r="E11455" t="inlineStr">
        <is>
          <t>Thương lượng</t>
        </is>
      </c>
      <c r="F11455" t="inlineStr">
        <is>
          <t>Hà Nội, Hồ Chí Minh</t>
        </is>
      </c>
      <c r="G11455" t="inlineStr">
        <is>
          <t>Nhân viên</t>
        </is>
      </c>
      <c r="H11455" t="inlineStr">
        <is>
          <t>16/03/2026</t>
        </is>
      </c>
      <c r="I11455" t="inlineStr">
        <is>
          <t>15/04/2026</t>
        </is>
      </c>
      <c r="J11455" t="inlineStr">
        <is>
          <t>17/03/2026</t>
        </is>
      </c>
      <c r="K11455" t="inlineStr">
        <is>
          <t>N/A</t>
        </is>
      </c>
      <c r="L11455" t="inlineStr">
        <is>
          <t>AutoCAD, 3DSMAX, Sketchup, Nội Thất, Thiết Kế Đồ Họa</t>
        </is>
      </c>
      <c r="M11455" t="inlineStr">
        <is>
          <t>Bonus, Healthcare Plan, Paid Leave</t>
        </is>
      </c>
      <c r="N11455" s="8">
        <f>HYPERLINK("https://www.vietnamworks.com/retail-design-executive-trien-khai-he-thong-cua-hang-2023958-jv","Xem chi tiết")</f>
        <v/>
      </c>
    </row>
    <row r="11456">
      <c r="B11456" s="9" t="n">
        <v>11454</v>
      </c>
      <c r="C11456" s="10" t="inlineStr">
        <is>
          <t>Kế Toán Trưởng (Công Ty Thuộc Hệ Sinh Thái Tcbs)</t>
        </is>
      </c>
      <c r="D11456" s="10" t="inlineStr">
        <is>
          <t>Techcom Securities (Tcbs)</t>
        </is>
      </c>
      <c r="E11456" s="10" t="inlineStr">
        <is>
          <t>Thương lượng</t>
        </is>
      </c>
      <c r="F11456" s="10" t="inlineStr">
        <is>
          <t>Hà Nội</t>
        </is>
      </c>
      <c r="G11456" s="10" t="inlineStr">
        <is>
          <t>Trưởng phòng</t>
        </is>
      </c>
      <c r="H11456" s="10" t="inlineStr">
        <is>
          <t>16/03/2026</t>
        </is>
      </c>
      <c r="I11456" s="10" t="inlineStr">
        <is>
          <t>15/04/2026</t>
        </is>
      </c>
      <c r="J11456" s="10" t="inlineStr">
        <is>
          <t>17/03/2026</t>
        </is>
      </c>
      <c r="K11456" s="10" t="inlineStr">
        <is>
          <t>N/A</t>
        </is>
      </c>
      <c r="L11456" s="10" t="inlineStr">
        <is>
          <t>Kế Toán Trưởng, Quản lý hoạt động kế toán, Chứng Khoán Kiểm Toán, Tài Chính Ngân Hàng Chứng Khoán, Accounting &amp; Auditing</t>
        </is>
      </c>
      <c r="M11456" s="10" t="inlineStr">
        <is>
          <t>Others</t>
        </is>
      </c>
      <c r="N11456" s="11">
        <f>HYPERLINK("https://www.vietnamworks.com/ke-toan-truong-cong-ty-thuoc-he-sinh-thai-tcbs-2023957-jv","Xem chi tiết")</f>
        <v/>
      </c>
      <c r="O11456" s="10" t="n"/>
    </row>
    <row r="11457">
      <c r="B11457" s="7" t="n">
        <v>11455</v>
      </c>
      <c r="C11457" t="inlineStr">
        <is>
          <t>Digital Marketing - Thu Nhập Upto 15Tr/ Tháng</t>
        </is>
      </c>
      <c r="D11457" t="inlineStr">
        <is>
          <t>Công Ty CP Đầu Tư Và Phát Triển TM Tân Thời Đại</t>
        </is>
      </c>
      <c r="E11457" t="inlineStr">
        <is>
          <t>13tr-15tr ₫/tháng</t>
        </is>
      </c>
      <c r="F11457" t="inlineStr">
        <is>
          <t>Hà Nội</t>
        </is>
      </c>
      <c r="G11457" t="inlineStr">
        <is>
          <t>Nhân viên</t>
        </is>
      </c>
      <c r="H11457" t="inlineStr">
        <is>
          <t>16/03/2026</t>
        </is>
      </c>
      <c r="I11457" t="inlineStr">
        <is>
          <t>15/04/2026</t>
        </is>
      </c>
      <c r="J11457" t="inlineStr">
        <is>
          <t>17/03/2026</t>
        </is>
      </c>
      <c r="K11457" t="inlineStr">
        <is>
          <t>N/A</t>
        </is>
      </c>
      <c r="L11457" t="inlineStr">
        <is>
          <t>Quay Dựng Video, Adobe Premiere, After Effects, Capcut PC</t>
        </is>
      </c>
      <c r="M11457" t="inlineStr">
        <is>
          <t>Bonus, Training, Team Activities, Others</t>
        </is>
      </c>
      <c r="N11457" s="8">
        <f>HYPERLINK("https://www.vietnamworks.com/digital-marketing-thu-nhap-upto-15tr-thang-2023941-jv","Xem chi tiết")</f>
        <v/>
      </c>
    </row>
    <row r="11458">
      <c r="B11458" s="9" t="n">
        <v>11456</v>
      </c>
      <c r="C11458" s="10" t="inlineStr">
        <is>
          <t>Senior Full-Stack IoT Engineer</t>
        </is>
      </c>
      <c r="D11458" s="10" t="inlineStr">
        <is>
          <t>MINIT CHARGER L.L.C.</t>
        </is>
      </c>
      <c r="E11458" s="10" t="inlineStr">
        <is>
          <t>Thương lượng</t>
        </is>
      </c>
      <c r="F11458" s="10" t="inlineStr">
        <is>
          <t>Hồ Chí Minh</t>
        </is>
      </c>
      <c r="G11458" s="10" t="inlineStr">
        <is>
          <t>Mới Tốt Nghiệp</t>
        </is>
      </c>
      <c r="H11458" s="10" t="inlineStr">
        <is>
          <t>16/03/2026</t>
        </is>
      </c>
      <c r="I11458" s="10" t="inlineStr">
        <is>
          <t>15/04/2026</t>
        </is>
      </c>
      <c r="J11458" s="10" t="inlineStr">
        <is>
          <t>17/03/2026</t>
        </is>
      </c>
      <c r="K11458" s="10" t="inlineStr">
        <is>
          <t>N/A</t>
        </is>
      </c>
      <c r="L11458" s="10" t="inlineStr">
        <is>
          <t>Full Stack Development, Node.js, Data Management, IoT, SQL</t>
        </is>
      </c>
      <c r="M11458" s="10" t="inlineStr">
        <is>
          <t>Bonus</t>
        </is>
      </c>
      <c r="N11458" s="11">
        <f>HYPERLINK("https://www.vietnamworks.com/senior-full-stack-iot-engineer-2023949-jv","Xem chi tiết")</f>
        <v/>
      </c>
      <c r="O11458" s="10" t="n"/>
    </row>
    <row r="11459">
      <c r="B11459" s="7" t="n">
        <v>11457</v>
      </c>
      <c r="C11459" t="inlineStr">
        <is>
          <t>[Hà Nội] Phát Triển Ứng Dụng</t>
        </is>
      </c>
      <c r="D11459" t="inlineStr">
        <is>
          <t>Ngân hàng Lộc Phát Việt Nam LPBank</t>
        </is>
      </c>
      <c r="E11459" t="inlineStr">
        <is>
          <t>Thương lượng</t>
        </is>
      </c>
      <c r="F11459" t="inlineStr">
        <is>
          <t>Hà Nội</t>
        </is>
      </c>
      <c r="G11459" t="inlineStr">
        <is>
          <t>Nhân viên</t>
        </is>
      </c>
      <c r="H11459" t="inlineStr">
        <is>
          <t>16/03/2026</t>
        </is>
      </c>
      <c r="I11459" t="inlineStr">
        <is>
          <t>15/04/2026</t>
        </is>
      </c>
      <c r="J11459" t="inlineStr">
        <is>
          <t>17/03/2026</t>
        </is>
      </c>
      <c r="K11459" t="inlineStr">
        <is>
          <t>N/A</t>
        </is>
      </c>
      <c r="L11459" t="inlineStr">
        <is>
          <t>Oracle, Java, PLSQL, Online Payment, Thanh Toán Điện Tử</t>
        </is>
      </c>
      <c r="M11459" t="inlineStr">
        <is>
          <t>Bonus, Laptop, Canteen</t>
        </is>
      </c>
      <c r="N11459" s="8">
        <f>HYPERLINK("https://www.vietnamworks.com/ha-noi-phat-trien-ung-dung--2023952-jv","Xem chi tiết")</f>
        <v/>
      </c>
    </row>
    <row r="11460">
      <c r="B11460" s="9" t="n">
        <v>11458</v>
      </c>
      <c r="C11460" s="10" t="inlineStr">
        <is>
          <t>Vietnamworks_Tìm Kiếm Chuyên Viên Tư Vấn Dịch Vụ Tuyển Dụng</t>
        </is>
      </c>
      <c r="D11460" s="10" t="inlineStr">
        <is>
          <t>Navigos Group</t>
        </is>
      </c>
      <c r="E11460" s="10" t="inlineStr">
        <is>
          <t>Từ $ 400 /tháng</t>
        </is>
      </c>
      <c r="F11460" s="10" t="inlineStr">
        <is>
          <t>Hà Nội</t>
        </is>
      </c>
      <c r="G11460" s="10" t="inlineStr">
        <is>
          <t>Nhân viên</t>
        </is>
      </c>
      <c r="H11460" s="10" t="inlineStr">
        <is>
          <t>16/03/2026</t>
        </is>
      </c>
      <c r="I11460" s="10" t="inlineStr">
        <is>
          <t>15/04/2026</t>
        </is>
      </c>
      <c r="J11460" s="10" t="inlineStr">
        <is>
          <t>17/03/2026</t>
        </is>
      </c>
      <c r="K11460" s="10" t="inlineStr">
        <is>
          <t>N/A</t>
        </is>
      </c>
      <c r="L11460" s="10" t="inlineStr">
        <is>
          <t>Sales, Telesales, Consulting, Business Development, Bán hàng</t>
        </is>
      </c>
      <c r="M11460" s="10" t="inlineStr">
        <is>
          <t>Bonus, Paid Leave, Training</t>
        </is>
      </c>
      <c r="N11460" s="11">
        <f>HYPERLINK("https://www.vietnamworks.com/vietnamworks-tim-kiem-chuyen-vien-tu-van-dich-vu-tuyen-dung--2023961-jv","Xem chi tiết")</f>
        <v/>
      </c>
      <c r="O11460" s="10" t="n"/>
    </row>
    <row r="11461">
      <c r="B11461" s="7" t="n">
        <v>11459</v>
      </c>
      <c r="C11461" t="inlineStr">
        <is>
          <t>[HN] Nhân Viên Kinh Doanh B2B | Data Khách Hàng Có Sẵn</t>
        </is>
      </c>
      <c r="D11461" t="inlineStr">
        <is>
          <t>Navigos Group</t>
        </is>
      </c>
      <c r="E11461" t="inlineStr">
        <is>
          <t>Từ $ 400 /tháng</t>
        </is>
      </c>
      <c r="F11461" t="inlineStr">
        <is>
          <t>Hà Nội</t>
        </is>
      </c>
      <c r="G11461" t="inlineStr">
        <is>
          <t>Mới Tốt Nghiệp</t>
        </is>
      </c>
      <c r="H11461" t="inlineStr">
        <is>
          <t>16/03/2026</t>
        </is>
      </c>
      <c r="I11461" t="inlineStr">
        <is>
          <t>15/04/2026</t>
        </is>
      </c>
      <c r="J11461" t="inlineStr">
        <is>
          <t>17/03/2026</t>
        </is>
      </c>
      <c r="K11461" t="inlineStr">
        <is>
          <t>N/A</t>
        </is>
      </c>
      <c r="L11461" t="inlineStr">
        <is>
          <t>B2B Sales, Bán hàng, Tư Vấn, B2C Sales, Telesales</t>
        </is>
      </c>
      <c r="M11461" t="inlineStr">
        <is>
          <t>Healthcare Plan, Paid Leave, Travel Opportunities</t>
        </is>
      </c>
      <c r="N11461" s="8">
        <f>HYPERLINK("https://www.vietnamworks.com/hn-nhan-vien-kinh-doanh-b2b-data-khach-hang-co-san--2023969-jv","Xem chi tiết")</f>
        <v/>
      </c>
    </row>
    <row r="11462">
      <c r="B11462" s="9" t="n">
        <v>11460</v>
      </c>
      <c r="C11462" s="10" t="inlineStr">
        <is>
          <t>Kỹ Sư Kỹ Thuật Thang Máy</t>
        </is>
      </c>
      <c r="D11462" s="10" t="inlineStr">
        <is>
          <t>Aon Vina Ltd,. Co</t>
        </is>
      </c>
      <c r="E11462" s="10" t="inlineStr">
        <is>
          <t>Thương lượng</t>
        </is>
      </c>
      <c r="F11462" s="10" t="inlineStr">
        <is>
          <t>Hà Nội</t>
        </is>
      </c>
      <c r="G11462" s="10" t="inlineStr">
        <is>
          <t>Nhân viên</t>
        </is>
      </c>
      <c r="H11462" s="10" t="inlineStr">
        <is>
          <t>16/03/2026</t>
        </is>
      </c>
      <c r="I11462" s="10" t="inlineStr">
        <is>
          <t>15/04/2026</t>
        </is>
      </c>
      <c r="J11462" s="10" t="inlineStr">
        <is>
          <t>17/03/2026</t>
        </is>
      </c>
      <c r="K11462" s="10" t="inlineStr">
        <is>
          <t>N/A</t>
        </is>
      </c>
      <c r="L11462" s="10" t="inlineStr">
        <is>
          <t>Tư Vấn Thang Máy, Bảo Trì Kỹ Thuật, Xử Lý Sự Cố, Xử Lý Tình Huống, Làm việc kỷ luật</t>
        </is>
      </c>
      <c r="M11462" s="10" t="inlineStr">
        <is>
          <t>Bonus, Healthcare Plan, Canteen, Others</t>
        </is>
      </c>
      <c r="N11462" s="11">
        <f>HYPERLINK("https://www.vietnamworks.com/ky-su-ky-thuat-thang-may-2023974-jv","Xem chi tiết")</f>
        <v/>
      </c>
      <c r="O11462" s="10" t="n"/>
    </row>
    <row r="11463">
      <c r="B11463" s="7" t="n">
        <v>11461</v>
      </c>
      <c r="C11463" t="inlineStr">
        <is>
          <t>Buyer/sourcing (Beauty &amp; Personal Care)</t>
        </is>
      </c>
      <c r="D11463" t="inlineStr">
        <is>
          <t>Công Ty Cổ Phần Metub Việt Nam</t>
        </is>
      </c>
      <c r="E11463" t="inlineStr">
        <is>
          <t>Thương lượng</t>
        </is>
      </c>
      <c r="F11463" t="inlineStr">
        <is>
          <t>Hồ Chí Minh</t>
        </is>
      </c>
      <c r="G11463" t="inlineStr">
        <is>
          <t>Nhân viên</t>
        </is>
      </c>
      <c r="H11463" t="inlineStr">
        <is>
          <t>16/03/2026</t>
        </is>
      </c>
      <c r="I11463" t="inlineStr">
        <is>
          <t>15/04/2026</t>
        </is>
      </c>
      <c r="J11463" t="inlineStr">
        <is>
          <t>17/03/2026</t>
        </is>
      </c>
      <c r="K11463" t="inlineStr">
        <is>
          <t>N/A</t>
        </is>
      </c>
      <c r="L11463" t="inlineStr">
        <is>
          <t>Negotiate, Sourcing, Chinese</t>
        </is>
      </c>
      <c r="M11463" t="inlineStr">
        <is>
          <t>Bonus, Others</t>
        </is>
      </c>
      <c r="N11463" s="8">
        <f>HYPERLINK("https://www.vietnamworks.com/buyer-sourcing-beauty-personal-care-2023972-jv","Xem chi tiết")</f>
        <v/>
      </c>
    </row>
    <row r="11464">
      <c r="B11464" s="9" t="n">
        <v>11462</v>
      </c>
      <c r="C11464" s="10" t="inlineStr">
        <is>
          <t>Giảng Viên Công Nghệ Thông Tin</t>
        </is>
      </c>
      <c r="D11464" s="10" t="inlineStr">
        <is>
          <t>Trường Đại Học Nguyễn Tất Thành</t>
        </is>
      </c>
      <c r="E11464" s="10" t="inlineStr">
        <is>
          <t>Thương lượng</t>
        </is>
      </c>
      <c r="F11464" s="10" t="inlineStr">
        <is>
          <t>Hồ Chí Minh</t>
        </is>
      </c>
      <c r="G11464" s="10" t="inlineStr">
        <is>
          <t>Nhân viên</t>
        </is>
      </c>
      <c r="H11464" s="10" t="inlineStr">
        <is>
          <t>16/03/2026</t>
        </is>
      </c>
      <c r="I11464" s="10" t="inlineStr">
        <is>
          <t>15/04/2026</t>
        </is>
      </c>
      <c r="J11464" s="10" t="inlineStr">
        <is>
          <t>17/03/2026</t>
        </is>
      </c>
      <c r="K11464" s="10" t="inlineStr">
        <is>
          <t>N/A</t>
        </is>
      </c>
      <c r="L11464" s="10" t="inlineStr">
        <is>
          <t>Giảng Dạy, Công Nghệ Thông Tin, Nghiên Cứu Khoa Học, Khoa Học Máy Tính, Kỹ Thuật Phần Mềm</t>
        </is>
      </c>
      <c r="M11464" s="10" t="inlineStr">
        <is>
          <t>Bonus, Healthcare Plan, Training</t>
        </is>
      </c>
      <c r="N11464" s="11">
        <f>HYPERLINK("https://www.vietnamworks.com/giang-vien-cong-nghe-thong-tin-18-1-1-1-1-1-2-1-1--2023988-jv","Xem chi tiết")</f>
        <v/>
      </c>
      <c r="O11464" s="10" t="n"/>
    </row>
    <row r="11465">
      <c r="B11465" s="7" t="n">
        <v>11463</v>
      </c>
      <c r="C11465" t="inlineStr">
        <is>
          <t>Chuyên Viên C&amp;B Tổng Hợp</t>
        </is>
      </c>
      <c r="D11465" t="inlineStr">
        <is>
          <t>Công Ty Cổ Phần Tập Đoàn Amdi</t>
        </is>
      </c>
      <c r="E11465" t="inlineStr">
        <is>
          <t>Thương lượng</t>
        </is>
      </c>
      <c r="F11465" t="inlineStr">
        <is>
          <t>Hà Nội</t>
        </is>
      </c>
      <c r="G11465" t="inlineStr">
        <is>
          <t>Nhân viên</t>
        </is>
      </c>
      <c r="H11465" t="inlineStr">
        <is>
          <t>16/03/2026</t>
        </is>
      </c>
      <c r="I11465" t="inlineStr">
        <is>
          <t>15/04/2026</t>
        </is>
      </c>
      <c r="J11465" t="inlineStr">
        <is>
          <t>17/03/2026</t>
        </is>
      </c>
      <c r="K11465" t="inlineStr">
        <is>
          <t>N/A</t>
        </is>
      </c>
      <c r="L11465" t="inlineStr">
        <is>
          <t>Am hiểu Luật lao động, Payroll Management, Quản Lý Bảo Hiểm, Quản Lý Hợp Đồng Lao Động, Quản Lý Tiền Lương</t>
        </is>
      </c>
      <c r="M11465" t="inlineStr">
        <is>
          <t>Bonus, Healthcare Plan, Team Activities, Others</t>
        </is>
      </c>
      <c r="N11465" s="8">
        <f>HYPERLINK("https://www.vietnamworks.com/chuyen-vien-candb-tong-hop-2023978-jv","Xem chi tiết")</f>
        <v/>
      </c>
    </row>
    <row r="11466">
      <c r="B11466" s="9" t="n">
        <v>11464</v>
      </c>
      <c r="C11466" s="10" t="inlineStr">
        <is>
          <t>Nhân Viên Kinh Doanh B2B (Ngành Y Tế &amp; Chăm Sóc Sức Khoẻ)</t>
        </is>
      </c>
      <c r="D11466" s="10" t="inlineStr">
        <is>
          <t>Công Ty CP Công Nghệ Và Thiết Bị Việt Mỹ</t>
        </is>
      </c>
      <c r="E11466" s="10" t="inlineStr">
        <is>
          <t>10tr-25tr ₫/tháng</t>
        </is>
      </c>
      <c r="F11466" s="10" t="inlineStr">
        <is>
          <t>Hà Nội, Hồ Chí Minh</t>
        </is>
      </c>
      <c r="G11466" s="10" t="inlineStr">
        <is>
          <t>Nhân viên</t>
        </is>
      </c>
      <c r="H11466" s="10" t="inlineStr">
        <is>
          <t>16/03/2026</t>
        </is>
      </c>
      <c r="I11466" s="10" t="inlineStr">
        <is>
          <t>15/04/2026</t>
        </is>
      </c>
      <c r="J11466" s="10" t="inlineStr">
        <is>
          <t>17/03/2026</t>
        </is>
      </c>
      <c r="K11466" s="10" t="inlineStr">
        <is>
          <t>N/A</t>
        </is>
      </c>
      <c r="L11466" s="10" t="inlineStr">
        <is>
          <t>Kinh Doanh B2B, Y Tế, Thiết Bị Y Tế, Customer Relations</t>
        </is>
      </c>
      <c r="M11466" s="10" t="inlineStr">
        <is>
          <t>Bonus, Healthcare Plan, Paid Leave, Training, Awards, Others</t>
        </is>
      </c>
      <c r="N11466" s="11">
        <f>HYPERLINK("https://www.vietnamworks.com/nhan-vien-kinh-doanh-b2b-nganh-y-te-cham-soc-suc-khoe-2023990-jv","Xem chi tiết")</f>
        <v/>
      </c>
      <c r="O11466" s="10" t="n"/>
    </row>
    <row r="11467">
      <c r="B11467" s="7" t="n">
        <v>11465</v>
      </c>
      <c r="C11467" t="inlineStr">
        <is>
          <t>Văn Thư/Hành Chính</t>
        </is>
      </c>
      <c r="D11467" t="inlineStr">
        <is>
          <t>Công Ty Cổ Phần Metub Việt Nam</t>
        </is>
      </c>
      <c r="E11467" t="inlineStr">
        <is>
          <t>Thương lượng</t>
        </is>
      </c>
      <c r="F11467" t="inlineStr">
        <is>
          <t>Hồ Chí Minh</t>
        </is>
      </c>
      <c r="G11467" t="inlineStr">
        <is>
          <t>Nhân viên</t>
        </is>
      </c>
      <c r="H11467" t="inlineStr">
        <is>
          <t>16/03/2026</t>
        </is>
      </c>
      <c r="I11467" t="inlineStr">
        <is>
          <t>15/04/2026</t>
        </is>
      </c>
      <c r="J11467" t="inlineStr">
        <is>
          <t>17/03/2026</t>
        </is>
      </c>
      <c r="K11467" t="inlineStr">
        <is>
          <t>N/A</t>
        </is>
      </c>
      <c r="L11467" t="inlineStr">
        <is>
          <t>Cẩn Thận, Lưu Trữ Hồ Sơ, Microsoft Office, Văn Thư Hành Chính</t>
        </is>
      </c>
      <c r="M11467" t="inlineStr">
        <is>
          <t>Healthcare Plan, Others</t>
        </is>
      </c>
      <c r="N11467" s="8">
        <f>HYPERLINK("https://www.vietnamworks.com/van-thuhanh-chinh-2023977-jv","Xem chi tiết")</f>
        <v/>
      </c>
    </row>
    <row r="11468">
      <c r="B11468" s="9" t="n">
        <v>11466</v>
      </c>
      <c r="C11468" s="10" t="inlineStr">
        <is>
          <t>Customer Service Consultant</t>
        </is>
      </c>
      <c r="D11468" s="10" t="inlineStr">
        <is>
          <t>CÔNG TY TNHH NHA KHOA ELITE</t>
        </is>
      </c>
      <c r="E11468" s="10" t="inlineStr">
        <is>
          <t>10tr-13tr ₫/tháng</t>
        </is>
      </c>
      <c r="F11468" s="10" t="inlineStr">
        <is>
          <t>Hồ Chí Minh</t>
        </is>
      </c>
      <c r="G11468" s="10" t="inlineStr">
        <is>
          <t>Nhân viên</t>
        </is>
      </c>
      <c r="H11468" s="10" t="inlineStr">
        <is>
          <t>16/03/2026</t>
        </is>
      </c>
      <c r="I11468" s="10" t="inlineStr">
        <is>
          <t>15/04/2026</t>
        </is>
      </c>
      <c r="J11468" s="10" t="inlineStr">
        <is>
          <t>17/03/2026</t>
        </is>
      </c>
      <c r="K11468" s="10" t="inlineStr">
        <is>
          <t>N/A</t>
        </is>
      </c>
      <c r="L11468" s="10" t="inlineStr">
        <is>
          <t>Customer Service, Dental, Clinical &amp; Healthcare Support, Customer Consultation, Healthcare Service</t>
        </is>
      </c>
      <c r="M11468" s="10" t="inlineStr">
        <is>
          <t>Bonus, Healthcare Plan, Training, Travel Opportunities, Others</t>
        </is>
      </c>
      <c r="N11468" s="11">
        <f>HYPERLINK("https://www.vietnamworks.com/customer-service-consultant-2023962-jv","Xem chi tiết")</f>
        <v/>
      </c>
      <c r="O11468" s="10" t="n"/>
    </row>
    <row r="11469">
      <c r="B11469" s="7" t="n">
        <v>11467</v>
      </c>
      <c r="C11469" t="inlineStr">
        <is>
          <t>Quản Lý &amp; Phát Triển Đại Lý BĐS</t>
        </is>
      </c>
      <c r="D11469" t="inlineStr">
        <is>
          <t>Tập đoàn Hateco</t>
        </is>
      </c>
      <c r="E11469" t="inlineStr">
        <is>
          <t>$$ 700-1,200 /tháng</t>
        </is>
      </c>
      <c r="F11469" t="inlineStr">
        <is>
          <t>Hà Nội</t>
        </is>
      </c>
      <c r="G11469" t="inlineStr">
        <is>
          <t>Nhân viên</t>
        </is>
      </c>
      <c r="H11469" t="inlineStr">
        <is>
          <t>16/03/2026</t>
        </is>
      </c>
      <c r="I11469" t="inlineStr">
        <is>
          <t>15/04/2026</t>
        </is>
      </c>
      <c r="J11469" t="inlineStr">
        <is>
          <t>17/03/2026</t>
        </is>
      </c>
      <c r="K11469" t="inlineStr">
        <is>
          <t>N/A</t>
        </is>
      </c>
      <c r="L11469" t="inlineStr">
        <is>
          <t>Bất Động Sản, Agency Relationship Management, Quản Lý Đại Lý, Real Estate Business, Real Estate Projects</t>
        </is>
      </c>
      <c r="M11469" t="inlineStr">
        <is>
          <t>Bonus, Team Activities, Canteen</t>
        </is>
      </c>
      <c r="N11469" s="8">
        <f>HYPERLINK("https://www.vietnamworks.com/quan-ly-phat-trien-dai-ly-bds--2023979-jv","Xem chi tiết")</f>
        <v/>
      </c>
    </row>
    <row r="11470">
      <c r="B11470" s="9" t="n">
        <v>11468</v>
      </c>
      <c r="C11470" s="10" t="inlineStr">
        <is>
          <t>Nhân Viên Mua Hàng Nhập Khẩu (Import Purchasing Executive)</t>
        </is>
      </c>
      <c r="D11470" s="10" t="inlineStr">
        <is>
          <t>Công Ty Cổ Phần Tương Lai Việt (Tuong Lai Viet Corporation)</t>
        </is>
      </c>
      <c r="E11470" s="10" t="inlineStr">
        <is>
          <t>15,000-18,000 ₫/tháng</t>
        </is>
      </c>
      <c r="F11470" s="10" t="inlineStr">
        <is>
          <t>Hồ Chí Minh</t>
        </is>
      </c>
      <c r="G11470" s="10" t="inlineStr">
        <is>
          <t>Nhân viên</t>
        </is>
      </c>
      <c r="H11470" s="10" t="inlineStr">
        <is>
          <t>16/03/2026</t>
        </is>
      </c>
      <c r="I11470" s="10" t="inlineStr">
        <is>
          <t>15/04/2026</t>
        </is>
      </c>
      <c r="J11470" s="10" t="inlineStr">
        <is>
          <t>17/03/2026</t>
        </is>
      </c>
      <c r="K11470" s="10" t="inlineStr">
        <is>
          <t>N/A</t>
        </is>
      </c>
      <c r="L11470" s="10" t="inlineStr">
        <is>
          <t>Purchasing, Incoterms 2000, Thanh Toán Quốc Tế, Chứng Từ Nhập Khẩu, Khai Báo Hải Quan</t>
        </is>
      </c>
      <c r="M11470" s="10" t="inlineStr">
        <is>
          <t>Healthcare Plan, Awards, Team Activities</t>
        </is>
      </c>
      <c r="N11470" s="11">
        <f>HYPERLINK("https://www.vietnamworks.com/nhan-vien-mua-hang-nhap-khau-import-purchasing-executive-2023971-jv","Xem chi tiết")</f>
        <v/>
      </c>
      <c r="O11470" s="10" t="n"/>
    </row>
    <row r="11471">
      <c r="B11471" s="7" t="n">
        <v>11469</v>
      </c>
      <c r="C11471" t="inlineStr">
        <is>
          <t>Chuyên Viên Kinh Doanh (Tấm Panel hoặc Mỹ Phẩm)</t>
        </is>
      </c>
      <c r="D11471" t="inlineStr">
        <is>
          <t>Công ty TNHH Sypanel Vina</t>
        </is>
      </c>
      <c r="E11471" t="inlineStr">
        <is>
          <t>Thương lượng</t>
        </is>
      </c>
      <c r="F11471" t="inlineStr">
        <is>
          <t>Hà Nội, Hồ Chí Minh</t>
        </is>
      </c>
      <c r="G11471" t="inlineStr">
        <is>
          <t>Nhân viên</t>
        </is>
      </c>
      <c r="H11471" t="inlineStr">
        <is>
          <t>16/03/2026</t>
        </is>
      </c>
      <c r="I11471" t="inlineStr">
        <is>
          <t>15/04/2026</t>
        </is>
      </c>
      <c r="J11471" t="inlineStr">
        <is>
          <t>17/03/2026</t>
        </is>
      </c>
      <c r="K11471" t="inlineStr">
        <is>
          <t>N/A</t>
        </is>
      </c>
      <c r="L11471" t="inlineStr">
        <is>
          <t>B2B Sales, Chăm Sóc Khách Hàng, Thu Hồi Công Nợ, Tìm Kiếm Khách Hàng, Tư Vấn Sản Phẩm</t>
        </is>
      </c>
      <c r="M11471" t="inlineStr">
        <is>
          <t>Bonus, Healthcare Plan, Paid Leave</t>
        </is>
      </c>
      <c r="N11471" s="8">
        <f>HYPERLINK("https://www.vietnamworks.com/chuyen-vien-kinh-doanh-tam-panel-hoac-my-pham-2023992-jv","Xem chi tiết")</f>
        <v/>
      </c>
    </row>
    <row r="11472">
      <c r="B11472" s="9" t="n">
        <v>11470</v>
      </c>
      <c r="C11472" s="10" t="inlineStr">
        <is>
          <t>Production Supervisor</t>
        </is>
      </c>
      <c r="D11472" s="10" t="inlineStr">
        <is>
          <t>Rich Products Vietnam</t>
        </is>
      </c>
      <c r="E11472" s="10" t="inlineStr">
        <is>
          <t>Thương lượng</t>
        </is>
      </c>
      <c r="F11472" s="10" t="inlineStr">
        <is>
          <t>Bình Dương</t>
        </is>
      </c>
      <c r="G11472" s="10" t="inlineStr">
        <is>
          <t>Nhân viên</t>
        </is>
      </c>
      <c r="H11472" s="10" t="inlineStr">
        <is>
          <t>16/03/2026</t>
        </is>
      </c>
      <c r="I11472" s="10" t="inlineStr">
        <is>
          <t>15/04/2026</t>
        </is>
      </c>
      <c r="J11472" s="10" t="inlineStr">
        <is>
          <t>17/03/2026</t>
        </is>
      </c>
      <c r="K11472" s="10" t="inlineStr">
        <is>
          <t>N/A</t>
        </is>
      </c>
      <c r="L11472" s="10" t="inlineStr">
        <is>
          <t>Communication Skills, HACCP Knowledge, Problem Solving, Production Management, Team Management</t>
        </is>
      </c>
      <c r="M11472" s="10" t="inlineStr">
        <is>
          <t>Bonus, Healthcare Plan, Canteen, Others</t>
        </is>
      </c>
      <c r="N11472" s="11">
        <f>HYPERLINK("https://www.vietnamworks.com/production-supervisor-2023975-jv","Xem chi tiết")</f>
        <v/>
      </c>
      <c r="O11472" s="10" t="n"/>
    </row>
    <row r="11473">
      <c r="B11473" s="7" t="n">
        <v>11471</v>
      </c>
      <c r="C11473" t="inlineStr">
        <is>
          <t>Nhân Viên Chứng Từ Khai Báo Hải Quan</t>
        </is>
      </c>
      <c r="D11473" t="inlineStr">
        <is>
          <t>Công Ty TNHH NPV Express &amp; Logistics</t>
        </is>
      </c>
      <c r="E11473" t="inlineStr">
        <is>
          <t>Tới 18tr ₫/tháng</t>
        </is>
      </c>
      <c r="F11473" t="inlineStr">
        <is>
          <t>Bình Dương, Đồng Nai, Hồ Chí Minh</t>
        </is>
      </c>
      <c r="G11473" t="inlineStr">
        <is>
          <t>Nhân viên</t>
        </is>
      </c>
      <c r="H11473" t="inlineStr">
        <is>
          <t>16/03/2026</t>
        </is>
      </c>
      <c r="I11473" t="inlineStr">
        <is>
          <t>15/04/2026</t>
        </is>
      </c>
      <c r="J11473" t="inlineStr">
        <is>
          <t>17/03/2026</t>
        </is>
      </c>
      <c r="K11473" t="inlineStr">
        <is>
          <t>N/A</t>
        </is>
      </c>
      <c r="L11473" t="inlineStr">
        <is>
          <t>Xuất Nhập Khẩu, Logistics, Thủ Tục Hải Quan, Chứng Từ Hải Quan, Khai Báo Hải Quan</t>
        </is>
      </c>
      <c r="M11473" t="inlineStr">
        <is>
          <t>Healthcare Plan, Training, Laptop</t>
        </is>
      </c>
      <c r="N11473" s="8">
        <f>HYPERLINK("https://www.vietnamworks.com/nhan-vien-chung-tu-khai-bao-hai-quan--2023980-jv","Xem chi tiết")</f>
        <v/>
      </c>
    </row>
    <row r="11474">
      <c r="B11474" s="9" t="n">
        <v>11472</v>
      </c>
      <c r="C11474" s="10" t="inlineStr">
        <is>
          <t>Planner</t>
        </is>
      </c>
      <c r="D11474" s="10" t="inlineStr">
        <is>
          <t>Boyd Vietnam Company Limited.,</t>
        </is>
      </c>
      <c r="E11474" s="10" t="inlineStr">
        <is>
          <t>Thương lượng</t>
        </is>
      </c>
      <c r="F11474" s="10" t="inlineStr">
        <is>
          <t>Bắc Ninh</t>
        </is>
      </c>
      <c r="G11474" s="10" t="inlineStr">
        <is>
          <t>Nhân viên</t>
        </is>
      </c>
      <c r="H11474" s="10" t="inlineStr">
        <is>
          <t>16/03/2026</t>
        </is>
      </c>
      <c r="I11474" s="10" t="inlineStr">
        <is>
          <t>15/04/2026</t>
        </is>
      </c>
      <c r="J11474" s="10" t="inlineStr">
        <is>
          <t>17/03/2026</t>
        </is>
      </c>
      <c r="K11474" s="10" t="inlineStr">
        <is>
          <t>N/A</t>
        </is>
      </c>
      <c r="L11474" s="10" t="inlineStr">
        <is>
          <t>Production Planning, Production Management, Lean Manufacturing, MRP System, English Communication</t>
        </is>
      </c>
      <c r="M11474" s="10" t="inlineStr">
        <is>
          <t>Bonus, Healthcare Plan, Paid Leave</t>
        </is>
      </c>
      <c r="N11474" s="11">
        <f>HYPERLINK("https://www.vietnamworks.com/planner--2023991-jv","Xem chi tiết")</f>
        <v/>
      </c>
      <c r="O11474" s="10" t="n"/>
    </row>
    <row r="11475">
      <c r="B11475" s="7" t="n">
        <v>11473</v>
      </c>
      <c r="C11475" t="inlineStr">
        <is>
          <t>Sales &amp; Marketing Officer (Aeon Mall Ha Long - 582)</t>
        </is>
      </c>
      <c r="D11475" t="inlineStr">
        <is>
          <t>AEONMALL Vietnam Co., Ltd.</t>
        </is>
      </c>
      <c r="E11475" t="inlineStr">
        <is>
          <t>$$ 350-550 /tháng</t>
        </is>
      </c>
      <c r="F11475" t="inlineStr">
        <is>
          <t>Quảng Ninh</t>
        </is>
      </c>
      <c r="G11475" t="inlineStr">
        <is>
          <t>Nhân viên</t>
        </is>
      </c>
      <c r="H11475" t="inlineStr">
        <is>
          <t>16/03/2026</t>
        </is>
      </c>
      <c r="I11475" t="inlineStr">
        <is>
          <t>15/04/2026</t>
        </is>
      </c>
      <c r="J11475" t="inlineStr">
        <is>
          <t>17/03/2026</t>
        </is>
      </c>
      <c r="K11475" t="inlineStr">
        <is>
          <t>N/A</t>
        </is>
      </c>
      <c r="L11475" t="inlineStr">
        <is>
          <t>Marketing, Tiếp Thị và Quảng Bá, Customer Service, Digital, Event Coordination</t>
        </is>
      </c>
      <c r="M11475" t="inlineStr">
        <is>
          <t>Healthcare Plan, Training, Others</t>
        </is>
      </c>
      <c r="N11475" s="8">
        <f>HYPERLINK("https://www.vietnamworks.com/sales-marketing-officer-aeon-mall-ha-long-582--2023989-jv","Xem chi tiết")</f>
        <v/>
      </c>
    </row>
    <row r="11476">
      <c r="B11476" s="9" t="n">
        <v>11474</v>
      </c>
      <c r="C11476" s="10" t="inlineStr">
        <is>
          <t>Chuyên viên kinh doanh sản phẩm điện tử/thiết bị điện/thiết bị năng lượng mặt trời</t>
        </is>
      </c>
      <c r="D11476" s="10" t="inlineStr">
        <is>
          <t>Công ty TNHH Thương Mại Văn Lý</t>
        </is>
      </c>
      <c r="E11476" s="10" t="inlineStr">
        <is>
          <t>9tr-12tr ₫/tháng</t>
        </is>
      </c>
      <c r="F11476" s="10" t="inlineStr">
        <is>
          <t>Bình Dương</t>
        </is>
      </c>
      <c r="G11476" s="10" t="inlineStr">
        <is>
          <t>Nhân viên</t>
        </is>
      </c>
      <c r="H11476" s="10" t="inlineStr">
        <is>
          <t>16/03/2026</t>
        </is>
      </c>
      <c r="I11476" s="10" t="inlineStr">
        <is>
          <t>15/04/2026</t>
        </is>
      </c>
      <c r="J11476" s="10" t="inlineStr">
        <is>
          <t>17/03/2026</t>
        </is>
      </c>
      <c r="K11476" s="10" t="inlineStr">
        <is>
          <t>N/A</t>
        </is>
      </c>
      <c r="L11476" s="10" t="inlineStr">
        <is>
          <t>Kỹ năng bán hàng, Kỹ năng giao tiếp, Làm Việc Chịu Áp Lực Cao, Phát Triển Thị Trường, Thương Mại</t>
        </is>
      </c>
      <c r="M11476" s="10" t="inlineStr">
        <is>
          <t>Healthcare Plan, Training, Others</t>
        </is>
      </c>
      <c r="N11476" s="11">
        <f>HYPERLINK("https://www.vietnamworks.com/chuyen-vien-kinh-doanh-san-pham-djien-tuthiet-bi-djienthiet-bi-nang-luong-mat-troi-2023970-jv","Xem chi tiết")</f>
        <v/>
      </c>
      <c r="O11476" s="10" t="n"/>
    </row>
    <row r="11477">
      <c r="B11477" s="7" t="n">
        <v>11475</v>
      </c>
      <c r="C11477" t="inlineStr">
        <is>
          <t>Khối CNTT - CVC/CVCC Vận Hành Cơ Sở Dữ Liệu</t>
        </is>
      </c>
      <c r="D11477" t="inlineStr">
        <is>
          <t>Ngân hàng Lộc Phát Việt Nam LPBank</t>
        </is>
      </c>
      <c r="E11477" t="inlineStr">
        <is>
          <t>Thương lượng</t>
        </is>
      </c>
      <c r="F11477" t="inlineStr">
        <is>
          <t>Hồ Chí Minh</t>
        </is>
      </c>
      <c r="G11477" t="inlineStr">
        <is>
          <t>Nhân viên</t>
        </is>
      </c>
      <c r="H11477" t="inlineStr">
        <is>
          <t>16/03/2026</t>
        </is>
      </c>
      <c r="I11477" t="inlineStr">
        <is>
          <t>15/04/2026</t>
        </is>
      </c>
      <c r="J11477" t="inlineStr">
        <is>
          <t>17/03/2026</t>
        </is>
      </c>
      <c r="K11477" t="inlineStr">
        <is>
          <t>N/A</t>
        </is>
      </c>
      <c r="L11477" t="inlineStr">
        <is>
          <t>Database Administration, Oracle, SQL Server, Data Security, Data Management</t>
        </is>
      </c>
      <c r="M11477" t="inlineStr">
        <is>
          <t>Bonus, Laptop, Canteen</t>
        </is>
      </c>
      <c r="N11477" s="8">
        <f>HYPERLINK("https://www.vietnamworks.com/khoi-cntt-cvc-cvcc-van-hanh-co-so-du-lieu-2023993-jv","Xem chi tiết")</f>
        <v/>
      </c>
    </row>
    <row r="11478">
      <c r="B11478" s="9" t="n">
        <v>11476</v>
      </c>
      <c r="C11478" s="10" t="inlineStr">
        <is>
          <t>Senior Accountant</t>
        </is>
      </c>
      <c r="D11478" s="10" t="inlineStr">
        <is>
          <t>Mapletree Vietnam Management Consultancy Co., Ltd</t>
        </is>
      </c>
      <c r="E11478" s="10" t="inlineStr">
        <is>
          <t>Thương lượng</t>
        </is>
      </c>
      <c r="F11478" s="10" t="inlineStr">
        <is>
          <t>Hồ Chí Minh</t>
        </is>
      </c>
      <c r="G11478" s="10" t="inlineStr">
        <is>
          <t>Nhân viên</t>
        </is>
      </c>
      <c r="H11478" s="10" t="inlineStr">
        <is>
          <t>16/03/2026</t>
        </is>
      </c>
      <c r="I11478" s="10" t="inlineStr">
        <is>
          <t>15/04/2026</t>
        </is>
      </c>
      <c r="J11478" s="10" t="inlineStr">
        <is>
          <t>17/03/2026</t>
        </is>
      </c>
      <c r="K11478" s="10" t="inlineStr">
        <is>
          <t>N/A</t>
        </is>
      </c>
      <c r="L11478" s="10" t="inlineStr">
        <is>
          <t>Payable Accounting, Account Payable, Senior Accounting, General Accounting, SAP</t>
        </is>
      </c>
      <c r="M11478" s="10" t="inlineStr">
        <is>
          <t>Healthcare Plan, Paid Leave, Awards</t>
        </is>
      </c>
      <c r="N11478" s="11">
        <f>HYPERLINK("https://www.vietnamworks.com/senior-accountant--2023973-jv","Xem chi tiết")</f>
        <v/>
      </c>
      <c r="O11478" s="10" t="n"/>
    </row>
    <row r="11479">
      <c r="B11479" s="7" t="n">
        <v>11477</v>
      </c>
      <c r="C11479" t="inlineStr">
        <is>
          <t>Construction Administration Officer (Thư ký Công Trình)</t>
        </is>
      </c>
      <c r="D11479" t="inlineStr">
        <is>
          <t>Watsons (Viet Nam) Limited</t>
        </is>
      </c>
      <c r="E11479" t="inlineStr">
        <is>
          <t>11tr-14tr ₫/tháng</t>
        </is>
      </c>
      <c r="F11479" t="inlineStr">
        <is>
          <t>Hồ Chí Minh</t>
        </is>
      </c>
      <c r="G11479" t="inlineStr">
        <is>
          <t>Nhân viên</t>
        </is>
      </c>
      <c r="H11479" t="inlineStr">
        <is>
          <t>16/03/2026</t>
        </is>
      </c>
      <c r="I11479" t="inlineStr">
        <is>
          <t>15/04/2026</t>
        </is>
      </c>
      <c r="J11479" t="inlineStr">
        <is>
          <t>17/03/2026</t>
        </is>
      </c>
      <c r="K11479" t="inlineStr">
        <is>
          <t>N/A</t>
        </is>
      </c>
      <c r="L11479" t="inlineStr">
        <is>
          <t>Communication Skills, Construction Administration Service, Material Sourcing, Site Survey, Vendor Management</t>
        </is>
      </c>
      <c r="M11479" t="inlineStr">
        <is>
          <t>Bonus, Healthcare Plan, Laptop, Vouchers, Others</t>
        </is>
      </c>
      <c r="N11479" s="8">
        <f>HYPERLINK("https://www.vietnamworks.com/construction-administration-officer-thu-ky-cong-trinh-2023982-jv","Xem chi tiết")</f>
        <v/>
      </c>
    </row>
    <row r="11480">
      <c r="B11480" s="9" t="n">
        <v>11478</v>
      </c>
      <c r="C11480" s="10" t="inlineStr">
        <is>
          <t>Event Specialist - Chuyên Viên Sự Kiện</t>
        </is>
      </c>
      <c r="D11480" s="10" t="inlineStr">
        <is>
          <t>Công ty TNHH Aden Services (Việt Nam)</t>
        </is>
      </c>
      <c r="E11480" s="10" t="inlineStr">
        <is>
          <t>Thương lượng</t>
        </is>
      </c>
      <c r="F11480" s="10" t="inlineStr">
        <is>
          <t>Hồ Chí Minh</t>
        </is>
      </c>
      <c r="G11480" s="10" t="inlineStr">
        <is>
          <t>Nhân viên</t>
        </is>
      </c>
      <c r="H11480" s="10" t="inlineStr">
        <is>
          <t>16/03/2026</t>
        </is>
      </c>
      <c r="I11480" s="10" t="inlineStr">
        <is>
          <t>15/04/2026</t>
        </is>
      </c>
      <c r="J11480" s="10" t="inlineStr">
        <is>
          <t>17/03/2026</t>
        </is>
      </c>
      <c r="K11480" s="10" t="inlineStr">
        <is>
          <t>N/A</t>
        </is>
      </c>
      <c r="L11480" s="10" t="inlineStr">
        <is>
          <t>Client Service Management, Communication, Creative Thinking, Event Management, Logistics Control</t>
        </is>
      </c>
      <c r="M11480" s="10" t="inlineStr">
        <is>
          <t>Training, Others</t>
        </is>
      </c>
      <c r="N11480" s="11">
        <f>HYPERLINK("https://www.vietnamworks.com/event-specialist-chuyen-vien-su-kien-2023981-jv","Xem chi tiết")</f>
        <v/>
      </c>
      <c r="O11480" s="10" t="n"/>
    </row>
    <row r="11481">
      <c r="B11481" s="7" t="n">
        <v>11479</v>
      </c>
      <c r="C11481" t="inlineStr">
        <is>
          <t>Chuyên Viên C&amp;B</t>
        </is>
      </c>
      <c r="D11481" t="inlineStr">
        <is>
          <t>Công Ty Cổ Phần Nhựa Tiến Đức</t>
        </is>
      </c>
      <c r="E11481" t="inlineStr">
        <is>
          <t>15tr-18tr ₫/tháng</t>
        </is>
      </c>
      <c r="F11481" t="inlineStr">
        <is>
          <t>Hà Nội</t>
        </is>
      </c>
      <c r="G11481" t="inlineStr">
        <is>
          <t>Nhân viên</t>
        </is>
      </c>
      <c r="H11481" t="inlineStr">
        <is>
          <t>16/03/2026</t>
        </is>
      </c>
      <c r="I11481" t="inlineStr">
        <is>
          <t>15/04/2026</t>
        </is>
      </c>
      <c r="J11481" t="inlineStr">
        <is>
          <t>17/03/2026</t>
        </is>
      </c>
      <c r="K11481" t="inlineStr">
        <is>
          <t>N/A</t>
        </is>
      </c>
      <c r="L11481" t="inlineStr">
        <is>
          <t>Quản Trị Nhân Lực, Hợp Đồng Lao Động, Luật, Tin Học Văn Phòng, Thí Nghiệm</t>
        </is>
      </c>
      <c r="M11481" t="inlineStr">
        <is>
          <t>Bonus, Awards, Others</t>
        </is>
      </c>
      <c r="N11481" s="8">
        <f>HYPERLINK("https://www.vietnamworks.com/chuyen-vien-candampb-2023994-jv","Xem chi tiết")</f>
        <v/>
      </c>
    </row>
    <row r="11482">
      <c r="B11482" s="9" t="n">
        <v>11480</v>
      </c>
      <c r="C11482" s="10" t="inlineStr">
        <is>
          <t>Trưởng phòng Hành chính Nhân sự - Bất động sản</t>
        </is>
      </c>
      <c r="D11482" s="10" t="inlineStr">
        <is>
          <t>Alphanam Group</t>
        </is>
      </c>
      <c r="E11482" s="10" t="inlineStr">
        <is>
          <t>30tr-50tr ₫/tháng</t>
        </is>
      </c>
      <c r="F11482" s="10" t="inlineStr">
        <is>
          <t>Hà Nội</t>
        </is>
      </c>
      <c r="G11482" s="10" t="inlineStr">
        <is>
          <t>Trưởng phòng</t>
        </is>
      </c>
      <c r="H11482" s="10" t="inlineStr">
        <is>
          <t>16/03/2026</t>
        </is>
      </c>
      <c r="I11482" s="10" t="inlineStr">
        <is>
          <t>15/04/2026</t>
        </is>
      </c>
      <c r="J11482" s="10" t="inlineStr">
        <is>
          <t>17/03/2026</t>
        </is>
      </c>
      <c r="K11482" s="10" t="inlineStr">
        <is>
          <t>N/A</t>
        </is>
      </c>
      <c r="L11482" s="10" t="inlineStr">
        <is>
          <t>Bất Động Sản, Giám Sát Nhân Sự, Quản Trị Nhân Sự, Tuyển Dụng, Xây Dựng Hệ Thống Chính Sách</t>
        </is>
      </c>
      <c r="M11482" s="10" t="inlineStr">
        <is>
          <t>Bonus, Training, Vouchers</t>
        </is>
      </c>
      <c r="N11482" s="11">
        <f>HYPERLINK("https://www.vietnamworks.com/truong-phong-hanh-chinh-nhan-su-bat-djong-san-2023995-jv","Xem chi tiết")</f>
        <v/>
      </c>
      <c r="O11482" s="10" t="n"/>
    </row>
    <row r="11483">
      <c r="B11483" s="7" t="n">
        <v>11481</v>
      </c>
      <c r="C11483" t="inlineStr">
        <is>
          <t>Nhân Viên Kế Toán Nội Bộ (Internal Accountant)</t>
        </is>
      </c>
      <c r="D11483" t="inlineStr">
        <is>
          <t>CÔNG TY TNHH KHO VẬN THÁI BÌNH DƯƠNG</t>
        </is>
      </c>
      <c r="E11483" t="inlineStr">
        <is>
          <t>Từ 10tr ₫/tháng</t>
        </is>
      </c>
      <c r="F11483" t="inlineStr">
        <is>
          <t>Hà Nội</t>
        </is>
      </c>
      <c r="G11483" t="inlineStr">
        <is>
          <t>Nhân viên</t>
        </is>
      </c>
      <c r="H11483" t="inlineStr">
        <is>
          <t>16/03/2026</t>
        </is>
      </c>
      <c r="I11483" t="inlineStr">
        <is>
          <t>15/04/2026</t>
        </is>
      </c>
      <c r="J11483" t="inlineStr">
        <is>
          <t>17/03/2026</t>
        </is>
      </c>
      <c r="K11483" t="inlineStr">
        <is>
          <t>N/A</t>
        </is>
      </c>
      <c r="L11483" t="inlineStr">
        <is>
          <t>Giải Quyết Vấn Đề, Kế Toán, Làm Việc Nhóm, Phân Tích Da, Tài Chính</t>
        </is>
      </c>
      <c r="M11483" t="inlineStr">
        <is>
          <t>Healthcare Plan, Training, Laptop, Others</t>
        </is>
      </c>
      <c r="N11483" s="8">
        <f>HYPERLINK("https://www.vietnamworks.com/nhan-vien-ke-toan-noi-bo-internal-accountant-2024012-jv","Xem chi tiết")</f>
        <v/>
      </c>
    </row>
    <row r="11484">
      <c r="B11484" s="9" t="n">
        <v>11482</v>
      </c>
      <c r="C11484" s="10" t="inlineStr">
        <is>
          <t>Nhân Viên Giám Định Container - Container Inspection (Làm Việc Theo Ca) - Số Lượng: 02 Người</t>
        </is>
      </c>
      <c r="D11484" s="10" t="inlineStr">
        <is>
          <t>Tan Cang Hmm Logistics CO., LTD</t>
        </is>
      </c>
      <c r="E11484" s="10" t="inlineStr">
        <is>
          <t>Thương lượng</t>
        </is>
      </c>
      <c r="F11484" s="10" t="inlineStr">
        <is>
          <t>Hải Phòng</t>
        </is>
      </c>
      <c r="G11484" s="10" t="inlineStr">
        <is>
          <t>Mới Tốt Nghiệp</t>
        </is>
      </c>
      <c r="H11484" s="10" t="inlineStr">
        <is>
          <t>16/03/2026</t>
        </is>
      </c>
      <c r="I11484" s="10" t="inlineStr">
        <is>
          <t>15/04/2026</t>
        </is>
      </c>
      <c r="J11484" s="10" t="inlineStr">
        <is>
          <t>17/03/2026</t>
        </is>
      </c>
      <c r="K11484" s="10" t="inlineStr">
        <is>
          <t>N/A</t>
        </is>
      </c>
      <c r="L11484" s="10" t="inlineStr">
        <is>
          <t>Giám Định, Logistics, Dịch Vụ Khách Hàng</t>
        </is>
      </c>
      <c r="M11484" s="10" t="inlineStr">
        <is>
          <t>Bonus, Healthcare Plan, Others</t>
        </is>
      </c>
      <c r="N11484" s="11">
        <f>HYPERLINK("https://www.vietnamworks.com/nhan-vien-giam-dinh-container-container-inspection-lam-viec-theo-ca-so-luong-02-nguoi--2024019-jv","Xem chi tiết")</f>
        <v/>
      </c>
      <c r="O11484" s="10" t="n"/>
    </row>
    <row r="11485">
      <c r="B11485" s="7" t="n">
        <v>11483</v>
      </c>
      <c r="C11485" t="inlineStr">
        <is>
          <t>Trưởng Bộ Phận Marketing &amp; Thương Mại Điện Tử</t>
        </is>
      </c>
      <c r="D11485" t="inlineStr">
        <is>
          <t>Công Ty Cổ Phần Sản Xuất Và Thương Mại P.P</t>
        </is>
      </c>
      <c r="E11485" t="inlineStr">
        <is>
          <t>16tr-22tr ₫/tháng</t>
        </is>
      </c>
      <c r="F11485" t="inlineStr">
        <is>
          <t>Hà Nội</t>
        </is>
      </c>
      <c r="G11485" t="inlineStr">
        <is>
          <t>Trưởng phòng</t>
        </is>
      </c>
      <c r="H11485" t="inlineStr">
        <is>
          <t>16/03/2026</t>
        </is>
      </c>
      <c r="I11485" t="inlineStr">
        <is>
          <t>15/04/2026</t>
        </is>
      </c>
      <c r="J11485" t="inlineStr">
        <is>
          <t>17/03/2026</t>
        </is>
      </c>
      <c r="K11485" t="inlineStr">
        <is>
          <t>N/A</t>
        </is>
      </c>
      <c r="L11485" t="inlineStr">
        <is>
          <t>Campaign Planning, E-commerce, Digital Marketing, Content Marketing</t>
        </is>
      </c>
      <c r="M11485" t="inlineStr">
        <is>
          <t>Bonus, Healthcare Plan, Others</t>
        </is>
      </c>
      <c r="N11485" s="8">
        <f>HYPERLINK("https://www.vietnamworks.com/truong-bo-phan-marketing-thuong-mai-dien-tu-2024013-jv","Xem chi tiết")</f>
        <v/>
      </c>
    </row>
    <row r="11486">
      <c r="B11486" s="9" t="n">
        <v>11484</v>
      </c>
      <c r="C11486" s="10" t="inlineStr">
        <is>
          <t>Sales Proposal Engineer</t>
        </is>
      </c>
      <c r="D11486" s="10" t="inlineStr">
        <is>
          <t>Yokogawa Vietnam Company Limited</t>
        </is>
      </c>
      <c r="E11486" s="10" t="inlineStr">
        <is>
          <t>Thương lượng</t>
        </is>
      </c>
      <c r="F11486" s="10" t="inlineStr">
        <is>
          <t>Hồ Chí Minh</t>
        </is>
      </c>
      <c r="G11486" s="10" t="inlineStr">
        <is>
          <t>Nhân viên</t>
        </is>
      </c>
      <c r="H11486" s="10" t="inlineStr">
        <is>
          <t>16/03/2026</t>
        </is>
      </c>
      <c r="I11486" s="10" t="inlineStr">
        <is>
          <t>15/04/2026</t>
        </is>
      </c>
      <c r="J11486" s="10" t="inlineStr">
        <is>
          <t>17/03/2026</t>
        </is>
      </c>
      <c r="K11486" s="10" t="inlineStr">
        <is>
          <t>N/A</t>
        </is>
      </c>
      <c r="L11486" s="10" t="inlineStr">
        <is>
          <t>sales engineer, Instrumentation, Proposal Engineering, Industrial Automation, Oil &amp; Gas</t>
        </is>
      </c>
      <c r="M11486" s="10" t="inlineStr">
        <is>
          <t>Bonus, Healthcare Plan, Travel Opportunities</t>
        </is>
      </c>
      <c r="N11486" s="11">
        <f>HYPERLINK("https://www.vietnamworks.com/sales-proposal-engineer-2024003-jv","Xem chi tiết")</f>
        <v/>
      </c>
      <c r="O11486" s="10" t="n"/>
    </row>
    <row r="11487">
      <c r="B11487" s="7" t="n">
        <v>11485</v>
      </c>
      <c r="C11487" t="inlineStr">
        <is>
          <t>Chuyên Viên Video Editor &amp; Sáng Tạo Nội Dung Cty BĐS Tại TP. HCM</t>
        </is>
      </c>
      <c r="D11487" t="inlineStr">
        <is>
          <t>Công ty Cổ phần Tư vấn Đầu tư Kinh doanh Bất động sản Vingrand Center</t>
        </is>
      </c>
      <c r="E11487" t="inlineStr">
        <is>
          <t>10tr-12tr ₫/tháng</t>
        </is>
      </c>
      <c r="F11487" t="inlineStr">
        <is>
          <t>Hồ Chí Minh</t>
        </is>
      </c>
      <c r="G11487" t="inlineStr">
        <is>
          <t>Nhân viên</t>
        </is>
      </c>
      <c r="H11487" t="inlineStr">
        <is>
          <t>16/03/2026</t>
        </is>
      </c>
      <c r="I11487" t="inlineStr">
        <is>
          <t>15/04/2026</t>
        </is>
      </c>
      <c r="J11487" t="inlineStr">
        <is>
          <t>17/03/2026</t>
        </is>
      </c>
      <c r="K11487" t="inlineStr">
        <is>
          <t>N/A</t>
        </is>
      </c>
      <c r="L11487" t="inlineStr">
        <is>
          <t>Content Social, Capcut Pro, Premiere Pro, Video Editor, Photoshop</t>
        </is>
      </c>
      <c r="M11487" t="inlineStr">
        <is>
          <t>Bonus, Team Activities, Others</t>
        </is>
      </c>
      <c r="N11487" s="8">
        <f>HYPERLINK("https://www.vietnamworks.com/chuyen-vien-video-editor-sang-tao-noi-dung-cty-bds-tai-tp-hcm-2023998-jv","Xem chi tiết")</f>
        <v/>
      </c>
    </row>
    <row r="11488">
      <c r="B11488" s="9" t="n">
        <v>11486</v>
      </c>
      <c r="C11488" s="10" t="inlineStr">
        <is>
          <t>Senior CS Engineer or CS Engineer</t>
        </is>
      </c>
      <c r="D11488" s="10" t="inlineStr">
        <is>
          <t>CPG Vietnam Co., Ltd.</t>
        </is>
      </c>
      <c r="E11488" s="10" t="inlineStr">
        <is>
          <t>Thương lượng</t>
        </is>
      </c>
      <c r="F11488" s="10" t="inlineStr">
        <is>
          <t>Hồ Chí Minh</t>
        </is>
      </c>
      <c r="G11488" s="10" t="inlineStr">
        <is>
          <t>Nhân viên</t>
        </is>
      </c>
      <c r="H11488" s="10" t="inlineStr">
        <is>
          <t>16/03/2026</t>
        </is>
      </c>
      <c r="I11488" s="10" t="inlineStr">
        <is>
          <t>15/04/2026</t>
        </is>
      </c>
      <c r="J11488" s="10" t="inlineStr">
        <is>
          <t>17/03/2026</t>
        </is>
      </c>
      <c r="K11488" s="10" t="inlineStr">
        <is>
          <t>N/A</t>
        </is>
      </c>
      <c r="L11488" s="10" t="inlineStr">
        <is>
          <t>MEP, BIM Design, Etabs, SAP2000, Structural Engineering</t>
        </is>
      </c>
      <c r="M11488" s="10" t="inlineStr">
        <is>
          <t>Bonus</t>
        </is>
      </c>
      <c r="N11488" s="11">
        <f>HYPERLINK("https://www.vietnamworks.com/senior-cs-engineer-or-cs-engineer-2024014-jv","Xem chi tiết")</f>
        <v/>
      </c>
      <c r="O11488" s="10" t="n"/>
    </row>
    <row r="11489">
      <c r="B11489" s="7" t="n">
        <v>11487</v>
      </c>
      <c r="C11489" t="inlineStr">
        <is>
          <t>Nhân Viên Điều Hành Tour</t>
        </is>
      </c>
      <c r="D11489" t="inlineStr">
        <is>
          <t>Công Ty TNHH Đầu Tư Thương Mại Và Du Lịch Quốc Tế Hòa Bình (Hoà Bình Group)</t>
        </is>
      </c>
      <c r="E11489" t="inlineStr">
        <is>
          <t>9tr-15tr ₫/tháng</t>
        </is>
      </c>
      <c r="F11489" t="inlineStr">
        <is>
          <t>Hà Nội</t>
        </is>
      </c>
      <c r="G11489" t="inlineStr">
        <is>
          <t>Nhân viên</t>
        </is>
      </c>
      <c r="H11489" t="inlineStr">
        <is>
          <t>16/03/2026</t>
        </is>
      </c>
      <c r="I11489" t="inlineStr">
        <is>
          <t>15/04/2026</t>
        </is>
      </c>
      <c r="J11489" t="inlineStr">
        <is>
          <t>17/03/2026</t>
        </is>
      </c>
      <c r="K11489" t="inlineStr">
        <is>
          <t>N/A</t>
        </is>
      </c>
      <c r="L11489" t="inlineStr">
        <is>
          <t>Tour Management, Client Negotiation, Visa Processing, Collaboration, Bilingual Proficiency</t>
        </is>
      </c>
      <c r="M11489" t="inlineStr">
        <is>
          <t>Bonus, Healthcare Plan, Training, Laptop, Travel Opportunities, Others</t>
        </is>
      </c>
      <c r="N11489" s="8">
        <f>HYPERLINK("https://www.vietnamworks.com/nhan-vien-djieu-hanh-tour-2024017-jv","Xem chi tiết")</f>
        <v/>
      </c>
    </row>
    <row r="11490">
      <c r="B11490" s="9" t="n">
        <v>11488</v>
      </c>
      <c r="C11490" s="10" t="inlineStr">
        <is>
          <t>Nhân Viên Sale Sự Kiện</t>
        </is>
      </c>
      <c r="D11490" s="10" t="inlineStr">
        <is>
          <t>Công Ty TNHH Đầu Tư Thương Mại Và Du Lịch Quốc Tế Hòa Bình (Hoà Bình Group)</t>
        </is>
      </c>
      <c r="E11490" s="10" t="inlineStr">
        <is>
          <t>10tr-20tr ₫/tháng</t>
        </is>
      </c>
      <c r="F11490" s="10" t="inlineStr">
        <is>
          <t>Hà Nội</t>
        </is>
      </c>
      <c r="G11490" s="10" t="inlineStr">
        <is>
          <t>Nhân viên</t>
        </is>
      </c>
      <c r="H11490" s="10" t="inlineStr">
        <is>
          <t>16/03/2026</t>
        </is>
      </c>
      <c r="I11490" s="10" t="inlineStr">
        <is>
          <t>15/04/2026</t>
        </is>
      </c>
      <c r="J11490" s="10" t="inlineStr">
        <is>
          <t>17/03/2026</t>
        </is>
      </c>
      <c r="K11490" s="10" t="inlineStr">
        <is>
          <t>N/A</t>
        </is>
      </c>
      <c r="L11490" s="10" t="inlineStr">
        <is>
          <t>Kỹ năng bán hàng, Giao Tiếp, Thuyết Trình, Đàm Phán, Sáng Tạo</t>
        </is>
      </c>
      <c r="M11490" s="10" t="inlineStr">
        <is>
          <t>Bonus, Healthcare Plan, Training, Laptop, Travel Opportunities, Others</t>
        </is>
      </c>
      <c r="N11490" s="11">
        <f>HYPERLINK("https://www.vietnamworks.com/nhan-vien-sale-su-kien--2024015-jv","Xem chi tiết")</f>
        <v/>
      </c>
      <c r="O11490" s="10" t="n"/>
    </row>
    <row r="11491">
      <c r="B11491" s="7" t="n">
        <v>11489</v>
      </c>
      <c r="C11491" t="inlineStr">
        <is>
          <t>Sales Engineer (Machinery/ Equipment)</t>
        </is>
      </c>
      <c r="D11491" t="inlineStr">
        <is>
          <t>DKSH Vietnam Co., Ltd.</t>
        </is>
      </c>
      <c r="E11491" t="inlineStr">
        <is>
          <t>Thương lượng</t>
        </is>
      </c>
      <c r="F11491" t="inlineStr">
        <is>
          <t>Hồ Chí Minh</t>
        </is>
      </c>
      <c r="G11491" t="inlineStr">
        <is>
          <t>Nhân viên</t>
        </is>
      </c>
      <c r="H11491" t="inlineStr">
        <is>
          <t>16/03/2026</t>
        </is>
      </c>
      <c r="I11491" t="inlineStr">
        <is>
          <t>15/04/2026</t>
        </is>
      </c>
      <c r="J11491" t="inlineStr">
        <is>
          <t>17/03/2026</t>
        </is>
      </c>
      <c r="K11491" t="inlineStr">
        <is>
          <t>N/A</t>
        </is>
      </c>
      <c r="L11491" t="inlineStr">
        <is>
          <t>Mechanical Equipment, Negotiation Skills, sales engineer, Sales Engineering, Technical Sales</t>
        </is>
      </c>
      <c r="M11491" t="inlineStr">
        <is>
          <t>Bonus</t>
        </is>
      </c>
      <c r="N11491" s="8">
        <f>HYPERLINK("https://www.vietnamworks.com/sales-engineer-machinery-equipment-2024000-jv","Xem chi tiết")</f>
        <v/>
      </c>
    </row>
    <row r="11492">
      <c r="B11492" s="9" t="n">
        <v>11490</v>
      </c>
      <c r="C11492" s="10" t="inlineStr">
        <is>
          <t>Sales Analyst (Cp&amp;a Function)</t>
        </is>
      </c>
      <c r="D11492" s="10" t="inlineStr">
        <is>
          <t>Mondelēz Kinh Đô Việt Nam</t>
        </is>
      </c>
      <c r="E11492" s="10" t="inlineStr">
        <is>
          <t>$$ 800-1,000 /tháng</t>
        </is>
      </c>
      <c r="F11492" s="10" t="inlineStr">
        <is>
          <t>Hồ Chí Minh</t>
        </is>
      </c>
      <c r="G11492" s="10" t="inlineStr">
        <is>
          <t>Nhân viên</t>
        </is>
      </c>
      <c r="H11492" s="10" t="inlineStr">
        <is>
          <t>16/03/2026</t>
        </is>
      </c>
      <c r="I11492" s="10" t="inlineStr">
        <is>
          <t>15/04/2026</t>
        </is>
      </c>
      <c r="J11492" s="10" t="inlineStr">
        <is>
          <t>17/03/2026</t>
        </is>
      </c>
      <c r="K11492" s="10" t="inlineStr">
        <is>
          <t>N/A</t>
        </is>
      </c>
      <c r="L11492" s="10" t="inlineStr">
        <is>
          <t>Data Analysis, Trade Marketing, Time Management, PowerBI</t>
        </is>
      </c>
      <c r="M11492" s="10" t="inlineStr">
        <is>
          <t>Bonus, Healthcare Plan, Paid Leave</t>
        </is>
      </c>
      <c r="N11492" s="11">
        <f>HYPERLINK("https://www.vietnamworks.com/sales-analyst-cp-a-function-2024024-jv","Xem chi tiết")</f>
        <v/>
      </c>
      <c r="O11492" s="10" t="n"/>
    </row>
    <row r="11493">
      <c r="B11493" s="7" t="n">
        <v>11491</v>
      </c>
      <c r="C11493" t="inlineStr">
        <is>
          <t>Kỹ Sư Quản Lý Năng Lượng</t>
        </is>
      </c>
      <c r="D11493" t="inlineStr">
        <is>
          <t>Wistron Neweb CORPORATION (WNC)</t>
        </is>
      </c>
      <c r="E11493" t="inlineStr">
        <is>
          <t>Thương lượng</t>
        </is>
      </c>
      <c r="F11493" t="inlineStr">
        <is>
          <t>Hà Nam</t>
        </is>
      </c>
      <c r="G11493" t="inlineStr">
        <is>
          <t>Nhân viên</t>
        </is>
      </c>
      <c r="H11493" t="inlineStr">
        <is>
          <t>16/03/2026</t>
        </is>
      </c>
      <c r="I11493" t="inlineStr">
        <is>
          <t>15/04/2026</t>
        </is>
      </c>
      <c r="J11493" t="inlineStr">
        <is>
          <t>17/03/2026</t>
        </is>
      </c>
      <c r="K11493" t="inlineStr">
        <is>
          <t>N/A</t>
        </is>
      </c>
      <c r="L11493" t="inlineStr">
        <is>
          <t>Giao Tiếp, ISO 14064, Quản Lý Năng Lượng, Kiểm Kê Khí Thải Nhà Kính, Tiếng Trung</t>
        </is>
      </c>
      <c r="M11493" t="inlineStr">
        <is>
          <t>Bonus, Healthcare Plan, Paid Leave, Training, Team Activities, Others</t>
        </is>
      </c>
      <c r="N11493" s="8">
        <f>HYPERLINK("https://www.vietnamworks.com/ky-su-quan-ly-nang-luong-2024010-jv","Xem chi tiết")</f>
        <v/>
      </c>
    </row>
    <row r="11494">
      <c r="B11494" s="9" t="n">
        <v>11492</v>
      </c>
      <c r="C11494" s="10" t="inlineStr">
        <is>
          <t>Chuyên Viên Thủ Tục Ngành Bất Động Sản</t>
        </is>
      </c>
      <c r="D11494" s="10" t="inlineStr">
        <is>
          <t>Công ty TNHH Triệu Quốc Đạt</t>
        </is>
      </c>
      <c r="E11494" s="10" t="inlineStr">
        <is>
          <t>12tr-15tr ₫/tháng</t>
        </is>
      </c>
      <c r="F11494" s="10" t="inlineStr">
        <is>
          <t>Hà Nội</t>
        </is>
      </c>
      <c r="G11494" s="10" t="inlineStr">
        <is>
          <t>Nhân viên</t>
        </is>
      </c>
      <c r="H11494" s="10" t="inlineStr">
        <is>
          <t>16/03/2026</t>
        </is>
      </c>
      <c r="I11494" s="10" t="inlineStr">
        <is>
          <t>15/04/2026</t>
        </is>
      </c>
      <c r="J11494" s="10" t="inlineStr">
        <is>
          <t>17/03/2026</t>
        </is>
      </c>
      <c r="K11494" s="10" t="inlineStr">
        <is>
          <t>N/A</t>
        </is>
      </c>
      <c r="L11494" s="10" t="inlineStr">
        <is>
          <t>Phát Triển Dự Án, Kiểm Soát Hợp Đồng, Dịch Vụ Khách Hàng, Chăm Sóc Khách Hàng, Bất Động Sản</t>
        </is>
      </c>
      <c r="M11494" s="10" t="inlineStr">
        <is>
          <t>Bonus, Healthcare Plan, Paid Leave</t>
        </is>
      </c>
      <c r="N11494" s="11">
        <f>HYPERLINK("https://www.vietnamworks.com/chuyen-vien-thu-tuc-nganh-bat-dong-san--2024021-jv","Xem chi tiết")</f>
        <v/>
      </c>
      <c r="O11494" s="10" t="n"/>
    </row>
    <row r="11495">
      <c r="B11495" s="7" t="n">
        <v>11493</v>
      </c>
      <c r="C11495" t="inlineStr">
        <is>
          <t>Nhân Viên Kho</t>
        </is>
      </c>
      <c r="D11495" t="inlineStr">
        <is>
          <t>Wistron Neweb CORPORATION (WNC)</t>
        </is>
      </c>
      <c r="E11495" t="inlineStr">
        <is>
          <t>Thương lượng</t>
        </is>
      </c>
      <c r="F11495" t="inlineStr">
        <is>
          <t>Hà Nam</t>
        </is>
      </c>
      <c r="G11495" t="inlineStr">
        <is>
          <t>Nhân viên</t>
        </is>
      </c>
      <c r="H11495" t="inlineStr">
        <is>
          <t>16/03/2026</t>
        </is>
      </c>
      <c r="I11495" t="inlineStr">
        <is>
          <t>15/04/2026</t>
        </is>
      </c>
      <c r="J11495" t="inlineStr">
        <is>
          <t>17/03/2026</t>
        </is>
      </c>
      <c r="K11495" t="inlineStr">
        <is>
          <t>N/A</t>
        </is>
      </c>
      <c r="L11495" t="inlineStr">
        <is>
          <t>Quản Lý Kho, Warehouse Management, Tồn Kho Vật Tư, Quản Lý Tồn Kho, Oracle</t>
        </is>
      </c>
      <c r="M11495" t="inlineStr">
        <is>
          <t>Bonus, Healthcare Plan, Awards</t>
        </is>
      </c>
      <c r="N11495" s="8">
        <f>HYPERLINK("https://www.vietnamworks.com/nhan-vien-kho--2024009-jv","Xem chi tiết")</f>
        <v/>
      </c>
    </row>
    <row r="11496">
      <c r="B11496" s="9" t="n">
        <v>11494</v>
      </c>
      <c r="C11496" s="10" t="inlineStr">
        <is>
          <t>Chuyên Viên Quản Trị Doanh Nghiệp</t>
        </is>
      </c>
      <c r="D11496" s="10" t="inlineStr">
        <is>
          <t>Wistron Neweb CORPORATION (WNC)</t>
        </is>
      </c>
      <c r="E11496" s="10" t="inlineStr">
        <is>
          <t>Thương lượng</t>
        </is>
      </c>
      <c r="F11496" s="10" t="inlineStr">
        <is>
          <t>Hà Nam</t>
        </is>
      </c>
      <c r="G11496" s="10" t="inlineStr">
        <is>
          <t>Nhân viên</t>
        </is>
      </c>
      <c r="H11496" s="10" t="inlineStr">
        <is>
          <t>16/03/2026</t>
        </is>
      </c>
      <c r="I11496" s="10" t="inlineStr">
        <is>
          <t>15/04/2026</t>
        </is>
      </c>
      <c r="J11496" s="10" t="inlineStr">
        <is>
          <t>17/03/2026</t>
        </is>
      </c>
      <c r="K11496" s="10" t="inlineStr">
        <is>
          <t>N/A</t>
        </is>
      </c>
      <c r="L11496" s="10" t="inlineStr">
        <is>
          <t>Công Tác Xã Hội, Giao Tiếp, NGO Field, Tiếng Trung, Quản Trị Doanh Nghiệp</t>
        </is>
      </c>
      <c r="M11496" s="10" t="inlineStr">
        <is>
          <t>Bonus, Healthcare Plan, Paid Leave, Training, Team Activities, Others</t>
        </is>
      </c>
      <c r="N11496" s="11">
        <f>HYPERLINK("https://www.vietnamworks.com/chuyen-vien-quan-tri-doanh-nghiep-2024008-jv","Xem chi tiết")</f>
        <v/>
      </c>
      <c r="O11496" s="10" t="n"/>
    </row>
    <row r="11497">
      <c r="B11497" s="7" t="n">
        <v>11495</v>
      </c>
      <c r="C11497" t="inlineStr">
        <is>
          <t>Chuyên Viên Pháp Chế</t>
        </is>
      </c>
      <c r="D11497" t="inlineStr">
        <is>
          <t>Công ty Cổ phần Chứng khoán APG</t>
        </is>
      </c>
      <c r="E11497" t="inlineStr">
        <is>
          <t>Thương lượng</t>
        </is>
      </c>
      <c r="F11497" t="inlineStr">
        <is>
          <t>Hồ Chí Minh</t>
        </is>
      </c>
      <c r="G11497" t="inlineStr">
        <is>
          <t>Nhân viên</t>
        </is>
      </c>
      <c r="H11497" t="inlineStr">
        <is>
          <t>16/03/2026</t>
        </is>
      </c>
      <c r="I11497" t="inlineStr">
        <is>
          <t>15/04/2026</t>
        </is>
      </c>
      <c r="J11497" t="inlineStr">
        <is>
          <t>17/03/2026</t>
        </is>
      </c>
      <c r="K11497" t="inlineStr">
        <is>
          <t>N/A</t>
        </is>
      </c>
      <c r="L11497" t="inlineStr">
        <is>
          <t>Chứng Khoán, Giải Quyết Vấn Đề, Luật Doanh Nghiệp, Luật Ngân Hàng</t>
        </is>
      </c>
      <c r="M11497" t="inlineStr">
        <is>
          <t>Others</t>
        </is>
      </c>
      <c r="N11497" s="8">
        <f>HYPERLINK("https://www.vietnamworks.com/chuyen-vien-phap-che-2024011-jv","Xem chi tiết")</f>
        <v/>
      </c>
    </row>
    <row r="11498">
      <c r="B11498" s="9" t="n">
        <v>11496</v>
      </c>
      <c r="C11498" s="10" t="inlineStr">
        <is>
          <t>Senior Legal Executive</t>
        </is>
      </c>
      <c r="D11498" s="10" t="inlineStr">
        <is>
          <t>Tập Đoàn Karofi Holding</t>
        </is>
      </c>
      <c r="E11498" s="10" t="inlineStr">
        <is>
          <t>Thương lượng</t>
        </is>
      </c>
      <c r="F11498" s="10" t="inlineStr">
        <is>
          <t>Hà Nội</t>
        </is>
      </c>
      <c r="G11498" s="10" t="inlineStr">
        <is>
          <t>Nhân viên</t>
        </is>
      </c>
      <c r="H11498" s="10" t="inlineStr">
        <is>
          <t>16/03/2026</t>
        </is>
      </c>
      <c r="I11498" s="10" t="inlineStr">
        <is>
          <t>15/04/2026</t>
        </is>
      </c>
      <c r="J11498" s="10" t="inlineStr">
        <is>
          <t>17/03/2026</t>
        </is>
      </c>
      <c r="K11498" s="10" t="inlineStr">
        <is>
          <t>N/A</t>
        </is>
      </c>
      <c r="L11498" s="10" t="inlineStr">
        <is>
          <t>Legal advice, Legal Advisory, Legal Risk Analysis</t>
        </is>
      </c>
      <c r="M11498" s="10" t="inlineStr">
        <is>
          <t>Others</t>
        </is>
      </c>
      <c r="N11498" s="11">
        <f>HYPERLINK("https://www.vietnamworks.com/senior-legal-executive-2024025-jv","Xem chi tiết")</f>
        <v/>
      </c>
      <c r="O11498" s="10" t="n"/>
    </row>
    <row r="11499">
      <c r="B11499" s="7" t="n">
        <v>11497</v>
      </c>
      <c r="C11499" t="inlineStr">
        <is>
          <t>Trưởng Nhóm Dịch Vụ Kế Toán</t>
        </is>
      </c>
      <c r="D11499" t="inlineStr">
        <is>
          <t>HSK Vietnam Audit Company Limited</t>
        </is>
      </c>
      <c r="E11499" t="inlineStr">
        <is>
          <t>Thương lượng</t>
        </is>
      </c>
      <c r="F11499" t="inlineStr">
        <is>
          <t>Hà Nội</t>
        </is>
      </c>
      <c r="G11499" t="inlineStr">
        <is>
          <t>Mới Tốt Nghiệp</t>
        </is>
      </c>
      <c r="H11499" t="inlineStr">
        <is>
          <t>16/03/2026</t>
        </is>
      </c>
      <c r="I11499" t="inlineStr">
        <is>
          <t>15/04/2026</t>
        </is>
      </c>
      <c r="J11499" t="inlineStr">
        <is>
          <t>17/03/2026</t>
        </is>
      </c>
      <c r="K11499" t="inlineStr">
        <is>
          <t>N/A</t>
        </is>
      </c>
      <c r="L11499" t="inlineStr">
        <is>
          <t>Báo Cáo Tài Chính, Kiểm Toán, Phần Mềm Kế Toán, Thuế, Tư Vấn Dịch Vụ</t>
        </is>
      </c>
      <c r="M11499" t="inlineStr">
        <is>
          <t>Bonus, Healthcare Plan, Paid Leave, Training, Transportation, Others</t>
        </is>
      </c>
      <c r="N11499" s="8">
        <f>HYPERLINK("https://www.vietnamworks.com/truong-nhom-dich-vu-ke-toan-2024027-jv","Xem chi tiết")</f>
        <v/>
      </c>
    </row>
    <row r="11500">
      <c r="B11500" s="9" t="n">
        <v>11498</v>
      </c>
      <c r="C11500" s="10" t="inlineStr">
        <is>
          <t>Chubb Life - Supervisor, Agency Recruitment (Outsourced)</t>
        </is>
      </c>
      <c r="D11500" s="10" t="inlineStr">
        <is>
          <t>Chubb Life Vietnam</t>
        </is>
      </c>
      <c r="E11500" s="10" t="inlineStr">
        <is>
          <t>Thương lượng</t>
        </is>
      </c>
      <c r="F11500" s="10" t="inlineStr">
        <is>
          <t>Hồ Chí Minh</t>
        </is>
      </c>
      <c r="G11500" s="10" t="inlineStr">
        <is>
          <t>Nhân viên</t>
        </is>
      </c>
      <c r="H11500" s="10" t="inlineStr">
        <is>
          <t>16/03/2026</t>
        </is>
      </c>
      <c r="I11500" s="10" t="inlineStr">
        <is>
          <t>15/04/2026</t>
        </is>
      </c>
      <c r="J11500" s="10" t="inlineStr">
        <is>
          <t>17/03/2026</t>
        </is>
      </c>
      <c r="K11500" s="10" t="inlineStr">
        <is>
          <t>N/A</t>
        </is>
      </c>
      <c r="L11500" s="10" t="inlineStr">
        <is>
          <t>Project Management, Recruiting, Tuyển Dụng, Recruit Activities, Slide Preparation</t>
        </is>
      </c>
      <c r="M11500" s="10" t="inlineStr">
        <is>
          <t>Bonus, Paid Leave</t>
        </is>
      </c>
      <c r="N11500" s="11">
        <f>HYPERLINK("https://www.vietnamworks.com/chubb-life-supervisor-agency-recruitment-outsourced-2024020-jv","Xem chi tiết")</f>
        <v/>
      </c>
      <c r="O11500" s="10" t="n"/>
    </row>
    <row r="11501">
      <c r="B11501" s="7" t="n">
        <v>11499</v>
      </c>
      <c r="C11501" t="inlineStr">
        <is>
          <t>Head Of Human Resources</t>
        </is>
      </c>
      <c r="D11501" t="inlineStr">
        <is>
          <t>Moneyveo Vietnam Company Limited</t>
        </is>
      </c>
      <c r="E11501" t="inlineStr">
        <is>
          <t>Thương lượng</t>
        </is>
      </c>
      <c r="F11501" t="inlineStr">
        <is>
          <t>Hồ Chí Minh</t>
        </is>
      </c>
      <c r="G11501" t="inlineStr">
        <is>
          <t>Trưởng phòng</t>
        </is>
      </c>
      <c r="H11501" t="inlineStr">
        <is>
          <t>16/03/2026</t>
        </is>
      </c>
      <c r="I11501" t="inlineStr">
        <is>
          <t>15/04/2026</t>
        </is>
      </c>
      <c r="J11501" t="inlineStr">
        <is>
          <t>17/03/2026</t>
        </is>
      </c>
      <c r="K11501" t="inlineStr">
        <is>
          <t>N/A</t>
        </is>
      </c>
      <c r="L11501" t="inlineStr">
        <is>
          <t>Commission Management, Hr Strategies Development, Interpersonal Skills, Labor Law, Talent Acquisition</t>
        </is>
      </c>
      <c r="M11501" t="inlineStr">
        <is>
          <t>Bonus, Healthcare Plan, Paid Leave, Training, Travel Opportunities, Team Activities</t>
        </is>
      </c>
      <c r="N11501" s="8">
        <f>HYPERLINK("https://www.vietnamworks.com/head-of-human-resources-2024029-jv","Xem chi tiết")</f>
        <v/>
      </c>
    </row>
    <row r="11502">
      <c r="B11502" s="9" t="n">
        <v>11500</v>
      </c>
      <c r="C11502" s="10" t="inlineStr">
        <is>
          <t>Legal Director</t>
        </is>
      </c>
      <c r="D11502" s="10" t="inlineStr">
        <is>
          <t>Công Ty Cổ Phần Phát Triển Bất Động Sản Filmore</t>
        </is>
      </c>
      <c r="E11502" s="10" t="inlineStr">
        <is>
          <t>Thương lượng</t>
        </is>
      </c>
      <c r="F11502" s="10" t="inlineStr">
        <is>
          <t>Hồ Chí Minh</t>
        </is>
      </c>
      <c r="G11502" s="10" t="inlineStr">
        <is>
          <t>Giám Đốc và Cấp Cao Hơn</t>
        </is>
      </c>
      <c r="H11502" s="10" t="inlineStr">
        <is>
          <t>16/03/2026</t>
        </is>
      </c>
      <c r="I11502" s="10" t="inlineStr">
        <is>
          <t>15/04/2026</t>
        </is>
      </c>
      <c r="J11502" s="10" t="inlineStr">
        <is>
          <t>17/03/2026</t>
        </is>
      </c>
      <c r="K11502" s="10" t="inlineStr">
        <is>
          <t>N/A</t>
        </is>
      </c>
      <c r="L11502" s="10" t="inlineStr">
        <is>
          <t>Communications, Contract Drafting, Dispute Settlement, Legal Advise, Legal Risk Management</t>
        </is>
      </c>
      <c r="M11502" s="10" t="inlineStr">
        <is>
          <t>Bonus</t>
        </is>
      </c>
      <c r="N11502" s="11">
        <f>HYPERLINK("https://www.vietnamworks.com/legal-director-2024030-jv","Xem chi tiết")</f>
        <v/>
      </c>
      <c r="O11502" s="10" t="n"/>
    </row>
    <row r="11503">
      <c r="B11503" s="7" t="n">
        <v>11501</v>
      </c>
      <c r="C11503" t="inlineStr">
        <is>
          <t>Nhân Viên Kỹ Thuật Sản Xuất</t>
        </is>
      </c>
      <c r="D11503" t="inlineStr">
        <is>
          <t>Công Ty TNHH NIPRO Pharma Việt Nam</t>
        </is>
      </c>
      <c r="E11503" t="inlineStr">
        <is>
          <t>Thương lượng</t>
        </is>
      </c>
      <c r="F11503" t="inlineStr">
        <is>
          <t>Hải Phòng</t>
        </is>
      </c>
      <c r="G11503" t="inlineStr">
        <is>
          <t>Nhân viên</t>
        </is>
      </c>
      <c r="H11503" t="inlineStr">
        <is>
          <t>16/03/2026</t>
        </is>
      </c>
      <c r="I11503" t="inlineStr">
        <is>
          <t>15/04/2026</t>
        </is>
      </c>
      <c r="J11503" t="inlineStr">
        <is>
          <t>17/03/2026</t>
        </is>
      </c>
      <c r="K11503" t="inlineStr">
        <is>
          <t>N/A</t>
        </is>
      </c>
      <c r="L11503" t="inlineStr">
        <is>
          <t>Tin Học Văn Phòng, Thẩm Định, Hiệu Chuẩn Thiết Bị, Đo Lường Hiệu Chuẩn, Kỹ Thuật</t>
        </is>
      </c>
      <c r="M11503" t="inlineStr">
        <is>
          <t>Bonus, Healthcare Plan, Others</t>
        </is>
      </c>
      <c r="N11503" s="8">
        <f>HYPERLINK("https://www.vietnamworks.com/nhan-vien-ky-thuat-san-xuat--2024052-jv","Xem chi tiết")</f>
        <v/>
      </c>
    </row>
    <row r="11504">
      <c r="B11504" s="9" t="n">
        <v>11502</v>
      </c>
      <c r="C11504" s="10" t="inlineStr">
        <is>
          <t>Senior Account Executive (Influencer Marketing)</t>
        </is>
      </c>
      <c r="D11504" s="10" t="inlineStr">
        <is>
          <t>Công Ty Cổ Phần Metub Việt Nam</t>
        </is>
      </c>
      <c r="E11504" s="10" t="inlineStr">
        <is>
          <t>Thương lượng</t>
        </is>
      </c>
      <c r="F11504" s="10" t="inlineStr">
        <is>
          <t>Hồ Chí Minh</t>
        </is>
      </c>
      <c r="G11504" s="10" t="inlineStr">
        <is>
          <t>Nhân viên</t>
        </is>
      </c>
      <c r="H11504" s="10" t="inlineStr">
        <is>
          <t>16/03/2026</t>
        </is>
      </c>
      <c r="I11504" s="10" t="inlineStr">
        <is>
          <t>15/04/2026</t>
        </is>
      </c>
      <c r="J11504" s="10" t="inlineStr">
        <is>
          <t>17/03/2026</t>
        </is>
      </c>
      <c r="K11504" s="10" t="inlineStr">
        <is>
          <t>N/A</t>
        </is>
      </c>
      <c r="L11504" s="10" t="inlineStr">
        <is>
          <t>Account Management, Client Service Management, Digital Campaign Execution, Project Management, Kol/Influencer Campaigns</t>
        </is>
      </c>
      <c r="M11504" s="10" t="inlineStr">
        <is>
          <t>Bonus, Healthcare Plan, Training, Others</t>
        </is>
      </c>
      <c r="N11504" s="11">
        <f>HYPERLINK("https://www.vietnamworks.com/senior-account-executive-influencer-marketing-2024050-jv","Xem chi tiết")</f>
        <v/>
      </c>
      <c r="O11504" s="10" t="n"/>
    </row>
    <row r="11505">
      <c r="B11505" s="7" t="n">
        <v>11503</v>
      </c>
      <c r="C11505" t="inlineStr">
        <is>
          <t>Brand &amp; Communications Manager</t>
        </is>
      </c>
      <c r="D11505" t="inlineStr">
        <is>
          <t>CÔNG TY CỔ PHẦN TẬP ĐOÀN Y KHOA SÀI GÒN</t>
        </is>
      </c>
      <c r="E11505" t="inlineStr">
        <is>
          <t>Thương lượng</t>
        </is>
      </c>
      <c r="F11505" t="inlineStr">
        <is>
          <t>Hà Nội</t>
        </is>
      </c>
      <c r="G11505" t="inlineStr">
        <is>
          <t>Trưởng phòng</t>
        </is>
      </c>
      <c r="H11505" t="inlineStr">
        <is>
          <t>16/03/2026</t>
        </is>
      </c>
      <c r="I11505" t="inlineStr">
        <is>
          <t>15/04/2026</t>
        </is>
      </c>
      <c r="J11505" t="inlineStr">
        <is>
          <t>17/03/2026</t>
        </is>
      </c>
      <c r="K11505" t="inlineStr">
        <is>
          <t>N/A</t>
        </is>
      </c>
      <c r="L11505" t="inlineStr">
        <is>
          <t>Brand Management, Data Analysis, Marketing Strategy, Project Management, Team Management</t>
        </is>
      </c>
      <c r="M11505" t="inlineStr">
        <is>
          <t>Bonus, Laptop, Travel Opportunities</t>
        </is>
      </c>
      <c r="N11505" s="8">
        <f>HYPERLINK("https://www.vietnamworks.com/brand-and-communications-manager-2024038-jv","Xem chi tiết")</f>
        <v/>
      </c>
    </row>
    <row r="11506">
      <c r="B11506" s="9" t="n">
        <v>11504</v>
      </c>
      <c r="C11506" s="10" t="inlineStr">
        <is>
          <t>Senior Executive, Report &amp; System Enhancement (SAP FICO)</t>
        </is>
      </c>
      <c r="D11506" s="10" t="inlineStr">
        <is>
          <t>DKSH Vietnam Co., Ltd.</t>
        </is>
      </c>
      <c r="E11506" s="10" t="inlineStr">
        <is>
          <t>$$ 1,500-2,000 /tháng</t>
        </is>
      </c>
      <c r="F11506" s="10" t="inlineStr">
        <is>
          <t>Hồ Chí Minh</t>
        </is>
      </c>
      <c r="G11506" s="10" t="inlineStr">
        <is>
          <t>Trưởng phòng</t>
        </is>
      </c>
      <c r="H11506" s="10" t="inlineStr">
        <is>
          <t>16/03/2026</t>
        </is>
      </c>
      <c r="I11506" s="10" t="inlineStr">
        <is>
          <t>15/04/2026</t>
        </is>
      </c>
      <c r="J11506" s="10" t="inlineStr">
        <is>
          <t>17/03/2026</t>
        </is>
      </c>
      <c r="K11506" s="10" t="inlineStr">
        <is>
          <t>N/A</t>
        </is>
      </c>
      <c r="L11506" s="10" t="inlineStr">
        <is>
          <t>Accounting Standards, RPA, SAP Accounting Software, Fico Knowledge, Power Bi Knowledge</t>
        </is>
      </c>
      <c r="M11506" s="10" t="inlineStr">
        <is>
          <t>Bonus, Healthcare Plan</t>
        </is>
      </c>
      <c r="N11506" s="11">
        <f>HYPERLINK("https://www.vietnamworks.com/senior-executive-report-and-system-enhancement-sap-fico-2024033-jv","Xem chi tiết")</f>
        <v/>
      </c>
      <c r="O11506" s="10" t="n"/>
    </row>
    <row r="11507">
      <c r="B11507" s="7" t="n">
        <v>11505</v>
      </c>
      <c r="C11507" t="inlineStr">
        <is>
          <t>Area Manager (Ho Chi Minh &amp; Binh Duong)</t>
        </is>
      </c>
      <c r="D11507" t="inlineStr">
        <is>
          <t>CÔNG TY TNHH MAXIDI VIỆT NAM</t>
        </is>
      </c>
      <c r="E11507" t="inlineStr">
        <is>
          <t>Thương lượng</t>
        </is>
      </c>
      <c r="F11507" t="inlineStr">
        <is>
          <t>Bình Dương, Hồ Chí Minh</t>
        </is>
      </c>
      <c r="G11507" t="inlineStr">
        <is>
          <t>Trưởng phòng</t>
        </is>
      </c>
      <c r="H11507" t="inlineStr">
        <is>
          <t>16/03/2026</t>
        </is>
      </c>
      <c r="I11507" t="inlineStr">
        <is>
          <t>15/04/2026</t>
        </is>
      </c>
      <c r="J11507" t="inlineStr">
        <is>
          <t>17/03/2026</t>
        </is>
      </c>
      <c r="K11507" t="inlineStr">
        <is>
          <t>N/A</t>
        </is>
      </c>
      <c r="L11507" t="inlineStr">
        <is>
          <t>Business Development, Cost Control, Retail Operation, Revenue Maximization, Store Management</t>
        </is>
      </c>
      <c r="M11507" t="inlineStr">
        <is>
          <t>Bonus, Healthcare Plan, Training, Team Activities, Others</t>
        </is>
      </c>
      <c r="N11507" s="8">
        <f>HYPERLINK("https://www.vietnamworks.com/area-manager-ho-chi-minh-binh-duong-2024034-jv","Xem chi tiết")</f>
        <v/>
      </c>
    </row>
    <row r="11508">
      <c r="B11508" s="9" t="n">
        <v>11506</v>
      </c>
      <c r="C11508" s="10" t="inlineStr">
        <is>
          <t>Phiên Dịch Tiếng Trung / Trợ Lý Dự Án</t>
        </is>
      </c>
      <c r="D11508" s="10" t="inlineStr">
        <is>
          <t>CÔNG TY TNHH KHOA HỌC KỸ THUẬT NĂNG LƯỢNG MỚI LONGSEN VIỆT NAM</t>
        </is>
      </c>
      <c r="E11508" s="10" t="inlineStr">
        <is>
          <t>22tr-25tr ₫/tháng</t>
        </is>
      </c>
      <c r="F11508" s="10" t="inlineStr">
        <is>
          <t>Hải Dương, Hải Phòng</t>
        </is>
      </c>
      <c r="G11508" s="10" t="inlineStr">
        <is>
          <t>Mới Tốt Nghiệp</t>
        </is>
      </c>
      <c r="H11508" s="10" t="inlineStr">
        <is>
          <t>16/03/2026</t>
        </is>
      </c>
      <c r="I11508" s="10" t="inlineStr">
        <is>
          <t>15/04/2026</t>
        </is>
      </c>
      <c r="J11508" s="10" t="inlineStr">
        <is>
          <t>17/03/2026</t>
        </is>
      </c>
      <c r="K11508" s="10" t="inlineStr">
        <is>
          <t>N/A</t>
        </is>
      </c>
      <c r="L11508" s="10" t="inlineStr">
        <is>
          <t>Tin Học Văn Phòng, Giao Tiếp, Admin Task, Phiên dịch tiếng Trung</t>
        </is>
      </c>
      <c r="M11508" s="10" t="inlineStr">
        <is>
          <t>Bonus</t>
        </is>
      </c>
      <c r="N11508" s="11">
        <f>HYPERLINK("https://www.vietnamworks.com/phien-dich-tieng-trung-tro-ly-du-an-2024039-jv","Xem chi tiết")</f>
        <v/>
      </c>
      <c r="O11508" s="10" t="n"/>
    </row>
    <row r="11509">
      <c r="B11509" s="7" t="n">
        <v>11507</v>
      </c>
      <c r="C11509" t="inlineStr">
        <is>
          <t>Trưởng Phòng/ Chuyên Viên Kiểm Soát Nội Bộ (Chuỗi Khách Sạn)</t>
        </is>
      </c>
      <c r="D11509" t="inlineStr">
        <is>
          <t>Công Ty Cổ Phần Đầu Tư Hacom Holdings</t>
        </is>
      </c>
      <c r="E11509" t="inlineStr">
        <is>
          <t>Thương lượng</t>
        </is>
      </c>
      <c r="F11509" t="inlineStr">
        <is>
          <t>Hà Nội</t>
        </is>
      </c>
      <c r="G11509" t="inlineStr">
        <is>
          <t>Trưởng phòng</t>
        </is>
      </c>
      <c r="H11509" t="inlineStr">
        <is>
          <t>16/03/2026</t>
        </is>
      </c>
      <c r="I11509" t="inlineStr">
        <is>
          <t>15/04/2026</t>
        </is>
      </c>
      <c r="J11509" t="inlineStr">
        <is>
          <t>17/03/2026</t>
        </is>
      </c>
      <c r="K11509" t="inlineStr">
        <is>
          <t>N/A</t>
        </is>
      </c>
      <c r="L11509" t="inlineStr">
        <is>
          <t>Kiểm Kê Tài Sản, Kiểm Soát Nội Bộ, Kiểm Soát Vận Hành, Quản Trị Rủi Ro, Tuân Thủ Sops</t>
        </is>
      </c>
      <c r="M11509" t="inlineStr">
        <is>
          <t>Bonus, Paid Leave, Training, Travel Opportunities, Others</t>
        </is>
      </c>
      <c r="N11509" s="8">
        <f>HYPERLINK("https://www.vietnamworks.com/truong-phong-chuyen-vien-kiem-soat-noi-bo-chuoi-khach-san-2024040-jv","Xem chi tiết")</f>
        <v/>
      </c>
    </row>
    <row r="11510">
      <c r="B11510" s="9" t="n">
        <v>11508</v>
      </c>
      <c r="C11510" s="10" t="inlineStr">
        <is>
          <t>Chuyên Viên Kế Toán Thuế</t>
        </is>
      </c>
      <c r="D11510" s="10" t="inlineStr">
        <is>
          <t>Công Ty TNHH Vạn Niên</t>
        </is>
      </c>
      <c r="E11510" s="10" t="inlineStr">
        <is>
          <t>Thương lượng</t>
        </is>
      </c>
      <c r="F11510" s="10" t="inlineStr">
        <is>
          <t>Hà Nội</t>
        </is>
      </c>
      <c r="G11510" s="10" t="inlineStr">
        <is>
          <t>Nhân viên</t>
        </is>
      </c>
      <c r="H11510" s="10" t="inlineStr">
        <is>
          <t>16/03/2026</t>
        </is>
      </c>
      <c r="I11510" s="10" t="inlineStr">
        <is>
          <t>15/04/2026</t>
        </is>
      </c>
      <c r="J11510" s="10" t="inlineStr">
        <is>
          <t>17/03/2026</t>
        </is>
      </c>
      <c r="K11510" s="10" t="inlineStr">
        <is>
          <t>N/A</t>
        </is>
      </c>
      <c r="L11510" s="10" t="inlineStr">
        <is>
          <t>Báo Cáo Tài Chính, Báo Cáo Thuế, Hạch Toán, Lập Chứng Từ Kế Toán, Luật Quản Lý Thuế</t>
        </is>
      </c>
      <c r="M11510" s="10" t="inlineStr">
        <is>
          <t>Bonus</t>
        </is>
      </c>
      <c r="N11510" s="11">
        <f>HYPERLINK("https://www.vietnamworks.com/chuyen-vien-ke-toan-thue-2024035-jv","Xem chi tiết")</f>
        <v/>
      </c>
      <c r="O11510" s="10" t="n"/>
    </row>
    <row r="11511">
      <c r="B11511" s="7" t="n">
        <v>11509</v>
      </c>
      <c r="C11511" t="inlineStr">
        <is>
          <t>Nhân Viên Kế Toán</t>
        </is>
      </c>
      <c r="D11511" t="inlineStr">
        <is>
          <t>CÔNG TY TNHH HOÀNG BẢO KHOA</t>
        </is>
      </c>
      <c r="E11511" t="inlineStr">
        <is>
          <t>9tr-10tr ₫/tháng</t>
        </is>
      </c>
      <c r="F11511" t="inlineStr">
        <is>
          <t>Hồ Chí Minh</t>
        </is>
      </c>
      <c r="G11511" t="inlineStr">
        <is>
          <t>Nhân viên</t>
        </is>
      </c>
      <c r="H11511" t="inlineStr">
        <is>
          <t>16/03/2026</t>
        </is>
      </c>
      <c r="I11511" t="inlineStr">
        <is>
          <t>15/04/2026</t>
        </is>
      </c>
      <c r="J11511" t="inlineStr">
        <is>
          <t>17/03/2026</t>
        </is>
      </c>
      <c r="K11511" t="inlineStr">
        <is>
          <t>N/A</t>
        </is>
      </c>
      <c r="L11511" t="inlineStr">
        <is>
          <t>Nghiệp Vụ Kế Toán, Tập Hợp Chứng Từ, Tính Giá Thành, Xử Lý Hồ Sơ, Đọc Hiểu Tiếng Anh</t>
        </is>
      </c>
      <c r="M11511" t="inlineStr">
        <is>
          <t>Bonus, Healthcare Plan, Training, Others</t>
        </is>
      </c>
      <c r="N11511" s="8">
        <f>HYPERLINK("https://www.vietnamworks.com/nhan-vien-ke-toan-2024042-jv","Xem chi tiết")</f>
        <v/>
      </c>
    </row>
    <row r="11512">
      <c r="B11512" s="9" t="n">
        <v>11510</v>
      </c>
      <c r="C11512" s="10" t="inlineStr">
        <is>
          <t>Chuyên Viên Kế Toán Bán Hàng/ Kế toán công nợ</t>
        </is>
      </c>
      <c r="D11512" s="10" t="inlineStr">
        <is>
          <t>Công Ty Cổ Phần Nhựa Á Đông (Adc Plastic., Jsc)</t>
        </is>
      </c>
      <c r="E11512" s="10" t="inlineStr">
        <is>
          <t>13tr-17tr ₫/tháng</t>
        </is>
      </c>
      <c r="F11512" s="10" t="inlineStr">
        <is>
          <t>Hà Nội</t>
        </is>
      </c>
      <c r="G11512" s="10" t="inlineStr">
        <is>
          <t>Nhân viên</t>
        </is>
      </c>
      <c r="H11512" s="10" t="inlineStr">
        <is>
          <t>16/03/2026</t>
        </is>
      </c>
      <c r="I11512" s="10" t="inlineStr">
        <is>
          <t>15/04/2026</t>
        </is>
      </c>
      <c r="J11512" s="10" t="inlineStr">
        <is>
          <t>17/03/2026</t>
        </is>
      </c>
      <c r="K11512" s="10" t="inlineStr">
        <is>
          <t>N/A</t>
        </is>
      </c>
      <c r="L11512" s="10" t="inlineStr">
        <is>
          <t>Giao Tiếp, Kế Toán, Kiểm Soát Chi Phí, Phần mềm kế toán</t>
        </is>
      </c>
      <c r="M11512" s="10" t="inlineStr">
        <is>
          <t>Bonus, Healthcare Plan, Paid Leave, Laptop, Travel Opportunities, Canteen, Others</t>
        </is>
      </c>
      <c r="N11512" s="11">
        <f>HYPERLINK("https://www.vietnamworks.com/chuyen-vien-ke-toan-ban-hang-ke-toan-cong-no-2024048-jv","Xem chi tiết")</f>
        <v/>
      </c>
      <c r="O11512" s="10" t="n"/>
    </row>
    <row r="11513">
      <c r="B11513" s="7" t="n">
        <v>11511</v>
      </c>
      <c r="C11513" t="inlineStr">
        <is>
          <t>Airfreight Export Executive</t>
        </is>
      </c>
      <c r="D11513" t="inlineStr">
        <is>
          <t>Geodis Vietnam Co. Ltd.</t>
        </is>
      </c>
      <c r="E11513" t="inlineStr">
        <is>
          <t>Thương lượng</t>
        </is>
      </c>
      <c r="F11513" t="inlineStr">
        <is>
          <t>Hồ Chí Minh</t>
        </is>
      </c>
      <c r="G11513" t="inlineStr">
        <is>
          <t>Nhân viên</t>
        </is>
      </c>
      <c r="H11513" t="inlineStr">
        <is>
          <t>16/03/2026</t>
        </is>
      </c>
      <c r="I11513" t="inlineStr">
        <is>
          <t>15/04/2026</t>
        </is>
      </c>
      <c r="J11513" t="inlineStr">
        <is>
          <t>17/03/2026</t>
        </is>
      </c>
      <c r="K11513" t="inlineStr">
        <is>
          <t>N/A</t>
        </is>
      </c>
      <c r="L11513" t="inlineStr">
        <is>
          <t>Logistics, Supply Chain Operation</t>
        </is>
      </c>
      <c r="M11513" t="inlineStr">
        <is>
          <t>Bonus, Healthcare Plan, Awards</t>
        </is>
      </c>
      <c r="N11513" s="8">
        <f>HYPERLINK("https://www.vietnamworks.com/airfreight-export-executive--2024031-jv","Xem chi tiết")</f>
        <v/>
      </c>
    </row>
    <row r="11514">
      <c r="B11514" s="9" t="n">
        <v>11512</v>
      </c>
      <c r="C11514" s="10" t="inlineStr">
        <is>
          <t>Senior Legal Counsel (Construction)</t>
        </is>
      </c>
      <c r="D11514" s="10" t="inlineStr">
        <is>
          <t>Công Ty Cổ Phần Phát Triển Bất Động Sản Filmore</t>
        </is>
      </c>
      <c r="E11514" s="10" t="inlineStr">
        <is>
          <t>Thương lượng</t>
        </is>
      </c>
      <c r="F11514" s="10" t="inlineStr">
        <is>
          <t>Hồ Chí Minh</t>
        </is>
      </c>
      <c r="G11514" s="10" t="inlineStr">
        <is>
          <t>Nhân viên</t>
        </is>
      </c>
      <c r="H11514" s="10" t="inlineStr">
        <is>
          <t>16/03/2026</t>
        </is>
      </c>
      <c r="I11514" s="10" t="inlineStr">
        <is>
          <t>15/04/2026</t>
        </is>
      </c>
      <c r="J11514" s="10" t="inlineStr">
        <is>
          <t>17/03/2026</t>
        </is>
      </c>
      <c r="K11514" s="10" t="inlineStr">
        <is>
          <t>N/A</t>
        </is>
      </c>
      <c r="L11514" s="10" t="inlineStr">
        <is>
          <t>Giao Tiếp, MS Office, Quản Lý Rủi Ro, Soạn Thảo Hợp Đồng, Tư Vấn Pháp Lý</t>
        </is>
      </c>
      <c r="M11514" s="10" t="inlineStr">
        <is>
          <t>Bonus</t>
        </is>
      </c>
      <c r="N11514" s="11">
        <f>HYPERLINK("https://www.vietnamworks.com/senior-legal-counsel-construction-2024045-jv","Xem chi tiết")</f>
        <v/>
      </c>
      <c r="O11514" s="10" t="n"/>
    </row>
    <row r="11515">
      <c r="B11515" s="7" t="n">
        <v>11513</v>
      </c>
      <c r="C11515" t="inlineStr">
        <is>
          <t>Kế Toán Trưởng Khách Sạn Imperial Đà Lạt</t>
        </is>
      </c>
      <c r="D11515" t="inlineStr">
        <is>
          <t>Công Ty Cổ Phần Đầu Tư Hacom Holdings</t>
        </is>
      </c>
      <c r="E11515" t="inlineStr">
        <is>
          <t>Thương lượng</t>
        </is>
      </c>
      <c r="F11515" t="inlineStr">
        <is>
          <t>Lâm Đồng</t>
        </is>
      </c>
      <c r="G11515" t="inlineStr">
        <is>
          <t>Trưởng phòng</t>
        </is>
      </c>
      <c r="H11515" t="inlineStr">
        <is>
          <t>16/03/2026</t>
        </is>
      </c>
      <c r="I11515" t="inlineStr">
        <is>
          <t>15/04/2026</t>
        </is>
      </c>
      <c r="J11515" t="inlineStr">
        <is>
          <t>17/03/2026</t>
        </is>
      </c>
      <c r="K11515" t="inlineStr">
        <is>
          <t>N/A</t>
        </is>
      </c>
      <c r="L11515" t="inlineStr">
        <is>
          <t>Phân Tích Tài Chính, Báo Cáo Tài Chính, Kiểm Soát Tài Chính, Quản Lý Công Nợ, Quản Lý Điều Hành</t>
        </is>
      </c>
      <c r="M11515" t="inlineStr">
        <is>
          <t>Bonus, Healthcare Plan, Paid Leave, Training, Travel Opportunities, Others</t>
        </is>
      </c>
      <c r="N11515" s="8">
        <f>HYPERLINK("https://www.vietnamworks.com/ke-toan-truong-khach-san-imperial-dja-lat-2024049-jv","Xem chi tiết")</f>
        <v/>
      </c>
    </row>
    <row r="11516">
      <c r="B11516" s="9" t="n">
        <v>11514</v>
      </c>
      <c r="C11516" s="10" t="inlineStr">
        <is>
          <t>Quản Lý Sản Phẩm Và Marketing (PMM)</t>
        </is>
      </c>
      <c r="D11516" s="10" t="inlineStr">
        <is>
          <t>Công Ty TNHH Vạn Niên</t>
        </is>
      </c>
      <c r="E11516" s="10" t="inlineStr">
        <is>
          <t>$$ 800-1,500 /tháng</t>
        </is>
      </c>
      <c r="F11516" s="10" t="inlineStr">
        <is>
          <t>Hà Nội</t>
        </is>
      </c>
      <c r="G11516" s="10" t="inlineStr">
        <is>
          <t>Nhân viên</t>
        </is>
      </c>
      <c r="H11516" s="10" t="inlineStr">
        <is>
          <t>16/03/2026</t>
        </is>
      </c>
      <c r="I11516" s="10" t="inlineStr">
        <is>
          <t>15/04/2026</t>
        </is>
      </c>
      <c r="J11516" s="10" t="inlineStr">
        <is>
          <t>17/03/2026</t>
        </is>
      </c>
      <c r="K11516" s="10" t="inlineStr">
        <is>
          <t>N/A</t>
        </is>
      </c>
      <c r="L11516" s="10" t="inlineStr">
        <is>
          <t>Giao Tiếp, Marketing Development, Phân Tích Thị Trường, Quản Lý Sản Phẩm, Tiếng Anh</t>
        </is>
      </c>
      <c r="M11516" s="10" t="inlineStr">
        <is>
          <t>Bonus, Healthcare Plan, Training, Others</t>
        </is>
      </c>
      <c r="N11516" s="11">
        <f>HYPERLINK("https://www.vietnamworks.com/quan-ly-san-pham-va-marketing-pmm-2024043-jv","Xem chi tiết")</f>
        <v/>
      </c>
      <c r="O11516" s="10" t="n"/>
    </row>
    <row r="11517">
      <c r="B11517" s="7" t="n">
        <v>11515</v>
      </c>
      <c r="C11517" t="inlineStr">
        <is>
          <t>Human Resources Director</t>
        </is>
      </c>
      <c r="D11517" t="inlineStr">
        <is>
          <t>Công Ty Cổ Phần Phát Triển Bất Động Sản Filmore</t>
        </is>
      </c>
      <c r="E11517" t="inlineStr">
        <is>
          <t>$$ 4,000-5,000 /tháng</t>
        </is>
      </c>
      <c r="F11517" t="inlineStr">
        <is>
          <t>Hồ Chí Minh</t>
        </is>
      </c>
      <c r="G11517" t="inlineStr">
        <is>
          <t>Giám Đốc và Cấp Cao Hơn</t>
        </is>
      </c>
      <c r="H11517" t="inlineStr">
        <is>
          <t>16/03/2026</t>
        </is>
      </c>
      <c r="I11517" t="inlineStr">
        <is>
          <t>15/04/2026</t>
        </is>
      </c>
      <c r="J11517" t="inlineStr">
        <is>
          <t>17/03/2026</t>
        </is>
      </c>
      <c r="K11517" t="inlineStr">
        <is>
          <t>N/A</t>
        </is>
      </c>
      <c r="L11517" t="inlineStr">
        <is>
          <t>Giao Tiếp Tiếng Anh, Lãnh Đạo, Phát Triển Cộng Đồng, Quản Lý Nhân Sự, Đàm Phán</t>
        </is>
      </c>
      <c r="M11517" t="inlineStr">
        <is>
          <t>Bonus</t>
        </is>
      </c>
      <c r="N11517" s="8">
        <f>HYPERLINK("https://www.vietnamworks.com/human-resources-director-2024051-jv","Xem chi tiết")</f>
        <v/>
      </c>
    </row>
    <row r="11518">
      <c r="B11518" s="9" t="n">
        <v>11516</v>
      </c>
      <c r="C11518" s="10" t="inlineStr">
        <is>
          <t>Chuyên Viên Kinh Doanh</t>
        </is>
      </c>
      <c r="D11518" s="10" t="inlineStr">
        <is>
          <t>Công Ty Cổ Phần Hesman Việt Nam</t>
        </is>
      </c>
      <c r="E11518" s="10" t="inlineStr">
        <is>
          <t>$$ 500-1,000 /tháng</t>
        </is>
      </c>
      <c r="F11518" s="10" t="inlineStr">
        <is>
          <t>Hà Nội, Hồ Chí Minh</t>
        </is>
      </c>
      <c r="G11518" s="10" t="inlineStr">
        <is>
          <t>Nhân viên</t>
        </is>
      </c>
      <c r="H11518" s="10" t="inlineStr">
        <is>
          <t>16/03/2026</t>
        </is>
      </c>
      <c r="I11518" s="10" t="inlineStr">
        <is>
          <t>15/04/2026</t>
        </is>
      </c>
      <c r="J11518" s="10" t="inlineStr">
        <is>
          <t>17/03/2026</t>
        </is>
      </c>
      <c r="K11518" s="10" t="inlineStr">
        <is>
          <t>N/A</t>
        </is>
      </c>
      <c r="L11518" s="10" t="inlineStr">
        <is>
          <t>Kinh Doanh, Bán Hàng Kỹ Thuật, Bán Hàng, Bán Hàng Điện Tử, Sales Engineering</t>
        </is>
      </c>
      <c r="M11518" s="10" t="inlineStr">
        <is>
          <t>Bonus, Paid Leave, Travel Opportunities</t>
        </is>
      </c>
      <c r="N11518" s="11">
        <f>HYPERLINK("https://www.vietnamworks.com/chuyen-vien-kinh-doanh--2024053-jv","Xem chi tiết")</f>
        <v/>
      </c>
      <c r="O11518" s="10" t="n"/>
    </row>
    <row r="11519">
      <c r="B11519" s="7" t="n">
        <v>11517</v>
      </c>
      <c r="C11519" t="inlineStr">
        <is>
          <t>Quản Lý Kinh Doanh Khu Vực (Hà Nội, Đà Nẵng, HCM)</t>
        </is>
      </c>
      <c r="D11519" t="inlineStr">
        <is>
          <t>Công Ty TNHH Vạn Niên</t>
        </is>
      </c>
      <c r="E11519" t="inlineStr">
        <is>
          <t>Thương lượng</t>
        </is>
      </c>
      <c r="F11519" t="inlineStr">
        <is>
          <t>Hà Nội, Đà Nẵng, Hồ Chí Minh</t>
        </is>
      </c>
      <c r="G11519" t="inlineStr">
        <is>
          <t>Trưởng phòng</t>
        </is>
      </c>
      <c r="H11519" t="inlineStr">
        <is>
          <t>16/03/2026</t>
        </is>
      </c>
      <c r="I11519" t="inlineStr">
        <is>
          <t>15/04/2026</t>
        </is>
      </c>
      <c r="J11519" t="inlineStr">
        <is>
          <t>17/03/2026</t>
        </is>
      </c>
      <c r="K11519" t="inlineStr">
        <is>
          <t>N/A</t>
        </is>
      </c>
      <c r="L11519" t="inlineStr">
        <is>
          <t>Kế Hoạch Kinh Doanh, Phát Triển Kinh Doanh, Quản Lý Đội Nhóm, Xét Nghiệm Y Tế, Quản Lý Dự Án</t>
        </is>
      </c>
      <c r="M11519" t="inlineStr">
        <is>
          <t>Bonus, Healthcare Plan, Training, Others</t>
        </is>
      </c>
      <c r="N11519" s="8">
        <f>HYPERLINK("https://www.vietnamworks.com/quan-ly-kinh-doanh-khu-vuc-ha-noi-dja-nang-hcm-2024054-jv","Xem chi tiết")</f>
        <v/>
      </c>
    </row>
    <row r="11520">
      <c r="B11520" s="9" t="n">
        <v>11518</v>
      </c>
      <c r="C11520" s="10" t="inlineStr">
        <is>
          <t>Chuyên Viên Ứng Dụng Và Phát Triển Sản Phẩm</t>
        </is>
      </c>
      <c r="D11520" s="10" t="inlineStr">
        <is>
          <t>Công Ty TNHH Vạn Niên</t>
        </is>
      </c>
      <c r="E11520" s="10" t="inlineStr">
        <is>
          <t>Thương lượng</t>
        </is>
      </c>
      <c r="F11520" s="10" t="inlineStr">
        <is>
          <t>Hà Nội, Hồ Chí Minh</t>
        </is>
      </c>
      <c r="G11520" s="10" t="inlineStr">
        <is>
          <t>Nhân viên</t>
        </is>
      </c>
      <c r="H11520" s="10" t="inlineStr">
        <is>
          <t>16/03/2026</t>
        </is>
      </c>
      <c r="I11520" s="10" t="inlineStr">
        <is>
          <t>15/04/2026</t>
        </is>
      </c>
      <c r="J11520" s="10" t="inlineStr">
        <is>
          <t>17/03/2026</t>
        </is>
      </c>
      <c r="K11520" s="10" t="inlineStr">
        <is>
          <t>N/A</t>
        </is>
      </c>
      <c r="L11520" s="10" t="inlineStr">
        <is>
          <t>Hóa Sinh, Tiếng Anh, Xét Nghiệm Y Học, Y Dược, Điện Tử Y Sinh</t>
        </is>
      </c>
      <c r="M11520" s="10" t="inlineStr">
        <is>
          <t>Bonus, Training, Others</t>
        </is>
      </c>
      <c r="N11520" s="11">
        <f>HYPERLINK("https://www.vietnamworks.com/chuyen-vien-ung-dung-va-phat-trien-san-pham-2024057-jv","Xem chi tiết")</f>
        <v/>
      </c>
      <c r="O11520" s="10" t="n"/>
    </row>
    <row r="11521">
      <c r="B11521" s="7" t="n">
        <v>11519</v>
      </c>
      <c r="C11521" t="inlineStr">
        <is>
          <t>Logistics Operator (Remote)</t>
        </is>
      </c>
      <c r="D11521" t="inlineStr">
        <is>
          <t>1st Choice Freight Service Inc.</t>
        </is>
      </c>
      <c r="E11521" t="inlineStr">
        <is>
          <t>Thương lượng</t>
        </is>
      </c>
      <c r="F11521" t="inlineStr">
        <is>
          <t>Hồ Chí Minh, Bình Dương, Đồng Nai</t>
        </is>
      </c>
      <c r="G11521" t="inlineStr">
        <is>
          <t>Nhân viên</t>
        </is>
      </c>
      <c r="H11521" t="inlineStr">
        <is>
          <t>16/03/2026</t>
        </is>
      </c>
      <c r="I11521" t="inlineStr">
        <is>
          <t>15/04/2026</t>
        </is>
      </c>
      <c r="J11521" t="inlineStr">
        <is>
          <t>17/03/2026</t>
        </is>
      </c>
      <c r="K11521" t="inlineStr">
        <is>
          <t>N/A</t>
        </is>
      </c>
      <c r="L11521" t="inlineStr">
        <is>
          <t>Xuất Nhập Khẩu, Logistics, Freight Forwarding, Shipment Management, Chinese</t>
        </is>
      </c>
      <c r="M11521" t="inlineStr">
        <is>
          <t>Bonus</t>
        </is>
      </c>
      <c r="N11521" s="8">
        <f>HYPERLINK("https://www.vietnamworks.com/logistics-operator-remote--2024065-jv","Xem chi tiết")</f>
        <v/>
      </c>
    </row>
    <row r="11522">
      <c r="B11522" s="9" t="n">
        <v>11520</v>
      </c>
      <c r="C11522" s="10" t="inlineStr">
        <is>
          <t>Nam Nhân Viên Kinh Doanh - Thu Nhập Upto 40Tr/tháng</t>
        </is>
      </c>
      <c r="D11522" s="10" t="inlineStr">
        <is>
          <t>Công ty TNHH Manfusi Việt Nam</t>
        </is>
      </c>
      <c r="E11522" s="10" t="inlineStr">
        <is>
          <t>Tới 40tr ₫/tháng</t>
        </is>
      </c>
      <c r="F11522" s="10" t="inlineStr">
        <is>
          <t>Hà Nội, Hồ Chí Minh, Đà Nẵng</t>
        </is>
      </c>
      <c r="G11522" s="10" t="inlineStr">
        <is>
          <t>Mới Tốt Nghiệp</t>
        </is>
      </c>
      <c r="H11522" s="10" t="inlineStr">
        <is>
          <t>16/03/2026</t>
        </is>
      </c>
      <c r="I11522" s="10" t="inlineStr">
        <is>
          <t>15/04/2026</t>
        </is>
      </c>
      <c r="J11522" s="10" t="inlineStr">
        <is>
          <t>17/03/2026</t>
        </is>
      </c>
      <c r="K11522" s="10" t="inlineStr">
        <is>
          <t>N/A</t>
        </is>
      </c>
      <c r="L11522" s="10" t="inlineStr">
        <is>
          <t>Bán Hàng, Solar Power, Solar Sales, Xây Dựng, Thiết Bị</t>
        </is>
      </c>
      <c r="M11522" s="10" t="inlineStr">
        <is>
          <t>Bonus, Healthcare Plan, Training, Others</t>
        </is>
      </c>
      <c r="N11522" s="11">
        <f>HYPERLINK("https://www.vietnamworks.com/nam-nhan-vien-kinh-doanh-thu-nhap-upto-40tr-thang-2024059-jv","Xem chi tiết")</f>
        <v/>
      </c>
      <c r="O11522" s="10" t="n"/>
    </row>
    <row r="11523">
      <c r="B11523" s="7" t="n">
        <v>11521</v>
      </c>
      <c r="C11523" t="inlineStr">
        <is>
          <t>Facility Technician (Automation) (New Factory)</t>
        </is>
      </c>
      <c r="D11523" t="inlineStr">
        <is>
          <t>Công ty TNHH Panasonic Electric Works Việt Nam</t>
        </is>
      </c>
      <c r="E11523" t="inlineStr">
        <is>
          <t>Thương lượng</t>
        </is>
      </c>
      <c r="F11523" t="inlineStr">
        <is>
          <t>Hồ Chí Minh</t>
        </is>
      </c>
      <c r="G11523" t="inlineStr">
        <is>
          <t>Nhân viên</t>
        </is>
      </c>
      <c r="H11523" t="inlineStr">
        <is>
          <t>16/03/2026</t>
        </is>
      </c>
      <c r="I11523" t="inlineStr">
        <is>
          <t>15/04/2026</t>
        </is>
      </c>
      <c r="J11523" t="inlineStr">
        <is>
          <t>17/03/2026</t>
        </is>
      </c>
      <c r="K11523" t="inlineStr">
        <is>
          <t>N/A</t>
        </is>
      </c>
      <c r="L11523" t="inlineStr">
        <is>
          <t>Automation System Design, Java System, Logical Thinking, Power BI, Python Programming</t>
        </is>
      </c>
      <c r="M11523" t="inlineStr">
        <is>
          <t>Bonus, Healthcare Plan, Paid Leave, Training, Team Activities</t>
        </is>
      </c>
      <c r="N11523" s="8">
        <f>HYPERLINK("https://www.vietnamworks.com/facility-technician-automation-new-factory-2024071-jv","Xem chi tiết")</f>
        <v/>
      </c>
    </row>
    <row r="11524">
      <c r="B11524" s="9" t="n">
        <v>11522</v>
      </c>
      <c r="C11524" s="10" t="inlineStr">
        <is>
          <t>QE (Kỹ Sư Chất Lượng)</t>
        </is>
      </c>
      <c r="D11524" s="10" t="inlineStr">
        <is>
          <t>CÔNG TY TNHH CÔNG NGHỆ VÀ CHIẾU SÁNG NVC VIỆT NAM</t>
        </is>
      </c>
      <c r="E11524" s="10" t="inlineStr">
        <is>
          <t>15tr-20tr ₫/tháng</t>
        </is>
      </c>
      <c r="F11524" s="10" t="inlineStr">
        <is>
          <t>Bắc Ninh</t>
        </is>
      </c>
      <c r="G11524" s="10" t="inlineStr">
        <is>
          <t>Nhân viên</t>
        </is>
      </c>
      <c r="H11524" s="10" t="inlineStr">
        <is>
          <t>16/03/2026</t>
        </is>
      </c>
      <c r="I11524" s="10" t="inlineStr">
        <is>
          <t>15/04/2026</t>
        </is>
      </c>
      <c r="J11524" s="10" t="inlineStr">
        <is>
          <t>17/03/2026</t>
        </is>
      </c>
      <c r="K11524" s="10" t="inlineStr">
        <is>
          <t>N/A</t>
        </is>
      </c>
      <c r="L11524" s="10" t="inlineStr">
        <is>
          <t>ISO 9001, Kiểm Tra Chất Lượng, Quản Lý Chất Lượng, Quản Lý Sản Xuất, Tiếng Trung</t>
        </is>
      </c>
      <c r="M11524" s="10" t="inlineStr">
        <is>
          <t>Bonus</t>
        </is>
      </c>
      <c r="N11524" s="11">
        <f>HYPERLINK("https://www.vietnamworks.com/qe-ky-su-chat-luong-2024060-jv","Xem chi tiết")</f>
        <v/>
      </c>
      <c r="O11524" s="10" t="n"/>
    </row>
    <row r="11525">
      <c r="B11525" s="7" t="n">
        <v>11523</v>
      </c>
      <c r="C11525" t="inlineStr">
        <is>
          <t>中文财务会计 - Finance Accounting Chinese/English Speaker</t>
        </is>
      </c>
      <c r="D11525" t="inlineStr">
        <is>
          <t>AI-CHA FOOD VIET NAM CO.,LTD</t>
        </is>
      </c>
      <c r="E11525" t="inlineStr">
        <is>
          <t>$$ 600-1,500 /tháng</t>
        </is>
      </c>
      <c r="F11525" t="inlineStr">
        <is>
          <t>Hồ Chí Minh</t>
        </is>
      </c>
      <c r="G11525" t="inlineStr">
        <is>
          <t>Nhân viên</t>
        </is>
      </c>
      <c r="H11525" t="inlineStr">
        <is>
          <t>16/03/2026</t>
        </is>
      </c>
      <c r="I11525" t="inlineStr">
        <is>
          <t>15/04/2026</t>
        </is>
      </c>
      <c r="J11525" t="inlineStr">
        <is>
          <t>17/03/2026</t>
        </is>
      </c>
      <c r="K11525" t="inlineStr">
        <is>
          <t>N/A</t>
        </is>
      </c>
      <c r="L11525" t="inlineStr">
        <is>
          <t>Finance &amp; Accounting, Tax &amp; Accounting, Accounting, Financial Accounting, Finance</t>
        </is>
      </c>
      <c r="M11525" t="inlineStr">
        <is>
          <t>Others</t>
        </is>
      </c>
      <c r="N11525" s="8">
        <f>HYPERLINK("https://www.vietnamworks.com/soko-dou-finance-accounting-chinese-english-speaker-2024086-jv","Xem chi tiết")</f>
        <v/>
      </c>
    </row>
    <row r="11526">
      <c r="B11526" s="9" t="n">
        <v>11524</v>
      </c>
      <c r="C11526" s="10" t="inlineStr">
        <is>
          <t>Senior Fashion Designer (Womenswear, US Market)</t>
        </is>
      </c>
      <c r="D11526" s="10" t="inlineStr">
        <is>
          <t>Crossian Việt Nam</t>
        </is>
      </c>
      <c r="E11526" s="10" t="inlineStr">
        <is>
          <t>Thương lượng</t>
        </is>
      </c>
      <c r="F11526" s="10" t="inlineStr">
        <is>
          <t>Hồ Chí Minh, Hà Nội</t>
        </is>
      </c>
      <c r="G11526" s="10" t="inlineStr">
        <is>
          <t>Nhân viên</t>
        </is>
      </c>
      <c r="H11526" s="10" t="inlineStr">
        <is>
          <t>16/03/2026</t>
        </is>
      </c>
      <c r="I11526" s="10" t="inlineStr">
        <is>
          <t>15/04/2026</t>
        </is>
      </c>
      <c r="J11526" s="10" t="inlineStr">
        <is>
          <t>17/03/2026</t>
        </is>
      </c>
      <c r="K11526" s="10" t="inlineStr">
        <is>
          <t>N/A</t>
        </is>
      </c>
      <c r="L11526" s="10" t="inlineStr">
        <is>
          <t>Technical Design, Fashion Design, Adobe Illustrator, English, Concept Design</t>
        </is>
      </c>
      <c r="M11526" s="10" t="inlineStr">
        <is>
          <t>Bonus, Healthcare Plan, Others</t>
        </is>
      </c>
      <c r="N11526" s="11">
        <f>HYPERLINK("https://www.vietnamworks.com/senior-fashion-designer-womenswear-us-market-2024076-jv","Xem chi tiết")</f>
        <v/>
      </c>
      <c r="O11526" s="10" t="n"/>
    </row>
    <row r="11527">
      <c r="B11527" s="7" t="n">
        <v>11525</v>
      </c>
      <c r="C11527" t="inlineStr">
        <is>
          <t>Product Manager (HR Tech)</t>
        </is>
      </c>
      <c r="D11527" t="inlineStr">
        <is>
          <t>Navigos Group</t>
        </is>
      </c>
      <c r="E11527" t="inlineStr">
        <is>
          <t>Thương lượng</t>
        </is>
      </c>
      <c r="F11527" t="inlineStr">
        <is>
          <t>Hồ Chí Minh</t>
        </is>
      </c>
      <c r="G11527" t="inlineStr">
        <is>
          <t>Trưởng phòng</t>
        </is>
      </c>
      <c r="H11527" t="inlineStr">
        <is>
          <t>16/03/2026</t>
        </is>
      </c>
      <c r="I11527" t="inlineStr">
        <is>
          <t>15/04/2026</t>
        </is>
      </c>
      <c r="J11527" t="inlineStr">
        <is>
          <t>17/03/2026</t>
        </is>
      </c>
      <c r="K11527" t="inlineStr">
        <is>
          <t>N/A</t>
        </is>
      </c>
      <c r="L11527" t="inlineStr">
        <is>
          <t>Project Management, Dynamic Problem Solver, Analytical, English, Business</t>
        </is>
      </c>
      <c r="M11527" t="inlineStr">
        <is>
          <t>Healthcare Plan, Paid Leave, Training</t>
        </is>
      </c>
      <c r="N11527" s="8">
        <f>HYPERLINK("https://www.vietnamworks.com/product-manager-hr-tech--2024074-jv","Xem chi tiết")</f>
        <v/>
      </c>
    </row>
    <row r="11528">
      <c r="B11528" s="9" t="n">
        <v>11526</v>
      </c>
      <c r="C11528" s="10" t="inlineStr">
        <is>
          <t>Trưởng Phòng Marketing</t>
        </is>
      </c>
      <c r="D11528" s="10" t="inlineStr">
        <is>
          <t>Asiafoods Corporation</t>
        </is>
      </c>
      <c r="E11528" s="10" t="inlineStr">
        <is>
          <t>Thương lượng</t>
        </is>
      </c>
      <c r="F11528" s="10" t="inlineStr">
        <is>
          <t>Hà Nội</t>
        </is>
      </c>
      <c r="G11528" s="10" t="inlineStr">
        <is>
          <t>Giám Đốc và Cấp Cao Hơn</t>
        </is>
      </c>
      <c r="H11528" s="10" t="inlineStr">
        <is>
          <t>16/03/2026</t>
        </is>
      </c>
      <c r="I11528" s="10" t="inlineStr">
        <is>
          <t>15/04/2026</t>
        </is>
      </c>
      <c r="J11528" s="10" t="inlineStr">
        <is>
          <t>17/03/2026</t>
        </is>
      </c>
      <c r="K11528" s="10" t="inlineStr">
        <is>
          <t>N/A</t>
        </is>
      </c>
      <c r="L11528" s="10" t="inlineStr">
        <is>
          <t>Branding, Brand Management, FMCG</t>
        </is>
      </c>
      <c r="M11528" s="10" t="inlineStr">
        <is>
          <t>Bonus, Training, Laptop</t>
        </is>
      </c>
      <c r="N11528" s="11">
        <f>HYPERLINK("https://www.vietnamworks.com/truong-phong-marketing--2024064-jv","Xem chi tiết")</f>
        <v/>
      </c>
      <c r="O11528" s="10" t="n"/>
    </row>
    <row r="11529">
      <c r="B11529" s="7" t="n">
        <v>11527</v>
      </c>
      <c r="C11529" t="inlineStr">
        <is>
          <t>IT Support Staff</t>
        </is>
      </c>
      <c r="D11529" t="inlineStr">
        <is>
          <t>Nexon Networks Vina Co. Ltd,</t>
        </is>
      </c>
      <c r="E11529" t="inlineStr">
        <is>
          <t>Thương lượng</t>
        </is>
      </c>
      <c r="F11529" t="inlineStr">
        <is>
          <t>Hồ Chí Minh</t>
        </is>
      </c>
      <c r="G11529" t="inlineStr">
        <is>
          <t>Nhân viên</t>
        </is>
      </c>
      <c r="H11529" t="inlineStr">
        <is>
          <t>16/03/2026</t>
        </is>
      </c>
      <c r="I11529" t="inlineStr">
        <is>
          <t>15/04/2026</t>
        </is>
      </c>
      <c r="J11529" t="inlineStr">
        <is>
          <t>17/03/2026</t>
        </is>
      </c>
      <c r="K11529" t="inlineStr">
        <is>
          <t>N/A</t>
        </is>
      </c>
      <c r="L11529" t="inlineStr">
        <is>
          <t>English, Software Installation, IT Support, Security, Tiếng Anh</t>
        </is>
      </c>
      <c r="M11529" t="inlineStr">
        <is>
          <t>Bonus, Training, Transportation</t>
        </is>
      </c>
      <c r="N11529" s="8">
        <f>HYPERLINK("https://www.vietnamworks.com/it-support-staff--2024067-jv","Xem chi tiết")</f>
        <v/>
      </c>
    </row>
    <row r="11530">
      <c r="B11530" s="9" t="n">
        <v>11528</v>
      </c>
      <c r="C11530" s="10" t="inlineStr">
        <is>
          <t>Kế Toán Tổng Hợp (Costing)</t>
        </is>
      </c>
      <c r="D11530" s="10" t="inlineStr">
        <is>
          <t>Binh Tây Food</t>
        </is>
      </c>
      <c r="E11530" s="10" t="inlineStr">
        <is>
          <t>Thương lượng</t>
        </is>
      </c>
      <c r="F11530" s="10" t="inlineStr">
        <is>
          <t>Hồ Chí Minh</t>
        </is>
      </c>
      <c r="G11530" s="10" t="inlineStr">
        <is>
          <t>Nhân viên</t>
        </is>
      </c>
      <c r="H11530" s="10" t="inlineStr">
        <is>
          <t>16/03/2026</t>
        </is>
      </c>
      <c r="I11530" s="10" t="inlineStr">
        <is>
          <t>15/04/2026</t>
        </is>
      </c>
      <c r="J11530" s="10" t="inlineStr">
        <is>
          <t>17/03/2026</t>
        </is>
      </c>
      <c r="K11530" s="10" t="inlineStr">
        <is>
          <t>N/A</t>
        </is>
      </c>
      <c r="L11530" s="10" t="inlineStr">
        <is>
          <t>Costing, Kế Toán Chi Phí, Tài Chính Kế Toán, Accountant, Kế Toán Tổng Hợp</t>
        </is>
      </c>
      <c r="M11530" s="10" t="inlineStr">
        <is>
          <t>Bonus, Healthcare Plan, Others</t>
        </is>
      </c>
      <c r="N11530" s="11">
        <f>HYPERLINK("https://www.vietnamworks.com/ke-toan-tong-hop-costing-2024073-jv","Xem chi tiết")</f>
        <v/>
      </c>
      <c r="O11530" s="10" t="n"/>
    </row>
    <row r="11531">
      <c r="B11531" s="7" t="n">
        <v>11529</v>
      </c>
      <c r="C11531" t="inlineStr">
        <is>
          <t>Trade &amp; Shopper Marketing Specialist</t>
        </is>
      </c>
      <c r="D11531" t="inlineStr">
        <is>
          <t>Công Ty Cổ Phần Sữa Việt Nam (Vinamilk)</t>
        </is>
      </c>
      <c r="E11531" t="inlineStr">
        <is>
          <t>$$ 500-1,500 /tháng</t>
        </is>
      </c>
      <c r="F11531" t="inlineStr">
        <is>
          <t>Hồ Chí Minh</t>
        </is>
      </c>
      <c r="G11531" t="inlineStr">
        <is>
          <t>Nhân viên</t>
        </is>
      </c>
      <c r="H11531" t="inlineStr">
        <is>
          <t>16/03/2026</t>
        </is>
      </c>
      <c r="I11531" t="inlineStr">
        <is>
          <t>15/04/2026</t>
        </is>
      </c>
      <c r="J11531" t="inlineStr">
        <is>
          <t>17/03/2026</t>
        </is>
      </c>
      <c r="K11531" t="inlineStr">
        <is>
          <t>N/A</t>
        </is>
      </c>
      <c r="L11531" t="inlineStr">
        <is>
          <t>Communication, Data Analysis, E-commerce, Retail Marketing, Trade Marketing</t>
        </is>
      </c>
      <c r="M11531" t="inlineStr">
        <is>
          <t>Bonus, Laptop</t>
        </is>
      </c>
      <c r="N11531" s="8">
        <f>HYPERLINK("https://www.vietnamworks.com/trade-and-shopper-marketing-specialist-2024072-jv","Xem chi tiết")</f>
        <v/>
      </c>
    </row>
    <row r="11532">
      <c r="B11532" s="9" t="n">
        <v>11530</v>
      </c>
      <c r="C11532" s="10" t="inlineStr">
        <is>
          <t>Support Engineer L1</t>
        </is>
      </c>
      <c r="D11532" s="10" t="inlineStr">
        <is>
          <t>Nakivo</t>
        </is>
      </c>
      <c r="E11532" s="10" t="inlineStr">
        <is>
          <t>$$ 900-1,200 /tháng</t>
        </is>
      </c>
      <c r="F11532" s="10" t="inlineStr">
        <is>
          <t>Hồ Chí Minh</t>
        </is>
      </c>
      <c r="G11532" s="10" t="inlineStr">
        <is>
          <t>Nhân viên</t>
        </is>
      </c>
      <c r="H11532" s="10" t="inlineStr">
        <is>
          <t>16/03/2026</t>
        </is>
      </c>
      <c r="I11532" s="10" t="inlineStr">
        <is>
          <t>15/04/2026</t>
        </is>
      </c>
      <c r="J11532" s="10" t="inlineStr">
        <is>
          <t>17/03/2026</t>
        </is>
      </c>
      <c r="K11532" s="10" t="inlineStr">
        <is>
          <t>N/A</t>
        </is>
      </c>
      <c r="L11532" s="10" t="inlineStr">
        <is>
          <t>Customer Orientation, HyperV, Linux OS, Microsoft Windows Servers, Vmware</t>
        </is>
      </c>
      <c r="M11532" s="10" t="inlineStr">
        <is>
          <t>Bonus, Healthcare Plan, Paid Leave, Awards, Team Activities, Others</t>
        </is>
      </c>
      <c r="N11532" s="11">
        <f>HYPERLINK("https://www.vietnamworks.com/support-engineer-l1-2024084-jv","Xem chi tiết")</f>
        <v/>
      </c>
      <c r="O11532" s="10" t="n"/>
    </row>
    <row r="11533">
      <c r="B11533" s="7" t="n">
        <v>11531</v>
      </c>
      <c r="C11533" t="inlineStr">
        <is>
          <t>Nhân Viên Chất Lượng Hệ Thống QS</t>
        </is>
      </c>
      <c r="D11533" t="inlineStr">
        <is>
          <t>Wistron Neweb CORPORATION (WNC)</t>
        </is>
      </c>
      <c r="E11533" t="inlineStr">
        <is>
          <t>Thương lượng</t>
        </is>
      </c>
      <c r="F11533" t="inlineStr">
        <is>
          <t>Hà Nam</t>
        </is>
      </c>
      <c r="G11533" t="inlineStr">
        <is>
          <t>Nhân viên</t>
        </is>
      </c>
      <c r="H11533" t="inlineStr">
        <is>
          <t>16/03/2026</t>
        </is>
      </c>
      <c r="I11533" t="inlineStr">
        <is>
          <t>15/04/2026</t>
        </is>
      </c>
      <c r="J11533" t="inlineStr">
        <is>
          <t>17/03/2026</t>
        </is>
      </c>
      <c r="K11533" t="inlineStr">
        <is>
          <t>N/A</t>
        </is>
      </c>
      <c r="L11533" t="inlineStr">
        <is>
          <t>IATF 16949:2016, ISO 9001, Quản Lý Chất Lượng, Tiếng Anh, Tiếng Trung</t>
        </is>
      </c>
      <c r="M11533" t="inlineStr">
        <is>
          <t>Bonus, Healthcare Plan, Paid Leave, Training, Team Activities, Others</t>
        </is>
      </c>
      <c r="N11533" s="8">
        <f>HYPERLINK("https://www.vietnamworks.com/nhan-vien-chat-luong-he-thong-qs-2024068-jv","Xem chi tiết")</f>
        <v/>
      </c>
    </row>
    <row r="11534">
      <c r="B11534" s="9" t="n">
        <v>11532</v>
      </c>
      <c r="C11534" s="10" t="inlineStr">
        <is>
          <t>CSA Pre-Construction Manager</t>
        </is>
      </c>
      <c r="D11534" s="10" t="inlineStr">
        <is>
          <t>CÔNG TY TNHH IG ASIA VIỆT NAM</t>
        </is>
      </c>
      <c r="E11534" s="10" t="inlineStr">
        <is>
          <t>Thương lượng</t>
        </is>
      </c>
      <c r="F11534" s="10" t="inlineStr">
        <is>
          <t>Hồ Chí Minh</t>
        </is>
      </c>
      <c r="G11534" s="10" t="inlineStr">
        <is>
          <t>Trưởng phòng</t>
        </is>
      </c>
      <c r="H11534" s="10" t="inlineStr">
        <is>
          <t>16/03/2026</t>
        </is>
      </c>
      <c r="I11534" s="10" t="inlineStr">
        <is>
          <t>15/04/2026</t>
        </is>
      </c>
      <c r="J11534" s="10" t="inlineStr">
        <is>
          <t>17/03/2026</t>
        </is>
      </c>
      <c r="K11534" s="10" t="inlineStr">
        <is>
          <t>N/A</t>
        </is>
      </c>
      <c r="L11534" s="10" t="inlineStr">
        <is>
          <t>Architecture Drawing, Cost Management, Design Management, Leadership, Structure</t>
        </is>
      </c>
      <c r="M11534" s="10" t="inlineStr">
        <is>
          <t>Bonus, Healthcare Plan, Paid Leave, Awards, Team Activities, Others</t>
        </is>
      </c>
      <c r="N11534" s="11">
        <f>HYPERLINK("https://www.vietnamworks.com/csa-pre-construction-manager-2024069-jv","Xem chi tiết")</f>
        <v/>
      </c>
      <c r="O11534" s="10" t="n"/>
    </row>
    <row r="11535">
      <c r="B11535" s="7" t="n">
        <v>11533</v>
      </c>
      <c r="C11535" t="inlineStr">
        <is>
          <t>Nhân Viên Vận Hành Máy Sắc Ký Lỏng</t>
        </is>
      </c>
      <c r="D11535" t="inlineStr">
        <is>
          <t>Công ty Cổ phần Dược phẩm Hà Tây</t>
        </is>
      </c>
      <c r="E11535" t="inlineStr">
        <is>
          <t>Thương lượng</t>
        </is>
      </c>
      <c r="F11535" t="inlineStr">
        <is>
          <t>Hà Nội</t>
        </is>
      </c>
      <c r="G11535" t="inlineStr">
        <is>
          <t>Nhân viên</t>
        </is>
      </c>
      <c r="H11535" t="inlineStr">
        <is>
          <t>16/03/2026</t>
        </is>
      </c>
      <c r="I11535" t="inlineStr">
        <is>
          <t>15/04/2026</t>
        </is>
      </c>
      <c r="J11535" t="inlineStr">
        <is>
          <t>17/03/2026</t>
        </is>
      </c>
      <c r="K11535" t="inlineStr">
        <is>
          <t>N/A</t>
        </is>
      </c>
      <c r="L11535" t="inlineStr">
        <is>
          <t>Bảo Trì Máy, Hóa Phân Tích, HPLC machine, Kỹ Thuật Xét Nghiệm, Máy Sắc Ký Hplc</t>
        </is>
      </c>
      <c r="M11535" t="inlineStr">
        <is>
          <t>Healthcare Plan, Paid Leave, Training, Awards, Team Activities, Others</t>
        </is>
      </c>
      <c r="N11535" s="8">
        <f>HYPERLINK("https://www.vietnamworks.com/nhan-vien-van-hanh-may-sac-ky-long-2024085-jv","Xem chi tiết")</f>
        <v/>
      </c>
    </row>
    <row r="11536">
      <c r="B11536" s="9" t="n">
        <v>11534</v>
      </c>
      <c r="C11536" s="10" t="inlineStr">
        <is>
          <t>3D Designer (Intimate/ Outerwear Fashion Products, US Market)</t>
        </is>
      </c>
      <c r="D11536" s="10" t="inlineStr">
        <is>
          <t>Crossian Việt Nam</t>
        </is>
      </c>
      <c r="E11536" s="10" t="inlineStr">
        <is>
          <t>Thương lượng</t>
        </is>
      </c>
      <c r="F11536" s="10" t="inlineStr">
        <is>
          <t>Hồ Chí Minh, Hà Nội</t>
        </is>
      </c>
      <c r="G11536" s="10" t="inlineStr">
        <is>
          <t>Nhân viên</t>
        </is>
      </c>
      <c r="H11536" s="10" t="inlineStr">
        <is>
          <t>16/03/2026</t>
        </is>
      </c>
      <c r="I11536" s="10" t="inlineStr">
        <is>
          <t>15/04/2026</t>
        </is>
      </c>
      <c r="J11536" s="10" t="inlineStr">
        <is>
          <t>17/03/2026</t>
        </is>
      </c>
      <c r="K11536" s="10" t="inlineStr">
        <is>
          <t>N/A</t>
        </is>
      </c>
      <c r="L11536" s="10" t="inlineStr">
        <is>
          <t>Pattern Making, Fashion Design, Visualization, Apparel, 3D Design</t>
        </is>
      </c>
      <c r="M11536" s="10" t="inlineStr">
        <is>
          <t>Bonus, Healthcare Plan, Others</t>
        </is>
      </c>
      <c r="N11536" s="11">
        <f>HYPERLINK("https://www.vietnamworks.com/3d-designer-intimate-outerwear-fashion-products-us-market-2024078-jv","Xem chi tiết")</f>
        <v/>
      </c>
      <c r="O11536" s="10" t="n"/>
    </row>
    <row r="11537">
      <c r="B11537" s="7" t="n">
        <v>11535</v>
      </c>
      <c r="C11537" t="inlineStr">
        <is>
          <t>Nhân Viên Kế Hoạch Sản Xuất (Production Planning Executive)</t>
        </is>
      </c>
      <c r="D11537" t="inlineStr">
        <is>
          <t>Binh Tây Food</t>
        </is>
      </c>
      <c r="E11537" t="inlineStr">
        <is>
          <t>Thương lượng</t>
        </is>
      </c>
      <c r="F11537" t="inlineStr">
        <is>
          <t>Hồ Chí Minh</t>
        </is>
      </c>
      <c r="G11537" t="inlineStr">
        <is>
          <t>Nhân viên</t>
        </is>
      </c>
      <c r="H11537" t="inlineStr">
        <is>
          <t>16/03/2026</t>
        </is>
      </c>
      <c r="I11537" t="inlineStr">
        <is>
          <t>15/04/2026</t>
        </is>
      </c>
      <c r="J11537" t="inlineStr">
        <is>
          <t>17/03/2026</t>
        </is>
      </c>
      <c r="K11537" t="inlineStr">
        <is>
          <t>N/A</t>
        </is>
      </c>
      <c r="L11537" t="inlineStr">
        <is>
          <t>Kế Hoạch Sản Xuất, Production Planning, Food Processing, KẾ HOẠCH, Thực phẩm</t>
        </is>
      </c>
      <c r="M11537" t="inlineStr">
        <is>
          <t>Bonus, Healthcare Plan, Others</t>
        </is>
      </c>
      <c r="N11537" s="8">
        <f>HYPERLINK("https://www.vietnamworks.com/nhan-vien-ke-hoach-san-xuat-production-planning-executive-2024077-jv","Xem chi tiết")</f>
        <v/>
      </c>
    </row>
    <row r="11538">
      <c r="B11538" s="9" t="n">
        <v>11536</v>
      </c>
      <c r="C11538" s="10" t="inlineStr">
        <is>
          <t>Project Coordinator - Nhân Viên Điều Phối Dự Án</t>
        </is>
      </c>
      <c r="D11538" s="10" t="inlineStr">
        <is>
          <t>Golden Owl Solutions Corporation</t>
        </is>
      </c>
      <c r="E11538" s="10" t="inlineStr">
        <is>
          <t>Thương lượng</t>
        </is>
      </c>
      <c r="F11538" s="10" t="inlineStr">
        <is>
          <t>Hồ Chí Minh</t>
        </is>
      </c>
      <c r="G11538" s="10" t="inlineStr">
        <is>
          <t>Nhân viên</t>
        </is>
      </c>
      <c r="H11538" s="10" t="inlineStr">
        <is>
          <t>16/03/2026</t>
        </is>
      </c>
      <c r="I11538" s="10" t="inlineStr">
        <is>
          <t>15/04/2026</t>
        </is>
      </c>
      <c r="J11538" s="10" t="inlineStr">
        <is>
          <t>17/03/2026</t>
        </is>
      </c>
      <c r="K11538" s="10" t="inlineStr">
        <is>
          <t>N/A</t>
        </is>
      </c>
      <c r="L11538" s="10" t="inlineStr">
        <is>
          <t>Agile, Jira, Jira Data Center, Project Management, Scrum</t>
        </is>
      </c>
      <c r="M11538" s="10" t="inlineStr">
        <is>
          <t>Bonus, Healthcare Plan, Paid Leave, Training, Team Activities, Others</t>
        </is>
      </c>
      <c r="N11538" s="11">
        <f>HYPERLINK("https://www.vietnamworks.com/project-coordinator-nhan-vien-dieu-phoi-du-an--2024080-jv","Xem chi tiết")</f>
        <v/>
      </c>
      <c r="O11538" s="10" t="n"/>
    </row>
    <row r="11539">
      <c r="B11539" s="7" t="n">
        <v>11537</v>
      </c>
      <c r="C11539" t="inlineStr">
        <is>
          <t>Chuyên Viên Chính Pháp Lý Dự Án Đầu Tư</t>
        </is>
      </c>
      <c r="D11539" t="inlineStr">
        <is>
          <t>T&amp;T Group</t>
        </is>
      </c>
      <c r="E11539" t="inlineStr">
        <is>
          <t>Thương lượng</t>
        </is>
      </c>
      <c r="F11539" t="inlineStr">
        <is>
          <t>Hà Nội</t>
        </is>
      </c>
      <c r="G11539" t="inlineStr">
        <is>
          <t>Nhân viên</t>
        </is>
      </c>
      <c r="H11539" t="inlineStr">
        <is>
          <t>16/03/2026</t>
        </is>
      </c>
      <c r="I11539" t="inlineStr">
        <is>
          <t>15/04/2026</t>
        </is>
      </c>
      <c r="J11539" t="inlineStr">
        <is>
          <t>17/03/2026</t>
        </is>
      </c>
      <c r="K11539" t="inlineStr">
        <is>
          <t>N/A</t>
        </is>
      </c>
      <c r="L11539" t="inlineStr">
        <is>
          <t>Pháp Lý Dự Án Đầu Tư, Pháp Lý Dự Án, Luật Xây Dựng</t>
        </is>
      </c>
      <c r="M11539" t="inlineStr">
        <is>
          <t>Bonus, Healthcare Plan, Others</t>
        </is>
      </c>
      <c r="N11539" s="8">
        <f>HYPERLINK("https://www.vietnamworks.com/chuyen-vien-chinh-phap-ly-du-an-dau-tu--2024083-jv","Xem chi tiết")</f>
        <v/>
      </c>
    </row>
    <row r="11540">
      <c r="B11540" s="9" t="n">
        <v>11538</v>
      </c>
      <c r="C11540" s="10" t="inlineStr">
        <is>
          <t>Operation Executive - Sea Export</t>
        </is>
      </c>
      <c r="D11540" s="10" t="inlineStr">
        <is>
          <t>HECNY SHIPPING VIETNAM COMPANY LIMITED</t>
        </is>
      </c>
      <c r="E11540" s="10" t="inlineStr">
        <is>
          <t>Thương lượng</t>
        </is>
      </c>
      <c r="F11540" s="10" t="inlineStr">
        <is>
          <t>Hồ Chí Minh</t>
        </is>
      </c>
      <c r="G11540" s="10" t="inlineStr">
        <is>
          <t>Nhân viên</t>
        </is>
      </c>
      <c r="H11540" s="10" t="inlineStr">
        <is>
          <t>16/03/2026</t>
        </is>
      </c>
      <c r="I11540" s="10" t="inlineStr">
        <is>
          <t>15/04/2026</t>
        </is>
      </c>
      <c r="J11540" s="10" t="inlineStr">
        <is>
          <t>17/03/2026</t>
        </is>
      </c>
      <c r="K11540" s="10" t="inlineStr">
        <is>
          <t>N/A</t>
        </is>
      </c>
      <c r="L11540" s="10" t="inlineStr">
        <is>
          <t>Customer Service, Microsoft Office, Shipping Documents, Bill Of Lading, English</t>
        </is>
      </c>
      <c r="M11540" s="10" t="inlineStr">
        <is>
          <t>Others</t>
        </is>
      </c>
      <c r="N11540" s="11">
        <f>HYPERLINK("https://www.vietnamworks.com/operation-executive-sea-export-2024091-jv","Xem chi tiết")</f>
        <v/>
      </c>
      <c r="O11540" s="10" t="n"/>
    </row>
    <row r="11541">
      <c r="B11541" s="7" t="n">
        <v>11539</v>
      </c>
      <c r="C11541" t="inlineStr">
        <is>
          <t>Sales Executive (Ho Chi Minh City)</t>
        </is>
      </c>
      <c r="D11541" t="inlineStr">
        <is>
          <t>HECNY SHIPPING VIETNAM COMPANY LIMITED</t>
        </is>
      </c>
      <c r="E11541" t="inlineStr">
        <is>
          <t>Thương lượng</t>
        </is>
      </c>
      <c r="F11541" t="inlineStr">
        <is>
          <t>Hồ Chí Minh</t>
        </is>
      </c>
      <c r="G11541" t="inlineStr">
        <is>
          <t>Nhân viên</t>
        </is>
      </c>
      <c r="H11541" t="inlineStr">
        <is>
          <t>16/03/2026</t>
        </is>
      </c>
      <c r="I11541" t="inlineStr">
        <is>
          <t>15/04/2026</t>
        </is>
      </c>
      <c r="J11541" t="inlineStr">
        <is>
          <t>17/03/2026</t>
        </is>
      </c>
      <c r="K11541" t="inlineStr">
        <is>
          <t>N/A</t>
        </is>
      </c>
      <c r="L11541" t="inlineStr">
        <is>
          <t>Complaint Handling, Customer Service, Negotiation Skills, Relationship Building, Sales Planning</t>
        </is>
      </c>
      <c r="M11541" t="inlineStr">
        <is>
          <t>Others</t>
        </is>
      </c>
      <c r="N11541" s="8">
        <f>HYPERLINK("https://www.vietnamworks.com/sales-executive-ho-chi-minh-city-2024094-jv","Xem chi tiết")</f>
        <v/>
      </c>
    </row>
    <row r="11542">
      <c r="B11542" s="9" t="n">
        <v>11540</v>
      </c>
      <c r="C11542" s="10" t="inlineStr">
        <is>
          <t>Kỹ Sư PE</t>
        </is>
      </c>
      <c r="D11542" s="10" t="inlineStr">
        <is>
          <t>Atarih Precision (Vietnam)Co.,ltd</t>
        </is>
      </c>
      <c r="E11542" s="10" t="inlineStr">
        <is>
          <t>Thương lượng</t>
        </is>
      </c>
      <c r="F11542" s="10" t="inlineStr">
        <is>
          <t>Hải Phòng</t>
        </is>
      </c>
      <c r="G11542" s="10" t="inlineStr">
        <is>
          <t>Nhân viên</t>
        </is>
      </c>
      <c r="H11542" s="10" t="inlineStr">
        <is>
          <t>16/03/2026</t>
        </is>
      </c>
      <c r="I11542" s="10" t="inlineStr">
        <is>
          <t>15/04/2026</t>
        </is>
      </c>
      <c r="J11542" s="10" t="inlineStr">
        <is>
          <t>17/03/2026</t>
        </is>
      </c>
      <c r="K11542" s="10" t="inlineStr">
        <is>
          <t>N/A</t>
        </is>
      </c>
      <c r="L11542" s="10" t="inlineStr">
        <is>
          <t>Tự Động Hóa, Lập Trình PLC, AutoCAD, HMI, Xử Lý Sự Cố</t>
        </is>
      </c>
      <c r="M11542" s="10" t="inlineStr">
        <is>
          <t>Bonus, Travel Opportunities, Transportation</t>
        </is>
      </c>
      <c r="N11542" s="11">
        <f>HYPERLINK("https://www.vietnamworks.com/ky-su-pe--2024100-jv","Xem chi tiết")</f>
        <v/>
      </c>
      <c r="O11542" s="10" t="n"/>
    </row>
    <row r="11543">
      <c r="B11543" s="7" t="n">
        <v>11541</v>
      </c>
      <c r="C11543" t="inlineStr">
        <is>
          <t>Chuyên Viên Kinh Doanh Mảng Cho Thuê Văn Phòng</t>
        </is>
      </c>
      <c r="D11543" t="inlineStr">
        <is>
          <t>Công Ty Cổ Phần Du Lịch Thương Mại Và Đầu Tư Thủ Đô</t>
        </is>
      </c>
      <c r="E11543" t="inlineStr">
        <is>
          <t>$$ 700-1,000 /tháng</t>
        </is>
      </c>
      <c r="F11543" t="inlineStr">
        <is>
          <t>Hà Nội</t>
        </is>
      </c>
      <c r="G11543" t="inlineStr">
        <is>
          <t>Nhân viên</t>
        </is>
      </c>
      <c r="H11543" t="inlineStr">
        <is>
          <t>16/03/2026</t>
        </is>
      </c>
      <c r="I11543" t="inlineStr">
        <is>
          <t>15/04/2026</t>
        </is>
      </c>
      <c r="J11543" t="inlineStr">
        <is>
          <t>17/03/2026</t>
        </is>
      </c>
      <c r="K11543" t="inlineStr">
        <is>
          <t>N/A</t>
        </is>
      </c>
      <c r="L11543" t="inlineStr">
        <is>
          <t>Tìm Kiếm Khách Hàng, Leasing, Cho Thuê Văn Phòng, Phát Triển Kinh Doanh, Kinh Doanh</t>
        </is>
      </c>
      <c r="M11543" t="inlineStr">
        <is>
          <t>Bonus, Healthcare Plan, Travel Opportunities</t>
        </is>
      </c>
      <c r="N11543" s="8">
        <f>HYPERLINK("https://www.vietnamworks.com/chuyen-vien-kinh-doanh-mang-cho-thue-van-phong-2024096-jv","Xem chi tiết")</f>
        <v/>
      </c>
    </row>
    <row r="11544">
      <c r="B11544" s="9" t="n">
        <v>11542</v>
      </c>
      <c r="C11544" s="10" t="inlineStr">
        <is>
          <t>Finance Manager</t>
        </is>
      </c>
      <c r="D11544" s="10" t="inlineStr">
        <is>
          <t>CÔNG TY CỔ PHẦN CHUỖI NHÀ HÀNG SVN</t>
        </is>
      </c>
      <c r="E11544" s="10" t="inlineStr">
        <is>
          <t>Thương lượng</t>
        </is>
      </c>
      <c r="F11544" s="10" t="inlineStr">
        <is>
          <t>Hà Nội</t>
        </is>
      </c>
      <c r="G11544" s="10" t="inlineStr">
        <is>
          <t>Trưởng phòng</t>
        </is>
      </c>
      <c r="H11544" s="10" t="inlineStr">
        <is>
          <t>16/03/2026</t>
        </is>
      </c>
      <c r="I11544" s="10" t="inlineStr">
        <is>
          <t>15/04/2026</t>
        </is>
      </c>
      <c r="J11544" s="10" t="inlineStr">
        <is>
          <t>17/03/2026</t>
        </is>
      </c>
      <c r="K11544" s="10" t="inlineStr">
        <is>
          <t>N/A</t>
        </is>
      </c>
      <c r="L11544" s="10" t="inlineStr">
        <is>
          <t>Tài Chính, FP&amp;A</t>
        </is>
      </c>
      <c r="M11544" s="10" t="inlineStr">
        <is>
          <t>Paid Leave, Vouchers</t>
        </is>
      </c>
      <c r="N11544" s="11">
        <f>HYPERLINK("https://www.vietnamworks.com/finance-manager-2024087-jv","Xem chi tiết")</f>
        <v/>
      </c>
      <c r="O11544" s="10" t="n"/>
    </row>
    <row r="11545">
      <c r="B11545" s="7" t="n">
        <v>11543</v>
      </c>
      <c r="C11545" t="inlineStr">
        <is>
          <t>Chuyên Viên Marketing 360 – Bất Động Sản</t>
        </is>
      </c>
      <c r="D11545" t="inlineStr">
        <is>
          <t>Alphanam Group</t>
        </is>
      </c>
      <c r="E11545" t="inlineStr">
        <is>
          <t>20tr-30tr ₫/tháng</t>
        </is>
      </c>
      <c r="F11545" t="inlineStr">
        <is>
          <t>Hà Nội</t>
        </is>
      </c>
      <c r="G11545" t="inlineStr">
        <is>
          <t>Nhân viên</t>
        </is>
      </c>
      <c r="H11545" t="inlineStr">
        <is>
          <t>16/03/2026</t>
        </is>
      </c>
      <c r="I11545" t="inlineStr">
        <is>
          <t>15/04/2026</t>
        </is>
      </c>
      <c r="J11545" t="inlineStr">
        <is>
          <t>17/03/2026</t>
        </is>
      </c>
      <c r="K11545" t="inlineStr">
        <is>
          <t>N/A</t>
        </is>
      </c>
      <c r="L11545" t="inlineStr">
        <is>
          <t>Content Creation, English Language Proficiency, Event Organizing, Marketing 360 Process, Real Estate Business</t>
        </is>
      </c>
      <c r="M11545" t="inlineStr">
        <is>
          <t>Bonus, Training, Awards, Vouchers</t>
        </is>
      </c>
      <c r="N11545" s="8">
        <f>HYPERLINK("https://www.vietnamworks.com/chuyen-vien-marketing-360-bat-djong-san-2024093-jv","Xem chi tiết")</f>
        <v/>
      </c>
    </row>
    <row r="11546">
      <c r="B11546" s="9" t="n">
        <v>11544</v>
      </c>
      <c r="C11546" s="10" t="inlineStr">
        <is>
          <t>FAC Lead Maintenance Technician, Hanoi-2026-06</t>
        </is>
      </c>
      <c r="D11546" s="10" t="inlineStr">
        <is>
          <t>U.S. Mission Vietnam – U.S. Embassy In Hanoi</t>
        </is>
      </c>
      <c r="E11546" s="10" t="inlineStr">
        <is>
          <t>Thương lượng</t>
        </is>
      </c>
      <c r="F11546" s="10" t="inlineStr">
        <is>
          <t>Hà Nội</t>
        </is>
      </c>
      <c r="G11546" s="10" t="inlineStr">
        <is>
          <t>Nhân viên</t>
        </is>
      </c>
      <c r="H11546" s="10" t="inlineStr">
        <is>
          <t>16/03/2026</t>
        </is>
      </c>
      <c r="I11546" s="10" t="inlineStr">
        <is>
          <t>15/04/2026</t>
        </is>
      </c>
      <c r="J11546" s="10" t="inlineStr">
        <is>
          <t>17/03/2026</t>
        </is>
      </c>
      <c r="K11546" s="10" t="inlineStr">
        <is>
          <t>N/A</t>
        </is>
      </c>
      <c r="L11546" s="10" t="inlineStr">
        <is>
          <t>Plumbing, HVAC, Building Systems, Equipment Maintenance, Reporting</t>
        </is>
      </c>
      <c r="M11546" s="10" t="inlineStr">
        <is>
          <t>Bonus, Healthcare Plan, Others</t>
        </is>
      </c>
      <c r="N11546" s="11">
        <f>HYPERLINK("https://www.vietnamworks.com/fac-lead-maintenance-technician-hanoi-2026-06-2024090-jv","Xem chi tiết")</f>
        <v/>
      </c>
      <c r="O11546" s="10" t="n"/>
    </row>
    <row r="11547">
      <c r="B11547" s="7" t="n">
        <v>11545</v>
      </c>
      <c r="C11547" t="inlineStr">
        <is>
          <t>Air Operation Supervisor</t>
        </is>
      </c>
      <c r="D11547" t="inlineStr">
        <is>
          <t>AG WORLD TRANSPORT (VIETNAM) CO., LTD.</t>
        </is>
      </c>
      <c r="E11547" t="inlineStr">
        <is>
          <t>Thương lượng</t>
        </is>
      </c>
      <c r="F11547" t="inlineStr">
        <is>
          <t>Hà Nội</t>
        </is>
      </c>
      <c r="G11547" t="inlineStr">
        <is>
          <t>Nhân viên</t>
        </is>
      </c>
      <c r="H11547" t="inlineStr">
        <is>
          <t>16/03/2026</t>
        </is>
      </c>
      <c r="I11547" t="inlineStr">
        <is>
          <t>15/04/2026</t>
        </is>
      </c>
      <c r="J11547" t="inlineStr">
        <is>
          <t>17/03/2026</t>
        </is>
      </c>
      <c r="K11547" t="inlineStr">
        <is>
          <t>N/A</t>
        </is>
      </c>
      <c r="L11547" t="inlineStr">
        <is>
          <t>Air Freight Logistics, Communication Skills, Logistics Management, MS Office</t>
        </is>
      </c>
      <c r="M11547" t="inlineStr">
        <is>
          <t>Healthcare Plan, Laptop, Others</t>
        </is>
      </c>
      <c r="N11547" s="8">
        <f>HYPERLINK("https://www.vietnamworks.com/air-operation-supervisor-2024097-jv","Xem chi tiết")</f>
        <v/>
      </c>
    </row>
    <row r="11548">
      <c r="B11548" s="9" t="n">
        <v>11546</v>
      </c>
      <c r="C11548" s="10" t="inlineStr">
        <is>
          <t>Kiến Trúc Sư Thiết Kế</t>
        </is>
      </c>
      <c r="D11548" s="10" t="inlineStr">
        <is>
          <t>Công Ty Cổ Phần Tập Đoàn Thành Nam</t>
        </is>
      </c>
      <c r="E11548" s="10" t="inlineStr">
        <is>
          <t>17tr-30tr ₫/tháng</t>
        </is>
      </c>
      <c r="F11548" s="10" t="inlineStr">
        <is>
          <t>Hà Nội</t>
        </is>
      </c>
      <c r="G11548" s="10" t="inlineStr">
        <is>
          <t>Nhân viên</t>
        </is>
      </c>
      <c r="H11548" s="10" t="inlineStr">
        <is>
          <t>16/03/2026</t>
        </is>
      </c>
      <c r="I11548" s="10" t="inlineStr">
        <is>
          <t>15/04/2026</t>
        </is>
      </c>
      <c r="J11548" s="10" t="inlineStr">
        <is>
          <t>17/03/2026</t>
        </is>
      </c>
      <c r="K11548" s="10" t="inlineStr">
        <is>
          <t>N/A</t>
        </is>
      </c>
      <c r="L11548" s="10" t="inlineStr">
        <is>
          <t>Kiến Trúc Công Trình, AutoCAD, 3DSMAX, Photoshop, MS Office</t>
        </is>
      </c>
      <c r="M11548" s="10" t="inlineStr">
        <is>
          <t>Bonus, Healthcare Plan, Paid Leave, Team Activities, Others</t>
        </is>
      </c>
      <c r="N11548" s="11">
        <f>HYPERLINK("https://www.vietnamworks.com/kien-truc-su-thiet-ke-2024107-jv","Xem chi tiết")</f>
        <v/>
      </c>
      <c r="O11548" s="10" t="n"/>
    </row>
    <row r="11549">
      <c r="B11549" s="7" t="n">
        <v>11547</v>
      </c>
      <c r="C11549" t="inlineStr">
        <is>
          <t>Sales Executive</t>
        </is>
      </c>
      <c r="D11549" t="inlineStr">
        <is>
          <t>HECNY SHIPPING VIETNAM COMPANY LIMITED</t>
        </is>
      </c>
      <c r="E11549" t="inlineStr">
        <is>
          <t>Thương lượng</t>
        </is>
      </c>
      <c r="F11549" t="inlineStr">
        <is>
          <t>Đà Nẵng, Hà Nội</t>
        </is>
      </c>
      <c r="G11549" t="inlineStr">
        <is>
          <t>Nhân viên</t>
        </is>
      </c>
      <c r="H11549" t="inlineStr">
        <is>
          <t>16/03/2026</t>
        </is>
      </c>
      <c r="I11549" t="inlineStr">
        <is>
          <t>15/04/2026</t>
        </is>
      </c>
      <c r="J11549" t="inlineStr">
        <is>
          <t>17/03/2026</t>
        </is>
      </c>
      <c r="K11549" t="inlineStr">
        <is>
          <t>N/A</t>
        </is>
      </c>
      <c r="L11549" t="inlineStr">
        <is>
          <t>Analytical Thinking, Customer Service, Negotiation Skills, Relationship Maintaining, Sales Planning</t>
        </is>
      </c>
      <c r="M11549" t="inlineStr">
        <is>
          <t>Others</t>
        </is>
      </c>
      <c r="N11549" s="8">
        <f>HYPERLINK("https://www.vietnamworks.com/sales-executive--2024101-jv","Xem chi tiết")</f>
        <v/>
      </c>
    </row>
    <row r="11550">
      <c r="B11550" s="9" t="n">
        <v>11548</v>
      </c>
      <c r="C11550" s="10" t="inlineStr">
        <is>
          <t>Chubb Life - Senior Manager, Agency Elite Recruitment</t>
        </is>
      </c>
      <c r="D11550" s="10" t="inlineStr">
        <is>
          <t>Chubb Life Vietnam</t>
        </is>
      </c>
      <c r="E11550" s="10" t="inlineStr">
        <is>
          <t>Thương lượng</t>
        </is>
      </c>
      <c r="F11550" s="10" t="inlineStr">
        <is>
          <t>Hà Nội</t>
        </is>
      </c>
      <c r="G11550" s="10" t="inlineStr">
        <is>
          <t>Trưởng phòng</t>
        </is>
      </c>
      <c r="H11550" s="10" t="inlineStr">
        <is>
          <t>16/03/2026</t>
        </is>
      </c>
      <c r="I11550" s="10" t="inlineStr">
        <is>
          <t>15/04/2026</t>
        </is>
      </c>
      <c r="J11550" s="10" t="inlineStr">
        <is>
          <t>17/03/2026</t>
        </is>
      </c>
      <c r="K11550" s="10" t="inlineStr">
        <is>
          <t>N/A</t>
        </is>
      </c>
      <c r="L11550" s="10" t="inlineStr">
        <is>
          <t>Field Force, Recruit Activities, Recruiting, Life Insurance, Sales Analysis</t>
        </is>
      </c>
      <c r="M11550" s="10" t="inlineStr">
        <is>
          <t>Healthcare Plan, Paid Leave, Travel Opportunities</t>
        </is>
      </c>
      <c r="N11550" s="11">
        <f>HYPERLINK("https://www.vietnamworks.com/chubb-life-senior-manager-agency-elite-recruitment--2024104-jv","Xem chi tiết")</f>
        <v/>
      </c>
      <c r="O11550" s="10" t="n"/>
    </row>
    <row r="11551">
      <c r="B11551" s="7" t="n">
        <v>11549</v>
      </c>
      <c r="C11551" t="inlineStr">
        <is>
          <t>Sale Staff</t>
        </is>
      </c>
      <c r="D11551" t="inlineStr">
        <is>
          <t>Atarih Precision (Vietnam)Co.,ltd</t>
        </is>
      </c>
      <c r="E11551" t="inlineStr">
        <is>
          <t>Thương lượng</t>
        </is>
      </c>
      <c r="F11551" t="inlineStr">
        <is>
          <t>Hải Phòng</t>
        </is>
      </c>
      <c r="G11551" t="inlineStr">
        <is>
          <t>Nhân viên</t>
        </is>
      </c>
      <c r="H11551" t="inlineStr">
        <is>
          <t>16/03/2026</t>
        </is>
      </c>
      <c r="I11551" t="inlineStr">
        <is>
          <t>15/04/2026</t>
        </is>
      </c>
      <c r="J11551" t="inlineStr">
        <is>
          <t>17/03/2026</t>
        </is>
      </c>
      <c r="K11551" t="inlineStr">
        <is>
          <t>N/A</t>
        </is>
      </c>
      <c r="L11551" t="inlineStr">
        <is>
          <t>Business Development, B2B Sales, Japanese Communication, Customer Relationship Management, Negotiation Skills</t>
        </is>
      </c>
      <c r="M11551" t="inlineStr">
        <is>
          <t>Bonus, Travel Opportunities, Transportation</t>
        </is>
      </c>
      <c r="N11551" s="8">
        <f>HYPERLINK("https://www.vietnamworks.com/sale-staff--2024106-jv","Xem chi tiết")</f>
        <v/>
      </c>
    </row>
    <row r="11552">
      <c r="B11552" s="9" t="n">
        <v>11550</v>
      </c>
      <c r="C11552" s="10" t="inlineStr">
        <is>
          <t>Senior Engineer of New Product Development (Team Expansion-Mainly Working At Dong Anh-Hanoi)</t>
        </is>
      </c>
      <c r="D11552" s="10" t="inlineStr">
        <is>
          <t>Hoya Glass Disk Vietnam</t>
        </is>
      </c>
      <c r="E11552" s="10" t="inlineStr">
        <is>
          <t>Thương lượng</t>
        </is>
      </c>
      <c r="F11552" s="10" t="inlineStr">
        <is>
          <t>Hưng Yên</t>
        </is>
      </c>
      <c r="G11552" s="10" t="inlineStr">
        <is>
          <t>Nhân viên</t>
        </is>
      </c>
      <c r="H11552" s="10" t="inlineStr">
        <is>
          <t>16/03/2026</t>
        </is>
      </c>
      <c r="I11552" s="10" t="inlineStr">
        <is>
          <t>15/04/2026</t>
        </is>
      </c>
      <c r="J11552" s="10" t="inlineStr">
        <is>
          <t>17/03/2026</t>
        </is>
      </c>
      <c r="K11552" s="10" t="inlineStr">
        <is>
          <t>N/A</t>
        </is>
      </c>
      <c r="L11552" s="10" t="inlineStr">
        <is>
          <t>Chemistry, Physics, Mechanical, Material Science</t>
        </is>
      </c>
      <c r="M11552" s="10" t="inlineStr">
        <is>
          <t>Bonus, Healthcare Plan, Paid Leave</t>
        </is>
      </c>
      <c r="N11552" s="11">
        <f>HYPERLINK("https://www.vietnamworks.com/senior-engineer-of-new-product-development-team-expansion-mainly-working-at-dong-anh-hanoi-2024110-jv","Xem chi tiết")</f>
        <v/>
      </c>
      <c r="O11552" s="10" t="n"/>
    </row>
    <row r="11553">
      <c r="B11553" s="7" t="n">
        <v>11551</v>
      </c>
      <c r="C11553" t="inlineStr">
        <is>
          <t>Nhân Viên QC</t>
        </is>
      </c>
      <c r="D11553" t="inlineStr">
        <is>
          <t>Atarih Precision (Vietnam)Co.,ltd</t>
        </is>
      </c>
      <c r="E11553" t="inlineStr">
        <is>
          <t>Thương lượng</t>
        </is>
      </c>
      <c r="F11553" t="inlineStr">
        <is>
          <t>Hải Phòng</t>
        </is>
      </c>
      <c r="G11553" t="inlineStr">
        <is>
          <t>Nhân viên</t>
        </is>
      </c>
      <c r="H11553" t="inlineStr">
        <is>
          <t>16/03/2026</t>
        </is>
      </c>
      <c r="I11553" t="inlineStr">
        <is>
          <t>15/04/2026</t>
        </is>
      </c>
      <c r="J11553" t="inlineStr">
        <is>
          <t>17/03/2026</t>
        </is>
      </c>
      <c r="K11553" t="inlineStr">
        <is>
          <t>N/A</t>
        </is>
      </c>
      <c r="L11553" t="inlineStr">
        <is>
          <t>QC, Tiếng Anh, Tin Học Văn Phòng, Kiểm Soát Chất Lượng, Quality Control</t>
        </is>
      </c>
      <c r="M11553" t="inlineStr">
        <is>
          <t>Bonus, Travel Opportunities, Transportation</t>
        </is>
      </c>
      <c r="N11553" s="8">
        <f>HYPERLINK("https://www.vietnamworks.com/nhan-vien-qc--2024105-jv","Xem chi tiết")</f>
        <v/>
      </c>
    </row>
    <row r="11554">
      <c r="B11554" s="9" t="n">
        <v>11552</v>
      </c>
      <c r="C11554" s="10" t="inlineStr">
        <is>
          <t>Senior Software Engineer (C++/ C# Desktop Applications)</t>
        </is>
      </c>
      <c r="D11554" s="10" t="inlineStr">
        <is>
          <t>MiTek Việt Nam</t>
        </is>
      </c>
      <c r="E11554" s="10" t="inlineStr">
        <is>
          <t>Thương lượng</t>
        </is>
      </c>
      <c r="F11554" s="10" t="inlineStr">
        <is>
          <t>Hồ Chí Minh</t>
        </is>
      </c>
      <c r="G11554" s="10" t="inlineStr">
        <is>
          <t>Nhân viên</t>
        </is>
      </c>
      <c r="H11554" s="10" t="inlineStr">
        <is>
          <t>16/03/2026</t>
        </is>
      </c>
      <c r="I11554" s="10" t="inlineStr">
        <is>
          <t>15/04/2026</t>
        </is>
      </c>
      <c r="J11554" s="10" t="inlineStr">
        <is>
          <t>17/03/2026</t>
        </is>
      </c>
      <c r="K11554" s="10" t="inlineStr">
        <is>
          <t>N/A</t>
        </is>
      </c>
      <c r="L11554" s="10" t="inlineStr">
        <is>
          <t>C#, C/C++ Programming, Software Architecture Design, Technical Lead, Java Scripts</t>
        </is>
      </c>
      <c r="M11554" s="10" t="inlineStr">
        <is>
          <t>Bonus</t>
        </is>
      </c>
      <c r="N11554" s="11">
        <f>HYPERLINK("https://www.vietnamworks.com/senior-software-engineer-c-plus-plus-c-sharp-desktop-applications-2024095-jv","Xem chi tiết")</f>
        <v/>
      </c>
      <c r="O11554" s="10" t="n"/>
    </row>
    <row r="11555">
      <c r="B11555" s="7" t="n">
        <v>11553</v>
      </c>
      <c r="C11555" t="inlineStr">
        <is>
          <t>Chuyên Viên Kinh Doanh Quốc Tế (Senior International Business Executive)</t>
        </is>
      </c>
      <c r="D11555" t="inlineStr">
        <is>
          <t>Công Ty Cổ Phần Sữa Việt Nam (Vinamilk)</t>
        </is>
      </c>
      <c r="E11555" t="inlineStr">
        <is>
          <t>Thương lượng</t>
        </is>
      </c>
      <c r="F11555" t="inlineStr">
        <is>
          <t>Hồ Chí Minh</t>
        </is>
      </c>
      <c r="G11555" t="inlineStr">
        <is>
          <t>Nhân viên</t>
        </is>
      </c>
      <c r="H11555" t="inlineStr">
        <is>
          <t>16/03/2026</t>
        </is>
      </c>
      <c r="I11555" t="inlineStr">
        <is>
          <t>15/04/2026</t>
        </is>
      </c>
      <c r="J11555" t="inlineStr">
        <is>
          <t>17/03/2026</t>
        </is>
      </c>
      <c r="K11555" t="inlineStr">
        <is>
          <t>N/A</t>
        </is>
      </c>
      <c r="L11555" t="inlineStr">
        <is>
          <t>International Business, International Business Development, Incoterm, Import</t>
        </is>
      </c>
      <c r="M11555" t="inlineStr">
        <is>
          <t>Bonus, Healthcare Plan, Training</t>
        </is>
      </c>
      <c r="N11555" s="8">
        <f>HYPERLINK("https://www.vietnamworks.com/chuyen-vien-kinh-doanh-quoc-te-senior-international-business-executive--2024092-jv","Xem chi tiết")</f>
        <v/>
      </c>
    </row>
    <row r="11556">
      <c r="B11556" s="9" t="n">
        <v>11554</v>
      </c>
      <c r="C11556" s="10" t="inlineStr">
        <is>
          <t>Chuyên Viên C&amp;B - Thu Nhập Upto 20Tr/ Tháng</t>
        </is>
      </c>
      <c r="D11556" s="10" t="inlineStr">
        <is>
          <t>Hệ thống Kính mắt Anna</t>
        </is>
      </c>
      <c r="E11556" s="10" t="inlineStr">
        <is>
          <t>15tr-20tr ₫/tháng</t>
        </is>
      </c>
      <c r="F11556" s="10" t="inlineStr">
        <is>
          <t>Hà Nội</t>
        </is>
      </c>
      <c r="G11556" s="10" t="inlineStr">
        <is>
          <t>Nhân viên</t>
        </is>
      </c>
      <c r="H11556" s="10" t="inlineStr">
        <is>
          <t>16/03/2026</t>
        </is>
      </c>
      <c r="I11556" s="10" t="inlineStr">
        <is>
          <t>15/04/2026</t>
        </is>
      </c>
      <c r="J11556" s="10" t="inlineStr">
        <is>
          <t>17/03/2026</t>
        </is>
      </c>
      <c r="K11556" s="10" t="inlineStr">
        <is>
          <t>N/A</t>
        </is>
      </c>
      <c r="L11556" s="10" t="inlineStr">
        <is>
          <t>Giao Tiếp Hiệu Quả, C&amp;B, Luật, Quản Lý Phúc Lợi, Quản Trị Nhân Lực</t>
        </is>
      </c>
      <c r="M11556" s="10" t="inlineStr">
        <is>
          <t>Bonus, Paid Leave, Team Activities, Vouchers, Others</t>
        </is>
      </c>
      <c r="N11556" s="11">
        <f>HYPERLINK("https://www.vietnamworks.com/chuyen-vien-candb-thu-nhap-upto-20tr-thang-2024089-jv","Xem chi tiết")</f>
        <v/>
      </c>
      <c r="O11556" s="10" t="n"/>
    </row>
    <row r="11557">
      <c r="B11557" s="7" t="n">
        <v>11555</v>
      </c>
      <c r="C11557" t="inlineStr">
        <is>
          <t>Chuyên Viên Đấu Thầu</t>
        </is>
      </c>
      <c r="D11557" t="inlineStr">
        <is>
          <t>Công ty Cổ phần Dược phẩm Hà Tây</t>
        </is>
      </c>
      <c r="E11557" t="inlineStr">
        <is>
          <t>Thương lượng</t>
        </is>
      </c>
      <c r="F11557" t="inlineStr">
        <is>
          <t>Hà Nội</t>
        </is>
      </c>
      <c r="G11557" t="inlineStr">
        <is>
          <t>Nhân viên</t>
        </is>
      </c>
      <c r="H11557" t="inlineStr">
        <is>
          <t>16/03/2026</t>
        </is>
      </c>
      <c r="I11557" t="inlineStr">
        <is>
          <t>15/04/2026</t>
        </is>
      </c>
      <c r="J11557" t="inlineStr">
        <is>
          <t>17/03/2026</t>
        </is>
      </c>
      <c r="K11557" t="inlineStr">
        <is>
          <t>N/A</t>
        </is>
      </c>
      <c r="L11557" t="inlineStr">
        <is>
          <t>Dược, Luật Đấu Thầu, Soạn Thảo Văn Bản, Tin Học Văn Phòng, Đấu Thầu</t>
        </is>
      </c>
      <c r="M11557" t="inlineStr">
        <is>
          <t>Healthcare Plan, Paid Leave, Training, Team Activities, Others</t>
        </is>
      </c>
      <c r="N11557" s="8">
        <f>HYPERLINK("https://www.vietnamworks.com/chuyen-vien-djau-thau-2024088-jv","Xem chi tiết")</f>
        <v/>
      </c>
    </row>
    <row r="11558">
      <c r="B11558" s="9" t="n">
        <v>11556</v>
      </c>
      <c r="C11558" s="10" t="inlineStr">
        <is>
          <t>Sales Admin</t>
        </is>
      </c>
      <c r="D11558" s="10" t="inlineStr">
        <is>
          <t>Công Ty TNHH Thương Mại Tín Dân</t>
        </is>
      </c>
      <c r="E11558" s="10" t="inlineStr">
        <is>
          <t>8tr-10tr ₫/tháng</t>
        </is>
      </c>
      <c r="F11558" s="10" t="inlineStr">
        <is>
          <t>Hồ Chí Minh</t>
        </is>
      </c>
      <c r="G11558" s="10" t="inlineStr">
        <is>
          <t>Nhân viên</t>
        </is>
      </c>
      <c r="H11558" s="10" t="inlineStr">
        <is>
          <t>16/03/2026</t>
        </is>
      </c>
      <c r="I11558" s="10" t="inlineStr">
        <is>
          <t>15/04/2026</t>
        </is>
      </c>
      <c r="J11558" s="10" t="inlineStr">
        <is>
          <t>17/03/2026</t>
        </is>
      </c>
      <c r="K11558" s="10" t="inlineStr">
        <is>
          <t>N/A</t>
        </is>
      </c>
      <c r="L11558" s="10" t="inlineStr">
        <is>
          <t>Customer Support, Sales Support, Communication Skills, Negotiation Skills, Flexibility</t>
        </is>
      </c>
      <c r="M11558" s="10" t="inlineStr">
        <is>
          <t>Bonus, Healthcare Plan, Paid Leave, Training, Team Activities, Others</t>
        </is>
      </c>
      <c r="N11558" s="11">
        <f>HYPERLINK("https://www.vietnamworks.com/sales-admin-2024114-jv","Xem chi tiết")</f>
        <v/>
      </c>
      <c r="O11558" s="10" t="n"/>
    </row>
    <row r="11559">
      <c r="B11559" s="7" t="n">
        <v>11557</v>
      </c>
      <c r="C11559" t="inlineStr">
        <is>
          <t>Nhân Viên Kinh Doanh/ Sale Tour Inbound - Thu Nhập Upto 35M/ Tháng</t>
        </is>
      </c>
      <c r="D11559" t="inlineStr">
        <is>
          <t>Công ty cổ phần phát triển du lịch Lily</t>
        </is>
      </c>
      <c r="E11559" t="inlineStr">
        <is>
          <t>15tr-35tr ₫/tháng</t>
        </is>
      </c>
      <c r="F11559" t="inlineStr">
        <is>
          <t>Hà Nội</t>
        </is>
      </c>
      <c r="G11559" t="inlineStr">
        <is>
          <t>Nhân viên</t>
        </is>
      </c>
      <c r="H11559" t="inlineStr">
        <is>
          <t>16/03/2026</t>
        </is>
      </c>
      <c r="I11559" t="inlineStr">
        <is>
          <t>15/04/2026</t>
        </is>
      </c>
      <c r="J11559" t="inlineStr">
        <is>
          <t>17/03/2026</t>
        </is>
      </c>
      <c r="K11559" t="inlineStr">
        <is>
          <t>N/A</t>
        </is>
      </c>
      <c r="L11559" t="inlineStr">
        <is>
          <t>Tư Vấn Du Lịch, Tiếng Trung Giao Tiếp, Điều Hành Dịch Vụ Du Lịch, Tư Duy Dịch Vụ, Kinh Doanh Lữ Hành</t>
        </is>
      </c>
      <c r="M11559" t="inlineStr">
        <is>
          <t>Bonus, Healthcare Plan, Training, Mobile, Others</t>
        </is>
      </c>
      <c r="N11559" s="8">
        <f>HYPERLINK("https://www.vietnamworks.com/nhan-vien-kinh-doanh-sale-tour-inbound-thu-nhap-upto-35m-thang-2024113-jv","Xem chi tiết")</f>
        <v/>
      </c>
    </row>
    <row r="11560">
      <c r="B11560" s="9" t="n">
        <v>11558</v>
      </c>
      <c r="C11560" s="10" t="inlineStr">
        <is>
          <t>Procurement Officer</t>
        </is>
      </c>
      <c r="D11560" s="10" t="inlineStr">
        <is>
          <t>Panasonic Vietnam Co.,LTD</t>
        </is>
      </c>
      <c r="E11560" s="10" t="inlineStr">
        <is>
          <t>Thương lượng</t>
        </is>
      </c>
      <c r="F11560" s="10" t="inlineStr">
        <is>
          <t>Hà Nội</t>
        </is>
      </c>
      <c r="G11560" s="10" t="inlineStr">
        <is>
          <t>Nhân viên</t>
        </is>
      </c>
      <c r="H11560" s="10" t="inlineStr">
        <is>
          <t>16/03/2026</t>
        </is>
      </c>
      <c r="I11560" s="10" t="inlineStr">
        <is>
          <t>15/04/2026</t>
        </is>
      </c>
      <c r="J11560" s="10" t="inlineStr">
        <is>
          <t>17/03/2026</t>
        </is>
      </c>
      <c r="K11560" s="10" t="inlineStr">
        <is>
          <t>N/A</t>
        </is>
      </c>
      <c r="L11560" s="10" t="inlineStr">
        <is>
          <t>Logistics, Supplier Negotiation, Purchase Management, Procurement, Communication</t>
        </is>
      </c>
      <c r="M11560" s="10" t="inlineStr">
        <is>
          <t>Bonus, Training, Transportation</t>
        </is>
      </c>
      <c r="N11560" s="11">
        <f>HYPERLINK("https://www.vietnamworks.com/procurement-officer--2024121-jv","Xem chi tiết")</f>
        <v/>
      </c>
      <c r="O11560" s="10" t="n"/>
    </row>
    <row r="11561">
      <c r="B11561" s="7" t="n">
        <v>11559</v>
      </c>
      <c r="C11561" t="inlineStr">
        <is>
          <t>Trade Marketing Executive</t>
        </is>
      </c>
      <c r="D11561" t="inlineStr">
        <is>
          <t>Imperial Tobacco</t>
        </is>
      </c>
      <c r="E11561" t="inlineStr">
        <is>
          <t>Thương lượng</t>
        </is>
      </c>
      <c r="F11561" t="inlineStr">
        <is>
          <t>Hồ Chí Minh</t>
        </is>
      </c>
      <c r="G11561" t="inlineStr">
        <is>
          <t>Nhân viên</t>
        </is>
      </c>
      <c r="H11561" t="inlineStr">
        <is>
          <t>16/03/2026</t>
        </is>
      </c>
      <c r="I11561" t="inlineStr">
        <is>
          <t>15/04/2026</t>
        </is>
      </c>
      <c r="J11561" t="inlineStr">
        <is>
          <t>17/03/2026</t>
        </is>
      </c>
      <c r="K11561" t="inlineStr">
        <is>
          <t>N/A</t>
        </is>
      </c>
      <c r="L11561" t="inlineStr">
        <is>
          <t>Trade Marketing, Brand Marketing, Market Analysis, Promotional Marketing, Planning skills</t>
        </is>
      </c>
      <c r="M11561" t="inlineStr">
        <is>
          <t>Bonus, Healthcare Plan, Training</t>
        </is>
      </c>
      <c r="N11561" s="8">
        <f>HYPERLINK("https://www.vietnamworks.com/trade-marketing-executive-2024128-jv","Xem chi tiết")</f>
        <v/>
      </c>
    </row>
    <row r="11562">
      <c r="B11562" s="9" t="n">
        <v>11560</v>
      </c>
      <c r="C11562" s="10" t="inlineStr">
        <is>
          <t>Sales Director (Mảng BĐS, công ty chủ đầu tư)</t>
        </is>
      </c>
      <c r="D11562" s="10" t="inlineStr">
        <is>
          <t>Tasco Joint Stock Company</t>
        </is>
      </c>
      <c r="E11562" s="10" t="inlineStr">
        <is>
          <t>Thương lượng</t>
        </is>
      </c>
      <c r="F11562" s="10" t="inlineStr">
        <is>
          <t>Hà Nội</t>
        </is>
      </c>
      <c r="G11562" s="10" t="inlineStr">
        <is>
          <t>Giám Đốc và Cấp Cao Hơn</t>
        </is>
      </c>
      <c r="H11562" s="10" t="inlineStr">
        <is>
          <t>16/03/2026</t>
        </is>
      </c>
      <c r="I11562" s="10" t="inlineStr">
        <is>
          <t>15/04/2026</t>
        </is>
      </c>
      <c r="J11562" s="10" t="inlineStr">
        <is>
          <t>17/03/2026</t>
        </is>
      </c>
      <c r="K11562" s="10" t="inlineStr">
        <is>
          <t>N/A</t>
        </is>
      </c>
      <c r="L11562" s="10" t="inlineStr">
        <is>
          <t>Bất Động Sản Thương Mại, Sales</t>
        </is>
      </c>
      <c r="M11562" s="10" t="inlineStr">
        <is>
          <t>Bonus, Training, Team Activities</t>
        </is>
      </c>
      <c r="N11562" s="11">
        <f>HYPERLINK("https://www.vietnamworks.com/sales-director-mang-bdjs-cong-ty-chu-djau-tu-2024122-jv","Xem chi tiết")</f>
        <v/>
      </c>
      <c r="O11562" s="10" t="n"/>
    </row>
    <row r="11563">
      <c r="B11563" s="7" t="n">
        <v>11561</v>
      </c>
      <c r="C11563" t="inlineStr">
        <is>
          <t>Consumer Marketing Executive</t>
        </is>
      </c>
      <c r="D11563" t="inlineStr">
        <is>
          <t>Imperial Tobacco</t>
        </is>
      </c>
      <c r="E11563" t="inlineStr">
        <is>
          <t>Thương lượng</t>
        </is>
      </c>
      <c r="F11563" t="inlineStr">
        <is>
          <t>Hồ Chí Minh</t>
        </is>
      </c>
      <c r="G11563" t="inlineStr">
        <is>
          <t>Nhân viên</t>
        </is>
      </c>
      <c r="H11563" t="inlineStr">
        <is>
          <t>16/03/2026</t>
        </is>
      </c>
      <c r="I11563" t="inlineStr">
        <is>
          <t>15/04/2026</t>
        </is>
      </c>
      <c r="J11563" t="inlineStr">
        <is>
          <t>17/03/2026</t>
        </is>
      </c>
      <c r="K11563" t="inlineStr">
        <is>
          <t>N/A</t>
        </is>
      </c>
      <c r="L11563" t="inlineStr">
        <is>
          <t>Brand Marketing, Trade Marketing, Marketing Campaign, Project Coordination</t>
        </is>
      </c>
      <c r="M11563" t="inlineStr">
        <is>
          <t>Bonus, Healthcare Plan, Training, Others</t>
        </is>
      </c>
      <c r="N11563" s="8">
        <f>HYPERLINK("https://www.vietnamworks.com/consumer-marketing-executive-2024129-jv","Xem chi tiết")</f>
        <v/>
      </c>
    </row>
    <row r="11564">
      <c r="B11564" s="9" t="n">
        <v>11562</v>
      </c>
      <c r="C11564" s="10" t="inlineStr">
        <is>
          <t>Nhân Viên Kinh Doanh - Sales staff</t>
        </is>
      </c>
      <c r="D11564" s="10" t="inlineStr">
        <is>
          <t>SUNWAY MARKETING (VIETNAM) CO., LTD</t>
        </is>
      </c>
      <c r="E11564" s="10" t="inlineStr">
        <is>
          <t>Thương lượng</t>
        </is>
      </c>
      <c r="F11564" s="10" t="inlineStr">
        <is>
          <t>Hồ Chí Minh</t>
        </is>
      </c>
      <c r="G11564" s="10" t="inlineStr">
        <is>
          <t>Mới Tốt Nghiệp</t>
        </is>
      </c>
      <c r="H11564" s="10" t="inlineStr">
        <is>
          <t>16/03/2026</t>
        </is>
      </c>
      <c r="I11564" s="10" t="inlineStr">
        <is>
          <t>15/04/2026</t>
        </is>
      </c>
      <c r="J11564" s="10" t="inlineStr">
        <is>
          <t>17/03/2026</t>
        </is>
      </c>
      <c r="K11564" s="10" t="inlineStr">
        <is>
          <t>N/A</t>
        </is>
      </c>
      <c r="L11564" s="10" t="inlineStr">
        <is>
          <t>Market Development, Sales Training, Sale, Business Development, Nhân viên kinh doanh</t>
        </is>
      </c>
      <c r="M11564" s="10" t="inlineStr">
        <is>
          <t>Bonus, Healthcare Plan, Paid Leave, Transportation, Others</t>
        </is>
      </c>
      <c r="N11564" s="11">
        <f>HYPERLINK("https://www.vietnamworks.com/nhan-vien-kinh-doanh-sales-staff-2024126-jv","Xem chi tiết")</f>
        <v/>
      </c>
      <c r="O11564" s="10" t="n"/>
    </row>
    <row r="11565">
      <c r="B11565" s="7" t="n">
        <v>11563</v>
      </c>
      <c r="C11565" t="inlineStr">
        <is>
          <t>Kỹ Thuật Hiện Trường - Lương Từ 15 Đến 25 Triệu (Tuyển Toàn Quốc)</t>
        </is>
      </c>
      <c r="D11565" t="inlineStr">
        <is>
          <t>CÔNG TY TNHH BÊ TÔNG TRANG TRÍ VIỆT NAM</t>
        </is>
      </c>
      <c r="E11565" t="inlineStr">
        <is>
          <t>15tr-25tr ₫/tháng</t>
        </is>
      </c>
      <c r="F11565" t="inlineStr">
        <is>
          <t>Hà Nội, Hồ Chí Minh, Đà Nẵng</t>
        </is>
      </c>
      <c r="G11565" t="inlineStr">
        <is>
          <t>Nhân viên</t>
        </is>
      </c>
      <c r="H11565" t="inlineStr">
        <is>
          <t>16/03/2026</t>
        </is>
      </c>
      <c r="I11565" t="inlineStr">
        <is>
          <t>15/04/2026</t>
        </is>
      </c>
      <c r="J11565" t="inlineStr">
        <is>
          <t>17/03/2026</t>
        </is>
      </c>
      <c r="K11565" t="inlineStr">
        <is>
          <t>N/A</t>
        </is>
      </c>
      <c r="L11565" t="inlineStr">
        <is>
          <t>Quản Lý Thi Công, Giám Sát Thi Công, Cơ Khí Nhiệt, Gia Công Áp Lực, Kỹ Thuật Hiện Trường</t>
        </is>
      </c>
      <c r="M11565" t="inlineStr">
        <is>
          <t>Bonus, Paid Leave, Training, Travel Opportunities, Others</t>
        </is>
      </c>
      <c r="N11565" s="8">
        <f>HYPERLINK("https://www.vietnamworks.com/ky-thuat-hien-truong-luong-tu-15-djen-25-trieu-tuyen-toan-quoc-2024125-jv","Xem chi tiết")</f>
        <v/>
      </c>
    </row>
    <row r="11566">
      <c r="B11566" s="9" t="n">
        <v>11564</v>
      </c>
      <c r="C11566" s="10" t="inlineStr">
        <is>
          <t>Chuyên Viên Xuất Nhập Khẩu Tiếng Trung Tốt</t>
        </is>
      </c>
      <c r="D11566" s="10" t="inlineStr">
        <is>
          <t>Công ty TNHH Logistics Quốc tế Thông Đồ</t>
        </is>
      </c>
      <c r="E11566" s="10" t="inlineStr">
        <is>
          <t>15tr-25tr ₫/tháng</t>
        </is>
      </c>
      <c r="F11566" s="10" t="inlineStr">
        <is>
          <t>Hà Nội</t>
        </is>
      </c>
      <c r="G11566" s="10" t="inlineStr">
        <is>
          <t>Nhân viên</t>
        </is>
      </c>
      <c r="H11566" s="10" t="inlineStr">
        <is>
          <t>16/03/2026</t>
        </is>
      </c>
      <c r="I11566" s="10" t="inlineStr">
        <is>
          <t>15/04/2026</t>
        </is>
      </c>
      <c r="J11566" s="10" t="inlineStr">
        <is>
          <t>17/03/2026</t>
        </is>
      </c>
      <c r="K11566" s="10" t="inlineStr">
        <is>
          <t>N/A</t>
        </is>
      </c>
      <c r="L11566" s="10" t="inlineStr">
        <is>
          <t>Xuất Nhập Khẩu, Tiếng Trung, Khai Báo Hải Quan, Quản Lý Giao Hàng, Giao Tiếp</t>
        </is>
      </c>
      <c r="M11566" s="10" t="inlineStr">
        <is>
          <t>Bonus, Healthcare Plan, Paid Leave, Others</t>
        </is>
      </c>
      <c r="N11566" s="11">
        <f>HYPERLINK("https://www.vietnamworks.com/chuyen-vien-xuat-nhap-khau-tieng-trung-tot-2024133-jv","Xem chi tiết")</f>
        <v/>
      </c>
      <c r="O11566" s="10" t="n"/>
    </row>
    <row r="11567">
      <c r="B11567" s="7" t="n">
        <v>11565</v>
      </c>
      <c r="C11567" t="inlineStr">
        <is>
          <t>Nhân Viên Dự Án Gói Thầu (Thuộc Mảng CNTT)</t>
        </is>
      </c>
      <c r="D11567" t="inlineStr">
        <is>
          <t>VIFON</t>
        </is>
      </c>
      <c r="E11567" t="inlineStr">
        <is>
          <t>$$ 500-800 /tháng</t>
        </is>
      </c>
      <c r="F11567" t="inlineStr">
        <is>
          <t>Hồ Chí Minh</t>
        </is>
      </c>
      <c r="G11567" t="inlineStr">
        <is>
          <t>Nhân viên</t>
        </is>
      </c>
      <c r="H11567" t="inlineStr">
        <is>
          <t>16/03/2026</t>
        </is>
      </c>
      <c r="I11567" t="inlineStr">
        <is>
          <t>15/04/2026</t>
        </is>
      </c>
      <c r="J11567" t="inlineStr">
        <is>
          <t>17/03/2026</t>
        </is>
      </c>
      <c r="K11567" t="inlineStr">
        <is>
          <t>N/A</t>
        </is>
      </c>
      <c r="L11567" t="inlineStr">
        <is>
          <t>Thu Mua Cung Ứng, Công Nghệ Thông Tin, Linh Kiện Vi Tính</t>
        </is>
      </c>
      <c r="M11567" t="inlineStr">
        <is>
          <t>Bonus, Healthcare Plan, Paid Leave</t>
        </is>
      </c>
      <c r="N11567" s="8">
        <f>HYPERLINK("https://www.vietnamworks.com/nhan-vien-du-an-goi-thau-thuoc-mang-cntt-2024131-jv","Xem chi tiết")</f>
        <v/>
      </c>
    </row>
    <row r="11568">
      <c r="B11568" s="9" t="n">
        <v>11566</v>
      </c>
      <c r="C11568" s="10" t="inlineStr">
        <is>
          <t>Thư Kí Dự Án</t>
        </is>
      </c>
      <c r="D11568" s="10" t="inlineStr">
        <is>
          <t>Công Ty Cổ Phần Tập Đoàn Masterise</t>
        </is>
      </c>
      <c r="E11568" s="10" t="inlineStr">
        <is>
          <t>Thương lượng</t>
        </is>
      </c>
      <c r="F11568" s="10" t="inlineStr">
        <is>
          <t>Hồ Chí Minh</t>
        </is>
      </c>
      <c r="G11568" s="10" t="inlineStr">
        <is>
          <t>Nhân viên</t>
        </is>
      </c>
      <c r="H11568" s="10" t="inlineStr">
        <is>
          <t>16/03/2026</t>
        </is>
      </c>
      <c r="I11568" s="10" t="inlineStr">
        <is>
          <t>15/04/2026</t>
        </is>
      </c>
      <c r="J11568" s="10" t="inlineStr">
        <is>
          <t>17/03/2026</t>
        </is>
      </c>
      <c r="K11568" s="10" t="inlineStr">
        <is>
          <t>N/A</t>
        </is>
      </c>
      <c r="L11568" s="10" t="inlineStr">
        <is>
          <t>Kỹ Thuật Xây Dựng, Lãnh Đạo, Phân Tích Số Liệu, Quản Lý Sản Xuất, Tổ Chức Sản Xuất</t>
        </is>
      </c>
      <c r="M11568" s="10" t="inlineStr">
        <is>
          <t>Bonus, Healthcare Plan, Others</t>
        </is>
      </c>
      <c r="N11568" s="11">
        <f>HYPERLINK("https://www.vietnamworks.com/thu-ki-du-an-2024130-jv","Xem chi tiết")</f>
        <v/>
      </c>
      <c r="O11568" s="10" t="n"/>
    </row>
    <row r="11569">
      <c r="B11569" s="7" t="n">
        <v>11567</v>
      </c>
      <c r="C11569" t="inlineStr">
        <is>
          <t>Kỹ Sư Phân Tích Và Sửa Chữa Sản Phẩm Re</t>
        </is>
      </c>
      <c r="D11569" t="inlineStr">
        <is>
          <t>Wistron Neweb CORPORATION (WNC)</t>
        </is>
      </c>
      <c r="E11569" t="inlineStr">
        <is>
          <t>Thương lượng</t>
        </is>
      </c>
      <c r="F11569" t="inlineStr">
        <is>
          <t>Hà Nam</t>
        </is>
      </c>
      <c r="G11569" t="inlineStr">
        <is>
          <t>Nhân viên</t>
        </is>
      </c>
      <c r="H11569" t="inlineStr">
        <is>
          <t>16/03/2026</t>
        </is>
      </c>
      <c r="I11569" t="inlineStr">
        <is>
          <t>15/04/2026</t>
        </is>
      </c>
      <c r="J11569" t="inlineStr">
        <is>
          <t>17/03/2026</t>
        </is>
      </c>
      <c r="K11569" t="inlineStr">
        <is>
          <t>N/A</t>
        </is>
      </c>
      <c r="L11569" t="inlineStr">
        <is>
          <t>Sửa Chữa, Tiếng Trung, Theo Dõi Sản Xuất, Điện, Điện tử</t>
        </is>
      </c>
      <c r="M11569" t="inlineStr">
        <is>
          <t>Bonus, Healthcare Plan, Paid Leave, Training, Team Activities, Others</t>
        </is>
      </c>
      <c r="N11569" s="8">
        <f>HYPERLINK("https://www.vietnamworks.com/ky-su-phan-tich-va-sua-chua-san-pham-re-2024115-jv","Xem chi tiết")</f>
        <v/>
      </c>
    </row>
    <row r="11570">
      <c r="B11570" s="9" t="n">
        <v>11568</v>
      </c>
      <c r="C11570" s="10" t="inlineStr">
        <is>
          <t>DevOps Engineer: Junior, Middle, and Senior</t>
        </is>
      </c>
      <c r="D11570" s="10" t="inlineStr">
        <is>
          <t>HDWEBSOFT Co., Ltd</t>
        </is>
      </c>
      <c r="E11570" s="10" t="inlineStr">
        <is>
          <t>Thương lượng</t>
        </is>
      </c>
      <c r="F11570" s="10" t="inlineStr">
        <is>
          <t>Hồ Chí Minh</t>
        </is>
      </c>
      <c r="G11570" s="10" t="inlineStr">
        <is>
          <t>Nhân viên</t>
        </is>
      </c>
      <c r="H11570" s="10" t="inlineStr">
        <is>
          <t>16/03/2026</t>
        </is>
      </c>
      <c r="I11570" s="10" t="inlineStr">
        <is>
          <t>15/04/2026</t>
        </is>
      </c>
      <c r="J11570" s="10" t="inlineStr">
        <is>
          <t>17/03/2026</t>
        </is>
      </c>
      <c r="K11570" s="10" t="inlineStr">
        <is>
          <t>N/A</t>
        </is>
      </c>
      <c r="L11570" s="10" t="inlineStr">
        <is>
          <t>FullStack, JavaScript, React, Cloud, Python</t>
        </is>
      </c>
      <c r="M11570" s="10" t="inlineStr">
        <is>
          <t>Bonus</t>
        </is>
      </c>
      <c r="N11570" s="11">
        <f>HYPERLINK("https://www.vietnamworks.com/devops-engineer-junior-middle-and-senior-2024139-jv","Xem chi tiết")</f>
        <v/>
      </c>
      <c r="O11570" s="10" t="n"/>
    </row>
    <row r="11571">
      <c r="B11571" s="7" t="n">
        <v>11569</v>
      </c>
      <c r="C11571" t="inlineStr">
        <is>
          <t>Trưởng Phòng Sản Xuất</t>
        </is>
      </c>
      <c r="D11571" t="inlineStr">
        <is>
          <t>Công ty Cổ phần Vàng bạc đá quý Bảo Tín Mạnh Hải</t>
        </is>
      </c>
      <c r="E11571" t="inlineStr">
        <is>
          <t>Thương lượng</t>
        </is>
      </c>
      <c r="F11571" t="inlineStr">
        <is>
          <t>Hà Nội</t>
        </is>
      </c>
      <c r="G11571" t="inlineStr">
        <is>
          <t>Trưởng phòng</t>
        </is>
      </c>
      <c r="H11571" t="inlineStr">
        <is>
          <t>16/03/2026</t>
        </is>
      </c>
      <c r="I11571" t="inlineStr">
        <is>
          <t>15/04/2026</t>
        </is>
      </c>
      <c r="J11571" t="inlineStr">
        <is>
          <t>17/03/2026</t>
        </is>
      </c>
      <c r="K11571" t="inlineStr">
        <is>
          <t>N/A</t>
        </is>
      </c>
      <c r="L11571" t="inlineStr">
        <is>
          <t>ISO 9001, LEAN Methodology, Quản Lý Sản Xuất, Quản Lý Đội Ngũ, Sản Xuất Kỹ Thuật</t>
        </is>
      </c>
      <c r="M11571" t="inlineStr">
        <is>
          <t>Bonus, Healthcare Plan, Training, Team Activities, Others</t>
        </is>
      </c>
      <c r="N11571" s="8">
        <f>HYPERLINK("https://www.vietnamworks.com/truong-phong-san-xuat-2024119-jv","Xem chi tiết")</f>
        <v/>
      </c>
    </row>
    <row r="11572">
      <c r="B11572" s="9" t="n">
        <v>11570</v>
      </c>
      <c r="C11572" s="10" t="inlineStr">
        <is>
          <t>Equipment Engineer</t>
        </is>
      </c>
      <c r="D11572" s="10" t="inlineStr">
        <is>
          <t>Intel Products Vietnam</t>
        </is>
      </c>
      <c r="E11572" s="10" t="inlineStr">
        <is>
          <t>Thương lượng</t>
        </is>
      </c>
      <c r="F11572" s="10" t="inlineStr">
        <is>
          <t>Hồ Chí Minh</t>
        </is>
      </c>
      <c r="G11572" s="10" t="inlineStr">
        <is>
          <t>Mới Tốt Nghiệp</t>
        </is>
      </c>
      <c r="H11572" s="10" t="inlineStr">
        <is>
          <t>16/03/2026</t>
        </is>
      </c>
      <c r="I11572" s="10" t="inlineStr">
        <is>
          <t>15/04/2026</t>
        </is>
      </c>
      <c r="J11572" s="10" t="inlineStr">
        <is>
          <t>17/03/2026</t>
        </is>
      </c>
      <c r="K11572" s="10" t="inlineStr">
        <is>
          <t>N/A</t>
        </is>
      </c>
      <c r="L11572" s="10" t="inlineStr">
        <is>
          <t>English proficiency, Equipment Maintenance, Equipment Testing</t>
        </is>
      </c>
      <c r="M11572" s="10" t="inlineStr">
        <is>
          <t>Bonus, Healthcare Plan, Training</t>
        </is>
      </c>
      <c r="N11572" s="11">
        <f>HYPERLINK("https://www.vietnamworks.com/equipment-engineer--2024118-jv","Xem chi tiết")</f>
        <v/>
      </c>
      <c r="O11572" s="10" t="n"/>
    </row>
    <row r="11573">
      <c r="B11573" s="7" t="n">
        <v>11571</v>
      </c>
      <c r="C11573" t="inlineStr">
        <is>
          <t>Kỹ Sư Quản Lý Chất Lượng Nhà Cung Cấp VQM</t>
        </is>
      </c>
      <c r="D11573" t="inlineStr">
        <is>
          <t>Wistron Neweb CORPORATION (WNC)</t>
        </is>
      </c>
      <c r="E11573" t="inlineStr">
        <is>
          <t>Thương lượng</t>
        </is>
      </c>
      <c r="F11573" t="inlineStr">
        <is>
          <t>Hà Nam</t>
        </is>
      </c>
      <c r="G11573" t="inlineStr">
        <is>
          <t>Nhân viên</t>
        </is>
      </c>
      <c r="H11573" t="inlineStr">
        <is>
          <t>16/03/2026</t>
        </is>
      </c>
      <c r="I11573" t="inlineStr">
        <is>
          <t>15/04/2026</t>
        </is>
      </c>
      <c r="J11573" t="inlineStr">
        <is>
          <t>17/03/2026</t>
        </is>
      </c>
      <c r="K11573" t="inlineStr">
        <is>
          <t>N/A</t>
        </is>
      </c>
      <c r="L11573" t="inlineStr">
        <is>
          <t>Kiểm Tra Chất Liệu, Phân Tích Dự Án, Quản Lý Chất Lượng, Tiếng Trung</t>
        </is>
      </c>
      <c r="M11573" t="inlineStr">
        <is>
          <t>Bonus, Healthcare Plan, Paid Leave, Training, Team Activities, Others</t>
        </is>
      </c>
      <c r="N11573" s="8">
        <f>HYPERLINK("https://www.vietnamworks.com/ky-su-quan-ly-chat-luong-nha-cung-cap-vqm-2024117-jv","Xem chi tiết")</f>
        <v/>
      </c>
    </row>
    <row r="11574">
      <c r="B11574" s="9" t="n">
        <v>11572</v>
      </c>
      <c r="C11574" s="10" t="inlineStr">
        <is>
          <t>Senior C&amp;B Executive</t>
        </is>
      </c>
      <c r="D11574" s="10" t="inlineStr">
        <is>
          <t>Ginkgo T-shirts</t>
        </is>
      </c>
      <c r="E11574" s="10" t="inlineStr">
        <is>
          <t>Tới 18tr ₫/tháng</t>
        </is>
      </c>
      <c r="F11574" s="10" t="inlineStr">
        <is>
          <t>Hồ Chí Minh</t>
        </is>
      </c>
      <c r="G11574" s="10" t="inlineStr">
        <is>
          <t>Nhân viên</t>
        </is>
      </c>
      <c r="H11574" s="10" t="inlineStr">
        <is>
          <t>16/03/2026</t>
        </is>
      </c>
      <c r="I11574" s="10" t="inlineStr">
        <is>
          <t>15/04/2026</t>
        </is>
      </c>
      <c r="J11574" s="10" t="inlineStr">
        <is>
          <t>17/03/2026</t>
        </is>
      </c>
      <c r="K11574" s="10" t="inlineStr">
        <is>
          <t>N/A</t>
        </is>
      </c>
      <c r="L11574" s="10" t="inlineStr">
        <is>
          <t>C&amp;B, Labor Law, Payroll Management, Personal Income Tax, HR Operations</t>
        </is>
      </c>
      <c r="M11574" s="10" t="inlineStr">
        <is>
          <t>Bonus, Laptop, Team Activities, Others</t>
        </is>
      </c>
      <c r="N11574" s="11">
        <f>HYPERLINK("https://www.vietnamworks.com/senior-candb-executive-2024134-jv","Xem chi tiết")</f>
        <v/>
      </c>
      <c r="O11574" s="10" t="n"/>
    </row>
    <row r="11575">
      <c r="B11575" s="7" t="n">
        <v>11573</v>
      </c>
      <c r="C11575" t="inlineStr">
        <is>
          <t>Chuyên Viên Digital Marketing (Đà Nẵng)</t>
        </is>
      </c>
      <c r="D11575" t="inlineStr">
        <is>
          <t>Công Ty Cổ Phần Tập Đoàn BRG</t>
        </is>
      </c>
      <c r="E11575" t="inlineStr">
        <is>
          <t>Thương lượng</t>
        </is>
      </c>
      <c r="F11575" t="inlineStr">
        <is>
          <t>Đà Nẵng</t>
        </is>
      </c>
      <c r="G11575" t="inlineStr">
        <is>
          <t>Nhân viên</t>
        </is>
      </c>
      <c r="H11575" t="inlineStr">
        <is>
          <t>16/03/2026</t>
        </is>
      </c>
      <c r="I11575" t="inlineStr">
        <is>
          <t>15/04/2026</t>
        </is>
      </c>
      <c r="J11575" t="inlineStr">
        <is>
          <t>17/03/2026</t>
        </is>
      </c>
      <c r="K11575" t="inlineStr">
        <is>
          <t>N/A</t>
        </is>
      </c>
      <c r="L11575" t="inlineStr">
        <is>
          <t>Digital Marketing, Google Ads, Online Marketing, SEO</t>
        </is>
      </c>
      <c r="M11575" t="inlineStr">
        <is>
          <t>Bonus, Healthcare Plan, Travel Opportunities</t>
        </is>
      </c>
      <c r="N11575" s="8">
        <f>HYPERLINK("https://www.vietnamworks.com/chuyen-vien-digital-marketing-da-nang-2024137-jv","Xem chi tiết")</f>
        <v/>
      </c>
    </row>
    <row r="11576">
      <c r="B11576" s="9" t="n">
        <v>11574</v>
      </c>
      <c r="C11576" s="10" t="inlineStr">
        <is>
          <t>Module Engineer (TE)</t>
        </is>
      </c>
      <c r="D11576" s="10" t="inlineStr">
        <is>
          <t>Intel Products Vietnam</t>
        </is>
      </c>
      <c r="E11576" s="10" t="inlineStr">
        <is>
          <t>Thương lượng</t>
        </is>
      </c>
      <c r="F11576" s="10" t="inlineStr">
        <is>
          <t>Hồ Chí Minh</t>
        </is>
      </c>
      <c r="G11576" s="10" t="inlineStr">
        <is>
          <t>Nhân viên</t>
        </is>
      </c>
      <c r="H11576" s="10" t="inlineStr">
        <is>
          <t>16/03/2026</t>
        </is>
      </c>
      <c r="I11576" s="10" t="inlineStr">
        <is>
          <t>15/04/2026</t>
        </is>
      </c>
      <c r="J11576" s="10" t="inlineStr">
        <is>
          <t>17/03/2026</t>
        </is>
      </c>
      <c r="K11576" s="10" t="inlineStr">
        <is>
          <t>N/A</t>
        </is>
      </c>
      <c r="L11576" s="10" t="inlineStr">
        <is>
          <t>Electronic Engineering, Mechanical Engineering, Communication Skills, Test Program Development, data driven</t>
        </is>
      </c>
      <c r="M11576" s="10" t="inlineStr">
        <is>
          <t>Bonus, Healthcare Plan, Training</t>
        </is>
      </c>
      <c r="N11576" s="11">
        <f>HYPERLINK("https://www.vietnamworks.com/module-engineer-te-2024124-jv","Xem chi tiết")</f>
        <v/>
      </c>
      <c r="O11576" s="10" t="n"/>
    </row>
    <row r="11577">
      <c r="B11577" s="7" t="n">
        <v>11575</v>
      </c>
      <c r="C11577" t="inlineStr">
        <is>
          <t>Production Engineer (Kỹ Sư Sản Xuất)</t>
        </is>
      </c>
      <c r="D11577" t="inlineStr">
        <is>
          <t>Công Ty TNHH LG Display Việt Nam Hải Phòng</t>
        </is>
      </c>
      <c r="E11577" t="inlineStr">
        <is>
          <t>Thương lượng</t>
        </is>
      </c>
      <c r="F11577" t="inlineStr">
        <is>
          <t>Hải Phòng</t>
        </is>
      </c>
      <c r="G11577" t="inlineStr">
        <is>
          <t>Nhân viên</t>
        </is>
      </c>
      <c r="H11577" t="inlineStr">
        <is>
          <t>16/03/2026</t>
        </is>
      </c>
      <c r="I11577" t="inlineStr">
        <is>
          <t>15/04/2026</t>
        </is>
      </c>
      <c r="J11577" t="inlineStr">
        <is>
          <t>17/03/2026</t>
        </is>
      </c>
      <c r="K11577" t="inlineStr">
        <is>
          <t>N/A</t>
        </is>
      </c>
      <c r="L11577" t="inlineStr">
        <is>
          <t>Quality Control, Production Development, QMS Management, Inspection Process, Assembly Process</t>
        </is>
      </c>
      <c r="M11577" t="inlineStr">
        <is>
          <t>Bonus, Transportation, Others</t>
        </is>
      </c>
      <c r="N11577" s="8">
        <f>HYPERLINK("https://www.vietnamworks.com/production-engineer-ky-su-san-xuat--2024140-jv","Xem chi tiết")</f>
        <v/>
      </c>
    </row>
    <row r="11578">
      <c r="B11578" s="9" t="n">
        <v>11576</v>
      </c>
      <c r="C11578" s="10" t="inlineStr">
        <is>
          <t>Trưởng Phòng Sản Xuất</t>
        </is>
      </c>
      <c r="D11578" s="10" t="inlineStr">
        <is>
          <t>Wistron Neweb CORPORATION (WNC)</t>
        </is>
      </c>
      <c r="E11578" s="10" t="inlineStr">
        <is>
          <t>Thương lượng</t>
        </is>
      </c>
      <c r="F11578" s="10" t="inlineStr">
        <is>
          <t>Hà Nam</t>
        </is>
      </c>
      <c r="G11578" s="10" t="inlineStr">
        <is>
          <t>Trưởng phòng</t>
        </is>
      </c>
      <c r="H11578" s="10" t="inlineStr">
        <is>
          <t>16/03/2026</t>
        </is>
      </c>
      <c r="I11578" s="10" t="inlineStr">
        <is>
          <t>15/04/2026</t>
        </is>
      </c>
      <c r="J11578" s="10" t="inlineStr">
        <is>
          <t>17/03/2026</t>
        </is>
      </c>
      <c r="K11578" s="10" t="inlineStr">
        <is>
          <t>N/A</t>
        </is>
      </c>
      <c r="L11578" s="10" t="inlineStr">
        <is>
          <t>Kiểm Soát Chất Lượng, Quản Lý Sản Xuất, SOP, Tiếng Trung, Đào Tạo Nhân Sự</t>
        </is>
      </c>
      <c r="M11578" s="10" t="inlineStr">
        <is>
          <t>Bonus, Healthcare Plan, Paid Leave, Training, Awards, Team Activities, Others</t>
        </is>
      </c>
      <c r="N11578" s="11">
        <f>HYPERLINK("https://www.vietnamworks.com/truong-phong-san-xuat-2024120-jv","Xem chi tiết")</f>
        <v/>
      </c>
      <c r="O11578" s="10" t="n"/>
    </row>
    <row r="11579">
      <c r="B11579" s="7" t="n">
        <v>11577</v>
      </c>
      <c r="C11579" t="inlineStr">
        <is>
          <t>Giám Sát Phát Triển Đối Tác E-Shop Kênh GT - Phụ Trách Mekong và Miền Đông</t>
        </is>
      </c>
      <c r="D11579" t="inlineStr">
        <is>
          <t>Diana Unicharm JSC</t>
        </is>
      </c>
      <c r="E11579" t="inlineStr">
        <is>
          <t>Thương lượng</t>
        </is>
      </c>
      <c r="F11579" t="inlineStr">
        <is>
          <t>Hồ Chí Minh</t>
        </is>
      </c>
      <c r="G11579" t="inlineStr">
        <is>
          <t>Nhân viên</t>
        </is>
      </c>
      <c r="H11579" t="inlineStr">
        <is>
          <t>16/03/2026</t>
        </is>
      </c>
      <c r="I11579" t="inlineStr">
        <is>
          <t>15/04/2026</t>
        </is>
      </c>
      <c r="J11579" t="inlineStr">
        <is>
          <t>17/03/2026</t>
        </is>
      </c>
      <c r="K11579" t="inlineStr">
        <is>
          <t>N/A</t>
        </is>
      </c>
      <c r="L11579" t="inlineStr">
        <is>
          <t>FMCG, Sales Planning, Sales, Bán Hàng</t>
        </is>
      </c>
      <c r="M11579" t="inlineStr">
        <is>
          <t>Bonus, Healthcare Plan, Others</t>
        </is>
      </c>
      <c r="N11579" s="8">
        <f>HYPERLINK("https://www.vietnamworks.com/giam-sat-phat-trien-doi-tac-e-shop-kenh-gt-phu-trach-mekong-va-mien-dong--2024127-jv","Xem chi tiết")</f>
        <v/>
      </c>
    </row>
    <row r="11580">
      <c r="B11580" s="9" t="n">
        <v>11578</v>
      </c>
      <c r="C11580" s="10" t="inlineStr">
        <is>
          <t>HR Manager</t>
        </is>
      </c>
      <c r="D11580" s="10" t="inlineStr">
        <is>
          <t>ENEXTREND.VN COMPANY LIMITED</t>
        </is>
      </c>
      <c r="E11580" s="10" t="inlineStr">
        <is>
          <t>$$ 700-1,100 /tháng</t>
        </is>
      </c>
      <c r="F11580" s="10" t="inlineStr">
        <is>
          <t>Hồ Chí Minh</t>
        </is>
      </c>
      <c r="G11580" s="10" t="inlineStr">
        <is>
          <t>Trưởng phòng</t>
        </is>
      </c>
      <c r="H11580" s="10" t="inlineStr">
        <is>
          <t>16/03/2026</t>
        </is>
      </c>
      <c r="I11580" s="10" t="inlineStr">
        <is>
          <t>15/04/2026</t>
        </is>
      </c>
      <c r="J11580" s="10" t="inlineStr">
        <is>
          <t>17/03/2026</t>
        </is>
      </c>
      <c r="K11580" s="10" t="inlineStr">
        <is>
          <t>N/A</t>
        </is>
      </c>
      <c r="L11580" s="10" t="inlineStr">
        <is>
          <t>Tuyển Dụng, Quản Lý Nhân Sự, Tiếng Anh, C&amp;B</t>
        </is>
      </c>
      <c r="M11580" s="10" t="inlineStr">
        <is>
          <t>Bonus, Healthcare Plan, Paid Leave</t>
        </is>
      </c>
      <c r="N11580" s="11">
        <f>HYPERLINK("https://www.vietnamworks.com/hr-manager--2024144-jv","Xem chi tiết")</f>
        <v/>
      </c>
      <c r="O11580" s="10" t="n"/>
    </row>
    <row r="11581">
      <c r="B11581" s="7" t="n">
        <v>11579</v>
      </c>
      <c r="C11581" t="inlineStr">
        <is>
          <t>Human Resources Generalist</t>
        </is>
      </c>
      <c r="D11581" t="inlineStr">
        <is>
          <t>SINOYOUTH ENTERPRISE (HK) LIMITED</t>
        </is>
      </c>
      <c r="E11581" t="inlineStr">
        <is>
          <t>Thương lượng</t>
        </is>
      </c>
      <c r="F11581" t="inlineStr">
        <is>
          <t>Hồ Chí Minh</t>
        </is>
      </c>
      <c r="G11581" t="inlineStr">
        <is>
          <t>Nhân viên</t>
        </is>
      </c>
      <c r="H11581" t="inlineStr">
        <is>
          <t>16/03/2026</t>
        </is>
      </c>
      <c r="I11581" t="inlineStr">
        <is>
          <t>15/04/2026</t>
        </is>
      </c>
      <c r="J11581" t="inlineStr">
        <is>
          <t>17/03/2026</t>
        </is>
      </c>
      <c r="K11581" t="inlineStr">
        <is>
          <t>N/A</t>
        </is>
      </c>
      <c r="L11581" t="inlineStr">
        <is>
          <t>Document Management, Labor Law, Payroll, Recruitment, Training</t>
        </is>
      </c>
      <c r="M11581" t="inlineStr">
        <is>
          <t>Bonus, Healthcare Plan, Others</t>
        </is>
      </c>
      <c r="N11581" s="8">
        <f>HYPERLINK("https://www.vietnamworks.com/human-resources-generalist-2024145-jv","Xem chi tiết")</f>
        <v/>
      </c>
    </row>
    <row r="11582">
      <c r="B11582" s="9" t="n">
        <v>11580</v>
      </c>
      <c r="C11582" s="10" t="inlineStr">
        <is>
          <t>HSE Engineer (Kỹ Sư An Toàn Môi Trường)</t>
        </is>
      </c>
      <c r="D11582" s="10" t="inlineStr">
        <is>
          <t>Công Ty TNHH LG Display Việt Nam Hải Phòng</t>
        </is>
      </c>
      <c r="E11582" s="10" t="inlineStr">
        <is>
          <t>Thương lượng</t>
        </is>
      </c>
      <c r="F11582" s="10" t="inlineStr">
        <is>
          <t>Hải Phòng</t>
        </is>
      </c>
      <c r="G11582" s="10" t="inlineStr">
        <is>
          <t>Nhân viên</t>
        </is>
      </c>
      <c r="H11582" s="10" t="inlineStr">
        <is>
          <t>16/03/2026</t>
        </is>
      </c>
      <c r="I11582" s="10" t="inlineStr">
        <is>
          <t>15/04/2026</t>
        </is>
      </c>
      <c r="J11582" s="10" t="inlineStr">
        <is>
          <t>17/03/2026</t>
        </is>
      </c>
      <c r="K11582" s="10" t="inlineStr">
        <is>
          <t>N/A</t>
        </is>
      </c>
      <c r="L11582" s="10" t="inlineStr">
        <is>
          <t>Water Treatment Systems, Environmental Safety, Waste Management, HSE Compliance, HSE Management</t>
        </is>
      </c>
      <c r="M11582" s="10" t="inlineStr">
        <is>
          <t>Bonus, Transportation, Others</t>
        </is>
      </c>
      <c r="N11582" s="11">
        <f>HYPERLINK("https://www.vietnamworks.com/hse-engineer-ky-su-an-toan-moi-truong-2024142-jv","Xem chi tiết")</f>
        <v/>
      </c>
      <c r="O11582" s="10" t="n"/>
    </row>
    <row r="11583">
      <c r="B11583" s="7" t="n">
        <v>11581</v>
      </c>
      <c r="C11583" t="inlineStr">
        <is>
          <t>Financial Planning &amp; Analysis Manager</t>
        </is>
      </c>
      <c r="D11583" t="inlineStr">
        <is>
          <t>Samsung Vina Electronics (savina-s)</t>
        </is>
      </c>
      <c r="E11583" t="inlineStr">
        <is>
          <t>Thương lượng</t>
        </is>
      </c>
      <c r="F11583" t="inlineStr">
        <is>
          <t>Hồ Chí Minh</t>
        </is>
      </c>
      <c r="G11583" t="inlineStr">
        <is>
          <t>Nhân viên</t>
        </is>
      </c>
      <c r="H11583" t="inlineStr">
        <is>
          <t>16/03/2026</t>
        </is>
      </c>
      <c r="I11583" t="inlineStr">
        <is>
          <t>15/04/2026</t>
        </is>
      </c>
      <c r="J11583" t="inlineStr">
        <is>
          <t>17/03/2026</t>
        </is>
      </c>
      <c r="K11583" t="inlineStr">
        <is>
          <t>N/A</t>
        </is>
      </c>
      <c r="L11583" t="inlineStr">
        <is>
          <t>Financial Management, Data Analysis, SAP</t>
        </is>
      </c>
      <c r="M11583" t="inlineStr">
        <is>
          <t>Bonus, Healthcare Plan</t>
        </is>
      </c>
      <c r="N11583" s="8">
        <f>HYPERLINK("https://www.vietnamworks.com/financial-planning-analysis-manager--2024146-jv","Xem chi tiết")</f>
        <v/>
      </c>
    </row>
    <row r="11584">
      <c r="B11584" s="9" t="n">
        <v>11582</v>
      </c>
      <c r="C11584" s="10" t="inlineStr">
        <is>
          <t>Investment Assistant Manager</t>
        </is>
      </c>
      <c r="D11584" s="10" t="inlineStr">
        <is>
          <t>UOA VIETNAM</t>
        </is>
      </c>
      <c r="E11584" s="10" t="inlineStr">
        <is>
          <t>Thương lượng</t>
        </is>
      </c>
      <c r="F11584" s="10" t="inlineStr">
        <is>
          <t>Hồ Chí Minh</t>
        </is>
      </c>
      <c r="G11584" s="10" t="inlineStr">
        <is>
          <t>Nhân viên</t>
        </is>
      </c>
      <c r="H11584" s="10" t="inlineStr">
        <is>
          <t>16/03/2026</t>
        </is>
      </c>
      <c r="I11584" s="10" t="inlineStr">
        <is>
          <t>15/04/2026</t>
        </is>
      </c>
      <c r="J11584" s="10" t="inlineStr">
        <is>
          <t>17/03/2026</t>
        </is>
      </c>
      <c r="K11584" s="10" t="inlineStr">
        <is>
          <t>N/A</t>
        </is>
      </c>
      <c r="L11584" s="10" t="inlineStr">
        <is>
          <t>Financial Modeling, Market Research, Presentation Skills, Stakeholder Management, Investment Structuring &amp; Due Diligence</t>
        </is>
      </c>
      <c r="M11584" s="10" t="inlineStr">
        <is>
          <t>Healthcare Plan, Paid Leave, Training, Laptop, Travel Opportunities, Others</t>
        </is>
      </c>
      <c r="N11584" s="11">
        <f>HYPERLINK("https://www.vietnamworks.com/investment-assistant-manager-2024155-jv","Xem chi tiết")</f>
        <v/>
      </c>
      <c r="O11584" s="10" t="n"/>
    </row>
    <row r="11585">
      <c r="B11585" s="7" t="n">
        <v>11583</v>
      </c>
      <c r="C11585" t="inlineStr">
        <is>
          <t>Chuyên viên Phân tích Tài chính (Financial Analyst Executive)</t>
        </is>
      </c>
      <c r="D11585" t="inlineStr">
        <is>
          <t>Công ty cổ phần Trang (TrangCorp)</t>
        </is>
      </c>
      <c r="E11585" t="inlineStr">
        <is>
          <t>Thương lượng</t>
        </is>
      </c>
      <c r="F11585" t="inlineStr">
        <is>
          <t>Hồ Chí Minh</t>
        </is>
      </c>
      <c r="G11585" t="inlineStr">
        <is>
          <t>Nhân viên</t>
        </is>
      </c>
      <c r="H11585" t="inlineStr">
        <is>
          <t>16/03/2026</t>
        </is>
      </c>
      <c r="I11585" t="inlineStr">
        <is>
          <t>15/04/2026</t>
        </is>
      </c>
      <c r="J11585" t="inlineStr">
        <is>
          <t>17/03/2026</t>
        </is>
      </c>
      <c r="K11585" t="inlineStr">
        <is>
          <t>N/A</t>
        </is>
      </c>
      <c r="L11585" t="inlineStr">
        <is>
          <t>Kế Toán, Kiểm Toán, Phân Tích Da, Quản Trị Giá Thành, Tài Chính</t>
        </is>
      </c>
      <c r="M11585" t="inlineStr">
        <is>
          <t>Bonus, Healthcare Plan, Others</t>
        </is>
      </c>
      <c r="N11585" s="8">
        <f>HYPERLINK("https://www.vietnamworks.com/chuyen-vien-phan-tich-tai-chinh-financial-analyst-executive-2024162-jv","Xem chi tiết")</f>
        <v/>
      </c>
    </row>
    <row r="11586">
      <c r="B11586" s="9" t="n">
        <v>11584</v>
      </c>
      <c r="C11586" s="10" t="inlineStr">
        <is>
          <t>Kế Toán Tổng Hợp Thuế Upto 22 Triệu</t>
        </is>
      </c>
      <c r="D11586" s="10" t="inlineStr">
        <is>
          <t>CÔNG TY TNHH SMARTWOOD</t>
        </is>
      </c>
      <c r="E11586" s="10" t="inlineStr">
        <is>
          <t>16tr-22tr ₫/tháng</t>
        </is>
      </c>
      <c r="F11586" s="10" t="inlineStr">
        <is>
          <t>Hà Nội</t>
        </is>
      </c>
      <c r="G11586" s="10" t="inlineStr">
        <is>
          <t>Nhân viên</t>
        </is>
      </c>
      <c r="H11586" s="10" t="inlineStr">
        <is>
          <t>16/03/2026</t>
        </is>
      </c>
      <c r="I11586" s="10" t="inlineStr">
        <is>
          <t>15/04/2026</t>
        </is>
      </c>
      <c r="J11586" s="10" t="inlineStr">
        <is>
          <t>17/03/2026</t>
        </is>
      </c>
      <c r="K11586" s="10" t="inlineStr">
        <is>
          <t>N/A</t>
        </is>
      </c>
      <c r="L11586" s="10" t="inlineStr">
        <is>
          <t>Báo Cáo Công Nợ, Hạch Toán, Quyết Toán Thuế, Tài Chính Kế Toán, Thuế</t>
        </is>
      </c>
      <c r="M11586" s="10" t="inlineStr">
        <is>
          <t>Bonus</t>
        </is>
      </c>
      <c r="N11586" s="11">
        <f>HYPERLINK("https://www.vietnamworks.com/ke-toan-tong-hop-thue-upto-22-trieu-2024148-jv","Xem chi tiết")</f>
        <v/>
      </c>
      <c r="O11586" s="10" t="n"/>
    </row>
    <row r="11587">
      <c r="B11587" s="7" t="n">
        <v>11585</v>
      </c>
      <c r="C11587" t="inlineStr">
        <is>
          <t>Kế Toán Trưởng</t>
        </is>
      </c>
      <c r="D11587" t="inlineStr">
        <is>
          <t>Vietnamworks' Client</t>
        </is>
      </c>
      <c r="E11587" t="inlineStr">
        <is>
          <t>$$ 1,340-1,700 /tháng</t>
        </is>
      </c>
      <c r="F11587" t="inlineStr">
        <is>
          <t>Hồ Chí Minh</t>
        </is>
      </c>
      <c r="G11587" t="inlineStr">
        <is>
          <t>Trưởng phòng</t>
        </is>
      </c>
      <c r="H11587" t="inlineStr">
        <is>
          <t>16/03/2026</t>
        </is>
      </c>
      <c r="I11587" t="inlineStr">
        <is>
          <t>15/04/2026</t>
        </is>
      </c>
      <c r="J11587" t="inlineStr">
        <is>
          <t>17/03/2026</t>
        </is>
      </c>
      <c r="K11587" t="inlineStr">
        <is>
          <t>N/A</t>
        </is>
      </c>
      <c r="L11587" t="inlineStr">
        <is>
          <t>Kế Toán Thanh Toán, Business Accounting</t>
        </is>
      </c>
      <c r="M11587" t="inlineStr">
        <is>
          <t>Bonus, Healthcare Plan, Travel Opportunities</t>
        </is>
      </c>
      <c r="N11587" s="8">
        <f>HYPERLINK("https://www.vietnamworks.com/ke-toan-truong-2897--2024170-jv","Xem chi tiết")</f>
        <v/>
      </c>
    </row>
    <row r="11588">
      <c r="B11588" s="9" t="n">
        <v>11586</v>
      </c>
      <c r="C11588" s="10" t="inlineStr">
        <is>
          <t>Kỹ sư QS/Kỹ sư hiện trường</t>
        </is>
      </c>
      <c r="D11588" s="10" t="inlineStr">
        <is>
          <t>CÔNG TY TNHH HỢP THÀNH KIM PHÁT KMC</t>
        </is>
      </c>
      <c r="E11588" s="10" t="inlineStr">
        <is>
          <t>18tr-23tr ₫/tháng</t>
        </is>
      </c>
      <c r="F11588" s="10" t="inlineStr">
        <is>
          <t>Hà Nội, Thái Nguyên</t>
        </is>
      </c>
      <c r="G11588" s="10" t="inlineStr">
        <is>
          <t>Nhân viên</t>
        </is>
      </c>
      <c r="H11588" s="10" t="inlineStr">
        <is>
          <t>16/03/2026</t>
        </is>
      </c>
      <c r="I11588" s="10" t="inlineStr">
        <is>
          <t>15/04/2026</t>
        </is>
      </c>
      <c r="J11588" s="10" t="inlineStr">
        <is>
          <t>17/03/2026</t>
        </is>
      </c>
      <c r="K11588" s="10" t="inlineStr">
        <is>
          <t>N/A</t>
        </is>
      </c>
      <c r="L11588" s="10" t="inlineStr">
        <is>
          <t>Autocad, Giao Tiếp, Kinh Tế Xây Dựng, Lập Hồ Sơ Nghiệm Thu, Quản Lý Xây Dựng</t>
        </is>
      </c>
      <c r="M11588" s="10" t="inlineStr">
        <is>
          <t>Healthcare Plan, Others</t>
        </is>
      </c>
      <c r="N11588" s="11">
        <f>HYPERLINK("https://www.vietnamworks.com/ky-su-qsky-su-hien-truong-2024157-jv","Xem chi tiết")</f>
        <v/>
      </c>
      <c r="O11588" s="10" t="n"/>
    </row>
    <row r="11589">
      <c r="B11589" s="7" t="n">
        <v>11587</v>
      </c>
      <c r="C11589" t="inlineStr">
        <is>
          <t>Kế Toán Trưởng (Mạnh Về Thanh Toán)</t>
        </is>
      </c>
      <c r="D11589" t="inlineStr">
        <is>
          <t>Công Ty Phát Triển Trạm Sạc Toàn Cầu V-Green</t>
        </is>
      </c>
      <c r="E11589" t="inlineStr">
        <is>
          <t>Thương lượng</t>
        </is>
      </c>
      <c r="F11589" t="inlineStr">
        <is>
          <t>Hà Nội</t>
        </is>
      </c>
      <c r="G11589" t="inlineStr">
        <is>
          <t>Trưởng phòng</t>
        </is>
      </c>
      <c r="H11589" t="inlineStr">
        <is>
          <t>16/03/2026</t>
        </is>
      </c>
      <c r="I11589" t="inlineStr">
        <is>
          <t>15/04/2026</t>
        </is>
      </c>
      <c r="J11589" t="inlineStr">
        <is>
          <t>17/03/2026</t>
        </is>
      </c>
      <c r="K11589" t="inlineStr">
        <is>
          <t>N/A</t>
        </is>
      </c>
      <c r="L11589" t="inlineStr">
        <is>
          <t>Thanh Toán Công Nợ, Kế Toán Thanh Toán, Kiểm Soát Giao Dịch</t>
        </is>
      </c>
      <c r="M11589" t="inlineStr">
        <is>
          <t>Bonus, Healthcare Plan, Others</t>
        </is>
      </c>
      <c r="N11589" s="8">
        <f>HYPERLINK("https://www.vietnamworks.com/ke-toan-truong-manh-ve-thanh-toan-2024153-jv","Xem chi tiết")</f>
        <v/>
      </c>
    </row>
    <row r="11590">
      <c r="B11590" s="9" t="n">
        <v>11588</v>
      </c>
      <c r="C11590" s="10" t="inlineStr">
        <is>
          <t>Chuyên Viên C&amp;B</t>
        </is>
      </c>
      <c r="D11590" s="10" t="inlineStr">
        <is>
          <t>Công Ty TNHH Dịch Vụ Ăn Uống Ba Sao</t>
        </is>
      </c>
      <c r="E11590" s="10" t="inlineStr">
        <is>
          <t>Thương lượng</t>
        </is>
      </c>
      <c r="F11590" s="10" t="inlineStr">
        <is>
          <t>Hà Nội</t>
        </is>
      </c>
      <c r="G11590" s="10" t="inlineStr">
        <is>
          <t>Nhân viên</t>
        </is>
      </c>
      <c r="H11590" s="10" t="inlineStr">
        <is>
          <t>16/03/2026</t>
        </is>
      </c>
      <c r="I11590" s="10" t="inlineStr">
        <is>
          <t>15/04/2026</t>
        </is>
      </c>
      <c r="J11590" s="10" t="inlineStr">
        <is>
          <t>17/03/2026</t>
        </is>
      </c>
      <c r="K11590" s="10" t="inlineStr">
        <is>
          <t>N/A</t>
        </is>
      </c>
      <c r="L11590" s="10" t="inlineStr">
        <is>
          <t>Excel, Giao Tiếp, Luật Lao Động, Phân Tích Chi Phí, Quản Lý Nhân Viên</t>
        </is>
      </c>
      <c r="M11590" s="10" t="inlineStr">
        <is>
          <t>Bonus, Healthcare Plan, Training</t>
        </is>
      </c>
      <c r="N11590" s="11">
        <f>HYPERLINK("https://www.vietnamworks.com/chuyen-vien-candb-2024165-jv","Xem chi tiết")</f>
        <v/>
      </c>
      <c r="O11590" s="10" t="n"/>
    </row>
    <row r="11591">
      <c r="B11591" s="7" t="n">
        <v>11589</v>
      </c>
      <c r="C11591" t="inlineStr">
        <is>
          <t>VPĐD Vipharco Pháp _ Tuyển Gấp Chuyên Viên Nhân Sự</t>
        </is>
      </c>
      <c r="D11591" t="inlineStr">
        <is>
          <t>Vipharco</t>
        </is>
      </c>
      <c r="E11591" t="inlineStr">
        <is>
          <t>$$ 700-1,000 /tháng</t>
        </is>
      </c>
      <c r="F11591" t="inlineStr">
        <is>
          <t>Hà Nội</t>
        </is>
      </c>
      <c r="G11591" t="inlineStr">
        <is>
          <t>Nhân viên</t>
        </is>
      </c>
      <c r="H11591" t="inlineStr">
        <is>
          <t>16/03/2026</t>
        </is>
      </c>
      <c r="I11591" t="inlineStr">
        <is>
          <t>15/04/2026</t>
        </is>
      </c>
      <c r="J11591" t="inlineStr">
        <is>
          <t>17/03/2026</t>
        </is>
      </c>
      <c r="K11591" t="inlineStr">
        <is>
          <t>N/A</t>
        </is>
      </c>
      <c r="L11591" t="inlineStr">
        <is>
          <t>Tiếng Anh cơ bản</t>
        </is>
      </c>
      <c r="M11591" t="inlineStr">
        <is>
          <t>Training</t>
        </is>
      </c>
      <c r="N11591" s="8">
        <f>HYPERLINK("https://www.vietnamworks.com/vpdd-vipharco-phap-tuyen-gap-chuyen-vien-nhan-su--2024154-jv","Xem chi tiết")</f>
        <v/>
      </c>
    </row>
    <row r="11592">
      <c r="B11592" s="9" t="n">
        <v>11590</v>
      </c>
      <c r="C11592" s="10" t="inlineStr">
        <is>
          <t>Manufacturing Finance Controller (Central Vietnam)</t>
        </is>
      </c>
      <c r="D11592" s="10" t="inlineStr">
        <is>
          <t>Michael Page Vietnam</t>
        </is>
      </c>
      <c r="E11592" s="10" t="inlineStr">
        <is>
          <t>Thương lượng</t>
        </is>
      </c>
      <c r="F11592" s="10" t="inlineStr">
        <is>
          <t>Hồ Chí Minh</t>
        </is>
      </c>
      <c r="G11592" s="10" t="inlineStr">
        <is>
          <t>Trưởng phòng</t>
        </is>
      </c>
      <c r="H11592" s="10" t="inlineStr">
        <is>
          <t>16/03/2026</t>
        </is>
      </c>
      <c r="I11592" s="10" t="inlineStr">
        <is>
          <t>15/04/2026</t>
        </is>
      </c>
      <c r="J11592" s="10" t="inlineStr">
        <is>
          <t>17/03/2026</t>
        </is>
      </c>
      <c r="K11592" s="10" t="inlineStr">
        <is>
          <t>N/A</t>
        </is>
      </c>
      <c r="L11592" s="10" t="inlineStr">
        <is>
          <t>Finance Management, Costing Analysis, Accounting, TAX</t>
        </is>
      </c>
      <c r="M11592" s="10" t="inlineStr">
        <is>
          <t>Bonus</t>
        </is>
      </c>
      <c r="N11592" s="11">
        <f>HYPERLINK("https://www.vietnamworks.com/manufacturing-finance-controller-central-vietnam-2024152-jv","Xem chi tiết")</f>
        <v/>
      </c>
      <c r="O11592" s="10" t="n"/>
    </row>
    <row r="11593">
      <c r="B11593" s="7" t="n">
        <v>11591</v>
      </c>
      <c r="C11593" t="inlineStr">
        <is>
          <t>Nhân Viên Quản Lý Sản Phẩm Kênh ETC</t>
        </is>
      </c>
      <c r="D11593" t="inlineStr">
        <is>
          <t>Công ty Cổ phần Dược phẩm Hà Tây</t>
        </is>
      </c>
      <c r="E11593" t="inlineStr">
        <is>
          <t>Thương lượng</t>
        </is>
      </c>
      <c r="F11593" t="inlineStr">
        <is>
          <t>Hà Nội</t>
        </is>
      </c>
      <c r="G11593" t="inlineStr">
        <is>
          <t>Nhân viên</t>
        </is>
      </c>
      <c r="H11593" t="inlineStr">
        <is>
          <t>16/03/2026</t>
        </is>
      </c>
      <c r="I11593" t="inlineStr">
        <is>
          <t>15/04/2026</t>
        </is>
      </c>
      <c r="J11593" t="inlineStr">
        <is>
          <t>17/03/2026</t>
        </is>
      </c>
      <c r="K11593" t="inlineStr">
        <is>
          <t>N/A</t>
        </is>
      </c>
      <c r="L11593" t="inlineStr">
        <is>
          <t>Dược Phẩm, Kênh ETC, Pharmaceutical Regulations, Quản Lý Sản Phẩm, Tiếng Anh</t>
        </is>
      </c>
      <c r="M11593" t="inlineStr">
        <is>
          <t>Healthcare Plan, Paid Leave, Training, Team Activities, Others</t>
        </is>
      </c>
      <c r="N11593" s="8">
        <f>HYPERLINK("https://www.vietnamworks.com/nhan-vien-quan-ly-san-pham-kenh-etc-2024163-jv","Xem chi tiết")</f>
        <v/>
      </c>
    </row>
    <row r="11594">
      <c r="B11594" s="9" t="n">
        <v>11592</v>
      </c>
      <c r="C11594" s="10" t="inlineStr">
        <is>
          <t>Giám Sát Phát Triển Đối Tác E-Shop Kênh GT - Phụ Trách Miền Trung</t>
        </is>
      </c>
      <c r="D11594" s="10" t="inlineStr">
        <is>
          <t>Diana Unicharm JSC</t>
        </is>
      </c>
      <c r="E11594" s="10" t="inlineStr">
        <is>
          <t>Thương lượng</t>
        </is>
      </c>
      <c r="F11594" s="10" t="inlineStr">
        <is>
          <t>Khánh Hòa, Đắk Lắk, Bình Định</t>
        </is>
      </c>
      <c r="G11594" s="10" t="inlineStr">
        <is>
          <t>Nhân viên</t>
        </is>
      </c>
      <c r="H11594" s="10" t="inlineStr">
        <is>
          <t>16/03/2026</t>
        </is>
      </c>
      <c r="I11594" s="10" t="inlineStr">
        <is>
          <t>15/04/2026</t>
        </is>
      </c>
      <c r="J11594" s="10" t="inlineStr">
        <is>
          <t>17/03/2026</t>
        </is>
      </c>
      <c r="K11594" s="10" t="inlineStr">
        <is>
          <t>N/A</t>
        </is>
      </c>
      <c r="L11594" s="10" t="inlineStr">
        <is>
          <t>FMCG, Sales Planning, Sales, Bán Hàng</t>
        </is>
      </c>
      <c r="M11594" s="10" t="inlineStr">
        <is>
          <t>Bonus, Healthcare Plan, Others</t>
        </is>
      </c>
      <c r="N11594" s="11">
        <f>HYPERLINK("https://www.vietnamworks.com/giam-sat-phat-trien-doi-tac-e-shop-kenh-gt-phu-trach-mien-trung--2024161-jv","Xem chi tiết")</f>
        <v/>
      </c>
      <c r="O11594" s="10" t="n"/>
    </row>
    <row r="11595">
      <c r="B11595" s="7" t="n">
        <v>11593</v>
      </c>
      <c r="C11595" t="inlineStr">
        <is>
          <t>Chuyên Viên Phát Triển Dự Án - Ban Năng Lượng</t>
        </is>
      </c>
      <c r="D11595" t="inlineStr">
        <is>
          <t>Xuân Cầu Holdings</t>
        </is>
      </c>
      <c r="E11595" t="inlineStr">
        <is>
          <t>Thương lượng</t>
        </is>
      </c>
      <c r="F11595" t="inlineStr">
        <is>
          <t>Hà Nội</t>
        </is>
      </c>
      <c r="G11595" t="inlineStr">
        <is>
          <t>Nhân viên</t>
        </is>
      </c>
      <c r="H11595" t="inlineStr">
        <is>
          <t>16/03/2026</t>
        </is>
      </c>
      <c r="I11595" t="inlineStr">
        <is>
          <t>15/04/2026</t>
        </is>
      </c>
      <c r="J11595" t="inlineStr">
        <is>
          <t>17/03/2026</t>
        </is>
      </c>
      <c r="K11595" t="inlineStr">
        <is>
          <t>N/A</t>
        </is>
      </c>
      <c r="L11595" t="inlineStr">
        <is>
          <t>Luật, Phát Triển Dự Án, Pháp Lý Dự Án Đầu Tư, Năng lượng điện mặt trời, Điện + Điện tử</t>
        </is>
      </c>
      <c r="M11595" t="inlineStr">
        <is>
          <t>Bonus, Healthcare Plan, Paid Leave</t>
        </is>
      </c>
      <c r="N11595" s="8">
        <f>HYPERLINK("https://www.vietnamworks.com/chuyen-vien-phat-trien-du-an-ban-nang-luong--2024160-jv","Xem chi tiết")</f>
        <v/>
      </c>
    </row>
    <row r="11596">
      <c r="B11596" s="9" t="n">
        <v>11594</v>
      </c>
      <c r="C11596" s="10" t="inlineStr">
        <is>
          <t>Trưởng Phòng Kiểm Soát Nội Bộ</t>
        </is>
      </c>
      <c r="D11596" s="10" t="inlineStr">
        <is>
          <t>Công Ty Cổ Phần Tập Đoàn BRG</t>
        </is>
      </c>
      <c r="E11596" s="10" t="inlineStr">
        <is>
          <t>Thương lượng</t>
        </is>
      </c>
      <c r="F11596" s="10" t="inlineStr">
        <is>
          <t>Hà Nội</t>
        </is>
      </c>
      <c r="G11596" s="10" t="inlineStr">
        <is>
          <t>Trưởng phòng</t>
        </is>
      </c>
      <c r="H11596" s="10" t="inlineStr">
        <is>
          <t>16/03/2026</t>
        </is>
      </c>
      <c r="I11596" s="10" t="inlineStr">
        <is>
          <t>15/04/2026</t>
        </is>
      </c>
      <c r="J11596" s="10" t="inlineStr">
        <is>
          <t>17/03/2026</t>
        </is>
      </c>
      <c r="K11596" s="10" t="inlineStr">
        <is>
          <t>N/A</t>
        </is>
      </c>
      <c r="L11596" s="10" t="inlineStr">
        <is>
          <t>Kiểm Toán Nội Bộ, Kiểm Toán, Kiểm Soát Nội Bộ, Internal Control, Bất Động Sản</t>
        </is>
      </c>
      <c r="M11596" s="10" t="inlineStr">
        <is>
          <t>Bonus, Healthcare Plan, Travel Opportunities</t>
        </is>
      </c>
      <c r="N11596" s="11">
        <f>HYPERLINK("https://www.vietnamworks.com/truong-phong-kiem-soat-noi-bo--2024147-jv","Xem chi tiết")</f>
        <v/>
      </c>
      <c r="O11596" s="10" t="n"/>
    </row>
    <row r="11597">
      <c r="B11597" s="7" t="n">
        <v>11595</v>
      </c>
      <c r="C11597" t="inlineStr">
        <is>
          <t>Chuyên Viên Quản Trị Thương Hiệu</t>
        </is>
      </c>
      <c r="D11597" t="inlineStr">
        <is>
          <t>Bảo hiểm VietinBank (VBI)</t>
        </is>
      </c>
      <c r="E11597" t="inlineStr">
        <is>
          <t>Thương lượng</t>
        </is>
      </c>
      <c r="F11597" t="inlineStr">
        <is>
          <t>Hà Nội</t>
        </is>
      </c>
      <c r="G11597" t="inlineStr">
        <is>
          <t>Nhân viên</t>
        </is>
      </c>
      <c r="H11597" t="inlineStr">
        <is>
          <t>16/03/2026</t>
        </is>
      </c>
      <c r="I11597" t="inlineStr">
        <is>
          <t>15/04/2026</t>
        </is>
      </c>
      <c r="J11597" t="inlineStr">
        <is>
          <t>17/03/2026</t>
        </is>
      </c>
      <c r="K11597" t="inlineStr">
        <is>
          <t>N/A</t>
        </is>
      </c>
      <c r="L11597" t="inlineStr">
        <is>
          <t>Quản Lý Thương Hiệu, Truyền Thông, Nghiên Cứu Thị Trường, Chiến Dịch Truyền Thông, Phát Triển Thương Hiệu</t>
        </is>
      </c>
      <c r="M11597" t="inlineStr">
        <is>
          <t>Bonus, Healthcare Plan, Paid Leave, Travel Opportunities, Others</t>
        </is>
      </c>
      <c r="N11597" s="8">
        <f>HYPERLINK("https://www.vietnamworks.com/chuyen-vien-quan-tri-thuong-hieu-2024172-jv","Xem chi tiết")</f>
        <v/>
      </c>
    </row>
    <row r="11598">
      <c r="B11598" s="9" t="n">
        <v>11596</v>
      </c>
      <c r="C11598" s="10" t="inlineStr">
        <is>
          <t>Chuyên Viên Đấu Thầu (Giao Thông Và Hạ Tầng Kỹ Thuật) - Làm Việc Tại Thái Bình</t>
        </is>
      </c>
      <c r="D11598" s="10" t="inlineStr">
        <is>
          <t>Green i-Park</t>
        </is>
      </c>
      <c r="E11598" s="10" t="inlineStr">
        <is>
          <t>Từ 20tr ₫/tháng</t>
        </is>
      </c>
      <c r="F11598" s="10" t="inlineStr">
        <is>
          <t>Hà Nội, Hải Phòng, Thái Bình</t>
        </is>
      </c>
      <c r="G11598" s="10" t="inlineStr">
        <is>
          <t>Nhân viên</t>
        </is>
      </c>
      <c r="H11598" s="10" t="inlineStr">
        <is>
          <t>16/03/2026</t>
        </is>
      </c>
      <c r="I11598" s="10" t="inlineStr">
        <is>
          <t>15/04/2026</t>
        </is>
      </c>
      <c r="J11598" s="10" t="inlineStr">
        <is>
          <t>17/03/2026</t>
        </is>
      </c>
      <c r="K11598" s="10" t="inlineStr">
        <is>
          <t>N/A</t>
        </is>
      </c>
      <c r="L11598" s="10" t="inlineStr">
        <is>
          <t>Kinh Tế Xây Dựng, AutoCAD, Hạ Tầng Kỹ Thuật, Đấu Thầu, Thầu</t>
        </is>
      </c>
      <c r="M11598" s="10" t="inlineStr">
        <is>
          <t>Bonus, Healthcare Plan, Paid Leave</t>
        </is>
      </c>
      <c r="N11598" s="11">
        <f>HYPERLINK("https://www.vietnamworks.com/chuyen-vien-djau-thau-giao-thong-va-ha-tang-ky-thuat-lam-viec-tai-thai-binh-2024159-jv","Xem chi tiết")</f>
        <v/>
      </c>
      <c r="O11598" s="10" t="n"/>
    </row>
    <row r="11599">
      <c r="B11599" s="7" t="n">
        <v>11597</v>
      </c>
      <c r="C11599" t="inlineStr">
        <is>
          <t>E-commerce Manager</t>
        </is>
      </c>
      <c r="D11599" t="inlineStr">
        <is>
          <t>The Grand Ho Tram</t>
        </is>
      </c>
      <c r="E11599" t="inlineStr">
        <is>
          <t>Thương lượng</t>
        </is>
      </c>
      <c r="F11599" t="inlineStr">
        <is>
          <t>Hồ Chí Minh</t>
        </is>
      </c>
      <c r="G11599" t="inlineStr">
        <is>
          <t>Trưởng phòng</t>
        </is>
      </c>
      <c r="H11599" t="inlineStr">
        <is>
          <t>16/03/2026</t>
        </is>
      </c>
      <c r="I11599" t="inlineStr">
        <is>
          <t>15/04/2026</t>
        </is>
      </c>
      <c r="J11599" t="inlineStr">
        <is>
          <t>17/03/2026</t>
        </is>
      </c>
      <c r="K11599" t="inlineStr">
        <is>
          <t>N/A</t>
        </is>
      </c>
      <c r="L11599" t="inlineStr">
        <is>
          <t>E-Commerce Management, Effective Communication, Operation System, Verbal Communication, Bilingual (English And Vietnamese)</t>
        </is>
      </c>
      <c r="M11599" t="inlineStr">
        <is>
          <t>Healthcare Plan, Paid Leave, Training, Laptop</t>
        </is>
      </c>
      <c r="N11599" s="8">
        <f>HYPERLINK("https://www.vietnamworks.com/e-commerce-manager-2024164-jv","Xem chi tiết")</f>
        <v/>
      </c>
    </row>
    <row r="11600">
      <c r="B11600" s="9" t="n">
        <v>11598</v>
      </c>
      <c r="C11600" s="10" t="inlineStr">
        <is>
          <t>Kế Toán Thuế</t>
        </is>
      </c>
      <c r="D11600" s="10" t="inlineStr">
        <is>
          <t>CÔNG TY CỔ PHẦN TƯ VẤN ĐẦU TƯ VÀ XÂY DỰNG CÔNG TRÌNH GIAO THÔNG</t>
        </is>
      </c>
      <c r="E11600" s="10" t="inlineStr">
        <is>
          <t>Thương lượng</t>
        </is>
      </c>
      <c r="F11600" s="10" t="inlineStr">
        <is>
          <t>Hà Nội</t>
        </is>
      </c>
      <c r="G11600" s="10" t="inlineStr">
        <is>
          <t>Nhân viên</t>
        </is>
      </c>
      <c r="H11600" s="10" t="inlineStr">
        <is>
          <t>16/03/2026</t>
        </is>
      </c>
      <c r="I11600" s="10" t="inlineStr">
        <is>
          <t>15/04/2026</t>
        </is>
      </c>
      <c r="J11600" s="10" t="inlineStr">
        <is>
          <t>17/03/2026</t>
        </is>
      </c>
      <c r="K11600" s="10" t="inlineStr">
        <is>
          <t>N/A</t>
        </is>
      </c>
      <c r="L11600" s="10" t="inlineStr">
        <is>
          <t>Kế Toán Thuế, Kê Khai Thuế, Báo Cáo Thuế, Kế Toán Nội Bộ, Nghiệp Vụ Kế Toán</t>
        </is>
      </c>
      <c r="M11600" s="10" t="inlineStr">
        <is>
          <t>Bonus</t>
        </is>
      </c>
      <c r="N11600" s="11">
        <f>HYPERLINK("https://www.vietnamworks.com/ke-toan-thue-2024175-jv","Xem chi tiết")</f>
        <v/>
      </c>
      <c r="O11600" s="10" t="n"/>
    </row>
    <row r="11601">
      <c r="B11601" s="7" t="n">
        <v>11599</v>
      </c>
      <c r="C11601" t="inlineStr">
        <is>
          <t>Quản Đốc Nhà Máy</t>
        </is>
      </c>
      <c r="D11601" t="inlineStr">
        <is>
          <t>CÔNG TY CỔ PHẦN CƠ ĐIỆN HAECO</t>
        </is>
      </c>
      <c r="E11601" t="inlineStr">
        <is>
          <t>Thương lượng</t>
        </is>
      </c>
      <c r="F11601" t="inlineStr">
        <is>
          <t>Bắc Ninh</t>
        </is>
      </c>
      <c r="G11601" t="inlineStr">
        <is>
          <t>Trưởng phòng</t>
        </is>
      </c>
      <c r="H11601" t="inlineStr">
        <is>
          <t>16/03/2026</t>
        </is>
      </c>
      <c r="I11601" t="inlineStr">
        <is>
          <t>15/04/2026</t>
        </is>
      </c>
      <c r="J11601" t="inlineStr">
        <is>
          <t>17/03/2026</t>
        </is>
      </c>
      <c r="K11601" t="inlineStr">
        <is>
          <t>N/A</t>
        </is>
      </c>
      <c r="L11601" t="inlineStr">
        <is>
          <t>Lean Manufacturing, Quản Lý Con Người, Quản Lý Sản Xuất, Six Sigma, Sửa Chữa Bảo Trì Thiết Bị</t>
        </is>
      </c>
      <c r="M11601" t="inlineStr">
        <is>
          <t>Bonus, Training, Team Activities, Others</t>
        </is>
      </c>
      <c r="N11601" s="8">
        <f>HYPERLINK("https://www.vietnamworks.com/quan-djoc-nha-may-2024189-jv","Xem chi tiết")</f>
        <v/>
      </c>
    </row>
    <row r="11602">
      <c r="B11602" s="9" t="n">
        <v>11600</v>
      </c>
      <c r="C11602" s="10" t="inlineStr">
        <is>
          <t xml:space="preserve">Account &amp; Finance Staff </t>
        </is>
      </c>
      <c r="D11602" s="10" t="inlineStr">
        <is>
          <t>COSMAX (THAILAND)</t>
        </is>
      </c>
      <c r="E11602" s="10" t="inlineStr">
        <is>
          <t>$$ 1,000-1,500 /tháng</t>
        </is>
      </c>
      <c r="F11602" s="10" t="inlineStr">
        <is>
          <t>Hồ Chí Minh</t>
        </is>
      </c>
      <c r="G11602" s="10" t="inlineStr">
        <is>
          <t>Nhân viên</t>
        </is>
      </c>
      <c r="H11602" s="10" t="inlineStr">
        <is>
          <t>16/03/2026</t>
        </is>
      </c>
      <c r="I11602" s="10" t="inlineStr">
        <is>
          <t>15/04/2026</t>
        </is>
      </c>
      <c r="J11602" s="10" t="inlineStr">
        <is>
          <t>17/03/2026</t>
        </is>
      </c>
      <c r="K11602" s="10" t="inlineStr">
        <is>
          <t>N/A</t>
        </is>
      </c>
      <c r="L11602" s="10" t="inlineStr">
        <is>
          <t>Communication Skills, Microsoft Excel, Payroll, Tax Regulation, Vietnamese Accounting Standards</t>
        </is>
      </c>
      <c r="M11602" s="10" t="inlineStr">
        <is>
          <t>Bonus, Healthcare Plan, Paid Leave, Training, Travel Opportunities</t>
        </is>
      </c>
      <c r="N11602" s="11">
        <f>HYPERLINK("https://www.vietnamworks.com/account-and-finance-staff-2024187-jv","Xem chi tiết")</f>
        <v/>
      </c>
      <c r="O11602" s="10" t="n"/>
    </row>
    <row r="11603">
      <c r="B11603" s="7" t="n">
        <v>11601</v>
      </c>
      <c r="C11603" t="inlineStr">
        <is>
          <t>Cán Bộ Kỹ Thuật Hồ Sơ – Lương Cứng Upto 20 Triệu/tháng</t>
        </is>
      </c>
      <c r="D11603" t="inlineStr">
        <is>
          <t>CÔNG TY CỔ PHẦN ĐẦU TƯ XÂY DỰNG HẢI PHONG</t>
        </is>
      </c>
      <c r="E11603" t="inlineStr">
        <is>
          <t>Tới 25tr ₫/tháng</t>
        </is>
      </c>
      <c r="F11603" t="inlineStr">
        <is>
          <t>Hà Nội, Phú Thọ, Hưng Yên</t>
        </is>
      </c>
      <c r="G11603" t="inlineStr">
        <is>
          <t>Mới Tốt Nghiệp</t>
        </is>
      </c>
      <c r="H11603" t="inlineStr">
        <is>
          <t>16/03/2026</t>
        </is>
      </c>
      <c r="I11603" t="inlineStr">
        <is>
          <t>15/04/2026</t>
        </is>
      </c>
      <c r="J11603" t="inlineStr">
        <is>
          <t>17/03/2026</t>
        </is>
      </c>
      <c r="K11603" t="inlineStr">
        <is>
          <t>N/A</t>
        </is>
      </c>
      <c r="L11603" t="inlineStr">
        <is>
          <t>AutoCAD 2D, MS Project, Lập Hồ Sơ Thầu, Thanh Quyết Toán, QS</t>
        </is>
      </c>
      <c r="M11603" t="inlineStr">
        <is>
          <t>Bonus, Healthcare Plan, Others</t>
        </is>
      </c>
      <c r="N11603" s="8">
        <f>HYPERLINK("https://www.vietnamworks.com/can-bo-ky-thuat-ho-so-luong-cung-upto-20-trieuthang-2024174-jv","Xem chi tiết")</f>
        <v/>
      </c>
    </row>
    <row r="11604">
      <c r="B11604" s="9" t="n">
        <v>11602</v>
      </c>
      <c r="C11604" s="10" t="inlineStr">
        <is>
          <t>Cán Bộ Kỹ Thuật Hiện Trường - Lương Cứng Upto 20 Triệu/tháng</t>
        </is>
      </c>
      <c r="D11604" s="10" t="inlineStr">
        <is>
          <t>CÔNG TY CỔ PHẦN ĐẦU TƯ XÂY DỰNG HẢI PHONG</t>
        </is>
      </c>
      <c r="E11604" s="10" t="inlineStr">
        <is>
          <t>Tới 25tr ₫/tháng</t>
        </is>
      </c>
      <c r="F11604" s="10" t="inlineStr">
        <is>
          <t>Hà Nội, Phú Thọ, Hưng Yên</t>
        </is>
      </c>
      <c r="G11604" s="10" t="inlineStr">
        <is>
          <t>Nhân viên</t>
        </is>
      </c>
      <c r="H11604" s="10" t="inlineStr">
        <is>
          <t>16/03/2026</t>
        </is>
      </c>
      <c r="I11604" s="10" t="inlineStr">
        <is>
          <t>15/04/2026</t>
        </is>
      </c>
      <c r="J11604" s="10" t="inlineStr">
        <is>
          <t>17/03/2026</t>
        </is>
      </c>
      <c r="K11604" s="10" t="inlineStr">
        <is>
          <t>N/A</t>
        </is>
      </c>
      <c r="L11604" s="10" t="inlineStr">
        <is>
          <t>Kỹ Thuật Hiện Trường, Dự Toán, Khối lượng, Kỹ sư QS, QS công trường</t>
        </is>
      </c>
      <c r="M11604" s="10" t="inlineStr">
        <is>
          <t>Bonus, Healthcare Plan, Others</t>
        </is>
      </c>
      <c r="N11604" s="11">
        <f>HYPERLINK("https://www.vietnamworks.com/can-bo-ky-thuat-hien-truong-luong-cung-upto-20-trieuthang-2024178-jv","Xem chi tiết")</f>
        <v/>
      </c>
      <c r="O11604" s="10" t="n"/>
    </row>
    <row r="11605">
      <c r="B11605" s="7" t="n">
        <v>11603</v>
      </c>
      <c r="C11605" t="inlineStr">
        <is>
          <t>Nhân Viên Dịch Vụ Kế Toán Thuế (Staff)</t>
        </is>
      </c>
      <c r="D11605" t="inlineStr">
        <is>
          <t>AIC Vietnam CO., LTD</t>
        </is>
      </c>
      <c r="E11605" t="inlineStr">
        <is>
          <t>Thương lượng</t>
        </is>
      </c>
      <c r="F11605" t="inlineStr">
        <is>
          <t>Hà Nội</t>
        </is>
      </c>
      <c r="G11605" t="inlineStr">
        <is>
          <t>Nhân viên</t>
        </is>
      </c>
      <c r="H11605" t="inlineStr">
        <is>
          <t>16/03/2026</t>
        </is>
      </c>
      <c r="I11605" t="inlineStr">
        <is>
          <t>15/04/2026</t>
        </is>
      </c>
      <c r="J11605" t="inlineStr">
        <is>
          <t>17/03/2026</t>
        </is>
      </c>
      <c r="K11605" t="inlineStr">
        <is>
          <t>N/A</t>
        </is>
      </c>
      <c r="L11605" t="inlineStr">
        <is>
          <t>Kế Toán, Tài Chính, Tiếng Anh, Thuế, Báo Cáo Thuế</t>
        </is>
      </c>
      <c r="M11605" t="inlineStr">
        <is>
          <t>Bonus, Healthcare Plan, Paid Leave, Training, Laptop</t>
        </is>
      </c>
      <c r="N11605" s="8">
        <f>HYPERLINK("https://www.vietnamworks.com/nhan-vien-dich-vu-ke-toan-thue-staff-2024191-jv","Xem chi tiết")</f>
        <v/>
      </c>
    </row>
    <row r="11606">
      <c r="B11606" s="9" t="n">
        <v>11604</v>
      </c>
      <c r="C11606" s="10" t="inlineStr">
        <is>
          <t>Chuyên viên kinh doanh/Đấu thầu Xây dựng</t>
        </is>
      </c>
      <c r="D11606" s="10" t="inlineStr">
        <is>
          <t>Công Ty Cổ Phần Đầu Tư Xây Dựng - Facco</t>
        </is>
      </c>
      <c r="E11606" s="10" t="inlineStr">
        <is>
          <t>15tr-35tr ₫/tháng</t>
        </is>
      </c>
      <c r="F11606" s="10" t="inlineStr">
        <is>
          <t>Hà Nội</t>
        </is>
      </c>
      <c r="G11606" s="10" t="inlineStr">
        <is>
          <t>Nhân viên</t>
        </is>
      </c>
      <c r="H11606" s="10" t="inlineStr">
        <is>
          <t>16/03/2026</t>
        </is>
      </c>
      <c r="I11606" s="10" t="inlineStr">
        <is>
          <t>15/04/2026</t>
        </is>
      </c>
      <c r="J11606" s="10" t="inlineStr">
        <is>
          <t>17/03/2026</t>
        </is>
      </c>
      <c r="K11606" s="10" t="inlineStr">
        <is>
          <t>N/A</t>
        </is>
      </c>
      <c r="L11606" s="10" t="inlineStr">
        <is>
          <t>Kinh Doanh Xây Dựng, Kinh Tế Xây Dựng, Kỹ Thuật Xây Dựng, Xây Dựng Công Nghiệp, Đấu Thầu Xây Dựng</t>
        </is>
      </c>
      <c r="M11606" s="10" t="inlineStr">
        <is>
          <t>Bonus, Healthcare Plan, Travel Opportunities, Team Activities, Canteen, Others</t>
        </is>
      </c>
      <c r="N11606" s="11">
        <f>HYPERLINK("https://www.vietnamworks.com/chuyen-vien-kinh-doanhdjau-thau-xay-dung-2024185-jv","Xem chi tiết")</f>
        <v/>
      </c>
      <c r="O11606" s="10" t="n"/>
    </row>
    <row r="11607">
      <c r="B11607" s="7" t="n">
        <v>11605</v>
      </c>
      <c r="C11607" t="inlineStr">
        <is>
          <t>Kế Toán Công Nợ</t>
        </is>
      </c>
      <c r="D11607" t="inlineStr">
        <is>
          <t>Tập Đoàn Kangaroo</t>
        </is>
      </c>
      <c r="E11607" t="inlineStr">
        <is>
          <t>18tr-20tr ₫/tháng</t>
        </is>
      </c>
      <c r="F11607" t="inlineStr">
        <is>
          <t>Hà Nội</t>
        </is>
      </c>
      <c r="G11607" t="inlineStr">
        <is>
          <t>Nhân viên</t>
        </is>
      </c>
      <c r="H11607" t="inlineStr">
        <is>
          <t>16/03/2026</t>
        </is>
      </c>
      <c r="I11607" t="inlineStr">
        <is>
          <t>15/04/2026</t>
        </is>
      </c>
      <c r="J11607" t="inlineStr">
        <is>
          <t>17/03/2026</t>
        </is>
      </c>
      <c r="K11607" t="inlineStr">
        <is>
          <t>N/A</t>
        </is>
      </c>
      <c r="L11607" t="inlineStr">
        <is>
          <t>Kiểm Soát Công Nợ, Kế Toán Công Nợ, Xử Lý Công Nợ, Quản Lý Doanh Thu, thu hồi nợ</t>
        </is>
      </c>
      <c r="M11607" t="inlineStr">
        <is>
          <t>Bonus, Awards, Travel Opportunities</t>
        </is>
      </c>
      <c r="N11607" s="8">
        <f>HYPERLINK("https://www.vietnamworks.com/ke-toan-cong-no--2024183-jv","Xem chi tiết")</f>
        <v/>
      </c>
    </row>
    <row r="11608">
      <c r="B11608" s="9" t="n">
        <v>11606</v>
      </c>
      <c r="C11608" s="10" t="inlineStr">
        <is>
          <t>Giám Sát Kinh Doanh - Ngành Hàng Giải Pháp Nông Nghiệp (Vĩnh Long &amp; Trà Vinh, Bình Thuận &amp; Ninh Thuận &amp; Khánh Hòa)</t>
        </is>
      </c>
      <c r="D11608" s="10" t="inlineStr">
        <is>
          <t>BASF Vietnam Co., Ltd</t>
        </is>
      </c>
      <c r="E11608" s="10" t="inlineStr">
        <is>
          <t>Thương lượng</t>
        </is>
      </c>
      <c r="F11608" s="10" t="inlineStr">
        <is>
          <t>Vĩnh Long, Bình Thuận</t>
        </is>
      </c>
      <c r="G11608" s="10" t="inlineStr">
        <is>
          <t>Trưởng phòng</t>
        </is>
      </c>
      <c r="H11608" s="10" t="inlineStr">
        <is>
          <t>16/03/2026</t>
        </is>
      </c>
      <c r="I11608" s="10" t="inlineStr">
        <is>
          <t>31/03/2026</t>
        </is>
      </c>
      <c r="J11608" s="10" t="inlineStr">
        <is>
          <t>17/03/2026</t>
        </is>
      </c>
      <c r="K11608" s="10" t="inlineStr">
        <is>
          <t>N/A</t>
        </is>
      </c>
      <c r="L11608" s="10" t="inlineStr">
        <is>
          <t>Kinh Doanh, Quảng Bá Sản Phẩm, Quản Lý, Giao Tiếp, Nông nghiệp</t>
        </is>
      </c>
      <c r="M11608" s="10" t="inlineStr">
        <is>
          <t>Bonus, Healthcare Plan, Training</t>
        </is>
      </c>
      <c r="N11608" s="11">
        <f>HYPERLINK("https://www.vietnamworks.com/giam-sat-kinh-doanh-nganh-hang-giai-phap-nong-nghiep-vinh-long-tra-vinh-binh-thuan-ninh-thuan-khanh-hoa--2024182-jv","Xem chi tiết")</f>
        <v/>
      </c>
      <c r="O11608" s="10" t="n"/>
    </row>
    <row r="11609">
      <c r="B11609" s="7" t="n">
        <v>11607</v>
      </c>
      <c r="C11609" t="inlineStr">
        <is>
          <t>Trưởng Bộ Phận Sản Xuất / Quản Lý Sản Xuất [ Y/c: Tiếng Trung ]</t>
        </is>
      </c>
      <c r="D11609" t="inlineStr">
        <is>
          <t>Công Ty TNHH Công Nghệ Lens VIỆT NAM</t>
        </is>
      </c>
      <c r="E11609" t="inlineStr">
        <is>
          <t>$$ 1,000-3,000 /tháng</t>
        </is>
      </c>
      <c r="F11609" t="inlineStr">
        <is>
          <t>Bắc Giang, Bắc Ninh, Hà Nội</t>
        </is>
      </c>
      <c r="G11609" t="inlineStr">
        <is>
          <t>Trưởng phòng</t>
        </is>
      </c>
      <c r="H11609" t="inlineStr">
        <is>
          <t>16/03/2026</t>
        </is>
      </c>
      <c r="I11609" t="inlineStr">
        <is>
          <t>15/04/2026</t>
        </is>
      </c>
      <c r="J11609" t="inlineStr">
        <is>
          <t>17/03/2026</t>
        </is>
      </c>
      <c r="K11609" t="inlineStr">
        <is>
          <t>N/A</t>
        </is>
      </c>
      <c r="L11609" t="inlineStr">
        <is>
          <t>Giám Sát Sản Xuất, Làm Việc Nhóm, Quản Lý Sản Xuất, Tiếng Trung, Tiếng Trung Giao Tiếp</t>
        </is>
      </c>
      <c r="M11609" t="inlineStr">
        <is>
          <t>Bonus, Healthcare Plan, Paid Leave, Laptop, Team Activities, Transportation, Canteen</t>
        </is>
      </c>
      <c r="N11609" s="8">
        <f>HYPERLINK("https://www.vietnamworks.com/truong-bo-phan-san-xuat-quan-ly-san-xuat-yc-tieng-trung-2024173-jv","Xem chi tiết")</f>
        <v/>
      </c>
    </row>
    <row r="11610">
      <c r="B11610" s="9" t="n">
        <v>11608</v>
      </c>
      <c r="C11610" s="10" t="inlineStr">
        <is>
          <t>Receptionist Staff</t>
        </is>
      </c>
      <c r="D11610" s="10" t="inlineStr">
        <is>
          <t>Công Ty TNHH Lotte Property &amp; Development Việt Nam</t>
        </is>
      </c>
      <c r="E11610" s="10" t="inlineStr">
        <is>
          <t>Thương lượng</t>
        </is>
      </c>
      <c r="F11610" s="10" t="inlineStr">
        <is>
          <t>Hà Nội</t>
        </is>
      </c>
      <c r="G11610" s="10" t="inlineStr">
        <is>
          <t>Trưởng phòng</t>
        </is>
      </c>
      <c r="H11610" s="10" t="inlineStr">
        <is>
          <t>16/03/2026</t>
        </is>
      </c>
      <c r="I11610" s="10" t="inlineStr">
        <is>
          <t>15/04/2026</t>
        </is>
      </c>
      <c r="J11610" s="10" t="inlineStr">
        <is>
          <t>17/03/2026</t>
        </is>
      </c>
      <c r="K11610" s="10" t="inlineStr">
        <is>
          <t>N/A</t>
        </is>
      </c>
      <c r="L11610" s="10" t="inlineStr">
        <is>
          <t>Customer Service, Front Desk Management, Administrative, English Communicate, Korean Communication</t>
        </is>
      </c>
      <c r="M11610" s="10" t="inlineStr">
        <is>
          <t>Bonus, Awards, Others</t>
        </is>
      </c>
      <c r="N11610" s="11">
        <f>HYPERLINK("https://www.vietnamworks.com/receptionist-staff--2024177-jv","Xem chi tiết")</f>
        <v/>
      </c>
      <c r="O11610" s="10" t="n"/>
    </row>
    <row r="11611">
      <c r="B11611" s="7" t="n">
        <v>11609</v>
      </c>
      <c r="C11611" t="inlineStr">
        <is>
          <t>Kỹ Thuật Viên Tự Động Hóa</t>
        </is>
      </c>
      <c r="D11611" t="inlineStr">
        <is>
          <t>Công Ty TNHH Công Nghệ Lens VIỆT NAM</t>
        </is>
      </c>
      <c r="E11611" t="inlineStr">
        <is>
          <t>$$ 300-2,000 /tháng</t>
        </is>
      </c>
      <c r="F11611" t="inlineStr">
        <is>
          <t>Bắc Giang, Bắc Ninh, Hà Nội</t>
        </is>
      </c>
      <c r="G11611" t="inlineStr">
        <is>
          <t>Nhân viên</t>
        </is>
      </c>
      <c r="H11611" t="inlineStr">
        <is>
          <t>16/03/2026</t>
        </is>
      </c>
      <c r="I11611" t="inlineStr">
        <is>
          <t>15/04/2026</t>
        </is>
      </c>
      <c r="J11611" t="inlineStr">
        <is>
          <t>17/03/2026</t>
        </is>
      </c>
      <c r="K11611" t="inlineStr">
        <is>
          <t>N/A</t>
        </is>
      </c>
      <c r="L11611" t="inlineStr">
        <is>
          <t>Bảo Trì Thiết Bị Tin Học, Cải Tiến Quy Trình Sản Xuất, Phân Tích Quy Trình, Quản Lý Sản Xuất, Sửa Chữa Thiết Bị</t>
        </is>
      </c>
      <c r="M11611" t="inlineStr">
        <is>
          <t>Healthcare Plan, Paid Leave, Training, Team Activities, Transportation, Canteen</t>
        </is>
      </c>
      <c r="N11611" s="8">
        <f>HYPERLINK("https://www.vietnamworks.com/ky-thuat-vien-tu-djong-hoa-2024179-jv","Xem chi tiết")</f>
        <v/>
      </c>
    </row>
    <row r="11612">
      <c r="B11612" s="9" t="n">
        <v>11610</v>
      </c>
      <c r="C11612" s="10" t="inlineStr">
        <is>
          <t>Sales Manager</t>
        </is>
      </c>
      <c r="D11612" s="10" t="inlineStr">
        <is>
          <t>重庆理工清研凌创测控科技有限公司</t>
        </is>
      </c>
      <c r="E11612" s="10" t="inlineStr">
        <is>
          <t>$$ 1,100-1,650 /tháng</t>
        </is>
      </c>
      <c r="F11612" s="10" t="inlineStr">
        <is>
          <t>Hà Nội</t>
        </is>
      </c>
      <c r="G11612" s="10" t="inlineStr">
        <is>
          <t>Trưởng phòng</t>
        </is>
      </c>
      <c r="H11612" s="10" t="inlineStr">
        <is>
          <t>16/03/2026</t>
        </is>
      </c>
      <c r="I11612" s="10" t="inlineStr">
        <is>
          <t>15/04/2026</t>
        </is>
      </c>
      <c r="J11612" s="10" t="inlineStr">
        <is>
          <t>17/03/2026</t>
        </is>
      </c>
      <c r="K11612" s="10" t="inlineStr">
        <is>
          <t>N/A</t>
        </is>
      </c>
      <c r="L11612" s="10" t="inlineStr">
        <is>
          <t>Kinh Doanh B2B, Thiết Bị Tự Động Hóa, Ô Tô, Automotive</t>
        </is>
      </c>
      <c r="M11612" s="10" t="inlineStr">
        <is>
          <t>Bonus, Transportation</t>
        </is>
      </c>
      <c r="N11612" s="11">
        <f>HYPERLINK("https://www.vietnamworks.com/sales-manager--2024190-jv","Xem chi tiết")</f>
        <v/>
      </c>
      <c r="O11612" s="10" t="n"/>
    </row>
    <row r="11613">
      <c r="B11613" s="7" t="n">
        <v>11611</v>
      </c>
      <c r="C11613" t="inlineStr">
        <is>
          <t>Document Controlling Executive</t>
        </is>
      </c>
      <c r="D11613" t="inlineStr">
        <is>
          <t>Schindler Vietnam</t>
        </is>
      </c>
      <c r="E11613" t="inlineStr">
        <is>
          <t>Thương lượng</t>
        </is>
      </c>
      <c r="F11613" t="inlineStr">
        <is>
          <t>Đà Nẵng</t>
        </is>
      </c>
      <c r="G11613" t="inlineStr">
        <is>
          <t>Nhân viên</t>
        </is>
      </c>
      <c r="H11613" t="inlineStr">
        <is>
          <t>16/03/2026</t>
        </is>
      </c>
      <c r="I11613" t="inlineStr">
        <is>
          <t>15/04/2026</t>
        </is>
      </c>
      <c r="J11613" t="inlineStr">
        <is>
          <t>17/03/2026</t>
        </is>
      </c>
      <c r="K11613" t="inlineStr">
        <is>
          <t>N/A</t>
        </is>
      </c>
      <c r="L11613" t="inlineStr">
        <is>
          <t>Document Control, Time Management, Organizational skills, English, Project Documentation</t>
        </is>
      </c>
      <c r="M11613" t="inlineStr">
        <is>
          <t>Bonus, Healthcare Plan, Paid Leave</t>
        </is>
      </c>
      <c r="N11613" s="8">
        <f>HYPERLINK("https://www.vietnamworks.com/document-controlling-executive-2024180-jv","Xem chi tiết")</f>
        <v/>
      </c>
    </row>
    <row r="11614">
      <c r="B11614" s="9" t="n">
        <v>11612</v>
      </c>
      <c r="C11614" s="10" t="inlineStr">
        <is>
          <t>Nhân Viên Thiết Kế Cơ</t>
        </is>
      </c>
      <c r="D11614" s="10" t="inlineStr">
        <is>
          <t>CÔNG TY CỔ PHẦN CƠ ĐIỆN HAECO</t>
        </is>
      </c>
      <c r="E11614" s="10" t="inlineStr">
        <is>
          <t>9tr-25tr ₫/tháng</t>
        </is>
      </c>
      <c r="F11614" s="10" t="inlineStr">
        <is>
          <t>Hà Nội, Bắc Ninh</t>
        </is>
      </c>
      <c r="G11614" s="10" t="inlineStr">
        <is>
          <t>Mới Tốt Nghiệp</t>
        </is>
      </c>
      <c r="H11614" s="10" t="inlineStr">
        <is>
          <t>16/03/2026</t>
        </is>
      </c>
      <c r="I11614" s="10" t="inlineStr">
        <is>
          <t>15/04/2026</t>
        </is>
      </c>
      <c r="J11614" s="10" t="inlineStr">
        <is>
          <t>17/03/2026</t>
        </is>
      </c>
      <c r="K11614" s="10" t="inlineStr">
        <is>
          <t>N/A</t>
        </is>
      </c>
      <c r="L11614" s="10" t="inlineStr">
        <is>
          <t>AutoCAD 2D, Bóc Tách Khối Lượng, Mechanical Design, SolidWorks, Thiết Kế Tủ Điện</t>
        </is>
      </c>
      <c r="M11614" s="10" t="inlineStr">
        <is>
          <t>Bonus, Healthcare Plan, Training, Team Activities, Others</t>
        </is>
      </c>
      <c r="N11614" s="11">
        <f>HYPERLINK("https://www.vietnamworks.com/nhan-vien-thiet-ke-co-2024186-jv","Xem chi tiết")</f>
        <v/>
      </c>
      <c r="O11614" s="10" t="n"/>
    </row>
    <row r="11615">
      <c r="B11615" s="7" t="n">
        <v>11613</v>
      </c>
      <c r="C11615" t="inlineStr">
        <is>
          <t>Contract &amp; Credit Controller</t>
        </is>
      </c>
      <c r="D11615" t="inlineStr">
        <is>
          <t>Schindler Vietnam</t>
        </is>
      </c>
      <c r="E11615" t="inlineStr">
        <is>
          <t>Thương lượng</t>
        </is>
      </c>
      <c r="F11615" t="inlineStr">
        <is>
          <t>Hà Nội</t>
        </is>
      </c>
      <c r="G11615" t="inlineStr">
        <is>
          <t>Nhân viên</t>
        </is>
      </c>
      <c r="H11615" t="inlineStr">
        <is>
          <t>16/03/2026</t>
        </is>
      </c>
      <c r="I11615" t="inlineStr">
        <is>
          <t>15/04/2026</t>
        </is>
      </c>
      <c r="J11615" t="inlineStr">
        <is>
          <t>17/03/2026</t>
        </is>
      </c>
      <c r="K11615" t="inlineStr">
        <is>
          <t>N/A</t>
        </is>
      </c>
      <c r="L11615" t="inlineStr">
        <is>
          <t>Contract Negotiation, Task Management, Quantity Surveying (MEP), Construction Contracts, Construction Law</t>
        </is>
      </c>
      <c r="M11615" t="inlineStr">
        <is>
          <t>Bonus, Healthcare Plan, Paid Leave</t>
        </is>
      </c>
      <c r="N11615" s="8">
        <f>HYPERLINK("https://www.vietnamworks.com/contract-and-credit-controller-2024184-jv","Xem chi tiết")</f>
        <v/>
      </c>
    </row>
    <row r="11616">
      <c r="B11616" s="9" t="n">
        <v>11614</v>
      </c>
      <c r="C11616" s="10" t="inlineStr">
        <is>
          <t>Kỹ Sư Tự Động Hoá</t>
        </is>
      </c>
      <c r="D11616" s="10" t="inlineStr">
        <is>
          <t>Công Ty TNHH Công Nghệ Lens VIỆT NAM</t>
        </is>
      </c>
      <c r="E11616" s="10" t="inlineStr">
        <is>
          <t>Thương lượng</t>
        </is>
      </c>
      <c r="F11616" s="10" t="inlineStr">
        <is>
          <t>Bắc Giang, Bắc Ninh, Hà Nội</t>
        </is>
      </c>
      <c r="G11616" s="10" t="inlineStr">
        <is>
          <t>Nhân viên</t>
        </is>
      </c>
      <c r="H11616" s="10" t="inlineStr">
        <is>
          <t>16/03/2026</t>
        </is>
      </c>
      <c r="I11616" s="10" t="inlineStr">
        <is>
          <t>15/04/2026</t>
        </is>
      </c>
      <c r="J11616" s="10" t="inlineStr">
        <is>
          <t>17/03/2026</t>
        </is>
      </c>
      <c r="K11616" s="10" t="inlineStr">
        <is>
          <t>N/A</t>
        </is>
      </c>
      <c r="L11616" s="10" t="inlineStr">
        <is>
          <t>Bảo Trì Thiết Bị Tin Học, Cải Tiến Quy Trình Sản Xuất, Phân Tích Quy Trình, Sửa Chữa Thiết Bị, Tiếng Trung</t>
        </is>
      </c>
      <c r="M11616" s="10" t="inlineStr">
        <is>
          <t>Bonus, Paid Leave, Training, Laptop, Team Activities, Transportation, Canteen</t>
        </is>
      </c>
      <c r="N11616" s="11">
        <f>HYPERLINK("https://www.vietnamworks.com/ky-su-tu-djong-hoa-2024176-jv","Xem chi tiết")</f>
        <v/>
      </c>
      <c r="O11616" s="10" t="n"/>
    </row>
    <row r="11617">
      <c r="B11617" s="7" t="n">
        <v>11615</v>
      </c>
      <c r="C11617" t="inlineStr">
        <is>
          <t>Chuyên Viên Quản Lý Mạng Lưới và Dịch Vụ Hỗ Trợ</t>
        </is>
      </c>
      <c r="D11617" t="inlineStr">
        <is>
          <t>Ngân hàng TNHH MTV Việt Nam Hiện Đại (Modern Bank of Vietnam - MBV)</t>
        </is>
      </c>
      <c r="E11617" t="inlineStr">
        <is>
          <t>Thương lượng</t>
        </is>
      </c>
      <c r="F11617" t="inlineStr">
        <is>
          <t>Hà Nội</t>
        </is>
      </c>
      <c r="G11617" t="inlineStr">
        <is>
          <t>Nhân viên</t>
        </is>
      </c>
      <c r="H11617" t="inlineStr">
        <is>
          <t>16/03/2026</t>
        </is>
      </c>
      <c r="I11617" t="inlineStr">
        <is>
          <t>15/04/2026</t>
        </is>
      </c>
      <c r="J11617" t="inlineStr">
        <is>
          <t>17/03/2026</t>
        </is>
      </c>
      <c r="K11617" t="inlineStr">
        <is>
          <t>N/A</t>
        </is>
      </c>
      <c r="L11617" t="inlineStr">
        <is>
          <t>Tài Chính, Xây Dựng, Kinh Tế, Đầu Tư Bất Động Sản, Thủ Tục Pháp lý</t>
        </is>
      </c>
      <c r="M11617" t="inlineStr">
        <is>
          <t>Bonus, Healthcare Plan, Paid Leave</t>
        </is>
      </c>
      <c r="N11617" s="8">
        <f>HYPERLINK("https://www.vietnamworks.com/chuyen-vien-quan-ly-mang-luoi-va-dich-vu-ho-tro-2024192-jv","Xem chi tiết")</f>
        <v/>
      </c>
    </row>
    <row r="11618">
      <c r="B11618" s="9" t="n">
        <v>11616</v>
      </c>
      <c r="C11618" s="10" t="inlineStr">
        <is>
          <t>Trưởng Phòng Quản Lý Chất Lượng</t>
        </is>
      </c>
      <c r="D11618" s="10" t="inlineStr">
        <is>
          <t>CÔNG TY CỔ PHẦN CƠ ĐIỆN HAECO</t>
        </is>
      </c>
      <c r="E11618" s="10" t="inlineStr">
        <is>
          <t>25tr-35tr ₫/tháng</t>
        </is>
      </c>
      <c r="F11618" s="10" t="inlineStr">
        <is>
          <t>Bắc Ninh</t>
        </is>
      </c>
      <c r="G11618" s="10" t="inlineStr">
        <is>
          <t>Trưởng phòng</t>
        </is>
      </c>
      <c r="H11618" s="10" t="inlineStr">
        <is>
          <t>16/03/2026</t>
        </is>
      </c>
      <c r="I11618" s="10" t="inlineStr">
        <is>
          <t>15/04/2026</t>
        </is>
      </c>
      <c r="J11618" s="10" t="inlineStr">
        <is>
          <t>17/03/2026</t>
        </is>
      </c>
      <c r="K11618" s="10" t="inlineStr">
        <is>
          <t>N/A</t>
        </is>
      </c>
      <c r="L11618" s="10" t="inlineStr">
        <is>
          <t>5WHY Analysis, Giám Sát Chất Lượng, Hệ Thống Điện Công Nghiệp, ISO 9001, Tủ Bảng Điện</t>
        </is>
      </c>
      <c r="M11618" s="10" t="inlineStr">
        <is>
          <t>Bonus, Training, Team Activities, Others</t>
        </is>
      </c>
      <c r="N11618" s="11">
        <f>HYPERLINK("https://www.vietnamworks.com/truong-phong-quan-ly-chat-luong-2024195-jv","Xem chi tiết")</f>
        <v/>
      </c>
      <c r="O11618" s="10" t="n"/>
    </row>
    <row r="11619">
      <c r="B11619" s="7" t="n">
        <v>11617</v>
      </c>
      <c r="C11619" t="inlineStr">
        <is>
          <t>Kỹ Sư Tự Động Hóa</t>
        </is>
      </c>
      <c r="D11619" t="inlineStr">
        <is>
          <t>Công ty Cổ phần Dược phẩm Hà Tây</t>
        </is>
      </c>
      <c r="E11619" t="inlineStr">
        <is>
          <t>Thương lượng</t>
        </is>
      </c>
      <c r="F11619" t="inlineStr">
        <is>
          <t>Hà Nội</t>
        </is>
      </c>
      <c r="G11619" t="inlineStr">
        <is>
          <t>Nhân viên</t>
        </is>
      </c>
      <c r="H11619" t="inlineStr">
        <is>
          <t>16/03/2026</t>
        </is>
      </c>
      <c r="I11619" t="inlineStr">
        <is>
          <t>15/04/2026</t>
        </is>
      </c>
      <c r="J11619" t="inlineStr">
        <is>
          <t>17/03/2026</t>
        </is>
      </c>
      <c r="K11619" t="inlineStr">
        <is>
          <t>N/A</t>
        </is>
      </c>
      <c r="L11619" t="inlineStr">
        <is>
          <t>Bảo Trì Hệ Thống Điện, HMI, Lập Trình PLC, Thiết Bị Đo Lường, Tự Động Hóa</t>
        </is>
      </c>
      <c r="M11619" t="inlineStr">
        <is>
          <t>Healthcare Plan, Paid Leave, Training, Awards, Team Activities, Others</t>
        </is>
      </c>
      <c r="N11619" s="8">
        <f>HYPERLINK("https://www.vietnamworks.com/ky-su-tu-djong-hoa-2024197-jv","Xem chi tiết")</f>
        <v/>
      </c>
    </row>
    <row r="11620">
      <c r="B11620" s="9" t="n">
        <v>11618</v>
      </c>
      <c r="C11620" s="10" t="inlineStr">
        <is>
          <t>Nhân Viên Tư Vấn Khóa Học</t>
        </is>
      </c>
      <c r="D11620" s="10" t="inlineStr">
        <is>
          <t>Atlanta Language Educator</t>
        </is>
      </c>
      <c r="E11620" s="10" t="inlineStr">
        <is>
          <t>Thương lượng</t>
        </is>
      </c>
      <c r="F11620" s="10" t="inlineStr">
        <is>
          <t>Hồ Chí Minh</t>
        </is>
      </c>
      <c r="G11620" s="10" t="inlineStr">
        <is>
          <t>Nhân viên</t>
        </is>
      </c>
      <c r="H11620" s="10" t="inlineStr">
        <is>
          <t>16/03/2026</t>
        </is>
      </c>
      <c r="I11620" s="10" t="inlineStr">
        <is>
          <t>15/04/2026</t>
        </is>
      </c>
      <c r="J11620" s="10" t="inlineStr">
        <is>
          <t>17/03/2026</t>
        </is>
      </c>
      <c r="K11620" s="10" t="inlineStr">
        <is>
          <t>N/A</t>
        </is>
      </c>
      <c r="L11620" s="10" t="inlineStr">
        <is>
          <t>Tư Vấn Khóa Học, Tư Vấn, Telesales, Giáo Dục, Chăm Sóc Khách Hàng</t>
        </is>
      </c>
      <c r="M11620" s="10" t="inlineStr">
        <is>
          <t>Bonus, Training, Team Activities</t>
        </is>
      </c>
      <c r="N11620" s="11">
        <f>HYPERLINK("https://www.vietnamworks.com/nhan-vien-tu-van-khoa-hoc--2024205-jv","Xem chi tiết")</f>
        <v/>
      </c>
      <c r="O11620" s="10" t="n"/>
    </row>
    <row r="11621">
      <c r="B11621" s="7" t="n">
        <v>11619</v>
      </c>
      <c r="C11621" t="inlineStr">
        <is>
          <t>Graphic Designer</t>
        </is>
      </c>
      <c r="D11621" t="inlineStr">
        <is>
          <t>CÔNG TY CỔ PHẦN GỖ AN CƯỜNG</t>
        </is>
      </c>
      <c r="E11621" t="inlineStr">
        <is>
          <t>$$ 600-800 /tháng</t>
        </is>
      </c>
      <c r="F11621" t="inlineStr">
        <is>
          <t>Hồ Chí Minh</t>
        </is>
      </c>
      <c r="G11621" t="inlineStr">
        <is>
          <t>Nhân viên</t>
        </is>
      </c>
      <c r="H11621" t="inlineStr">
        <is>
          <t>16/03/2026</t>
        </is>
      </c>
      <c r="I11621" t="inlineStr">
        <is>
          <t>15/04/2026</t>
        </is>
      </c>
      <c r="J11621" t="inlineStr">
        <is>
          <t>17/03/2026</t>
        </is>
      </c>
      <c r="K11621" t="inlineStr">
        <is>
          <t>N/A</t>
        </is>
      </c>
      <c r="L11621" t="inlineStr">
        <is>
          <t>Adobe Photoshop, Adobe Illustrator, Corel, Thiết Kế Đồ Họa</t>
        </is>
      </c>
      <c r="M11621" t="inlineStr">
        <is>
          <t>Bonus, Paid Leave, Training</t>
        </is>
      </c>
      <c r="N11621" s="8">
        <f>HYPERLINK("https://www.vietnamworks.com/graphic-designer--2024212-jv","Xem chi tiết")</f>
        <v/>
      </c>
    </row>
    <row r="11622">
      <c r="B11622" s="9" t="n">
        <v>11620</v>
      </c>
      <c r="C11622" s="10" t="inlineStr">
        <is>
          <t>Module Lead Engineer</t>
        </is>
      </c>
      <c r="D11622" s="10" t="inlineStr">
        <is>
          <t>VINFAST TRADING AND PRODUCTION JSC</t>
        </is>
      </c>
      <c r="E11622" s="10" t="inlineStr">
        <is>
          <t>$$ 1,000-3,000 /tháng</t>
        </is>
      </c>
      <c r="F11622" s="10" t="inlineStr">
        <is>
          <t>Hà Tĩnh</t>
        </is>
      </c>
      <c r="G11622" s="10" t="inlineStr">
        <is>
          <t>Nhân viên</t>
        </is>
      </c>
      <c r="H11622" s="10" t="inlineStr">
        <is>
          <t>16/03/2026</t>
        </is>
      </c>
      <c r="I11622" s="10" t="inlineStr">
        <is>
          <t>15/04/2026</t>
        </is>
      </c>
      <c r="J11622" s="10" t="inlineStr">
        <is>
          <t>17/03/2026</t>
        </is>
      </c>
      <c r="K11622" s="10" t="inlineStr">
        <is>
          <t>N/A</t>
        </is>
      </c>
      <c r="L11622" s="10" t="inlineStr">
        <is>
          <t>Engineering, English, Design, Quality</t>
        </is>
      </c>
      <c r="M11622" s="10" t="inlineStr">
        <is>
          <t>Bonus, Healthcare Plan, Others</t>
        </is>
      </c>
      <c r="N11622" s="11">
        <f>HYPERLINK("https://www.vietnamworks.com/module-lead-engineer-2024202-jv","Xem chi tiết")</f>
        <v/>
      </c>
      <c r="O11622" s="10" t="n"/>
    </row>
    <row r="11623">
      <c r="B11623" s="7" t="n">
        <v>11621</v>
      </c>
      <c r="C11623" t="inlineStr">
        <is>
          <t>Content Producer (Focus On Short Video)</t>
        </is>
      </c>
      <c r="D11623" t="inlineStr">
        <is>
          <t>CÔNG TY TNHH TENFLYER</t>
        </is>
      </c>
      <c r="E11623" t="inlineStr">
        <is>
          <t>12tr-15tr ₫/tháng</t>
        </is>
      </c>
      <c r="F11623" t="inlineStr">
        <is>
          <t>Hồ Chí Minh</t>
        </is>
      </c>
      <c r="G11623" t="inlineStr">
        <is>
          <t>Mới Tốt Nghiệp</t>
        </is>
      </c>
      <c r="H11623" t="inlineStr">
        <is>
          <t>16/03/2026</t>
        </is>
      </c>
      <c r="I11623" t="inlineStr">
        <is>
          <t>15/04/2026</t>
        </is>
      </c>
      <c r="J11623" t="inlineStr">
        <is>
          <t>17/03/2026</t>
        </is>
      </c>
      <c r="K11623" t="inlineStr">
        <is>
          <t>N/A</t>
        </is>
      </c>
      <c r="L11623" t="inlineStr">
        <is>
          <t>Affiliate Marketing, Tiktok Ads, Content Marketing, SEO, Xây Dựng Chiến Lược Nội Dung</t>
        </is>
      </c>
      <c r="M11623" t="inlineStr">
        <is>
          <t>Bonus, Paid Leave, Training, Canteen</t>
        </is>
      </c>
      <c r="N11623" s="8">
        <f>HYPERLINK("https://www.vietnamworks.com/content-producer-focus-on-short-video-2024217-jv","Xem chi tiết")</f>
        <v/>
      </c>
    </row>
    <row r="11624">
      <c r="B11624" s="9" t="n">
        <v>11622</v>
      </c>
      <c r="C11624" s="10" t="inlineStr">
        <is>
          <t>Nhân Viên Kế Toán</t>
        </is>
      </c>
      <c r="D11624" s="10" t="inlineStr">
        <is>
          <t>Sti - Simple Tech Investment</t>
        </is>
      </c>
      <c r="E11624" s="10" t="inlineStr">
        <is>
          <t>$$ 400-600 /tháng</t>
        </is>
      </c>
      <c r="F11624" s="10" t="inlineStr">
        <is>
          <t>Hồ Chí Minh</t>
        </is>
      </c>
      <c r="G11624" s="10" t="inlineStr">
        <is>
          <t>Nhân viên</t>
        </is>
      </c>
      <c r="H11624" s="10" t="inlineStr">
        <is>
          <t>16/03/2026</t>
        </is>
      </c>
      <c r="I11624" s="10" t="inlineStr">
        <is>
          <t>15/04/2026</t>
        </is>
      </c>
      <c r="J11624" s="10" t="inlineStr">
        <is>
          <t>17/03/2026</t>
        </is>
      </c>
      <c r="K11624" s="10" t="inlineStr">
        <is>
          <t>N/A</t>
        </is>
      </c>
      <c r="L11624" s="10" t="inlineStr">
        <is>
          <t>Tài Chính Kế Toán, Kiểm Toán, Kế Toán Tổng Hợp, Kế Toán, Tài Chính</t>
        </is>
      </c>
      <c r="M11624" s="10" t="inlineStr">
        <is>
          <t>Bonus, Healthcare Plan, Paid Leave</t>
        </is>
      </c>
      <c r="N11624" s="11">
        <f>HYPERLINK("https://www.vietnamworks.com/nhan-vien-ke-toan--2024207-jv","Xem chi tiết")</f>
        <v/>
      </c>
      <c r="O11624" s="10" t="n"/>
    </row>
    <row r="11625">
      <c r="B11625" s="7" t="n">
        <v>11623</v>
      </c>
      <c r="C11625" t="inlineStr">
        <is>
          <t>Kỹ Sư Trưởng Hầm TBM -Chief TBM Engineer</t>
        </is>
      </c>
      <c r="D11625" t="inlineStr">
        <is>
          <t>CÔNG TY CỔ PHẦN ĐẦU TƯ VÀ XÂY DỰNG SGC</t>
        </is>
      </c>
      <c r="E11625" t="inlineStr">
        <is>
          <t>Thương lượng</t>
        </is>
      </c>
      <c r="F11625" t="inlineStr">
        <is>
          <t>Hồ Chí Minh, Hưng Yên, Hà Nội</t>
        </is>
      </c>
      <c r="G11625" t="inlineStr">
        <is>
          <t>Trưởng phòng</t>
        </is>
      </c>
      <c r="H11625" t="inlineStr">
        <is>
          <t>16/03/2026</t>
        </is>
      </c>
      <c r="I11625" t="inlineStr">
        <is>
          <t>15/04/2026</t>
        </is>
      </c>
      <c r="J11625" t="inlineStr">
        <is>
          <t>17/03/2026</t>
        </is>
      </c>
      <c r="K11625" t="inlineStr">
        <is>
          <t>N/A</t>
        </is>
      </c>
      <c r="L11625" t="inlineStr">
        <is>
          <t>Kỹ sư công trình, Địa Chất, Xây Dựng, Giao Thông Vận Tải, Thi Công Xây Dựng</t>
        </is>
      </c>
      <c r="M11625" t="inlineStr">
        <is>
          <t>Bonus, Training, Awards</t>
        </is>
      </c>
      <c r="N11625" s="8">
        <f>HYPERLINK("https://www.vietnamworks.com/ky-su-truong-ham-tbm-chief-tbm-engineer-2024199-jv","Xem chi tiết")</f>
        <v/>
      </c>
    </row>
    <row r="11626">
      <c r="B11626" s="9" t="n">
        <v>11624</v>
      </c>
      <c r="C11626" s="10" t="inlineStr">
        <is>
          <t>Customer Service Manager</t>
        </is>
      </c>
      <c r="D11626" s="10" t="inlineStr">
        <is>
          <t>Matson Navigation Inc.</t>
        </is>
      </c>
      <c r="E11626" s="10" t="inlineStr">
        <is>
          <t>$$ 1,000-1,500 /tháng</t>
        </is>
      </c>
      <c r="F11626" s="10" t="inlineStr">
        <is>
          <t>Hồ Chí Minh</t>
        </is>
      </c>
      <c r="G11626" s="10" t="inlineStr">
        <is>
          <t>Trưởng phòng</t>
        </is>
      </c>
      <c r="H11626" s="10" t="inlineStr">
        <is>
          <t>16/03/2026</t>
        </is>
      </c>
      <c r="I11626" s="10" t="inlineStr">
        <is>
          <t>15/04/2026</t>
        </is>
      </c>
      <c r="J11626" s="10" t="inlineStr">
        <is>
          <t>17/03/2026</t>
        </is>
      </c>
      <c r="K11626" s="10" t="inlineStr">
        <is>
          <t>N/A</t>
        </is>
      </c>
      <c r="L11626" s="10" t="inlineStr">
        <is>
          <t>Communication Skills, Customer Service Management, Customer Service Training, Logistics System, Problem-solving</t>
        </is>
      </c>
      <c r="M11626" s="10" t="inlineStr">
        <is>
          <t>Bonus, Healthcare Plan, Paid Leave</t>
        </is>
      </c>
      <c r="N11626" s="11">
        <f>HYPERLINK("https://www.vietnamworks.com/customer-service-manager-2024216-jv","Xem chi tiết")</f>
        <v/>
      </c>
      <c r="O11626" s="10" t="n"/>
    </row>
    <row r="11627">
      <c r="B11627" s="7" t="n">
        <v>11625</v>
      </c>
      <c r="C11627" t="inlineStr">
        <is>
          <t>Kinh Doanh Phát Triển Thị Trường (B2B Ngành May)</t>
        </is>
      </c>
      <c r="D11627" t="inlineStr">
        <is>
          <t>Công Ty TNHH Thịnh Vượng Toàn Cầu</t>
        </is>
      </c>
      <c r="E11627" t="inlineStr">
        <is>
          <t>Tới 40tr ₫/tháng</t>
        </is>
      </c>
      <c r="F11627" t="inlineStr">
        <is>
          <t>Hồ Chí Minh</t>
        </is>
      </c>
      <c r="G11627" t="inlineStr">
        <is>
          <t>Nhân viên</t>
        </is>
      </c>
      <c r="H11627" t="inlineStr">
        <is>
          <t>16/03/2026</t>
        </is>
      </c>
      <c r="I11627" t="inlineStr">
        <is>
          <t>15/04/2026</t>
        </is>
      </c>
      <c r="J11627" t="inlineStr">
        <is>
          <t>17/03/2026</t>
        </is>
      </c>
      <c r="K11627" t="inlineStr">
        <is>
          <t>N/A</t>
        </is>
      </c>
      <c r="L11627" t="inlineStr">
        <is>
          <t>B2B Sales, Tư Vấn, Bán Hàng, Business Development, Kinh Doanh</t>
        </is>
      </c>
      <c r="M11627" t="inlineStr">
        <is>
          <t>Bonus, Healthcare Plan, Travel Opportunities</t>
        </is>
      </c>
      <c r="N11627" s="8">
        <f>HYPERLINK("https://www.vietnamworks.com/kinh-doanh-phat-trien-thi-truong-b2b-nganh-may-2024210-jv","Xem chi tiết")</f>
        <v/>
      </c>
    </row>
    <row r="11628">
      <c r="B11628" s="9" t="n">
        <v>11626</v>
      </c>
      <c r="C11628" s="10" t="inlineStr">
        <is>
          <t>Sales Admin</t>
        </is>
      </c>
      <c r="D11628" s="10" t="inlineStr">
        <is>
          <t>CÔNG TY TNHH OIA TECHNOLOGIES</t>
        </is>
      </c>
      <c r="E11628" s="10" t="inlineStr">
        <is>
          <t>Thương lượng</t>
        </is>
      </c>
      <c r="F11628" s="10" t="inlineStr">
        <is>
          <t>Hồ Chí Minh</t>
        </is>
      </c>
      <c r="G11628" s="10" t="inlineStr">
        <is>
          <t>Nhân viên</t>
        </is>
      </c>
      <c r="H11628" s="10" t="inlineStr">
        <is>
          <t>16/03/2026</t>
        </is>
      </c>
      <c r="I11628" s="10" t="inlineStr">
        <is>
          <t>15/04/2026</t>
        </is>
      </c>
      <c r="J11628" s="10" t="inlineStr">
        <is>
          <t>17/03/2026</t>
        </is>
      </c>
      <c r="K11628" s="10" t="inlineStr">
        <is>
          <t>N/A</t>
        </is>
      </c>
      <c r="L11628" s="10" t="inlineStr">
        <is>
          <t>English, Sales Administration, Customer Service, Quotation Preparation, Shipping Documents</t>
        </is>
      </c>
      <c r="M11628" s="10" t="inlineStr">
        <is>
          <t>Bonus, Healthcare Plan, Paid Leave</t>
        </is>
      </c>
      <c r="N11628" s="11">
        <f>HYPERLINK("https://www.vietnamworks.com/sales-admin-2024206-jv","Xem chi tiết")</f>
        <v/>
      </c>
      <c r="O11628" s="10" t="n"/>
    </row>
    <row r="11629">
      <c r="B11629" s="7" t="n">
        <v>11627</v>
      </c>
      <c r="C11629" t="inlineStr">
        <is>
          <t>Sales Engineer HVAC</t>
        </is>
      </c>
      <c r="D11629" t="inlineStr">
        <is>
          <t>AppliancZ Vietnam Joint Stock Company</t>
        </is>
      </c>
      <c r="E11629" t="inlineStr">
        <is>
          <t>Từ 15tr ₫/tháng</t>
        </is>
      </c>
      <c r="F11629" t="inlineStr">
        <is>
          <t>Hồ Chí Minh, Hà Nội</t>
        </is>
      </c>
      <c r="G11629" t="inlineStr">
        <is>
          <t>Nhân viên</t>
        </is>
      </c>
      <c r="H11629" t="inlineStr">
        <is>
          <t>16/03/2026</t>
        </is>
      </c>
      <c r="I11629" t="inlineStr">
        <is>
          <t>15/04/2026</t>
        </is>
      </c>
      <c r="J11629" t="inlineStr">
        <is>
          <t>17/03/2026</t>
        </is>
      </c>
      <c r="K11629" t="inlineStr">
        <is>
          <t>N/A</t>
        </is>
      </c>
      <c r="L11629" t="inlineStr">
        <is>
          <t>Điện Lạnh, HVAC, Bảo Trì, Bảo Hành, Chiller Maintenance</t>
        </is>
      </c>
      <c r="M11629" t="inlineStr">
        <is>
          <t>Bonus, Paid Leave, Travel Opportunities</t>
        </is>
      </c>
      <c r="N11629" s="8">
        <f>HYPERLINK("https://www.vietnamworks.com/sales-engineer-hvac--2024198-jv","Xem chi tiết")</f>
        <v/>
      </c>
    </row>
    <row r="11630">
      <c r="B11630" s="9" t="n">
        <v>11628</v>
      </c>
      <c r="C11630" s="10" t="inlineStr">
        <is>
          <t>Office Manager</t>
        </is>
      </c>
      <c r="D11630" s="10" t="inlineStr">
        <is>
          <t>Matson Navigation Inc.</t>
        </is>
      </c>
      <c r="E11630" s="10" t="inlineStr">
        <is>
          <t>Thương lượng</t>
        </is>
      </c>
      <c r="F11630" s="10" t="inlineStr">
        <is>
          <t>Hồ Chí Minh</t>
        </is>
      </c>
      <c r="G11630" s="10" t="inlineStr">
        <is>
          <t>Giám Đốc và Cấp Cao Hơn</t>
        </is>
      </c>
      <c r="H11630" s="10" t="inlineStr">
        <is>
          <t>16/03/2026</t>
        </is>
      </c>
      <c r="I11630" s="10" t="inlineStr">
        <is>
          <t>15/04/2026</t>
        </is>
      </c>
      <c r="J11630" s="10" t="inlineStr">
        <is>
          <t>17/03/2026</t>
        </is>
      </c>
      <c r="K11630" s="10" t="inlineStr">
        <is>
          <t>N/A</t>
        </is>
      </c>
      <c r="L11630" s="10" t="inlineStr">
        <is>
          <t>Logistics, English</t>
        </is>
      </c>
      <c r="M11630" s="10" t="inlineStr">
        <is>
          <t>Bonus, Healthcare Plan, Paid Leave</t>
        </is>
      </c>
      <c r="N11630" s="11">
        <f>HYPERLINK("https://www.vietnamworks.com/office-manager--2024214-jv","Xem chi tiết")</f>
        <v/>
      </c>
      <c r="O11630" s="10" t="n"/>
    </row>
    <row r="11631">
      <c r="B11631" s="7" t="n">
        <v>11629</v>
      </c>
      <c r="C11631" t="inlineStr">
        <is>
          <t>Sales Executive</t>
        </is>
      </c>
      <c r="D11631" t="inlineStr">
        <is>
          <t>AppliancZ Vietnam Joint Stock Company</t>
        </is>
      </c>
      <c r="E11631" t="inlineStr">
        <is>
          <t>Thương lượng</t>
        </is>
      </c>
      <c r="F11631" t="inlineStr">
        <is>
          <t>Hà Nội</t>
        </is>
      </c>
      <c r="G11631" t="inlineStr">
        <is>
          <t>Nhân viên</t>
        </is>
      </c>
      <c r="H11631" t="inlineStr">
        <is>
          <t>16/03/2026</t>
        </is>
      </c>
      <c r="I11631" t="inlineStr">
        <is>
          <t>15/04/2026</t>
        </is>
      </c>
      <c r="J11631" t="inlineStr">
        <is>
          <t>17/03/2026</t>
        </is>
      </c>
      <c r="K11631" t="inlineStr">
        <is>
          <t>N/A</t>
        </is>
      </c>
      <c r="L11631" t="inlineStr">
        <is>
          <t>B2B Sales, Tìm Kiếm Khách Hàng, Phát Triển Thị Trường, Chăm Sóc Khách Hàng, Tư Vấn Giải Pháp</t>
        </is>
      </c>
      <c r="M11631" t="inlineStr">
        <is>
          <t>Bonus, Paid Leave, Travel Opportunities</t>
        </is>
      </c>
      <c r="N11631" s="8">
        <f>HYPERLINK("https://www.vietnamworks.com/sales-executive--2024209-jv","Xem chi tiết")</f>
        <v/>
      </c>
    </row>
    <row r="11632">
      <c r="B11632" s="9" t="n">
        <v>11630</v>
      </c>
      <c r="C11632" s="10" t="inlineStr">
        <is>
          <t>Team Lead (Native Japanese - Fluent in English)</t>
        </is>
      </c>
      <c r="D11632" s="10" t="inlineStr">
        <is>
          <t>ITECHWX COMPANY LIMITED</t>
        </is>
      </c>
      <c r="E11632" s="10" t="inlineStr">
        <is>
          <t>Thương lượng</t>
        </is>
      </c>
      <c r="F11632" s="10" t="inlineStr">
        <is>
          <t>Hồ Chí Minh</t>
        </is>
      </c>
      <c r="G11632" s="10" t="inlineStr">
        <is>
          <t>Trưởng phòng</t>
        </is>
      </c>
      <c r="H11632" s="10" t="inlineStr">
        <is>
          <t>16/03/2026</t>
        </is>
      </c>
      <c r="I11632" s="10" t="inlineStr">
        <is>
          <t>15/04/2026</t>
        </is>
      </c>
      <c r="J11632" s="10" t="inlineStr">
        <is>
          <t>17/03/2026</t>
        </is>
      </c>
      <c r="K11632" s="10" t="inlineStr">
        <is>
          <t>N/A</t>
        </is>
      </c>
      <c r="L11632" s="10" t="inlineStr">
        <is>
          <t>Basic English, Communication Skills, Interpersonal Skills, Japanese Speaking, Team Management</t>
        </is>
      </c>
      <c r="M11632" s="10" t="inlineStr">
        <is>
          <t>Healthcare Plan, Paid Leave, Laptop, Team Activities, Others</t>
        </is>
      </c>
      <c r="N11632" s="11">
        <f>HYPERLINK("https://www.vietnamworks.com/team-lead-native-japanese-fluent-in-english-2024211-jv","Xem chi tiết")</f>
        <v/>
      </c>
      <c r="O11632" s="10" t="n"/>
    </row>
    <row r="11633">
      <c r="B11633" s="7" t="n">
        <v>11631</v>
      </c>
      <c r="C11633" t="inlineStr">
        <is>
          <t>Phó Giám Đốc</t>
        </is>
      </c>
      <c r="D11633" t="inlineStr">
        <is>
          <t>iSMART Education</t>
        </is>
      </c>
      <c r="E11633" t="inlineStr">
        <is>
          <t>Thương lượng</t>
        </is>
      </c>
      <c r="F11633" t="inlineStr">
        <is>
          <t>Hà Nội</t>
        </is>
      </c>
      <c r="G11633" t="inlineStr">
        <is>
          <t>Trưởng phòng</t>
        </is>
      </c>
      <c r="H11633" t="inlineStr">
        <is>
          <t>16/03/2026</t>
        </is>
      </c>
      <c r="I11633" t="inlineStr">
        <is>
          <t>15/04/2026</t>
        </is>
      </c>
      <c r="J11633" t="inlineStr">
        <is>
          <t>17/03/2026</t>
        </is>
      </c>
      <c r="K11633" t="inlineStr">
        <is>
          <t>N/A</t>
        </is>
      </c>
      <c r="L11633" t="inlineStr">
        <is>
          <t>Kinh Doanh, Phát Triển Thị Trường, Quan Hệ Đối Ngoại, Quản Lý Nhân Sự, Quản Lý Vận Hành</t>
        </is>
      </c>
      <c r="M11633" t="inlineStr">
        <is>
          <t>Bonus, Healthcare Plan, Paid Leave, Training, Others</t>
        </is>
      </c>
      <c r="N11633" s="8">
        <f>HYPERLINK("https://www.vietnamworks.com/pho-giam-djoc-2024201-jv","Xem chi tiết")</f>
        <v/>
      </c>
    </row>
    <row r="11634">
      <c r="B11634" s="9" t="n">
        <v>11632</v>
      </c>
      <c r="C11634" s="10" t="inlineStr">
        <is>
          <t>Sales Manager</t>
        </is>
      </c>
      <c r="D11634" s="10" t="inlineStr">
        <is>
          <t>Matson Navigation Inc.</t>
        </is>
      </c>
      <c r="E11634" s="10" t="inlineStr">
        <is>
          <t>$$ 2,000-2,500 /tháng</t>
        </is>
      </c>
      <c r="F11634" s="10" t="inlineStr">
        <is>
          <t>Hồ Chí Minh</t>
        </is>
      </c>
      <c r="G11634" s="10" t="inlineStr">
        <is>
          <t>Trưởng phòng</t>
        </is>
      </c>
      <c r="H11634" s="10" t="inlineStr">
        <is>
          <t>16/03/2026</t>
        </is>
      </c>
      <c r="I11634" s="10" t="inlineStr">
        <is>
          <t>15/04/2026</t>
        </is>
      </c>
      <c r="J11634" s="10" t="inlineStr">
        <is>
          <t>17/03/2026</t>
        </is>
      </c>
      <c r="K11634" s="10" t="inlineStr">
        <is>
          <t>N/A</t>
        </is>
      </c>
      <c r="L11634" s="10" t="inlineStr">
        <is>
          <t>Client Service Management, English Language Proficiency, Market Analysis, Negotiation Skills, Team Management</t>
        </is>
      </c>
      <c r="M11634" s="10" t="inlineStr">
        <is>
          <t>Bonus, Healthcare Plan, Paid Leave</t>
        </is>
      </c>
      <c r="N11634" s="11">
        <f>HYPERLINK("https://www.vietnamworks.com/sales-manager-2024215-jv","Xem chi tiết")</f>
        <v/>
      </c>
      <c r="O11634" s="10" t="n"/>
    </row>
    <row r="11635">
      <c r="B11635" s="7" t="n">
        <v>11633</v>
      </c>
      <c r="C11635" t="inlineStr">
        <is>
          <t>Finance Manager</t>
        </is>
      </c>
      <c r="D11635" t="inlineStr">
        <is>
          <t>Matson Navigation Inc.</t>
        </is>
      </c>
      <c r="E11635" t="inlineStr">
        <is>
          <t>$$ 1,000-1,500 /tháng</t>
        </is>
      </c>
      <c r="F11635" t="inlineStr">
        <is>
          <t>Hồ Chí Minh</t>
        </is>
      </c>
      <c r="G11635" t="inlineStr">
        <is>
          <t>Trưởng phòng</t>
        </is>
      </c>
      <c r="H11635" t="inlineStr">
        <is>
          <t>16/03/2026</t>
        </is>
      </c>
      <c r="I11635" t="inlineStr">
        <is>
          <t>15/04/2026</t>
        </is>
      </c>
      <c r="J11635" t="inlineStr">
        <is>
          <t>17/03/2026</t>
        </is>
      </c>
      <c r="K11635" t="inlineStr">
        <is>
          <t>N/A</t>
        </is>
      </c>
      <c r="L11635" t="inlineStr">
        <is>
          <t>Accounting, Analytical Skills, Finance, Leadership, US GAAP</t>
        </is>
      </c>
      <c r="M11635" t="inlineStr">
        <is>
          <t>Bonus, Healthcare Plan, Paid Leave</t>
        </is>
      </c>
      <c r="N11635" s="8">
        <f>HYPERLINK("https://www.vietnamworks.com/finance-manager-2024218-jv","Xem chi tiết")</f>
        <v/>
      </c>
    </row>
    <row r="11636">
      <c r="B11636" s="9" t="n">
        <v>11634</v>
      </c>
      <c r="C11636" s="10" t="inlineStr">
        <is>
          <t>Trưởng Bộ Phận Kiểm Soát Tuân Thủ Tín Dụng</t>
        </is>
      </c>
      <c r="D11636" s="10" t="inlineStr">
        <is>
          <t>Ngân Hàng TMCP Phát Triển TP.HCM (HDBank)</t>
        </is>
      </c>
      <c r="E11636" s="10" t="inlineStr">
        <is>
          <t>Thương lượng</t>
        </is>
      </c>
      <c r="F11636" s="10" t="inlineStr">
        <is>
          <t>Hà Nội</t>
        </is>
      </c>
      <c r="G11636" s="10" t="inlineStr">
        <is>
          <t>Trưởng phòng</t>
        </is>
      </c>
      <c r="H11636" s="10" t="inlineStr">
        <is>
          <t>16/03/2026</t>
        </is>
      </c>
      <c r="I11636" s="10" t="inlineStr">
        <is>
          <t>15/04/2026</t>
        </is>
      </c>
      <c r="J11636" s="10" t="inlineStr">
        <is>
          <t>17/03/2026</t>
        </is>
      </c>
      <c r="K11636" s="10" t="inlineStr">
        <is>
          <t>N/A</t>
        </is>
      </c>
      <c r="L11636" s="10" t="inlineStr">
        <is>
          <t>Tài Chính Ngân Hàng, Quản Trị Kinh Doanh, Kiểm Soát Tuân Thủ, Credit, Nghiệp Vụ Ngân Hàng</t>
        </is>
      </c>
      <c r="M11636" s="10" t="inlineStr">
        <is>
          <t>Bonus, Healthcare Plan, Training</t>
        </is>
      </c>
      <c r="N11636" s="11">
        <f>HYPERLINK("https://www.vietnamworks.com/truong-bo-phan-kiem-soat-tuan-thu-tin-dung-2024213-jv","Xem chi tiết")</f>
        <v/>
      </c>
      <c r="O11636" s="10" t="n"/>
    </row>
    <row r="11637">
      <c r="B11637" s="7" t="n">
        <v>11635</v>
      </c>
      <c r="C11637" t="inlineStr">
        <is>
          <t>English Teacher</t>
        </is>
      </c>
      <c r="D11637" t="inlineStr">
        <is>
          <t>Atlanta Language Educator</t>
        </is>
      </c>
      <c r="E11637" t="inlineStr">
        <is>
          <t>$$ 500-1,000 /tháng</t>
        </is>
      </c>
      <c r="F11637" t="inlineStr">
        <is>
          <t>Hồ Chí Minh</t>
        </is>
      </c>
      <c r="G11637" t="inlineStr">
        <is>
          <t>Nhân viên</t>
        </is>
      </c>
      <c r="H11637" t="inlineStr">
        <is>
          <t>16/03/2026</t>
        </is>
      </c>
      <c r="I11637" t="inlineStr">
        <is>
          <t>15/04/2026</t>
        </is>
      </c>
      <c r="J11637" t="inlineStr">
        <is>
          <t>17/03/2026</t>
        </is>
      </c>
      <c r="K11637" t="inlineStr">
        <is>
          <t>N/A</t>
        </is>
      </c>
      <c r="L11637" t="inlineStr">
        <is>
          <t>English, Teaching, IELTS Teaching, Academic English, Student Management</t>
        </is>
      </c>
      <c r="M11637" t="inlineStr">
        <is>
          <t>Bonus, Training, Team Activities</t>
        </is>
      </c>
      <c r="N11637" s="8">
        <f>HYPERLINK("https://www.vietnamworks.com/english-teacher--2024204-jv","Xem chi tiết")</f>
        <v/>
      </c>
    </row>
    <row r="11638">
      <c r="B11638" s="9" t="n">
        <v>11636</v>
      </c>
      <c r="C11638" s="10" t="inlineStr">
        <is>
          <t>Construction Supervisor</t>
        </is>
      </c>
      <c r="D11638" s="10" t="inlineStr">
        <is>
          <t>Công Ty TNHH Okamura International Vietnam</t>
        </is>
      </c>
      <c r="E11638" s="10" t="inlineStr">
        <is>
          <t>$$ 550-750 /tháng</t>
        </is>
      </c>
      <c r="F11638" s="10" t="inlineStr">
        <is>
          <t>Hồ Chí Minh</t>
        </is>
      </c>
      <c r="G11638" s="10" t="inlineStr">
        <is>
          <t>Nhân viên</t>
        </is>
      </c>
      <c r="H11638" s="10" t="inlineStr">
        <is>
          <t>16/03/2026</t>
        </is>
      </c>
      <c r="I11638" s="10" t="inlineStr">
        <is>
          <t>15/04/2026</t>
        </is>
      </c>
      <c r="J11638" s="10" t="inlineStr">
        <is>
          <t>17/03/2026</t>
        </is>
      </c>
      <c r="K11638" s="10" t="inlineStr">
        <is>
          <t>N/A</t>
        </is>
      </c>
      <c r="L11638" s="10" t="inlineStr">
        <is>
          <t>Giám Sát Dự Án Công Trình, Project Management, Interior Project Management, Quản Lý Dự Án, Giám Sát Nội Thất</t>
        </is>
      </c>
      <c r="M11638" s="10" t="inlineStr">
        <is>
          <t>Bonus, Healthcare Plan, Mobile</t>
        </is>
      </c>
      <c r="N11638" s="11">
        <f>HYPERLINK("https://www.vietnamworks.com/construction-supervisor--2024220-jv","Xem chi tiết")</f>
        <v/>
      </c>
      <c r="O11638" s="10" t="n"/>
    </row>
    <row r="11639">
      <c r="B11639" s="7" t="n">
        <v>11637</v>
      </c>
      <c r="C11639" t="inlineStr">
        <is>
          <t>[Expat Only] Part-Time English Teacher</t>
        </is>
      </c>
      <c r="D11639" t="inlineStr">
        <is>
          <t>Scotch Australian Grammar School (AGS)</t>
        </is>
      </c>
      <c r="E11639" t="inlineStr">
        <is>
          <t>Thương lượng</t>
        </is>
      </c>
      <c r="F11639" t="inlineStr">
        <is>
          <t>Hồ Chí Minh</t>
        </is>
      </c>
      <c r="G11639" t="inlineStr">
        <is>
          <t>Nhân viên</t>
        </is>
      </c>
      <c r="H11639" t="inlineStr">
        <is>
          <t>16/03/2026</t>
        </is>
      </c>
      <c r="I11639" t="inlineStr">
        <is>
          <t>15/04/2026</t>
        </is>
      </c>
      <c r="J11639" t="inlineStr">
        <is>
          <t>17/03/2026</t>
        </is>
      </c>
      <c r="K11639" t="inlineStr">
        <is>
          <t>N/A</t>
        </is>
      </c>
      <c r="L11639" t="inlineStr">
        <is>
          <t>Class Management, Education, Teaching, Ielts 7.0, Teaching Students</t>
        </is>
      </c>
      <c r="M11639" t="inlineStr">
        <is>
          <t>Bonus, Healthcare Plan, Canteen</t>
        </is>
      </c>
      <c r="N11639" s="8">
        <f>HYPERLINK("https://www.vietnamworks.com/expat-only-part-time-english-teacher-2024219-jv","Xem chi tiết")</f>
        <v/>
      </c>
    </row>
    <row r="11640">
      <c r="B11640" s="9" t="n">
        <v>11638</v>
      </c>
      <c r="C11640" s="10" t="inlineStr">
        <is>
          <t>Customer Service Specialist</t>
        </is>
      </c>
      <c r="D11640" s="10" t="inlineStr">
        <is>
          <t>TKG CAPITAL VIETNAM</t>
        </is>
      </c>
      <c r="E11640" s="10" t="inlineStr">
        <is>
          <t>Thương lượng</t>
        </is>
      </c>
      <c r="F11640" s="10" t="inlineStr">
        <is>
          <t>Hồ Chí Minh</t>
        </is>
      </c>
      <c r="G11640" s="10" t="inlineStr">
        <is>
          <t>Nhân viên</t>
        </is>
      </c>
      <c r="H11640" s="10" t="inlineStr">
        <is>
          <t>16/03/2026</t>
        </is>
      </c>
      <c r="I11640" s="10" t="inlineStr">
        <is>
          <t>15/04/2026</t>
        </is>
      </c>
      <c r="J11640" s="10" t="inlineStr">
        <is>
          <t>17/03/2026</t>
        </is>
      </c>
      <c r="K11640" s="10" t="inlineStr">
        <is>
          <t>N/A</t>
        </is>
      </c>
      <c r="L11640" s="10" t="inlineStr">
        <is>
          <t>Communication Skills, Computer Skills, Customer Orientation, Customer Support, Market Knowledge</t>
        </is>
      </c>
      <c r="M11640" s="10" t="inlineStr">
        <is>
          <t>Bonus, Laptop, Team Activities, Transportation</t>
        </is>
      </c>
      <c r="N11640" s="11">
        <f>HYPERLINK("https://www.vietnamworks.com/customer-service-specialist-2024229-jv","Xem chi tiết")</f>
        <v/>
      </c>
      <c r="O11640" s="10" t="n"/>
    </row>
    <row r="11641">
      <c r="B11641" s="7" t="n">
        <v>11639</v>
      </c>
      <c r="C11641" t="inlineStr">
        <is>
          <t>Internal Accountant [Working Remote]</t>
        </is>
      </c>
      <c r="D11641" t="inlineStr">
        <is>
          <t>CUSTOMERS FIRST</t>
        </is>
      </c>
      <c r="E11641" t="inlineStr">
        <is>
          <t>10tr-12tr ₫/tháng</t>
        </is>
      </c>
      <c r="F11641" t="inlineStr">
        <is>
          <t>Hà Nội</t>
        </is>
      </c>
      <c r="G11641" t="inlineStr">
        <is>
          <t>Nhân viên</t>
        </is>
      </c>
      <c r="H11641" t="inlineStr">
        <is>
          <t>16/03/2026</t>
        </is>
      </c>
      <c r="I11641" t="inlineStr">
        <is>
          <t>15/04/2026</t>
        </is>
      </c>
      <c r="J11641" t="inlineStr">
        <is>
          <t>17/03/2026</t>
        </is>
      </c>
      <c r="K11641" t="inlineStr">
        <is>
          <t>N/A</t>
        </is>
      </c>
      <c r="L11641" t="inlineStr">
        <is>
          <t>Accounting, Analytical Skills, Financial Reporting, Inventory Management, QuickBooks Online</t>
        </is>
      </c>
      <c r="M11641" t="inlineStr">
        <is>
          <t>Bonus</t>
        </is>
      </c>
      <c r="N11641" s="8">
        <f>HYPERLINK("https://www.vietnamworks.com/internal-accountant-working-remote-2024235-jv","Xem chi tiết")</f>
        <v/>
      </c>
    </row>
    <row r="11642">
      <c r="B11642" s="9" t="n">
        <v>11640</v>
      </c>
      <c r="C11642" s="10" t="inlineStr">
        <is>
          <t>[HN &amp; HCM] Senior B2B Business Development Specialist</t>
        </is>
      </c>
      <c r="D11642" s="10" t="inlineStr">
        <is>
          <t>Công Ty Cổ Phần Dịch Vụ Giao Hàng Nhanh</t>
        </is>
      </c>
      <c r="E11642" s="10" t="inlineStr">
        <is>
          <t>Thương lượng</t>
        </is>
      </c>
      <c r="F11642" s="10" t="inlineStr">
        <is>
          <t>Hồ Chí Minh, Hà Nội</t>
        </is>
      </c>
      <c r="G11642" s="10" t="inlineStr">
        <is>
          <t>Nhân viên</t>
        </is>
      </c>
      <c r="H11642" s="10" t="inlineStr">
        <is>
          <t>16/03/2026</t>
        </is>
      </c>
      <c r="I11642" s="10" t="inlineStr">
        <is>
          <t>15/04/2026</t>
        </is>
      </c>
      <c r="J11642" s="10" t="inlineStr">
        <is>
          <t>17/03/2026</t>
        </is>
      </c>
      <c r="K11642" s="10" t="inlineStr">
        <is>
          <t>N/A</t>
        </is>
      </c>
      <c r="L11642" s="10" t="inlineStr">
        <is>
          <t>Business Development, Strategy Execution, B2B Logistics, Sales E-Commerce, Sales B2B</t>
        </is>
      </c>
      <c r="M11642" s="10" t="inlineStr">
        <is>
          <t>Bonus, Healthcare Plan, Awards</t>
        </is>
      </c>
      <c r="N11642" s="11">
        <f>HYPERLINK("https://www.vietnamworks.com/hn-and-hcm-senior-b2b-business-development-specialist-2024221-jv","Xem chi tiết")</f>
        <v/>
      </c>
      <c r="O11642" s="10" t="n"/>
    </row>
    <row r="11643">
      <c r="B11643" s="7" t="n">
        <v>11641</v>
      </c>
      <c r="C11643" t="inlineStr">
        <is>
          <t>C&amp;B Executive (English Speaking)</t>
        </is>
      </c>
      <c r="D11643" t="inlineStr">
        <is>
          <t>CÔNG TY TNHH SPECIFIC GRAVITY</t>
        </is>
      </c>
      <c r="E11643" t="inlineStr">
        <is>
          <t>Thương lượng</t>
        </is>
      </c>
      <c r="F11643" t="inlineStr">
        <is>
          <t>Hồ Chí Minh</t>
        </is>
      </c>
      <c r="G11643" t="inlineStr">
        <is>
          <t>Nhân viên</t>
        </is>
      </c>
      <c r="H11643" t="inlineStr">
        <is>
          <t>16/03/2026</t>
        </is>
      </c>
      <c r="I11643" t="inlineStr">
        <is>
          <t>15/04/2026</t>
        </is>
      </c>
      <c r="J11643" t="inlineStr">
        <is>
          <t>17/03/2026</t>
        </is>
      </c>
      <c r="K11643" t="inlineStr">
        <is>
          <t>N/A</t>
        </is>
      </c>
      <c r="L11643" t="inlineStr">
        <is>
          <t>Compensation &amp; Benefits, Labor Law, Social Insurance, Human Resources, Timekeeping</t>
        </is>
      </c>
      <c r="M11643" t="inlineStr">
        <is>
          <t>Bonus, Healthcare Plan, Mobile, Canteen</t>
        </is>
      </c>
      <c r="N11643" s="8">
        <f>HYPERLINK("https://www.vietnamworks.com/c-b-executive-english-speaking-2024226-jv","Xem chi tiết")</f>
        <v/>
      </c>
    </row>
    <row r="11644">
      <c r="B11644" s="9" t="n">
        <v>11642</v>
      </c>
      <c r="C11644" s="10" t="inlineStr">
        <is>
          <t>Nhân Viên Kinh Doanh</t>
        </is>
      </c>
      <c r="D11644" s="10" t="inlineStr">
        <is>
          <t>Blue Ocean Chemicals CORPORATION</t>
        </is>
      </c>
      <c r="E11644" s="10" t="inlineStr">
        <is>
          <t>Từ 14tr ₫/tháng</t>
        </is>
      </c>
      <c r="F11644" s="10" t="inlineStr">
        <is>
          <t>Hồ Chí Minh</t>
        </is>
      </c>
      <c r="G11644" s="10" t="inlineStr">
        <is>
          <t>Nhân viên</t>
        </is>
      </c>
      <c r="H11644" s="10" t="inlineStr">
        <is>
          <t>16/03/2026</t>
        </is>
      </c>
      <c r="I11644" s="10" t="inlineStr">
        <is>
          <t>15/04/2026</t>
        </is>
      </c>
      <c r="J11644" s="10" t="inlineStr">
        <is>
          <t>17/03/2026</t>
        </is>
      </c>
      <c r="K11644" s="10" t="inlineStr">
        <is>
          <t>N/A</t>
        </is>
      </c>
      <c r="L11644" s="10" t="inlineStr">
        <is>
          <t>Kinh Doanh, Giao Tiếp Tiếng Anh, Phân Tích Thị Trường, Quản Lý Chi Phí, Tìm Kiếm Khách Hàng</t>
        </is>
      </c>
      <c r="M11644" s="10" t="inlineStr">
        <is>
          <t>Bonus, Healthcare Plan, Training, Awards, Others</t>
        </is>
      </c>
      <c r="N11644" s="11">
        <f>HYPERLINK("https://www.vietnamworks.com/nhan-vien-kinh-doanh-2024230-jv","Xem chi tiết")</f>
        <v/>
      </c>
      <c r="O11644" s="10" t="n"/>
    </row>
    <row r="11645">
      <c r="B11645" s="7" t="n">
        <v>11643</v>
      </c>
      <c r="C11645" t="inlineStr">
        <is>
          <t>Nhân Viên Hỗ Trợ Làm Hàng (Operations Support)</t>
        </is>
      </c>
      <c r="D11645" t="inlineStr">
        <is>
          <t>Công Ty TNHH Century Distribution Systems (Việt Nam)</t>
        </is>
      </c>
      <c r="E11645" t="inlineStr">
        <is>
          <t>Từ 8tr ₫/tháng</t>
        </is>
      </c>
      <c r="F11645" t="inlineStr">
        <is>
          <t>Hồ Chí Minh</t>
        </is>
      </c>
      <c r="G11645" t="inlineStr">
        <is>
          <t>Nhân viên</t>
        </is>
      </c>
      <c r="H11645" t="inlineStr">
        <is>
          <t>16/03/2026</t>
        </is>
      </c>
      <c r="I11645" t="inlineStr">
        <is>
          <t>15/04/2026</t>
        </is>
      </c>
      <c r="J11645" t="inlineStr">
        <is>
          <t>17/03/2026</t>
        </is>
      </c>
      <c r="K11645" t="inlineStr">
        <is>
          <t>N/A</t>
        </is>
      </c>
      <c r="L11645" t="inlineStr">
        <is>
          <t>Booking Management, International Trade, Freight Forwarder, SOP, Logistics Management</t>
        </is>
      </c>
      <c r="M11645" t="inlineStr">
        <is>
          <t>Bonus, Healthcare Plan, Paid Leave, Team Activities, Others</t>
        </is>
      </c>
      <c r="N11645" s="8">
        <f>HYPERLINK("https://www.vietnamworks.com/nhan-vien-ho-tro-lam-hang-operations-support-2024227-jv","Xem chi tiết")</f>
        <v/>
      </c>
    </row>
    <row r="11646">
      <c r="B11646" s="9" t="n">
        <v>11644</v>
      </c>
      <c r="C11646" s="10" t="inlineStr">
        <is>
          <t>Trình Dược Viên Kênh Bệnh Viện (ETC) - Ngành Hàng Dinh Dưỡng - Khu Vực Cần Thơ/ Long An/ Bến Tre</t>
        </is>
      </c>
      <c r="D11646" s="10" t="inlineStr">
        <is>
          <t>Abbott</t>
        </is>
      </c>
      <c r="E11646" s="10" t="inlineStr">
        <is>
          <t>Thương lượng</t>
        </is>
      </c>
      <c r="F11646" s="10" t="inlineStr">
        <is>
          <t>Cần Thơ</t>
        </is>
      </c>
      <c r="G11646" s="10" t="inlineStr">
        <is>
          <t>Nhân viên</t>
        </is>
      </c>
      <c r="H11646" s="10" t="inlineStr">
        <is>
          <t>16/03/2026</t>
        </is>
      </c>
      <c r="I11646" s="10" t="inlineStr">
        <is>
          <t>15/04/2026</t>
        </is>
      </c>
      <c r="J11646" s="10" t="inlineStr">
        <is>
          <t>17/03/2026</t>
        </is>
      </c>
      <c r="K11646" s="10" t="inlineStr">
        <is>
          <t>N/A</t>
        </is>
      </c>
      <c r="L11646" s="10" t="inlineStr">
        <is>
          <t>Sales, Tư vấn dinh dưỡng, Trình dược viên ETC, Kinh Doanh, Giao Tiếp</t>
        </is>
      </c>
      <c r="M11646" s="10" t="inlineStr">
        <is>
          <t>Bonus, Healthcare Plan, Training</t>
        </is>
      </c>
      <c r="N11646" s="11">
        <f>HYPERLINK("https://www.vietnamworks.com/trinh-duoc-vien-kenh-benh-vien-etc-nganh-hang-dinh-duong-khu-vuc-can-tho-long-an-ben-tre--2024225-jv","Xem chi tiết")</f>
        <v/>
      </c>
      <c r="O11646" s="10" t="n"/>
    </row>
    <row r="11647">
      <c r="B11647" s="7" t="n">
        <v>11645</v>
      </c>
      <c r="C11647" t="inlineStr">
        <is>
          <t>Phó Phòng Kế Toán - Chi Nhánh HCM</t>
        </is>
      </c>
      <c r="D11647" t="inlineStr">
        <is>
          <t>CÔNG TY CỔ PHẦN VẬN TẢI BƯU CHÍNH VIỆT NAM</t>
        </is>
      </c>
      <c r="E11647" t="inlineStr">
        <is>
          <t>Thương lượng</t>
        </is>
      </c>
      <c r="F11647" t="inlineStr">
        <is>
          <t>Hồ Chí Minh</t>
        </is>
      </c>
      <c r="G11647" t="inlineStr">
        <is>
          <t>Trưởng phòng</t>
        </is>
      </c>
      <c r="H11647" t="inlineStr">
        <is>
          <t>16/03/2026</t>
        </is>
      </c>
      <c r="I11647" t="inlineStr">
        <is>
          <t>15/04/2026</t>
        </is>
      </c>
      <c r="J11647" t="inlineStr">
        <is>
          <t>17/03/2026</t>
        </is>
      </c>
      <c r="K11647" t="inlineStr">
        <is>
          <t>N/A</t>
        </is>
      </c>
      <c r="L11647" t="inlineStr">
        <is>
          <t>Kế Toán, Kiểm Toán, Tài Chính, Kế Toán Tổng Hợp, Thuế</t>
        </is>
      </c>
      <c r="M11647" t="inlineStr">
        <is>
          <t>Bonus, Healthcare Plan, Paid Leave, Awards, Team Activities, Others</t>
        </is>
      </c>
      <c r="N11647" s="8">
        <f>HYPERLINK("https://www.vietnamworks.com/pho-phong-ke-toan-chi-nhanh-hcm-2024233-jv","Xem chi tiết")</f>
        <v/>
      </c>
    </row>
    <row r="11648">
      <c r="B11648" s="9" t="n">
        <v>11646</v>
      </c>
      <c r="C11648" s="10" t="inlineStr">
        <is>
          <t>Sales Staff</t>
        </is>
      </c>
      <c r="D11648" s="10" t="inlineStr">
        <is>
          <t>CÔNG TY TNHH EMAX SOLUTIONS</t>
        </is>
      </c>
      <c r="E11648" s="10" t="inlineStr">
        <is>
          <t>Thương lượng</t>
        </is>
      </c>
      <c r="F11648" s="10" t="inlineStr">
        <is>
          <t>Hồ Chí Minh</t>
        </is>
      </c>
      <c r="G11648" s="10" t="inlineStr">
        <is>
          <t>Nhân viên</t>
        </is>
      </c>
      <c r="H11648" s="10" t="inlineStr">
        <is>
          <t>16/03/2026</t>
        </is>
      </c>
      <c r="I11648" s="10" t="inlineStr">
        <is>
          <t>15/04/2026</t>
        </is>
      </c>
      <c r="J11648" s="10" t="inlineStr">
        <is>
          <t>17/03/2026</t>
        </is>
      </c>
      <c r="K11648" s="10" t="inlineStr">
        <is>
          <t>N/A</t>
        </is>
      </c>
      <c r="L11648" s="10" t="inlineStr">
        <is>
          <t>Sales &amp; Business Development, Logistics, Korean, English, Customer Service</t>
        </is>
      </c>
      <c r="M11648" s="10" t="inlineStr">
        <is>
          <t>Paid Leave, Others</t>
        </is>
      </c>
      <c r="N11648" s="11">
        <f>HYPERLINK("https://www.vietnamworks.com/sales-staff--2024228-jv","Xem chi tiết")</f>
        <v/>
      </c>
      <c r="O11648" s="10" t="n"/>
    </row>
    <row r="11649">
      <c r="B11649" s="7" t="n">
        <v>11647</v>
      </c>
      <c r="C11649" t="inlineStr">
        <is>
          <t>Import - Export Executive (Nhân Viên Xuất Nhập Khẩu)</t>
        </is>
      </c>
      <c r="D11649" t="inlineStr">
        <is>
          <t>CÔNG TY CỔ PHẦN KHAI ANH BÌNH THUẬN</t>
        </is>
      </c>
      <c r="E11649" t="inlineStr">
        <is>
          <t>8tr-10tr ₫/tháng</t>
        </is>
      </c>
      <c r="F11649" t="inlineStr">
        <is>
          <t>Lâm Đồng, Hồ Chí Minh</t>
        </is>
      </c>
      <c r="G11649" t="inlineStr">
        <is>
          <t>Nhân viên</t>
        </is>
      </c>
      <c r="H11649" t="inlineStr">
        <is>
          <t>16/03/2026</t>
        </is>
      </c>
      <c r="I11649" t="inlineStr">
        <is>
          <t>15/04/2026</t>
        </is>
      </c>
      <c r="J11649" t="inlineStr">
        <is>
          <t>17/03/2026</t>
        </is>
      </c>
      <c r="K11649" t="inlineStr">
        <is>
          <t>N/A</t>
        </is>
      </c>
      <c r="L11649" t="inlineStr">
        <is>
          <t>Kinh Tế, Kinh Doanh, Logistics, Tiếng Anh, Xuất Nhập Khẩu</t>
        </is>
      </c>
      <c r="M11649" t="inlineStr">
        <is>
          <t>Bonus, Training, Awards, Team Activities, Canteen, Others</t>
        </is>
      </c>
      <c r="N11649" s="8">
        <f>HYPERLINK("https://www.vietnamworks.com/import-export-executive-nhan-vien-xuat-nhap-khau-2024242-jv","Xem chi tiết")</f>
        <v/>
      </c>
    </row>
    <row r="11650">
      <c r="B11650" s="9" t="n">
        <v>11648</v>
      </c>
      <c r="C11650" s="10" t="inlineStr">
        <is>
          <t>Quản Lý Học Thuật Chương Trình Tiếng Anh Tích Hợp Toán - Khoa</t>
        </is>
      </c>
      <c r="D11650" s="10" t="inlineStr">
        <is>
          <t>Language Link Vietnam</t>
        </is>
      </c>
      <c r="E11650" s="10" t="inlineStr">
        <is>
          <t>Thương lượng</t>
        </is>
      </c>
      <c r="F11650" s="10" t="inlineStr">
        <is>
          <t>Hà Nội</t>
        </is>
      </c>
      <c r="G11650" s="10" t="inlineStr">
        <is>
          <t>Nhân viên</t>
        </is>
      </c>
      <c r="H11650" s="10" t="inlineStr">
        <is>
          <t>16/03/2026</t>
        </is>
      </c>
      <c r="I11650" s="10" t="inlineStr">
        <is>
          <t>15/04/2026</t>
        </is>
      </c>
      <c r="J11650" s="10" t="inlineStr">
        <is>
          <t>17/03/2026</t>
        </is>
      </c>
      <c r="K11650" s="10" t="inlineStr">
        <is>
          <t>N/A</t>
        </is>
      </c>
      <c r="L11650" s="10" t="inlineStr">
        <is>
          <t>STEM, English, Teaching, Training</t>
        </is>
      </c>
      <c r="M11650" s="10" t="inlineStr">
        <is>
          <t>Bonus, Healthcare Plan, Paid Leave</t>
        </is>
      </c>
      <c r="N11650" s="11">
        <f>HYPERLINK("https://www.vietnamworks.com/quan-ly-hoc-thuat-chuong-trinh-tieng-anh-tich-hop-toan-khoa-2024240-jv","Xem chi tiết")</f>
        <v/>
      </c>
      <c r="O11650" s="10" t="n"/>
    </row>
    <row r="11651">
      <c r="B11651" s="7" t="n">
        <v>11649</v>
      </c>
      <c r="C11651" t="inlineStr">
        <is>
          <t>Quản Trị Viên Tập Sự/ Management Trainee</t>
        </is>
      </c>
      <c r="D11651" t="inlineStr">
        <is>
          <t>Công ty Cổ Phần Việt Tinh Anh</t>
        </is>
      </c>
      <c r="E11651" t="inlineStr">
        <is>
          <t>Thương lượng</t>
        </is>
      </c>
      <c r="F11651" t="inlineStr">
        <is>
          <t>Hồ Chí Minh</t>
        </is>
      </c>
      <c r="G11651" t="inlineStr">
        <is>
          <t>Mới Tốt Nghiệp</t>
        </is>
      </c>
      <c r="H11651" t="inlineStr">
        <is>
          <t>16/03/2026</t>
        </is>
      </c>
      <c r="I11651" t="inlineStr">
        <is>
          <t>15/04/2026</t>
        </is>
      </c>
      <c r="J11651" t="inlineStr">
        <is>
          <t>17/03/2026</t>
        </is>
      </c>
      <c r="K11651" t="inlineStr">
        <is>
          <t>N/A</t>
        </is>
      </c>
      <c r="L11651" t="inlineStr">
        <is>
          <t>Fashion, Sales Operation, Marketing, Supply Chain</t>
        </is>
      </c>
      <c r="M11651" t="inlineStr">
        <is>
          <t>Bonus, Healthcare Plan, Others</t>
        </is>
      </c>
      <c r="N11651" s="8">
        <f>HYPERLINK("https://www.vietnamworks.com/quan-tri-vien-tap-su-management-trainee--2024236-jv","Xem chi tiết")</f>
        <v/>
      </c>
    </row>
    <row r="11652">
      <c r="B11652" s="9" t="n">
        <v>11650</v>
      </c>
      <c r="C11652" s="10" t="inlineStr">
        <is>
          <t>Medical Representative/ Trình Dược Viên (OTC)</t>
        </is>
      </c>
      <c r="D11652" s="10" t="inlineStr">
        <is>
          <t>Hyphens Pharma Pte. Ltd.</t>
        </is>
      </c>
      <c r="E11652" s="10" t="inlineStr">
        <is>
          <t>Thương lượng</t>
        </is>
      </c>
      <c r="F11652" s="10" t="inlineStr">
        <is>
          <t>Cần Thơ, An Giang, Đồng Tháp</t>
        </is>
      </c>
      <c r="G11652" s="10" t="inlineStr">
        <is>
          <t>Trưởng phòng</t>
        </is>
      </c>
      <c r="H11652" s="10" t="inlineStr">
        <is>
          <t>16/03/2026</t>
        </is>
      </c>
      <c r="I11652" s="10" t="inlineStr">
        <is>
          <t>15/04/2026</t>
        </is>
      </c>
      <c r="J11652" s="10" t="inlineStr">
        <is>
          <t>17/03/2026</t>
        </is>
      </c>
      <c r="K11652" s="10" t="inlineStr">
        <is>
          <t>N/A</t>
        </is>
      </c>
      <c r="L11652" s="10" t="inlineStr">
        <is>
          <t>Phân Tích Thị Trường, Tư Vấn Sản Phẩm, Duy Trì Mối Quan Hệ, Tìm Kiếm Khách Hàng, Kênh OTC</t>
        </is>
      </c>
      <c r="M11652" s="10" t="inlineStr">
        <is>
          <t>Bonus, Healthcare Plan, Paid Leave</t>
        </is>
      </c>
      <c r="N11652" s="11">
        <f>HYPERLINK("https://www.vietnamworks.com/medical-representative-trinh-duoc-vien-otc-2024239-jv","Xem chi tiết")</f>
        <v/>
      </c>
      <c r="O11652" s="10" t="n"/>
    </row>
    <row r="11653">
      <c r="B11653" s="7" t="n">
        <v>11651</v>
      </c>
      <c r="C11653" t="inlineStr">
        <is>
          <t>Trưởng Bộ Phận Thương Mại Điện Tử (E-Commerce)</t>
        </is>
      </c>
      <c r="D11653" t="inlineStr">
        <is>
          <t>Công Ty TNHH Đông Dương Sài Gòn</t>
        </is>
      </c>
      <c r="E11653" t="inlineStr">
        <is>
          <t>Thương lượng</t>
        </is>
      </c>
      <c r="F11653" t="inlineStr">
        <is>
          <t>Hồ Chí Minh</t>
        </is>
      </c>
      <c r="G11653" t="inlineStr">
        <is>
          <t>Trưởng phòng</t>
        </is>
      </c>
      <c r="H11653" t="inlineStr">
        <is>
          <t>16/03/2026</t>
        </is>
      </c>
      <c r="I11653" t="inlineStr">
        <is>
          <t>15/04/2026</t>
        </is>
      </c>
      <c r="J11653" t="inlineStr">
        <is>
          <t>17/03/2026</t>
        </is>
      </c>
      <c r="K11653" t="inlineStr">
        <is>
          <t>N/A</t>
        </is>
      </c>
      <c r="L11653" t="inlineStr">
        <is>
          <t>Ad Optimization, Communication, Data Analysis, E-Commerce Management, Team Management</t>
        </is>
      </c>
      <c r="M11653" t="inlineStr">
        <is>
          <t>Bonus, Paid Leave, Training, Laptop, Team Activities, Others</t>
        </is>
      </c>
      <c r="N11653" s="8">
        <f>HYPERLINK("https://www.vietnamworks.com/truong-bo-phan-thuong-mai-djien-tu-e-commerce-2024234-jv","Xem chi tiết")</f>
        <v/>
      </c>
    </row>
    <row r="11654">
      <c r="B11654" s="9" t="n">
        <v>11652</v>
      </c>
      <c r="C11654" s="10" t="inlineStr">
        <is>
          <t>CHUYÊN GIA - TRUYỀN THÔNG NỘI BỘ &amp; VĂN HÓA DOANH NGHIỆP</t>
        </is>
      </c>
      <c r="D11654" s="10" t="inlineStr">
        <is>
          <t>Công Ty Cổ Phần Vàng Bạc Đá Quý Phú Nhuận (PNJ)</t>
        </is>
      </c>
      <c r="E11654" s="10" t="inlineStr">
        <is>
          <t>$$ 2,000-3,000 /tháng</t>
        </is>
      </c>
      <c r="F11654" s="10" t="inlineStr">
        <is>
          <t>Hồ Chí Minh</t>
        </is>
      </c>
      <c r="G11654" s="10" t="inlineStr">
        <is>
          <t>Trưởng phòng</t>
        </is>
      </c>
      <c r="H11654" s="10" t="inlineStr">
        <is>
          <t>16/03/2026</t>
        </is>
      </c>
      <c r="I11654" s="10" t="inlineStr">
        <is>
          <t>15/04/2026</t>
        </is>
      </c>
      <c r="J11654" s="10" t="inlineStr">
        <is>
          <t>17/03/2026</t>
        </is>
      </c>
      <c r="K11654" s="10" t="inlineStr">
        <is>
          <t>N/A</t>
        </is>
      </c>
      <c r="L11654" s="10" t="inlineStr">
        <is>
          <t>N/A</t>
        </is>
      </c>
      <c r="M11654" s="10" t="inlineStr">
        <is>
          <t>Bonus, Healthcare Plan</t>
        </is>
      </c>
      <c r="N11654" s="11">
        <f>HYPERLINK("https://www.vietnamworks.com/chuyen-gia-truyen-thong-noi-bo-and-van-hoa-doanh-nghiep-2024238-jv","Xem chi tiết")</f>
        <v/>
      </c>
      <c r="O11654" s="10" t="n"/>
    </row>
    <row r="11655">
      <c r="B11655" s="7" t="n">
        <v>11653</v>
      </c>
      <c r="C11655" t="inlineStr">
        <is>
          <t>Kiến Trúc Sư Quy Hoạch</t>
        </is>
      </c>
      <c r="D11655" t="inlineStr">
        <is>
          <t>CÔNG TY CỔ PHẦN TƯ VẤN THIẾT KẾ CÔNG NGHIỆP VÀ DÂN DỤNG</t>
        </is>
      </c>
      <c r="E11655" t="inlineStr">
        <is>
          <t>Thương lượng</t>
        </is>
      </c>
      <c r="F11655" t="inlineStr">
        <is>
          <t>Hồ Chí Minh</t>
        </is>
      </c>
      <c r="G11655" t="inlineStr">
        <is>
          <t>Nhân viên</t>
        </is>
      </c>
      <c r="H11655" t="inlineStr">
        <is>
          <t>16/03/2026</t>
        </is>
      </c>
      <c r="I11655" t="inlineStr">
        <is>
          <t>15/04/2026</t>
        </is>
      </c>
      <c r="J11655" t="inlineStr">
        <is>
          <t>17/03/2026</t>
        </is>
      </c>
      <c r="K11655" t="inlineStr">
        <is>
          <t>N/A</t>
        </is>
      </c>
      <c r="L11655" t="inlineStr">
        <is>
          <t>Quy Hoạch Đô Thị, Revit, Kiến Trúc Quy Hoạch, Kỹ Sư/Kiến Trúc Sư, Xây Dựng Dân Dụng và Công Nghiệp</t>
        </is>
      </c>
      <c r="M11655" t="inlineStr">
        <is>
          <t>Healthcare Plan, Others</t>
        </is>
      </c>
      <c r="N11655" s="8">
        <f>HYPERLINK("https://www.vietnamworks.com/kien-truc-su-quy-hoach-2024243-jv","Xem chi tiết")</f>
        <v/>
      </c>
    </row>
    <row r="11656">
      <c r="B11656" s="9" t="n">
        <v>11654</v>
      </c>
      <c r="C11656" s="10" t="inlineStr">
        <is>
          <t>Quản Lý Nhân Sự</t>
        </is>
      </c>
      <c r="D11656" s="10" t="inlineStr">
        <is>
          <t>Blue Ocean Chemicals CORPORATION</t>
        </is>
      </c>
      <c r="E11656" s="10" t="inlineStr">
        <is>
          <t>22tr-25tr ₫/tháng</t>
        </is>
      </c>
      <c r="F11656" s="10" t="inlineStr">
        <is>
          <t>Hồ Chí Minh</t>
        </is>
      </c>
      <c r="G11656" s="10" t="inlineStr">
        <is>
          <t>Trưởng phòng</t>
        </is>
      </c>
      <c r="H11656" s="10" t="inlineStr">
        <is>
          <t>16/03/2026</t>
        </is>
      </c>
      <c r="I11656" s="10" t="inlineStr">
        <is>
          <t>15/04/2026</t>
        </is>
      </c>
      <c r="J11656" s="10" t="inlineStr">
        <is>
          <t>17/03/2026</t>
        </is>
      </c>
      <c r="K11656" s="10" t="inlineStr">
        <is>
          <t>N/A</t>
        </is>
      </c>
      <c r="L11656" s="10" t="inlineStr">
        <is>
          <t>Quản Trị Nhân Sự, Quản Trị Kinh Doanh, Tham Mưu Đề Xuất, Đánh Giá Nội Bộ, Đào Tạo Nhân Lực</t>
        </is>
      </c>
      <c r="M11656" s="10" t="inlineStr">
        <is>
          <t>Bonus, Healthcare Plan, Awards, Travel Opportunities, Others</t>
        </is>
      </c>
      <c r="N11656" s="11">
        <f>HYPERLINK("https://www.vietnamworks.com/quan-ly-nhan-su-2024232-jv","Xem chi tiết")</f>
        <v/>
      </c>
      <c r="O11656" s="10" t="n"/>
    </row>
    <row r="11657">
      <c r="B11657" s="7" t="n">
        <v>11655</v>
      </c>
      <c r="C11657" t="inlineStr">
        <is>
          <t>Giám Đốc Vùng Kinh Doanh Khu Vực Phía Nam</t>
        </is>
      </c>
      <c r="D11657" t="inlineStr">
        <is>
          <t>CÔNG TY CỔ PHẦN DỊCH VỤ TÀI SẢN VIỆT NAM</t>
        </is>
      </c>
      <c r="E11657" t="inlineStr">
        <is>
          <t>Thương lượng</t>
        </is>
      </c>
      <c r="F11657" t="inlineStr">
        <is>
          <t>Hồ Chí Minh</t>
        </is>
      </c>
      <c r="G11657" t="inlineStr">
        <is>
          <t>Giám Đốc và Cấp Cao Hơn</t>
        </is>
      </c>
      <c r="H11657" t="inlineStr">
        <is>
          <t>16/03/2026</t>
        </is>
      </c>
      <c r="I11657" t="inlineStr">
        <is>
          <t>15/04/2026</t>
        </is>
      </c>
      <c r="J11657" t="inlineStr">
        <is>
          <t>17/03/2026</t>
        </is>
      </c>
      <c r="K11657" t="inlineStr">
        <is>
          <t>N/A</t>
        </is>
      </c>
      <c r="L11657" t="inlineStr">
        <is>
          <t>Định Giá Tài Sản, Dịch Vụ Khách Hàng, Quản Lý Đội Nhóm, Phân Tích Thông Tin, Quản Trị Nguồn Nhân Lực</t>
        </is>
      </c>
      <c r="M11657" t="inlineStr">
        <is>
          <t>Bonus</t>
        </is>
      </c>
      <c r="N11657" s="8">
        <f>HYPERLINK("https://www.vietnamworks.com/giam-djoc-vung-kinh-doanh-khu-vuc-phia-nam-2024244-jv","Xem chi tiết")</f>
        <v/>
      </c>
    </row>
    <row r="11658">
      <c r="B11658" s="9" t="n">
        <v>11656</v>
      </c>
      <c r="C11658" s="10" t="inlineStr">
        <is>
          <t>Kỹ Sư Cơ Điện</t>
        </is>
      </c>
      <c r="D11658" s="10" t="inlineStr">
        <is>
          <t>CÔNG TY TNHH VIỆT ĐỒNG TÂM</t>
        </is>
      </c>
      <c r="E11658" s="10" t="inlineStr">
        <is>
          <t>8tr-12tr ₫/tháng</t>
        </is>
      </c>
      <c r="F11658" s="10" t="inlineStr">
        <is>
          <t>Hồ Chí Minh</t>
        </is>
      </c>
      <c r="G11658" s="10" t="inlineStr">
        <is>
          <t>Mới Tốt Nghiệp</t>
        </is>
      </c>
      <c r="H11658" s="10" t="inlineStr">
        <is>
          <t>16/03/2026</t>
        </is>
      </c>
      <c r="I11658" s="10" t="inlineStr">
        <is>
          <t>15/04/2026</t>
        </is>
      </c>
      <c r="J11658" s="10" t="inlineStr">
        <is>
          <t>17/03/2026</t>
        </is>
      </c>
      <c r="K11658" s="10" t="inlineStr">
        <is>
          <t>N/A</t>
        </is>
      </c>
      <c r="L11658" s="10" t="inlineStr">
        <is>
          <t>Thiết Kế Hệ Thống Điện, Lập Dự Toán, Lập Bản Vẽ Thi Công, AutoCAD, Bóc Tách Khối Lượng</t>
        </is>
      </c>
      <c r="M11658" s="10" t="inlineStr">
        <is>
          <t>Bonus, Healthcare Plan, Team Activities, Others</t>
        </is>
      </c>
      <c r="N11658" s="11">
        <f>HYPERLINK("https://www.vietnamworks.com/ky-su-co-djien-2024278-jv","Xem chi tiết")</f>
        <v/>
      </c>
      <c r="O11658" s="10" t="n"/>
    </row>
    <row r="11659">
      <c r="B11659" s="7" t="n">
        <v>11657</v>
      </c>
      <c r="C11659" t="inlineStr">
        <is>
          <t>Nhân Viên Kinh Doanh (Mảng Chăm Sóc Khách Hàng. Tiếng Anh/ Tiếng Nhật)</t>
        </is>
      </c>
      <c r="D11659" t="inlineStr">
        <is>
          <t>Công ty TNHH Kurabe Industrial Bắc Ninh</t>
        </is>
      </c>
      <c r="E11659" t="inlineStr">
        <is>
          <t>Thương lượng</t>
        </is>
      </c>
      <c r="F11659" t="inlineStr">
        <is>
          <t>Bắc Ninh</t>
        </is>
      </c>
      <c r="G11659" t="inlineStr">
        <is>
          <t>Nhân viên</t>
        </is>
      </c>
      <c r="H11659" t="inlineStr">
        <is>
          <t>16/03/2026</t>
        </is>
      </c>
      <c r="I11659" t="inlineStr">
        <is>
          <t>15/04/2026</t>
        </is>
      </c>
      <c r="J11659" t="inlineStr">
        <is>
          <t>17/03/2026</t>
        </is>
      </c>
      <c r="K11659" t="inlineStr">
        <is>
          <t>N/A</t>
        </is>
      </c>
      <c r="L11659" t="inlineStr">
        <is>
          <t>Tiếng Nhật, Giao Tiếp Tiếng Anh, Sales B2B, Chăm Sóc Khách Hàng, Tìm Kiếm Khách Hàng</t>
        </is>
      </c>
      <c r="M11659" t="inlineStr">
        <is>
          <t>Bonus, Paid Leave, Others</t>
        </is>
      </c>
      <c r="N11659" s="8">
        <f>HYPERLINK("https://www.vietnamworks.com/nhan-vien-kinh-doanh-mang-cham-soc-khach-hang-tieng-anh-tieng-nhat-2024251-jv","Xem chi tiết")</f>
        <v/>
      </c>
    </row>
    <row r="11660">
      <c r="B11660" s="9" t="n">
        <v>11658</v>
      </c>
      <c r="C11660" s="10" t="inlineStr">
        <is>
          <t>Chuyên Viên Tư Vấn Thiết Kế Kiến Trúc - Nghỉ Thứ 7, CN - Thu Nhập Hấp Dẫn</t>
        </is>
      </c>
      <c r="D11660" s="10" t="inlineStr">
        <is>
          <t>Công Ty TNHH Thịnh Điền (Prosland)</t>
        </is>
      </c>
      <c r="E11660" s="10" t="inlineStr">
        <is>
          <t>Thương lượng</t>
        </is>
      </c>
      <c r="F11660" s="10" t="inlineStr">
        <is>
          <t>Hà Nội</t>
        </is>
      </c>
      <c r="G11660" s="10" t="inlineStr">
        <is>
          <t>Nhân viên</t>
        </is>
      </c>
      <c r="H11660" s="10" t="inlineStr">
        <is>
          <t>16/03/2026</t>
        </is>
      </c>
      <c r="I11660" s="10" t="inlineStr">
        <is>
          <t>15/04/2026</t>
        </is>
      </c>
      <c r="J11660" s="10" t="inlineStr">
        <is>
          <t>17/03/2026</t>
        </is>
      </c>
      <c r="K11660" s="10" t="inlineStr">
        <is>
          <t>N/A</t>
        </is>
      </c>
      <c r="L11660" s="10" t="inlineStr">
        <is>
          <t>AutoCAD, 3D Max, Thiết Kế Kiến Trúc, Tư Vấn Thiết Kế, Xử Lý Sự Cố</t>
        </is>
      </c>
      <c r="M11660" s="10" t="inlineStr">
        <is>
          <t>Bonus, Healthcare Plan, Mobile, Team Activities, Canteen, Others</t>
        </is>
      </c>
      <c r="N11660" s="11">
        <f>HYPERLINK("https://www.vietnamworks.com/chuyen-vien-tu-van-thiet-ke-kien-truc-nghi-thu-7-cn-thu-nhap-hap-dan-2024256-jv","Xem chi tiết")</f>
        <v/>
      </c>
      <c r="O11660" s="10" t="n"/>
    </row>
    <row r="11661">
      <c r="B11661" s="7" t="n">
        <v>11659</v>
      </c>
      <c r="C11661" t="inlineStr">
        <is>
          <t>L&amp;OD Lead, Mainland Southeast Asia</t>
        </is>
      </c>
      <c r="D11661" t="inlineStr">
        <is>
          <t>Avery Dennison Vietnam</t>
        </is>
      </c>
      <c r="E11661" t="inlineStr">
        <is>
          <t>$$ 3,000-5,000 /tháng</t>
        </is>
      </c>
      <c r="F11661" t="inlineStr">
        <is>
          <t>Long An</t>
        </is>
      </c>
      <c r="G11661" t="inlineStr">
        <is>
          <t>Trưởng phòng</t>
        </is>
      </c>
      <c r="H11661" t="inlineStr">
        <is>
          <t>16/03/2026</t>
        </is>
      </c>
      <c r="I11661" t="inlineStr">
        <is>
          <t>15/04/2026</t>
        </is>
      </c>
      <c r="J11661" t="inlineStr">
        <is>
          <t>17/03/2026</t>
        </is>
      </c>
      <c r="K11661" t="inlineStr">
        <is>
          <t>N/A</t>
        </is>
      </c>
      <c r="L11661" t="inlineStr">
        <is>
          <t>Leadership, Talent Management, Learning And Development, English Language Proficiency</t>
        </is>
      </c>
      <c r="M11661" t="inlineStr">
        <is>
          <t>Bonus, Healthcare Plan, Paid Leave</t>
        </is>
      </c>
      <c r="N11661" s="8">
        <f>HYPERLINK("https://www.vietnamworks.com/l-od-lead-mainland-southeast-asia--2024270-jv","Xem chi tiết")</f>
        <v/>
      </c>
    </row>
    <row r="11662">
      <c r="B11662" s="9" t="n">
        <v>11660</v>
      </c>
      <c r="C11662" s="10" t="inlineStr">
        <is>
          <t>Senior Procurement</t>
        </is>
      </c>
      <c r="D11662" s="10" t="inlineStr">
        <is>
          <t>One Mount</t>
        </is>
      </c>
      <c r="E11662" s="10" t="inlineStr">
        <is>
          <t>Thương lượng</t>
        </is>
      </c>
      <c r="F11662" s="10" t="inlineStr">
        <is>
          <t>Hà Nội</t>
        </is>
      </c>
      <c r="G11662" s="10" t="inlineStr">
        <is>
          <t>Nhân viên</t>
        </is>
      </c>
      <c r="H11662" s="10" t="inlineStr">
        <is>
          <t>16/03/2026</t>
        </is>
      </c>
      <c r="I11662" s="10" t="inlineStr">
        <is>
          <t>15/04/2026</t>
        </is>
      </c>
      <c r="J11662" s="10" t="inlineStr">
        <is>
          <t>17/03/2026</t>
        </is>
      </c>
      <c r="K11662" s="10" t="inlineStr">
        <is>
          <t>N/A</t>
        </is>
      </c>
      <c r="L11662" s="10" t="inlineStr">
        <is>
          <t>Quản Lý Nhà Cung Cấp, Phát Triển Đầu Tư, Phân tích dữ liệu, Thương Mại, Giao Tiếp Chủ Động</t>
        </is>
      </c>
      <c r="M11662" s="10" t="inlineStr">
        <is>
          <t>Bonus, Healthcare Plan, Paid Leave, Training, Awards, Laptop, Team Activities, Others</t>
        </is>
      </c>
      <c r="N11662" s="11">
        <f>HYPERLINK("https://www.vietnamworks.com/senior-procurement-2024250-jv","Xem chi tiết")</f>
        <v/>
      </c>
      <c r="O11662" s="10" t="n"/>
    </row>
    <row r="11663">
      <c r="B11663" s="7" t="n">
        <v>11661</v>
      </c>
      <c r="C11663" t="inlineStr">
        <is>
          <t>Sales Máy Công Nghiệp Ngành Dược Và F&amp;B</t>
        </is>
      </c>
      <c r="D11663" t="inlineStr">
        <is>
          <t>VĂN PHÒNG ĐẠI DIỆN REPASSA SINGAPORE PTE LTD TẠI THÀNH PHỐ HỒ CHÍ MINH</t>
        </is>
      </c>
      <c r="E11663" t="inlineStr">
        <is>
          <t>Thương lượng</t>
        </is>
      </c>
      <c r="F11663" t="inlineStr">
        <is>
          <t>Hồ Chí Minh</t>
        </is>
      </c>
      <c r="G11663" t="inlineStr">
        <is>
          <t>Nhân viên</t>
        </is>
      </c>
      <c r="H11663" t="inlineStr">
        <is>
          <t>16/03/2026</t>
        </is>
      </c>
      <c r="I11663" t="inlineStr">
        <is>
          <t>15/04/2026</t>
        </is>
      </c>
      <c r="J11663" t="inlineStr">
        <is>
          <t>17/03/2026</t>
        </is>
      </c>
      <c r="K11663" t="inlineStr">
        <is>
          <t>N/A</t>
        </is>
      </c>
      <c r="L11663" t="inlineStr">
        <is>
          <t>Báo Giá, Quản trị Kinh doanh, Soạn Thảo Hợp Đồng, Tư Vấn Sản Phẩm, Đàm Phán Thương Lượng</t>
        </is>
      </c>
      <c r="M11663" t="inlineStr">
        <is>
          <t>Bonus, Training, Transportation</t>
        </is>
      </c>
      <c r="N11663" s="8">
        <f>HYPERLINK("https://www.vietnamworks.com/sales-may-cong-nghiep-nganh-duoc-va-fandampb-2024257-jv","Xem chi tiết")</f>
        <v/>
      </c>
    </row>
    <row r="11664">
      <c r="B11664" s="9" t="n">
        <v>11662</v>
      </c>
      <c r="C11664" s="10" t="inlineStr">
        <is>
          <t>Kỹ Sư Điện</t>
        </is>
      </c>
      <c r="D11664" s="10" t="inlineStr">
        <is>
          <t>Công Ty TNHH VSIP Thái Bình</t>
        </is>
      </c>
      <c r="E11664" s="10" t="inlineStr">
        <is>
          <t>Tới 25tr ₫/tháng</t>
        </is>
      </c>
      <c r="F11664" s="10" t="inlineStr">
        <is>
          <t>Hải Phòng</t>
        </is>
      </c>
      <c r="G11664" s="10" t="inlineStr">
        <is>
          <t>Nhân viên</t>
        </is>
      </c>
      <c r="H11664" s="10" t="inlineStr">
        <is>
          <t>16/03/2026</t>
        </is>
      </c>
      <c r="I11664" s="10" t="inlineStr">
        <is>
          <t>15/04/2026</t>
        </is>
      </c>
      <c r="J11664" s="10" t="inlineStr">
        <is>
          <t>17/03/2026</t>
        </is>
      </c>
      <c r="K11664" s="10" t="inlineStr">
        <is>
          <t>N/A</t>
        </is>
      </c>
      <c r="L11664" s="10" t="inlineStr">
        <is>
          <t>Điện, Cơ Điện, AutoCAD, Điện Nặng, Xử Lý Sự Cố</t>
        </is>
      </c>
      <c r="M11664" s="10" t="inlineStr">
        <is>
          <t>Bonus, Healthcare Plan, Others</t>
        </is>
      </c>
      <c r="N11664" s="11">
        <f>HYPERLINK("https://www.vietnamworks.com/ky-su-dien--2024246-jv","Xem chi tiết")</f>
        <v/>
      </c>
      <c r="O11664" s="10" t="n"/>
    </row>
    <row r="11665">
      <c r="B11665" s="7" t="n">
        <v>11663</v>
      </c>
      <c r="C11665" t="inlineStr">
        <is>
          <t>Nhân Viên Hàng Chính Nhân Sự</t>
        </is>
      </c>
      <c r="D11665" t="inlineStr">
        <is>
          <t>Công Ty TNHH Vật Tư Và Trang Thiết Bị Y Tế HAT-MED Việt Nam</t>
        </is>
      </c>
      <c r="E11665" t="inlineStr">
        <is>
          <t>8tr-13tr ₫/tháng</t>
        </is>
      </c>
      <c r="F11665" t="inlineStr">
        <is>
          <t>Hà Nội</t>
        </is>
      </c>
      <c r="G11665" t="inlineStr">
        <is>
          <t>Nhân viên</t>
        </is>
      </c>
      <c r="H11665" t="inlineStr">
        <is>
          <t>16/03/2026</t>
        </is>
      </c>
      <c r="I11665" t="inlineStr">
        <is>
          <t>15/04/2026</t>
        </is>
      </c>
      <c r="J11665" t="inlineStr">
        <is>
          <t>17/03/2026</t>
        </is>
      </c>
      <c r="K11665" t="inlineStr">
        <is>
          <t>N/A</t>
        </is>
      </c>
      <c r="L11665" t="inlineStr">
        <is>
          <t>Quản Lý Văn Phòng, Chấm Công, Lưu Trữ Hồ Sơ, Phỏng Vấn, Tổ Chức Sự Kiện</t>
        </is>
      </c>
      <c r="M11665" t="inlineStr">
        <is>
          <t>Healthcare Plan, Training, Team Activities, Others</t>
        </is>
      </c>
      <c r="N11665" s="8">
        <f>HYPERLINK("https://www.vietnamworks.com/nhan-vien-hang-chinh-nhan-su-2024247-jv","Xem chi tiết")</f>
        <v/>
      </c>
    </row>
    <row r="11666">
      <c r="B11666" s="9" t="n">
        <v>11664</v>
      </c>
      <c r="C11666" s="10" t="inlineStr">
        <is>
          <t>NPD &amp; Sourcing Manager (Furniture)</t>
        </is>
      </c>
      <c r="D11666" s="10" t="inlineStr">
        <is>
          <t>TRIWIN GROUP</t>
        </is>
      </c>
      <c r="E11666" s="10" t="inlineStr">
        <is>
          <t>Thương lượng</t>
        </is>
      </c>
      <c r="F11666" s="10" t="inlineStr">
        <is>
          <t>Hồ Chí Minh</t>
        </is>
      </c>
      <c r="G11666" s="10" t="inlineStr">
        <is>
          <t>Nhân viên</t>
        </is>
      </c>
      <c r="H11666" s="10" t="inlineStr">
        <is>
          <t>16/03/2026</t>
        </is>
      </c>
      <c r="I11666" s="10" t="inlineStr">
        <is>
          <t>15/04/2026</t>
        </is>
      </c>
      <c r="J11666" s="10" t="inlineStr">
        <is>
          <t>17/03/2026</t>
        </is>
      </c>
      <c r="K11666" s="10" t="inlineStr">
        <is>
          <t>N/A</t>
        </is>
      </c>
      <c r="L11666" s="10" t="inlineStr">
        <is>
          <t>Market Research, Furniture, Research and development, Sourcing Strategy, Supplier Management</t>
        </is>
      </c>
      <c r="M11666" s="10" t="inlineStr">
        <is>
          <t>Healthcare Plan, Training, Others</t>
        </is>
      </c>
      <c r="N11666" s="11">
        <f>HYPERLINK("https://www.vietnamworks.com/npd-and-sourcing-manager-furniture-2024271-jv","Xem chi tiết")</f>
        <v/>
      </c>
      <c r="O11666" s="10" t="n"/>
    </row>
    <row r="11667">
      <c r="B11667" s="7" t="n">
        <v>11665</v>
      </c>
      <c r="C11667" t="inlineStr">
        <is>
          <t>Nhân Viên Vận Hành Kỹ Thuật/ Kỹ Thuật Viên Bảo Trì</t>
        </is>
      </c>
      <c r="D11667" t="inlineStr">
        <is>
          <t>Avery Dennison Vietnam</t>
        </is>
      </c>
      <c r="E11667" t="inlineStr">
        <is>
          <t>Thương lượng</t>
        </is>
      </c>
      <c r="F11667" t="inlineStr">
        <is>
          <t>Long An, Hồ Chí Minh</t>
        </is>
      </c>
      <c r="G11667" t="inlineStr">
        <is>
          <t>Nhân viên</t>
        </is>
      </c>
      <c r="H11667" t="inlineStr">
        <is>
          <t>16/03/2026</t>
        </is>
      </c>
      <c r="I11667" t="inlineStr">
        <is>
          <t>15/04/2026</t>
        </is>
      </c>
      <c r="J11667" t="inlineStr">
        <is>
          <t>17/03/2026</t>
        </is>
      </c>
      <c r="K11667" t="inlineStr">
        <is>
          <t>N/A</t>
        </is>
      </c>
      <c r="L11667" t="inlineStr">
        <is>
          <t>Vận Hành Máy In, In Ấn, Bảo Dưỡng Máy Móc</t>
        </is>
      </c>
      <c r="M11667" t="inlineStr">
        <is>
          <t>Bonus, Healthcare Plan, Paid Leave</t>
        </is>
      </c>
      <c r="N11667" s="8">
        <f>HYPERLINK("https://www.vietnamworks.com/nhan-vien-van-hanh-ky-thuat-ky-thuat-vien-bao-tri-2024255-jv","Xem chi tiết")</f>
        <v/>
      </c>
    </row>
    <row r="11668">
      <c r="B11668" s="9" t="n">
        <v>11666</v>
      </c>
      <c r="C11668" s="10" t="inlineStr">
        <is>
          <t>Chuyên Viên Xuất Khẩu (Tiếng Anh) – FMCG (Bánh Kẹo)</t>
        </is>
      </c>
      <c r="D11668" s="10" t="inlineStr">
        <is>
          <t>Công Ty Cổ Phần Thực Phẩm Hữu Nghị</t>
        </is>
      </c>
      <c r="E11668" s="10" t="inlineStr">
        <is>
          <t>16tr-25tr ₫/tháng</t>
        </is>
      </c>
      <c r="F11668" s="10" t="inlineStr">
        <is>
          <t>Hà Nội</t>
        </is>
      </c>
      <c r="G11668" s="10" t="inlineStr">
        <is>
          <t>Nhân viên</t>
        </is>
      </c>
      <c r="H11668" s="10" t="inlineStr">
        <is>
          <t>16/03/2026</t>
        </is>
      </c>
      <c r="I11668" s="10" t="inlineStr">
        <is>
          <t>15/04/2026</t>
        </is>
      </c>
      <c r="J11668" s="10" t="inlineStr">
        <is>
          <t>17/03/2026</t>
        </is>
      </c>
      <c r="K11668" s="10" t="inlineStr">
        <is>
          <t>N/A</t>
        </is>
      </c>
      <c r="L11668" s="10" t="inlineStr">
        <is>
          <t>Logistic, FMCG, Kinh Doanh Quốc Tế, Xuất Khẩu</t>
        </is>
      </c>
      <c r="M11668" s="10" t="inlineStr">
        <is>
          <t>Bonus, Transportation, Canteen</t>
        </is>
      </c>
      <c r="N11668" s="11">
        <f>HYPERLINK("https://www.vietnamworks.com/chuyen-vien-xuat-khau-tieng-anh-fmcg-banh-keo-2024275-jv","Xem chi tiết")</f>
        <v/>
      </c>
      <c r="O11668" s="10" t="n"/>
    </row>
    <row r="11669">
      <c r="B11669" s="7" t="n">
        <v>11667</v>
      </c>
      <c r="C11669" t="inlineStr">
        <is>
          <t>Nhân Viên Kỹ Sư Ứng Dụng</t>
        </is>
      </c>
      <c r="D11669" t="inlineStr">
        <is>
          <t>Công Ty TNHH Vật Tư Và Trang Thiết Bị Y Tế HAT-MED Việt Nam</t>
        </is>
      </c>
      <c r="E11669" t="inlineStr">
        <is>
          <t>Thương lượng</t>
        </is>
      </c>
      <c r="F11669" t="inlineStr">
        <is>
          <t>Hà Nội</t>
        </is>
      </c>
      <c r="G11669" t="inlineStr">
        <is>
          <t>Nhân viên</t>
        </is>
      </c>
      <c r="H11669" t="inlineStr">
        <is>
          <t>16/03/2026</t>
        </is>
      </c>
      <c r="I11669" t="inlineStr">
        <is>
          <t>15/04/2026</t>
        </is>
      </c>
      <c r="J11669" t="inlineStr">
        <is>
          <t>17/03/2026</t>
        </is>
      </c>
      <c r="K11669" t="inlineStr">
        <is>
          <t>N/A</t>
        </is>
      </c>
      <c r="L11669" t="inlineStr">
        <is>
          <t>Nghiên Cứu Sản Phẩm, Thiết Bị Y Tế, Tin Học Văn Phòng, Tư Vấn Kỹ Thuật, Đọc Tài Liệu Kĩ Thuật</t>
        </is>
      </c>
      <c r="M11669" t="inlineStr">
        <is>
          <t>Bonus, Healthcare Plan, Paid Leave, Training</t>
        </is>
      </c>
      <c r="N11669" s="8">
        <f>HYPERLINK("https://www.vietnamworks.com/nhan-vien-ky-su-ung-dung-2024272-jv","Xem chi tiết")</f>
        <v/>
      </c>
    </row>
    <row r="11670">
      <c r="B11670" s="9" t="n">
        <v>11668</v>
      </c>
      <c r="C11670" s="10" t="inlineStr">
        <is>
          <t>Internship Program 2026_Finance, Accounting, Business, and Technical Roles</t>
        </is>
      </c>
      <c r="D11670" s="10" t="inlineStr">
        <is>
          <t>Công Ty TNHH Olam Việt Nam</t>
        </is>
      </c>
      <c r="E11670" s="10" t="inlineStr">
        <is>
          <t>Thương lượng</t>
        </is>
      </c>
      <c r="F11670" s="10" t="inlineStr">
        <is>
          <t>Đồng Nai, Long An</t>
        </is>
      </c>
      <c r="G11670" s="10" t="inlineStr">
        <is>
          <t>Thực tập sinh/Sinh viên</t>
        </is>
      </c>
      <c r="H11670" s="10" t="inlineStr">
        <is>
          <t>16/03/2026</t>
        </is>
      </c>
      <c r="I11670" s="10" t="inlineStr">
        <is>
          <t>15/04/2026</t>
        </is>
      </c>
      <c r="J11670" s="10" t="inlineStr">
        <is>
          <t>17/03/2026</t>
        </is>
      </c>
      <c r="K11670" s="10" t="inlineStr">
        <is>
          <t>N/A</t>
        </is>
      </c>
      <c r="L11670" s="10" t="inlineStr">
        <is>
          <t>Finance &amp; Accounting, Mechanical Engineering, Supply Chain Management, Business Development, Interpersonal Communication</t>
        </is>
      </c>
      <c r="M11670" s="10" t="inlineStr">
        <is>
          <t>Training, Laptop, Transportation</t>
        </is>
      </c>
      <c r="N11670" s="11">
        <f>HYPERLINK("https://www.vietnamworks.com/internship-program-2026-finance-accounting-business-and-technical-roles-2024261-jv","Xem chi tiết")</f>
        <v/>
      </c>
      <c r="O11670" s="10" t="n"/>
    </row>
    <row r="11671">
      <c r="B11671" s="7" t="n">
        <v>11669</v>
      </c>
      <c r="C11671" t="inlineStr">
        <is>
          <t>Chuyên Viên Kiểm Soát Chất Lượng</t>
        </is>
      </c>
      <c r="D11671" t="inlineStr">
        <is>
          <t>TỔNG CÔNG TY XÂY DỰNG SỐ 1 - CTCP</t>
        </is>
      </c>
      <c r="E11671" t="inlineStr">
        <is>
          <t>$$ 800-1,000 /tháng</t>
        </is>
      </c>
      <c r="F11671" t="inlineStr">
        <is>
          <t>Hồ Chí Minh</t>
        </is>
      </c>
      <c r="G11671" t="inlineStr">
        <is>
          <t>Nhân viên</t>
        </is>
      </c>
      <c r="H11671" t="inlineStr">
        <is>
          <t>16/03/2026</t>
        </is>
      </c>
      <c r="I11671" t="inlineStr">
        <is>
          <t>15/04/2026</t>
        </is>
      </c>
      <c r="J11671" t="inlineStr">
        <is>
          <t>17/03/2026</t>
        </is>
      </c>
      <c r="K11671" t="inlineStr">
        <is>
          <t>N/A</t>
        </is>
      </c>
      <c r="L11671" t="inlineStr">
        <is>
          <t>Quality Control, Quality Assurance, QA, QC, Quality Control Management</t>
        </is>
      </c>
      <c r="M11671" t="inlineStr">
        <is>
          <t>Bonus, Healthcare Plan, Team Activities</t>
        </is>
      </c>
      <c r="N11671" s="8">
        <f>HYPERLINK("https://www.vietnamworks.com/chuyen-vien-kiem-soat-chat-luong--2024262-jv","Xem chi tiết")</f>
        <v/>
      </c>
    </row>
    <row r="11672">
      <c r="B11672" s="9" t="n">
        <v>11670</v>
      </c>
      <c r="C11672" s="10" t="inlineStr">
        <is>
          <t>Kỹ Sư Giải Pháp (Network Solution Engineer)</t>
        </is>
      </c>
      <c r="D11672" s="10" t="inlineStr">
        <is>
          <t>Công Ty Cổ Phần Netnam</t>
        </is>
      </c>
      <c r="E11672" s="10" t="inlineStr">
        <is>
          <t>Tới $ 1,000 /tháng</t>
        </is>
      </c>
      <c r="F11672" s="10" t="inlineStr">
        <is>
          <t>Hà Nội</t>
        </is>
      </c>
      <c r="G11672" s="10" t="inlineStr">
        <is>
          <t>Nhân viên</t>
        </is>
      </c>
      <c r="H11672" s="10" t="inlineStr">
        <is>
          <t>16/03/2026</t>
        </is>
      </c>
      <c r="I11672" s="10" t="inlineStr">
        <is>
          <t>15/04/2026</t>
        </is>
      </c>
      <c r="J11672" s="10" t="inlineStr">
        <is>
          <t>17/03/2026</t>
        </is>
      </c>
      <c r="K11672" s="10" t="inlineStr">
        <is>
          <t>N/A</t>
        </is>
      </c>
      <c r="L11672" s="10" t="inlineStr">
        <is>
          <t>Hệ Thống Mạng, Network Solutions, Troubleshooting, Security, Tư Vấn</t>
        </is>
      </c>
      <c r="M11672" s="10" t="inlineStr">
        <is>
          <t>Bonus, Healthcare Plan, Travel Opportunities, Team Activities, Others</t>
        </is>
      </c>
      <c r="N11672" s="11">
        <f>HYPERLINK("https://www.vietnamworks.com/ky-su-giai-phap-network-solution-engineer-2024273-jv","Xem chi tiết")</f>
        <v/>
      </c>
      <c r="O11672" s="10" t="n"/>
    </row>
    <row r="11673">
      <c r="B11673" s="7" t="n">
        <v>11671</v>
      </c>
      <c r="C11673" t="inlineStr">
        <is>
          <t>Kế Toán Giá Thành Sản Xuất</t>
        </is>
      </c>
      <c r="D11673" t="inlineStr">
        <is>
          <t>Công ty TNHH  Truong Nhung Jewelry</t>
        </is>
      </c>
      <c r="E11673" t="inlineStr">
        <is>
          <t>15tr-20tr ₫/tháng</t>
        </is>
      </c>
      <c r="F11673" t="inlineStr">
        <is>
          <t>Hà Nội</t>
        </is>
      </c>
      <c r="G11673" t="inlineStr">
        <is>
          <t>Nhân viên</t>
        </is>
      </c>
      <c r="H11673" t="inlineStr">
        <is>
          <t>16/03/2026</t>
        </is>
      </c>
      <c r="I11673" t="inlineStr">
        <is>
          <t>15/04/2026</t>
        </is>
      </c>
      <c r="J11673" t="inlineStr">
        <is>
          <t>17/03/2026</t>
        </is>
      </c>
      <c r="K11673" t="inlineStr">
        <is>
          <t>N/A</t>
        </is>
      </c>
      <c r="L11673" t="inlineStr">
        <is>
          <t>Kế Toán Giá Thành, Quản Lý Kho Vật Liệu, Phân Tích Số Liệu, Hạch Toán, Hạch Toán Chi Phí</t>
        </is>
      </c>
      <c r="M11673" t="inlineStr">
        <is>
          <t>Bonus, Healthcare Plan, Others</t>
        </is>
      </c>
      <c r="N11673" s="8">
        <f>HYPERLINK("https://www.vietnamworks.com/ke-toan-gia-thanh-san-xuat-2024263-jv","Xem chi tiết")</f>
        <v/>
      </c>
    </row>
    <row r="11674">
      <c r="B11674" s="9" t="n">
        <v>11672</v>
      </c>
      <c r="C11674" s="10" t="inlineStr">
        <is>
          <t>IE/ SMV Manager</t>
        </is>
      </c>
      <c r="D11674" s="10" t="inlineStr">
        <is>
          <t>CÔNG TY TNHH YIC ONE</t>
        </is>
      </c>
      <c r="E11674" s="10" t="inlineStr">
        <is>
          <t>Thương lượng</t>
        </is>
      </c>
      <c r="F11674" s="10" t="inlineStr">
        <is>
          <t>Hà Nội</t>
        </is>
      </c>
      <c r="G11674" s="10" t="inlineStr">
        <is>
          <t>Trưởng phòng</t>
        </is>
      </c>
      <c r="H11674" s="10" t="inlineStr">
        <is>
          <t>16/03/2026</t>
        </is>
      </c>
      <c r="I11674" s="10" t="inlineStr">
        <is>
          <t>15/04/2026</t>
        </is>
      </c>
      <c r="J11674" s="10" t="inlineStr">
        <is>
          <t>17/03/2026</t>
        </is>
      </c>
      <c r="K11674" s="10" t="inlineStr">
        <is>
          <t>N/A</t>
        </is>
      </c>
      <c r="L11674" s="10" t="inlineStr">
        <is>
          <t>Garment Technical Design, VSM, Line Balancing, Data Analysis, Team Management</t>
        </is>
      </c>
      <c r="M11674" s="10" t="inlineStr">
        <is>
          <t>Bonus, Healthcare Plan, Paid Leave, Training, Team Activities, Others</t>
        </is>
      </c>
      <c r="N11674" s="11">
        <f>HYPERLINK("https://www.vietnamworks.com/ie-smv-manager-2024274-jv","Xem chi tiết")</f>
        <v/>
      </c>
      <c r="O11674" s="10" t="n"/>
    </row>
    <row r="11675">
      <c r="B11675" s="7" t="n">
        <v>11673</v>
      </c>
      <c r="C11675" t="inlineStr">
        <is>
          <t>Trưởng Bộ Phận Sales Tour Inbound [Ra Tết Đi Làm]</t>
        </is>
      </c>
      <c r="D11675" t="inlineStr">
        <is>
          <t>Công Ty TNHH Đầu Tư Thương Mại Và Du Lịch Quốc Tế Hòa Bình (Hoà Bình Group)</t>
        </is>
      </c>
      <c r="E11675" t="inlineStr">
        <is>
          <t>25tr-35tr ₫/tháng</t>
        </is>
      </c>
      <c r="F11675" t="inlineStr">
        <is>
          <t>Hà Nội</t>
        </is>
      </c>
      <c r="G11675" t="inlineStr">
        <is>
          <t>Trưởng phòng</t>
        </is>
      </c>
      <c r="H11675" t="inlineStr">
        <is>
          <t>16/03/2026</t>
        </is>
      </c>
      <c r="I11675" t="inlineStr">
        <is>
          <t>15/04/2026</t>
        </is>
      </c>
      <c r="J11675" t="inlineStr">
        <is>
          <t>17/03/2026</t>
        </is>
      </c>
      <c r="K11675" t="inlineStr">
        <is>
          <t>N/A</t>
        </is>
      </c>
      <c r="L11675" t="inlineStr">
        <is>
          <t>Quản Lý Kinh Doanh, Phát Triển Sản Phẩm, Lãnh Đạo, Kinh Doanh, Inbound Tour Operations</t>
        </is>
      </c>
      <c r="M11675" t="inlineStr">
        <is>
          <t>Bonus, Healthcare Plan, Training, Laptop, Travel Opportunities, Others</t>
        </is>
      </c>
      <c r="N11675" s="8">
        <f>HYPERLINK("https://www.vietnamworks.com/truong-bo-phan-sales-tour-inbound-ra-tet-dji-lam-2024277-jv","Xem chi tiết")</f>
        <v/>
      </c>
    </row>
    <row r="11676">
      <c r="B11676" s="9" t="n">
        <v>11674</v>
      </c>
      <c r="C11676" s="10" t="inlineStr">
        <is>
          <t>Kế Toán Tổng Hợp</t>
        </is>
      </c>
      <c r="D11676" s="10" t="inlineStr">
        <is>
          <t>Công Ty TNHH Đầu Tư Phát Triển Thương Mại Dịch Vụ Hà Trung</t>
        </is>
      </c>
      <c r="E11676" s="10" t="inlineStr">
        <is>
          <t>14tr-18tr ₫/tháng</t>
        </is>
      </c>
      <c r="F11676" s="10" t="inlineStr">
        <is>
          <t>Hà Nội</t>
        </is>
      </c>
      <c r="G11676" s="10" t="inlineStr">
        <is>
          <t>Mới Tốt Nghiệp</t>
        </is>
      </c>
      <c r="H11676" s="10" t="inlineStr">
        <is>
          <t>16/03/2026</t>
        </is>
      </c>
      <c r="I11676" s="10" t="inlineStr">
        <is>
          <t>15/04/2026</t>
        </is>
      </c>
      <c r="J11676" s="10" t="inlineStr">
        <is>
          <t>17/03/2026</t>
        </is>
      </c>
      <c r="K11676" s="10" t="inlineStr">
        <is>
          <t>N/A</t>
        </is>
      </c>
      <c r="L11676" s="10" t="inlineStr">
        <is>
          <t>Lập Báo Cáo Tài Chính, Phân Tích Số Liệu, Báo Cáo Thuế, Hạch Toán, Quản Lý Chi Phí</t>
        </is>
      </c>
      <c r="M11676" s="10" t="inlineStr">
        <is>
          <t>Bonus, Healthcare Plan, Team Activities, Others</t>
        </is>
      </c>
      <c r="N11676" s="11">
        <f>HYPERLINK("https://www.vietnamworks.com/ke-toan-tong-hop-2024268-jv","Xem chi tiết")</f>
        <v/>
      </c>
      <c r="O11676" s="10" t="n"/>
    </row>
    <row r="11677">
      <c r="B11677" s="7" t="n">
        <v>11675</v>
      </c>
      <c r="C11677" t="inlineStr">
        <is>
          <t>Trưởng Bộ Phận Sales Tour Outbound</t>
        </is>
      </c>
      <c r="D11677" t="inlineStr">
        <is>
          <t>Công Ty TNHH Đầu Tư Thương Mại Và Du Lịch Quốc Tế Hòa Bình (Hoà Bình Group)</t>
        </is>
      </c>
      <c r="E11677" t="inlineStr">
        <is>
          <t>25tr-35tr ₫/tháng</t>
        </is>
      </c>
      <c r="F11677" t="inlineStr">
        <is>
          <t>Hà Nội</t>
        </is>
      </c>
      <c r="G11677" t="inlineStr">
        <is>
          <t>Trưởng phòng</t>
        </is>
      </c>
      <c r="H11677" t="inlineStr">
        <is>
          <t>16/03/2026</t>
        </is>
      </c>
      <c r="I11677" t="inlineStr">
        <is>
          <t>15/04/2026</t>
        </is>
      </c>
      <c r="J11677" t="inlineStr">
        <is>
          <t>17/03/2026</t>
        </is>
      </c>
      <c r="K11677" t="inlineStr">
        <is>
          <t>N/A</t>
        </is>
      </c>
      <c r="L11677" t="inlineStr">
        <is>
          <t>Quản Lý Đội Nhóm, Giao Tiếp, Xử Lý Tình Huống, Outbound Travel, Sales</t>
        </is>
      </c>
      <c r="M11677" t="inlineStr">
        <is>
          <t>Bonus, Healthcare Plan, Training, Laptop, Travel Opportunities, Others</t>
        </is>
      </c>
      <c r="N11677" s="8">
        <f>HYPERLINK("https://www.vietnamworks.com/truong-bo-phan-sales-tour-outbound-2024279-jv","Xem chi tiết")</f>
        <v/>
      </c>
    </row>
    <row r="11678">
      <c r="B11678" s="9" t="n">
        <v>11676</v>
      </c>
      <c r="C11678" s="10" t="inlineStr">
        <is>
          <t>Nhân Viên Sales Tour Outbound [Ra Tết Đi Làm]</t>
        </is>
      </c>
      <c r="D11678" s="10" t="inlineStr">
        <is>
          <t>Công Ty TNHH Đầu Tư Thương Mại Và Du Lịch Quốc Tế Hòa Bình (Hoà Bình Group)</t>
        </is>
      </c>
      <c r="E11678" s="10" t="inlineStr">
        <is>
          <t>Thương lượng</t>
        </is>
      </c>
      <c r="F11678" s="10" t="inlineStr">
        <is>
          <t>Hà Nội</t>
        </is>
      </c>
      <c r="G11678" s="10" t="inlineStr">
        <is>
          <t>Nhân viên</t>
        </is>
      </c>
      <c r="H11678" s="10" t="inlineStr">
        <is>
          <t>16/03/2026</t>
        </is>
      </c>
      <c r="I11678" s="10" t="inlineStr">
        <is>
          <t>15/04/2026</t>
        </is>
      </c>
      <c r="J11678" s="10" t="inlineStr">
        <is>
          <t>17/03/2026</t>
        </is>
      </c>
      <c r="K11678" s="10" t="inlineStr">
        <is>
          <t>N/A</t>
        </is>
      </c>
      <c r="L11678" s="10" t="inlineStr">
        <is>
          <t>Outbound Sales, Customer Service, Outbound Travel, Tìm Kiếm Khách Hàng, Tư Vấn Chương Trình</t>
        </is>
      </c>
      <c r="M11678" s="10" t="inlineStr">
        <is>
          <t>Bonus, Healthcare Plan, Training, Laptop, Travel Opportunities, Others</t>
        </is>
      </c>
      <c r="N11678" s="11">
        <f>HYPERLINK("https://www.vietnamworks.com/nhan-vien-sales-tour-outbound-ra-tet-dji-lam-2024281-jv","Xem chi tiết")</f>
        <v/>
      </c>
      <c r="O11678" s="10" t="n"/>
    </row>
    <row r="11679">
      <c r="B11679" s="7" t="n">
        <v>11677</v>
      </c>
      <c r="C11679" t="inlineStr">
        <is>
          <t>Centre Manager (CM)</t>
        </is>
      </c>
      <c r="D11679" t="inlineStr">
        <is>
          <t>ILA Vietnam</t>
        </is>
      </c>
      <c r="E11679" t="inlineStr">
        <is>
          <t>Thương lượng</t>
        </is>
      </c>
      <c r="F11679" t="inlineStr">
        <is>
          <t>Hồ Chí Minh</t>
        </is>
      </c>
      <c r="G11679" t="inlineStr">
        <is>
          <t>Trưởng phòng</t>
        </is>
      </c>
      <c r="H11679" t="inlineStr">
        <is>
          <t>16/03/2026</t>
        </is>
      </c>
      <c r="I11679" t="inlineStr">
        <is>
          <t>15/04/2026</t>
        </is>
      </c>
      <c r="J11679" t="inlineStr">
        <is>
          <t>17/03/2026</t>
        </is>
      </c>
      <c r="K11679" t="inlineStr">
        <is>
          <t>N/A</t>
        </is>
      </c>
      <c r="L11679" t="inlineStr">
        <is>
          <t>Strategic Planning, Good Management, Strong Sales And Customer Service Focus, Organizational skills, Interpersonal skills</t>
        </is>
      </c>
      <c r="M11679" t="inlineStr">
        <is>
          <t>Bonus, Paid Leave, Training</t>
        </is>
      </c>
      <c r="N11679" s="8">
        <f>HYPERLINK("https://www.vietnamworks.com/centre-manager-cm-2024284-jv","Xem chi tiết")</f>
        <v/>
      </c>
    </row>
    <row r="11680">
      <c r="B11680" s="9" t="n">
        <v>11678</v>
      </c>
      <c r="C11680" s="10" t="inlineStr">
        <is>
          <t>Steel Detailer</t>
        </is>
      </c>
      <c r="D11680" s="10" t="inlineStr">
        <is>
          <t>CÔNG TY TNHH THIẾT KẾ RDS</t>
        </is>
      </c>
      <c r="E11680" s="10" t="inlineStr">
        <is>
          <t>$$ 400-1,500 /tháng</t>
        </is>
      </c>
      <c r="F11680" s="10" t="inlineStr">
        <is>
          <t>Hồ Chí Minh</t>
        </is>
      </c>
      <c r="G11680" s="10" t="inlineStr">
        <is>
          <t>Nhân viên</t>
        </is>
      </c>
      <c r="H11680" s="10" t="inlineStr">
        <is>
          <t>16/03/2026</t>
        </is>
      </c>
      <c r="I11680" s="10" t="inlineStr">
        <is>
          <t>15/04/2026</t>
        </is>
      </c>
      <c r="J11680" s="10" t="inlineStr">
        <is>
          <t>17/03/2026</t>
        </is>
      </c>
      <c r="K11680" s="10" t="inlineStr">
        <is>
          <t>N/A</t>
        </is>
      </c>
      <c r="L11680" s="10" t="inlineStr">
        <is>
          <t>Shop Drawing, Kết Cấu Thép, AutoCAD, Steel Design, Đọc Hiểu Bản Vẽ</t>
        </is>
      </c>
      <c r="M11680" s="10" t="inlineStr">
        <is>
          <t>Bonus, Healthcare Plan, Travel Opportunities</t>
        </is>
      </c>
      <c r="N11680" s="11">
        <f>HYPERLINK("https://www.vietnamworks.com/steel-detailer--2024280-jv","Xem chi tiết")</f>
        <v/>
      </c>
      <c r="O11680" s="10" t="n"/>
    </row>
    <row r="11681">
      <c r="B11681" s="7" t="n">
        <v>11679</v>
      </c>
      <c r="C11681" t="inlineStr">
        <is>
          <t>Quản Lý Dự Án</t>
        </is>
      </c>
      <c r="D11681" t="inlineStr">
        <is>
          <t>Công Ty Cổ Phần Netnam</t>
        </is>
      </c>
      <c r="E11681" t="inlineStr">
        <is>
          <t>13.5tr-25tr ₫/tháng</t>
        </is>
      </c>
      <c r="F11681" t="inlineStr">
        <is>
          <t>Hà Nội</t>
        </is>
      </c>
      <c r="G11681" t="inlineStr">
        <is>
          <t>Trưởng phòng</t>
        </is>
      </c>
      <c r="H11681" t="inlineStr">
        <is>
          <t>16/03/2026</t>
        </is>
      </c>
      <c r="I11681" t="inlineStr">
        <is>
          <t>15/04/2026</t>
        </is>
      </c>
      <c r="J11681" t="inlineStr">
        <is>
          <t>17/03/2026</t>
        </is>
      </c>
      <c r="K11681" t="inlineStr">
        <is>
          <t>N/A</t>
        </is>
      </c>
      <c r="L11681" t="inlineStr">
        <is>
          <t>Công Nghệ Thông Tin, Agile, Kiểm Soát Chất Lượng, Quản Lý Rủi Ro, Waterfall</t>
        </is>
      </c>
      <c r="M11681" t="inlineStr">
        <is>
          <t>Bonus, Healthcare Plan, Training, Travel Opportunities, Team Activities, Others</t>
        </is>
      </c>
      <c r="N11681" s="8">
        <f>HYPERLINK("https://www.vietnamworks.com/quan-ly-du-an-2024283-jv","Xem chi tiết")</f>
        <v/>
      </c>
    </row>
    <row r="11682">
      <c r="B11682" s="9" t="n">
        <v>11680</v>
      </c>
      <c r="C11682" s="10" t="inlineStr">
        <is>
          <t>Finance Controller</t>
        </is>
      </c>
      <c r="D11682" s="10" t="inlineStr">
        <is>
          <t>Công ty Cổ phần Tập đoàn Golden Gate</t>
        </is>
      </c>
      <c r="E11682" s="10" t="inlineStr">
        <is>
          <t>Thương lượng</t>
        </is>
      </c>
      <c r="F11682" s="10" t="inlineStr">
        <is>
          <t>Hà Nội</t>
        </is>
      </c>
      <c r="G11682" s="10" t="inlineStr">
        <is>
          <t>Nhân viên</t>
        </is>
      </c>
      <c r="H11682" s="10" t="inlineStr">
        <is>
          <t>16/03/2026</t>
        </is>
      </c>
      <c r="I11682" s="10" t="inlineStr">
        <is>
          <t>15/04/2026</t>
        </is>
      </c>
      <c r="J11682" s="10" t="inlineStr">
        <is>
          <t>17/03/2026</t>
        </is>
      </c>
      <c r="K11682" s="10" t="inlineStr">
        <is>
          <t>N/A</t>
        </is>
      </c>
      <c r="L11682" s="10" t="inlineStr">
        <is>
          <t>ERP, Kiểm Soát Nội Bộ, Kiểm Soát Tài Chính, Quản Trị Chi Phí, Giá Thành</t>
        </is>
      </c>
      <c r="M11682" s="10" t="inlineStr">
        <is>
          <t>Bonus, Healthcare Plan, Others</t>
        </is>
      </c>
      <c r="N11682" s="11">
        <f>HYPERLINK("https://www.vietnamworks.com/finance-controller-2024289-jv","Xem chi tiết")</f>
        <v/>
      </c>
      <c r="O11682" s="10" t="n"/>
    </row>
    <row r="11683">
      <c r="B11683" s="7" t="n">
        <v>11681</v>
      </c>
      <c r="C11683" t="inlineStr">
        <is>
          <t>Kế Toán Giá Thành</t>
        </is>
      </c>
      <c r="D11683" t="inlineStr">
        <is>
          <t>CÔNG TY TNHH CÔNG NGHỆ VÀ CHIẾU SÁNG NVC VIỆT NAM</t>
        </is>
      </c>
      <c r="E11683" t="inlineStr">
        <is>
          <t>15tr-25tr ₫/tháng</t>
        </is>
      </c>
      <c r="F11683" t="inlineStr">
        <is>
          <t>Bắc Ninh</t>
        </is>
      </c>
      <c r="G11683" t="inlineStr">
        <is>
          <t>Nhân viên</t>
        </is>
      </c>
      <c r="H11683" t="inlineStr">
        <is>
          <t>16/03/2026</t>
        </is>
      </c>
      <c r="I11683" t="inlineStr">
        <is>
          <t>15/04/2026</t>
        </is>
      </c>
      <c r="J11683" t="inlineStr">
        <is>
          <t>17/03/2026</t>
        </is>
      </c>
      <c r="K11683" t="inlineStr">
        <is>
          <t>N/A</t>
        </is>
      </c>
      <c r="L11683" t="inlineStr">
        <is>
          <t>Tiếng Trung, Báo Cáo Tồn Kho, ERP, Quản Lý Chi Phí, Đối Chiếu Số Liệu</t>
        </is>
      </c>
      <c r="M11683" t="inlineStr">
        <is>
          <t>Bonus</t>
        </is>
      </c>
      <c r="N11683" s="8">
        <f>HYPERLINK("https://www.vietnamworks.com/ke-toan-gia-thanh-2024304-jv","Xem chi tiết")</f>
        <v/>
      </c>
    </row>
    <row r="11684">
      <c r="B11684" s="9" t="n">
        <v>11682</v>
      </c>
      <c r="C11684" s="10" t="inlineStr">
        <is>
          <t>Customer Service Executive</t>
        </is>
      </c>
      <c r="D11684" s="10" t="inlineStr">
        <is>
          <t>Công Ty TNHH Logistics Skygo</t>
        </is>
      </c>
      <c r="E11684" s="10" t="inlineStr">
        <is>
          <t>Thương lượng</t>
        </is>
      </c>
      <c r="F11684" s="10" t="inlineStr">
        <is>
          <t>Hồ Chí Minh, Hà Nội</t>
        </is>
      </c>
      <c r="G11684" s="10" t="inlineStr">
        <is>
          <t>Nhân viên</t>
        </is>
      </c>
      <c r="H11684" s="10" t="inlineStr">
        <is>
          <t>16/03/2026</t>
        </is>
      </c>
      <c r="I11684" s="10" t="inlineStr">
        <is>
          <t>15/04/2026</t>
        </is>
      </c>
      <c r="J11684" s="10" t="inlineStr">
        <is>
          <t>17/03/2026</t>
        </is>
      </c>
      <c r="K11684" s="10" t="inlineStr">
        <is>
          <t>N/A</t>
        </is>
      </c>
      <c r="L11684" s="10" t="inlineStr">
        <is>
          <t>Air Freight, Booking Management, Complaint Handling, Logistics Operation, Shipment Management</t>
        </is>
      </c>
      <c r="M11684" s="10" t="inlineStr">
        <is>
          <t>Bonus, Healthcare Plan</t>
        </is>
      </c>
      <c r="N11684" s="11">
        <f>HYPERLINK("https://www.vietnamworks.com/customer-service-executive-2024291-jv","Xem chi tiết")</f>
        <v/>
      </c>
      <c r="O11684" s="10" t="n"/>
    </row>
    <row r="11685">
      <c r="B11685" s="7" t="n">
        <v>11683</v>
      </c>
      <c r="C11685" t="inlineStr">
        <is>
          <t>Finance Manager</t>
        </is>
      </c>
      <c r="D11685" t="inlineStr">
        <is>
          <t>Công ty Cổ phần Tập đoàn Golden Gate</t>
        </is>
      </c>
      <c r="E11685" t="inlineStr">
        <is>
          <t>Thương lượng</t>
        </is>
      </c>
      <c r="F11685" t="inlineStr">
        <is>
          <t>Hà Nội</t>
        </is>
      </c>
      <c r="G11685" t="inlineStr">
        <is>
          <t>Trưởng phòng</t>
        </is>
      </c>
      <c r="H11685" t="inlineStr">
        <is>
          <t>16/03/2026</t>
        </is>
      </c>
      <c r="I11685" t="inlineStr">
        <is>
          <t>15/04/2026</t>
        </is>
      </c>
      <c r="J11685" t="inlineStr">
        <is>
          <t>17/03/2026</t>
        </is>
      </c>
      <c r="K11685" t="inlineStr">
        <is>
          <t>N/A</t>
        </is>
      </c>
      <c r="L11685" t="inlineStr">
        <is>
          <t>Kế Toán, Kiểm Toán, Lập Báo Cáo Tài Chính, Quản Lý Nhóm, Tài Chính</t>
        </is>
      </c>
      <c r="M11685" t="inlineStr">
        <is>
          <t>Bonus, Training, Vouchers, Others</t>
        </is>
      </c>
      <c r="N11685" s="8">
        <f>HYPERLINK("https://www.vietnamworks.com/finance-manager-2024292-jv","Xem chi tiết")</f>
        <v/>
      </c>
    </row>
    <row r="11686">
      <c r="B11686" s="9" t="n">
        <v>11684</v>
      </c>
      <c r="C11686" s="10" t="inlineStr">
        <is>
          <t>Kế Toán Chi Phí</t>
        </is>
      </c>
      <c r="D11686" s="10" t="inlineStr">
        <is>
          <t>Công Ty TNHH Intage Việt Nam</t>
        </is>
      </c>
      <c r="E11686" s="10" t="inlineStr">
        <is>
          <t>Thương lượng</t>
        </is>
      </c>
      <c r="F11686" s="10" t="inlineStr">
        <is>
          <t>Hồ Chí Minh</t>
        </is>
      </c>
      <c r="G11686" s="10" t="inlineStr">
        <is>
          <t>Nhân viên</t>
        </is>
      </c>
      <c r="H11686" s="10" t="inlineStr">
        <is>
          <t>16/03/2026</t>
        </is>
      </c>
      <c r="I11686" s="10" t="inlineStr">
        <is>
          <t>15/04/2026</t>
        </is>
      </c>
      <c r="J11686" s="10" t="inlineStr">
        <is>
          <t>17/03/2026</t>
        </is>
      </c>
      <c r="K11686" s="10" t="inlineStr">
        <is>
          <t>N/A</t>
        </is>
      </c>
      <c r="L11686" s="10" t="inlineStr">
        <is>
          <t>Kế Toán, Thuế, Kiểm Toán, Cost Accountant</t>
        </is>
      </c>
      <c r="M11686" s="10" t="inlineStr">
        <is>
          <t>Travel Opportunities</t>
        </is>
      </c>
      <c r="N11686" s="11">
        <f>HYPERLINK("https://www.vietnamworks.com/ke-toan-chi-phi-2024286-jv","Xem chi tiết")</f>
        <v/>
      </c>
      <c r="O11686" s="10" t="n"/>
    </row>
    <row r="11687">
      <c r="B11687" s="7" t="n">
        <v>11685</v>
      </c>
      <c r="C11687" t="inlineStr">
        <is>
          <t>Chuyên Viên Kiểm Toán Nội Bộ</t>
        </is>
      </c>
      <c r="D11687" t="inlineStr">
        <is>
          <t>Công ty Cổ phần Tập đoàn Golden Gate</t>
        </is>
      </c>
      <c r="E11687" t="inlineStr">
        <is>
          <t>Thương lượng</t>
        </is>
      </c>
      <c r="F11687" t="inlineStr">
        <is>
          <t>Hà Nội</t>
        </is>
      </c>
      <c r="G11687" t="inlineStr">
        <is>
          <t>Nhân viên</t>
        </is>
      </c>
      <c r="H11687" t="inlineStr">
        <is>
          <t>16/03/2026</t>
        </is>
      </c>
      <c r="I11687" t="inlineStr">
        <is>
          <t>15/04/2026</t>
        </is>
      </c>
      <c r="J11687" t="inlineStr">
        <is>
          <t>17/03/2026</t>
        </is>
      </c>
      <c r="K11687" t="inlineStr">
        <is>
          <t>N/A</t>
        </is>
      </c>
      <c r="L11687" t="inlineStr">
        <is>
          <t>Kiểm Toán Nội Bộ, Internal Audit, Phân Tích Dữ Liệu, Kiểm Toán, Phân Tích Rủi Ro</t>
        </is>
      </c>
      <c r="M11687" t="inlineStr">
        <is>
          <t>Bonus, Laptop, Vouchers</t>
        </is>
      </c>
      <c r="N11687" s="8">
        <f>HYPERLINK("https://www.vietnamworks.com/chuyen-vien-kiem-toan-noi-bo-102--2024300-jv","Xem chi tiết")</f>
        <v/>
      </c>
    </row>
    <row r="11688">
      <c r="B11688" s="9" t="n">
        <v>11686</v>
      </c>
      <c r="C11688" s="10" t="inlineStr">
        <is>
          <t>Equipment Engineer</t>
        </is>
      </c>
      <c r="D11688" s="10" t="inlineStr">
        <is>
          <t>Công Ty TNHH Universal Scientific Industrial Việt Nam (USI Vietnam)</t>
        </is>
      </c>
      <c r="E11688" s="10" t="inlineStr">
        <is>
          <t>Thương lượng</t>
        </is>
      </c>
      <c r="F11688" s="10" t="inlineStr">
        <is>
          <t>Hải Phòng</t>
        </is>
      </c>
      <c r="G11688" s="10" t="inlineStr">
        <is>
          <t>Nhân viên</t>
        </is>
      </c>
      <c r="H11688" s="10" t="inlineStr">
        <is>
          <t>16/03/2026</t>
        </is>
      </c>
      <c r="I11688" s="10" t="inlineStr">
        <is>
          <t>15/04/2026</t>
        </is>
      </c>
      <c r="J11688" s="10" t="inlineStr">
        <is>
          <t>17/03/2026</t>
        </is>
      </c>
      <c r="K11688" s="10" t="inlineStr">
        <is>
          <t>N/A</t>
        </is>
      </c>
      <c r="L11688" s="10" t="inlineStr">
        <is>
          <t>Machine Control, English, Equipment Engineer, SMT\r\r, SPI</t>
        </is>
      </c>
      <c r="M11688" s="10" t="inlineStr">
        <is>
          <t>Bonus, Training, Laptop</t>
        </is>
      </c>
      <c r="N11688" s="11">
        <f>HYPERLINK("https://www.vietnamworks.com/equipment-engineer-2024293-jv","Xem chi tiết")</f>
        <v/>
      </c>
      <c r="O11688" s="10" t="n"/>
    </row>
    <row r="11689">
      <c r="B11689" s="7" t="n">
        <v>11687</v>
      </c>
      <c r="C11689" t="inlineStr">
        <is>
          <t>Chuyên Viên Kế Toán Tổng Hợp</t>
        </is>
      </c>
      <c r="D11689" t="inlineStr">
        <is>
          <t>TỔNG CÔNG TY CỔ PHẦN ĐỊA ỐC SÀI GÒN (SAIGONRES GROUP)</t>
        </is>
      </c>
      <c r="E11689" t="inlineStr">
        <is>
          <t>20tr-30tr ₫/tháng</t>
        </is>
      </c>
      <c r="F11689" t="inlineStr">
        <is>
          <t>Hồ Chí Minh</t>
        </is>
      </c>
      <c r="G11689" t="inlineStr">
        <is>
          <t>Nhân viên</t>
        </is>
      </c>
      <c r="H11689" t="inlineStr">
        <is>
          <t>16/03/2026</t>
        </is>
      </c>
      <c r="I11689" t="inlineStr">
        <is>
          <t>15/04/2026</t>
        </is>
      </c>
      <c r="J11689" t="inlineStr">
        <is>
          <t>17/03/2026</t>
        </is>
      </c>
      <c r="K11689" t="inlineStr">
        <is>
          <t>N/A</t>
        </is>
      </c>
      <c r="L11689" t="inlineStr">
        <is>
          <t>Báo Cáo Tài Chính, Báo Cáo Tổng Hợp, Hạch Toán, Luật Thuế, VAS</t>
        </is>
      </c>
      <c r="M11689" t="inlineStr">
        <is>
          <t>Bonus, Healthcare Plan, Training, Awards, Travel Opportunities</t>
        </is>
      </c>
      <c r="N11689" s="8">
        <f>HYPERLINK("https://www.vietnamworks.com/chuyen-vien-ke-toan-tong-hop-2024282-jv","Xem chi tiết")</f>
        <v/>
      </c>
    </row>
    <row r="11690">
      <c r="B11690" s="9" t="n">
        <v>11688</v>
      </c>
      <c r="C11690" s="10" t="inlineStr">
        <is>
          <t>Sea Freight Sales Manager (Logistics) - Attractive Commission</t>
        </is>
      </c>
      <c r="D11690" s="10" t="inlineStr">
        <is>
          <t>Công Ty TNHH Logistics Skygo</t>
        </is>
      </c>
      <c r="E11690" s="10" t="inlineStr">
        <is>
          <t>Thương lượng</t>
        </is>
      </c>
      <c r="F11690" s="10" t="inlineStr">
        <is>
          <t>Hồ Chí Minh</t>
        </is>
      </c>
      <c r="G11690" s="10" t="inlineStr">
        <is>
          <t>Trưởng phòng</t>
        </is>
      </c>
      <c r="H11690" s="10" t="inlineStr">
        <is>
          <t>16/03/2026</t>
        </is>
      </c>
      <c r="I11690" s="10" t="inlineStr">
        <is>
          <t>15/04/2026</t>
        </is>
      </c>
      <c r="J11690" s="10" t="inlineStr">
        <is>
          <t>17/03/2026</t>
        </is>
      </c>
      <c r="K11690" s="10" t="inlineStr">
        <is>
          <t>N/A</t>
        </is>
      </c>
      <c r="L11690" s="10" t="inlineStr">
        <is>
          <t>Price Negotiation, Relationship Maintaining, Sales Management, Sales Strategy, Sea Freight</t>
        </is>
      </c>
      <c r="M11690" s="10" t="inlineStr">
        <is>
          <t>Bonus, Others</t>
        </is>
      </c>
      <c r="N11690" s="11">
        <f>HYPERLINK("https://www.vietnamworks.com/sea-freight-sales-manager-logistics-attractive-commission-2024301-jv","Xem chi tiết")</f>
        <v/>
      </c>
      <c r="O11690" s="10" t="n"/>
    </row>
    <row r="11691">
      <c r="B11691" s="7" t="n">
        <v>11689</v>
      </c>
      <c r="C11691" t="inlineStr">
        <is>
          <t>Chuyên Viên Pháp Chế (Legal Executive)</t>
        </is>
      </c>
      <c r="D11691" t="inlineStr">
        <is>
          <t>TỔNG CÔNG TY CỔ PHẦN ĐỊA ỐC SÀI GÒN (SAIGONRES GROUP)</t>
        </is>
      </c>
      <c r="E11691" t="inlineStr">
        <is>
          <t>19tr-24tr ₫/tháng</t>
        </is>
      </c>
      <c r="F11691" t="inlineStr">
        <is>
          <t>Hồ Chí Minh</t>
        </is>
      </c>
      <c r="G11691" t="inlineStr">
        <is>
          <t>Nhân viên</t>
        </is>
      </c>
      <c r="H11691" t="inlineStr">
        <is>
          <t>16/03/2026</t>
        </is>
      </c>
      <c r="I11691" t="inlineStr">
        <is>
          <t>15/04/2026</t>
        </is>
      </c>
      <c r="J11691" t="inlineStr">
        <is>
          <t>17/03/2026</t>
        </is>
      </c>
      <c r="K11691" t="inlineStr">
        <is>
          <t>N/A</t>
        </is>
      </c>
      <c r="L11691" t="inlineStr">
        <is>
          <t>Giải Quyết Tranh Chấp, Pháp Lý Doanh Nghiệp, Soạn Thảo Hợp Đồng, Tiếng Anh, Tư Vấn Pháp Lý</t>
        </is>
      </c>
      <c r="M11691" t="inlineStr">
        <is>
          <t>Bonus, Healthcare Plan, Training, Awards, Travel Opportunities</t>
        </is>
      </c>
      <c r="N11691" s="8">
        <f>HYPERLINK("https://www.vietnamworks.com/chuyen-vien-phap-che-legal-executive-2024297-jv","Xem chi tiết")</f>
        <v/>
      </c>
    </row>
    <row r="11692">
      <c r="B11692" s="9" t="n">
        <v>11690</v>
      </c>
      <c r="C11692" s="10" t="inlineStr">
        <is>
          <t>Air Freight Sales Manager (Logistics) - Attractive Commission</t>
        </is>
      </c>
      <c r="D11692" s="10" t="inlineStr">
        <is>
          <t>Công Ty TNHH Logistics Skygo</t>
        </is>
      </c>
      <c r="E11692" s="10" t="inlineStr">
        <is>
          <t>Thương lượng</t>
        </is>
      </c>
      <c r="F11692" s="10" t="inlineStr">
        <is>
          <t>Hồ Chí Minh, Hà Nội</t>
        </is>
      </c>
      <c r="G11692" s="10" t="inlineStr">
        <is>
          <t>Trưởng phòng</t>
        </is>
      </c>
      <c r="H11692" s="10" t="inlineStr">
        <is>
          <t>16/03/2026</t>
        </is>
      </c>
      <c r="I11692" s="10" t="inlineStr">
        <is>
          <t>15/04/2026</t>
        </is>
      </c>
      <c r="J11692" s="10" t="inlineStr">
        <is>
          <t>17/03/2026</t>
        </is>
      </c>
      <c r="K11692" s="10" t="inlineStr">
        <is>
          <t>N/A</t>
        </is>
      </c>
      <c r="L11692" s="10" t="inlineStr">
        <is>
          <t>Freight Forwarding, Market Analysis, Negotiation Skills, Sales Strategy, Relationship Management</t>
        </is>
      </c>
      <c r="M11692" s="10" t="inlineStr">
        <is>
          <t>Bonus, Others</t>
        </is>
      </c>
      <c r="N11692" s="11">
        <f>HYPERLINK("https://www.vietnamworks.com/air-freight-sales-manager-logistics-attractive-commission-2024294-jv","Xem chi tiết")</f>
        <v/>
      </c>
      <c r="O11692" s="10" t="n"/>
    </row>
    <row r="11693">
      <c r="B11693" s="7" t="n">
        <v>11691</v>
      </c>
      <c r="C11693" t="inlineStr">
        <is>
          <t>Giảng Viên Cơ Hữu – Bác Sĩ Điều Trị</t>
        </is>
      </c>
      <c r="D11693" t="inlineStr">
        <is>
          <t>Đại học Tân Tạo</t>
        </is>
      </c>
      <c r="E11693" t="inlineStr">
        <is>
          <t>40tr-45tr ₫/tháng</t>
        </is>
      </c>
      <c r="F11693" t="inlineStr">
        <is>
          <t>Tây Ninh</t>
        </is>
      </c>
      <c r="G11693" t="inlineStr">
        <is>
          <t>Nhân viên</t>
        </is>
      </c>
      <c r="H11693" t="inlineStr">
        <is>
          <t>16/03/2026</t>
        </is>
      </c>
      <c r="I11693" t="inlineStr">
        <is>
          <t>15/04/2026</t>
        </is>
      </c>
      <c r="J11693" t="inlineStr">
        <is>
          <t>17/03/2026</t>
        </is>
      </c>
      <c r="K11693" t="inlineStr">
        <is>
          <t>N/A</t>
        </is>
      </c>
      <c r="L11693" t="inlineStr">
        <is>
          <t>Bác Sĩ Đa Khoa, Giảng Dạy, Nghiên Cứu Khoa Học, Sư Phạm, Y Dược</t>
        </is>
      </c>
      <c r="M11693" t="inlineStr">
        <is>
          <t>Healthcare Plan, Training, Others</t>
        </is>
      </c>
      <c r="N11693" s="8">
        <f>HYPERLINK("https://www.vietnamworks.com/giang-vien-co-huu-bac-si-djieu-tri-2024302-jv","Xem chi tiết")</f>
        <v/>
      </c>
    </row>
    <row r="11694">
      <c r="B11694" s="9" t="n">
        <v>11692</v>
      </c>
      <c r="C11694" s="10" t="inlineStr">
        <is>
          <t>Purchasing Specialist</t>
        </is>
      </c>
      <c r="D11694" s="10" t="inlineStr">
        <is>
          <t>Hayat Việt Nam</t>
        </is>
      </c>
      <c r="E11694" s="10" t="inlineStr">
        <is>
          <t>$$ 800-1,000 /tháng</t>
        </is>
      </c>
      <c r="F11694" s="10" t="inlineStr">
        <is>
          <t>Hồ Chí Minh</t>
        </is>
      </c>
      <c r="G11694" s="10" t="inlineStr">
        <is>
          <t>Nhân viên</t>
        </is>
      </c>
      <c r="H11694" s="10" t="inlineStr">
        <is>
          <t>16/03/2026</t>
        </is>
      </c>
      <c r="I11694" s="10" t="inlineStr">
        <is>
          <t>15/04/2026</t>
        </is>
      </c>
      <c r="J11694" s="10" t="inlineStr">
        <is>
          <t>17/03/2026</t>
        </is>
      </c>
      <c r="K11694" s="10" t="inlineStr">
        <is>
          <t>N/A</t>
        </is>
      </c>
      <c r="L11694" s="10" t="inlineStr">
        <is>
          <t>Direct Purchasing, Raw Materials, Supplier Sourcing, Negotiation, Overseas Purchase</t>
        </is>
      </c>
      <c r="M11694" s="10" t="inlineStr">
        <is>
          <t>Bonus, Healthcare Plan, Laptop</t>
        </is>
      </c>
      <c r="N11694" s="11">
        <f>HYPERLINK("https://www.vietnamworks.com/purchasing-specialist--2024296-jv","Xem chi tiết")</f>
        <v/>
      </c>
      <c r="O11694" s="10" t="n"/>
    </row>
    <row r="11695">
      <c r="B11695" s="7" t="n">
        <v>11693</v>
      </c>
      <c r="C11695" t="inlineStr">
        <is>
          <t>Trade Marketing Manager</t>
        </is>
      </c>
      <c r="D11695" t="inlineStr">
        <is>
          <t>Công Ty United Vision</t>
        </is>
      </c>
      <c r="E11695" t="inlineStr">
        <is>
          <t>Thương lượng</t>
        </is>
      </c>
      <c r="F11695" t="inlineStr">
        <is>
          <t>Hồ Chí Minh</t>
        </is>
      </c>
      <c r="G11695" t="inlineStr">
        <is>
          <t>Trưởng phòng</t>
        </is>
      </c>
      <c r="H11695" t="inlineStr">
        <is>
          <t>16/03/2026</t>
        </is>
      </c>
      <c r="I11695" t="inlineStr">
        <is>
          <t>15/04/2026</t>
        </is>
      </c>
      <c r="J11695" t="inlineStr">
        <is>
          <t>17/03/2026</t>
        </is>
      </c>
      <c r="K11695" t="inlineStr">
        <is>
          <t>N/A</t>
        </is>
      </c>
      <c r="L11695" t="inlineStr">
        <is>
          <t>Trade Marketing, Food and Beverage, Tiếng Anh, Marketing Planning, Marketing Budget Management</t>
        </is>
      </c>
      <c r="M11695" t="inlineStr">
        <is>
          <t>Bonus, Healthcare Plan, Canteen</t>
        </is>
      </c>
      <c r="N11695" s="8">
        <f>HYPERLINK("https://www.vietnamworks.com/trade-marketing-manager--2024287-jv","Xem chi tiết")</f>
        <v/>
      </c>
    </row>
    <row r="11696">
      <c r="B11696" s="9" t="n">
        <v>11694</v>
      </c>
      <c r="C11696" s="10" t="inlineStr">
        <is>
          <t>Kế Toán Tổng Hợp Nội Bộ</t>
        </is>
      </c>
      <c r="D11696" s="10" t="inlineStr">
        <is>
          <t>CÔNG TY CỔ PHẦN ADTEK TECHNOLOGY</t>
        </is>
      </c>
      <c r="E11696" s="10" t="inlineStr">
        <is>
          <t>Thương lượng</t>
        </is>
      </c>
      <c r="F11696" s="10" t="inlineStr">
        <is>
          <t>Hồ Chí Minh</t>
        </is>
      </c>
      <c r="G11696" s="10" t="inlineStr">
        <is>
          <t>Nhân viên</t>
        </is>
      </c>
      <c r="H11696" s="10" t="inlineStr">
        <is>
          <t>16/03/2026</t>
        </is>
      </c>
      <c r="I11696" s="10" t="inlineStr">
        <is>
          <t>15/04/2026</t>
        </is>
      </c>
      <c r="J11696" s="10" t="inlineStr">
        <is>
          <t>17/03/2026</t>
        </is>
      </c>
      <c r="K11696" s="10" t="inlineStr">
        <is>
          <t>N/A</t>
        </is>
      </c>
      <c r="L11696" s="10" t="inlineStr">
        <is>
          <t>Kế Toán, Phân Tích Tài Chính, Lập Báo Cáo, Kế Toán Thuế, Thuế</t>
        </is>
      </c>
      <c r="M11696" s="10" t="inlineStr">
        <is>
          <t>Bonus, Travel Opportunities, Others</t>
        </is>
      </c>
      <c r="N11696" s="11">
        <f>HYPERLINK("https://www.vietnamworks.com/ke-toan-tong-hop-noi-bo-2024312-jv","Xem chi tiết")</f>
        <v/>
      </c>
      <c r="O11696" s="10" t="n"/>
    </row>
    <row r="11697">
      <c r="B11697" s="7" t="n">
        <v>11695</v>
      </c>
      <c r="C11697" t="inlineStr">
        <is>
          <t>Nhân Viên Kinh Doanh Xe Tải (Thu Nhập Không Giới Hạn) - Làm Việc 4 Ngày/ Tuần</t>
        </is>
      </c>
      <c r="D11697" t="inlineStr">
        <is>
          <t>CÔNG TY CỔ PHẦN ĐÔNG PHÁT VIỆT NAM</t>
        </is>
      </c>
      <c r="E11697" t="inlineStr">
        <is>
          <t>Thương lượng</t>
        </is>
      </c>
      <c r="F11697" t="inlineStr">
        <is>
          <t>Hà Nội, Hòa Bình</t>
        </is>
      </c>
      <c r="G11697" t="inlineStr">
        <is>
          <t>Nhân viên</t>
        </is>
      </c>
      <c r="H11697" t="inlineStr">
        <is>
          <t>16/03/2026</t>
        </is>
      </c>
      <c r="I11697" t="inlineStr">
        <is>
          <t>15/04/2026</t>
        </is>
      </c>
      <c r="J11697" t="inlineStr">
        <is>
          <t>17/03/2026</t>
        </is>
      </c>
      <c r="K11697" t="inlineStr">
        <is>
          <t>N/A</t>
        </is>
      </c>
      <c r="L11697" t="inlineStr">
        <is>
          <t>Bán Xe Ô Tô, Bán hàng, Kinh Doanh, Ô Tô, Tư Vấn</t>
        </is>
      </c>
      <c r="M11697" t="inlineStr">
        <is>
          <t>Bonus, Healthcare Plan, Training, Others</t>
        </is>
      </c>
      <c r="N11697" s="8">
        <f>HYPERLINK("https://www.vietnamworks.com/nhan-vien-kinh-doanh-xe-tai-thu-nhap-khong-gioi-han-lam-viec-4-ngay-tuan-2024307-jv","Xem chi tiết")</f>
        <v/>
      </c>
    </row>
    <row r="11698">
      <c r="B11698" s="9" t="n">
        <v>11696</v>
      </c>
      <c r="C11698" s="10" t="inlineStr">
        <is>
          <t>Chuyên Viên Chính Tuyển Dụng (Mảng Tài Chính)</t>
        </is>
      </c>
      <c r="D11698" s="10" t="inlineStr">
        <is>
          <t>CÔNG TY CỔ PHẦN TẬP ĐOÀN ĐẦU TƯ EMIR</t>
        </is>
      </c>
      <c r="E11698" s="10" t="inlineStr">
        <is>
          <t>$$ 500-900 /tháng</t>
        </is>
      </c>
      <c r="F11698" s="10" t="inlineStr">
        <is>
          <t>Hà Nội</t>
        </is>
      </c>
      <c r="G11698" s="10" t="inlineStr">
        <is>
          <t>Nhân viên</t>
        </is>
      </c>
      <c r="H11698" s="10" t="inlineStr">
        <is>
          <t>16/03/2026</t>
        </is>
      </c>
      <c r="I11698" s="10" t="inlineStr">
        <is>
          <t>15/04/2026</t>
        </is>
      </c>
      <c r="J11698" s="10" t="inlineStr">
        <is>
          <t>17/03/2026</t>
        </is>
      </c>
      <c r="K11698" s="10" t="inlineStr">
        <is>
          <t>N/A</t>
        </is>
      </c>
      <c r="L11698" s="10" t="inlineStr">
        <is>
          <t>Tuyển Dụng, Ngân hàng, Tài Chính, Phỏng Vấn Tuyển Dụng, Tạo Nguồn Tuyển Dụng</t>
        </is>
      </c>
      <c r="M11698" s="10" t="inlineStr">
        <is>
          <t>Bonus, Training, Travel Opportunities</t>
        </is>
      </c>
      <c r="N11698" s="11">
        <f>HYPERLINK("https://www.vietnamworks.com/chuyen-vien-chinh-tuyen-dung-mang-tai-chinh-2024309-jv","Xem chi tiết")</f>
        <v/>
      </c>
      <c r="O11698" s="10" t="n"/>
    </row>
    <row r="11699">
      <c r="B11699" s="7" t="n">
        <v>11697</v>
      </c>
      <c r="C11699" t="inlineStr">
        <is>
          <t>Nhân Viên Lập Trình Khuôn Ép Nhựa</t>
        </is>
      </c>
      <c r="D11699" t="inlineStr">
        <is>
          <t>CÔNG TY TNHH KISUNG VINA</t>
        </is>
      </c>
      <c r="E11699" t="inlineStr">
        <is>
          <t>Thương lượng</t>
        </is>
      </c>
      <c r="F11699" t="inlineStr">
        <is>
          <t>Hà Nội</t>
        </is>
      </c>
      <c r="G11699" t="inlineStr">
        <is>
          <t>Nhân viên</t>
        </is>
      </c>
      <c r="H11699" t="inlineStr">
        <is>
          <t>16/03/2026</t>
        </is>
      </c>
      <c r="I11699" t="inlineStr">
        <is>
          <t>15/04/2026</t>
        </is>
      </c>
      <c r="J11699" t="inlineStr">
        <is>
          <t>17/03/2026</t>
        </is>
      </c>
      <c r="K11699" t="inlineStr">
        <is>
          <t>N/A</t>
        </is>
      </c>
      <c r="L11699" t="inlineStr">
        <is>
          <t>Lập Trình Khuôn Ép Nhựa, Phay CNC, AutoCAD, Cơ Khí Chế Tạo, NX software</t>
        </is>
      </c>
      <c r="M11699" t="inlineStr">
        <is>
          <t>Bonus, Healthcare Plan, Others</t>
        </is>
      </c>
      <c r="N11699" s="8">
        <f>HYPERLINK("https://www.vietnamworks.com/nhan-vien-lap-trinh-khuon-ep-nhua-2024325-jv","Xem chi tiết")</f>
        <v/>
      </c>
    </row>
    <row r="11700">
      <c r="B11700" s="9" t="n">
        <v>11698</v>
      </c>
      <c r="C11700" s="10" t="inlineStr">
        <is>
          <t>Chuyên Viên Hải Quan</t>
        </is>
      </c>
      <c r="D11700" s="10" t="inlineStr">
        <is>
          <t>CÔNG TY TNHH CÔNG NGHỆ VÀ CHIẾU SÁNG NVC VIỆT NAM</t>
        </is>
      </c>
      <c r="E11700" s="10" t="inlineStr">
        <is>
          <t>15tr-25tr ₫/tháng</t>
        </is>
      </c>
      <c r="F11700" s="10" t="inlineStr">
        <is>
          <t>Bắc Ninh</t>
        </is>
      </c>
      <c r="G11700" s="10" t="inlineStr">
        <is>
          <t>Nhân viên</t>
        </is>
      </c>
      <c r="H11700" s="10" t="inlineStr">
        <is>
          <t>16/03/2026</t>
        </is>
      </c>
      <c r="I11700" s="10" t="inlineStr">
        <is>
          <t>15/04/2026</t>
        </is>
      </c>
      <c r="J11700" s="10" t="inlineStr">
        <is>
          <t>17/03/2026</t>
        </is>
      </c>
      <c r="K11700" s="10" t="inlineStr">
        <is>
          <t>N/A</t>
        </is>
      </c>
      <c r="L11700" s="10" t="inlineStr">
        <is>
          <t>Chứng Từ Thanh Toán, Mua Hàng, Quản Lý Tồn Kho, Thủ Tục Hải Quan, Đàm Phán</t>
        </is>
      </c>
      <c r="M11700" s="10" t="inlineStr">
        <is>
          <t>Bonus</t>
        </is>
      </c>
      <c r="N11700" s="11">
        <f>HYPERLINK("https://www.vietnamworks.com/chuyen-vien-hai-quan--2024306-jv","Xem chi tiết")</f>
        <v/>
      </c>
      <c r="O11700" s="10" t="n"/>
    </row>
    <row r="11701">
      <c r="B11701" s="7" t="n">
        <v>11699</v>
      </c>
      <c r="C11701" t="inlineStr">
        <is>
          <t>Nhân Viên Phát Triển Sản Phẩm (Ngành Ống Nhựa)</t>
        </is>
      </c>
      <c r="D11701" t="inlineStr">
        <is>
          <t>Công Ty Cổ Phần Nhựa Bình Minh</t>
        </is>
      </c>
      <c r="E11701" t="inlineStr">
        <is>
          <t>$$ 450-700 /tháng</t>
        </is>
      </c>
      <c r="F11701" t="inlineStr">
        <is>
          <t>Hồ Chí Minh</t>
        </is>
      </c>
      <c r="G11701" t="inlineStr">
        <is>
          <t>Nhân viên</t>
        </is>
      </c>
      <c r="H11701" t="inlineStr">
        <is>
          <t>16/03/2026</t>
        </is>
      </c>
      <c r="I11701" t="inlineStr">
        <is>
          <t>15/04/2026</t>
        </is>
      </c>
      <c r="J11701" t="inlineStr">
        <is>
          <t>17/03/2026</t>
        </is>
      </c>
      <c r="K11701" t="inlineStr">
        <is>
          <t>N/A</t>
        </is>
      </c>
      <c r="L11701" t="inlineStr">
        <is>
          <t>Anh Văn Giao Tiếp, Phát Triển Sản Phẩm, Kinh Doanh Ống Nhựa</t>
        </is>
      </c>
      <c r="M11701" t="inlineStr">
        <is>
          <t>Bonus, Training, Canteen</t>
        </is>
      </c>
      <c r="N11701" s="8">
        <f>HYPERLINK("https://www.vietnamworks.com/nhan-vien-phat-trien-san-pham-nganh-ong-nhua--2024315-jv","Xem chi tiết")</f>
        <v/>
      </c>
    </row>
    <row r="11702">
      <c r="B11702" s="9" t="n">
        <v>11700</v>
      </c>
      <c r="C11702" s="10" t="inlineStr">
        <is>
          <t>Kỹ Sư Thiết Kế Điện (Electronic Design Engineer)</t>
        </is>
      </c>
      <c r="D11702" s="10" t="inlineStr">
        <is>
          <t>Công Ty TNHH Solar E</t>
        </is>
      </c>
      <c r="E11702" s="10" t="inlineStr">
        <is>
          <t>$$ 400-650 /tháng</t>
        </is>
      </c>
      <c r="F11702" s="10" t="inlineStr">
        <is>
          <t>Hồ Chí Minh</t>
        </is>
      </c>
      <c r="G11702" s="10" t="inlineStr">
        <is>
          <t>Mới Tốt Nghiệp</t>
        </is>
      </c>
      <c r="H11702" s="10" t="inlineStr">
        <is>
          <t>16/03/2026</t>
        </is>
      </c>
      <c r="I11702" s="10" t="inlineStr">
        <is>
          <t>15/04/2026</t>
        </is>
      </c>
      <c r="J11702" s="10" t="inlineStr">
        <is>
          <t>17/03/2026</t>
        </is>
      </c>
      <c r="K11702" s="10" t="inlineStr">
        <is>
          <t>N/A</t>
        </is>
      </c>
      <c r="L11702" s="10" t="inlineStr">
        <is>
          <t>Phân Tích Bản Vẽ, AutoCAD, Khảo Sát Hiện Trường, Thiết Kế Điện, Bóc Tách Khối Lượng</t>
        </is>
      </c>
      <c r="M11702" s="10" t="inlineStr">
        <is>
          <t>Bonus, Training, Mobile</t>
        </is>
      </c>
      <c r="N11702" s="11">
        <f>HYPERLINK("https://www.vietnamworks.com/ky-su-thiet-ke-dien-electronic-design-engineer--2024320-jv","Xem chi tiết")</f>
        <v/>
      </c>
      <c r="O11702" s="10" t="n"/>
    </row>
    <row r="11703">
      <c r="B11703" s="7" t="n">
        <v>11701</v>
      </c>
      <c r="C11703" t="inlineStr">
        <is>
          <t>Nhân Viên Dự Toán Công Trình - QS Executive</t>
        </is>
      </c>
      <c r="D11703" t="inlineStr">
        <is>
          <t>CÔNG TY TNHH SẢN XUẤT VÀ THƯƠNG MẠI QUÂN ĐẠT</t>
        </is>
      </c>
      <c r="E11703" t="inlineStr">
        <is>
          <t>Thương lượng</t>
        </is>
      </c>
      <c r="F11703" t="inlineStr">
        <is>
          <t>Hồ Chí Minh</t>
        </is>
      </c>
      <c r="G11703" t="inlineStr">
        <is>
          <t>Nhân viên</t>
        </is>
      </c>
      <c r="H11703" t="inlineStr">
        <is>
          <t>16/03/2026</t>
        </is>
      </c>
      <c r="I11703" t="inlineStr">
        <is>
          <t>15/04/2026</t>
        </is>
      </c>
      <c r="J11703" t="inlineStr">
        <is>
          <t>17/03/2026</t>
        </is>
      </c>
      <c r="K11703" t="inlineStr">
        <is>
          <t>N/A</t>
        </is>
      </c>
      <c r="L11703" t="inlineStr">
        <is>
          <t>Quantity Surveyor, QS, Opera, Đấu Thầu</t>
        </is>
      </c>
      <c r="M11703" t="inlineStr">
        <is>
          <t>Bonus, Healthcare Plan, Travel Opportunities</t>
        </is>
      </c>
      <c r="N11703" s="8">
        <f>HYPERLINK("https://www.vietnamworks.com/nhan-vien-du-toan-cong-trinh-qs-executive--2024308-jv","Xem chi tiết")</f>
        <v/>
      </c>
    </row>
    <row r="11704">
      <c r="B11704" s="9" t="n">
        <v>11702</v>
      </c>
      <c r="C11704" s="10" t="inlineStr">
        <is>
          <t>Kế Toán Công Nợ</t>
        </is>
      </c>
      <c r="D11704" s="10" t="inlineStr">
        <is>
          <t>Công Ty TNHH Intage Việt Nam</t>
        </is>
      </c>
      <c r="E11704" s="10" t="inlineStr">
        <is>
          <t>Thương lượng</t>
        </is>
      </c>
      <c r="F11704" s="10" t="inlineStr">
        <is>
          <t>Hồ Chí Minh</t>
        </is>
      </c>
      <c r="G11704" s="10" t="inlineStr">
        <is>
          <t>Nhân viên</t>
        </is>
      </c>
      <c r="H11704" s="10" t="inlineStr">
        <is>
          <t>16/03/2026</t>
        </is>
      </c>
      <c r="I11704" s="10" t="inlineStr">
        <is>
          <t>15/04/2026</t>
        </is>
      </c>
      <c r="J11704" s="10" t="inlineStr">
        <is>
          <t>17/03/2026</t>
        </is>
      </c>
      <c r="K11704" s="10" t="inlineStr">
        <is>
          <t>N/A</t>
        </is>
      </c>
      <c r="L11704" s="10" t="inlineStr">
        <is>
          <t>Công Nợ, Kế Toán, Kiểm Toán, Accounting Liabilities, Hoạch toán chi phí</t>
        </is>
      </c>
      <c r="M11704" s="10" t="inlineStr">
        <is>
          <t>Travel Opportunities</t>
        </is>
      </c>
      <c r="N11704" s="11">
        <f>HYPERLINK("https://www.vietnamworks.com/ke-toan-cong-no-2024290-jv","Xem chi tiết")</f>
        <v/>
      </c>
      <c r="O11704" s="10" t="n"/>
    </row>
    <row r="11705">
      <c r="B11705" s="7" t="n">
        <v>11703</v>
      </c>
      <c r="C11705" t="inlineStr">
        <is>
          <t>Phiên Dịch Viên Tiếng Trung</t>
        </is>
      </c>
      <c r="D11705" t="inlineStr">
        <is>
          <t>Nidec Instruments (Hanoi) Corporation</t>
        </is>
      </c>
      <c r="E11705" t="inlineStr">
        <is>
          <t>Thương lượng</t>
        </is>
      </c>
      <c r="F11705" t="inlineStr">
        <is>
          <t>Hà Nội</t>
        </is>
      </c>
      <c r="G11705" t="inlineStr">
        <is>
          <t>Nhân viên</t>
        </is>
      </c>
      <c r="H11705" t="inlineStr">
        <is>
          <t>16/03/2026</t>
        </is>
      </c>
      <c r="I11705" t="inlineStr">
        <is>
          <t>15/04/2026</t>
        </is>
      </c>
      <c r="J11705" t="inlineStr">
        <is>
          <t>17/03/2026</t>
        </is>
      </c>
      <c r="K11705" t="inlineStr">
        <is>
          <t>N/A</t>
        </is>
      </c>
      <c r="L11705" t="inlineStr">
        <is>
          <t>Tiếng Trung, Biên Phiên Dịch Tiếng Trung, Biên Phiên Dịch, Phiên Dịch, Translation</t>
        </is>
      </c>
      <c r="M11705" t="inlineStr">
        <is>
          <t>Bonus, Healthcare Plan, Travel Opportunities</t>
        </is>
      </c>
      <c r="N11705" s="8">
        <f>HYPERLINK("https://www.vietnamworks.com/phien-dich-vien-tieng-trung--2024328-jv","Xem chi tiết")</f>
        <v/>
      </c>
    </row>
    <row r="11706">
      <c r="B11706" s="9" t="n">
        <v>11704</v>
      </c>
      <c r="C11706" s="10" t="inlineStr">
        <is>
          <t>Kỹ Sư QS - Kỹ Sư Phụ Trách Khối Lượng, Hồ Sơ</t>
        </is>
      </c>
      <c r="D11706" s="10" t="inlineStr">
        <is>
          <t>CÔNG TY TNHH XÂY DỰNG VÀ THƯƠNG MẠI PHƯƠNG HƯNG</t>
        </is>
      </c>
      <c r="E11706" s="10" t="inlineStr">
        <is>
          <t>Thương lượng</t>
        </is>
      </c>
      <c r="F11706" s="10" t="inlineStr">
        <is>
          <t>Hà Nội</t>
        </is>
      </c>
      <c r="G11706" s="10" t="inlineStr">
        <is>
          <t>Nhân viên</t>
        </is>
      </c>
      <c r="H11706" s="10" t="inlineStr">
        <is>
          <t>16/03/2026</t>
        </is>
      </c>
      <c r="I11706" s="10" t="inlineStr">
        <is>
          <t>15/04/2026</t>
        </is>
      </c>
      <c r="J11706" s="10" t="inlineStr">
        <is>
          <t>17/03/2026</t>
        </is>
      </c>
      <c r="K11706" s="10" t="inlineStr">
        <is>
          <t>N/A</t>
        </is>
      </c>
      <c r="L11706" s="10" t="inlineStr">
        <is>
          <t>Kinh Tế Xây Dựng, Kỹ Thuật Xây Dựng, Dự Toán Bóc Tách, AutoCAD, Quantity Surveyor Management</t>
        </is>
      </c>
      <c r="M11706" s="10" t="inlineStr">
        <is>
          <t>Bonus, Healthcare Plan, Training, Others</t>
        </is>
      </c>
      <c r="N11706" s="11">
        <f>HYPERLINK("https://www.vietnamworks.com/ky-su-qs-ky-su-phu-trach-khoi-luong-ho-so-2024318-jv","Xem chi tiết")</f>
        <v/>
      </c>
      <c r="O11706" s="10" t="n"/>
    </row>
    <row r="11707">
      <c r="B11707" s="7" t="n">
        <v>11705</v>
      </c>
      <c r="C11707" t="inlineStr">
        <is>
          <t>Nhân Viên Phát Triển Dự Án/ Hệ Thống Phân Phối</t>
        </is>
      </c>
      <c r="D11707" t="inlineStr">
        <is>
          <t>Công Ty Cổ Phần Nhựa Bình Minh</t>
        </is>
      </c>
      <c r="E11707" t="inlineStr">
        <is>
          <t>Từ $ 450 /tháng</t>
        </is>
      </c>
      <c r="F11707" t="inlineStr">
        <is>
          <t>Hồ Chí Minh</t>
        </is>
      </c>
      <c r="G11707" t="inlineStr">
        <is>
          <t>Nhân viên</t>
        </is>
      </c>
      <c r="H11707" t="inlineStr">
        <is>
          <t>16/03/2026</t>
        </is>
      </c>
      <c r="I11707" t="inlineStr">
        <is>
          <t>15/04/2026</t>
        </is>
      </c>
      <c r="J11707" t="inlineStr">
        <is>
          <t>17/03/2026</t>
        </is>
      </c>
      <c r="K11707" t="inlineStr">
        <is>
          <t>N/A</t>
        </is>
      </c>
      <c r="L11707" t="inlineStr">
        <is>
          <t>Anh Văn Giao Tiếp, Sẵn Sàng Đi Công Tác, Kinh Doanh Ống Nhựa</t>
        </is>
      </c>
      <c r="M11707" t="inlineStr">
        <is>
          <t>Bonus, Training, Canteen</t>
        </is>
      </c>
      <c r="N11707" s="8">
        <f>HYPERLINK("https://www.vietnamworks.com/nhan-vien-phat-trien-du-an-he-thong-phan-phoi--2024317-jv","Xem chi tiết")</f>
        <v/>
      </c>
    </row>
    <row r="11708">
      <c r="B11708" s="9" t="n">
        <v>11706</v>
      </c>
      <c r="C11708" s="10" t="inlineStr">
        <is>
          <t>Nhân Viên Sáng Tạo Nội Dung</t>
        </is>
      </c>
      <c r="D11708" s="10" t="inlineStr">
        <is>
          <t>CÔNG TY CP PHÁT TRIỂN TÀI NĂNG VĂN HÓA NGHỆ THUẬT VIỆT NAM V-CULTURE TALENTS</t>
        </is>
      </c>
      <c r="E11708" s="10" t="inlineStr">
        <is>
          <t>Từ $ 500 /tháng</t>
        </is>
      </c>
      <c r="F11708" s="10" t="inlineStr">
        <is>
          <t>Hà Nội</t>
        </is>
      </c>
      <c r="G11708" s="10" t="inlineStr">
        <is>
          <t>Nhân viên</t>
        </is>
      </c>
      <c r="H11708" s="10" t="inlineStr">
        <is>
          <t>16/03/2026</t>
        </is>
      </c>
      <c r="I11708" s="10" t="inlineStr">
        <is>
          <t>15/04/2026</t>
        </is>
      </c>
      <c r="J11708" s="10" t="inlineStr">
        <is>
          <t>17/03/2026</t>
        </is>
      </c>
      <c r="K11708" s="10" t="inlineStr">
        <is>
          <t>N/A</t>
        </is>
      </c>
      <c r="L11708" s="10" t="inlineStr">
        <is>
          <t>Content Creation, Sáng Tạo Nội Dung, Truyền Thông</t>
        </is>
      </c>
      <c r="M11708" s="10" t="inlineStr">
        <is>
          <t>Bonus, Healthcare Plan, Vouchers</t>
        </is>
      </c>
      <c r="N11708" s="11">
        <f>HYPERLINK("https://www.vietnamworks.com/nhan-vien-sang-tao-noi-dung--2024329-jv","Xem chi tiết")</f>
        <v/>
      </c>
      <c r="O11708" s="10" t="n"/>
    </row>
    <row r="11709">
      <c r="B11709" s="7" t="n">
        <v>11707</v>
      </c>
      <c r="C11709" t="inlineStr">
        <is>
          <t>Nhân Viên Quản Lý Đối Ứng ISO 9001, IATF 16949 kiêm Phiên Dịch Tiếng Nhật</t>
        </is>
      </c>
      <c r="D11709" t="inlineStr">
        <is>
          <t>Công Ty TNHH Kyocera Việt Nam</t>
        </is>
      </c>
      <c r="E11709" t="inlineStr">
        <is>
          <t>Thương lượng</t>
        </is>
      </c>
      <c r="F11709" t="inlineStr">
        <is>
          <t>Hưng Yên, Hải Dương, Hà Nội</t>
        </is>
      </c>
      <c r="G11709" t="inlineStr">
        <is>
          <t>Nhân viên</t>
        </is>
      </c>
      <c r="H11709" t="inlineStr">
        <is>
          <t>16/03/2026</t>
        </is>
      </c>
      <c r="I11709" t="inlineStr">
        <is>
          <t>15/04/2026</t>
        </is>
      </c>
      <c r="J11709" t="inlineStr">
        <is>
          <t>17/03/2026</t>
        </is>
      </c>
      <c r="K11709" t="inlineStr">
        <is>
          <t>N/A</t>
        </is>
      </c>
      <c r="L11709" t="inlineStr">
        <is>
          <t>Tiếng Nhật N2, Biên Phiên Dịch Tiếng Nhật, Chất Lượng Sản Phẩm, Hành Chính Phiên Dịch, Quản Lý Sản Xuất</t>
        </is>
      </c>
      <c r="M11709" t="inlineStr">
        <is>
          <t>Bonus, Travel Opportunities, Transportation</t>
        </is>
      </c>
      <c r="N11709" s="8">
        <f>HYPERLINK("https://www.vietnamworks.com/nhan-vien-quan-ly-doi-ung-iso-9001-iatf-16949-kiem-phien-dich-tieng-nhat-2024326-jv","Xem chi tiết")</f>
        <v/>
      </c>
    </row>
    <row r="11710">
      <c r="B11710" s="9" t="n">
        <v>11708</v>
      </c>
      <c r="C11710" s="10" t="inlineStr">
        <is>
          <t>Chuyên Viên Đầu Tư</t>
        </is>
      </c>
      <c r="D11710" s="10" t="inlineStr">
        <is>
          <t>Công Ty Cổ Phần Thaiholdings</t>
        </is>
      </c>
      <c r="E11710" s="10" t="inlineStr">
        <is>
          <t>Thương lượng</t>
        </is>
      </c>
      <c r="F11710" s="10" t="inlineStr">
        <is>
          <t>Hà Nội</t>
        </is>
      </c>
      <c r="G11710" s="10" t="inlineStr">
        <is>
          <t>Nhân viên</t>
        </is>
      </c>
      <c r="H11710" s="10" t="inlineStr">
        <is>
          <t>16/03/2026</t>
        </is>
      </c>
      <c r="I11710" s="10" t="inlineStr">
        <is>
          <t>15/04/2026</t>
        </is>
      </c>
      <c r="J11710" s="10" t="inlineStr">
        <is>
          <t>17/03/2026</t>
        </is>
      </c>
      <c r="K11710" s="10" t="inlineStr">
        <is>
          <t>N/A</t>
        </is>
      </c>
      <c r="L11710" s="10" t="inlineStr">
        <is>
          <t>Đầu Tư Tài Chính, Đầu Tư, Tài Chính, Bảo Hiểm Nhân Thọ</t>
        </is>
      </c>
      <c r="M11710" s="10" t="inlineStr">
        <is>
          <t>Bonus, Healthcare Plan, Team Activities</t>
        </is>
      </c>
      <c r="N11710" s="11">
        <f>HYPERLINK("https://www.vietnamworks.com/chuyen-vien-dau-tu--2024323-jv","Xem chi tiết")</f>
        <v/>
      </c>
      <c r="O11710" s="10" t="n"/>
    </row>
    <row r="11711">
      <c r="B11711" s="7" t="n">
        <v>11709</v>
      </c>
      <c r="C11711" t="inlineStr">
        <is>
          <t>Chuyên Viên Cao Cấp Mua Hàng (Food)</t>
        </is>
      </c>
      <c r="D11711" t="inlineStr">
        <is>
          <t>Công ty Cổ phần Tập đoàn Golden Gate</t>
        </is>
      </c>
      <c r="E11711" t="inlineStr">
        <is>
          <t>Thương lượng</t>
        </is>
      </c>
      <c r="F11711" t="inlineStr">
        <is>
          <t>Hồ Chí Minh, Hà Nội</t>
        </is>
      </c>
      <c r="G11711" t="inlineStr">
        <is>
          <t>Nhân viên</t>
        </is>
      </c>
      <c r="H11711" t="inlineStr">
        <is>
          <t>16/03/2026</t>
        </is>
      </c>
      <c r="I11711" t="inlineStr">
        <is>
          <t>15/04/2026</t>
        </is>
      </c>
      <c r="J11711" t="inlineStr">
        <is>
          <t>17/03/2026</t>
        </is>
      </c>
      <c r="K11711" t="inlineStr">
        <is>
          <t>N/A</t>
        </is>
      </c>
      <c r="L11711" t="inlineStr">
        <is>
          <t>Bán Hàng Thực Phẩm, Giao Tiếp Chủ Động, Kỹ năng đàm phán, Phân Tích Dữ Liệu, Quản Lý Nhà Cung Cấp</t>
        </is>
      </c>
      <c r="M11711" t="inlineStr">
        <is>
          <t>Bonus, Healthcare Plan, Others</t>
        </is>
      </c>
      <c r="N11711" s="8">
        <f>HYPERLINK("https://www.vietnamworks.com/chuyen-vien-cao-cap-mua-hang-food-2024316-jv","Xem chi tiết")</f>
        <v/>
      </c>
    </row>
    <row r="11712">
      <c r="B11712" s="9" t="n">
        <v>11710</v>
      </c>
      <c r="C11712" s="10" t="inlineStr">
        <is>
          <t>Nhân Viên Mua Hàng (Hợp Đồng 9 Tháng)</t>
        </is>
      </c>
      <c r="D11712" s="10" t="inlineStr">
        <is>
          <t>Shindengen Vietnam Co., Ltd</t>
        </is>
      </c>
      <c r="E11712" s="10" t="inlineStr">
        <is>
          <t>Thương lượng</t>
        </is>
      </c>
      <c r="F11712" s="10" t="inlineStr">
        <is>
          <t>Hưng Yên, Hà Nội, Hải Dương</t>
        </is>
      </c>
      <c r="G11712" s="10" t="inlineStr">
        <is>
          <t>Nhân viên</t>
        </is>
      </c>
      <c r="H11712" s="10" t="inlineStr">
        <is>
          <t>16/03/2026</t>
        </is>
      </c>
      <c r="I11712" s="10" t="inlineStr">
        <is>
          <t>15/04/2026</t>
        </is>
      </c>
      <c r="J11712" s="10" t="inlineStr">
        <is>
          <t>17/03/2026</t>
        </is>
      </c>
      <c r="K11712" s="10" t="inlineStr">
        <is>
          <t>N/A</t>
        </is>
      </c>
      <c r="L11712" s="10" t="inlineStr">
        <is>
          <t>Quản Lý Đặt Hàng, Tiếng Anh, Tiếng Nhật, Mua Hàng, Theo Dõi Đơn Hàng</t>
        </is>
      </c>
      <c r="M11712" s="10" t="inlineStr">
        <is>
          <t>Healthcare Plan, Training, Team Activities, Transportation, Others</t>
        </is>
      </c>
      <c r="N11712" s="11">
        <f>HYPERLINK("https://www.vietnamworks.com/nhan-vien-mua-hang-hop-djong-9-thang-2024324-jv","Xem chi tiết")</f>
        <v/>
      </c>
      <c r="O11712" s="10" t="n"/>
    </row>
    <row r="11713">
      <c r="B11713" s="7" t="n">
        <v>11711</v>
      </c>
      <c r="C11713" t="inlineStr">
        <is>
          <t>Chỉ Huy Trưởng Công Trình Cơ Điện M&amp;E ( Hạ Tầng KĐT)</t>
        </is>
      </c>
      <c r="D11713" t="inlineStr">
        <is>
          <t>Công Ty Cổ Phần Đầu Tư Phát Triển Và Ứng Dụng Toàn Cầu (IDA)</t>
        </is>
      </c>
      <c r="E11713" t="inlineStr">
        <is>
          <t>25tr-35tr ₫/tháng</t>
        </is>
      </c>
      <c r="F11713" t="inlineStr">
        <is>
          <t>Hà Nội</t>
        </is>
      </c>
      <c r="G11713" t="inlineStr">
        <is>
          <t>Nhân viên</t>
        </is>
      </c>
      <c r="H11713" t="inlineStr">
        <is>
          <t>16/03/2026</t>
        </is>
      </c>
      <c r="I11713" t="inlineStr">
        <is>
          <t>15/04/2026</t>
        </is>
      </c>
      <c r="J11713" t="inlineStr">
        <is>
          <t>17/03/2026</t>
        </is>
      </c>
      <c r="K11713" t="inlineStr">
        <is>
          <t>N/A</t>
        </is>
      </c>
      <c r="L11713" t="inlineStr">
        <is>
          <t>Kĩ Thuật Điện, Cấp Thoát Nước, Cơ Khí, M&amp;E, Điện tử</t>
        </is>
      </c>
      <c r="M11713" t="inlineStr">
        <is>
          <t>Bonus, Healthcare Plan, Paid Leave, Training, Others</t>
        </is>
      </c>
      <c r="N11713" s="8">
        <f>HYPERLINK("https://www.vietnamworks.com/chi-huy-truong-cong-trinh-co-djien-mande-ha-tang-kdjt-2024327-jv","Xem chi tiết")</f>
        <v/>
      </c>
    </row>
    <row r="11714">
      <c r="B11714" s="9" t="n">
        <v>11712</v>
      </c>
      <c r="C11714" s="10" t="inlineStr">
        <is>
          <t>UX/UI Designer</t>
        </is>
      </c>
      <c r="D11714" s="10" t="inlineStr">
        <is>
          <t>Công ty Cổ phần Tập đoàn Golden Gate</t>
        </is>
      </c>
      <c r="E11714" s="10" t="inlineStr">
        <is>
          <t>Thương lượng</t>
        </is>
      </c>
      <c r="F11714" s="10" t="inlineStr">
        <is>
          <t>Hồ Chí Minh, Hà Nội</t>
        </is>
      </c>
      <c r="G11714" s="10" t="inlineStr">
        <is>
          <t>Nhân viên</t>
        </is>
      </c>
      <c r="H11714" s="10" t="inlineStr">
        <is>
          <t>16/03/2026</t>
        </is>
      </c>
      <c r="I11714" s="10" t="inlineStr">
        <is>
          <t>15/04/2026</t>
        </is>
      </c>
      <c r="J11714" s="10" t="inlineStr">
        <is>
          <t>17/03/2026</t>
        </is>
      </c>
      <c r="K11714" s="10" t="inlineStr">
        <is>
          <t>N/A</t>
        </is>
      </c>
      <c r="L11714" s="10" t="inlineStr">
        <is>
          <t>Communication, Figma, Ga4, UI/UX, Usability Testing</t>
        </is>
      </c>
      <c r="M11714" s="10" t="inlineStr">
        <is>
          <t>Bonus, Healthcare Plan, Vouchers</t>
        </is>
      </c>
      <c r="N11714" s="11">
        <f>HYPERLINK("https://www.vietnamworks.com/uxui-designer-2024313-jv","Xem chi tiết")</f>
        <v/>
      </c>
      <c r="O11714" s="10" t="n"/>
    </row>
    <row r="11715">
      <c r="B11715" s="7" t="n">
        <v>11713</v>
      </c>
      <c r="C11715" t="inlineStr">
        <is>
          <t>Accounts Payable &amp; Billing Accountant</t>
        </is>
      </c>
      <c r="D11715" t="inlineStr">
        <is>
          <t>Thang Long Industrial Park (Vinh Phuc) Corporation</t>
        </is>
      </c>
      <c r="E11715" t="inlineStr">
        <is>
          <t>Thương lượng</t>
        </is>
      </c>
      <c r="F11715" t="inlineStr">
        <is>
          <t>Vĩnh Phúc</t>
        </is>
      </c>
      <c r="G11715" t="inlineStr">
        <is>
          <t>Nhân viên</t>
        </is>
      </c>
      <c r="H11715" t="inlineStr">
        <is>
          <t>16/03/2026</t>
        </is>
      </c>
      <c r="I11715" t="inlineStr">
        <is>
          <t>15/04/2026</t>
        </is>
      </c>
      <c r="J11715" t="inlineStr">
        <is>
          <t>17/03/2026</t>
        </is>
      </c>
      <c r="K11715" t="inlineStr">
        <is>
          <t>N/A</t>
        </is>
      </c>
      <c r="L11715" t="inlineStr">
        <is>
          <t>Finance, Invoicing Regulations, Accounting Software, Organizational skills, Account Payable</t>
        </is>
      </c>
      <c r="M11715" t="inlineStr">
        <is>
          <t>Bonus, Healthcare Plan, Training, Travel Opportunities, Team Activities, Others</t>
        </is>
      </c>
      <c r="N11715" s="8">
        <f>HYPERLINK("https://www.vietnamworks.com/accounts-payable-and-billing-accountant-2024333-jv","Xem chi tiết")</f>
        <v/>
      </c>
    </row>
    <row r="11716">
      <c r="B11716" s="9" t="n">
        <v>11714</v>
      </c>
      <c r="C11716" s="10" t="inlineStr">
        <is>
          <t>Trưởng Phòng Vận Tải</t>
        </is>
      </c>
      <c r="D11716" s="10" t="inlineStr">
        <is>
          <t>Công Ty TNHH Tiếp Vận Dasuka</t>
        </is>
      </c>
      <c r="E11716" s="10" t="inlineStr">
        <is>
          <t>Thương lượng</t>
        </is>
      </c>
      <c r="F11716" s="10" t="inlineStr">
        <is>
          <t>Bắc Ninh</t>
        </is>
      </c>
      <c r="G11716" s="10" t="inlineStr">
        <is>
          <t>Trưởng phòng</t>
        </is>
      </c>
      <c r="H11716" s="10" t="inlineStr">
        <is>
          <t>16/03/2026</t>
        </is>
      </c>
      <c r="I11716" s="10" t="inlineStr">
        <is>
          <t>15/04/2026</t>
        </is>
      </c>
      <c r="J11716" s="10" t="inlineStr">
        <is>
          <t>17/03/2026</t>
        </is>
      </c>
      <c r="K11716" s="10" t="inlineStr">
        <is>
          <t>N/A</t>
        </is>
      </c>
      <c r="L11716" s="10" t="inlineStr">
        <is>
          <t>Quản Lý Vận Tải, Logistics, Quản lý đội xe, TMS, Vận Tải Đường Bộ</t>
        </is>
      </c>
      <c r="M11716" s="10" t="inlineStr">
        <is>
          <t>Bonus, Healthcare Plan, Paid Leave, Training, Others</t>
        </is>
      </c>
      <c r="N11716" s="11">
        <f>HYPERLINK("https://www.vietnamworks.com/truong-phong-van-tai-2024330-jv","Xem chi tiết")</f>
        <v/>
      </c>
      <c r="O11716" s="10" t="n"/>
    </row>
    <row r="11717">
      <c r="B11717" s="7" t="n">
        <v>11715</v>
      </c>
      <c r="C11717" t="inlineStr">
        <is>
          <t>Kế Toán Trưởng</t>
        </is>
      </c>
      <c r="D11717" t="inlineStr">
        <is>
          <t>MC Advertising Co., Ltd</t>
        </is>
      </c>
      <c r="E11717" t="inlineStr">
        <is>
          <t>Thương lượng</t>
        </is>
      </c>
      <c r="F11717" t="inlineStr">
        <is>
          <t>Hồ Chí Minh</t>
        </is>
      </c>
      <c r="G11717" t="inlineStr">
        <is>
          <t>Trưởng phòng</t>
        </is>
      </c>
      <c r="H11717" t="inlineStr">
        <is>
          <t>16/03/2026</t>
        </is>
      </c>
      <c r="I11717" t="inlineStr">
        <is>
          <t>15/04/2026</t>
        </is>
      </c>
      <c r="J11717" t="inlineStr">
        <is>
          <t>17/03/2026</t>
        </is>
      </c>
      <c r="K11717" t="inlineStr">
        <is>
          <t>N/A</t>
        </is>
      </c>
      <c r="L11717" t="inlineStr">
        <is>
          <t>Financial Management, Quản Lý Tài Chính, Accounting Management, Tài Chính Kế Toán, Kế Toán</t>
        </is>
      </c>
      <c r="M11717" t="inlineStr">
        <is>
          <t>Bonus, Healthcare Plan, Travel Opportunities</t>
        </is>
      </c>
      <c r="N11717" s="8">
        <f>HYPERLINK("https://www.vietnamworks.com/ke-toan-truong--2024332-jv","Xem chi tiết")</f>
        <v/>
      </c>
    </row>
    <row r="11718">
      <c r="B11718" s="9" t="n">
        <v>11716</v>
      </c>
      <c r="C11718" s="10" t="inlineStr">
        <is>
          <t>Nhân Viên Chứng Từ XNK</t>
        </is>
      </c>
      <c r="D11718" s="10" t="inlineStr">
        <is>
          <t>T.c.line Vietnam CO., LTD</t>
        </is>
      </c>
      <c r="E11718" s="10" t="inlineStr">
        <is>
          <t>Thương lượng</t>
        </is>
      </c>
      <c r="F11718" s="10" t="inlineStr">
        <is>
          <t>Hà Nội</t>
        </is>
      </c>
      <c r="G11718" s="10" t="inlineStr">
        <is>
          <t>Nhân viên</t>
        </is>
      </c>
      <c r="H11718" s="10" t="inlineStr">
        <is>
          <t>16/03/2026</t>
        </is>
      </c>
      <c r="I11718" s="10" t="inlineStr">
        <is>
          <t>15/04/2026</t>
        </is>
      </c>
      <c r="J11718" s="10" t="inlineStr">
        <is>
          <t>17/03/2026</t>
        </is>
      </c>
      <c r="K11718" s="10" t="inlineStr">
        <is>
          <t>N/A</t>
        </is>
      </c>
      <c r="L11718" s="10" t="inlineStr">
        <is>
          <t>Forwarding, Chứng Từ Xuất Nhập Khẩu, Tiếng Anh, Vận Chuyển, Xử Lý Chứng Từ</t>
        </is>
      </c>
      <c r="M11718" s="10" t="inlineStr">
        <is>
          <t>Bonus, Healthcare Plan, Paid Leave, Training, Awards, Travel Opportunities, Canteen, Others</t>
        </is>
      </c>
      <c r="N11718" s="11">
        <f>HYPERLINK("https://www.vietnamworks.com/nhan-vien-chung-tu-xnk-2024353-jv","Xem chi tiết")</f>
        <v/>
      </c>
      <c r="O11718" s="10" t="n"/>
    </row>
    <row r="11719">
      <c r="B11719" s="7" t="n">
        <v>11717</v>
      </c>
      <c r="C11719" t="inlineStr">
        <is>
          <t>Account Manager Chuyên Activation, Event</t>
        </is>
      </c>
      <c r="D11719" t="inlineStr">
        <is>
          <t>MC Advertising Co., Ltd</t>
        </is>
      </c>
      <c r="E11719" t="inlineStr">
        <is>
          <t>Thương lượng</t>
        </is>
      </c>
      <c r="F11719" t="inlineStr">
        <is>
          <t>Hồ Chí Minh</t>
        </is>
      </c>
      <c r="G11719" t="inlineStr">
        <is>
          <t>Trưởng phòng</t>
        </is>
      </c>
      <c r="H11719" t="inlineStr">
        <is>
          <t>16/03/2026</t>
        </is>
      </c>
      <c r="I11719" t="inlineStr">
        <is>
          <t>15/04/2026</t>
        </is>
      </c>
      <c r="J11719" t="inlineStr">
        <is>
          <t>17/03/2026</t>
        </is>
      </c>
      <c r="K11719" t="inlineStr">
        <is>
          <t>N/A</t>
        </is>
      </c>
      <c r="L11719" t="inlineStr">
        <is>
          <t>Account Management, Agency &amp; Campaign Management, Tổ Chức Sự Kiện, Brand Activation &amp; Event Marketing, Below the Line (BTL) Marketing</t>
        </is>
      </c>
      <c r="M11719" t="inlineStr">
        <is>
          <t>Bonus, Healthcare Plan, Travel Opportunities</t>
        </is>
      </c>
      <c r="N11719" s="8">
        <f>HYPERLINK("https://www.vietnamworks.com/account-manager-chuyen-activation-event-2024331-jv","Xem chi tiết")</f>
        <v/>
      </c>
    </row>
    <row r="11720">
      <c r="B11720" s="9" t="n">
        <v>11718</v>
      </c>
      <c r="C11720" s="10" t="inlineStr">
        <is>
          <t>Nhân Viên Biên Tập Nội Dung</t>
        </is>
      </c>
      <c r="D11720" s="10" t="inlineStr">
        <is>
          <t>CÔNG TY CP PHÁT TRIỂN TÀI NĂNG VĂN HÓA NGHỆ THUẬT VIỆT NAM V-CULTURE TALENTS</t>
        </is>
      </c>
      <c r="E11720" s="10" t="inlineStr">
        <is>
          <t>Từ $ 500 /tháng</t>
        </is>
      </c>
      <c r="F11720" s="10" t="inlineStr">
        <is>
          <t>Hà Nội</t>
        </is>
      </c>
      <c r="G11720" s="10" t="inlineStr">
        <is>
          <t>Nhân viên</t>
        </is>
      </c>
      <c r="H11720" s="10" t="inlineStr">
        <is>
          <t>16/03/2026</t>
        </is>
      </c>
      <c r="I11720" s="10" t="inlineStr">
        <is>
          <t>15/04/2026</t>
        </is>
      </c>
      <c r="J11720" s="10" t="inlineStr">
        <is>
          <t>17/03/2026</t>
        </is>
      </c>
      <c r="K11720" s="10" t="inlineStr">
        <is>
          <t>N/A</t>
        </is>
      </c>
      <c r="L11720" s="10" t="inlineStr">
        <is>
          <t>Content Editing, Content Marketing, Content Writing</t>
        </is>
      </c>
      <c r="M11720" s="10" t="inlineStr">
        <is>
          <t>Bonus, Healthcare Plan, Vouchers</t>
        </is>
      </c>
      <c r="N11720" s="11">
        <f>HYPERLINK("https://www.vietnamworks.com/nhan-vien-bien-tap-noi-dung--2024338-jv","Xem chi tiết")</f>
        <v/>
      </c>
      <c r="O11720" s="10" t="n"/>
    </row>
    <row r="11721">
      <c r="B11721" s="7" t="n">
        <v>11719</v>
      </c>
      <c r="C11721" t="inlineStr">
        <is>
          <t>Nhân Viên QA (Quality Assurance Staff)</t>
        </is>
      </c>
      <c r="D11721" t="inlineStr">
        <is>
          <t>Công Ty TNHH Taishodo Việt Nam</t>
        </is>
      </c>
      <c r="E11721" t="inlineStr">
        <is>
          <t>Thương lượng</t>
        </is>
      </c>
      <c r="F11721" t="inlineStr">
        <is>
          <t>Hải Phòng, Hải Dương</t>
        </is>
      </c>
      <c r="G11721" t="inlineStr">
        <is>
          <t>Nhân viên</t>
        </is>
      </c>
      <c r="H11721" t="inlineStr">
        <is>
          <t>16/03/2026</t>
        </is>
      </c>
      <c r="I11721" t="inlineStr">
        <is>
          <t>31/03/2026</t>
        </is>
      </c>
      <c r="J11721" t="inlineStr">
        <is>
          <t>17/03/2026</t>
        </is>
      </c>
      <c r="K11721" t="inlineStr">
        <is>
          <t>N/A</t>
        </is>
      </c>
      <c r="L11721" t="inlineStr">
        <is>
          <t>Phân Tích Lỗi, Báo Cáo Chất Lượng, Cải Tiến Chất Lượng, Kiểm Soát Chất Lượng, Quản Lý Chất Lượng</t>
        </is>
      </c>
      <c r="M11721" t="inlineStr">
        <is>
          <t>Bonus, Healthcare Plan, Awards, Travel Opportunities, Team Activities, Others</t>
        </is>
      </c>
      <c r="N11721" s="8">
        <f>HYPERLINK("https://www.vietnamworks.com/nhan-vien-qa-quality-assurance-staff-2024335-jv","Xem chi tiết")</f>
        <v/>
      </c>
    </row>
    <row r="11722">
      <c r="B11722" s="9" t="n">
        <v>11720</v>
      </c>
      <c r="C11722" s="10" t="inlineStr">
        <is>
          <t>Trưởng Phòng Hành Chính Nhân Sự</t>
        </is>
      </c>
      <c r="D11722" s="10" t="inlineStr">
        <is>
          <t>CÔNG TY CỔ PHẦN LỘC AN GROUP</t>
        </is>
      </c>
      <c r="E11722" s="10" t="inlineStr">
        <is>
          <t>20tr-25tr ₫/tháng</t>
        </is>
      </c>
      <c r="F11722" s="10" t="inlineStr">
        <is>
          <t>Hà Nội</t>
        </is>
      </c>
      <c r="G11722" s="10" t="inlineStr">
        <is>
          <t>Trưởng phòng</t>
        </is>
      </c>
      <c r="H11722" s="10" t="inlineStr">
        <is>
          <t>16/03/2026</t>
        </is>
      </c>
      <c r="I11722" s="10" t="inlineStr">
        <is>
          <t>15/04/2026</t>
        </is>
      </c>
      <c r="J11722" s="10" t="inlineStr">
        <is>
          <t>17/03/2026</t>
        </is>
      </c>
      <c r="K11722" s="10" t="inlineStr">
        <is>
          <t>N/A</t>
        </is>
      </c>
      <c r="L11722" s="10" t="inlineStr">
        <is>
          <t>Trưởng phòng hành chính, Hành Chính Tổng Hợp, Hành Chính Nhân Sự, Nhân sự C&amp;B, Hành Chính</t>
        </is>
      </c>
      <c r="M11722" s="10" t="inlineStr">
        <is>
          <t>Bonus, Paid Leave, Others</t>
        </is>
      </c>
      <c r="N11722" s="11">
        <f>HYPERLINK("https://www.vietnamworks.com/truong-phong-hanh-chinh-nhan-su--2024339-jv","Xem chi tiết")</f>
        <v/>
      </c>
      <c r="O11722" s="10" t="n"/>
    </row>
    <row r="11723">
      <c r="B11723" s="7" t="n">
        <v>11721</v>
      </c>
      <c r="C11723" t="inlineStr">
        <is>
          <t>Deputy Manager - Sales, Agricultural Solutions (Highland &amp; Central)</t>
        </is>
      </c>
      <c r="D11723" t="inlineStr">
        <is>
          <t>BASF Vietnam Co., Ltd</t>
        </is>
      </c>
      <c r="E11723" t="inlineStr">
        <is>
          <t>Thương lượng</t>
        </is>
      </c>
      <c r="F11723" t="inlineStr">
        <is>
          <t>Đắk Lắk</t>
        </is>
      </c>
      <c r="G11723" t="inlineStr">
        <is>
          <t>Trưởng phòng</t>
        </is>
      </c>
      <c r="H11723" t="inlineStr">
        <is>
          <t>16/03/2026</t>
        </is>
      </c>
      <c r="I11723" t="inlineStr">
        <is>
          <t>31/03/2026</t>
        </is>
      </c>
      <c r="J11723" t="inlineStr">
        <is>
          <t>17/03/2026</t>
        </is>
      </c>
      <c r="K11723" t="inlineStr">
        <is>
          <t>N/A</t>
        </is>
      </c>
      <c r="L11723" t="inlineStr">
        <is>
          <t>Sales, Team Management, Agriculture, Communications, Customer Focus</t>
        </is>
      </c>
      <c r="M11723" t="inlineStr">
        <is>
          <t>Bonus, Healthcare Plan, Training</t>
        </is>
      </c>
      <c r="N11723" s="8">
        <f>HYPERLINK("https://www.vietnamworks.com/deputy-manager-sales-agricultural-solutions-highland-central-2024334-jv","Xem chi tiết")</f>
        <v/>
      </c>
    </row>
    <row r="11724">
      <c r="B11724" s="9" t="n">
        <v>11722</v>
      </c>
      <c r="C11724" s="10" t="inlineStr">
        <is>
          <t>Planning Specialist</t>
        </is>
      </c>
      <c r="D11724" s="10" t="inlineStr">
        <is>
          <t>Hanesbrands Inc. (HY Plant)</t>
        </is>
      </c>
      <c r="E11724" s="10" t="inlineStr">
        <is>
          <t>Thương lượng</t>
        </is>
      </c>
      <c r="F11724" s="10" t="inlineStr">
        <is>
          <t>Hưng Yên, Hà Nội</t>
        </is>
      </c>
      <c r="G11724" s="10" t="inlineStr">
        <is>
          <t>Nhân viên</t>
        </is>
      </c>
      <c r="H11724" s="10" t="inlineStr">
        <is>
          <t>16/03/2026</t>
        </is>
      </c>
      <c r="I11724" s="10" t="inlineStr">
        <is>
          <t>15/04/2026</t>
        </is>
      </c>
      <c r="J11724" s="10" t="inlineStr">
        <is>
          <t>17/03/2026</t>
        </is>
      </c>
      <c r="K11724" s="10" t="inlineStr">
        <is>
          <t>N/A</t>
        </is>
      </c>
      <c r="L11724" s="10" t="inlineStr">
        <is>
          <t>ERP System, Garment Production Planning, Industrial Engineering, Production Planning, Supply Chain Management</t>
        </is>
      </c>
      <c r="M11724" s="10" t="inlineStr">
        <is>
          <t>Healthcare Plan, Paid Leave, Transportation, Others</t>
        </is>
      </c>
      <c r="N11724" s="11">
        <f>HYPERLINK("https://www.vietnamworks.com/planning-specialist-2024347-jv","Xem chi tiết")</f>
        <v/>
      </c>
      <c r="O11724" s="10" t="n"/>
    </row>
    <row r="11725">
      <c r="B11725" s="7" t="n">
        <v>11723</v>
      </c>
      <c r="C11725" t="inlineStr">
        <is>
          <t>Director Of Finance</t>
        </is>
      </c>
      <c r="D11725" t="inlineStr">
        <is>
          <t>Corona Resort &amp; Casino Phu Quoc, Vietnam</t>
        </is>
      </c>
      <c r="E11725" t="inlineStr">
        <is>
          <t>Thương lượng</t>
        </is>
      </c>
      <c r="F11725" t="inlineStr">
        <is>
          <t>Kiên Giang, Hồ Chí Minh</t>
        </is>
      </c>
      <c r="G11725" t="inlineStr">
        <is>
          <t>Giám Đốc và Cấp Cao Hơn</t>
        </is>
      </c>
      <c r="H11725" t="inlineStr">
        <is>
          <t>16/03/2026</t>
        </is>
      </c>
      <c r="I11725" t="inlineStr">
        <is>
          <t>15/04/2026</t>
        </is>
      </c>
      <c r="J11725" t="inlineStr">
        <is>
          <t>17/03/2026</t>
        </is>
      </c>
      <c r="K11725" t="inlineStr">
        <is>
          <t>N/A</t>
        </is>
      </c>
      <c r="L11725" t="inlineStr">
        <is>
          <t>Financial Management, Budgeting, Regulatory Compliance, Finance, Financing Solutions</t>
        </is>
      </c>
      <c r="M11725" t="inlineStr">
        <is>
          <t>Bonus, Healthcare Plan, Others</t>
        </is>
      </c>
      <c r="N11725" s="8">
        <f>HYPERLINK("https://www.vietnamworks.com/director-of-finance-2024346-jv","Xem chi tiết")</f>
        <v/>
      </c>
    </row>
    <row r="11726">
      <c r="B11726" s="9" t="n">
        <v>11724</v>
      </c>
      <c r="C11726" s="10" t="inlineStr">
        <is>
          <t>Deputy Head of Retail Banking Department - Head Office</t>
        </is>
      </c>
      <c r="D11726" s="10" t="inlineStr">
        <is>
          <t>Ngân Hàng TNHH Indovina – Hội Sở</t>
        </is>
      </c>
      <c r="E11726" s="10" t="inlineStr">
        <is>
          <t>Thương lượng</t>
        </is>
      </c>
      <c r="F11726" s="10" t="inlineStr">
        <is>
          <t>Hồ Chí Minh</t>
        </is>
      </c>
      <c r="G11726" s="10" t="inlineStr">
        <is>
          <t>Trưởng phòng</t>
        </is>
      </c>
      <c r="H11726" s="10" t="inlineStr">
        <is>
          <t>16/03/2026</t>
        </is>
      </c>
      <c r="I11726" s="10" t="inlineStr">
        <is>
          <t>15/04/2026</t>
        </is>
      </c>
      <c r="J11726" s="10" t="inlineStr">
        <is>
          <t>17/03/2026</t>
        </is>
      </c>
      <c r="K11726" s="10" t="inlineStr">
        <is>
          <t>N/A</t>
        </is>
      </c>
      <c r="L11726" s="10" t="inlineStr">
        <is>
          <t>English fluency, Retail Banking, Finance knowledge, Partnership Development, Management</t>
        </is>
      </c>
      <c r="M11726" s="10" t="inlineStr">
        <is>
          <t>Bonus, Healthcare Plan, Training</t>
        </is>
      </c>
      <c r="N11726" s="11">
        <f>HYPERLINK("https://www.vietnamworks.com/deputy-head-of-retail-banking-department-head-office--2024352-jv","Xem chi tiết")</f>
        <v/>
      </c>
      <c r="O11726" s="10" t="n"/>
    </row>
    <row r="11727">
      <c r="B11727" s="7" t="n">
        <v>11725</v>
      </c>
      <c r="C11727" t="inlineStr">
        <is>
          <t>Kế Toán Trưởng (Chief Accountant)</t>
        </is>
      </c>
      <c r="D11727" t="inlineStr">
        <is>
          <t>CÔNG TY TNHH GREEN TRAVEL GROUP</t>
        </is>
      </c>
      <c r="E11727" t="inlineStr">
        <is>
          <t>Thương lượng</t>
        </is>
      </c>
      <c r="F11727" t="inlineStr">
        <is>
          <t>Khánh Hòa</t>
        </is>
      </c>
      <c r="G11727" t="inlineStr">
        <is>
          <t>Trưởng phòng</t>
        </is>
      </c>
      <c r="H11727" t="inlineStr">
        <is>
          <t>16/03/2026</t>
        </is>
      </c>
      <c r="I11727" t="inlineStr">
        <is>
          <t>15/04/2026</t>
        </is>
      </c>
      <c r="J11727" t="inlineStr">
        <is>
          <t>17/03/2026</t>
        </is>
      </c>
      <c r="K11727" t="inlineStr">
        <is>
          <t>N/A</t>
        </is>
      </c>
      <c r="L11727" t="inlineStr">
        <is>
          <t>Kế Toán, Kiểm Toán, Tài Chính, Báo Cáo Tài Chính, Quản Lý Đội Nhóm</t>
        </is>
      </c>
      <c r="M11727" t="inlineStr">
        <is>
          <t>Bonus, Healthcare Plan, Others</t>
        </is>
      </c>
      <c r="N11727" s="8">
        <f>HYPERLINK("https://www.vietnamworks.com/ke-toan-truong-chief-accountant-2024344-jv","Xem chi tiết")</f>
        <v/>
      </c>
    </row>
    <row r="11728">
      <c r="B11728" s="9" t="n">
        <v>11726</v>
      </c>
      <c r="C11728" s="10" t="inlineStr">
        <is>
          <t>Nhân Viên Kinh Doanh B2B Tiếng Trung (Sales Executive – Electronics / SMT)</t>
        </is>
      </c>
      <c r="D11728" s="10" t="inlineStr">
        <is>
          <t>Công Ty TNHH Điện Tử SHDC</t>
        </is>
      </c>
      <c r="E11728" s="10" t="inlineStr">
        <is>
          <t>Thương lượng</t>
        </is>
      </c>
      <c r="F11728" s="10" t="inlineStr">
        <is>
          <t>Hà Nội</t>
        </is>
      </c>
      <c r="G11728" s="10" t="inlineStr">
        <is>
          <t>Nhân viên</t>
        </is>
      </c>
      <c r="H11728" s="10" t="inlineStr">
        <is>
          <t>16/03/2026</t>
        </is>
      </c>
      <c r="I11728" s="10" t="inlineStr">
        <is>
          <t>15/04/2026</t>
        </is>
      </c>
      <c r="J11728" s="10" t="inlineStr">
        <is>
          <t>17/03/2026</t>
        </is>
      </c>
      <c r="K11728" s="10" t="inlineStr">
        <is>
          <t>N/A</t>
        </is>
      </c>
      <c r="L11728" s="10" t="inlineStr">
        <is>
          <t>B2B, Kinh Doanh, Kinh Doanh Điện Tử, OEM, EMS</t>
        </is>
      </c>
      <c r="M11728" s="10" t="inlineStr">
        <is>
          <t>Bonus, Healthcare Plan, Travel Opportunities</t>
        </is>
      </c>
      <c r="N11728" s="11">
        <f>HYPERLINK("https://www.vietnamworks.com/nhan-vien-kinh-doanh-b2b-tieng-trung-sales-executive-electronics-smt-2024337-jv","Xem chi tiết")</f>
        <v/>
      </c>
      <c r="O11728" s="10" t="n"/>
    </row>
    <row r="11729">
      <c r="B11729" s="7" t="n">
        <v>11727</v>
      </c>
      <c r="C11729" t="inlineStr">
        <is>
          <t>Kỹ Sư Dịch Vụ Kỹ Thuật – Services Engineer (Optical / Medical Devices)</t>
        </is>
      </c>
      <c r="D11729" t="inlineStr">
        <is>
          <t>Công Ty TNHH EssilorLuxottica Việt Nam</t>
        </is>
      </c>
      <c r="E11729" t="inlineStr">
        <is>
          <t>Thương lượng</t>
        </is>
      </c>
      <c r="F11729" t="inlineStr">
        <is>
          <t>Hà Nội, Hồ Chí Minh</t>
        </is>
      </c>
      <c r="G11729" t="inlineStr">
        <is>
          <t>Nhân viên</t>
        </is>
      </c>
      <c r="H11729" t="inlineStr">
        <is>
          <t>16/03/2026</t>
        </is>
      </c>
      <c r="I11729" t="inlineStr">
        <is>
          <t>15/04/2026</t>
        </is>
      </c>
      <c r="J11729" t="inlineStr">
        <is>
          <t>17/03/2026</t>
        </is>
      </c>
      <c r="K11729" t="inlineStr">
        <is>
          <t>N/A</t>
        </is>
      </c>
      <c r="L11729" t="inlineStr">
        <is>
          <t>Electrical Engineering, After-Sales Support, Bán Hàng Kỹ Thuật, Kinh Doanh, Technical Support</t>
        </is>
      </c>
      <c r="M11729" t="inlineStr">
        <is>
          <t>Bonus, Healthcare Plan, Training, Others</t>
        </is>
      </c>
      <c r="N11729" s="8">
        <f>HYPERLINK("https://www.vietnamworks.com/ky-su-dich-vu-ky-thuat-services-engineer-optical-medical-devices-2024336-jv","Xem chi tiết")</f>
        <v/>
      </c>
    </row>
    <row r="11730">
      <c r="B11730" s="9" t="n">
        <v>11728</v>
      </c>
      <c r="C11730" s="10" t="inlineStr">
        <is>
          <t>Nhân Viên Quản Trị Kênh</t>
        </is>
      </c>
      <c r="D11730" s="10" t="inlineStr">
        <is>
          <t>CÔNG TY CP PHÁT TRIỂN TÀI NĂNG VĂN HÓA NGHỆ THUẬT VIỆT NAM V-CULTURE TALENTS</t>
        </is>
      </c>
      <c r="E11730" s="10" t="inlineStr">
        <is>
          <t>Từ $ 500 /tháng</t>
        </is>
      </c>
      <c r="F11730" s="10" t="inlineStr">
        <is>
          <t>Hà Nội</t>
        </is>
      </c>
      <c r="G11730" s="10" t="inlineStr">
        <is>
          <t>Nhân viên</t>
        </is>
      </c>
      <c r="H11730" s="10" t="inlineStr">
        <is>
          <t>16/03/2026</t>
        </is>
      </c>
      <c r="I11730" s="10" t="inlineStr">
        <is>
          <t>15/04/2026</t>
        </is>
      </c>
      <c r="J11730" s="10" t="inlineStr">
        <is>
          <t>17/03/2026</t>
        </is>
      </c>
      <c r="K11730" s="10" t="inlineStr">
        <is>
          <t>N/A</t>
        </is>
      </c>
      <c r="L11730" s="10" t="inlineStr">
        <is>
          <t>Content Creating</t>
        </is>
      </c>
      <c r="M11730" s="10" t="inlineStr">
        <is>
          <t>Bonus, Healthcare Plan, Vouchers</t>
        </is>
      </c>
      <c r="N11730" s="11">
        <f>HYPERLINK("https://www.vietnamworks.com/nhan-vien-quan-tri-kenh-2024351-jv","Xem chi tiết")</f>
        <v/>
      </c>
      <c r="O11730" s="10" t="n"/>
    </row>
    <row r="11731">
      <c r="B11731" s="7" t="n">
        <v>11729</v>
      </c>
      <c r="C11731" t="inlineStr">
        <is>
          <t>Staff QA Quản Lý Linh Kiện, Nguyên Vật Liệu Đầu Vào (IQC) 部品・原材料の管理を担当するQaスタッフ (IQC スタッフ</t>
        </is>
      </c>
      <c r="D11731" t="inlineStr">
        <is>
          <t>Công Ty TNHH Taishodo Việt Nam</t>
        </is>
      </c>
      <c r="E11731" t="inlineStr">
        <is>
          <t>Thương lượng</t>
        </is>
      </c>
      <c r="F11731" t="inlineStr">
        <is>
          <t>Hải Phòng, Hải Dương</t>
        </is>
      </c>
      <c r="G11731" t="inlineStr">
        <is>
          <t>Nhân viên</t>
        </is>
      </c>
      <c r="H11731" t="inlineStr">
        <is>
          <t>16/03/2026</t>
        </is>
      </c>
      <c r="I11731" t="inlineStr">
        <is>
          <t>31/03/2026</t>
        </is>
      </c>
      <c r="J11731" t="inlineStr">
        <is>
          <t>17/03/2026</t>
        </is>
      </c>
      <c r="K11731" t="inlineStr">
        <is>
          <t>N/A</t>
        </is>
      </c>
      <c r="L11731" t="inlineStr">
        <is>
          <t>Phân Tích Lỗi, Quản Lý Dây Chuyền Sản Xuất, IQC, Tiếng Nhật N3, Đánh Giá Nhà Cung Cấp</t>
        </is>
      </c>
      <c r="M11731" t="inlineStr">
        <is>
          <t>Bonus, Healthcare Plan, Awards, Travel Opportunities, Team Activities, Others</t>
        </is>
      </c>
      <c r="N11731" s="8">
        <f>HYPERLINK("https://www.vietnamworks.com/staff-qa-quan-ly-linh-kien-nguyen-vat-lieu-djau-vao-iqc-qa-iqc-2024341-jv","Xem chi tiết")</f>
        <v/>
      </c>
    </row>
    <row r="11732">
      <c r="B11732" s="9" t="n">
        <v>11730</v>
      </c>
      <c r="C11732" s="10" t="inlineStr">
        <is>
          <t>Kế Toán Thuế - Công Nợ</t>
        </is>
      </c>
      <c r="D11732" s="10" t="inlineStr">
        <is>
          <t>CÔNG TY CỔ PHẦN HÃNG SƠN ĐÔNG Á</t>
        </is>
      </c>
      <c r="E11732" s="10" t="inlineStr">
        <is>
          <t>Thương lượng</t>
        </is>
      </c>
      <c r="F11732" s="10" t="inlineStr">
        <is>
          <t>Hà Nội</t>
        </is>
      </c>
      <c r="G11732" s="10" t="inlineStr">
        <is>
          <t>Nhân viên</t>
        </is>
      </c>
      <c r="H11732" s="10" t="inlineStr">
        <is>
          <t>16/03/2026</t>
        </is>
      </c>
      <c r="I11732" s="10" t="inlineStr">
        <is>
          <t>15/04/2026</t>
        </is>
      </c>
      <c r="J11732" s="10" t="inlineStr">
        <is>
          <t>17/03/2026</t>
        </is>
      </c>
      <c r="K11732" s="10" t="inlineStr">
        <is>
          <t>N/A</t>
        </is>
      </c>
      <c r="L11732" s="10" t="inlineStr">
        <is>
          <t>Kế Toán, Tài Chính, Kiểm Toán, Công Nợ, Thuế</t>
        </is>
      </c>
      <c r="M11732" s="10" t="inlineStr">
        <is>
          <t>Bonus, Healthcare Plan, Training, Transportation, Others</t>
        </is>
      </c>
      <c r="N11732" s="11">
        <f>HYPERLINK("https://www.vietnamworks.com/ke-toan-thue-cong-no-2024349-jv","Xem chi tiết")</f>
        <v/>
      </c>
      <c r="O11732" s="10" t="n"/>
    </row>
    <row r="11733">
      <c r="B11733" s="7" t="n">
        <v>11731</v>
      </c>
      <c r="C11733" t="inlineStr">
        <is>
          <t>Kế Toán Trưởng</t>
        </is>
      </c>
      <c r="D11733" t="inlineStr">
        <is>
          <t>CÔNG TY CỔ PHẦN HÃNG SƠN ĐÔNG Á</t>
        </is>
      </c>
      <c r="E11733" t="inlineStr">
        <is>
          <t>Thương lượng</t>
        </is>
      </c>
      <c r="F11733" t="inlineStr">
        <is>
          <t>Hà Nội</t>
        </is>
      </c>
      <c r="G11733" t="inlineStr">
        <is>
          <t>Nhân viên</t>
        </is>
      </c>
      <c r="H11733" t="inlineStr">
        <is>
          <t>16/03/2026</t>
        </is>
      </c>
      <c r="I11733" t="inlineStr">
        <is>
          <t>15/04/2026</t>
        </is>
      </c>
      <c r="J11733" t="inlineStr">
        <is>
          <t>17/03/2026</t>
        </is>
      </c>
      <c r="K11733" t="inlineStr">
        <is>
          <t>N/A</t>
        </is>
      </c>
      <c r="L11733" t="inlineStr">
        <is>
          <t>Báo Cáo Tài Chính, Hạch Toán, Phần Mềm Kế Toán, Quản Lý Tài Chính, Theo Dõi Công Nợ</t>
        </is>
      </c>
      <c r="M11733" t="inlineStr">
        <is>
          <t>Healthcare Plan, Training</t>
        </is>
      </c>
      <c r="N11733" s="8">
        <f>HYPERLINK("https://www.vietnamworks.com/ke-toan-truong--2024354-jv","Xem chi tiết")</f>
        <v/>
      </c>
    </row>
    <row r="11734">
      <c r="B11734" s="9" t="n">
        <v>11732</v>
      </c>
      <c r="C11734" s="10" t="inlineStr">
        <is>
          <t>Quản Lý Bán Hàng Kênh GT - Khu Vực HCM (ASM)</t>
        </is>
      </c>
      <c r="D11734" s="10" t="inlineStr">
        <is>
          <t>Công Ty TNHH Thực Phẩm Trung Minh Thành</t>
        </is>
      </c>
      <c r="E11734" s="10" t="inlineStr">
        <is>
          <t>Thương lượng</t>
        </is>
      </c>
      <c r="F11734" s="10" t="inlineStr">
        <is>
          <t>Hồ Chí Minh</t>
        </is>
      </c>
      <c r="G11734" s="10" t="inlineStr">
        <is>
          <t>Trưởng phòng</t>
        </is>
      </c>
      <c r="H11734" s="10" t="inlineStr">
        <is>
          <t>16/03/2026</t>
        </is>
      </c>
      <c r="I11734" s="10" t="inlineStr">
        <is>
          <t>15/04/2026</t>
        </is>
      </c>
      <c r="J11734" s="10" t="inlineStr">
        <is>
          <t>17/03/2026</t>
        </is>
      </c>
      <c r="K11734" s="10" t="inlineStr">
        <is>
          <t>N/A</t>
        </is>
      </c>
      <c r="L11734" s="10" t="inlineStr">
        <is>
          <t>Dịch Vụ Khách Hàng, Quản Lý Bán Hàng, GT Channel, Lập Kế Hoạch Kinh Doanh, Phát Triển Kinh Doanh</t>
        </is>
      </c>
      <c r="M11734" s="10" t="inlineStr">
        <is>
          <t>Bonus, Healthcare Plan, Paid Leave, Training, Travel Opportunities</t>
        </is>
      </c>
      <c r="N11734" s="11">
        <f>HYPERLINK("https://www.vietnamworks.com/quan-ly-ban-hang-kenh-gt-khu-vuc-hcm-asm-2024355-jv","Xem chi tiết")</f>
        <v/>
      </c>
      <c r="O11734" s="10" t="n"/>
    </row>
    <row r="11735">
      <c r="B11735" s="7" t="n">
        <v>11733</v>
      </c>
      <c r="C11735" t="inlineStr">
        <is>
          <t>Accounting and Finance Staff</t>
        </is>
      </c>
      <c r="D11735" t="inlineStr">
        <is>
          <t>Lotte Duty Free</t>
        </is>
      </c>
      <c r="E11735" t="inlineStr">
        <is>
          <t>Thương lượng</t>
        </is>
      </c>
      <c r="F11735" t="inlineStr">
        <is>
          <t>Đà Nẵng</t>
        </is>
      </c>
      <c r="G11735" t="inlineStr">
        <is>
          <t>Nhân viên</t>
        </is>
      </c>
      <c r="H11735" t="inlineStr">
        <is>
          <t>16/03/2026</t>
        </is>
      </c>
      <c r="I11735" t="inlineStr">
        <is>
          <t>15/04/2026</t>
        </is>
      </c>
      <c r="J11735" t="inlineStr">
        <is>
          <t>17/03/2026</t>
        </is>
      </c>
      <c r="K11735" t="inlineStr">
        <is>
          <t>N/A</t>
        </is>
      </c>
      <c r="L11735" t="inlineStr">
        <is>
          <t>Finance &amp; Accounting, Financial Report, Intercompany Accounting, English Communication, Accounting &amp; Auditing</t>
        </is>
      </c>
      <c r="M11735" t="inlineStr">
        <is>
          <t>Bonus, Healthcare Plan, Laptop</t>
        </is>
      </c>
      <c r="N11735" s="8">
        <f>HYPERLINK("https://www.vietnamworks.com/accounting-and-finance-staff-2024357-jv","Xem chi tiết")</f>
        <v/>
      </c>
    </row>
    <row r="11736">
      <c r="B11736" s="9" t="n">
        <v>11734</v>
      </c>
      <c r="C11736" s="10" t="inlineStr">
        <is>
          <t>[ Hot Job ] Kế Toán Tổng Hợp</t>
        </is>
      </c>
      <c r="D11736" s="10" t="inlineStr">
        <is>
          <t>CÔNG TY CỔ PHẦN ĐẦU TƯ THƯƠNG MẠI VÀ DỊCH VỤ QUỐC TẾ AN BÌNH VIÊN</t>
        </is>
      </c>
      <c r="E11736" s="10" t="inlineStr">
        <is>
          <t>12tr-20tr ₫/tháng</t>
        </is>
      </c>
      <c r="F11736" s="10" t="inlineStr">
        <is>
          <t>Lào Cai, Yên Bái, Hà Nội</t>
        </is>
      </c>
      <c r="G11736" s="10" t="inlineStr">
        <is>
          <t>Nhân viên</t>
        </is>
      </c>
      <c r="H11736" s="10" t="inlineStr">
        <is>
          <t>16/03/2026</t>
        </is>
      </c>
      <c r="I11736" s="10" t="inlineStr">
        <is>
          <t>15/04/2026</t>
        </is>
      </c>
      <c r="J11736" s="10" t="inlineStr">
        <is>
          <t>17/03/2026</t>
        </is>
      </c>
      <c r="K11736" s="10" t="inlineStr">
        <is>
          <t>N/A</t>
        </is>
      </c>
      <c r="L11736" s="10" t="inlineStr">
        <is>
          <t>General Accounting, Kế Toán Thuế, Misa, MS Excel, Nghiệp Vụ Kế Toán</t>
        </is>
      </c>
      <c r="M11736" s="10" t="inlineStr">
        <is>
          <t>Healthcare Plan, Paid Leave, Canteen, Others</t>
        </is>
      </c>
      <c r="N11736" s="11">
        <f>HYPERLINK("https://www.vietnamworks.com/hot-job-ke-toan-tong-hop-2024366-jv","Xem chi tiết")</f>
        <v/>
      </c>
      <c r="O11736" s="10" t="n"/>
    </row>
    <row r="11737">
      <c r="B11737" s="7" t="n">
        <v>11735</v>
      </c>
      <c r="C11737" t="inlineStr">
        <is>
          <t>Footwear Tooling Engineer</t>
        </is>
      </c>
      <c r="D11737" t="inlineStr">
        <is>
          <t>On (Vietnam)</t>
        </is>
      </c>
      <c r="E11737" t="inlineStr">
        <is>
          <t>Thương lượng</t>
        </is>
      </c>
      <c r="F11737" t="inlineStr">
        <is>
          <t>Hồ Chí Minh, Hà Nội</t>
        </is>
      </c>
      <c r="G11737" t="inlineStr">
        <is>
          <t>Nhân viên</t>
        </is>
      </c>
      <c r="H11737" t="inlineStr">
        <is>
          <t>16/03/2026</t>
        </is>
      </c>
      <c r="I11737" t="inlineStr">
        <is>
          <t>15/04/2026</t>
        </is>
      </c>
      <c r="J11737" t="inlineStr">
        <is>
          <t>17/03/2026</t>
        </is>
      </c>
      <c r="K11737" t="inlineStr">
        <is>
          <t>N/A</t>
        </is>
      </c>
      <c r="L11737" t="inlineStr">
        <is>
          <t>CAD Design, Communication Skills, Molding, Molding Design, Problem-solving</t>
        </is>
      </c>
      <c r="M11737" t="inlineStr">
        <is>
          <t>Others</t>
        </is>
      </c>
      <c r="N11737" s="8">
        <f>HYPERLINK("https://www.vietnamworks.com/footwear-tooling-engineer-2024380-jv","Xem chi tiết")</f>
        <v/>
      </c>
    </row>
    <row r="11738">
      <c r="B11738" s="9" t="n">
        <v>11736</v>
      </c>
      <c r="C11738" s="10" t="inlineStr">
        <is>
          <t>Sales Consultant (English) (Hà Nội)</t>
        </is>
      </c>
      <c r="D11738" s="10" t="inlineStr">
        <is>
          <t>CÔNG TY TNHH TIGER DRYLAC VIỆT NAM</t>
        </is>
      </c>
      <c r="E11738" s="10" t="inlineStr">
        <is>
          <t>Thương lượng</t>
        </is>
      </c>
      <c r="F11738" s="10" t="inlineStr">
        <is>
          <t>Hà Nội</t>
        </is>
      </c>
      <c r="G11738" s="10" t="inlineStr">
        <is>
          <t>Nhân viên</t>
        </is>
      </c>
      <c r="H11738" s="10" t="inlineStr">
        <is>
          <t>16/03/2026</t>
        </is>
      </c>
      <c r="I11738" s="10" t="inlineStr">
        <is>
          <t>15/04/2026</t>
        </is>
      </c>
      <c r="J11738" s="10" t="inlineStr">
        <is>
          <t>17/03/2026</t>
        </is>
      </c>
      <c r="K11738" s="10" t="inlineStr">
        <is>
          <t>N/A</t>
        </is>
      </c>
      <c r="L11738" s="10" t="inlineStr">
        <is>
          <t>Sales Management, Customer Experience Management, Project Management, Sale, Customer Service</t>
        </is>
      </c>
      <c r="M11738" s="10" t="inlineStr">
        <is>
          <t>Healthcare Plan, Paid Leave, Training</t>
        </is>
      </c>
      <c r="N11738" s="11">
        <f>HYPERLINK("https://www.vietnamworks.com/sales-consultant-english-ha-noi-2024361-jv","Xem chi tiết")</f>
        <v/>
      </c>
      <c r="O11738" s="10" t="n"/>
    </row>
    <row r="11739">
      <c r="B11739" s="7" t="n">
        <v>11737</v>
      </c>
      <c r="C11739" t="inlineStr">
        <is>
          <t>Project Coordinator</t>
        </is>
      </c>
      <c r="D11739" t="inlineStr">
        <is>
          <t>Pebsteel Buildings Co., Ltd.</t>
        </is>
      </c>
      <c r="E11739" t="inlineStr">
        <is>
          <t>Thương lượng</t>
        </is>
      </c>
      <c r="F11739" t="inlineStr">
        <is>
          <t>Hồ Chí Minh</t>
        </is>
      </c>
      <c r="G11739" t="inlineStr">
        <is>
          <t>Nhân viên</t>
        </is>
      </c>
      <c r="H11739" t="inlineStr">
        <is>
          <t>16/03/2026</t>
        </is>
      </c>
      <c r="I11739" t="inlineStr">
        <is>
          <t>15/04/2026</t>
        </is>
      </c>
      <c r="J11739" t="inlineStr">
        <is>
          <t>17/03/2026</t>
        </is>
      </c>
      <c r="K11739" t="inlineStr">
        <is>
          <t>N/A</t>
        </is>
      </c>
      <c r="L11739" t="inlineStr">
        <is>
          <t>English Language Proficiency, Multitasking Skills, Organizational skills, Problem-solving, Time Management</t>
        </is>
      </c>
      <c r="M11739" t="inlineStr">
        <is>
          <t>Bonus, Healthcare Plan, Canteen, Kindergarten, Others</t>
        </is>
      </c>
      <c r="N11739" s="8">
        <f>HYPERLINK("https://www.vietnamworks.com/project-coordinator-2024383-jv","Xem chi tiết")</f>
        <v/>
      </c>
    </row>
    <row r="11740">
      <c r="B11740" s="9" t="n">
        <v>11738</v>
      </c>
      <c r="C11740" s="10" t="inlineStr">
        <is>
          <t>HR Assistant Manager</t>
        </is>
      </c>
      <c r="D11740" s="10" t="inlineStr">
        <is>
          <t>Công Ty Trách Nhiệm Hữu Hạn Công Nghệ Chính Xác Interplex (Hà Nội)</t>
        </is>
      </c>
      <c r="E11740" s="10" t="inlineStr">
        <is>
          <t>Thương lượng</t>
        </is>
      </c>
      <c r="F11740" s="10" t="inlineStr">
        <is>
          <t>Bắc Ninh</t>
        </is>
      </c>
      <c r="G11740" s="10" t="inlineStr">
        <is>
          <t>Trưởng phòng</t>
        </is>
      </c>
      <c r="H11740" s="10" t="inlineStr">
        <is>
          <t>16/03/2026</t>
        </is>
      </c>
      <c r="I11740" s="10" t="inlineStr">
        <is>
          <t>15/04/2026</t>
        </is>
      </c>
      <c r="J11740" s="10" t="inlineStr">
        <is>
          <t>17/03/2026</t>
        </is>
      </c>
      <c r="K11740" s="10" t="inlineStr">
        <is>
          <t>N/A</t>
        </is>
      </c>
      <c r="L11740" s="10" t="inlineStr">
        <is>
          <t>Labor Law, English, HR, HR leadership, Human Resource Development</t>
        </is>
      </c>
      <c r="M11740" s="10" t="inlineStr">
        <is>
          <t>Bonus, Transportation, Others</t>
        </is>
      </c>
      <c r="N11740" s="11">
        <f>HYPERLINK("https://www.vietnamworks.com/hr-assistant-manager-2024382-jv","Xem chi tiết")</f>
        <v/>
      </c>
      <c r="O11740" s="10" t="n"/>
    </row>
    <row r="11741">
      <c r="B11741" s="7" t="n">
        <v>11739</v>
      </c>
      <c r="C11741" t="inlineStr">
        <is>
          <t>Nhân Viên Kỹ Thuật TBYT – Medical Technical Staff</t>
        </is>
      </c>
      <c r="D11741" t="inlineStr">
        <is>
          <t>Charles Wembley (S.e.a) CO., Pte. LTD.</t>
        </is>
      </c>
      <c r="E11741" t="inlineStr">
        <is>
          <t>Thương lượng</t>
        </is>
      </c>
      <c r="F11741" t="inlineStr">
        <is>
          <t>Hà Nội</t>
        </is>
      </c>
      <c r="G11741" t="inlineStr">
        <is>
          <t>Nhân viên</t>
        </is>
      </c>
      <c r="H11741" t="inlineStr">
        <is>
          <t>16/03/2026</t>
        </is>
      </c>
      <c r="I11741" t="inlineStr">
        <is>
          <t>15/04/2026</t>
        </is>
      </c>
      <c r="J11741" t="inlineStr">
        <is>
          <t>17/03/2026</t>
        </is>
      </c>
      <c r="K11741" t="inlineStr">
        <is>
          <t>N/A</t>
        </is>
      </c>
      <c r="L11741" t="inlineStr">
        <is>
          <t>Điện Tử Y Sinh, Medical Device, Medical Equipments, Kỹ Thuật, Lắp Đặt Thiết Bị</t>
        </is>
      </c>
      <c r="M11741" t="inlineStr">
        <is>
          <t>Bonus, Training, Canteen, Others</t>
        </is>
      </c>
      <c r="N11741" s="8">
        <f>HYPERLINK("https://www.vietnamworks.com/nhan-vien-ky-thuat-tbyt-medical-technical-staff-2024390-jv","Xem chi tiết")</f>
        <v/>
      </c>
    </row>
    <row r="11742">
      <c r="B11742" s="9" t="n">
        <v>11740</v>
      </c>
      <c r="C11742" s="10" t="inlineStr">
        <is>
          <t>Kỹ Sư Cấp Thoát Nước Môi Trường</t>
        </is>
      </c>
      <c r="D11742" s="10" t="inlineStr">
        <is>
          <t>CÔNG TY TNHH VIWATEC</t>
        </is>
      </c>
      <c r="E11742" s="10" t="inlineStr">
        <is>
          <t>$$ 500-1,000 /tháng</t>
        </is>
      </c>
      <c r="F11742" s="10" t="inlineStr">
        <is>
          <t>Hà Nội</t>
        </is>
      </c>
      <c r="G11742" s="10" t="inlineStr">
        <is>
          <t>Nhân viên</t>
        </is>
      </c>
      <c r="H11742" s="10" t="inlineStr">
        <is>
          <t>16/03/2026</t>
        </is>
      </c>
      <c r="I11742" s="10" t="inlineStr">
        <is>
          <t>15/04/2026</t>
        </is>
      </c>
      <c r="J11742" s="10" t="inlineStr">
        <is>
          <t>17/03/2026</t>
        </is>
      </c>
      <c r="K11742" s="10" t="inlineStr">
        <is>
          <t>N/A</t>
        </is>
      </c>
      <c r="L11742" s="10" t="inlineStr">
        <is>
          <t>Hệ Thống Xử Lý Nước, AutoCAD, Cấp Thoát Nước, Giám Sát Thi Công, Triển Khai Bản Vẽ</t>
        </is>
      </c>
      <c r="M11742" s="10" t="inlineStr">
        <is>
          <t>Healthcare Plan, Others</t>
        </is>
      </c>
      <c r="N11742" s="11">
        <f>HYPERLINK("https://www.vietnamworks.com/ky-su-cap-thoat-nuoc-moi-truong-2024399-jv","Xem chi tiết")</f>
        <v/>
      </c>
      <c r="O11742" s="10" t="n"/>
    </row>
    <row r="11743">
      <c r="B11743" s="7" t="n">
        <v>11741</v>
      </c>
      <c r="C11743" t="inlineStr">
        <is>
          <t>Nhân Viên Kinh Doanh (Vật Liệu Thép và Inox)</t>
        </is>
      </c>
      <c r="D11743" t="inlineStr">
        <is>
          <t>Công ty TNHH Tajima Steel Việt Nam</t>
        </is>
      </c>
      <c r="E11743" t="inlineStr">
        <is>
          <t>15tr-25tr ₫/tháng</t>
        </is>
      </c>
      <c r="F11743" t="inlineStr">
        <is>
          <t>Hà Nội</t>
        </is>
      </c>
      <c r="G11743" t="inlineStr">
        <is>
          <t>Nhân viên</t>
        </is>
      </c>
      <c r="H11743" t="inlineStr">
        <is>
          <t>16/03/2026</t>
        </is>
      </c>
      <c r="I11743" t="inlineStr">
        <is>
          <t>15/04/2026</t>
        </is>
      </c>
      <c r="J11743" t="inlineStr">
        <is>
          <t>17/03/2026</t>
        </is>
      </c>
      <c r="K11743" t="inlineStr">
        <is>
          <t>N/A</t>
        </is>
      </c>
      <c r="L11743" t="inlineStr">
        <is>
          <t>Kinh Doanh Kỹ Thuật, Tiếng Anh, Phát Triển Khách Hàng, Giao Tiếp, Hàng Vật Liệu Xây Dựng</t>
        </is>
      </c>
      <c r="M11743" t="inlineStr">
        <is>
          <t>Bonus, Healthcare Plan, Others</t>
        </is>
      </c>
      <c r="N11743" s="8">
        <f>HYPERLINK("https://www.vietnamworks.com/nhan-vien-kinh-doanh-vat-lieu-thep-va-inox-2024373-jv","Xem chi tiết")</f>
        <v/>
      </c>
    </row>
    <row r="11744">
      <c r="B11744" s="9" t="n">
        <v>11742</v>
      </c>
      <c r="C11744" s="10" t="inlineStr">
        <is>
          <t>Office Admin</t>
        </is>
      </c>
      <c r="D11744" s="10" t="inlineStr">
        <is>
          <t>PLASTIQ COLLECTIVE</t>
        </is>
      </c>
      <c r="E11744" s="10" t="inlineStr">
        <is>
          <t>7.5tr-12tr ₫/tháng</t>
        </is>
      </c>
      <c r="F11744" s="10" t="inlineStr">
        <is>
          <t>Hà Nội</t>
        </is>
      </c>
      <c r="G11744" s="10" t="inlineStr">
        <is>
          <t>Nhân viên</t>
        </is>
      </c>
      <c r="H11744" s="10" t="inlineStr">
        <is>
          <t>16/03/2026</t>
        </is>
      </c>
      <c r="I11744" s="10" t="inlineStr">
        <is>
          <t>15/04/2026</t>
        </is>
      </c>
      <c r="J11744" s="10" t="inlineStr">
        <is>
          <t>17/03/2026</t>
        </is>
      </c>
      <c r="K11744" s="10" t="inlineStr">
        <is>
          <t>N/A</t>
        </is>
      </c>
      <c r="L11744" s="10" t="inlineStr">
        <is>
          <t>Giải Quyết Vấn Đề, Kỹ năng văn phòng, Quản Lý Hợp Đồng, Thái Độ Tích Cực</t>
        </is>
      </c>
      <c r="M11744" s="10" t="inlineStr">
        <is>
          <t>Bonus, Healthcare Plan, Others</t>
        </is>
      </c>
      <c r="N11744" s="11">
        <f>HYPERLINK("https://www.vietnamworks.com/office-admin-2024394-jv","Xem chi tiết")</f>
        <v/>
      </c>
      <c r="O11744" s="10" t="n"/>
    </row>
    <row r="11745">
      <c r="B11745" s="7" t="n">
        <v>11743</v>
      </c>
      <c r="C11745" t="inlineStr">
        <is>
          <t>Kế Toán Tổng Hợp</t>
        </is>
      </c>
      <c r="D11745" t="inlineStr">
        <is>
          <t>Công Ty Cổ Phần Tập Đoàn Phú Thái Holdings</t>
        </is>
      </c>
      <c r="E11745" t="inlineStr">
        <is>
          <t>15tr-22tr ₫/tháng</t>
        </is>
      </c>
      <c r="F11745" t="inlineStr">
        <is>
          <t>Hà Nội</t>
        </is>
      </c>
      <c r="G11745" t="inlineStr">
        <is>
          <t>Nhân viên</t>
        </is>
      </c>
      <c r="H11745" t="inlineStr">
        <is>
          <t>16/03/2026</t>
        </is>
      </c>
      <c r="I11745" t="inlineStr">
        <is>
          <t>15/04/2026</t>
        </is>
      </c>
      <c r="J11745" t="inlineStr">
        <is>
          <t>17/03/2026</t>
        </is>
      </c>
      <c r="K11745" t="inlineStr">
        <is>
          <t>N/A</t>
        </is>
      </c>
      <c r="L11745" t="inlineStr">
        <is>
          <t>Excel, Kế toán, Kế Toán Tổng Hợp, Kiểm toán, Tài Chính</t>
        </is>
      </c>
      <c r="M11745" t="inlineStr">
        <is>
          <t>Bonus</t>
        </is>
      </c>
      <c r="N11745" s="8">
        <f>HYPERLINK("https://www.vietnamworks.com/ke-toan-tong-hop-2024363-jv","Xem chi tiết")</f>
        <v/>
      </c>
    </row>
    <row r="11746">
      <c r="B11746" s="9" t="n">
        <v>11744</v>
      </c>
      <c r="C11746" s="10" t="inlineStr">
        <is>
          <t>Giám Đốc Phòng Giao Dịch - Khu Vực Hồ Chí Minh (CN26.33)</t>
        </is>
      </c>
      <c r="D11746" s="10" t="inlineStr">
        <is>
          <t>NGÂN HÀNG TMCP QUÂN ĐỘI – MBBANK</t>
        </is>
      </c>
      <c r="E11746" s="10" t="inlineStr">
        <is>
          <t>Thương lượng</t>
        </is>
      </c>
      <c r="F11746" s="10" t="inlineStr">
        <is>
          <t>Hồ Chí Minh</t>
        </is>
      </c>
      <c r="G11746" s="10" t="inlineStr">
        <is>
          <t>Giám Đốc và Cấp Cao Hơn</t>
        </is>
      </c>
      <c r="H11746" s="10" t="inlineStr">
        <is>
          <t>16/03/2026</t>
        </is>
      </c>
      <c r="I11746" s="10" t="inlineStr">
        <is>
          <t>15/04/2026</t>
        </is>
      </c>
      <c r="J11746" s="10" t="inlineStr">
        <is>
          <t>17/03/2026</t>
        </is>
      </c>
      <c r="K11746" s="10" t="inlineStr">
        <is>
          <t>N/A</t>
        </is>
      </c>
      <c r="L11746" s="10" t="inlineStr">
        <is>
          <t>Corporate Banking, Corporate Finance, Retail banking, Competitive Analysis, Micro</t>
        </is>
      </c>
      <c r="M11746" s="10" t="inlineStr">
        <is>
          <t>Bonus, Paid Leave, Training, Awards, Library, Vouchers, Others</t>
        </is>
      </c>
      <c r="N11746" s="11">
        <f>HYPERLINK("https://www.vietnamworks.com/giam-djoc-phong-giao-dich-khu-vuc-ho-chi-minh-cn26-33-2024359-jv","Xem chi tiết")</f>
        <v/>
      </c>
      <c r="O11746" s="10" t="n"/>
    </row>
    <row r="11747">
      <c r="B11747" s="7" t="n">
        <v>11745</v>
      </c>
      <c r="C11747" t="inlineStr">
        <is>
          <t>Product Development Deputy Manager (Car Loan)</t>
        </is>
      </c>
      <c r="D11747" t="inlineStr">
        <is>
          <t>Mirae Asset Finance Company (Viet Nam) Ltd.</t>
        </is>
      </c>
      <c r="E11747" t="inlineStr">
        <is>
          <t>Thương lượng</t>
        </is>
      </c>
      <c r="F11747" t="inlineStr">
        <is>
          <t>Hồ Chí Minh</t>
        </is>
      </c>
      <c r="G11747" t="inlineStr">
        <is>
          <t>Trưởng phòng</t>
        </is>
      </c>
      <c r="H11747" t="inlineStr">
        <is>
          <t>16/03/2026</t>
        </is>
      </c>
      <c r="I11747" t="inlineStr">
        <is>
          <t>15/04/2026</t>
        </is>
      </c>
      <c r="J11747" t="inlineStr">
        <is>
          <t>17/03/2026</t>
        </is>
      </c>
      <c r="K11747" t="inlineStr">
        <is>
          <t>N/A</t>
        </is>
      </c>
      <c r="L11747" t="inlineStr">
        <is>
          <t>Communication Skills, Data Analysis, Market Research, Product Development, Risk Analysis</t>
        </is>
      </c>
      <c r="M11747" t="inlineStr">
        <is>
          <t>Bonus, Healthcare Plan, Paid Leave, Travel Opportunities, Others</t>
        </is>
      </c>
      <c r="N11747" s="8">
        <f>HYPERLINK("https://www.vietnamworks.com/product-development-deputy-manager-car-loan-2024360-jv","Xem chi tiết")</f>
        <v/>
      </c>
    </row>
    <row r="11748">
      <c r="B11748" s="9" t="n">
        <v>11746</v>
      </c>
      <c r="C11748" s="10" t="inlineStr">
        <is>
          <t>Kỹ Thuật Viên Vận Hành &amp; Bảo Trì Hệ Thống Phụ Trợ Nhà Máy</t>
        </is>
      </c>
      <c r="D11748" s="10" t="inlineStr">
        <is>
          <t>GENTHERM VIETNAM CO., LTD</t>
        </is>
      </c>
      <c r="E11748" s="10" t="inlineStr">
        <is>
          <t>Thương lượng</t>
        </is>
      </c>
      <c r="F11748" s="10" t="inlineStr">
        <is>
          <t>Hà Nam, Hà Nội, Hưng Yên</t>
        </is>
      </c>
      <c r="G11748" s="10" t="inlineStr">
        <is>
          <t>Nhân viên</t>
        </is>
      </c>
      <c r="H11748" s="10" t="inlineStr">
        <is>
          <t>16/03/2026</t>
        </is>
      </c>
      <c r="I11748" s="10" t="inlineStr">
        <is>
          <t>15/04/2026</t>
        </is>
      </c>
      <c r="J11748" s="10" t="inlineStr">
        <is>
          <t>17/03/2026</t>
        </is>
      </c>
      <c r="K11748" s="10" t="inlineStr">
        <is>
          <t>N/A</t>
        </is>
      </c>
      <c r="L11748" s="10" t="inlineStr">
        <is>
          <t>Engineering, Bảo Trì, Cơ Điện, Tự Động Hóa</t>
        </is>
      </c>
      <c r="M11748" s="10" t="inlineStr">
        <is>
          <t>Bonus, Canteen, Others</t>
        </is>
      </c>
      <c r="N11748" s="11">
        <f>HYPERLINK("https://www.vietnamworks.com/ky-thuat-vien-van-hanh-bao-tri-he-thong-phu-tro-nha-may--2024392-jv","Xem chi tiết")</f>
        <v/>
      </c>
      <c r="O11748" s="10" t="n"/>
    </row>
    <row r="11749">
      <c r="B11749" s="7" t="n">
        <v>11747</v>
      </c>
      <c r="C11749" t="inlineStr">
        <is>
          <t>Kỹ Sư Hạ Tầng CNTT (Định Hướng Presales)</t>
        </is>
      </c>
      <c r="D11749" t="inlineStr">
        <is>
          <t>CÔNG TY TNHH GIẢI PHÁP PHÁT TRIỂN CÔNG NGHỆ AN HƯNG</t>
        </is>
      </c>
      <c r="E11749" t="inlineStr">
        <is>
          <t>12tr-18tr ₫/tháng</t>
        </is>
      </c>
      <c r="F11749" t="inlineStr">
        <is>
          <t>Hồ Chí Minh</t>
        </is>
      </c>
      <c r="G11749" t="inlineStr">
        <is>
          <t>Nhân viên</t>
        </is>
      </c>
      <c r="H11749" t="inlineStr">
        <is>
          <t>16/03/2026</t>
        </is>
      </c>
      <c r="I11749" t="inlineStr">
        <is>
          <t>15/04/2026</t>
        </is>
      </c>
      <c r="J11749" t="inlineStr">
        <is>
          <t>17/03/2026</t>
        </is>
      </c>
      <c r="K11749" t="inlineStr">
        <is>
          <t>N/A</t>
        </is>
      </c>
      <c r="L11749" t="inlineStr">
        <is>
          <t>Network Configuration, Server Management, Virtualization, System Information, Hệ Thống Thông Tin</t>
        </is>
      </c>
      <c r="M11749" t="inlineStr">
        <is>
          <t>Bonus, Healthcare Plan, Paid Leave, Training, Team Activities, Others</t>
        </is>
      </c>
      <c r="N11749" s="8">
        <f>HYPERLINK("https://www.vietnamworks.com/ky-su-ha-tang-cntt-djinh-huong-presales-2024400-jv","Xem chi tiết")</f>
        <v/>
      </c>
    </row>
    <row r="11750">
      <c r="B11750" s="9" t="n">
        <v>11748</v>
      </c>
      <c r="C11750" s="10" t="inlineStr">
        <is>
          <t>Footwear QA/ Footwear Manufacturing Engineer</t>
        </is>
      </c>
      <c r="D11750" s="10" t="inlineStr">
        <is>
          <t>On (Vietnam)</t>
        </is>
      </c>
      <c r="E11750" s="10" t="inlineStr">
        <is>
          <t>Thương lượng</t>
        </is>
      </c>
      <c r="F11750" s="10" t="inlineStr">
        <is>
          <t>Ninh Bình, Nam Định, Nghệ An</t>
        </is>
      </c>
      <c r="G11750" s="10" t="inlineStr">
        <is>
          <t>Nhân viên</t>
        </is>
      </c>
      <c r="H11750" s="10" t="inlineStr">
        <is>
          <t>16/03/2026</t>
        </is>
      </c>
      <c r="I11750" s="10" t="inlineStr">
        <is>
          <t>15/04/2026</t>
        </is>
      </c>
      <c r="J11750" s="10" t="inlineStr">
        <is>
          <t>17/03/2026</t>
        </is>
      </c>
      <c r="K11750" s="10" t="inlineStr">
        <is>
          <t>N/A</t>
        </is>
      </c>
      <c r="L11750" s="10" t="inlineStr">
        <is>
          <t>Footwear Quality Assurance, Footwear QC, Footwear Manufacturing, Footwear Management</t>
        </is>
      </c>
      <c r="M11750" s="10" t="inlineStr">
        <is>
          <t>Bonus, Paid Leave, Training</t>
        </is>
      </c>
      <c r="N11750" s="11">
        <f>HYPERLINK("https://www.vietnamworks.com/footwear-qa-footwear-manufacturing-engineer--2024384-jv","Xem chi tiết")</f>
        <v/>
      </c>
      <c r="O11750" s="10" t="n"/>
    </row>
    <row r="11751">
      <c r="B11751" s="7" t="n">
        <v>11749</v>
      </c>
      <c r="C11751" t="inlineStr">
        <is>
          <t>Nhân Viên Phòng Thu Hút Nhân Tài/ Talent Acquisition</t>
        </is>
      </c>
      <c r="D11751" t="inlineStr">
        <is>
          <t>Công Ty TNHH DENSO Việt Nam</t>
        </is>
      </c>
      <c r="E11751" t="inlineStr">
        <is>
          <t>Thương lượng</t>
        </is>
      </c>
      <c r="F11751" t="inlineStr">
        <is>
          <t>Hà Nội</t>
        </is>
      </c>
      <c r="G11751" t="inlineStr">
        <is>
          <t>Mới Tốt Nghiệp</t>
        </is>
      </c>
      <c r="H11751" t="inlineStr">
        <is>
          <t>16/03/2026</t>
        </is>
      </c>
      <c r="I11751" t="inlineStr">
        <is>
          <t>15/04/2026</t>
        </is>
      </c>
      <c r="J11751" t="inlineStr">
        <is>
          <t>17/03/2026</t>
        </is>
      </c>
      <c r="K11751" t="inlineStr">
        <is>
          <t>N/A</t>
        </is>
      </c>
      <c r="L11751" t="inlineStr">
        <is>
          <t>Nhân Sự, Talent Acquisition, Đào Tạo, Tính Lương, HR</t>
        </is>
      </c>
      <c r="M11751" t="inlineStr">
        <is>
          <t>Bonus, Healthcare Plan, Transportation</t>
        </is>
      </c>
      <c r="N11751" s="8">
        <f>HYPERLINK("https://www.vietnamworks.com/nhan-vien-phong-thu-hut-nhan-tai-talent-acquisition-2024395-jv","Xem chi tiết")</f>
        <v/>
      </c>
    </row>
    <row r="11752">
      <c r="B11752" s="9" t="n">
        <v>11750</v>
      </c>
      <c r="C11752" s="10" t="inlineStr">
        <is>
          <t>Kỹ Sư Công Đoạn (100% Vốn Đầu Tư Đức)</t>
        </is>
      </c>
      <c r="D11752" s="10" t="inlineStr">
        <is>
          <t>RRC Power Solutions</t>
        </is>
      </c>
      <c r="E11752" s="10" t="inlineStr">
        <is>
          <t>Thương lượng</t>
        </is>
      </c>
      <c r="F11752" s="10" t="inlineStr">
        <is>
          <t>Hải Phòng</t>
        </is>
      </c>
      <c r="G11752" s="10" t="inlineStr">
        <is>
          <t>Nhân viên</t>
        </is>
      </c>
      <c r="H11752" s="10" t="inlineStr">
        <is>
          <t>16/03/2026</t>
        </is>
      </c>
      <c r="I11752" s="10" t="inlineStr">
        <is>
          <t>15/04/2026</t>
        </is>
      </c>
      <c r="J11752" s="10" t="inlineStr">
        <is>
          <t>17/03/2026</t>
        </is>
      </c>
      <c r="K11752" s="10" t="inlineStr">
        <is>
          <t>N/A</t>
        </is>
      </c>
      <c r="L11752" s="10" t="inlineStr">
        <is>
          <t>Process Engineer, Automation Engineering, Python Programming, Automation, Electrical Engineering</t>
        </is>
      </c>
      <c r="M11752" s="10" t="inlineStr">
        <is>
          <t>Healthcare Plan, Awards, Laptop</t>
        </is>
      </c>
      <c r="N11752" s="11">
        <f>HYPERLINK("https://www.vietnamworks.com/ky-su-cong-djoan-100percent-von-djau-tu-djuc-2024391-jv","Xem chi tiết")</f>
        <v/>
      </c>
      <c r="O11752" s="10" t="n"/>
    </row>
    <row r="11753">
      <c r="B11753" s="7" t="n">
        <v>11751</v>
      </c>
      <c r="C11753" t="inlineStr">
        <is>
          <t>Kỹ Sư Cơ Khí/ Tự Động Hoá</t>
        </is>
      </c>
      <c r="D11753" t="inlineStr">
        <is>
          <t>Viện Nghiên cứu Cơ khí</t>
        </is>
      </c>
      <c r="E11753" t="inlineStr">
        <is>
          <t>Thương lượng</t>
        </is>
      </c>
      <c r="F11753" t="inlineStr">
        <is>
          <t>Hà Nội</t>
        </is>
      </c>
      <c r="G11753" t="inlineStr">
        <is>
          <t>Nhân viên</t>
        </is>
      </c>
      <c r="H11753" t="inlineStr">
        <is>
          <t>16/03/2026</t>
        </is>
      </c>
      <c r="I11753" t="inlineStr">
        <is>
          <t>15/04/2026</t>
        </is>
      </c>
      <c r="J11753" t="inlineStr">
        <is>
          <t>17/03/2026</t>
        </is>
      </c>
      <c r="K11753" t="inlineStr">
        <is>
          <t>N/A</t>
        </is>
      </c>
      <c r="L11753" t="inlineStr">
        <is>
          <t>Bảo Dưỡng, Bóc Tách Bản Vẽ Chế Tạo, Giám Sát Hệ Thống, Sửa Chữa Thiết Bị, Thiết Kế Jig</t>
        </is>
      </c>
      <c r="M11753" t="inlineStr">
        <is>
          <t>Team Activities, Others</t>
        </is>
      </c>
      <c r="N11753" s="8">
        <f>HYPERLINK("https://www.vietnamworks.com/ky-su-co-khi-tu-djong-hoa-2024371-jv","Xem chi tiết")</f>
        <v/>
      </c>
    </row>
    <row r="11754">
      <c r="B11754" s="9" t="n">
        <v>11752</v>
      </c>
      <c r="C11754" s="10" t="inlineStr">
        <is>
          <t>Kế Toán Trưởng</t>
        </is>
      </c>
      <c r="D11754" s="10" t="inlineStr">
        <is>
          <t>CÔNG TY TNHH INAVATE GROUP</t>
        </is>
      </c>
      <c r="E11754" s="10" t="inlineStr">
        <is>
          <t>Thương lượng</t>
        </is>
      </c>
      <c r="F11754" s="10" t="inlineStr">
        <is>
          <t>Hồ Chí Minh</t>
        </is>
      </c>
      <c r="G11754" s="10" t="inlineStr">
        <is>
          <t>Nhân viên</t>
        </is>
      </c>
      <c r="H11754" s="10" t="inlineStr">
        <is>
          <t>16/03/2026</t>
        </is>
      </c>
      <c r="I11754" s="10" t="inlineStr">
        <is>
          <t>15/04/2026</t>
        </is>
      </c>
      <c r="J11754" s="10" t="inlineStr">
        <is>
          <t>17/03/2026</t>
        </is>
      </c>
      <c r="K11754" s="10" t="inlineStr">
        <is>
          <t>N/A</t>
        </is>
      </c>
      <c r="L11754" s="10" t="inlineStr">
        <is>
          <t>Tiếng Anh, Báo Cáo Thuế, Phần Mềm Kế Toán, Quản Lý Chứng Từ, Quản Lý Công Nợ</t>
        </is>
      </c>
      <c r="M11754" s="10" t="inlineStr">
        <is>
          <t>Bonus, Healthcare Plan, Team Activities, Others</t>
        </is>
      </c>
      <c r="N11754" s="11">
        <f>HYPERLINK("https://www.vietnamworks.com/ke-toan-truong-2024381-jv","Xem chi tiết")</f>
        <v/>
      </c>
      <c r="O11754" s="10" t="n"/>
    </row>
    <row r="11755">
      <c r="B11755" s="7" t="n">
        <v>11753</v>
      </c>
      <c r="C11755" t="inlineStr">
        <is>
          <t>Kỹ Sư Cơ Điện (Điện Tự Động Hóa)</t>
        </is>
      </c>
      <c r="D11755" t="inlineStr">
        <is>
          <t>CÔNG TY TNHH VIWATEC</t>
        </is>
      </c>
      <c r="E11755" t="inlineStr">
        <is>
          <t>$$ 500-1,000 /tháng</t>
        </is>
      </c>
      <c r="F11755" t="inlineStr">
        <is>
          <t>Hà Nội</t>
        </is>
      </c>
      <c r="G11755" t="inlineStr">
        <is>
          <t>Nhân viên</t>
        </is>
      </c>
      <c r="H11755" t="inlineStr">
        <is>
          <t>16/03/2026</t>
        </is>
      </c>
      <c r="I11755" t="inlineStr">
        <is>
          <t>15/04/2026</t>
        </is>
      </c>
      <c r="J11755" t="inlineStr">
        <is>
          <t>17/03/2026</t>
        </is>
      </c>
      <c r="K11755" t="inlineStr">
        <is>
          <t>N/A</t>
        </is>
      </c>
      <c r="L11755" t="inlineStr">
        <is>
          <t>Thiết Kế Hệ Thống Cơ Điện, Lập Trình PLC, AutoCAD, Bảo Trì, Lập Hồ Sơ Kỹ Thuật</t>
        </is>
      </c>
      <c r="M11755" t="inlineStr">
        <is>
          <t>Healthcare Plan, Others</t>
        </is>
      </c>
      <c r="N11755" s="8">
        <f>HYPERLINK("https://www.vietnamworks.com/ky-su-co-djien-djien-tu-djong-hoa-2024404-jv","Xem chi tiết")</f>
        <v/>
      </c>
    </row>
    <row r="11756">
      <c r="B11756" s="9" t="n">
        <v>11754</v>
      </c>
      <c r="C11756" s="10" t="inlineStr">
        <is>
          <t>Chuyên Viên Nhân Sự &amp; Hành Chính Tổng Hợp (HR &amp; Admin Executive)</t>
        </is>
      </c>
      <c r="D11756" s="10" t="inlineStr">
        <is>
          <t>CÔNG TY TNHH JOOSUNG LOGISTICS VIỆT NAM</t>
        </is>
      </c>
      <c r="E11756" s="10" t="inlineStr">
        <is>
          <t>Thương lượng</t>
        </is>
      </c>
      <c r="F11756" s="10" t="inlineStr">
        <is>
          <t>Hồ Chí Minh</t>
        </is>
      </c>
      <c r="G11756" s="10" t="inlineStr">
        <is>
          <t>Nhân viên</t>
        </is>
      </c>
      <c r="H11756" s="10" t="inlineStr">
        <is>
          <t>16/03/2026</t>
        </is>
      </c>
      <c r="I11756" s="10" t="inlineStr">
        <is>
          <t>15/04/2026</t>
        </is>
      </c>
      <c r="J11756" s="10" t="inlineStr">
        <is>
          <t>17/03/2026</t>
        </is>
      </c>
      <c r="K11756" s="10" t="inlineStr">
        <is>
          <t>N/A</t>
        </is>
      </c>
      <c r="L11756" s="10" t="inlineStr">
        <is>
          <t>Vietnam Labor Laws, Tiếng Anh Giao Tiếp, Microsoft Office, Quản Trị Nhân Sự, Administrative</t>
        </is>
      </c>
      <c r="M11756" s="10" t="inlineStr">
        <is>
          <t>Bonus, Healthcare Plan, Paid Leave</t>
        </is>
      </c>
      <c r="N11756" s="11">
        <f>HYPERLINK("https://www.vietnamworks.com/chuyen-vien-nhan-su-hanh-chinh-tong-hop-hr-admin-executive-2024403-jv","Xem chi tiết")</f>
        <v/>
      </c>
      <c r="O11756" s="10" t="n"/>
    </row>
    <row r="11757">
      <c r="B11757" s="7" t="n">
        <v>11755</v>
      </c>
      <c r="C11757" t="inlineStr">
        <is>
          <t>Trưởng Nhóm Xây Dựng</t>
        </is>
      </c>
      <c r="D11757" t="inlineStr">
        <is>
          <t>Công Ty Cổ Phần Tập Đoàn Năng Lượng BIM</t>
        </is>
      </c>
      <c r="E11757" t="inlineStr">
        <is>
          <t>Thương lượng</t>
        </is>
      </c>
      <c r="F11757" t="inlineStr">
        <is>
          <t>Ninh Thuận</t>
        </is>
      </c>
      <c r="G11757" t="inlineStr">
        <is>
          <t>Trưởng phòng</t>
        </is>
      </c>
      <c r="H11757" t="inlineStr">
        <is>
          <t>16/03/2026</t>
        </is>
      </c>
      <c r="I11757" t="inlineStr">
        <is>
          <t>15/04/2026</t>
        </is>
      </c>
      <c r="J11757" t="inlineStr">
        <is>
          <t>17/03/2026</t>
        </is>
      </c>
      <c r="K11757" t="inlineStr">
        <is>
          <t>N/A</t>
        </is>
      </c>
      <c r="L11757" t="inlineStr">
        <is>
          <t>Giám Sát Công Trường, HSE</t>
        </is>
      </c>
      <c r="M11757" t="inlineStr">
        <is>
          <t>Bonus</t>
        </is>
      </c>
      <c r="N11757" s="8">
        <f>HYPERLINK("https://www.vietnamworks.com/truong-nhom-xay-dung-2024409-jv","Xem chi tiết")</f>
        <v/>
      </c>
    </row>
    <row r="11758">
      <c r="B11758" s="9" t="n">
        <v>11756</v>
      </c>
      <c r="C11758" s="10" t="inlineStr">
        <is>
          <t>Cửa Hàng Trưởng</t>
        </is>
      </c>
      <c r="D11758" s="10" t="inlineStr">
        <is>
          <t>Công ty Cổ phần Vàng bạc đá quý Bảo Tín Mạnh Hải</t>
        </is>
      </c>
      <c r="E11758" s="10" t="inlineStr">
        <is>
          <t>15tr-18tr ₫/tháng</t>
        </is>
      </c>
      <c r="F11758" s="10" t="inlineStr">
        <is>
          <t>Hà Nội</t>
        </is>
      </c>
      <c r="G11758" s="10" t="inlineStr">
        <is>
          <t>Trưởng phòng</t>
        </is>
      </c>
      <c r="H11758" s="10" t="inlineStr">
        <is>
          <t>16/03/2026</t>
        </is>
      </c>
      <c r="I11758" s="10" t="inlineStr">
        <is>
          <t>15/04/2026</t>
        </is>
      </c>
      <c r="J11758" s="10" t="inlineStr">
        <is>
          <t>17/03/2026</t>
        </is>
      </c>
      <c r="K11758" s="10" t="inlineStr">
        <is>
          <t>N/A</t>
        </is>
      </c>
      <c r="L11758" s="10" t="inlineStr">
        <is>
          <t>Giám Sát Chuỗi Cửa Hàng, Quản Lý Chuỗi Cửa Hàng Bán Lẻ, Quản Lý Cửa Hàng, Quản Lý Kinh Doanh, Store Operation</t>
        </is>
      </c>
      <c r="M11758" s="10" t="inlineStr">
        <is>
          <t>Bonus, Healthcare Plan, Training, Team Activities, Others</t>
        </is>
      </c>
      <c r="N11758" s="11">
        <f>HYPERLINK("https://www.vietnamworks.com/cua-hang-truong-2024410-jv","Xem chi tiết")</f>
        <v/>
      </c>
      <c r="O11758" s="10" t="n"/>
    </row>
    <row r="11759">
      <c r="B11759" s="7" t="n">
        <v>11757</v>
      </c>
      <c r="C11759" t="inlineStr">
        <is>
          <t>Merchandiser</t>
        </is>
      </c>
      <c r="D11759" t="inlineStr">
        <is>
          <t>Công Ty TNHH Prominent ( Việt Nam ) / Itochu Group</t>
        </is>
      </c>
      <c r="E11759" t="inlineStr">
        <is>
          <t>Thương lượng</t>
        </is>
      </c>
      <c r="F11759" t="inlineStr">
        <is>
          <t>Hà Nội</t>
        </is>
      </c>
      <c r="G11759" t="inlineStr">
        <is>
          <t>Nhân viên</t>
        </is>
      </c>
      <c r="H11759" t="inlineStr">
        <is>
          <t>16/03/2026</t>
        </is>
      </c>
      <c r="I11759" t="inlineStr">
        <is>
          <t>15/04/2026</t>
        </is>
      </c>
      <c r="J11759" t="inlineStr">
        <is>
          <t>17/03/2026</t>
        </is>
      </c>
      <c r="K11759" t="inlineStr">
        <is>
          <t>N/A</t>
        </is>
      </c>
      <c r="L11759" t="inlineStr">
        <is>
          <t>Merchandising, Merchandise Garment, Garment Manufacturing, Garment, Fashion Business</t>
        </is>
      </c>
      <c r="M11759" t="inlineStr">
        <is>
          <t>Bonus, Healthcare Plan, Team Activities</t>
        </is>
      </c>
      <c r="N11759" s="8">
        <f>HYPERLINK("https://www.vietnamworks.com/merchandiser--2024405-jv","Xem chi tiết")</f>
        <v/>
      </c>
    </row>
    <row r="11760">
      <c r="B11760" s="9" t="n">
        <v>11758</v>
      </c>
      <c r="C11760" s="10" t="inlineStr">
        <is>
          <t>Thực Tập Sinh Kinh Doanh</t>
        </is>
      </c>
      <c r="D11760" s="10" t="inlineStr">
        <is>
          <t>FUJIFILM Business Innovation Vietnam</t>
        </is>
      </c>
      <c r="E11760" s="10" t="inlineStr">
        <is>
          <t>Thương lượng</t>
        </is>
      </c>
      <c r="F11760" s="10" t="inlineStr">
        <is>
          <t>Hà Nội</t>
        </is>
      </c>
      <c r="G11760" s="10" t="inlineStr">
        <is>
          <t>Thực tập sinh/Sinh viên</t>
        </is>
      </c>
      <c r="H11760" s="10" t="inlineStr">
        <is>
          <t>16/03/2026</t>
        </is>
      </c>
      <c r="I11760" s="10" t="inlineStr">
        <is>
          <t>15/04/2026</t>
        </is>
      </c>
      <c r="J11760" s="10" t="inlineStr">
        <is>
          <t>17/03/2026</t>
        </is>
      </c>
      <c r="K11760" s="10" t="inlineStr">
        <is>
          <t>N/A</t>
        </is>
      </c>
      <c r="L11760" s="10" t="inlineStr">
        <is>
          <t>Chịu Khó, Giao Tiếp Lưu Loát, Giao Tiếp Tiếng Anh, năng động, Quản Trị Kinh Doanh</t>
        </is>
      </c>
      <c r="M11760" s="10" t="inlineStr">
        <is>
          <t>Training, Laptop, Transportation, Others</t>
        </is>
      </c>
      <c r="N11760" s="11">
        <f>HYPERLINK("https://www.vietnamworks.com/thuc-tap-sinh-kinh-doanh-2024426-jv","Xem chi tiết")</f>
        <v/>
      </c>
      <c r="O11760" s="10" t="n"/>
    </row>
    <row r="11761">
      <c r="B11761" s="7" t="n">
        <v>11759</v>
      </c>
      <c r="C11761" t="inlineStr">
        <is>
          <t>Nhân Viên Vận Hành Phay CNC / Tiện CNC</t>
        </is>
      </c>
      <c r="D11761" t="inlineStr">
        <is>
          <t>Công ty Cổ phần Công nghệ AMT Việt Nam</t>
        </is>
      </c>
      <c r="E11761" t="inlineStr">
        <is>
          <t>8tr-15tr ₫/tháng</t>
        </is>
      </c>
      <c r="F11761" t="inlineStr">
        <is>
          <t>Hà Nội</t>
        </is>
      </c>
      <c r="G11761" t="inlineStr">
        <is>
          <t>Mới Tốt Nghiệp</t>
        </is>
      </c>
      <c r="H11761" t="inlineStr">
        <is>
          <t>16/03/2026</t>
        </is>
      </c>
      <c r="I11761" t="inlineStr">
        <is>
          <t>15/04/2026</t>
        </is>
      </c>
      <c r="J11761" t="inlineStr">
        <is>
          <t>17/03/2026</t>
        </is>
      </c>
      <c r="K11761" t="inlineStr">
        <is>
          <t>N/A</t>
        </is>
      </c>
      <c r="L11761" t="inlineStr">
        <is>
          <t>CNC Operation, Technical Drawing, Measuring Instruments, Mechanical Engineering, Responsibility</t>
        </is>
      </c>
      <c r="M11761" t="inlineStr">
        <is>
          <t>Bonus, Healthcare Plan, Paid Leave, Travel Opportunities, Others</t>
        </is>
      </c>
      <c r="N11761" s="8">
        <f>HYPERLINK("https://www.vietnamworks.com/nhan-vien-van-hanh-phay-cnc-tien-cnc-2024433-jv","Xem chi tiết")</f>
        <v/>
      </c>
    </row>
    <row r="11762">
      <c r="B11762" s="9" t="n">
        <v>11760</v>
      </c>
      <c r="C11762" s="10" t="inlineStr">
        <is>
          <t>Vị Trí Kỹ Sư Xây Dựng/ Kỹ Sư Máy Công Nghiệp</t>
        </is>
      </c>
      <c r="D11762" s="10" t="inlineStr">
        <is>
          <t>Công Ty TNHH Giải Pháp Cẩu Tháp</t>
        </is>
      </c>
      <c r="E11762" s="10" t="inlineStr">
        <is>
          <t>Thương lượng</t>
        </is>
      </c>
      <c r="F11762" s="10" t="inlineStr">
        <is>
          <t>Hà Nội</t>
        </is>
      </c>
      <c r="G11762" s="10" t="inlineStr">
        <is>
          <t>Nhân viên</t>
        </is>
      </c>
      <c r="H11762" s="10" t="inlineStr">
        <is>
          <t>16/03/2026</t>
        </is>
      </c>
      <c r="I11762" s="10" t="inlineStr">
        <is>
          <t>15/04/2026</t>
        </is>
      </c>
      <c r="J11762" s="10" t="inlineStr">
        <is>
          <t>17/03/2026</t>
        </is>
      </c>
      <c r="K11762" s="10" t="inlineStr">
        <is>
          <t>N/A</t>
        </is>
      </c>
      <c r="L11762" s="10" t="inlineStr">
        <is>
          <t>Hồ Sơ Xây Dựng, Pháp Lý Xây Dựng, Quản Lý Công Trình Xây Dựng, Thiết Kế Bản Vẽ Xây Dựng, Hạ Tầng Xây Dựng</t>
        </is>
      </c>
      <c r="M11762" s="10" t="inlineStr">
        <is>
          <t>Bonus, Healthcare Plan, Others</t>
        </is>
      </c>
      <c r="N11762" s="11">
        <f>HYPERLINK("https://www.vietnamworks.com/vi-tri-ky-su-xay-dung-ky-su-may-cong-nghiep-2024421-jv","Xem chi tiết")</f>
        <v/>
      </c>
      <c r="O11762" s="10" t="n"/>
    </row>
    <row r="11763">
      <c r="B11763" s="7" t="n">
        <v>11761</v>
      </c>
      <c r="C11763" t="inlineStr">
        <is>
          <t>Senior Embedded / Hardware / Software Engineer</t>
        </is>
      </c>
      <c r="D11763" t="inlineStr">
        <is>
          <t>CÔNG TY CỔ PHẦN THIẾT BỊ CÔNG NGHIỆP GEIC</t>
        </is>
      </c>
      <c r="E11763" t="inlineStr">
        <is>
          <t>Thương lượng</t>
        </is>
      </c>
      <c r="F11763" t="inlineStr">
        <is>
          <t>Hà Nội</t>
        </is>
      </c>
      <c r="G11763" t="inlineStr">
        <is>
          <t>Nhân viên</t>
        </is>
      </c>
      <c r="H11763" t="inlineStr">
        <is>
          <t>16/03/2026</t>
        </is>
      </c>
      <c r="I11763" t="inlineStr">
        <is>
          <t>15/04/2026</t>
        </is>
      </c>
      <c r="J11763" t="inlineStr">
        <is>
          <t>17/03/2026</t>
        </is>
      </c>
      <c r="K11763" t="inlineStr">
        <is>
          <t>N/A</t>
        </is>
      </c>
      <c r="L11763" t="inlineStr">
        <is>
          <t>C++, Firmware Design, Lập Trình Nhúng, PCB Design, Python Developer</t>
        </is>
      </c>
      <c r="M11763" t="inlineStr">
        <is>
          <t>Bonus, Healthcare Plan</t>
        </is>
      </c>
      <c r="N11763" s="8">
        <f>HYPERLINK("https://www.vietnamworks.com/senior-embedded-hardware-software-engineer-2024430-jv","Xem chi tiết")</f>
        <v/>
      </c>
    </row>
    <row r="11764">
      <c r="B11764" s="9" t="n">
        <v>11762</v>
      </c>
      <c r="C11764" s="10" t="inlineStr">
        <is>
          <t>VMI Replenishment Planner</t>
        </is>
      </c>
      <c r="D11764" s="10" t="inlineStr">
        <is>
          <t>Mondelēz Kinh Đô Việt Nam</t>
        </is>
      </c>
      <c r="E11764" s="10" t="inlineStr">
        <is>
          <t>Thương lượng</t>
        </is>
      </c>
      <c r="F11764" s="10" t="inlineStr">
        <is>
          <t>Hồ Chí Minh</t>
        </is>
      </c>
      <c r="G11764" s="10" t="inlineStr">
        <is>
          <t>Nhân viên</t>
        </is>
      </c>
      <c r="H11764" s="10" t="inlineStr">
        <is>
          <t>16/03/2026</t>
        </is>
      </c>
      <c r="I11764" s="10" t="inlineStr">
        <is>
          <t>15/04/2026</t>
        </is>
      </c>
      <c r="J11764" s="10" t="inlineStr">
        <is>
          <t>17/03/2026</t>
        </is>
      </c>
      <c r="K11764" s="10" t="inlineStr">
        <is>
          <t>N/A</t>
        </is>
      </c>
      <c r="L11764" s="10" t="inlineStr">
        <is>
          <t>Data Analysis, Logistics Optimization, Order Management, SAP, Vendor Management</t>
        </is>
      </c>
      <c r="M11764" s="10" t="inlineStr">
        <is>
          <t>Bonus, Healthcare Plan, Paid Leave, Laptop, Others</t>
        </is>
      </c>
      <c r="N11764" s="11">
        <f>HYPERLINK("https://www.vietnamworks.com/vmi-replenishment-planner-2024431-jv","Xem chi tiết")</f>
        <v/>
      </c>
      <c r="O11764" s="10" t="n"/>
    </row>
    <row r="11765">
      <c r="B11765" s="7" t="n">
        <v>11763</v>
      </c>
      <c r="C11765" t="inlineStr">
        <is>
          <t>Kỹ Sư/ktv Vận Hành Máy Phủ Chân Không</t>
        </is>
      </c>
      <c r="D11765" t="inlineStr">
        <is>
          <t>Nidec Instruments (Hanoi) Corporation</t>
        </is>
      </c>
      <c r="E11765" t="inlineStr">
        <is>
          <t>Thương lượng</t>
        </is>
      </c>
      <c r="F11765" t="inlineStr">
        <is>
          <t>Hà Nội</t>
        </is>
      </c>
      <c r="G11765" t="inlineStr">
        <is>
          <t>Nhân viên</t>
        </is>
      </c>
      <c r="H11765" t="inlineStr">
        <is>
          <t>16/03/2026</t>
        </is>
      </c>
      <c r="I11765" t="inlineStr">
        <is>
          <t>15/04/2026</t>
        </is>
      </c>
      <c r="J11765" t="inlineStr">
        <is>
          <t>17/03/2026</t>
        </is>
      </c>
      <c r="K11765" t="inlineStr">
        <is>
          <t>N/A</t>
        </is>
      </c>
      <c r="L11765" t="inlineStr">
        <is>
          <t>Kỹ Sư</t>
        </is>
      </c>
      <c r="M11765" t="inlineStr">
        <is>
          <t>Bonus, Healthcare Plan, Travel Opportunities</t>
        </is>
      </c>
      <c r="N11765" s="8">
        <f>HYPERLINK("https://www.vietnamworks.com/ky-su-ktv-van-hanh-may-phu-chan-khong-2024413-jv","Xem chi tiết")</f>
        <v/>
      </c>
    </row>
    <row r="11766">
      <c r="B11766" s="9" t="n">
        <v>11764</v>
      </c>
      <c r="C11766" s="10" t="inlineStr">
        <is>
          <t>Kế Toán Tổng Hợp (Thu Nhập 15-20M + Thưởng)</t>
        </is>
      </c>
      <c r="D11766" s="10" t="inlineStr">
        <is>
          <t>Asia Top Travel Co, Ltd.</t>
        </is>
      </c>
      <c r="E11766" s="10" t="inlineStr">
        <is>
          <t>15tr-20tr ₫/tháng</t>
        </is>
      </c>
      <c r="F11766" s="10" t="inlineStr">
        <is>
          <t>Hà Nội</t>
        </is>
      </c>
      <c r="G11766" s="10" t="inlineStr">
        <is>
          <t>Nhân viên</t>
        </is>
      </c>
      <c r="H11766" s="10" t="inlineStr">
        <is>
          <t>16/03/2026</t>
        </is>
      </c>
      <c r="I11766" s="10" t="inlineStr">
        <is>
          <t>15/04/2026</t>
        </is>
      </c>
      <c r="J11766" s="10" t="inlineStr">
        <is>
          <t>17/03/2026</t>
        </is>
      </c>
      <c r="K11766" s="10" t="inlineStr">
        <is>
          <t>N/A</t>
        </is>
      </c>
      <c r="L11766" s="10" t="inlineStr">
        <is>
          <t>Kế Toán Tổng Hợp, Báo Cáo Thuế, Kế toán, Accounting</t>
        </is>
      </c>
      <c r="M11766" s="10" t="inlineStr">
        <is>
          <t>Bonus, Mobile, Team Activities</t>
        </is>
      </c>
      <c r="N11766" s="11">
        <f>HYPERLINK("https://www.vietnamworks.com/ke-toan-tong-hop-thu-nhap-15-20m-thuong-2024434-jv","Xem chi tiết")</f>
        <v/>
      </c>
      <c r="O11766" s="10" t="n"/>
    </row>
    <row r="11767">
      <c r="B11767" s="7" t="n">
        <v>11765</v>
      </c>
      <c r="C11767" t="inlineStr">
        <is>
          <t>Kế Toán (Trên 1 Năm Kinh Nghiệm)</t>
        </is>
      </c>
      <c r="D11767" t="inlineStr">
        <is>
          <t>Công Ty TNHH Giải Pháp Cẩu Tháp</t>
        </is>
      </c>
      <c r="E11767" t="inlineStr">
        <is>
          <t>Thương lượng</t>
        </is>
      </c>
      <c r="F11767" t="inlineStr">
        <is>
          <t>Hà Nội</t>
        </is>
      </c>
      <c r="G11767" t="inlineStr">
        <is>
          <t>Nhân viên</t>
        </is>
      </c>
      <c r="H11767" t="inlineStr">
        <is>
          <t>16/03/2026</t>
        </is>
      </c>
      <c r="I11767" t="inlineStr">
        <is>
          <t>15/04/2026</t>
        </is>
      </c>
      <c r="J11767" t="inlineStr">
        <is>
          <t>17/03/2026</t>
        </is>
      </c>
      <c r="K11767" t="inlineStr">
        <is>
          <t>N/A</t>
        </is>
      </c>
      <c r="L11767" t="inlineStr">
        <is>
          <t>Kế Toán, Kế Toán Báo Cáo, Kiểm Toán, Công Nợ, Báo Cáo Thống Kê</t>
        </is>
      </c>
      <c r="M11767" t="inlineStr">
        <is>
          <t>Bonus, Healthcare Plan, Others</t>
        </is>
      </c>
      <c r="N11767" s="8">
        <f>HYPERLINK("https://www.vietnamworks.com/ke-toan-tren-1-nam-kinh-nghiem-2024428-jv","Xem chi tiết")</f>
        <v/>
      </c>
    </row>
    <row r="11768">
      <c r="B11768" s="9" t="n">
        <v>11766</v>
      </c>
      <c r="C11768" s="10" t="inlineStr">
        <is>
          <t>Sales Fulfillment</t>
        </is>
      </c>
      <c r="D11768" s="10" t="inlineStr">
        <is>
          <t>CÔNG TY TNHH THƯƠNG MẠI DỊCH VỤ VẬN TẢI QUỐC TẾ T &amp; T LOGISTICS</t>
        </is>
      </c>
      <c r="E11768" s="10" t="inlineStr">
        <is>
          <t>8tr-12tr ₫/tháng</t>
        </is>
      </c>
      <c r="F11768" s="10" t="inlineStr">
        <is>
          <t>Hồ Chí Minh</t>
        </is>
      </c>
      <c r="G11768" s="10" t="inlineStr">
        <is>
          <t>Mới Tốt Nghiệp</t>
        </is>
      </c>
      <c r="H11768" s="10" t="inlineStr">
        <is>
          <t>16/03/2026</t>
        </is>
      </c>
      <c r="I11768" s="10" t="inlineStr">
        <is>
          <t>15/04/2026</t>
        </is>
      </c>
      <c r="J11768" s="10" t="inlineStr">
        <is>
          <t>17/03/2026</t>
        </is>
      </c>
      <c r="K11768" s="10" t="inlineStr">
        <is>
          <t>N/A</t>
        </is>
      </c>
      <c r="L11768" s="10" t="inlineStr">
        <is>
          <t>Tư Vấn Bán Hàng, Chăm Sóc Khách Hàng, Online Sales, Bán hàng, Tư Vấn</t>
        </is>
      </c>
      <c r="M11768" s="10" t="inlineStr">
        <is>
          <t>Bonus, Healthcare Plan, Travel Opportunities, Others</t>
        </is>
      </c>
      <c r="N11768" s="11">
        <f>HYPERLINK("https://www.vietnamworks.com/sales-fulfillment-2024427-jv","Xem chi tiết")</f>
        <v/>
      </c>
      <c r="O11768" s="10" t="n"/>
    </row>
    <row r="11769">
      <c r="B11769" s="7" t="n">
        <v>11767</v>
      </c>
      <c r="C11769" t="inlineStr">
        <is>
          <t>Nhân Viên Chứng Từ Hàng Xuất/Hàng Nhập</t>
        </is>
      </c>
      <c r="D11769" t="inlineStr">
        <is>
          <t>ocean trans</t>
        </is>
      </c>
      <c r="E11769" t="inlineStr">
        <is>
          <t>8tr-14tr ₫/tháng</t>
        </is>
      </c>
      <c r="F11769" t="inlineStr">
        <is>
          <t>Hà Nội, Hồ Chí Minh</t>
        </is>
      </c>
      <c r="G11769" t="inlineStr">
        <is>
          <t>Nhân viên</t>
        </is>
      </c>
      <c r="H11769" t="inlineStr">
        <is>
          <t>16/03/2026</t>
        </is>
      </c>
      <c r="I11769" t="inlineStr">
        <is>
          <t>15/04/2026</t>
        </is>
      </c>
      <c r="J11769" t="inlineStr">
        <is>
          <t>17/03/2026</t>
        </is>
      </c>
      <c r="K11769" t="inlineStr">
        <is>
          <t>N/A</t>
        </is>
      </c>
      <c r="L11769" t="inlineStr">
        <is>
          <t>Logistics, Foreign Trade, Reservation System, Chứng Từ Xuất Nhập Kho, Xuất Nhập Khẩu</t>
        </is>
      </c>
      <c r="M11769" t="inlineStr">
        <is>
          <t>Bonus, Healthcare Plan, Paid Leave, Travel Opportunities, Team Activities, Others</t>
        </is>
      </c>
      <c r="N11769" s="8">
        <f>HYPERLINK("https://www.vietnamworks.com/nhan-vien-chung-tu-hang-xuathang-nhap-2024436-jv","Xem chi tiết")</f>
        <v/>
      </c>
    </row>
    <row r="11770">
      <c r="B11770" s="9" t="n">
        <v>11768</v>
      </c>
      <c r="C11770" s="10" t="inlineStr">
        <is>
          <t>Receptionist / Lễ Tân</t>
        </is>
      </c>
      <c r="D11770" s="10" t="inlineStr">
        <is>
          <t>Family Medical Practice</t>
        </is>
      </c>
      <c r="E11770" s="10" t="inlineStr">
        <is>
          <t>$$ 500-650 /tháng</t>
        </is>
      </c>
      <c r="F11770" s="10" t="inlineStr">
        <is>
          <t>Hà Nội</t>
        </is>
      </c>
      <c r="G11770" s="10" t="inlineStr">
        <is>
          <t>Nhân viên</t>
        </is>
      </c>
      <c r="H11770" s="10" t="inlineStr">
        <is>
          <t>16/03/2026</t>
        </is>
      </c>
      <c r="I11770" s="10" t="inlineStr">
        <is>
          <t>15/04/2026</t>
        </is>
      </c>
      <c r="J11770" s="10" t="inlineStr">
        <is>
          <t>17/03/2026</t>
        </is>
      </c>
      <c r="K11770" s="10" t="inlineStr">
        <is>
          <t>N/A</t>
        </is>
      </c>
      <c r="L11770" s="10" t="inlineStr">
        <is>
          <t>English, Customer Relation, Appointment Making, Customer Care, Problem Solving</t>
        </is>
      </c>
      <c r="M11770" s="10" t="inlineStr">
        <is>
          <t>Healthcare Plan, Paid Leave, Awards</t>
        </is>
      </c>
      <c r="N11770" s="11">
        <f>HYPERLINK("https://www.vietnamworks.com/receptionist-le-tan--2024422-jv","Xem chi tiết")</f>
        <v/>
      </c>
      <c r="O11770" s="10" t="n"/>
    </row>
    <row r="11771">
      <c r="B11771" s="7" t="n">
        <v>11769</v>
      </c>
      <c r="C11771" t="inlineStr">
        <is>
          <t>Product Manager (Sản Phẩm Tài Chính - Kế Toán Cho Doanh Nghiệp) / Tuyển Gấp</t>
        </is>
      </c>
      <c r="D11771" t="inlineStr">
        <is>
          <t>MISA Jointstock Company</t>
        </is>
      </c>
      <c r="E11771" t="inlineStr">
        <is>
          <t>$$ 1,000-3,000 /tháng</t>
        </is>
      </c>
      <c r="F11771" t="inlineStr">
        <is>
          <t>Hà Nội</t>
        </is>
      </c>
      <c r="G11771" t="inlineStr">
        <is>
          <t>Nhân viên</t>
        </is>
      </c>
      <c r="H11771" t="inlineStr">
        <is>
          <t>16/03/2026</t>
        </is>
      </c>
      <c r="I11771" t="inlineStr">
        <is>
          <t>15/04/2026</t>
        </is>
      </c>
      <c r="J11771" t="inlineStr">
        <is>
          <t>17/03/2026</t>
        </is>
      </c>
      <c r="K11771" t="inlineStr">
        <is>
          <t>N/A</t>
        </is>
      </c>
      <c r="L11771" t="inlineStr">
        <is>
          <t>Kế Toán, Phân Tích Dữ Liệu, Produc manager, product owner, Quản Lý Tiến Độ Dự Án</t>
        </is>
      </c>
      <c r="M11771" t="inlineStr">
        <is>
          <t>Bonus, Healthcare Plan, Training, Team Activities</t>
        </is>
      </c>
      <c r="N11771" s="8">
        <f>HYPERLINK("https://www.vietnamworks.com/product-manager-san-pham-tai-chinh-ke-toan-cho-doanh-nghiep-tuyen-gap--2024412-jv","Xem chi tiết")</f>
        <v/>
      </c>
    </row>
    <row r="11772">
      <c r="B11772" s="9" t="n">
        <v>11770</v>
      </c>
      <c r="C11772" s="10" t="inlineStr">
        <is>
          <t>Chuyên Viên Creative Content</t>
        </is>
      </c>
      <c r="D11772" s="10" t="inlineStr">
        <is>
          <t>Công ty CP Truyền Thông Bluesky</t>
        </is>
      </c>
      <c r="E11772" s="10" t="inlineStr">
        <is>
          <t>Thương lượng</t>
        </is>
      </c>
      <c r="F11772" s="10" t="inlineStr">
        <is>
          <t>Hà Nội</t>
        </is>
      </c>
      <c r="G11772" s="10" t="inlineStr">
        <is>
          <t>Nhân viên</t>
        </is>
      </c>
      <c r="H11772" s="10" t="inlineStr">
        <is>
          <t>16/03/2026</t>
        </is>
      </c>
      <c r="I11772" s="10" t="inlineStr">
        <is>
          <t>15/04/2026</t>
        </is>
      </c>
      <c r="J11772" s="10" t="inlineStr">
        <is>
          <t>17/03/2026</t>
        </is>
      </c>
      <c r="K11772" s="10" t="inlineStr">
        <is>
          <t>N/A</t>
        </is>
      </c>
      <c r="L11772" s="10" t="inlineStr">
        <is>
          <t>Content Strategy, Chiến Dịch Truyền Thông, Branding, E-commerce, Content Creating</t>
        </is>
      </c>
      <c r="M11772" s="10" t="inlineStr">
        <is>
          <t>Bonus, Paid Leave, Travel Opportunities</t>
        </is>
      </c>
      <c r="N11772" s="11">
        <f>HYPERLINK("https://www.vietnamworks.com/chuyen-vien-creative-content--2024417-jv","Xem chi tiết")</f>
        <v/>
      </c>
      <c r="O11772" s="10" t="n"/>
    </row>
    <row r="11773">
      <c r="B11773" s="7" t="n">
        <v>11771</v>
      </c>
      <c r="C11773" t="inlineStr">
        <is>
          <t>Nhân Viên QC Cơ Khí</t>
        </is>
      </c>
      <c r="D11773" t="inlineStr">
        <is>
          <t>Công ty Cổ phần Công nghệ AMT Việt Nam</t>
        </is>
      </c>
      <c r="E11773" t="inlineStr">
        <is>
          <t>8tr-15tr ₫/tháng</t>
        </is>
      </c>
      <c r="F11773" t="inlineStr">
        <is>
          <t>Hà Nội</t>
        </is>
      </c>
      <c r="G11773" t="inlineStr">
        <is>
          <t>Mới Tốt Nghiệp</t>
        </is>
      </c>
      <c r="H11773" t="inlineStr">
        <is>
          <t>16/03/2026</t>
        </is>
      </c>
      <c r="I11773" t="inlineStr">
        <is>
          <t>15/04/2026</t>
        </is>
      </c>
      <c r="J11773" t="inlineStr">
        <is>
          <t>17/03/2026</t>
        </is>
      </c>
      <c r="K11773" t="inlineStr">
        <is>
          <t>N/A</t>
        </is>
      </c>
      <c r="L11773" t="inlineStr">
        <is>
          <t>Cơ Khí, Kiểm Soát Chất Lượng, QA, Quality Control, Quản Lý Chất Lượng</t>
        </is>
      </c>
      <c r="M11773" t="inlineStr">
        <is>
          <t>Bonus, Healthcare Plan, Paid Leave, Travel Opportunities, Others</t>
        </is>
      </c>
      <c r="N11773" s="8">
        <f>HYPERLINK("https://www.vietnamworks.com/nhan-vien-qc-co-khi-2024429-jv","Xem chi tiết")</f>
        <v/>
      </c>
    </row>
    <row r="11774">
      <c r="B11774" s="9" t="n">
        <v>11772</v>
      </c>
      <c r="C11774" s="10" t="inlineStr">
        <is>
          <t>Key Account Specialist (Based in HCM)</t>
        </is>
      </c>
      <c r="D11774" s="10" t="inlineStr">
        <is>
          <t>Laboratoire Aguettant France</t>
        </is>
      </c>
      <c r="E11774" s="10" t="inlineStr">
        <is>
          <t>Thương lượng</t>
        </is>
      </c>
      <c r="F11774" s="10" t="inlineStr">
        <is>
          <t>Hồ Chí Minh</t>
        </is>
      </c>
      <c r="G11774" s="10" t="inlineStr">
        <is>
          <t>Nhân viên</t>
        </is>
      </c>
      <c r="H11774" s="10" t="inlineStr">
        <is>
          <t>16/03/2026</t>
        </is>
      </c>
      <c r="I11774" s="10" t="inlineStr">
        <is>
          <t>15/04/2026</t>
        </is>
      </c>
      <c r="J11774" s="10" t="inlineStr">
        <is>
          <t>17/03/2026</t>
        </is>
      </c>
      <c r="K11774" s="10" t="inlineStr">
        <is>
          <t>N/A</t>
        </is>
      </c>
      <c r="L11774" s="10" t="inlineStr">
        <is>
          <t>Communication Skills, Tender Management, Tender Administration, Kinh Nghiệm Key Account, Key Account Development</t>
        </is>
      </c>
      <c r="M11774" s="10" t="inlineStr">
        <is>
          <t>Bonus, Healthcare Plan, Paid Leave</t>
        </is>
      </c>
      <c r="N11774" s="11">
        <f>HYPERLINK("https://www.vietnamworks.com/key-account-specialist-based-in-hcm-2024419-jv","Xem chi tiết")</f>
        <v/>
      </c>
      <c r="O11774" s="10" t="n"/>
    </row>
    <row r="11775">
      <c r="B11775" s="7" t="n">
        <v>11773</v>
      </c>
      <c r="C11775" t="inlineStr">
        <is>
          <t>C&amp;A Business Development Specialist</t>
        </is>
      </c>
      <c r="D11775" t="inlineStr">
        <is>
          <t>Electrolux Vietnam Ltd.,</t>
        </is>
      </c>
      <c r="E11775" t="inlineStr">
        <is>
          <t>Thương lượng</t>
        </is>
      </c>
      <c r="F11775" t="inlineStr">
        <is>
          <t>Hồ Chí Minh</t>
        </is>
      </c>
      <c r="G11775" t="inlineStr">
        <is>
          <t>Nhân viên</t>
        </is>
      </c>
      <c r="H11775" t="inlineStr">
        <is>
          <t>16/03/2026</t>
        </is>
      </c>
      <c r="I11775" t="inlineStr">
        <is>
          <t>15/04/2026</t>
        </is>
      </c>
      <c r="J11775" t="inlineStr">
        <is>
          <t>17/03/2026</t>
        </is>
      </c>
      <c r="K11775" t="inlineStr">
        <is>
          <t>N/A</t>
        </is>
      </c>
      <c r="L11775" t="inlineStr">
        <is>
          <t>Business Development, Communication Skills, Customer Service, Sales Experience, Teamwork</t>
        </is>
      </c>
      <c r="M11775" t="inlineStr">
        <is>
          <t>Training, Others</t>
        </is>
      </c>
      <c r="N11775" s="8">
        <f>HYPERLINK("https://www.vietnamworks.com/canda-business-development-specialist-2024452-jv","Xem chi tiết")</f>
        <v/>
      </c>
    </row>
    <row r="11776">
      <c r="B11776" s="9" t="n">
        <v>11774</v>
      </c>
      <c r="C11776" s="10" t="inlineStr">
        <is>
          <t>Front Office Manager (5-Star Hotel)</t>
        </is>
      </c>
      <c r="D11776" s="10" t="inlineStr">
        <is>
          <t>Công Ty Cổ Phần Tập Đoàn BRG</t>
        </is>
      </c>
      <c r="E11776" s="10" t="inlineStr">
        <is>
          <t>Thương lượng</t>
        </is>
      </c>
      <c r="F11776" s="10" t="inlineStr">
        <is>
          <t>Hà Nội</t>
        </is>
      </c>
      <c r="G11776" s="10" t="inlineStr">
        <is>
          <t>Trưởng phòng</t>
        </is>
      </c>
      <c r="H11776" s="10" t="inlineStr">
        <is>
          <t>16/03/2026</t>
        </is>
      </c>
      <c r="I11776" s="10" t="inlineStr">
        <is>
          <t>15/04/2026</t>
        </is>
      </c>
      <c r="J11776" s="10" t="inlineStr">
        <is>
          <t>17/03/2026</t>
        </is>
      </c>
      <c r="K11776" s="10" t="inlineStr">
        <is>
          <t>N/A</t>
        </is>
      </c>
      <c r="L11776" s="10" t="inlineStr">
        <is>
          <t>Front Office Management, Customer Service Management, Training Skills, Complaint Handling, Lễ Tân</t>
        </is>
      </c>
      <c r="M11776" s="10" t="inlineStr">
        <is>
          <t>Bonus, Healthcare Plan, Travel Opportunities</t>
        </is>
      </c>
      <c r="N11776" s="11">
        <f>HYPERLINK("https://www.vietnamworks.com/front-office-manager-5-star-hotel--2024451-jv","Xem chi tiết")</f>
        <v/>
      </c>
      <c r="O11776" s="10" t="n"/>
    </row>
    <row r="11777">
      <c r="B11777" s="7" t="n">
        <v>11775</v>
      </c>
      <c r="C11777" t="inlineStr">
        <is>
          <t>Finance Manager</t>
        </is>
      </c>
      <c r="D11777" t="inlineStr">
        <is>
          <t>Lalamove Viet Nam</t>
        </is>
      </c>
      <c r="E11777" t="inlineStr">
        <is>
          <t>Thương lượng</t>
        </is>
      </c>
      <c r="F11777" t="inlineStr">
        <is>
          <t>Hồ Chí Minh</t>
        </is>
      </c>
      <c r="G11777" t="inlineStr">
        <is>
          <t>Trưởng phòng</t>
        </is>
      </c>
      <c r="H11777" t="inlineStr">
        <is>
          <t>16/03/2026</t>
        </is>
      </c>
      <c r="I11777" t="inlineStr">
        <is>
          <t>15/04/2026</t>
        </is>
      </c>
      <c r="J11777" t="inlineStr">
        <is>
          <t>17/03/2026</t>
        </is>
      </c>
      <c r="K11777" t="inlineStr">
        <is>
          <t>N/A</t>
        </is>
      </c>
      <c r="L11777" t="inlineStr">
        <is>
          <t>Budgeting, Financial Accounting, Legal Compliance, Team Development, Accounting Background</t>
        </is>
      </c>
      <c r="M11777" t="inlineStr">
        <is>
          <t>Healthcare Plan, Paid Leave, Laptop, Others</t>
        </is>
      </c>
      <c r="N11777" s="8">
        <f>HYPERLINK("https://www.vietnamworks.com/finance-manager-2024455-jv","Xem chi tiết")</f>
        <v/>
      </c>
    </row>
    <row r="11778">
      <c r="B11778" s="9" t="n">
        <v>11776</v>
      </c>
      <c r="C11778" s="10" t="inlineStr">
        <is>
          <t>Maintenance Engineer</t>
        </is>
      </c>
      <c r="D11778" s="10" t="inlineStr">
        <is>
          <t>Amphenol High Speed Technology Vietnam</t>
        </is>
      </c>
      <c r="E11778" s="10" t="inlineStr">
        <is>
          <t>Thương lượng</t>
        </is>
      </c>
      <c r="F11778" s="10" t="inlineStr">
        <is>
          <t>Bắc Ninh</t>
        </is>
      </c>
      <c r="G11778" s="10" t="inlineStr">
        <is>
          <t>Nhân viên</t>
        </is>
      </c>
      <c r="H11778" s="10" t="inlineStr">
        <is>
          <t>16/03/2026</t>
        </is>
      </c>
      <c r="I11778" s="10" t="inlineStr">
        <is>
          <t>15/04/2026</t>
        </is>
      </c>
      <c r="J11778" s="10" t="inlineStr">
        <is>
          <t>17/03/2026</t>
        </is>
      </c>
      <c r="K11778" s="10" t="inlineStr">
        <is>
          <t>N/A</t>
        </is>
      </c>
      <c r="L11778" s="10" t="inlineStr">
        <is>
          <t>Tpm Knowledge, OEE analysis, Mechanical Engineering, Electrical Engineering, Communication Skills</t>
        </is>
      </c>
      <c r="M11778" s="10" t="inlineStr">
        <is>
          <t>Bonus, Healthcare Plan, Transportation</t>
        </is>
      </c>
      <c r="N11778" s="11">
        <f>HYPERLINK("https://www.vietnamworks.com/maintenance-engineer--2024438-jv","Xem chi tiết")</f>
        <v/>
      </c>
      <c r="O11778" s="10" t="n"/>
    </row>
    <row r="11779">
      <c r="B11779" s="7" t="n">
        <v>11777</v>
      </c>
      <c r="C11779" t="inlineStr">
        <is>
          <t>Trưởng Phòng Pháp Lý Dự Án</t>
        </is>
      </c>
      <c r="D11779" t="inlineStr">
        <is>
          <t>Công Ty Cổ Phần Tập Đoàn Địa Ốc Vạn Xuân</t>
        </is>
      </c>
      <c r="E11779" t="inlineStr">
        <is>
          <t>Thương lượng</t>
        </is>
      </c>
      <c r="F11779" t="inlineStr">
        <is>
          <t>Hồ Chí Minh</t>
        </is>
      </c>
      <c r="G11779" t="inlineStr">
        <is>
          <t>Trưởng phòng</t>
        </is>
      </c>
      <c r="H11779" t="inlineStr">
        <is>
          <t>16/03/2026</t>
        </is>
      </c>
      <c r="I11779" t="inlineStr">
        <is>
          <t>15/04/2026</t>
        </is>
      </c>
      <c r="J11779" t="inlineStr">
        <is>
          <t>17/03/2026</t>
        </is>
      </c>
      <c r="K11779" t="inlineStr">
        <is>
          <t>N/A</t>
        </is>
      </c>
      <c r="L11779" t="inlineStr">
        <is>
          <t>Pháp Lý Dự Án Đầu Tư, Pháp Lý Dự Án, Bất Động Sản, Legal, Pháp Lý</t>
        </is>
      </c>
      <c r="M11779" t="inlineStr">
        <is>
          <t>Bonus, Training, Travel Opportunities</t>
        </is>
      </c>
      <c r="N11779" s="8">
        <f>HYPERLINK("https://www.vietnamworks.com/truong-phong-phap-ly-du-an--2024442-jv","Xem chi tiết")</f>
        <v/>
      </c>
    </row>
    <row r="11780">
      <c r="B11780" s="9" t="n">
        <v>11778</v>
      </c>
      <c r="C11780" s="10" t="inlineStr">
        <is>
          <t>Strategic Initiatives &amp; Project Launcher</t>
        </is>
      </c>
      <c r="D11780" s="10" t="inlineStr">
        <is>
          <t>Công Ty Cổ Phần Metub Việt Nam</t>
        </is>
      </c>
      <c r="E11780" s="10" t="inlineStr">
        <is>
          <t>Thương lượng</t>
        </is>
      </c>
      <c r="F11780" s="10" t="inlineStr">
        <is>
          <t>Hồ Chí Minh</t>
        </is>
      </c>
      <c r="G11780" s="10" t="inlineStr">
        <is>
          <t>Trưởng phòng</t>
        </is>
      </c>
      <c r="H11780" s="10" t="inlineStr">
        <is>
          <t>16/03/2026</t>
        </is>
      </c>
      <c r="I11780" s="10" t="inlineStr">
        <is>
          <t>15/04/2026</t>
        </is>
      </c>
      <c r="J11780" s="10" t="inlineStr">
        <is>
          <t>17/03/2026</t>
        </is>
      </c>
      <c r="K11780" s="10" t="inlineStr">
        <is>
          <t>N/A</t>
        </is>
      </c>
      <c r="L11780" s="10" t="inlineStr">
        <is>
          <t>Strategy Planning, Management Training Programs, Ecommerce Operations, Consulting, Project Management</t>
        </is>
      </c>
      <c r="M11780" s="10" t="inlineStr">
        <is>
          <t>Bonus, Others</t>
        </is>
      </c>
      <c r="N11780" s="11">
        <f>HYPERLINK("https://www.vietnamworks.com/strategic-initiatives-project-launcher-2024441-jv","Xem chi tiết")</f>
        <v/>
      </c>
      <c r="O11780" s="10" t="n"/>
    </row>
    <row r="11781">
      <c r="B11781" s="7" t="n">
        <v>11779</v>
      </c>
      <c r="C11781" t="inlineStr">
        <is>
          <t>Operations Team Leader Clearance (Noi Bai)</t>
        </is>
      </c>
      <c r="D11781" t="inlineStr">
        <is>
          <t>FedEx Express Vietnam Co., Ltd.</t>
        </is>
      </c>
      <c r="E11781" t="inlineStr">
        <is>
          <t>Thương lượng</t>
        </is>
      </c>
      <c r="F11781" t="inlineStr">
        <is>
          <t>Hà Nội</t>
        </is>
      </c>
      <c r="G11781" t="inlineStr">
        <is>
          <t>Nhân viên</t>
        </is>
      </c>
      <c r="H11781" t="inlineStr">
        <is>
          <t>16/03/2026</t>
        </is>
      </c>
      <c r="I11781" t="inlineStr">
        <is>
          <t>15/04/2026</t>
        </is>
      </c>
      <c r="J11781" t="inlineStr">
        <is>
          <t>17/03/2026</t>
        </is>
      </c>
      <c r="K11781" t="inlineStr">
        <is>
          <t>N/A</t>
        </is>
      </c>
      <c r="L11781" t="inlineStr">
        <is>
          <t>Customs Declare, Data Analysis, SQL, Excel, Customs Clearance</t>
        </is>
      </c>
      <c r="M11781" t="inlineStr">
        <is>
          <t>Bonus, Healthcare Plan, Training, Others</t>
        </is>
      </c>
      <c r="N11781" s="8">
        <f>HYPERLINK("https://www.vietnamworks.com/operations-team-leader-clearance-noi-bai-2024447-jv","Xem chi tiết")</f>
        <v/>
      </c>
    </row>
    <row r="11782">
      <c r="B11782" s="9" t="n">
        <v>11780</v>
      </c>
      <c r="C11782" s="10" t="inlineStr">
        <is>
          <t>Clearance Broker (Nhân Viên Khai Báo Hải Quan) (Nội Bài)</t>
        </is>
      </c>
      <c r="D11782" s="10" t="inlineStr">
        <is>
          <t>FedEx Express Vietnam Co., Ltd.</t>
        </is>
      </c>
      <c r="E11782" s="10" t="inlineStr">
        <is>
          <t>Thương lượng</t>
        </is>
      </c>
      <c r="F11782" s="10" t="inlineStr">
        <is>
          <t>Hà Nội</t>
        </is>
      </c>
      <c r="G11782" s="10" t="inlineStr">
        <is>
          <t>Nhân viên</t>
        </is>
      </c>
      <c r="H11782" s="10" t="inlineStr">
        <is>
          <t>16/03/2026</t>
        </is>
      </c>
      <c r="I11782" s="10" t="inlineStr">
        <is>
          <t>15/04/2026</t>
        </is>
      </c>
      <c r="J11782" s="10" t="inlineStr">
        <is>
          <t>17/03/2026</t>
        </is>
      </c>
      <c r="K11782" s="10" t="inlineStr">
        <is>
          <t>N/A</t>
        </is>
      </c>
      <c r="L11782" s="10" t="inlineStr">
        <is>
          <t>Customs Brokerage, Customs Clearance, Customs Handling, Import – Export, Shipment Management</t>
        </is>
      </c>
      <c r="M11782" s="10" t="inlineStr">
        <is>
          <t>Bonus, Healthcare Plan, Training, Others</t>
        </is>
      </c>
      <c r="N11782" s="11">
        <f>HYPERLINK("https://www.vietnamworks.com/clearance-broker-nhan-vien-khai-bao-hai-quan-noi-bai-2024448-jv","Xem chi tiết")</f>
        <v/>
      </c>
      <c r="O11782" s="10" t="n"/>
    </row>
    <row r="11783">
      <c r="B11783" s="7" t="n">
        <v>11781</v>
      </c>
      <c r="C11783" t="inlineStr">
        <is>
          <t>Kế Toán</t>
        </is>
      </c>
      <c r="D11783" t="inlineStr">
        <is>
          <t>Công Ty Cổ Phần Thương Mại Và Dịch Vụ Kĩ Thuật SVC</t>
        </is>
      </c>
      <c r="E11783" t="inlineStr">
        <is>
          <t>10tr-16tr ₫/tháng</t>
        </is>
      </c>
      <c r="F11783" t="inlineStr">
        <is>
          <t>Hà Nội</t>
        </is>
      </c>
      <c r="G11783" t="inlineStr">
        <is>
          <t>Nhân viên</t>
        </is>
      </c>
      <c r="H11783" t="inlineStr">
        <is>
          <t>16/03/2026</t>
        </is>
      </c>
      <c r="I11783" t="inlineStr">
        <is>
          <t>15/04/2026</t>
        </is>
      </c>
      <c r="J11783" t="inlineStr">
        <is>
          <t>17/03/2026</t>
        </is>
      </c>
      <c r="K11783" t="inlineStr">
        <is>
          <t>N/A</t>
        </is>
      </c>
      <c r="L11783" t="inlineStr">
        <is>
          <t>Excel, Hóa Đơn Điện Tử, Lập Báo Cáo Thuế, MISA Accounting Software, VAT</t>
        </is>
      </c>
      <c r="M11783" t="inlineStr">
        <is>
          <t>Bonus, Healthcare Plan, Paid Leave, Training, Team Activities, Canteen, Others</t>
        </is>
      </c>
      <c r="N11783" s="8">
        <f>HYPERLINK("https://www.vietnamworks.com/ke-toan-2024458-jv","Xem chi tiết")</f>
        <v/>
      </c>
    </row>
    <row r="11784">
      <c r="B11784" s="9" t="n">
        <v>11782</v>
      </c>
      <c r="C11784" s="10" t="inlineStr">
        <is>
          <t>Senior Strategic Planning &amp; Operation Specialist</t>
        </is>
      </c>
      <c r="D11784" s="10" t="inlineStr">
        <is>
          <t>Công Ty Cổ Phần Vàng Bạc Đá Quý Phú Nhuận (PNJ)</t>
        </is>
      </c>
      <c r="E11784" s="10" t="inlineStr">
        <is>
          <t>Thương lượng</t>
        </is>
      </c>
      <c r="F11784" s="10" t="inlineStr">
        <is>
          <t>Hồ Chí Minh</t>
        </is>
      </c>
      <c r="G11784" s="10" t="inlineStr">
        <is>
          <t>Nhân viên</t>
        </is>
      </c>
      <c r="H11784" s="10" t="inlineStr">
        <is>
          <t>16/03/2026</t>
        </is>
      </c>
      <c r="I11784" s="10" t="inlineStr">
        <is>
          <t>15/04/2026</t>
        </is>
      </c>
      <c r="J11784" s="10" t="inlineStr">
        <is>
          <t>17/03/2026</t>
        </is>
      </c>
      <c r="K11784" s="10" t="inlineStr">
        <is>
          <t>N/A</t>
        </is>
      </c>
      <c r="L11784" s="10" t="inlineStr">
        <is>
          <t>Phân Tích Chiến Lược, Phân Tích Số Liệu, Phân Tích Tài Chính, Quản Lý Dự Án, Quản Lý KPI</t>
        </is>
      </c>
      <c r="M11784" s="10" t="inlineStr">
        <is>
          <t>Bonus, Healthcare Plan, Paid Leave, Training, Laptop, Travel Opportunities, Others</t>
        </is>
      </c>
      <c r="N11784" s="11">
        <f>HYPERLINK("https://www.vietnamworks.com/senior-strategic-planning-and-operation-specialist-2024479-jv","Xem chi tiết")</f>
        <v/>
      </c>
      <c r="O11784" s="10" t="n"/>
    </row>
    <row r="11785">
      <c r="B11785" s="7" t="n">
        <v>11783</v>
      </c>
      <c r="C11785" t="inlineStr">
        <is>
          <t>Chief Accountant (Part-time)</t>
        </is>
      </c>
      <c r="D11785" t="inlineStr">
        <is>
          <t>Sincere Consulting Vietnam Co.,Ltd</t>
        </is>
      </c>
      <c r="E11785" t="inlineStr">
        <is>
          <t>30tr-45tr ₫/tháng</t>
        </is>
      </c>
      <c r="F11785" t="inlineStr">
        <is>
          <t>Hồ Chí Minh</t>
        </is>
      </c>
      <c r="G11785" t="inlineStr">
        <is>
          <t>Nhân viên</t>
        </is>
      </c>
      <c r="H11785" t="inlineStr">
        <is>
          <t>16/03/2026</t>
        </is>
      </c>
      <c r="I11785" t="inlineStr">
        <is>
          <t>15/04/2026</t>
        </is>
      </c>
      <c r="J11785" t="inlineStr">
        <is>
          <t>17/03/2026</t>
        </is>
      </c>
      <c r="K11785" t="inlineStr">
        <is>
          <t>N/A</t>
        </is>
      </c>
      <c r="L11785" t="inlineStr">
        <is>
          <t>Administrative Support, Chief Accountant Certificate, PC Literacy, ProAccounting, Proactive Review</t>
        </is>
      </c>
      <c r="M11785" t="inlineStr">
        <is>
          <t>Bonus</t>
        </is>
      </c>
      <c r="N11785" s="8">
        <f>HYPERLINK("https://www.vietnamworks.com/chief-accountant-part-time-2024477-jv","Xem chi tiết")</f>
        <v/>
      </c>
    </row>
    <row r="11786">
      <c r="B11786" s="9" t="n">
        <v>11784</v>
      </c>
      <c r="C11786" s="10" t="inlineStr">
        <is>
          <t>Specification Advisor</t>
        </is>
      </c>
      <c r="D11786" s="10" t="inlineStr">
        <is>
          <t>AkzoNobel Vietnam</t>
        </is>
      </c>
      <c r="E11786" s="10" t="inlineStr">
        <is>
          <t>Thương lượng</t>
        </is>
      </c>
      <c r="F11786" s="10" t="inlineStr">
        <is>
          <t>Hồ Chí Minh</t>
        </is>
      </c>
      <c r="G11786" s="10" t="inlineStr">
        <is>
          <t>Nhân viên</t>
        </is>
      </c>
      <c r="H11786" s="10" t="inlineStr">
        <is>
          <t>16/03/2026</t>
        </is>
      </c>
      <c r="I11786" s="10" t="inlineStr">
        <is>
          <t>15/04/2026</t>
        </is>
      </c>
      <c r="J11786" s="10" t="inlineStr">
        <is>
          <t>17/03/2026</t>
        </is>
      </c>
      <c r="K11786" s="10" t="inlineStr">
        <is>
          <t>N/A</t>
        </is>
      </c>
      <c r="L11786" s="10" t="inlineStr">
        <is>
          <t>Building Material, Industrial Materials, Paint Coating, Specification, Specification Sales</t>
        </is>
      </c>
      <c r="M11786" s="10" t="inlineStr">
        <is>
          <t>Bonus, Healthcare Plan, Paid Leave</t>
        </is>
      </c>
      <c r="N11786" s="11">
        <f>HYPERLINK("https://www.vietnamworks.com/specification-advisor-2024475-jv","Xem chi tiết")</f>
        <v/>
      </c>
      <c r="O11786" s="10" t="n"/>
    </row>
    <row r="11787">
      <c r="B11787" s="7" t="n">
        <v>11785</v>
      </c>
      <c r="C11787" t="inlineStr">
        <is>
          <t>OTC Sales Manager</t>
        </is>
      </c>
      <c r="D11787" t="inlineStr">
        <is>
          <t>The Vigo</t>
        </is>
      </c>
      <c r="E11787" t="inlineStr">
        <is>
          <t>30tr-50tr ₫/tháng</t>
        </is>
      </c>
      <c r="F11787" t="inlineStr">
        <is>
          <t>Hồ Chí Minh</t>
        </is>
      </c>
      <c r="G11787" t="inlineStr">
        <is>
          <t>Trưởng phòng</t>
        </is>
      </c>
      <c r="H11787" t="inlineStr">
        <is>
          <t>16/03/2026</t>
        </is>
      </c>
      <c r="I11787" t="inlineStr">
        <is>
          <t>15/04/2026</t>
        </is>
      </c>
      <c r="J11787" t="inlineStr">
        <is>
          <t>17/03/2026</t>
        </is>
      </c>
      <c r="K11787" t="inlineStr">
        <is>
          <t>N/A</t>
        </is>
      </c>
      <c r="L11787" t="inlineStr">
        <is>
          <t>Account Management, Customer Relation, Data Analytics, Market Analysis, Sales Management</t>
        </is>
      </c>
      <c r="M11787" t="inlineStr">
        <is>
          <t>Bonus, Healthcare Plan, Paid Leave, Training, Awards, Laptop, Travel Opportunities, Vouchers</t>
        </is>
      </c>
      <c r="N11787" s="8">
        <f>HYPERLINK("https://www.vietnamworks.com/otc-sales-manager-2024468-jv","Xem chi tiết")</f>
        <v/>
      </c>
    </row>
    <row r="11788">
      <c r="B11788" s="9" t="n">
        <v>11786</v>
      </c>
      <c r="C11788" s="10" t="inlineStr">
        <is>
          <t>Senior R&amp;D Chemist</t>
        </is>
      </c>
      <c r="D11788" s="10" t="inlineStr">
        <is>
          <t>AkzoNobel Vietnam</t>
        </is>
      </c>
      <c r="E11788" s="10" t="inlineStr">
        <is>
          <t>Thương lượng</t>
        </is>
      </c>
      <c r="F11788" s="10" t="inlineStr">
        <is>
          <t>Đồng Nai</t>
        </is>
      </c>
      <c r="G11788" s="10" t="inlineStr">
        <is>
          <t>Nhân viên</t>
        </is>
      </c>
      <c r="H11788" s="10" t="inlineStr">
        <is>
          <t>16/03/2026</t>
        </is>
      </c>
      <c r="I11788" s="10" t="inlineStr">
        <is>
          <t>15/04/2026</t>
        </is>
      </c>
      <c r="J11788" s="10" t="inlineStr">
        <is>
          <t>17/03/2026</t>
        </is>
      </c>
      <c r="K11788" s="10" t="inlineStr">
        <is>
          <t>N/A</t>
        </is>
      </c>
      <c r="L11788" s="10" t="inlineStr">
        <is>
          <t>Chemical Application, Paint Coating, Wood Coatings, Wood Finishing, Solvent-Based Coatings</t>
        </is>
      </c>
      <c r="M11788" s="10" t="inlineStr">
        <is>
          <t>Bonus, Healthcare Plan, Paid Leave, Transportation, Canteen</t>
        </is>
      </c>
      <c r="N11788" s="11">
        <f>HYPERLINK("https://www.vietnamworks.com/senior-randd-chemist-2024472-jv","Xem chi tiết")</f>
        <v/>
      </c>
      <c r="O11788" s="10" t="n"/>
    </row>
    <row r="11789">
      <c r="B11789" s="7" t="n">
        <v>11787</v>
      </c>
      <c r="C11789" t="inlineStr">
        <is>
          <t>Nhân Viên Thí Nghiệm (Phòng Las) - Dự Án Sân Bay Gia Bình</t>
        </is>
      </c>
      <c r="D11789" t="inlineStr">
        <is>
          <t>Công Ty Cổ Phần Tập Đoàn Masterise</t>
        </is>
      </c>
      <c r="E11789" t="inlineStr">
        <is>
          <t>Thương lượng</t>
        </is>
      </c>
      <c r="F11789" t="inlineStr">
        <is>
          <t>Hà Nội, Bắc Ninh</t>
        </is>
      </c>
      <c r="G11789" t="inlineStr">
        <is>
          <t>Nhân viên</t>
        </is>
      </c>
      <c r="H11789" t="inlineStr">
        <is>
          <t>16/03/2026</t>
        </is>
      </c>
      <c r="I11789" t="inlineStr">
        <is>
          <t>15/04/2026</t>
        </is>
      </c>
      <c r="J11789" t="inlineStr">
        <is>
          <t>17/03/2026</t>
        </is>
      </c>
      <c r="K11789" t="inlineStr">
        <is>
          <t>N/A</t>
        </is>
      </c>
      <c r="L11789" t="inlineStr">
        <is>
          <t>Thí Nghiệm, Vật liệu xây dựng, Thí Nghiệm Hiện Trường Xây Dựng, Thiết Lập Phòng Thí Nghiệm, Kỹ Thuật Phòng Thí Nghiệm</t>
        </is>
      </c>
      <c r="M11789" t="inlineStr">
        <is>
          <t>Bonus, Healthcare Plan, Laptop</t>
        </is>
      </c>
      <c r="N11789" s="8">
        <f>HYPERLINK("https://www.vietnamworks.com/nhan-vien-thi-nghiem-phong-las-du-an-san-bay-gia-binh-2024471-jv","Xem chi tiết")</f>
        <v/>
      </c>
    </row>
    <row r="11790">
      <c r="B11790" s="9" t="n">
        <v>11788</v>
      </c>
      <c r="C11790" s="10" t="inlineStr">
        <is>
          <t>[HCM] Nhân Viên Tư Vấn B2B (Data Khách Hàng Có Sẵn)</t>
        </is>
      </c>
      <c r="D11790" s="10" t="inlineStr">
        <is>
          <t>Navigos Group</t>
        </is>
      </c>
      <c r="E11790" s="10" t="inlineStr">
        <is>
          <t>$$ 300-500 /tháng</t>
        </is>
      </c>
      <c r="F11790" s="10" t="inlineStr">
        <is>
          <t>Hồ Chí Minh</t>
        </is>
      </c>
      <c r="G11790" s="10" t="inlineStr">
        <is>
          <t>Mới Tốt Nghiệp</t>
        </is>
      </c>
      <c r="H11790" s="10" t="inlineStr">
        <is>
          <t>16/03/2026</t>
        </is>
      </c>
      <c r="I11790" s="10" t="inlineStr">
        <is>
          <t>15/04/2026</t>
        </is>
      </c>
      <c r="J11790" s="10" t="inlineStr">
        <is>
          <t>17/03/2026</t>
        </is>
      </c>
      <c r="K11790" s="10" t="inlineStr">
        <is>
          <t>N/A</t>
        </is>
      </c>
      <c r="L11790" s="10" t="inlineStr">
        <is>
          <t>B2B Sales, Tư Vấn, Telesales, Khả năng chịu áp lực, Giao Tiếp Tốt</t>
        </is>
      </c>
      <c r="M11790" s="10" t="inlineStr">
        <is>
          <t>Healthcare Plan, Paid Leave, Awards</t>
        </is>
      </c>
      <c r="N11790" s="11">
        <f>HYPERLINK("https://www.vietnamworks.com/hcm-nhan-vien-tu-van-b2b-data-khach-hang-co-san-2024465-jv","Xem chi tiết")</f>
        <v/>
      </c>
      <c r="O11790" s="10" t="n"/>
    </row>
    <row r="11791">
      <c r="B11791" s="7" t="n">
        <v>11789</v>
      </c>
      <c r="C11791" t="inlineStr">
        <is>
          <t>Senior Project Coordinator &amp; Assistant (Media/Advertising)</t>
        </is>
      </c>
      <c r="D11791" t="inlineStr">
        <is>
          <t>Công Ty Cổ Phần Metub Việt Nam</t>
        </is>
      </c>
      <c r="E11791" t="inlineStr">
        <is>
          <t>Thương lượng</t>
        </is>
      </c>
      <c r="F11791" t="inlineStr">
        <is>
          <t>Hồ Chí Minh</t>
        </is>
      </c>
      <c r="G11791" t="inlineStr">
        <is>
          <t>Nhân viên</t>
        </is>
      </c>
      <c r="H11791" t="inlineStr">
        <is>
          <t>16/03/2026</t>
        </is>
      </c>
      <c r="I11791" t="inlineStr">
        <is>
          <t>15/04/2026</t>
        </is>
      </c>
      <c r="J11791" t="inlineStr">
        <is>
          <t>17/03/2026</t>
        </is>
      </c>
      <c r="K11791" t="inlineStr">
        <is>
          <t>N/A</t>
        </is>
      </c>
      <c r="L11791" t="inlineStr">
        <is>
          <t>Account Management, Communication Skills, Creative Mindset, Organizational skills, Project Coordination</t>
        </is>
      </c>
      <c r="M11791" t="inlineStr">
        <is>
          <t>Training, Team Activities</t>
        </is>
      </c>
      <c r="N11791" s="8">
        <f>HYPERLINK("https://www.vietnamworks.com/senior-project-coordinator-and-assistant-mediaadvertising-2024462-jv","Xem chi tiết")</f>
        <v/>
      </c>
    </row>
    <row r="11792">
      <c r="B11792" s="9" t="n">
        <v>11790</v>
      </c>
      <c r="C11792" s="10" t="inlineStr">
        <is>
          <t>(Senior) - Risk Management Consultant</t>
        </is>
      </c>
      <c r="D11792" s="10" t="inlineStr">
        <is>
          <t>Công Ty Cổ Phần Dịch Vụ Di Động Trực Tuyến (Ví MoMo)</t>
        </is>
      </c>
      <c r="E11792" s="10" t="inlineStr">
        <is>
          <t>Thương lượng</t>
        </is>
      </c>
      <c r="F11792" s="10" t="inlineStr">
        <is>
          <t>Hồ Chí Minh</t>
        </is>
      </c>
      <c r="G11792" s="10" t="inlineStr">
        <is>
          <t>Nhân viên</t>
        </is>
      </c>
      <c r="H11792" s="10" t="inlineStr">
        <is>
          <t>16/03/2026</t>
        </is>
      </c>
      <c r="I11792" s="10" t="inlineStr">
        <is>
          <t>15/04/2026</t>
        </is>
      </c>
      <c r="J11792" s="10" t="inlineStr">
        <is>
          <t>17/03/2026</t>
        </is>
      </c>
      <c r="K11792" s="10" t="inlineStr">
        <is>
          <t>N/A</t>
        </is>
      </c>
      <c r="L11792" s="10" t="inlineStr">
        <is>
          <t>Data Analysis, Data Analytics, Microsoft Office, Risk Management, Sql Proficiency</t>
        </is>
      </c>
      <c r="M11792" s="10" t="inlineStr">
        <is>
          <t>Others</t>
        </is>
      </c>
      <c r="N11792" s="11">
        <f>HYPERLINK("https://www.vietnamworks.com/-senior-risk-management-consultant-2024460-jv","Xem chi tiết")</f>
        <v/>
      </c>
      <c r="O11792" s="10" t="n"/>
    </row>
    <row r="11793">
      <c r="B11793" s="7" t="n">
        <v>11791</v>
      </c>
      <c r="C11793" t="inlineStr">
        <is>
          <t>E-Commerce Marketing Executive (4-month Contract)</t>
        </is>
      </c>
      <c r="D11793" t="inlineStr">
        <is>
          <t>Công Ty TNHH Aeon Việt Nam</t>
        </is>
      </c>
      <c r="E11793" t="inlineStr">
        <is>
          <t>Thương lượng</t>
        </is>
      </c>
      <c r="F11793" t="inlineStr">
        <is>
          <t>Hồ Chí Minh</t>
        </is>
      </c>
      <c r="G11793" t="inlineStr">
        <is>
          <t>Nhân viên</t>
        </is>
      </c>
      <c r="H11793" t="inlineStr">
        <is>
          <t>16/03/2026</t>
        </is>
      </c>
      <c r="I11793" t="inlineStr">
        <is>
          <t>15/04/2026</t>
        </is>
      </c>
      <c r="J11793" t="inlineStr">
        <is>
          <t>17/03/2026</t>
        </is>
      </c>
      <c r="K11793" t="inlineStr">
        <is>
          <t>N/A</t>
        </is>
      </c>
      <c r="L11793" t="inlineStr">
        <is>
          <t>E-commerce Platform Management, Market Knowledge, Problem Solving, Social Marketing, Teamwork</t>
        </is>
      </c>
      <c r="M11793" t="inlineStr">
        <is>
          <t>Bonus, Paid Leave, Canteen, Vouchers</t>
        </is>
      </c>
      <c r="N11793" s="8">
        <f>HYPERLINK("https://www.vietnamworks.com/e-commerce-marketing-executive-4-month-contract-2024450-jv","Xem chi tiết")</f>
        <v/>
      </c>
    </row>
    <row r="11794">
      <c r="B11794" s="9" t="n">
        <v>11792</v>
      </c>
      <c r="C11794" s="10" t="inlineStr">
        <is>
          <t>[Tuyển gấp] Chuyên viên Quản lý Cổ đông</t>
        </is>
      </c>
      <c r="D11794" s="10" t="inlineStr">
        <is>
          <t>Xuân Cầu Holdings</t>
        </is>
      </c>
      <c r="E11794" s="10" t="inlineStr">
        <is>
          <t>$$ 1,200-2,000 /tháng</t>
        </is>
      </c>
      <c r="F11794" s="10" t="inlineStr">
        <is>
          <t>Hà Nội</t>
        </is>
      </c>
      <c r="G11794" s="10" t="inlineStr">
        <is>
          <t>Nhân viên</t>
        </is>
      </c>
      <c r="H11794" s="10" t="inlineStr">
        <is>
          <t>16/03/2026</t>
        </is>
      </c>
      <c r="I11794" s="10" t="inlineStr">
        <is>
          <t>15/04/2026</t>
        </is>
      </c>
      <c r="J11794" s="10" t="inlineStr">
        <is>
          <t>17/03/2026</t>
        </is>
      </c>
      <c r="K11794" s="10" t="inlineStr">
        <is>
          <t>N/A</t>
        </is>
      </c>
      <c r="L11794" s="10" t="inlineStr">
        <is>
          <t>Chứng Khoán, Tài Chính Đầu Tư, Financial Modeling, Power Bi Skill, Thư ký Công ty</t>
        </is>
      </c>
      <c r="M11794" s="10" t="inlineStr">
        <is>
          <t>Bonus, Healthcare Plan, Paid Leave</t>
        </is>
      </c>
      <c r="N11794" s="11">
        <f>HYPERLINK("https://www.vietnamworks.com/tuyen-gap-chuyen-vien-quan-ly-co-djong-2024470-jv","Xem chi tiết")</f>
        <v/>
      </c>
      <c r="O11794" s="10" t="n"/>
    </row>
    <row r="11795">
      <c r="B11795" s="7" t="n">
        <v>11793</v>
      </c>
      <c r="C11795" t="inlineStr">
        <is>
          <t>Giám Đốc Siêu Thị Chuỗi WinMart (Supermarket)</t>
        </is>
      </c>
      <c r="D11795" t="inlineStr">
        <is>
          <t>Công Ty Cổ Phần Dịch Vụ Thương Mại Tổng Hợp WinCommerce</t>
        </is>
      </c>
      <c r="E11795" t="inlineStr">
        <is>
          <t>$$ 1,000-1,500 /tháng</t>
        </is>
      </c>
      <c r="F11795" t="inlineStr">
        <is>
          <t>Hồ Chí Minh, Bình Định, Tiền Giang</t>
        </is>
      </c>
      <c r="G11795" t="inlineStr">
        <is>
          <t>Giám Đốc và Cấp Cao Hơn</t>
        </is>
      </c>
      <c r="H11795" t="inlineStr">
        <is>
          <t>16/03/2026</t>
        </is>
      </c>
      <c r="I11795" t="inlineStr">
        <is>
          <t>15/04/2026</t>
        </is>
      </c>
      <c r="J11795" t="inlineStr">
        <is>
          <t>17/03/2026</t>
        </is>
      </c>
      <c r="K11795" t="inlineStr">
        <is>
          <t>N/A</t>
        </is>
      </c>
      <c r="L11795" t="inlineStr">
        <is>
          <t>FMCG, Fresh Food Sourcing, Bán Lẻ, Kinh Doanh</t>
        </is>
      </c>
      <c r="M11795" t="inlineStr">
        <is>
          <t>Bonus, Healthcare Plan, Others</t>
        </is>
      </c>
      <c r="N11795" s="8">
        <f>HYPERLINK("https://www.vietnamworks.com/giam-doc-sieu-thi-chuoi-winmart-supermarket--2024453-jv","Xem chi tiết")</f>
        <v/>
      </c>
    </row>
    <row r="11796">
      <c r="B11796" s="9" t="n">
        <v>11794</v>
      </c>
      <c r="C11796" s="10" t="inlineStr">
        <is>
          <t>Quantity Surveyor</t>
        </is>
      </c>
      <c r="D11796" s="10" t="inlineStr">
        <is>
          <t>VinaQS Company Limited (Http://vinaqs.com)</t>
        </is>
      </c>
      <c r="E11796" s="10" t="inlineStr">
        <is>
          <t>Thương lượng</t>
        </is>
      </c>
      <c r="F11796" s="10" t="inlineStr">
        <is>
          <t>Hà Nội</t>
        </is>
      </c>
      <c r="G11796" s="10" t="inlineStr">
        <is>
          <t>Nhân viên</t>
        </is>
      </c>
      <c r="H11796" s="10" t="inlineStr">
        <is>
          <t>26/05/2025</t>
        </is>
      </c>
      <c r="I11796" s="10" t="inlineStr">
        <is>
          <t>16/04/2026</t>
        </is>
      </c>
      <c r="J11796" s="10" t="inlineStr">
        <is>
          <t>17/03/2026</t>
        </is>
      </c>
      <c r="K11796" s="10" t="inlineStr">
        <is>
          <t>N/A</t>
        </is>
      </c>
      <c r="L11796" s="10" t="inlineStr">
        <is>
          <t>Cost Control, Dự Toán Xây Dựng, Contract Management, Quantity take-off, Kế Hoạch Chi Phí</t>
        </is>
      </c>
      <c r="M11796" s="10" t="inlineStr">
        <is>
          <t>Bonus, Healthcare Plan, Training, Travel Opportunities, Team Activities, Others</t>
        </is>
      </c>
      <c r="N11796" s="11">
        <f>HYPERLINK("https://www.vietnamworks.com/quantity-surveyor-1912955-jv","Xem chi tiết")</f>
        <v/>
      </c>
      <c r="O11796" s="10" t="n"/>
    </row>
    <row r="11797">
      <c r="B11797" s="7" t="n">
        <v>11795</v>
      </c>
      <c r="C11797" t="inlineStr">
        <is>
          <t>GTM - Sales Project Manager (F&amp;B)</t>
        </is>
      </c>
      <c r="D11797" t="inlineStr">
        <is>
          <t>Source Of Asia</t>
        </is>
      </c>
      <c r="E11797" t="inlineStr">
        <is>
          <t>$$ 1,000-1,500 /tháng</t>
        </is>
      </c>
      <c r="F11797" t="inlineStr">
        <is>
          <t>Hồ Chí Minh</t>
        </is>
      </c>
      <c r="G11797" t="inlineStr">
        <is>
          <t>Trưởng phòng</t>
        </is>
      </c>
      <c r="H11797" t="inlineStr">
        <is>
          <t>16/03/2026</t>
        </is>
      </c>
      <c r="I11797" t="inlineStr">
        <is>
          <t>15/04/2026</t>
        </is>
      </c>
      <c r="J11797" t="inlineStr">
        <is>
          <t>17/03/2026</t>
        </is>
      </c>
      <c r="K11797" t="inlineStr">
        <is>
          <t>N/A</t>
        </is>
      </c>
      <c r="L11797" t="inlineStr">
        <is>
          <t>Business Development, Client Service Management, Communication, Project Management, Social Project Management</t>
        </is>
      </c>
      <c r="M11797" t="inlineStr">
        <is>
          <t>Others</t>
        </is>
      </c>
      <c r="N11797" s="8">
        <f>HYPERLINK("https://www.vietnamworks.com/gtm-sales-project-manager-fandb-2024484-jv","Xem chi tiết")</f>
        <v/>
      </c>
    </row>
    <row r="11798">
      <c r="B11798" s="9" t="n">
        <v>11796</v>
      </c>
      <c r="C11798" s="10" t="inlineStr">
        <is>
          <t>Showroom Receptionist cum Admin</t>
        </is>
      </c>
      <c r="D11798" s="10" t="inlineStr">
        <is>
          <t>Công Ty Cổ Phần Prime Group</t>
        </is>
      </c>
      <c r="E11798" s="10" t="inlineStr">
        <is>
          <t>Từ 8tr ₫/tháng</t>
        </is>
      </c>
      <c r="F11798" s="10" t="inlineStr">
        <is>
          <t>Hồ Chí Minh</t>
        </is>
      </c>
      <c r="G11798" s="10" t="inlineStr">
        <is>
          <t>Nhân viên</t>
        </is>
      </c>
      <c r="H11798" s="10" t="inlineStr">
        <is>
          <t>22/04/2016</t>
        </is>
      </c>
      <c r="I11798" s="10" t="inlineStr">
        <is>
          <t>16/04/2026</t>
        </is>
      </c>
      <c r="J11798" s="10" t="inlineStr">
        <is>
          <t>17/03/2026</t>
        </is>
      </c>
      <c r="K11798" s="10" t="inlineStr">
        <is>
          <t>N/A</t>
        </is>
      </c>
      <c r="L11798" s="10" t="inlineStr">
        <is>
          <t>Hành Chính Thư Ký, Lễ Tân, Admin, Sales</t>
        </is>
      </c>
      <c r="M11798" s="10" t="inlineStr">
        <is>
          <t>Bonus, Healthcare Plan, Paid Leave</t>
        </is>
      </c>
      <c r="N11798" s="11">
        <f>HYPERLINK("https://www.vietnamworks.com/showroom-receptionist-cum-admin-663126-jv","Xem chi tiết")</f>
        <v/>
      </c>
      <c r="O11798" s="10" t="n"/>
    </row>
    <row r="11799">
      <c r="B11799" s="7" t="n">
        <v>11797</v>
      </c>
      <c r="C11799" t="inlineStr">
        <is>
          <t>Business Development Executive (Based In Ho Chi Minh And Hanoi)</t>
        </is>
      </c>
      <c r="D11799" t="inlineStr">
        <is>
          <t>KION South Asia Pte Ltd</t>
        </is>
      </c>
      <c r="E11799" t="inlineStr">
        <is>
          <t>Thương lượng</t>
        </is>
      </c>
      <c r="F11799" t="inlineStr">
        <is>
          <t>Hồ Chí Minh, Hà Nội</t>
        </is>
      </c>
      <c r="G11799" t="inlineStr">
        <is>
          <t>Nhân viên</t>
        </is>
      </c>
      <c r="H11799" t="inlineStr">
        <is>
          <t>10/12/2025</t>
        </is>
      </c>
      <c r="I11799" t="inlineStr">
        <is>
          <t>16/04/2026</t>
        </is>
      </c>
      <c r="J11799" t="inlineStr">
        <is>
          <t>17/03/2026</t>
        </is>
      </c>
      <c r="K11799" t="inlineStr">
        <is>
          <t>N/A</t>
        </is>
      </c>
      <c r="L11799" t="inlineStr">
        <is>
          <t>Business Development, Technical Sales, Negotiation Skills, Microsoft Office, English Communication</t>
        </is>
      </c>
      <c r="M11799" t="inlineStr">
        <is>
          <t>Healthcare Plan</t>
        </is>
      </c>
      <c r="N11799" s="8">
        <f>HYPERLINK("https://www.vietnamworks.com/business-development-executive-based-in-ho-chi-minh-and-hanoi-1991380-jv","Xem chi tiết")</f>
        <v/>
      </c>
    </row>
    <row r="11800">
      <c r="B11800" s="9" t="n">
        <v>11798</v>
      </c>
      <c r="C11800" s="10" t="inlineStr">
        <is>
          <t>Project Coordination Specialist (Civil Engineering)</t>
        </is>
      </c>
      <c r="D11800" s="10" t="inlineStr">
        <is>
          <t>Maison Retail Management International</t>
        </is>
      </c>
      <c r="E11800" s="10" t="inlineStr">
        <is>
          <t>$$ 700-800 /tháng</t>
        </is>
      </c>
      <c r="F11800" s="10" t="inlineStr">
        <is>
          <t>Hồ Chí Minh</t>
        </is>
      </c>
      <c r="G11800" s="10" t="inlineStr">
        <is>
          <t>Nhân viên</t>
        </is>
      </c>
      <c r="H11800" s="10" t="inlineStr">
        <is>
          <t>21/10/2025</t>
        </is>
      </c>
      <c r="I11800" s="10" t="inlineStr">
        <is>
          <t>16/04/2026</t>
        </is>
      </c>
      <c r="J11800" s="10" t="inlineStr">
        <is>
          <t>17/03/2026</t>
        </is>
      </c>
      <c r="K11800" s="10" t="inlineStr">
        <is>
          <t>N/A</t>
        </is>
      </c>
      <c r="L11800" s="10" t="inlineStr">
        <is>
          <t>AutoCAD, Facility Maintenance, Construction Supervision</t>
        </is>
      </c>
      <c r="M11800" s="10" t="inlineStr">
        <is>
          <t>Bonus, Paid Leave, Laptop</t>
        </is>
      </c>
      <c r="N11800" s="11">
        <f>HYPERLINK("https://www.vietnamworks.com/project-coordination-specialist-civil-engineering-1972011-jv","Xem chi tiết")</f>
        <v/>
      </c>
      <c r="O11800" s="10" t="n"/>
    </row>
    <row r="11801">
      <c r="B11801" s="7" t="n">
        <v>11799</v>
      </c>
      <c r="C11801" t="inlineStr">
        <is>
          <t>IT Administrator</t>
        </is>
      </c>
      <c r="D11801" t="inlineStr">
        <is>
          <t>Công Ty TNHH TLT Electronics Vietnam</t>
        </is>
      </c>
      <c r="E11801" t="inlineStr">
        <is>
          <t>Thương lượng</t>
        </is>
      </c>
      <c r="F11801" t="inlineStr">
        <is>
          <t>Tây Ninh, Hồ Chí Minh</t>
        </is>
      </c>
      <c r="G11801" t="inlineStr">
        <is>
          <t>Nhân viên</t>
        </is>
      </c>
      <c r="H11801" t="inlineStr">
        <is>
          <t>16/03/2026</t>
        </is>
      </c>
      <c r="I11801" t="inlineStr">
        <is>
          <t>15/04/2026</t>
        </is>
      </c>
      <c r="J11801" t="inlineStr">
        <is>
          <t>17/03/2026</t>
        </is>
      </c>
      <c r="K11801" t="inlineStr">
        <is>
          <t>N/A</t>
        </is>
      </c>
      <c r="L11801" t="inlineStr">
        <is>
          <t>IT Infrastructure, Helpdesk Support, Database Administration, English</t>
        </is>
      </c>
      <c r="M11801" t="inlineStr">
        <is>
          <t>Bonus, Laptop, Others</t>
        </is>
      </c>
      <c r="N11801" s="8">
        <f>HYPERLINK("https://www.vietnamworks.com/it-administrator--2024482-jv","Xem chi tiết")</f>
        <v/>
      </c>
    </row>
    <row r="11802">
      <c r="B11802" s="9" t="n">
        <v>11800</v>
      </c>
      <c r="C11802" s="10" t="inlineStr">
        <is>
          <t>[Hot Job] Chuyên Viên Kinh Doanh (Toàn Quốc)</t>
        </is>
      </c>
      <c r="D11802" s="10" t="inlineStr">
        <is>
          <t>Công ty cổ phần Tập đoàn Bảo hiểm DBV</t>
        </is>
      </c>
      <c r="E11802" s="10" t="inlineStr">
        <is>
          <t>Thương lượng</t>
        </is>
      </c>
      <c r="F11802" s="10" t="inlineStr">
        <is>
          <t>Hà Nội, Hồ Chí Minh, Đà Nẵng</t>
        </is>
      </c>
      <c r="G11802" s="10" t="inlineStr">
        <is>
          <t>Nhân viên</t>
        </is>
      </c>
      <c r="H11802" s="10" t="inlineStr">
        <is>
          <t>06/11/2024</t>
        </is>
      </c>
      <c r="I11802" s="10" t="inlineStr">
        <is>
          <t>16/04/2026</t>
        </is>
      </c>
      <c r="J11802" s="10" t="inlineStr">
        <is>
          <t>17/03/2026</t>
        </is>
      </c>
      <c r="K11802" s="10" t="inlineStr">
        <is>
          <t>N/A</t>
        </is>
      </c>
      <c r="L11802" s="10" t="inlineStr">
        <is>
          <t>Bảo Hiểm, Chăm Sóc Khách Hàng, Tư Vấn Bảo Hiểm, Đàm Phán, Đánh Giá Rủi Ro</t>
        </is>
      </c>
      <c r="M11802" s="10" t="inlineStr">
        <is>
          <t>Bonus, Healthcare Plan, Others</t>
        </is>
      </c>
      <c r="N11802" s="11">
        <f>HYPERLINK("https://www.vietnamworks.com/hot-job-chuyen-vien-kinh-doanh-toan-quoc-1840083-jv","Xem chi tiết")</f>
        <v/>
      </c>
      <c r="O11802" s="10" t="n"/>
    </row>
    <row r="11803">
      <c r="B11803" s="7" t="n">
        <v>11801</v>
      </c>
      <c r="C11803" t="inlineStr">
        <is>
          <t>Chuyên Viên Quy Trình ISO</t>
        </is>
      </c>
      <c r="D11803" t="inlineStr">
        <is>
          <t>CÔNG TY CỔ PHẦN TẬP ĐOÀN ĐẦU TƯ HOÀNG GIA VIỆT NAM</t>
        </is>
      </c>
      <c r="E11803" t="inlineStr">
        <is>
          <t>Thương lượng</t>
        </is>
      </c>
      <c r="F11803" t="inlineStr">
        <is>
          <t>Hồ Chí Minh</t>
        </is>
      </c>
      <c r="G11803" t="inlineStr">
        <is>
          <t>Nhân viên</t>
        </is>
      </c>
      <c r="H11803" t="inlineStr">
        <is>
          <t>07/11/2025</t>
        </is>
      </c>
      <c r="I11803" t="inlineStr">
        <is>
          <t>16/04/2026</t>
        </is>
      </c>
      <c r="J11803" t="inlineStr">
        <is>
          <t>17/03/2026</t>
        </is>
      </c>
      <c r="K11803" t="inlineStr">
        <is>
          <t>N/A</t>
        </is>
      </c>
      <c r="L11803" t="inlineStr">
        <is>
          <t>ISO, Quy Trình Vận Hành, Pháp Lý Quản Trị Nội Bộ, Bất Động Sản, Xây Dựng</t>
        </is>
      </c>
      <c r="M11803" t="inlineStr">
        <is>
          <t>Healthcare Plan, Training, Travel Opportunities</t>
        </is>
      </c>
      <c r="N11803" s="8">
        <f>HYPERLINK("https://www.vietnamworks.com/chuyen-vien-quy-trinh-iso--1979309-jv","Xem chi tiết")</f>
        <v/>
      </c>
    </row>
    <row r="11804">
      <c r="B11804" s="9" t="n">
        <v>11802</v>
      </c>
      <c r="C11804" s="10" t="inlineStr">
        <is>
          <t>Lập Trình Viên Frontend</t>
        </is>
      </c>
      <c r="D11804" s="10" t="inlineStr">
        <is>
          <t>Công Ty Cổ Phần Truyền Thông Vietnamnet</t>
        </is>
      </c>
      <c r="E11804" s="10" t="inlineStr">
        <is>
          <t>Thương lượng</t>
        </is>
      </c>
      <c r="F11804" s="10" t="inlineStr">
        <is>
          <t>Hà Nội</t>
        </is>
      </c>
      <c r="G11804" s="10" t="inlineStr">
        <is>
          <t>Nhân viên</t>
        </is>
      </c>
      <c r="H11804" s="10" t="inlineStr">
        <is>
          <t>20/01/2026</t>
        </is>
      </c>
      <c r="I11804" s="10" t="inlineStr">
        <is>
          <t>16/04/2026</t>
        </is>
      </c>
      <c r="J11804" s="10" t="inlineStr">
        <is>
          <t>17/03/2026</t>
        </is>
      </c>
      <c r="K11804" s="10" t="inlineStr">
        <is>
          <t>N/A</t>
        </is>
      </c>
      <c r="L11804" s="10" t="inlineStr">
        <is>
          <t>UI/UX, HTML, CSS, ReactJS, Boostrap</t>
        </is>
      </c>
      <c r="M11804" s="10" t="inlineStr">
        <is>
          <t>Bonus, Healthcare Plan, Team Activities</t>
        </is>
      </c>
      <c r="N11804" s="11">
        <f>HYPERLINK("https://www.vietnamworks.com/lap-trinh-vien-frontend--2004475-jv","Xem chi tiết")</f>
        <v/>
      </c>
      <c r="O11804" s="10" t="n"/>
    </row>
    <row r="11805">
      <c r="B11805" s="7" t="n">
        <v>11803</v>
      </c>
      <c r="C11805" t="inlineStr">
        <is>
          <t>Hiệu Trưởng Mầm Non (Qua Tết Làm Việc)</t>
        </is>
      </c>
      <c r="D11805" t="inlineStr">
        <is>
          <t>Morris International Preschool</t>
        </is>
      </c>
      <c r="E11805" t="inlineStr">
        <is>
          <t>Từ 18tr ₫/tháng</t>
        </is>
      </c>
      <c r="F11805" t="inlineStr">
        <is>
          <t>Hồ Chí Minh</t>
        </is>
      </c>
      <c r="G11805" t="inlineStr">
        <is>
          <t>Giám Đốc và Cấp Cao Hơn</t>
        </is>
      </c>
      <c r="H11805" t="inlineStr">
        <is>
          <t>20/01/2026</t>
        </is>
      </c>
      <c r="I11805" t="inlineStr">
        <is>
          <t>16/04/2026</t>
        </is>
      </c>
      <c r="J11805" t="inlineStr">
        <is>
          <t>17/03/2026</t>
        </is>
      </c>
      <c r="K11805" t="inlineStr">
        <is>
          <t>N/A</t>
        </is>
      </c>
      <c r="L11805" t="inlineStr">
        <is>
          <t>Quản Lý Giáo Dục, Chương Trình Cambridge, Giao Tiếp Tiếng Anh, Lãnh Đạo, Tương Tác Phụ Huynh</t>
        </is>
      </c>
      <c r="M11805" t="inlineStr">
        <is>
          <t>Bonus, Paid Leave, Training, Others</t>
        </is>
      </c>
      <c r="N11805" s="8">
        <f>HYPERLINK("https://www.vietnamworks.com/hieu-truong-mam-non-qua-tet-lam-viec-2004251-jv","Xem chi tiết")</f>
        <v/>
      </c>
    </row>
    <row r="11806">
      <c r="B11806" s="9" t="n">
        <v>11804</v>
      </c>
      <c r="C11806" s="10" t="inlineStr">
        <is>
          <t>Senior Consultant - Performance Improvement (Banking and Financial Services) - Hanoi Office</t>
        </is>
      </c>
      <c r="D11806" s="10" t="inlineStr">
        <is>
          <t>Ernst &amp; Young Vietnam Limited (EY Vietnam)</t>
        </is>
      </c>
      <c r="E11806" s="10" t="inlineStr">
        <is>
          <t>Thương lượng</t>
        </is>
      </c>
      <c r="F11806" s="10" t="inlineStr">
        <is>
          <t>Hà Nội</t>
        </is>
      </c>
      <c r="G11806" s="10" t="inlineStr">
        <is>
          <t>Nhân viên</t>
        </is>
      </c>
      <c r="H11806" s="10" t="inlineStr">
        <is>
          <t>18/12/2025</t>
        </is>
      </c>
      <c r="I11806" s="10" t="inlineStr">
        <is>
          <t>16/04/2026</t>
        </is>
      </c>
      <c r="J11806" s="10" t="inlineStr">
        <is>
          <t>17/03/2026</t>
        </is>
      </c>
      <c r="K11806" s="10" t="inlineStr">
        <is>
          <t>N/A</t>
        </is>
      </c>
      <c r="L11806" s="10" t="inlineStr">
        <is>
          <t>Performance Management System, Operations Improvement, Cost Management, MIS, Bank Report</t>
        </is>
      </c>
      <c r="M11806" s="10" t="inlineStr">
        <is>
          <t>Bonus, Awards, Others</t>
        </is>
      </c>
      <c r="N11806" s="11">
        <f>HYPERLINK("https://www.vietnamworks.com/senior-consultant-performance-improvement-banking-and-financial-services-hanoi-office--1994394-jv","Xem chi tiết")</f>
        <v/>
      </c>
      <c r="O11806" s="10" t="n"/>
    </row>
    <row r="11807">
      <c r="B11807" s="7" t="n">
        <v>11805</v>
      </c>
      <c r="C11807" t="inlineStr">
        <is>
          <t>Business Development Manager (Powder Coatings)</t>
        </is>
      </c>
      <c r="D11807" t="inlineStr">
        <is>
          <t>AkzoNobel Vietnam</t>
        </is>
      </c>
      <c r="E11807" t="inlineStr">
        <is>
          <t>Thương lượng</t>
        </is>
      </c>
      <c r="F11807" t="inlineStr">
        <is>
          <t>Đồng Nai</t>
        </is>
      </c>
      <c r="G11807" t="inlineStr">
        <is>
          <t>Trưởng phòng</t>
        </is>
      </c>
      <c r="H11807" t="inlineStr">
        <is>
          <t>19/01/2026</t>
        </is>
      </c>
      <c r="I11807" t="inlineStr">
        <is>
          <t>16/04/2026</t>
        </is>
      </c>
      <c r="J11807" t="inlineStr">
        <is>
          <t>17/03/2026</t>
        </is>
      </c>
      <c r="K11807" t="inlineStr">
        <is>
          <t>N/A</t>
        </is>
      </c>
      <c r="L11807" t="inlineStr">
        <is>
          <t>Business Development, Chinese Communication, Communication Skills, Customer Experience Management, Sales Experience</t>
        </is>
      </c>
      <c r="M11807" t="inlineStr">
        <is>
          <t>Bonus, Healthcare Plan, Paid Leave</t>
        </is>
      </c>
      <c r="N11807" s="8">
        <f>HYPERLINK("https://www.vietnamworks.com/business-development-manager-powder-coatings-2004158-jv","Xem chi tiết")</f>
        <v/>
      </c>
    </row>
    <row r="11808">
      <c r="B11808" s="9" t="n">
        <v>11806</v>
      </c>
      <c r="C11808" s="10" t="inlineStr">
        <is>
          <t>Chuyên Viên Giải Phóng Mặt Bằng (Phỏng Vấn Đi Làm Ngay)</t>
        </is>
      </c>
      <c r="D11808" s="10" t="inlineStr">
        <is>
          <t>Công ty Cổ phần Vinhomes</t>
        </is>
      </c>
      <c r="E11808" s="10" t="inlineStr">
        <is>
          <t>Thương lượng</t>
        </is>
      </c>
      <c r="F11808" s="10" t="inlineStr">
        <is>
          <t>Hà Nội</t>
        </is>
      </c>
      <c r="G11808" s="10" t="inlineStr">
        <is>
          <t>Nhân viên</t>
        </is>
      </c>
      <c r="H11808" s="10" t="inlineStr">
        <is>
          <t>20/01/2026</t>
        </is>
      </c>
      <c r="I11808" s="10" t="inlineStr">
        <is>
          <t>16/04/2026</t>
        </is>
      </c>
      <c r="J11808" s="10" t="inlineStr">
        <is>
          <t>17/03/2026</t>
        </is>
      </c>
      <c r="K11808" s="10" t="inlineStr">
        <is>
          <t>N/A</t>
        </is>
      </c>
      <c r="L11808" s="10" t="inlineStr">
        <is>
          <t>Quản Lý Đất Đai, Giải Phóng Mặt Bằng, Bồi Thường Mặt Bằng, Bất Động Sản, Phát Triển Dự Án</t>
        </is>
      </c>
      <c r="M11808" s="10" t="inlineStr">
        <is>
          <t>Bonus, Healthcare Plan, Training</t>
        </is>
      </c>
      <c r="N11808" s="11">
        <f>HYPERLINK("https://www.vietnamworks.com/chuyen-vien-giai-phong-mat-bang-phong-van-di-lam-ngay-2004461-jv","Xem chi tiết")</f>
        <v/>
      </c>
      <c r="O11808" s="10" t="n"/>
    </row>
    <row r="11809">
      <c r="B11809" s="7" t="n">
        <v>11807</v>
      </c>
      <c r="C11809" t="inlineStr">
        <is>
          <t>[Junior] Back-end NodeJS Developer</t>
        </is>
      </c>
      <c r="D11809" t="inlineStr">
        <is>
          <t>CÔNG TY TNHH ICONDO VIỆT NAM</t>
        </is>
      </c>
      <c r="E11809" t="inlineStr">
        <is>
          <t>Thương lượng</t>
        </is>
      </c>
      <c r="F11809" t="inlineStr">
        <is>
          <t>Hồ Chí Minh</t>
        </is>
      </c>
      <c r="G11809" t="inlineStr">
        <is>
          <t>Mới Tốt Nghiệp</t>
        </is>
      </c>
      <c r="H11809" t="inlineStr">
        <is>
          <t>19/01/2026</t>
        </is>
      </c>
      <c r="I11809" t="inlineStr">
        <is>
          <t>16/04/2026</t>
        </is>
      </c>
      <c r="J11809" t="inlineStr">
        <is>
          <t>17/03/2026</t>
        </is>
      </c>
      <c r="K11809" t="inlineStr">
        <is>
          <t>N/A</t>
        </is>
      </c>
      <c r="L11809" t="inlineStr">
        <is>
          <t>NodeJS, SQL, DevOps, Golang, Problem-solving</t>
        </is>
      </c>
      <c r="M11809" t="inlineStr">
        <is>
          <t>Bonus, Healthcare Plan, Paid Leave, Laptop, Travel Opportunities, Team Activities, Others</t>
        </is>
      </c>
      <c r="N11809" s="8">
        <f>HYPERLINK("https://www.vietnamworks.com/junior-back-end-nodejs-developer-2004065-jv","Xem chi tiết")</f>
        <v/>
      </c>
    </row>
    <row r="11810">
      <c r="B11810" s="9" t="n">
        <v>11808</v>
      </c>
      <c r="C11810" s="10" t="inlineStr">
        <is>
          <t>Senior Talent Acquisition Specialist - Base Salary (Up to $1400) + Commission Salary Review Twice A Year</t>
        </is>
      </c>
      <c r="D11810" s="10" t="inlineStr">
        <is>
          <t>SmartOSC</t>
        </is>
      </c>
      <c r="E11810" s="10" t="inlineStr">
        <is>
          <t>Tới $ 1,400 /tháng</t>
        </is>
      </c>
      <c r="F11810" s="10" t="inlineStr">
        <is>
          <t>Hà Nội</t>
        </is>
      </c>
      <c r="G11810" s="10" t="inlineStr">
        <is>
          <t>Nhân viên</t>
        </is>
      </c>
      <c r="H11810" s="10" t="inlineStr">
        <is>
          <t>23/01/2026</t>
        </is>
      </c>
      <c r="I11810" s="10" t="inlineStr">
        <is>
          <t>16/04/2026</t>
        </is>
      </c>
      <c r="J11810" s="10" t="inlineStr">
        <is>
          <t>17/03/2026</t>
        </is>
      </c>
      <c r="K11810" s="10" t="inlineStr">
        <is>
          <t>N/A</t>
        </is>
      </c>
      <c r="L11810" s="10" t="inlineStr">
        <is>
          <t>Talent Acquisition &amp; Candidate Sourcing, IT Recruitment &amp; Technical Hiring, Recruitment Consulting, Head hunting skill, Chuyên viên tuyển dụng</t>
        </is>
      </c>
      <c r="M11810" s="10" t="inlineStr">
        <is>
          <t>Healthcare Plan, Training, Travel Opportunities, Team Activities, Others</t>
        </is>
      </c>
      <c r="N11810" s="11">
        <f>HYPERLINK("https://www.vietnamworks.com/senior-talent-acquisition-specialist-base-salary-up-to-dollar1400-commission-salary-review-twice-a-year-2005584-jv","Xem chi tiết")</f>
        <v/>
      </c>
      <c r="O11810" s="10" t="n"/>
    </row>
    <row r="11811">
      <c r="B11811" s="7" t="n">
        <v>11809</v>
      </c>
      <c r="C11811" t="inlineStr">
        <is>
          <t>Phát Triển &amp; Vận Hành Chuỗi Cung Ứng Thông Minh - Next Gen Powered By Digital &amp; AI - Lộ Trình Nhà Đồng Sáng Lập</t>
        </is>
      </c>
      <c r="D11811" t="inlineStr">
        <is>
          <t>Công ty Cổ phần Khoáng sản Vật liệu Á CỘNG</t>
        </is>
      </c>
      <c r="E11811" t="inlineStr">
        <is>
          <t>10tr-15tr ₫/tháng</t>
        </is>
      </c>
      <c r="F11811" t="inlineStr">
        <is>
          <t>Hồ Chí Minh</t>
        </is>
      </c>
      <c r="G11811" t="inlineStr">
        <is>
          <t>Nhân viên</t>
        </is>
      </c>
      <c r="H11811" t="inlineStr">
        <is>
          <t>23/01/2026</t>
        </is>
      </c>
      <c r="I11811" t="inlineStr">
        <is>
          <t>16/04/2026</t>
        </is>
      </c>
      <c r="J11811" t="inlineStr">
        <is>
          <t>17/03/2026</t>
        </is>
      </c>
      <c r="K11811" t="inlineStr">
        <is>
          <t>N/A</t>
        </is>
      </c>
      <c r="L11811" t="inlineStr">
        <is>
          <t>Ai, Digital, Logistics, Problem Solving, Supply Chain</t>
        </is>
      </c>
      <c r="M11811" t="inlineStr">
        <is>
          <t>Bonus, Others</t>
        </is>
      </c>
      <c r="N11811" s="8">
        <f>HYPERLINK("https://www.vietnamworks.com/phat-trien-and-van-hanh-chuoi-cung-ung-thong-minh-next-gen-powered-by-digital-and-ai-lo-trinh-nha-djong-sang-lap-2005664-jv","Xem chi tiết")</f>
        <v/>
      </c>
    </row>
    <row r="11812">
      <c r="B11812" s="9" t="n">
        <v>11810</v>
      </c>
      <c r="C11812" s="10" t="inlineStr">
        <is>
          <t>Senior Full-Stack Web and AI Developer</t>
        </is>
      </c>
      <c r="D11812" s="10" t="inlineStr">
        <is>
          <t>East Agile</t>
        </is>
      </c>
      <c r="E11812" s="10" t="inlineStr">
        <is>
          <t>$$ 1,500-6,000 /tháng</t>
        </is>
      </c>
      <c r="F11812" s="10" t="inlineStr">
        <is>
          <t>Hồ Chí Minh, Đà Nẵng</t>
        </is>
      </c>
      <c r="G11812" s="10" t="inlineStr">
        <is>
          <t>Nhân viên</t>
        </is>
      </c>
      <c r="H11812" s="10" t="inlineStr">
        <is>
          <t>22/01/2026</t>
        </is>
      </c>
      <c r="I11812" s="10" t="inlineStr">
        <is>
          <t>16/04/2026</t>
        </is>
      </c>
      <c r="J11812" s="10" t="inlineStr">
        <is>
          <t>17/03/2026</t>
        </is>
      </c>
      <c r="K11812" s="10" t="inlineStr">
        <is>
          <t>N/A</t>
        </is>
      </c>
      <c r="L11812" s="10" t="inlineStr">
        <is>
          <t>Python, Django, Cloud Infrastructure, AI, FullStack</t>
        </is>
      </c>
      <c r="M11812" s="10" t="inlineStr">
        <is>
          <t>Bonus, Healthcare Plan, Paid Leave, Training, Others</t>
        </is>
      </c>
      <c r="N11812" s="11">
        <f>HYPERLINK("https://www.vietnamworks.com/senior-full-stack-web-and-ai-developer-2005401-jv","Xem chi tiết")</f>
        <v/>
      </c>
      <c r="O11812" s="10" t="n"/>
    </row>
    <row r="11813">
      <c r="B11813" s="7" t="n">
        <v>11811</v>
      </c>
      <c r="C11813" t="inlineStr">
        <is>
          <t>Quản Lý Dự Án (Lương Upto 40Tr/ Tháng)</t>
        </is>
      </c>
      <c r="D11813" t="inlineStr">
        <is>
          <t>G-I Corporation</t>
        </is>
      </c>
      <c r="E11813" t="inlineStr">
        <is>
          <t>30tr-40tr ₫/tháng</t>
        </is>
      </c>
      <c r="F11813" t="inlineStr">
        <is>
          <t>Hà Nội</t>
        </is>
      </c>
      <c r="G11813" t="inlineStr">
        <is>
          <t>Nhân viên</t>
        </is>
      </c>
      <c r="H11813" t="inlineStr">
        <is>
          <t>26/01/2026</t>
        </is>
      </c>
      <c r="I11813" t="inlineStr">
        <is>
          <t>16/04/2026</t>
        </is>
      </c>
      <c r="J11813" t="inlineStr">
        <is>
          <t>17/03/2026</t>
        </is>
      </c>
      <c r="K11813" t="inlineStr">
        <is>
          <t>N/A</t>
        </is>
      </c>
      <c r="L11813" t="inlineStr">
        <is>
          <t>Am Hiểu Vật Liệu Nội Thất, Lãnh đạo đội nhóm</t>
        </is>
      </c>
      <c r="M11813" t="inlineStr">
        <is>
          <t>Bonus, Healthcare Plan</t>
        </is>
      </c>
      <c r="N11813" s="8">
        <f>HYPERLINK("https://www.vietnamworks.com/quan-ly-du-an-luong-upto-40tr-thang-2006107-jv","Xem chi tiết")</f>
        <v/>
      </c>
    </row>
    <row r="11814">
      <c r="B11814" s="9" t="n">
        <v>11812</v>
      </c>
      <c r="C11814" s="10" t="inlineStr">
        <is>
          <t>Chuyên Viên Vận Hành Phần Mềm</t>
        </is>
      </c>
      <c r="D11814" s="10" t="inlineStr">
        <is>
          <t>Công Ty Cổ Phần Chứng Khoán Agribank</t>
        </is>
      </c>
      <c r="E11814" s="10" t="inlineStr">
        <is>
          <t>Thương lượng</t>
        </is>
      </c>
      <c r="F11814" s="10" t="inlineStr">
        <is>
          <t>Hà Nội</t>
        </is>
      </c>
      <c r="G11814" s="10" t="inlineStr">
        <is>
          <t>Nhân viên</t>
        </is>
      </c>
      <c r="H11814" s="10" t="inlineStr">
        <is>
          <t>26/01/2026</t>
        </is>
      </c>
      <c r="I11814" s="10" t="inlineStr">
        <is>
          <t>16/04/2026</t>
        </is>
      </c>
      <c r="J11814" s="10" t="inlineStr">
        <is>
          <t>17/03/2026</t>
        </is>
      </c>
      <c r="K11814" s="10" t="inlineStr">
        <is>
          <t>N/A</t>
        </is>
      </c>
      <c r="L11814" s="10" t="inlineStr">
        <is>
          <t>Cơ Sở Dữ Liệu SQL Server, Lập Trình C++, Quản Lý Phần Mềm, Quản Trị Hệ Thống CNTT</t>
        </is>
      </c>
      <c r="M11814" s="10" t="inlineStr">
        <is>
          <t>Bonus, Healthcare Plan, Training, Team Activities, Others</t>
        </is>
      </c>
      <c r="N11814" s="11">
        <f>HYPERLINK("https://www.vietnamworks.com/chuyen-vien-van-hanh-phan-mem-2006311-jv","Xem chi tiết")</f>
        <v/>
      </c>
      <c r="O11814" s="10" t="n"/>
    </row>
    <row r="11815">
      <c r="B11815" s="7" t="n">
        <v>11813</v>
      </c>
      <c r="C11815" t="inlineStr">
        <is>
          <t>Senior Demand and Supply Planning Executive</t>
        </is>
      </c>
      <c r="D11815" t="inlineStr">
        <is>
          <t>AMOREPACIFIC Vietnam Company Limited</t>
        </is>
      </c>
      <c r="E11815" t="inlineStr">
        <is>
          <t>Thương lượng</t>
        </is>
      </c>
      <c r="F11815" t="inlineStr">
        <is>
          <t>Hồ Chí Minh</t>
        </is>
      </c>
      <c r="G11815" t="inlineStr">
        <is>
          <t>Nhân viên</t>
        </is>
      </c>
      <c r="H11815" t="inlineStr">
        <is>
          <t>26/01/2026</t>
        </is>
      </c>
      <c r="I11815" t="inlineStr">
        <is>
          <t>16/04/2026</t>
        </is>
      </c>
      <c r="J11815" t="inlineStr">
        <is>
          <t>17/03/2026</t>
        </is>
      </c>
      <c r="K11815" t="inlineStr">
        <is>
          <t>N/A</t>
        </is>
      </c>
      <c r="L11815" t="inlineStr">
        <is>
          <t>Demand Planning, Supply Planning, Inventory Management, Distribution Management, Retail industry knowledge</t>
        </is>
      </c>
      <c r="M11815" t="inlineStr">
        <is>
          <t>Bonus, Healthcare Plan, Others</t>
        </is>
      </c>
      <c r="N11815" s="8">
        <f>HYPERLINK("https://www.vietnamworks.com/senior-demand-and-supply-planning-executive--2006118-jv","Xem chi tiết")</f>
        <v/>
      </c>
    </row>
    <row r="11816">
      <c r="B11816" s="9" t="n">
        <v>11814</v>
      </c>
      <c r="C11816" s="10" t="inlineStr">
        <is>
          <t>SOP &amp; Tax Supervisor</t>
        </is>
      </c>
      <c r="D11816" s="10" t="inlineStr">
        <is>
          <t>Vietjet Air</t>
        </is>
      </c>
      <c r="E11816" s="10" t="inlineStr">
        <is>
          <t>Thương lượng</t>
        </is>
      </c>
      <c r="F11816" s="10" t="inlineStr">
        <is>
          <t>Hồ Chí Minh</t>
        </is>
      </c>
      <c r="G11816" s="10" t="inlineStr">
        <is>
          <t>Nhân viên</t>
        </is>
      </c>
      <c r="H11816" s="10" t="inlineStr">
        <is>
          <t>23/01/2026</t>
        </is>
      </c>
      <c r="I11816" s="10" t="inlineStr">
        <is>
          <t>16/04/2026</t>
        </is>
      </c>
      <c r="J11816" s="10" t="inlineStr">
        <is>
          <t>17/03/2026</t>
        </is>
      </c>
      <c r="K11816" s="10" t="inlineStr">
        <is>
          <t>N/A</t>
        </is>
      </c>
      <c r="L11816" s="10" t="inlineStr">
        <is>
          <t>Accounting Management, Audit, Finance, Tax Advisory, Tax Consultant</t>
        </is>
      </c>
      <c r="M11816" s="10" t="inlineStr">
        <is>
          <t>Bonus, Training, Travel Opportunities</t>
        </is>
      </c>
      <c r="N11816" s="11">
        <f>HYPERLINK("https://www.vietnamworks.com/sop-and-tax-supervisor-2005761-jv","Xem chi tiết")</f>
        <v/>
      </c>
      <c r="O11816" s="10" t="n"/>
    </row>
    <row r="11817">
      <c r="B11817" s="7" t="n">
        <v>11815</v>
      </c>
      <c r="C11817" t="inlineStr">
        <is>
          <t>[Hải Phòng] Chuyên Viên Tư Vấn Cao Cấp – Senior Sales Consultant</t>
        </is>
      </c>
      <c r="D11817" t="inlineStr">
        <is>
          <t>Frasers Property Vietnam</t>
        </is>
      </c>
      <c r="E11817" t="inlineStr">
        <is>
          <t>Thương lượng</t>
        </is>
      </c>
      <c r="F11817" t="inlineStr">
        <is>
          <t>Hải Phòng, Hà Nội, Hưng Yên</t>
        </is>
      </c>
      <c r="G11817" t="inlineStr">
        <is>
          <t>Nhân viên</t>
        </is>
      </c>
      <c r="H11817" t="inlineStr">
        <is>
          <t>23/01/2026</t>
        </is>
      </c>
      <c r="I11817" t="inlineStr">
        <is>
          <t>16/04/2026</t>
        </is>
      </c>
      <c r="J11817" t="inlineStr">
        <is>
          <t>17/03/2026</t>
        </is>
      </c>
      <c r="K11817" t="inlineStr">
        <is>
          <t>N/A</t>
        </is>
      </c>
      <c r="L11817" t="inlineStr">
        <is>
          <t>Property Sales, Market Trend Analysis, Sales Management, Communication Skills, Real Estate</t>
        </is>
      </c>
      <c r="M11817" t="inlineStr">
        <is>
          <t>Bonus, Training, Team Activities</t>
        </is>
      </c>
      <c r="N11817" s="8">
        <f>HYPERLINK("https://www.vietnamworks.com/hai-phong-chuyen-vien-tu-van-cao-cap-senior-sales-consultant-2005873-jv","Xem chi tiết")</f>
        <v/>
      </c>
    </row>
    <row r="11818">
      <c r="B11818" s="9" t="n">
        <v>11816</v>
      </c>
      <c r="C11818" s="10" t="inlineStr">
        <is>
          <t>Trader</t>
        </is>
      </c>
      <c r="D11818" s="10" t="inlineStr">
        <is>
          <t>Công Ty Cổ Phần Nguyên Liệu Mê Kông</t>
        </is>
      </c>
      <c r="E11818" s="10" t="inlineStr">
        <is>
          <t>Thương lượng</t>
        </is>
      </c>
      <c r="F11818" s="10" t="inlineStr">
        <is>
          <t>Hồ Chí Minh</t>
        </is>
      </c>
      <c r="G11818" s="10" t="inlineStr">
        <is>
          <t>Nhân viên</t>
        </is>
      </c>
      <c r="H11818" s="10" t="inlineStr">
        <is>
          <t>21/01/2026</t>
        </is>
      </c>
      <c r="I11818" s="10" t="inlineStr">
        <is>
          <t>16/04/2026</t>
        </is>
      </c>
      <c r="J11818" s="10" t="inlineStr">
        <is>
          <t>17/03/2026</t>
        </is>
      </c>
      <c r="K11818" s="10" t="inlineStr">
        <is>
          <t>N/A</t>
        </is>
      </c>
      <c r="L11818" s="10" t="inlineStr">
        <is>
          <t>Đàm Phán, Xây Dựng Mối Quan Hệ, Phát Triển Thị Trường, Tư Vấn Bán Hàng, Xử Lí Đơn Hàng</t>
        </is>
      </c>
      <c r="M11818" s="10" t="inlineStr">
        <is>
          <t>Bonus, Healthcare Plan, Paid Leave, Training, Laptop, Travel Opportunities, Team Activities, Others</t>
        </is>
      </c>
      <c r="N11818" s="11">
        <f>HYPERLINK("https://www.vietnamworks.com/trader--2005047-jv","Xem chi tiết")</f>
        <v/>
      </c>
      <c r="O11818" s="10" t="n"/>
    </row>
    <row r="11819">
      <c r="B11819" s="7" t="n">
        <v>11817</v>
      </c>
      <c r="C11819" t="inlineStr">
        <is>
          <t>Chuyên Viên Tư Vấn Khóa Học IELTS Online Thu Nhập Từ 25M - 50M</t>
        </is>
      </c>
      <c r="D11819" t="inlineStr">
        <is>
          <t>InterGreat Education Group</t>
        </is>
      </c>
      <c r="E11819" t="inlineStr">
        <is>
          <t>8tr-70tr ₫/tháng</t>
        </is>
      </c>
      <c r="F11819" t="inlineStr">
        <is>
          <t>Hà Nội</t>
        </is>
      </c>
      <c r="G11819" t="inlineStr">
        <is>
          <t>Nhân viên</t>
        </is>
      </c>
      <c r="H11819" t="inlineStr">
        <is>
          <t>21/01/2026</t>
        </is>
      </c>
      <c r="I11819" t="inlineStr">
        <is>
          <t>16/04/2026</t>
        </is>
      </c>
      <c r="J11819" t="inlineStr">
        <is>
          <t>17/03/2026</t>
        </is>
      </c>
      <c r="K11819" t="inlineStr">
        <is>
          <t>N/A</t>
        </is>
      </c>
      <c r="L11819" t="inlineStr">
        <is>
          <t>Tư Vấn Khóa Học, Tư Vấn Tuyển Sinh, Chăm Sóc Khách Hàng, Lập Kế Hoạch, Tư Vấn Bán Hàng</t>
        </is>
      </c>
      <c r="M11819" t="inlineStr">
        <is>
          <t>Bonus, Healthcare Plan, Paid Leave, Training, Awards, Team Activities, Others</t>
        </is>
      </c>
      <c r="N11819" s="8">
        <f>HYPERLINK("https://www.vietnamworks.com/chuyen-vien-tu-van-khoa-hoc-ielts-online-thu-nhap-tu-25m-50m-2004890-jv","Xem chi tiết")</f>
        <v/>
      </c>
    </row>
    <row r="11820">
      <c r="B11820" s="9" t="n">
        <v>11818</v>
      </c>
      <c r="C11820" s="10" t="inlineStr">
        <is>
          <t>[Urgent] Chuyên Viên Kế Toán</t>
        </is>
      </c>
      <c r="D11820" s="10" t="inlineStr">
        <is>
          <t>Công Ty Cổ Phần Quản Lý Quỹ Amber</t>
        </is>
      </c>
      <c r="E11820" s="10" t="inlineStr">
        <is>
          <t>Thương lượng</t>
        </is>
      </c>
      <c r="F11820" s="10" t="inlineStr">
        <is>
          <t>Hà Nội</t>
        </is>
      </c>
      <c r="G11820" s="10" t="inlineStr">
        <is>
          <t>Nhân viên</t>
        </is>
      </c>
      <c r="H11820" s="10" t="inlineStr">
        <is>
          <t>23/01/2026</t>
        </is>
      </c>
      <c r="I11820" s="10" t="inlineStr">
        <is>
          <t>16/04/2026</t>
        </is>
      </c>
      <c r="J11820" s="10" t="inlineStr">
        <is>
          <t>17/03/2026</t>
        </is>
      </c>
      <c r="K11820" s="10" t="inlineStr">
        <is>
          <t>N/A</t>
        </is>
      </c>
      <c r="L11820" s="10" t="inlineStr">
        <is>
          <t>Kế Toán, MS Office, Phần mềm kế toán, Sử Dụng Phần Mềm, Giao Tiếp</t>
        </is>
      </c>
      <c r="M11820" s="10" t="inlineStr">
        <is>
          <t>Bonus, Healthcare Plan, Paid Leave, Travel Opportunities, Others</t>
        </is>
      </c>
      <c r="N11820" s="11">
        <f>HYPERLINK("https://www.vietnamworks.com/urgent-chuyen-vien-ke-toan-2005725-jv","Xem chi tiết")</f>
        <v/>
      </c>
      <c r="O11820" s="10" t="n"/>
    </row>
    <row r="11821">
      <c r="B11821" s="7" t="n">
        <v>11819</v>
      </c>
      <c r="C11821" t="inlineStr">
        <is>
          <t>Senior Consultant | Business Transformation in HCMC Office</t>
        </is>
      </c>
      <c r="D11821" t="inlineStr">
        <is>
          <t>Ernst &amp; Young Vietnam Limited (EY Vietnam)</t>
        </is>
      </c>
      <c r="E11821" t="inlineStr">
        <is>
          <t>Thương lượng</t>
        </is>
      </c>
      <c r="F11821" t="inlineStr">
        <is>
          <t>Hồ Chí Minh</t>
        </is>
      </c>
      <c r="G11821" t="inlineStr">
        <is>
          <t>Nhân viên</t>
        </is>
      </c>
      <c r="H11821" t="inlineStr">
        <is>
          <t>22/01/2026</t>
        </is>
      </c>
      <c r="I11821" t="inlineStr">
        <is>
          <t>16/04/2026</t>
        </is>
      </c>
      <c r="J11821" t="inlineStr">
        <is>
          <t>17/03/2026</t>
        </is>
      </c>
      <c r="K11821" t="inlineStr">
        <is>
          <t>N/A</t>
        </is>
      </c>
      <c r="L11821" t="inlineStr">
        <is>
          <t>Supply Chain Management, CRM, Customer Segmentation, Customer Value Proposition, Performance Analysis</t>
        </is>
      </c>
      <c r="M11821" t="inlineStr">
        <is>
          <t>Bonus, Awards, Others</t>
        </is>
      </c>
      <c r="N11821" s="8">
        <f>HYPERLINK("https://www.vietnamworks.com/senior-consultant-business-transformation-in-hcmc-office-2005380-jv","Xem chi tiết")</f>
        <v/>
      </c>
    </row>
    <row r="11822">
      <c r="B11822" s="9" t="n">
        <v>11820</v>
      </c>
      <c r="C11822" s="10" t="inlineStr">
        <is>
          <t>Kỹ Sư Vỏ Tàu Thủy / Hull Engineer (Vietnamese Only)</t>
        </is>
      </c>
      <c r="D11822" s="10" t="inlineStr">
        <is>
          <t>Damen Song Cam Shipyard (Dscs)</t>
        </is>
      </c>
      <c r="E11822" s="10" t="inlineStr">
        <is>
          <t>Thương lượng</t>
        </is>
      </c>
      <c r="F11822" s="10" t="inlineStr">
        <is>
          <t>Hải Phòng</t>
        </is>
      </c>
      <c r="G11822" s="10" t="inlineStr">
        <is>
          <t>Nhân viên</t>
        </is>
      </c>
      <c r="H11822" s="10" t="inlineStr">
        <is>
          <t>22/01/2026</t>
        </is>
      </c>
      <c r="I11822" s="10" t="inlineStr">
        <is>
          <t>16/04/2026</t>
        </is>
      </c>
      <c r="J11822" s="10" t="inlineStr">
        <is>
          <t>17/03/2026</t>
        </is>
      </c>
      <c r="K11822" s="10" t="inlineStr">
        <is>
          <t>N/A</t>
        </is>
      </c>
      <c r="L11822" s="10" t="inlineStr">
        <is>
          <t>Electrical, Naval Architecture, HSEQ, English, Shipbuilding Industry</t>
        </is>
      </c>
      <c r="M11822" s="10" t="inlineStr">
        <is>
          <t>Bonus, Training, Travel Opportunities</t>
        </is>
      </c>
      <c r="N11822" s="11">
        <f>HYPERLINK("https://www.vietnamworks.com/ky-su-vo-tau-thuy-hull-engineer-vietnamese-only-2005415-jv","Xem chi tiết")</f>
        <v/>
      </c>
      <c r="O11822" s="10" t="n"/>
    </row>
    <row r="11823">
      <c r="B11823" s="7" t="n">
        <v>11821</v>
      </c>
      <c r="C11823" t="inlineStr">
        <is>
          <t>Trợ Lý Sales B2B Quốc Tế – Next Gen (Powered By Digital &amp; AI)</t>
        </is>
      </c>
      <c r="D11823" t="inlineStr">
        <is>
          <t>Công ty Cổ phần Khoáng sản Vật liệu Á CỘNG</t>
        </is>
      </c>
      <c r="E11823" t="inlineStr">
        <is>
          <t>7tr-10tr ₫/tháng</t>
        </is>
      </c>
      <c r="F11823" t="inlineStr">
        <is>
          <t>Hồ Chí Minh</t>
        </is>
      </c>
      <c r="G11823" t="inlineStr">
        <is>
          <t>Mới Tốt Nghiệp</t>
        </is>
      </c>
      <c r="H11823" t="inlineStr">
        <is>
          <t>25/01/2026</t>
        </is>
      </c>
      <c r="I11823" t="inlineStr">
        <is>
          <t>16/04/2026</t>
        </is>
      </c>
      <c r="J11823" t="inlineStr">
        <is>
          <t>17/03/2026</t>
        </is>
      </c>
      <c r="K11823" t="inlineStr">
        <is>
          <t>N/A</t>
        </is>
      </c>
      <c r="L11823" t="inlineStr">
        <is>
          <t>Business Analysis, Data AI, Digital &amp; AI Tools, Kinh Doanh Quốc Tế, Marketing</t>
        </is>
      </c>
      <c r="M11823" t="inlineStr">
        <is>
          <t>Training, Others</t>
        </is>
      </c>
      <c r="N11823" s="8">
        <f>HYPERLINK("https://www.vietnamworks.com/tro-ly-sales-b2b-quoc-te-next-gen-powered-by-digital-and-ai-2006049-jv","Xem chi tiết")</f>
        <v/>
      </c>
    </row>
    <row r="11824">
      <c r="B11824" s="9" t="n">
        <v>11822</v>
      </c>
      <c r="C11824" s="10" t="inlineStr">
        <is>
          <t>Electrical Engineer</t>
        </is>
      </c>
      <c r="D11824" s="10" t="inlineStr">
        <is>
          <t>Công Ty TNHH CM Plus Việt Nam</t>
        </is>
      </c>
      <c r="E11824" s="10" t="inlineStr">
        <is>
          <t>25tr-35tr ₫/tháng</t>
        </is>
      </c>
      <c r="F11824" s="10" t="inlineStr">
        <is>
          <t>Hồ Chí Minh</t>
        </is>
      </c>
      <c r="G11824" s="10" t="inlineStr">
        <is>
          <t>Nhân viên</t>
        </is>
      </c>
      <c r="H11824" s="10" t="inlineStr">
        <is>
          <t>27/01/2026</t>
        </is>
      </c>
      <c r="I11824" s="10" t="inlineStr">
        <is>
          <t>16/04/2026</t>
        </is>
      </c>
      <c r="J11824" s="10" t="inlineStr">
        <is>
          <t>17/03/2026</t>
        </is>
      </c>
      <c r="K11824" s="10" t="inlineStr">
        <is>
          <t>N/A</t>
        </is>
      </c>
      <c r="L11824" s="10" t="inlineStr">
        <is>
          <t>AutoCAD, Điện, Điện Tử, Electrical Engineering, HVAC Control Systems</t>
        </is>
      </c>
      <c r="M11824" s="10" t="inlineStr">
        <is>
          <t>Bonus, Healthcare Plan, Paid Leave</t>
        </is>
      </c>
      <c r="N11824" s="11">
        <f>HYPERLINK("https://www.vietnamworks.com/electrical-engineer--2006597-jv","Xem chi tiết")</f>
        <v/>
      </c>
      <c r="O11824" s="10" t="n"/>
    </row>
    <row r="11825">
      <c r="B11825" s="7" t="n">
        <v>11823</v>
      </c>
      <c r="C11825" t="inlineStr">
        <is>
          <t>Chuyên Viên Bảo Mật Ứng Dụng</t>
        </is>
      </c>
      <c r="D11825" t="inlineStr">
        <is>
          <t>Công Ty Cổ Phần Chứng Khoán Agribank</t>
        </is>
      </c>
      <c r="E11825" t="inlineStr">
        <is>
          <t>Thương lượng</t>
        </is>
      </c>
      <c r="F11825" t="inlineStr">
        <is>
          <t>Hà Nội</t>
        </is>
      </c>
      <c r="G11825" t="inlineStr">
        <is>
          <t>Nhân viên</t>
        </is>
      </c>
      <c r="H11825" t="inlineStr">
        <is>
          <t>26/01/2026</t>
        </is>
      </c>
      <c r="I11825" t="inlineStr">
        <is>
          <t>16/04/2026</t>
        </is>
      </c>
      <c r="J11825" t="inlineStr">
        <is>
          <t>17/03/2026</t>
        </is>
      </c>
      <c r="K11825" t="inlineStr">
        <is>
          <t>N/A</t>
        </is>
      </c>
      <c r="L11825" t="inlineStr">
        <is>
          <t>An Ninh Thông Tin, Bảo mật thông tin, OWASP, Python</t>
        </is>
      </c>
      <c r="M11825" t="inlineStr">
        <is>
          <t>Bonus, Healthcare Plan, Training, Team Activities, Others</t>
        </is>
      </c>
      <c r="N11825" s="8">
        <f>HYPERLINK("https://www.vietnamworks.com/chuyen-vien-bao-mat-ung-dung--2006339-jv","Xem chi tiết")</f>
        <v/>
      </c>
    </row>
    <row r="11826">
      <c r="B11826" s="9" t="n">
        <v>11824</v>
      </c>
      <c r="C11826" s="10" t="inlineStr">
        <is>
          <t>Structural Engineer</t>
        </is>
      </c>
      <c r="D11826" s="10" t="inlineStr">
        <is>
          <t>Công Ty TNHH CM Plus Việt Nam</t>
        </is>
      </c>
      <c r="E11826" s="10" t="inlineStr">
        <is>
          <t>Thương lượng</t>
        </is>
      </c>
      <c r="F11826" s="10" t="inlineStr">
        <is>
          <t>Hồ Chí Minh</t>
        </is>
      </c>
      <c r="G11826" s="10" t="inlineStr">
        <is>
          <t>Nhân viên</t>
        </is>
      </c>
      <c r="H11826" s="10" t="inlineStr">
        <is>
          <t>27/01/2026</t>
        </is>
      </c>
      <c r="I11826" s="10" t="inlineStr">
        <is>
          <t>16/04/2026</t>
        </is>
      </c>
      <c r="J11826" s="10" t="inlineStr">
        <is>
          <t>17/03/2026</t>
        </is>
      </c>
      <c r="K11826" s="10" t="inlineStr">
        <is>
          <t>N/A</t>
        </is>
      </c>
      <c r="L11826" s="10" t="inlineStr">
        <is>
          <t>Structural Design, Etabs, AutoCAD, BIM, Communication Skills</t>
        </is>
      </c>
      <c r="M11826" s="10" t="inlineStr">
        <is>
          <t>Bonus, Others</t>
        </is>
      </c>
      <c r="N11826" s="11">
        <f>HYPERLINK("https://www.vietnamworks.com/structural-engineer-2006730-jv","Xem chi tiết")</f>
        <v/>
      </c>
      <c r="O11826" s="10" t="n"/>
    </row>
    <row r="11827">
      <c r="B11827" s="7" t="n">
        <v>11825</v>
      </c>
      <c r="C11827" t="inlineStr">
        <is>
          <t>Social Media (PART-TIME)</t>
        </is>
      </c>
      <c r="D11827" t="inlineStr">
        <is>
          <t>Vina Biocare VN</t>
        </is>
      </c>
      <c r="E11827" t="inlineStr">
        <is>
          <t>8tr-10tr ₫/tháng</t>
        </is>
      </c>
      <c r="F11827" t="inlineStr">
        <is>
          <t>Hồ Chí Minh</t>
        </is>
      </c>
      <c r="G11827" t="inlineStr">
        <is>
          <t>Mới Tốt Nghiệp</t>
        </is>
      </c>
      <c r="H11827" t="inlineStr">
        <is>
          <t>27/01/2026</t>
        </is>
      </c>
      <c r="I11827" t="inlineStr">
        <is>
          <t>16/04/2026</t>
        </is>
      </c>
      <c r="J11827" t="inlineStr">
        <is>
          <t>17/03/2026</t>
        </is>
      </c>
      <c r="K11827" t="inlineStr">
        <is>
          <t>N/A</t>
        </is>
      </c>
      <c r="L11827" t="inlineStr">
        <is>
          <t>Digital Marketing, Video Editing, Content Creation, SEM, SEO Content Creation</t>
        </is>
      </c>
      <c r="M11827" t="inlineStr">
        <is>
          <t>Bonus, Healthcare Plan, Paid Leave, Training, Laptop, Transportation, Others</t>
        </is>
      </c>
      <c r="N11827" s="8">
        <f>HYPERLINK("https://www.vietnamworks.com/social-media-part-time-2006662-jv","Xem chi tiết")</f>
        <v/>
      </c>
    </row>
    <row r="11828">
      <c r="B11828" s="9" t="n">
        <v>11826</v>
      </c>
      <c r="C11828" s="10" t="inlineStr">
        <is>
          <t>HVAC Engineer</t>
        </is>
      </c>
      <c r="D11828" s="10" t="inlineStr">
        <is>
          <t>Công Ty TNHH CM Plus Việt Nam</t>
        </is>
      </c>
      <c r="E11828" s="10" t="inlineStr">
        <is>
          <t>25tr-35tr ₫/tháng</t>
        </is>
      </c>
      <c r="F11828" s="10" t="inlineStr">
        <is>
          <t>Hồ Chí Minh</t>
        </is>
      </c>
      <c r="G11828" s="10" t="inlineStr">
        <is>
          <t>Nhân viên</t>
        </is>
      </c>
      <c r="H11828" s="10" t="inlineStr">
        <is>
          <t>27/01/2026</t>
        </is>
      </c>
      <c r="I11828" s="10" t="inlineStr">
        <is>
          <t>16/04/2026</t>
        </is>
      </c>
      <c r="J11828" s="10" t="inlineStr">
        <is>
          <t>17/03/2026</t>
        </is>
      </c>
      <c r="K11828" s="10" t="inlineStr">
        <is>
          <t>N/A</t>
        </is>
      </c>
      <c r="L11828" s="10" t="inlineStr">
        <is>
          <t>Revit, HVAC, AutoCAD, Plumbing, Mechanical Engineering</t>
        </is>
      </c>
      <c r="M11828" s="10" t="inlineStr">
        <is>
          <t>Bonus, Healthcare Plan, Paid Leave</t>
        </is>
      </c>
      <c r="N11828" s="11">
        <f>HYPERLINK("https://www.vietnamworks.com/hvac-engineer--2006602-jv","Xem chi tiết")</f>
        <v/>
      </c>
      <c r="O11828" s="10" t="n"/>
    </row>
    <row r="11829">
      <c r="B11829" s="7" t="n">
        <v>11827</v>
      </c>
      <c r="C11829" t="inlineStr">
        <is>
          <t>Sourcing Managers/ Quản Lý Kinh Doanh [30Tr/ Tháng]</t>
        </is>
      </c>
      <c r="D11829" t="inlineStr">
        <is>
          <t>Công Ty TNHH Công Nghiệp Nhựa Pioneer</t>
        </is>
      </c>
      <c r="E11829" t="inlineStr">
        <is>
          <t>Từ 30tr ₫/tháng</t>
        </is>
      </c>
      <c r="F11829" t="inlineStr">
        <is>
          <t>Hưng Yên</t>
        </is>
      </c>
      <c r="G11829" t="inlineStr">
        <is>
          <t>Trưởng phòng</t>
        </is>
      </c>
      <c r="H11829" t="inlineStr">
        <is>
          <t>27/01/2026</t>
        </is>
      </c>
      <c r="I11829" t="inlineStr">
        <is>
          <t>16/04/2026</t>
        </is>
      </c>
      <c r="J11829" t="inlineStr">
        <is>
          <t>17/03/2026</t>
        </is>
      </c>
      <c r="K11829" t="inlineStr">
        <is>
          <t>N/A</t>
        </is>
      </c>
      <c r="L11829" t="inlineStr">
        <is>
          <t>B2B Sales, Customer Management, Negotiation Skills, English Fluency, Manufacturing Purchasing</t>
        </is>
      </c>
      <c r="M11829" t="inlineStr">
        <is>
          <t>Bonus, Healthcare Plan, Team Activities, Others</t>
        </is>
      </c>
      <c r="N11829" s="8">
        <f>HYPERLINK("https://www.vietnamworks.com/sourcing-managers-quan-ly-kinh-doanh-30tr-thang-2006739-jv","Xem chi tiết")</f>
        <v/>
      </c>
    </row>
    <row r="11830">
      <c r="B11830" s="9" t="n">
        <v>11828</v>
      </c>
      <c r="C11830" s="10" t="inlineStr">
        <is>
          <t>Chuyên Viên Business Analyst (BA)</t>
        </is>
      </c>
      <c r="D11830" s="10" t="inlineStr">
        <is>
          <t>Công Ty Cổ Phần Chứng Khoán Agribank</t>
        </is>
      </c>
      <c r="E11830" s="10" t="inlineStr">
        <is>
          <t>Thương lượng</t>
        </is>
      </c>
      <c r="F11830" s="10" t="inlineStr">
        <is>
          <t>Hà Nội</t>
        </is>
      </c>
      <c r="G11830" s="10" t="inlineStr">
        <is>
          <t>Nhân viên</t>
        </is>
      </c>
      <c r="H11830" s="10" t="inlineStr">
        <is>
          <t>26/01/2026</t>
        </is>
      </c>
      <c r="I11830" s="10" t="inlineStr">
        <is>
          <t>16/04/2026</t>
        </is>
      </c>
      <c r="J11830" s="10" t="inlineStr">
        <is>
          <t>17/03/2026</t>
        </is>
      </c>
      <c r="K11830" s="10" t="inlineStr">
        <is>
          <t>N/A</t>
        </is>
      </c>
      <c r="L11830" s="10" t="inlineStr">
        <is>
          <t>Agile, API, Phân Tích Dữ Liệu, Phân Tích Nghiệp Vụ, User Stories</t>
        </is>
      </c>
      <c r="M11830" s="10" t="inlineStr">
        <is>
          <t>Bonus, Healthcare Plan, Training, Team Activities, Others</t>
        </is>
      </c>
      <c r="N11830" s="11">
        <f>HYPERLINK("https://www.vietnamworks.com/chuyen-vien-business-analyst-ba--2006373-jv","Xem chi tiết")</f>
        <v/>
      </c>
      <c r="O11830" s="10" t="n"/>
    </row>
    <row r="11831">
      <c r="B11831" s="7" t="n">
        <v>11829</v>
      </c>
      <c r="C11831" t="inlineStr">
        <is>
          <t>Admin Phòng Ứng Dụng Sản Phẩm (Application Administrator)</t>
        </is>
      </c>
      <c r="D11831" t="inlineStr">
        <is>
          <t>Công Ty TNHH Thiết Bị Minh Tâm (Mitalab Co., Ltd)</t>
        </is>
      </c>
      <c r="E11831" t="inlineStr">
        <is>
          <t>Thương lượng</t>
        </is>
      </c>
      <c r="F11831" t="inlineStr">
        <is>
          <t>Hà Nội</t>
        </is>
      </c>
      <c r="G11831" t="inlineStr">
        <is>
          <t>Nhân viên</t>
        </is>
      </c>
      <c r="H11831" t="inlineStr">
        <is>
          <t>27/01/2026</t>
        </is>
      </c>
      <c r="I11831" t="inlineStr">
        <is>
          <t>16/04/2026</t>
        </is>
      </c>
      <c r="J11831" t="inlineStr">
        <is>
          <t>17/03/2026</t>
        </is>
      </c>
      <c r="K11831" t="inlineStr">
        <is>
          <t>N/A</t>
        </is>
      </c>
      <c r="L11831" t="inlineStr">
        <is>
          <t>y, Dược, Công Nghệ Sinh Học, Admin, Dược Phẩm</t>
        </is>
      </c>
      <c r="M11831" t="inlineStr">
        <is>
          <t>Bonus, Training, Travel Opportunities, Canteen, Others</t>
        </is>
      </c>
      <c r="N11831" s="8">
        <f>HYPERLINK("https://www.vietnamworks.com/admin-phong-ung-dung-san-pham-application-administrator-2006639-jv","Xem chi tiết")</f>
        <v/>
      </c>
    </row>
    <row r="11832">
      <c r="B11832" s="9" t="n">
        <v>11830</v>
      </c>
      <c r="C11832" s="10" t="inlineStr">
        <is>
          <t xml:space="preserve">Chuyên viên Quản trị An toàn thông tin </t>
        </is>
      </c>
      <c r="D11832" s="10" t="inlineStr">
        <is>
          <t>Công Ty Cổ Phần Chứng Khoán Agribank</t>
        </is>
      </c>
      <c r="E11832" s="10" t="inlineStr">
        <is>
          <t>Thương lượng</t>
        </is>
      </c>
      <c r="F11832" s="10" t="inlineStr">
        <is>
          <t>Hà Nội</t>
        </is>
      </c>
      <c r="G11832" s="10" t="inlineStr">
        <is>
          <t>Nhân viên</t>
        </is>
      </c>
      <c r="H11832" s="10" t="inlineStr">
        <is>
          <t>26/01/2026</t>
        </is>
      </c>
      <c r="I11832" s="10" t="inlineStr">
        <is>
          <t>16/04/2026</t>
        </is>
      </c>
      <c r="J11832" s="10" t="inlineStr">
        <is>
          <t>17/03/2026</t>
        </is>
      </c>
      <c r="K11832" s="10" t="inlineStr">
        <is>
          <t>N/A</t>
        </is>
      </c>
      <c r="L11832" s="10" t="inlineStr">
        <is>
          <t>An Ninh Thông Tin, Bảo mật thông tin, OWASP, NIST, Đánh Giá Rủi Ro</t>
        </is>
      </c>
      <c r="M11832" s="10" t="inlineStr">
        <is>
          <t>Bonus, Healthcare Plan, Training, Team Activities, Others</t>
        </is>
      </c>
      <c r="N11832" s="11">
        <f>HYPERLINK("https://www.vietnamworks.com/chuyen-vien-quan-tri-an-toan-thong-tin-2006362-jv","Xem chi tiết")</f>
        <v/>
      </c>
      <c r="O11832" s="10" t="n"/>
    </row>
    <row r="11833">
      <c r="B11833" s="7" t="n">
        <v>11831</v>
      </c>
      <c r="C11833" t="inlineStr">
        <is>
          <t>Sea Import/ Export Documentation</t>
        </is>
      </c>
      <c r="D11833" t="inlineStr">
        <is>
          <t>Công Ty TNHH MJ Logistics (Hanoi)</t>
        </is>
      </c>
      <c r="E11833" t="inlineStr">
        <is>
          <t>Thương lượng</t>
        </is>
      </c>
      <c r="F11833" t="inlineStr">
        <is>
          <t>Hà Nội</t>
        </is>
      </c>
      <c r="G11833" t="inlineStr">
        <is>
          <t>Nhân viên</t>
        </is>
      </c>
      <c r="H11833" t="inlineStr">
        <is>
          <t>27/01/2026</t>
        </is>
      </c>
      <c r="I11833" t="inlineStr">
        <is>
          <t>16/04/2026</t>
        </is>
      </c>
      <c r="J11833" t="inlineStr">
        <is>
          <t>17/03/2026</t>
        </is>
      </c>
      <c r="K11833" t="inlineStr">
        <is>
          <t>N/A</t>
        </is>
      </c>
      <c r="L11833" t="inlineStr">
        <is>
          <t>Documentation Control, Customs Clearance, Logistics Management, Reporting, Cargo</t>
        </is>
      </c>
      <c r="M11833" t="inlineStr">
        <is>
          <t>Bonus, Team Activities, Others</t>
        </is>
      </c>
      <c r="N11833" s="8">
        <f>HYPERLINK("https://www.vietnamworks.com/sea-import-export-documentation--2006502-jv","Xem chi tiết")</f>
        <v/>
      </c>
    </row>
    <row r="11834">
      <c r="B11834" s="9" t="n">
        <v>11832</v>
      </c>
      <c r="C11834" s="10" t="inlineStr">
        <is>
          <t>Chuyên Viên Quản Trị Công Nghệ Thông Tin</t>
        </is>
      </c>
      <c r="D11834" s="10" t="inlineStr">
        <is>
          <t>Công Ty Cổ Phần Chứng Khoán Agribank</t>
        </is>
      </c>
      <c r="E11834" s="10" t="inlineStr">
        <is>
          <t>Thương lượng</t>
        </is>
      </c>
      <c r="F11834" s="10" t="inlineStr">
        <is>
          <t>Hà Nội</t>
        </is>
      </c>
      <c r="G11834" s="10" t="inlineStr">
        <is>
          <t>Nhân viên</t>
        </is>
      </c>
      <c r="H11834" s="10" t="inlineStr">
        <is>
          <t>26/01/2026</t>
        </is>
      </c>
      <c r="I11834" s="10" t="inlineStr">
        <is>
          <t>16/04/2026</t>
        </is>
      </c>
      <c r="J11834" s="10" t="inlineStr">
        <is>
          <t>17/03/2026</t>
        </is>
      </c>
      <c r="K11834" s="10" t="inlineStr">
        <is>
          <t>N/A</t>
        </is>
      </c>
      <c r="L11834" s="10" t="inlineStr">
        <is>
          <t>Agile, CAPM, ISO 9001, Project Coordination, Quản Trị Dự Án</t>
        </is>
      </c>
      <c r="M11834" s="10" t="inlineStr">
        <is>
          <t>Bonus, Healthcare Plan, Training, Team Activities, Others</t>
        </is>
      </c>
      <c r="N11834" s="11">
        <f>HYPERLINK("https://www.vietnamworks.com/chuyen-vien-quan-tri-cong-nghe-thong-tin--2006382-jv","Xem chi tiết")</f>
        <v/>
      </c>
      <c r="O11834" s="10" t="n"/>
    </row>
    <row r="11835">
      <c r="B11835" s="7" t="n">
        <v>11833</v>
      </c>
      <c r="C11835" t="inlineStr">
        <is>
          <t>Kiến Trúc Sư Thiết Kế Kiến Trúc (Hà Nội)</t>
        </is>
      </c>
      <c r="D11835" t="inlineStr">
        <is>
          <t>JC VIETNAM JOINT STOCK COMPANY (JC)</t>
        </is>
      </c>
      <c r="E11835" t="inlineStr">
        <is>
          <t>Từ 17,000 ₫/tháng</t>
        </is>
      </c>
      <c r="F11835" t="inlineStr">
        <is>
          <t>Hà Nội</t>
        </is>
      </c>
      <c r="G11835" t="inlineStr">
        <is>
          <t>Nhân viên</t>
        </is>
      </c>
      <c r="H11835" t="inlineStr">
        <is>
          <t>27/01/2026</t>
        </is>
      </c>
      <c r="I11835" t="inlineStr">
        <is>
          <t>16/04/2026</t>
        </is>
      </c>
      <c r="J11835" t="inlineStr">
        <is>
          <t>17/03/2026</t>
        </is>
      </c>
      <c r="K11835" t="inlineStr">
        <is>
          <t>N/A</t>
        </is>
      </c>
      <c r="L11835" t="inlineStr">
        <is>
          <t>Kiến Trúc, Concept Design, Thiết Kế Xây Dựng, Tư Duy Thẩm Mỹ, Triển Khai Ý Tưởng</t>
        </is>
      </c>
      <c r="M11835" t="inlineStr">
        <is>
          <t>Bonus, Healthcare Plan, Paid Leave</t>
        </is>
      </c>
      <c r="N11835" s="8">
        <f>HYPERLINK("https://www.vietnamworks.com/kien-truc-su-thiet-ke-kien-truc-ha-noi-2006871-jv","Xem chi tiết")</f>
        <v/>
      </c>
    </row>
    <row r="11836">
      <c r="B11836" s="9" t="n">
        <v>11834</v>
      </c>
      <c r="C11836" s="10" t="inlineStr">
        <is>
          <t>Chuyên Viên Hạ Tầng Công Nghệ Thông Tin</t>
        </is>
      </c>
      <c r="D11836" s="10" t="inlineStr">
        <is>
          <t>Công Ty Cổ Phần Chứng Khoán Agribank</t>
        </is>
      </c>
      <c r="E11836" s="10" t="inlineStr">
        <is>
          <t>Thương lượng</t>
        </is>
      </c>
      <c r="F11836" s="10" t="inlineStr">
        <is>
          <t>Hà Nội</t>
        </is>
      </c>
      <c r="G11836" s="10" t="inlineStr">
        <is>
          <t>Nhân viên</t>
        </is>
      </c>
      <c r="H11836" s="10" t="inlineStr">
        <is>
          <t>26/01/2026</t>
        </is>
      </c>
      <c r="I11836" s="10" t="inlineStr">
        <is>
          <t>16/04/2026</t>
        </is>
      </c>
      <c r="J11836" s="10" t="inlineStr">
        <is>
          <t>17/03/2026</t>
        </is>
      </c>
      <c r="K11836" s="10" t="inlineStr">
        <is>
          <t>N/A</t>
        </is>
      </c>
      <c r="L11836" s="10" t="inlineStr">
        <is>
          <t>An Ninh Thông Tin, Firewall, Quản Trị Hệ Thống Máy Chủ, Vận Hành Hệ Thống Mạng, VPN</t>
        </is>
      </c>
      <c r="M11836" s="10" t="inlineStr">
        <is>
          <t>Bonus, Healthcare Plan, Training, Team Activities, Others</t>
        </is>
      </c>
      <c r="N11836" s="11">
        <f>HYPERLINK("https://www.vietnamworks.com/chuyen-vien-ha-tang-cong-nghe-thong-tin--2006324-jv","Xem chi tiết")</f>
        <v/>
      </c>
      <c r="O11836" s="10" t="n"/>
    </row>
    <row r="11837">
      <c r="B11837" s="7" t="n">
        <v>11835</v>
      </c>
      <c r="C11837" t="inlineStr">
        <is>
          <t>Nhân Viên Kinh Doanh</t>
        </is>
      </c>
      <c r="D11837" t="inlineStr">
        <is>
          <t>Công ty CP Liên Doanh Cảng Quốc tế Mỹ Thủy</t>
        </is>
      </c>
      <c r="E11837" t="inlineStr">
        <is>
          <t>Thương lượng</t>
        </is>
      </c>
      <c r="F11837" t="inlineStr">
        <is>
          <t>Hà Nội</t>
        </is>
      </c>
      <c r="G11837" t="inlineStr">
        <is>
          <t>Nhân viên</t>
        </is>
      </c>
      <c r="H11837" t="inlineStr">
        <is>
          <t>27/01/2026</t>
        </is>
      </c>
      <c r="I11837" t="inlineStr">
        <is>
          <t>16/04/2026</t>
        </is>
      </c>
      <c r="J11837" t="inlineStr">
        <is>
          <t>17/03/2026</t>
        </is>
      </c>
      <c r="K11837" t="inlineStr">
        <is>
          <t>N/A</t>
        </is>
      </c>
      <c r="L11837" t="inlineStr">
        <is>
          <t>Kinh Doanh Vận Tải, Giao Tiếp Tiếng Anh, Luật Vận Tải, Sales Logistics, Tìm Kiếm Khác Hàng</t>
        </is>
      </c>
      <c r="M11837" t="inlineStr">
        <is>
          <t>Bonus, Healthcare Plan, Transportation</t>
        </is>
      </c>
      <c r="N11837" s="8">
        <f>HYPERLINK("https://www.vietnamworks.com/nhan-vien-kinh-doanh-2006758-jv","Xem chi tiết")</f>
        <v/>
      </c>
    </row>
    <row r="11838">
      <c r="B11838" s="9" t="n">
        <v>11836</v>
      </c>
      <c r="C11838" s="10" t="inlineStr">
        <is>
          <t>Chief Risk Officer (Web3/Crypto/Blockchain)</t>
        </is>
      </c>
      <c r="D11838" s="10" t="inlineStr">
        <is>
          <t>Công ty Cổ phần Sàn giao dịch Tài sản mã hóa Việt Nam Thịnh Vượng</t>
        </is>
      </c>
      <c r="E11838" s="10" t="inlineStr">
        <is>
          <t>Thương lượng</t>
        </is>
      </c>
      <c r="F11838" s="10" t="inlineStr">
        <is>
          <t>Hà Nội</t>
        </is>
      </c>
      <c r="G11838" s="10" t="inlineStr">
        <is>
          <t>Giám Đốc và Cấp Cao Hơn</t>
        </is>
      </c>
      <c r="H11838" s="10" t="inlineStr">
        <is>
          <t>27/01/2026</t>
        </is>
      </c>
      <c r="I11838" s="10" t="inlineStr">
        <is>
          <t>16/04/2026</t>
        </is>
      </c>
      <c r="J11838" s="10" t="inlineStr">
        <is>
          <t>17/03/2026</t>
        </is>
      </c>
      <c r="K11838" s="10" t="inlineStr">
        <is>
          <t>N/A</t>
        </is>
      </c>
      <c r="L11838" s="10" t="inlineStr">
        <is>
          <t>Communication, Fintech, Leadership, Regulatory Compliance, Risk Management</t>
        </is>
      </c>
      <c r="M11838" s="10" t="inlineStr">
        <is>
          <t>Bonus, Healthcare Plan, Awards, Laptop, Canteen, Others</t>
        </is>
      </c>
      <c r="N11838" s="11">
        <f>HYPERLINK("https://www.vietnamworks.com/chief-risk-officer-web3cryptoblockchain-2006925-jv","Xem chi tiết")</f>
        <v/>
      </c>
      <c r="O11838" s="10" t="n"/>
    </row>
    <row r="11839">
      <c r="B11839" s="7" t="n">
        <v>11837</v>
      </c>
      <c r="C11839" t="inlineStr">
        <is>
          <t>Chuyên Viên Phát Triển Phần Mềm</t>
        </is>
      </c>
      <c r="D11839" t="inlineStr">
        <is>
          <t>Công Ty Cổ Phần Chứng Khoán Agribank</t>
        </is>
      </c>
      <c r="E11839" t="inlineStr">
        <is>
          <t>Thương lượng</t>
        </is>
      </c>
      <c r="F11839" t="inlineStr">
        <is>
          <t>Hà Nội</t>
        </is>
      </c>
      <c r="G11839" t="inlineStr">
        <is>
          <t>Nhân viên</t>
        </is>
      </c>
      <c r="H11839" t="inlineStr">
        <is>
          <t>26/01/2026</t>
        </is>
      </c>
      <c r="I11839" t="inlineStr">
        <is>
          <t>16/04/2026</t>
        </is>
      </c>
      <c r="J11839" t="inlineStr">
        <is>
          <t>17/03/2026</t>
        </is>
      </c>
      <c r="K11839" t="inlineStr">
        <is>
          <t>N/A</t>
        </is>
      </c>
      <c r="L11839" t="inlineStr">
        <is>
          <t>Kubernetes, Oracle, Phát Triển Phần Mềm, PostgreSQL, SQL</t>
        </is>
      </c>
      <c r="M11839" t="inlineStr">
        <is>
          <t>Bonus, Healthcare Plan, Training, Team Activities, Others</t>
        </is>
      </c>
      <c r="N11839" s="8">
        <f>HYPERLINK("https://www.vietnamworks.com/chuyen-vien-phat-trien-phan-mem-2006368-jv","Xem chi tiết")</f>
        <v/>
      </c>
    </row>
    <row r="11840">
      <c r="B11840" s="9" t="n">
        <v>11838</v>
      </c>
      <c r="C11840" s="10" t="inlineStr">
        <is>
          <t>Senior Architect</t>
        </is>
      </c>
      <c r="D11840" s="10" t="inlineStr">
        <is>
          <t>Công Ty TNHH CM Plus Việt Nam</t>
        </is>
      </c>
      <c r="E11840" s="10" t="inlineStr">
        <is>
          <t>Thương lượng</t>
        </is>
      </c>
      <c r="F11840" s="10" t="inlineStr">
        <is>
          <t>Hồ Chí Minh</t>
        </is>
      </c>
      <c r="G11840" s="10" t="inlineStr">
        <is>
          <t>Nhân viên</t>
        </is>
      </c>
      <c r="H11840" s="10" t="inlineStr">
        <is>
          <t>27/01/2026</t>
        </is>
      </c>
      <c r="I11840" s="10" t="inlineStr">
        <is>
          <t>16/04/2026</t>
        </is>
      </c>
      <c r="J11840" s="10" t="inlineStr">
        <is>
          <t>17/03/2026</t>
        </is>
      </c>
      <c r="K11840" s="10" t="inlineStr">
        <is>
          <t>N/A</t>
        </is>
      </c>
      <c r="L11840" s="10" t="inlineStr">
        <is>
          <t>AutoCAD, Architecture Design, Revit, BIM, Design</t>
        </is>
      </c>
      <c r="M11840" s="10" t="inlineStr">
        <is>
          <t>Bonus, Healthcare Plan, Paid Leave</t>
        </is>
      </c>
      <c r="N11840" s="11">
        <f>HYPERLINK("https://www.vietnamworks.com/senior-architect--2006599-jv","Xem chi tiết")</f>
        <v/>
      </c>
      <c r="O11840" s="10" t="n"/>
    </row>
    <row r="11841">
      <c r="B11841" s="7" t="n">
        <v>11839</v>
      </c>
      <c r="C11841" t="inlineStr">
        <is>
          <t>Kiến Trúc Sư Thiết Kế Cảnh Quan (Hà Nội)</t>
        </is>
      </c>
      <c r="D11841" t="inlineStr">
        <is>
          <t>JC VIETNAM JOINT STOCK COMPANY (JC)</t>
        </is>
      </c>
      <c r="E11841" t="inlineStr">
        <is>
          <t>Từ $ 650 /tháng</t>
        </is>
      </c>
      <c r="F11841" t="inlineStr">
        <is>
          <t>Hà Nội</t>
        </is>
      </c>
      <c r="G11841" t="inlineStr">
        <is>
          <t>Nhân viên</t>
        </is>
      </c>
      <c r="H11841" t="inlineStr">
        <is>
          <t>27/01/2026</t>
        </is>
      </c>
      <c r="I11841" t="inlineStr">
        <is>
          <t>16/04/2026</t>
        </is>
      </c>
      <c r="J11841" t="inlineStr">
        <is>
          <t>17/03/2026</t>
        </is>
      </c>
      <c r="K11841" t="inlineStr">
        <is>
          <t>N/A</t>
        </is>
      </c>
      <c r="L11841" t="inlineStr">
        <is>
          <t>Kiến Trúc Cảnh Quan, Thiết Kế Cảnh Quan, Sketchup, Tư Duy Thẩm Mỹ, Thiết Kế Concept</t>
        </is>
      </c>
      <c r="M11841" t="inlineStr">
        <is>
          <t>Bonus, Healthcare Plan, Paid Leave</t>
        </is>
      </c>
      <c r="N11841" s="8">
        <f>HYPERLINK("https://www.vietnamworks.com/kien-truc-su-thiet-ke-canh-quan-ha-noi-2006893-jv","Xem chi tiết")</f>
        <v/>
      </c>
    </row>
    <row r="11842">
      <c r="B11842" s="9" t="n">
        <v>11840</v>
      </c>
      <c r="C11842" s="10" t="inlineStr">
        <is>
          <t>Admin &amp; HR Specialist (9 Months contract)</t>
        </is>
      </c>
      <c r="D11842" s="10" t="inlineStr">
        <is>
          <t>Carl Zeiss Vietnam Company Limited</t>
        </is>
      </c>
      <c r="E11842" s="10" t="inlineStr">
        <is>
          <t>Thương lượng</t>
        </is>
      </c>
      <c r="F11842" s="10" t="inlineStr">
        <is>
          <t>Hà Nội</t>
        </is>
      </c>
      <c r="G11842" s="10" t="inlineStr">
        <is>
          <t>Nhân viên</t>
        </is>
      </c>
      <c r="H11842" s="10" t="inlineStr">
        <is>
          <t>27/01/2026</t>
        </is>
      </c>
      <c r="I11842" s="10" t="inlineStr">
        <is>
          <t>16/04/2026</t>
        </is>
      </c>
      <c r="J11842" s="10" t="inlineStr">
        <is>
          <t>17/03/2026</t>
        </is>
      </c>
      <c r="K11842" s="10" t="inlineStr">
        <is>
          <t>N/A</t>
        </is>
      </c>
      <c r="L11842" s="10" t="inlineStr">
        <is>
          <t>Communication And Problem-Solving Skills, English fluency, Motivated And Independent</t>
        </is>
      </c>
      <c r="M11842" s="10" t="inlineStr">
        <is>
          <t>Bonus, Healthcare Plan, Team Activities</t>
        </is>
      </c>
      <c r="N11842" s="11">
        <f>HYPERLINK("https://www.vietnamworks.com/admin-and-hr-specialist-9-months-contract-2006802-jv","Xem chi tiết")</f>
        <v/>
      </c>
      <c r="O11842" s="10" t="n"/>
    </row>
    <row r="11843">
      <c r="B11843" s="7" t="n">
        <v>11841</v>
      </c>
      <c r="C11843" t="inlineStr">
        <is>
          <t>Korean Interpreter</t>
        </is>
      </c>
      <c r="D11843" t="inlineStr">
        <is>
          <t>Công Ty TNHH Công Nghiệp Nhựa Pioneer</t>
        </is>
      </c>
      <c r="E11843" t="inlineStr">
        <is>
          <t>Từ 20tr ₫/tháng</t>
        </is>
      </c>
      <c r="F11843" t="inlineStr">
        <is>
          <t>Hưng Yên</t>
        </is>
      </c>
      <c r="G11843" t="inlineStr">
        <is>
          <t>Nhân viên</t>
        </is>
      </c>
      <c r="H11843" t="inlineStr">
        <is>
          <t>27/01/2026</t>
        </is>
      </c>
      <c r="I11843" t="inlineStr">
        <is>
          <t>16/04/2026</t>
        </is>
      </c>
      <c r="J11843" t="inlineStr">
        <is>
          <t>17/03/2026</t>
        </is>
      </c>
      <c r="K11843" t="inlineStr">
        <is>
          <t>N/A</t>
        </is>
      </c>
      <c r="L11843" t="inlineStr">
        <is>
          <t>Korean Language, Vietnamese fluency, Microsoft Office, Communication Skills, Interpreter</t>
        </is>
      </c>
      <c r="M11843" t="inlineStr">
        <is>
          <t>Bonus, Healthcare Plan, Team Activities, Others</t>
        </is>
      </c>
      <c r="N11843" s="8">
        <f>HYPERLINK("https://www.vietnamworks.com/korean-interpreter-2006740-jv","Xem chi tiết")</f>
        <v/>
      </c>
    </row>
    <row r="11844">
      <c r="B11844" s="9" t="n">
        <v>11842</v>
      </c>
      <c r="C11844" s="10" t="inlineStr">
        <is>
          <t>Kế Toán Trưởng (Thu Nhập và Đãi Ngộ Hấp Dẫn)</t>
        </is>
      </c>
      <c r="D11844" s="10" t="inlineStr">
        <is>
          <t>Công Ty Cổ Phần Y Tế SCP</t>
        </is>
      </c>
      <c r="E11844" s="10" t="inlineStr">
        <is>
          <t>Thương lượng</t>
        </is>
      </c>
      <c r="F11844" s="10" t="inlineStr">
        <is>
          <t>Hà Nội</t>
        </is>
      </c>
      <c r="G11844" s="10" t="inlineStr">
        <is>
          <t>Trưởng phòng</t>
        </is>
      </c>
      <c r="H11844" s="10" t="inlineStr">
        <is>
          <t>27/01/2026</t>
        </is>
      </c>
      <c r="I11844" s="10" t="inlineStr">
        <is>
          <t>16/04/2026</t>
        </is>
      </c>
      <c r="J11844" s="10" t="inlineStr">
        <is>
          <t>17/03/2026</t>
        </is>
      </c>
      <c r="K11844" s="10" t="inlineStr">
        <is>
          <t>N/A</t>
        </is>
      </c>
      <c r="L11844" s="10" t="inlineStr">
        <is>
          <t>Tài Chính Kế Toán, Phần Mềm Kế Toán, Thuế, Quản Lý Tài Chính, Kiểm Kê Tài Sản</t>
        </is>
      </c>
      <c r="M11844" s="10" t="inlineStr">
        <is>
          <t>Bonus, Paid Leave, Travel Opportunities</t>
        </is>
      </c>
      <c r="N11844" s="11">
        <f>HYPERLINK("https://www.vietnamworks.com/ke-toan-truong-thu-nhap-va-dai-ngo-hap-dan--2006945-jv","Xem chi tiết")</f>
        <v/>
      </c>
      <c r="O11844" s="10" t="n"/>
    </row>
    <row r="11845">
      <c r="B11845" s="7" t="n">
        <v>11843</v>
      </c>
      <c r="C11845" t="inlineStr">
        <is>
          <t>Trưởng Phòng Pháp Chế (Legal Manager)</t>
        </is>
      </c>
      <c r="D11845" t="inlineStr">
        <is>
          <t>Công ty Cổ phần Sàn giao dịch Tài sản mã hóa Việt Nam Thịnh Vượng</t>
        </is>
      </c>
      <c r="E11845" t="inlineStr">
        <is>
          <t>$$ 2,000-3,000 /tháng</t>
        </is>
      </c>
      <c r="F11845" t="inlineStr">
        <is>
          <t>Hà Nội</t>
        </is>
      </c>
      <c r="G11845" t="inlineStr">
        <is>
          <t>Trưởng phòng</t>
        </is>
      </c>
      <c r="H11845" t="inlineStr">
        <is>
          <t>28/01/2026</t>
        </is>
      </c>
      <c r="I11845" t="inlineStr">
        <is>
          <t>16/04/2026</t>
        </is>
      </c>
      <c r="J11845" t="inlineStr">
        <is>
          <t>17/03/2026</t>
        </is>
      </c>
      <c r="K11845" t="inlineStr">
        <is>
          <t>N/A</t>
        </is>
      </c>
      <c r="L11845" t="inlineStr">
        <is>
          <t>Luật Tài Chính, Pháp Lý Công Nghệ Thông Tin, Pháp Lý Doanh Nghiệp, Pháp Lý Tài Chính</t>
        </is>
      </c>
      <c r="M11845" t="inlineStr">
        <is>
          <t>Bonus, Healthcare Plan, Laptop, Canteen, Others</t>
        </is>
      </c>
      <c r="N11845" s="8">
        <f>HYPERLINK("https://www.vietnamworks.com/truong-phong-phap-che-legal-manager-2007072-jv","Xem chi tiết")</f>
        <v/>
      </c>
    </row>
    <row r="11846">
      <c r="B11846" s="9" t="n">
        <v>11844</v>
      </c>
      <c r="C11846" s="10" t="inlineStr">
        <is>
          <t>Sales Manager – Hotel Management Consultancy</t>
        </is>
      </c>
      <c r="D11846" s="10" t="inlineStr">
        <is>
          <t>Travel Neutral Collective</t>
        </is>
      </c>
      <c r="E11846" s="10" t="inlineStr">
        <is>
          <t>Thương lượng</t>
        </is>
      </c>
      <c r="F11846" s="10" t="inlineStr">
        <is>
          <t>Đà Nẵng</t>
        </is>
      </c>
      <c r="G11846" s="10" t="inlineStr">
        <is>
          <t>Trưởng phòng</t>
        </is>
      </c>
      <c r="H11846" s="10" t="inlineStr">
        <is>
          <t>28/01/2026</t>
        </is>
      </c>
      <c r="I11846" s="10" t="inlineStr">
        <is>
          <t>16/04/2026</t>
        </is>
      </c>
      <c r="J11846" s="10" t="inlineStr">
        <is>
          <t>17/03/2026</t>
        </is>
      </c>
      <c r="K11846" s="10" t="inlineStr">
        <is>
          <t>N/A</t>
        </is>
      </c>
      <c r="L11846" s="10" t="inlineStr">
        <is>
          <t>Travel Consulting, Tư Vấn Du Lịch, Tourism, Customer Service, Kinh Doanh Du Lịch</t>
        </is>
      </c>
      <c r="M11846" s="10" t="inlineStr">
        <is>
          <t>Bonus, Healthcare Plan, Training</t>
        </is>
      </c>
      <c r="N11846" s="11">
        <f>HYPERLINK("https://www.vietnamworks.com/sales-manager-hotel-management-consultancy-2007136-jv","Xem chi tiết")</f>
        <v/>
      </c>
      <c r="O11846" s="10" t="n"/>
    </row>
    <row r="11847">
      <c r="B11847" s="7" t="n">
        <v>11845</v>
      </c>
      <c r="C11847" t="inlineStr">
        <is>
          <t>Nhân Viên Marketing Admin</t>
        </is>
      </c>
      <c r="D11847" t="inlineStr">
        <is>
          <t>Công Ty TNHH Việt Hạ Chí - Cửa Hàng Nhật Bản Hachi Hachi</t>
        </is>
      </c>
      <c r="E11847" t="inlineStr">
        <is>
          <t>Thương lượng</t>
        </is>
      </c>
      <c r="F11847" t="inlineStr">
        <is>
          <t>Hồ Chí Minh</t>
        </is>
      </c>
      <c r="G11847" t="inlineStr">
        <is>
          <t>Nhân viên</t>
        </is>
      </c>
      <c r="H11847" t="inlineStr">
        <is>
          <t>28/01/2026</t>
        </is>
      </c>
      <c r="I11847" t="inlineStr">
        <is>
          <t>16/04/2026</t>
        </is>
      </c>
      <c r="J11847" t="inlineStr">
        <is>
          <t>17/03/2026</t>
        </is>
      </c>
      <c r="K11847" t="inlineStr">
        <is>
          <t>N/A</t>
        </is>
      </c>
      <c r="L11847" t="inlineStr">
        <is>
          <t>FMCG, Marketing Admin, POSM, Retail Marketing</t>
        </is>
      </c>
      <c r="M11847" t="inlineStr">
        <is>
          <t>Bonus, Healthcare Plan, Team Activities, Others</t>
        </is>
      </c>
      <c r="N11847" s="8">
        <f>HYPERLINK("https://www.vietnamworks.com/nhan-vien-marketing-admin-2007003-jv","Xem chi tiết")</f>
        <v/>
      </c>
    </row>
    <row r="11848">
      <c r="B11848" s="9" t="n">
        <v>11846</v>
      </c>
      <c r="C11848" s="10" t="inlineStr">
        <is>
          <t>Trưởng Phòng Kinh Doanh (Upto 3500$)</t>
        </is>
      </c>
      <c r="D11848" s="10" t="inlineStr">
        <is>
          <t>Thời Trang Adidas - Công Ty Cổ Phần Đầu Tư Thương Mại Phượng Hoàng</t>
        </is>
      </c>
      <c r="E11848" s="10" t="inlineStr">
        <is>
          <t>$$ 3,000-3,500 /tháng</t>
        </is>
      </c>
      <c r="F11848" s="10" t="inlineStr">
        <is>
          <t>Hà Nội</t>
        </is>
      </c>
      <c r="G11848" s="10" t="inlineStr">
        <is>
          <t>Trưởng phòng</t>
        </is>
      </c>
      <c r="H11848" s="10" t="inlineStr">
        <is>
          <t>28/01/2026</t>
        </is>
      </c>
      <c r="I11848" s="10" t="inlineStr">
        <is>
          <t>16/04/2026</t>
        </is>
      </c>
      <c r="J11848" s="10" t="inlineStr">
        <is>
          <t>17/03/2026</t>
        </is>
      </c>
      <c r="K11848" s="10" t="inlineStr">
        <is>
          <t>N/A</t>
        </is>
      </c>
      <c r="L11848" s="10" t="inlineStr">
        <is>
          <t>Lập Kế Hoạch, Tiếng Anh, Thời Trang, Kinh Doanh, Bán Lẻ</t>
        </is>
      </c>
      <c r="M11848" s="10" t="inlineStr">
        <is>
          <t>Bonus, Awards, Team Activities</t>
        </is>
      </c>
      <c r="N11848" s="11">
        <f>HYPERLINK("https://www.vietnamworks.com/truong-phong-kinh-doanh-upto-3500-2007138-jv","Xem chi tiết")</f>
        <v/>
      </c>
      <c r="O11848" s="10" t="n"/>
    </row>
    <row r="11849">
      <c r="B11849" s="7" t="n">
        <v>11847</v>
      </c>
      <c r="C11849" t="inlineStr">
        <is>
          <t>Chief Compliance Officer (Web3/Crypto/Blockchain)</t>
        </is>
      </c>
      <c r="D11849" t="inlineStr">
        <is>
          <t>Công ty Cổ phần Sàn giao dịch Tài sản mã hóa Việt Nam Thịnh Vượng</t>
        </is>
      </c>
      <c r="E11849" t="inlineStr">
        <is>
          <t>$$ 4,000-5,000 /tháng</t>
        </is>
      </c>
      <c r="F11849" t="inlineStr">
        <is>
          <t>Hà Nội</t>
        </is>
      </c>
      <c r="G11849" t="inlineStr">
        <is>
          <t>Giám Đốc và Cấp Cao Hơn</t>
        </is>
      </c>
      <c r="H11849" t="inlineStr">
        <is>
          <t>28/01/2026</t>
        </is>
      </c>
      <c r="I11849" t="inlineStr">
        <is>
          <t>16/04/2026</t>
        </is>
      </c>
      <c r="J11849" t="inlineStr">
        <is>
          <t>17/03/2026</t>
        </is>
      </c>
      <c r="K11849" t="inlineStr">
        <is>
          <t>N/A</t>
        </is>
      </c>
      <c r="L11849" t="inlineStr">
        <is>
          <t>Compliance Oversight, Regulatory Compliance, Risk Management, Strategic Thinking, Aml/Kyc Framework Design</t>
        </is>
      </c>
      <c r="M11849" t="inlineStr">
        <is>
          <t>Bonus, Healthcare Plan, Laptop, Canteen, Others</t>
        </is>
      </c>
      <c r="N11849" s="8">
        <f>HYPERLINK("https://www.vietnamworks.com/chief-compliance-officer-web3cryptoblockchain-2007051-jv","Xem chi tiết")</f>
        <v/>
      </c>
    </row>
    <row r="11850">
      <c r="B11850" s="9" t="n">
        <v>11848</v>
      </c>
      <c r="C11850" s="10" t="inlineStr">
        <is>
          <t>Finance Manager</t>
        </is>
      </c>
      <c r="D11850" s="10" t="inlineStr">
        <is>
          <t>Công ty Cổ phần Sàn giao dịch Tài sản mã hóa Việt Nam Thịnh Vượng</t>
        </is>
      </c>
      <c r="E11850" s="10" t="inlineStr">
        <is>
          <t>$$ 2,000-3,000 /tháng</t>
        </is>
      </c>
      <c r="F11850" s="10" t="inlineStr">
        <is>
          <t>Hà Nội</t>
        </is>
      </c>
      <c r="G11850" s="10" t="inlineStr">
        <is>
          <t>Trưởng phòng</t>
        </is>
      </c>
      <c r="H11850" s="10" t="inlineStr">
        <is>
          <t>28/01/2026</t>
        </is>
      </c>
      <c r="I11850" s="10" t="inlineStr">
        <is>
          <t>16/04/2026</t>
        </is>
      </c>
      <c r="J11850" s="10" t="inlineStr">
        <is>
          <t>17/03/2026</t>
        </is>
      </c>
      <c r="K11850" s="10" t="inlineStr">
        <is>
          <t>N/A</t>
        </is>
      </c>
      <c r="L11850" s="10" t="inlineStr">
        <is>
          <t>ACCA, Finance Analyst, Finance Management, Finance or Accounting degree, Finance Planning</t>
        </is>
      </c>
      <c r="M11850" s="10" t="inlineStr">
        <is>
          <t>Bonus, Healthcare Plan, Laptop, Canteen, Others</t>
        </is>
      </c>
      <c r="N11850" s="11">
        <f>HYPERLINK("https://www.vietnamworks.com/finance-manager-2007093-jv","Xem chi tiết")</f>
        <v/>
      </c>
      <c r="O11850" s="10" t="n"/>
    </row>
    <row r="11851">
      <c r="B11851" s="7" t="n">
        <v>11849</v>
      </c>
      <c r="C11851" t="inlineStr">
        <is>
          <t>Software Engineering Manager (C#, .Net, Azure)</t>
        </is>
      </c>
      <c r="D11851" t="inlineStr">
        <is>
          <t>MiTek Việt Nam</t>
        </is>
      </c>
      <c r="E11851" t="inlineStr">
        <is>
          <t>Thương lượng</t>
        </is>
      </c>
      <c r="F11851" t="inlineStr">
        <is>
          <t>Hồ Chí Minh</t>
        </is>
      </c>
      <c r="G11851" t="inlineStr">
        <is>
          <t>Trưởng phòng</t>
        </is>
      </c>
      <c r="H11851" t="inlineStr">
        <is>
          <t>28/01/2026</t>
        </is>
      </c>
      <c r="I11851" t="inlineStr">
        <is>
          <t>16/04/2026</t>
        </is>
      </c>
      <c r="J11851" t="inlineStr">
        <is>
          <t>17/03/2026</t>
        </is>
      </c>
      <c r="K11851" t="inlineStr">
        <is>
          <t>N/A</t>
        </is>
      </c>
      <c r="L11851" t="inlineStr">
        <is>
          <t>C#, .NET, Agile, Software Engineering, IT Management</t>
        </is>
      </c>
      <c r="M11851" t="inlineStr">
        <is>
          <t>Bonus, Healthcare Plan, Training, Travel Opportunities, Team Activities, Transportation, Canteen, Others</t>
        </is>
      </c>
      <c r="N11851" s="8">
        <f>HYPERLINK("https://www.vietnamworks.com/software-engineering-manager-c-net-azure-2007123-jv","Xem chi tiết")</f>
        <v/>
      </c>
    </row>
    <row r="11852">
      <c r="B11852" s="9" t="n">
        <v>11850</v>
      </c>
      <c r="C11852" s="10" t="inlineStr">
        <is>
          <t>Project Sales Hunter</t>
        </is>
      </c>
      <c r="D11852" s="10" t="inlineStr">
        <is>
          <t>CÔNG TY TRÁCH NHIỆM HỮU HẠN MỘT THÀNH VIÊN KIAN CONTRACT VIỆT NAM</t>
        </is>
      </c>
      <c r="E11852" s="10" t="inlineStr">
        <is>
          <t>Thương lượng</t>
        </is>
      </c>
      <c r="F11852" s="10" t="inlineStr">
        <is>
          <t>Hà Nội, Hồ Chí Minh</t>
        </is>
      </c>
      <c r="G11852" s="10" t="inlineStr">
        <is>
          <t>Nhân viên</t>
        </is>
      </c>
      <c r="H11852" s="10" t="inlineStr">
        <is>
          <t>28/01/2026</t>
        </is>
      </c>
      <c r="I11852" s="10" t="inlineStr">
        <is>
          <t>16/04/2026</t>
        </is>
      </c>
      <c r="J11852" s="10" t="inlineStr">
        <is>
          <t>17/03/2026</t>
        </is>
      </c>
      <c r="K11852" s="10" t="inlineStr">
        <is>
          <t>N/A</t>
        </is>
      </c>
      <c r="L11852" s="10" t="inlineStr">
        <is>
          <t>Kinh Doanh B2B, Interior Design, Project Management, Customer Relation, Sales</t>
        </is>
      </c>
      <c r="M11852" s="10" t="inlineStr">
        <is>
          <t>Bonus, Healthcare Plan, Training, Team Activities, Others</t>
        </is>
      </c>
      <c r="N11852" s="11">
        <f>HYPERLINK("https://www.vietnamworks.com/project-sales-hunter-2007156-jv","Xem chi tiết")</f>
        <v/>
      </c>
      <c r="O11852" s="10" t="n"/>
    </row>
    <row r="11853">
      <c r="B11853" s="7" t="n">
        <v>11851</v>
      </c>
      <c r="C11853" t="inlineStr">
        <is>
          <t>Thưc Tập Sinh ( Intern - Vĩnh Phúc )</t>
        </is>
      </c>
      <c r="D11853" t="inlineStr">
        <is>
          <t>CÔNG TY TRÁCH NHIỆM HỮU HẠN TOP ENGINEERING VINA</t>
        </is>
      </c>
      <c r="E11853" t="inlineStr">
        <is>
          <t>Tới 9.1tr ₫/tháng</t>
        </is>
      </c>
      <c r="F11853" t="inlineStr">
        <is>
          <t>Vĩnh Phúc</t>
        </is>
      </c>
      <c r="G11853" t="inlineStr">
        <is>
          <t>Thực tập sinh/Sinh viên</t>
        </is>
      </c>
      <c r="H11853" t="inlineStr">
        <is>
          <t>28/01/2026</t>
        </is>
      </c>
      <c r="I11853" t="inlineStr">
        <is>
          <t>16/04/2026</t>
        </is>
      </c>
      <c r="J11853" t="inlineStr">
        <is>
          <t>17/03/2026</t>
        </is>
      </c>
      <c r="K11853" t="inlineStr">
        <is>
          <t>N/A</t>
        </is>
      </c>
      <c r="L11853" t="inlineStr">
        <is>
          <t>Lập Trình, Lập Trình PLC, Điện Tự Động Hóa, Kỹ Thuật</t>
        </is>
      </c>
      <c r="M11853" t="inlineStr">
        <is>
          <t>Bonus, Healthcare Plan, Paid Leave, Training, Others</t>
        </is>
      </c>
      <c r="N11853" s="8">
        <f>HYPERLINK("https://www.vietnamworks.com/thuc-tap-sinh-intern-vinh-phuc-2007252-jv","Xem chi tiết")</f>
        <v/>
      </c>
    </row>
    <row r="11854">
      <c r="B11854" s="9" t="n">
        <v>11852</v>
      </c>
      <c r="C11854" s="10" t="inlineStr">
        <is>
          <t>Kỹ Sư Kết Cấu (Hà Nội)</t>
        </is>
      </c>
      <c r="D11854" s="10" t="inlineStr">
        <is>
          <t>JC VIETNAM JOINT STOCK COMPANY (JC)</t>
        </is>
      </c>
      <c r="E11854" s="10" t="inlineStr">
        <is>
          <t>Từ 17tr ₫/tháng</t>
        </is>
      </c>
      <c r="F11854" s="10" t="inlineStr">
        <is>
          <t>Hà Nội</t>
        </is>
      </c>
      <c r="G11854" s="10" t="inlineStr">
        <is>
          <t>Nhân viên</t>
        </is>
      </c>
      <c r="H11854" s="10" t="inlineStr">
        <is>
          <t>28/01/2026</t>
        </is>
      </c>
      <c r="I11854" s="10" t="inlineStr">
        <is>
          <t>16/04/2026</t>
        </is>
      </c>
      <c r="J11854" s="10" t="inlineStr">
        <is>
          <t>17/03/2026</t>
        </is>
      </c>
      <c r="K11854" s="10" t="inlineStr">
        <is>
          <t>N/A</t>
        </is>
      </c>
      <c r="L11854" s="10" t="inlineStr">
        <is>
          <t>Kết cấu, AutoCAD, Revit, Kiến Trúc, KetcauSoft</t>
        </is>
      </c>
      <c r="M11854" s="10" t="inlineStr">
        <is>
          <t>Bonus, Healthcare Plan, Paid Leave</t>
        </is>
      </c>
      <c r="N11854" s="11">
        <f>HYPERLINK("https://www.vietnamworks.com/ky-su-ket-cau-ha-noi-2007262-jv","Xem chi tiết")</f>
        <v/>
      </c>
      <c r="O11854" s="10" t="n"/>
    </row>
    <row r="11855">
      <c r="B11855" s="7" t="n">
        <v>11853</v>
      </c>
      <c r="C11855" t="inlineStr">
        <is>
          <t>Kiến Trúc Sư Triển Khai Kiến Trúc (Hà Nội)</t>
        </is>
      </c>
      <c r="D11855" t="inlineStr">
        <is>
          <t>JC VIETNAM JOINT STOCK COMPANY (JC)</t>
        </is>
      </c>
      <c r="E11855" t="inlineStr">
        <is>
          <t>Từ 17 ₫/tháng</t>
        </is>
      </c>
      <c r="F11855" t="inlineStr">
        <is>
          <t>Hà Nội</t>
        </is>
      </c>
      <c r="G11855" t="inlineStr">
        <is>
          <t>Nhân viên</t>
        </is>
      </c>
      <c r="H11855" t="inlineStr">
        <is>
          <t>28/01/2026</t>
        </is>
      </c>
      <c r="I11855" t="inlineStr">
        <is>
          <t>16/04/2026</t>
        </is>
      </c>
      <c r="J11855" t="inlineStr">
        <is>
          <t>17/03/2026</t>
        </is>
      </c>
      <c r="K11855" t="inlineStr">
        <is>
          <t>N/A</t>
        </is>
      </c>
      <c r="L11855" t="inlineStr">
        <is>
          <t>Revit, AutoCAD, Triển Khai Bản Vẽ Xây Dựng, Kiến Trúc Công Trình, Triển Khai Kiến Trúc</t>
        </is>
      </c>
      <c r="M11855" t="inlineStr">
        <is>
          <t>Bonus, Healthcare Plan, Paid Leave</t>
        </is>
      </c>
      <c r="N11855" s="8">
        <f>HYPERLINK("https://www.vietnamworks.com/kien-truc-su-trien-khai-kien-truc-ha-noi-2007260-jv","Xem chi tiết")</f>
        <v/>
      </c>
    </row>
    <row r="11856">
      <c r="B11856" s="9" t="n">
        <v>11854</v>
      </c>
      <c r="C11856" s="10" t="inlineStr">
        <is>
          <t>Back-end Developer (Java, SQL, Spring, English,chinese)</t>
        </is>
      </c>
      <c r="D11856" s="10" t="inlineStr">
        <is>
          <t>Công Ty TNHH Clever Creations Tech</t>
        </is>
      </c>
      <c r="E11856" s="10" t="inlineStr">
        <is>
          <t>$$ 500-1,500 /tháng</t>
        </is>
      </c>
      <c r="F11856" s="10" t="inlineStr">
        <is>
          <t>Hồ Chí Minh</t>
        </is>
      </c>
      <c r="G11856" s="10" t="inlineStr">
        <is>
          <t>Nhân viên</t>
        </is>
      </c>
      <c r="H11856" s="10" t="inlineStr">
        <is>
          <t>28/01/2026</t>
        </is>
      </c>
      <c r="I11856" s="10" t="inlineStr">
        <is>
          <t>16/04/2026</t>
        </is>
      </c>
      <c r="J11856" s="10" t="inlineStr">
        <is>
          <t>17/03/2026</t>
        </is>
      </c>
      <c r="K11856" s="10" t="inlineStr">
        <is>
          <t>N/A</t>
        </is>
      </c>
      <c r="L11856" s="10" t="inlineStr">
        <is>
          <t>Java, SQL, Java Spring Framework, My SQL, Backend Development</t>
        </is>
      </c>
      <c r="M11856" s="10" t="inlineStr">
        <is>
          <t>Bonus, Awards</t>
        </is>
      </c>
      <c r="N11856" s="11">
        <f>HYPERLINK("https://www.vietnamworks.com/back-end-developer-java-sql-spring-english-chinese--2007368-jv","Xem chi tiết")</f>
        <v/>
      </c>
      <c r="O11856" s="10" t="n"/>
    </row>
    <row r="11857">
      <c r="B11857" s="7" t="n">
        <v>11855</v>
      </c>
      <c r="C11857" t="inlineStr">
        <is>
          <t>Kế Toán Tổng Hợp</t>
        </is>
      </c>
      <c r="D11857" t="inlineStr">
        <is>
          <t>Công Ty TNHH Nhôm Xingfa Quảng Đông</t>
        </is>
      </c>
      <c r="E11857" t="inlineStr">
        <is>
          <t>Thương lượng</t>
        </is>
      </c>
      <c r="F11857" t="inlineStr">
        <is>
          <t>Hà Nội</t>
        </is>
      </c>
      <c r="G11857" t="inlineStr">
        <is>
          <t>Nhân viên</t>
        </is>
      </c>
      <c r="H11857" t="inlineStr">
        <is>
          <t>28/01/2026</t>
        </is>
      </c>
      <c r="I11857" t="inlineStr">
        <is>
          <t>16/04/2026</t>
        </is>
      </c>
      <c r="J11857" t="inlineStr">
        <is>
          <t>17/03/2026</t>
        </is>
      </c>
      <c r="K11857" t="inlineStr">
        <is>
          <t>N/A</t>
        </is>
      </c>
      <c r="L11857" t="inlineStr">
        <is>
          <t>Kế Toán Tổng Hợp, Kế toán &amp; Tài chính, Báo cáo tài chính, Kiểm Soát Số Liệu, Báo Cáo Thuế</t>
        </is>
      </c>
      <c r="M11857" t="inlineStr">
        <is>
          <t>Bonus, Healthcare Plan, Training, Team Activities, Transportation</t>
        </is>
      </c>
      <c r="N11857" s="8">
        <f>HYPERLINK("https://www.vietnamworks.com/ke-toan-tong-hop-2007229-jv","Xem chi tiết")</f>
        <v/>
      </c>
    </row>
    <row r="11858">
      <c r="B11858" s="9" t="n">
        <v>11856</v>
      </c>
      <c r="C11858" s="10" t="inlineStr">
        <is>
          <t>Project Manager — Financial Services (Banking / Securities)</t>
        </is>
      </c>
      <c r="D11858" s="10" t="inlineStr">
        <is>
          <t>CÔNG TY TNHH CÔNG NGHỆ CODERPUSH</t>
        </is>
      </c>
      <c r="E11858" s="10" t="inlineStr">
        <is>
          <t>70tr-80tr ₫/tháng</t>
        </is>
      </c>
      <c r="F11858" s="10" t="inlineStr">
        <is>
          <t>Hà Nội</t>
        </is>
      </c>
      <c r="G11858" s="10" t="inlineStr">
        <is>
          <t>Trưởng phòng</t>
        </is>
      </c>
      <c r="H11858" s="10" t="inlineStr">
        <is>
          <t>28/01/2026</t>
        </is>
      </c>
      <c r="I11858" s="10" t="inlineStr">
        <is>
          <t>16/04/2026</t>
        </is>
      </c>
      <c r="J11858" s="10" t="inlineStr">
        <is>
          <t>17/03/2026</t>
        </is>
      </c>
      <c r="K11858" s="10" t="inlineStr">
        <is>
          <t>N/A</t>
        </is>
      </c>
      <c r="L11858" s="10" t="inlineStr">
        <is>
          <t>Agile, English, Finance &amp; Banking, Project Delivery</t>
        </is>
      </c>
      <c r="M11858" s="10" t="inlineStr">
        <is>
          <t>Bonus, Healthcare Plan, Training, Awards, Laptop</t>
        </is>
      </c>
      <c r="N11858" s="11">
        <f>HYPERLINK("https://www.vietnamworks.com/project-manager-financial-services-banking-securities-2007221-jv","Xem chi tiết")</f>
        <v/>
      </c>
      <c r="O11858" s="10" t="n"/>
    </row>
    <row r="11859">
      <c r="B11859" s="7" t="n">
        <v>11857</v>
      </c>
      <c r="C11859" t="inlineStr">
        <is>
          <t>Operations Team Leader</t>
        </is>
      </c>
      <c r="D11859" t="inlineStr">
        <is>
          <t>MSC Vietnam Company Limited</t>
        </is>
      </c>
      <c r="E11859" t="inlineStr">
        <is>
          <t>Thương lượng</t>
        </is>
      </c>
      <c r="F11859" t="inlineStr">
        <is>
          <t>Hồ Chí Minh</t>
        </is>
      </c>
      <c r="G11859" t="inlineStr">
        <is>
          <t>Nhân viên</t>
        </is>
      </c>
      <c r="H11859" t="inlineStr">
        <is>
          <t>28/01/2026</t>
        </is>
      </c>
      <c r="I11859" t="inlineStr">
        <is>
          <t>16/04/2026</t>
        </is>
      </c>
      <c r="J11859" t="inlineStr">
        <is>
          <t>17/03/2026</t>
        </is>
      </c>
      <c r="K11859" t="inlineStr">
        <is>
          <t>N/A</t>
        </is>
      </c>
      <c r="L11859" t="inlineStr">
        <is>
          <t>Shipping Lines, Container Shipping, operations, Logistics, Team Leader</t>
        </is>
      </c>
      <c r="M11859" t="inlineStr">
        <is>
          <t>Healthcare Plan, Paid Leave, Training</t>
        </is>
      </c>
      <c r="N11859" s="8">
        <f>HYPERLINK("https://www.vietnamworks.com/operations-team-leader--2007170-jv","Xem chi tiết")</f>
        <v/>
      </c>
    </row>
    <row r="11860">
      <c r="B11860" s="9" t="n">
        <v>11858</v>
      </c>
      <c r="C11860" s="10" t="inlineStr">
        <is>
          <t>Nhân Viên Xuất Nhập Khẩu</t>
        </is>
      </c>
      <c r="D11860" s="10" t="inlineStr">
        <is>
          <t>Công Ty Cổ Phần Đầu Tư Và Thương Mại HK</t>
        </is>
      </c>
      <c r="E11860" s="10" t="inlineStr">
        <is>
          <t>Thương lượng</t>
        </is>
      </c>
      <c r="F11860" s="10" t="inlineStr">
        <is>
          <t>Hà Nội</t>
        </is>
      </c>
      <c r="G11860" s="10" t="inlineStr">
        <is>
          <t>Nhân viên</t>
        </is>
      </c>
      <c r="H11860" s="10" t="inlineStr">
        <is>
          <t>28/01/2026</t>
        </is>
      </c>
      <c r="I11860" s="10" t="inlineStr">
        <is>
          <t>16/04/2026</t>
        </is>
      </c>
      <c r="J11860" s="10" t="inlineStr">
        <is>
          <t>17/03/2026</t>
        </is>
      </c>
      <c r="K11860" s="10" t="inlineStr">
        <is>
          <t>N/A</t>
        </is>
      </c>
      <c r="L11860" s="10" t="inlineStr">
        <is>
          <t>Xuất Nhập Khẩu, Tiếng Anh, Tin Học Văn Phòng, Chứng Từ Xuất Nhập Khẩu, Thanh Toán Quốc Tế</t>
        </is>
      </c>
      <c r="M11860" s="10" t="inlineStr">
        <is>
          <t>Bonus, Healthcare Plan, Paid Leave, Training, Travel Opportunities</t>
        </is>
      </c>
      <c r="N11860" s="11">
        <f>HYPERLINK("https://www.vietnamworks.com/nhan-vien-xuat-nhap-khau-2007293-jv","Xem chi tiết")</f>
        <v/>
      </c>
      <c r="O11860" s="10" t="n"/>
    </row>
    <row r="11861">
      <c r="B11861" s="7" t="n">
        <v>11859</v>
      </c>
      <c r="C11861" t="inlineStr">
        <is>
          <t>Chuyên Viên Đấu Thầu Cơ Điện</t>
        </is>
      </c>
      <c r="D11861" t="inlineStr">
        <is>
          <t>Công Ty Cổ Phần Đầu Tư Và Thương Mại HK</t>
        </is>
      </c>
      <c r="E11861" t="inlineStr">
        <is>
          <t>Thương lượng</t>
        </is>
      </c>
      <c r="F11861" t="inlineStr">
        <is>
          <t>Hà Nội</t>
        </is>
      </c>
      <c r="G11861" t="inlineStr">
        <is>
          <t>Nhân viên</t>
        </is>
      </c>
      <c r="H11861" t="inlineStr">
        <is>
          <t>28/01/2026</t>
        </is>
      </c>
      <c r="I11861" t="inlineStr">
        <is>
          <t>16/04/2026</t>
        </is>
      </c>
      <c r="J11861" t="inlineStr">
        <is>
          <t>17/03/2026</t>
        </is>
      </c>
      <c r="K11861" t="inlineStr">
        <is>
          <t>N/A</t>
        </is>
      </c>
      <c r="L11861" t="inlineStr">
        <is>
          <t>Đọc Bản Vẽ Cơ Điện, Lập Hồ Sơ Dự Thầu, Lập Bảng Dự Toán, Xây dựng quan hệ, Hệ Thống Điện</t>
        </is>
      </c>
      <c r="M11861" t="inlineStr">
        <is>
          <t>Bonus, Healthcare Plan, Paid Leave, Training, Travel Opportunities, Others</t>
        </is>
      </c>
      <c r="N11861" s="8">
        <f>HYPERLINK("https://www.vietnamworks.com/chuyen-vien-djau-thau-co-djien-2007290-jv","Xem chi tiết")</f>
        <v/>
      </c>
    </row>
    <row r="11862">
      <c r="B11862" s="9" t="n">
        <v>11860</v>
      </c>
      <c r="C11862" s="10" t="inlineStr">
        <is>
          <t>Chuyên Viên Thực Hiện Hợp Đồng</t>
        </is>
      </c>
      <c r="D11862" s="10" t="inlineStr">
        <is>
          <t>Công Ty Cổ Phần Đầu Tư Và Thương Mại HK</t>
        </is>
      </c>
      <c r="E11862" s="10" t="inlineStr">
        <is>
          <t>Thương lượng</t>
        </is>
      </c>
      <c r="F11862" s="10" t="inlineStr">
        <is>
          <t>Hà Nội</t>
        </is>
      </c>
      <c r="G11862" s="10" t="inlineStr">
        <is>
          <t>Nhân viên</t>
        </is>
      </c>
      <c r="H11862" s="10" t="inlineStr">
        <is>
          <t>28/01/2026</t>
        </is>
      </c>
      <c r="I11862" s="10" t="inlineStr">
        <is>
          <t>16/04/2026</t>
        </is>
      </c>
      <c r="J11862" s="10" t="inlineStr">
        <is>
          <t>17/03/2026</t>
        </is>
      </c>
      <c r="K11862" s="10" t="inlineStr">
        <is>
          <t>N/A</t>
        </is>
      </c>
      <c r="L11862" s="10" t="inlineStr">
        <is>
          <t>MS Office, Soạn Thảo Hợp Đồng, Contract Management, Hồ Sơ Đấu Thầu, Tổng Hợp Phân Tích</t>
        </is>
      </c>
      <c r="M11862" s="10" t="inlineStr">
        <is>
          <t>Bonus, Healthcare Plan, Training, Team Activities, Canteen, Others</t>
        </is>
      </c>
      <c r="N11862" s="11">
        <f>HYPERLINK("https://www.vietnamworks.com/chuyen-vien-thuc-hien-hop-dong--2007294-jv","Xem chi tiết")</f>
        <v/>
      </c>
      <c r="O11862" s="10" t="n"/>
    </row>
    <row r="11863">
      <c r="B11863" s="7" t="n">
        <v>11861</v>
      </c>
      <c r="C11863" t="inlineStr">
        <is>
          <t>General Affairs Manager</t>
        </is>
      </c>
      <c r="D11863" t="inlineStr">
        <is>
          <t>SmartOSC</t>
        </is>
      </c>
      <c r="E11863" t="inlineStr">
        <is>
          <t>Thương lượng</t>
        </is>
      </c>
      <c r="F11863" t="inlineStr">
        <is>
          <t>Hà Nội</t>
        </is>
      </c>
      <c r="G11863" t="inlineStr">
        <is>
          <t>Trưởng phòng</t>
        </is>
      </c>
      <c r="H11863" t="inlineStr">
        <is>
          <t>28/01/2026</t>
        </is>
      </c>
      <c r="I11863" t="inlineStr">
        <is>
          <t>16/04/2026</t>
        </is>
      </c>
      <c r="J11863" t="inlineStr">
        <is>
          <t>17/03/2026</t>
        </is>
      </c>
      <c r="K11863" t="inlineStr">
        <is>
          <t>N/A</t>
        </is>
      </c>
      <c r="L11863" t="inlineStr">
        <is>
          <t>Administration Management, Budgeting, Human Resources, Interpersonal Skills, Vendor Management</t>
        </is>
      </c>
      <c r="M11863" t="inlineStr">
        <is>
          <t>Bonus, Healthcare Plan, Training, Travel Opportunities, Team Activities, Others</t>
        </is>
      </c>
      <c r="N11863" s="8">
        <f>HYPERLINK("https://www.vietnamworks.com/general-affairs-manager-2007385-jv","Xem chi tiết")</f>
        <v/>
      </c>
    </row>
    <row r="11864">
      <c r="B11864" s="9" t="n">
        <v>11862</v>
      </c>
      <c r="C11864" s="10" t="inlineStr">
        <is>
          <t>Quality Assurance Engineer (Onsite Bac Ninh)</t>
        </is>
      </c>
      <c r="D11864" s="10" t="inlineStr">
        <is>
          <t>Công Ty TNHH LG Display Việt Nam Hải Phòng</t>
        </is>
      </c>
      <c r="E11864" s="10" t="inlineStr">
        <is>
          <t>Thương lượng</t>
        </is>
      </c>
      <c r="F11864" s="10" t="inlineStr">
        <is>
          <t>Bắc Ninh</t>
        </is>
      </c>
      <c r="G11864" s="10" t="inlineStr">
        <is>
          <t>Nhân viên</t>
        </is>
      </c>
      <c r="H11864" s="10" t="inlineStr">
        <is>
          <t>29/01/2026</t>
        </is>
      </c>
      <c r="I11864" s="10" t="inlineStr">
        <is>
          <t>16/04/2026</t>
        </is>
      </c>
      <c r="J11864" s="10" t="inlineStr">
        <is>
          <t>17/03/2026</t>
        </is>
      </c>
      <c r="K11864" s="10" t="inlineStr">
        <is>
          <t>N/A</t>
        </is>
      </c>
      <c r="L11864" s="10" t="inlineStr">
        <is>
          <t>Quality Engineer, Qc, QA, Electronics, Electrical</t>
        </is>
      </c>
      <c r="M11864" s="10" t="inlineStr">
        <is>
          <t>Bonus, Transportation, Others</t>
        </is>
      </c>
      <c r="N11864" s="11">
        <f>HYPERLINK("https://www.vietnamworks.com/quality-assurance-engineer-onsite-bac-ninh-2007737-jv","Xem chi tiết")</f>
        <v/>
      </c>
      <c r="O11864" s="10" t="n"/>
    </row>
    <row r="11865">
      <c r="B11865" s="7" t="n">
        <v>11863</v>
      </c>
      <c r="C11865" t="inlineStr">
        <is>
          <t>Kỹ Sư QS Công trình</t>
        </is>
      </c>
      <c r="D11865" t="inlineStr">
        <is>
          <t>CÔNG TY CỔ PHẦN TẬP ĐOÀN ĐẦU TƯ HOÀNG GIA VIỆT NAM</t>
        </is>
      </c>
      <c r="E11865" t="inlineStr">
        <is>
          <t>25tr-30tr ₫/tháng</t>
        </is>
      </c>
      <c r="F11865" t="inlineStr">
        <is>
          <t>Long An</t>
        </is>
      </c>
      <c r="G11865" t="inlineStr">
        <is>
          <t>Nhân viên</t>
        </is>
      </c>
      <c r="H11865" t="inlineStr">
        <is>
          <t>29/01/2026</t>
        </is>
      </c>
      <c r="I11865" t="inlineStr">
        <is>
          <t>16/04/2026</t>
        </is>
      </c>
      <c r="J11865" t="inlineStr">
        <is>
          <t>17/03/2026</t>
        </is>
      </c>
      <c r="K11865" t="inlineStr">
        <is>
          <t>N/A</t>
        </is>
      </c>
      <c r="L11865" t="inlineStr">
        <is>
          <t>Giao Tiếp, Lập Ngân Sách</t>
        </is>
      </c>
      <c r="M11865" t="inlineStr">
        <is>
          <t>Bonus, Healthcare Plan, Laptop, Travel Opportunities, Transportation, Canteen, Vouchers</t>
        </is>
      </c>
      <c r="N11865" s="8">
        <f>HYPERLINK("https://www.vietnamworks.com/ky-su-qs-cong-trinh-2007602-jv","Xem chi tiết")</f>
        <v/>
      </c>
    </row>
    <row r="11866">
      <c r="B11866" s="9" t="n">
        <v>11864</v>
      </c>
      <c r="C11866" s="10" t="inlineStr">
        <is>
          <t>Travel Contracting Executive</t>
        </is>
      </c>
      <c r="D11866" s="10" t="inlineStr">
        <is>
          <t>AUTHENTIK VIETNAM</t>
        </is>
      </c>
      <c r="E11866" s="10" t="inlineStr">
        <is>
          <t>15tr-30tr ₫/tháng</t>
        </is>
      </c>
      <c r="F11866" s="10" t="inlineStr">
        <is>
          <t>Hà Nội</t>
        </is>
      </c>
      <c r="G11866" s="10" t="inlineStr">
        <is>
          <t>Nhân viên</t>
        </is>
      </c>
      <c r="H11866" s="10" t="inlineStr">
        <is>
          <t>29/01/2026</t>
        </is>
      </c>
      <c r="I11866" s="10" t="inlineStr">
        <is>
          <t>16/04/2026</t>
        </is>
      </c>
      <c r="J11866" s="10" t="inlineStr">
        <is>
          <t>17/03/2026</t>
        </is>
      </c>
      <c r="K11866" s="10" t="inlineStr">
        <is>
          <t>N/A</t>
        </is>
      </c>
      <c r="L11866" s="10" t="inlineStr">
        <is>
          <t>Contract, Du lịch, Du Lịch Inbound</t>
        </is>
      </c>
      <c r="M11866" s="10" t="inlineStr">
        <is>
          <t>Bonus, Healthcare Plan, Paid Leave, Training, Others</t>
        </is>
      </c>
      <c r="N11866" s="11">
        <f>HYPERLINK("https://www.vietnamworks.com/travel-contracting-executive-2007576-jv","Xem chi tiết")</f>
        <v/>
      </c>
      <c r="O11866" s="10" t="n"/>
    </row>
    <row r="11867">
      <c r="B11867" s="7" t="n">
        <v>11865</v>
      </c>
      <c r="C11867" t="inlineStr">
        <is>
          <t>[ Hot Job ] Chuyên Viên Giải Phóng Mặt Bằng</t>
        </is>
      </c>
      <c r="D11867" t="inlineStr">
        <is>
          <t>Tổng Công Ty Cổ Phần Thương Mại Xây Dựng (WTO)</t>
        </is>
      </c>
      <c r="E11867" t="inlineStr">
        <is>
          <t>Thương lượng</t>
        </is>
      </c>
      <c r="F11867" t="inlineStr">
        <is>
          <t>Hà Nội</t>
        </is>
      </c>
      <c r="G11867" t="inlineStr">
        <is>
          <t>Nhân viên</t>
        </is>
      </c>
      <c r="H11867" t="inlineStr">
        <is>
          <t>29/01/2026</t>
        </is>
      </c>
      <c r="I11867" t="inlineStr">
        <is>
          <t>16/04/2026</t>
        </is>
      </c>
      <c r="J11867" t="inlineStr">
        <is>
          <t>17/03/2026</t>
        </is>
      </c>
      <c r="K11867" t="inlineStr">
        <is>
          <t>N/A</t>
        </is>
      </c>
      <c r="L11867" t="inlineStr">
        <is>
          <t>Giải Phóng Mặt Bằng, Trắc Đạc, Chuyển Nhượng Bđs, Hoàn Thiện Hồ Sơ, Bất Động Sản</t>
        </is>
      </c>
      <c r="M11867" t="inlineStr">
        <is>
          <t>Bonus, Healthcare Plan, Others</t>
        </is>
      </c>
      <c r="N11867" s="8">
        <f>HYPERLINK("https://www.vietnamworks.com/hot-job-chuyen-vien-giai-phong-mat-bang-2007676-jv","Xem chi tiết")</f>
        <v/>
      </c>
    </row>
    <row r="11868">
      <c r="B11868" s="9" t="n">
        <v>11866</v>
      </c>
      <c r="C11868" s="10" t="inlineStr">
        <is>
          <t>Kế Toán Tổng Hợp (General Accountant) - Đi Làm Ngay</t>
        </is>
      </c>
      <c r="D11868" s="10" t="inlineStr">
        <is>
          <t>Hệ Thống Trung Tâm Ngoại Ngữ Kella</t>
        </is>
      </c>
      <c r="E11868" s="10" t="inlineStr">
        <is>
          <t>Từ 15tr ₫/tháng</t>
        </is>
      </c>
      <c r="F11868" s="10" t="inlineStr">
        <is>
          <t>Hà Nội</t>
        </is>
      </c>
      <c r="G11868" s="10" t="inlineStr">
        <is>
          <t>Nhân viên</t>
        </is>
      </c>
      <c r="H11868" s="10" t="inlineStr">
        <is>
          <t>29/01/2026</t>
        </is>
      </c>
      <c r="I11868" s="10" t="inlineStr">
        <is>
          <t>16/04/2026</t>
        </is>
      </c>
      <c r="J11868" s="10" t="inlineStr">
        <is>
          <t>17/03/2026</t>
        </is>
      </c>
      <c r="K11868" s="10" t="inlineStr">
        <is>
          <t>N/A</t>
        </is>
      </c>
      <c r="L11868" s="10" t="inlineStr">
        <is>
          <t>Kế Toán, Kiểm Toán, Tài Chính, Misa, Quản Lý Công Việc</t>
        </is>
      </c>
      <c r="M11868" s="10" t="inlineStr">
        <is>
          <t>Bonus, Healthcare Plan, Paid Leave, Training, Awards, Travel Opportunities, Team Activities, Others</t>
        </is>
      </c>
      <c r="N11868" s="11">
        <f>HYPERLINK("https://www.vietnamworks.com/ke-toan-tong-hop-general-accountant-di-lam-ngay-2007778-jv","Xem chi tiết")</f>
        <v/>
      </c>
      <c r="O11868" s="10" t="n"/>
    </row>
    <row r="11869">
      <c r="B11869" s="7" t="n">
        <v>11867</v>
      </c>
      <c r="C11869" t="inlineStr">
        <is>
          <t>Manual QA Tester (Web Application)</t>
        </is>
      </c>
      <c r="D11869" t="inlineStr">
        <is>
          <t>Webprovise</t>
        </is>
      </c>
      <c r="E11869" t="inlineStr">
        <is>
          <t>Thương lượng</t>
        </is>
      </c>
      <c r="F11869" t="inlineStr">
        <is>
          <t>Hà Nội</t>
        </is>
      </c>
      <c r="G11869" t="inlineStr">
        <is>
          <t>Nhân viên</t>
        </is>
      </c>
      <c r="H11869" t="inlineStr">
        <is>
          <t>29/01/2026</t>
        </is>
      </c>
      <c r="I11869" t="inlineStr">
        <is>
          <t>16/04/2026</t>
        </is>
      </c>
      <c r="J11869" t="inlineStr">
        <is>
          <t>17/03/2026</t>
        </is>
      </c>
      <c r="K11869" t="inlineStr">
        <is>
          <t>N/A</t>
        </is>
      </c>
      <c r="L11869" t="inlineStr">
        <is>
          <t>Manual Testing, QA Engineering, Software Testing, Web Testing, CI/CD pipelines</t>
        </is>
      </c>
      <c r="M11869" t="inlineStr">
        <is>
          <t>Paid Leave, Team Activities, Others</t>
        </is>
      </c>
      <c r="N11869" s="8">
        <f>HYPERLINK("https://www.vietnamworks.com/manual-qa-tester-web-application-2007822-jv","Xem chi tiết")</f>
        <v/>
      </c>
    </row>
    <row r="11870">
      <c r="B11870" s="9" t="n">
        <v>11868</v>
      </c>
      <c r="C11870" s="10" t="inlineStr">
        <is>
          <t>[Hải Phòng] Associate, Sales Administration &amp; Customer Service</t>
        </is>
      </c>
      <c r="D11870" s="10" t="inlineStr">
        <is>
          <t>Frasers Property Vietnam</t>
        </is>
      </c>
      <c r="E11870" s="10" t="inlineStr">
        <is>
          <t>Thương lượng</t>
        </is>
      </c>
      <c r="F11870" s="10" t="inlineStr">
        <is>
          <t>Hải Phòng</t>
        </is>
      </c>
      <c r="G11870" s="10" t="inlineStr">
        <is>
          <t>Nhân viên</t>
        </is>
      </c>
      <c r="H11870" s="10" t="inlineStr">
        <is>
          <t>29/01/2026</t>
        </is>
      </c>
      <c r="I11870" s="10" t="inlineStr">
        <is>
          <t>16/04/2026</t>
        </is>
      </c>
      <c r="J11870" s="10" t="inlineStr">
        <is>
          <t>17/03/2026</t>
        </is>
      </c>
      <c r="K11870" s="10" t="inlineStr">
        <is>
          <t>N/A</t>
        </is>
      </c>
      <c r="L11870" s="10" t="inlineStr">
        <is>
          <t>Customer Service, Customer Support, English, Sales Admin, Sales Planning</t>
        </is>
      </c>
      <c r="M11870" s="10" t="inlineStr">
        <is>
          <t>Bonus, Training, Team Activities</t>
        </is>
      </c>
      <c r="N11870" s="11">
        <f>HYPERLINK("https://www.vietnamworks.com/hai-phong-associate-sales-administration-and-customer-service-2007863-jv","Xem chi tiết")</f>
        <v/>
      </c>
      <c r="O11870" s="10" t="n"/>
    </row>
    <row r="11871">
      <c r="B11871" s="7" t="n">
        <v>11869</v>
      </c>
      <c r="C11871" t="inlineStr">
        <is>
          <t>Chuyên Viên Truyền Thông Văn Hóa Doanh Nghiệp (Lĩnh Vực Truyền Thông)</t>
        </is>
      </c>
      <c r="D11871" t="inlineStr">
        <is>
          <t>Công Ty Cổ phần TAJ Việt Nam</t>
        </is>
      </c>
      <c r="E11871" t="inlineStr">
        <is>
          <t>13tr-18tr ₫/tháng</t>
        </is>
      </c>
      <c r="F11871" t="inlineStr">
        <is>
          <t>Hà Nội</t>
        </is>
      </c>
      <c r="G11871" t="inlineStr">
        <is>
          <t>Nhân viên</t>
        </is>
      </c>
      <c r="H11871" t="inlineStr">
        <is>
          <t>29/01/2026</t>
        </is>
      </c>
      <c r="I11871" t="inlineStr">
        <is>
          <t>16/04/2026</t>
        </is>
      </c>
      <c r="J11871" t="inlineStr">
        <is>
          <t>17/03/2026</t>
        </is>
      </c>
      <c r="K11871" t="inlineStr">
        <is>
          <t>N/A</t>
        </is>
      </c>
      <c r="L11871" t="inlineStr">
        <is>
          <t>Tiếng Anh thành thạo, Kỹ năng Excel, Kỹ Năng Pptx, Truyền Hình Truyền Thông, Kết Nối Và Nói Trước Đám Đông</t>
        </is>
      </c>
      <c r="M11871" t="inlineStr">
        <is>
          <t>Bonus, Healthcare Plan, Paid Leave, Training, Travel Opportunities, Canteen, Others</t>
        </is>
      </c>
      <c r="N11871" s="8">
        <f>HYPERLINK("https://www.vietnamworks.com/chuyen-vien-truyen-thong-van-hoa-doanh-nghiep-linh-vuc-truyen-thong-2007887-jv","Xem chi tiết")</f>
        <v/>
      </c>
    </row>
    <row r="11872">
      <c r="B11872" s="9" t="n">
        <v>11870</v>
      </c>
      <c r="C11872" s="10" t="inlineStr">
        <is>
          <t>Trưởng Phòng Kinh Doanh Thương Mại</t>
        </is>
      </c>
      <c r="D11872" s="10" t="inlineStr">
        <is>
          <t>Công ty CP Liên Doanh Cảng Quốc tế Mỹ Thủy</t>
        </is>
      </c>
      <c r="E11872" s="10" t="inlineStr">
        <is>
          <t>35tr-50tr ₫/tháng</t>
        </is>
      </c>
      <c r="F11872" s="10" t="inlineStr">
        <is>
          <t>Thừa Thiên Huế, Hà Nội, Đà Nẵng</t>
        </is>
      </c>
      <c r="G11872" s="10" t="inlineStr">
        <is>
          <t>Trưởng phòng</t>
        </is>
      </c>
      <c r="H11872" s="10" t="inlineStr">
        <is>
          <t>29/01/2026</t>
        </is>
      </c>
      <c r="I11872" s="10" t="inlineStr">
        <is>
          <t>16/04/2026</t>
        </is>
      </c>
      <c r="J11872" s="10" t="inlineStr">
        <is>
          <t>17/03/2026</t>
        </is>
      </c>
      <c r="K11872" s="10" t="inlineStr">
        <is>
          <t>N/A</t>
        </is>
      </c>
      <c r="L11872" s="10" t="inlineStr">
        <is>
          <t>Kinh Doanh Xuất Nhập Khẩu, Lãnh Đạo, Logistics, Phát Triển Khách Hàng, Marketing</t>
        </is>
      </c>
      <c r="M11872" s="10" t="inlineStr">
        <is>
          <t>Bonus, Healthcare Plan, Paid Leave</t>
        </is>
      </c>
      <c r="N11872" s="11">
        <f>HYPERLINK("https://www.vietnamworks.com/truong-phong-kinh-doanh-thuong-mai-2007872-jv","Xem chi tiết")</f>
        <v/>
      </c>
      <c r="O11872" s="10" t="n"/>
    </row>
    <row r="11873">
      <c r="B11873" s="7" t="n">
        <v>11871</v>
      </c>
      <c r="C11873" t="inlineStr">
        <is>
          <t>Sales Executive (Vietnam)</t>
        </is>
      </c>
      <c r="D11873" t="inlineStr">
        <is>
          <t>WENDELL GLOBAL INTERLINING (VIETNAM)</t>
        </is>
      </c>
      <c r="E11873" t="inlineStr">
        <is>
          <t>Thương lượng</t>
        </is>
      </c>
      <c r="F11873" t="inlineStr">
        <is>
          <t>Hà Nội</t>
        </is>
      </c>
      <c r="G11873" t="inlineStr">
        <is>
          <t>Nhân viên</t>
        </is>
      </c>
      <c r="H11873" t="inlineStr">
        <is>
          <t>30/01/2026</t>
        </is>
      </c>
      <c r="I11873" t="inlineStr">
        <is>
          <t>16/04/2026</t>
        </is>
      </c>
      <c r="J11873" t="inlineStr">
        <is>
          <t>17/03/2026</t>
        </is>
      </c>
      <c r="K11873" t="inlineStr">
        <is>
          <t>N/A</t>
        </is>
      </c>
      <c r="L11873" t="inlineStr">
        <is>
          <t>English, Garment and Textile Knowledge, Interlining Experience, Garment analysis, Sales B2B</t>
        </is>
      </c>
      <c r="M11873" t="inlineStr">
        <is>
          <t>Bonus, Healthcare Plan, Training, Laptop, Others</t>
        </is>
      </c>
      <c r="N11873" s="8">
        <f>HYPERLINK("https://www.vietnamworks.com/sales-executive-vietnam-2007986-jv","Xem chi tiết")</f>
        <v/>
      </c>
    </row>
    <row r="11874">
      <c r="B11874" s="9" t="n">
        <v>11872</v>
      </c>
      <c r="C11874" s="10" t="inlineStr">
        <is>
          <t>Chuyên Viên Mua Sắm Vật Tư - Thiết Bị</t>
        </is>
      </c>
      <c r="D11874" s="10" t="inlineStr">
        <is>
          <t>Công Ty Cổ Phần Tập Đoàn Đèo Cả</t>
        </is>
      </c>
      <c r="E11874" s="10" t="inlineStr">
        <is>
          <t>13tr-15tr ₫/tháng</t>
        </is>
      </c>
      <c r="F11874" s="10" t="inlineStr">
        <is>
          <t>Hồ Chí Minh</t>
        </is>
      </c>
      <c r="G11874" s="10" t="inlineStr">
        <is>
          <t>Nhân viên</t>
        </is>
      </c>
      <c r="H11874" s="10" t="inlineStr">
        <is>
          <t>30/01/2026</t>
        </is>
      </c>
      <c r="I11874" s="10" t="inlineStr">
        <is>
          <t>16/04/2026</t>
        </is>
      </c>
      <c r="J11874" s="10" t="inlineStr">
        <is>
          <t>17/03/2026</t>
        </is>
      </c>
      <c r="K11874" s="10" t="inlineStr">
        <is>
          <t>N/A</t>
        </is>
      </c>
      <c r="L11874" s="10" t="inlineStr">
        <is>
          <t>Vật Tư Thiết Bị, Cung Ứng, Cung Ứng Vật Tư Xây Dựng</t>
        </is>
      </c>
      <c r="M11874" s="10" t="inlineStr">
        <is>
          <t>Healthcare Plan, Laptop, Others</t>
        </is>
      </c>
      <c r="N11874" s="11">
        <f>HYPERLINK("https://www.vietnamworks.com/chuyen-vien-mua-sam-vat-tu-thiet-bi-2007994-jv","Xem chi tiết")</f>
        <v/>
      </c>
      <c r="O11874" s="10" t="n"/>
    </row>
    <row r="11875">
      <c r="B11875" s="7" t="n">
        <v>11873</v>
      </c>
      <c r="C11875" t="inlineStr">
        <is>
          <t>Nhân Viên Chăm Sóc Khách Hàng (Có Kinh Nghiệm)</t>
        </is>
      </c>
      <c r="D11875" t="inlineStr">
        <is>
          <t>Chenghui International Logistics Company Limited</t>
        </is>
      </c>
      <c r="E11875" t="inlineStr">
        <is>
          <t>18tr-23tr ₫/tháng</t>
        </is>
      </c>
      <c r="F11875" t="inlineStr">
        <is>
          <t>Hồ Chí Minh</t>
        </is>
      </c>
      <c r="G11875" t="inlineStr">
        <is>
          <t>Nhân viên</t>
        </is>
      </c>
      <c r="H11875" t="inlineStr">
        <is>
          <t>29/01/2026</t>
        </is>
      </c>
      <c r="I11875" t="inlineStr">
        <is>
          <t>16/04/2026</t>
        </is>
      </c>
      <c r="J11875" t="inlineStr">
        <is>
          <t>17/03/2026</t>
        </is>
      </c>
      <c r="K11875" t="inlineStr">
        <is>
          <t>N/A</t>
        </is>
      </c>
      <c r="L11875" t="inlineStr">
        <is>
          <t>Giải Quyết Khiếu Nại, Quản Lý Booking, Theo Dõi Công Nợ, Tiếng Trung, Xuất Nhập Khẩu</t>
        </is>
      </c>
      <c r="M11875" t="inlineStr">
        <is>
          <t>Bonus, Healthcare Plan, Others</t>
        </is>
      </c>
      <c r="N11875" s="8">
        <f>HYPERLINK("https://www.vietnamworks.com/nhan-vien-cham-soc-khach-hang-co-kinh-nghiem--2007912-jv","Xem chi tiết")</f>
        <v/>
      </c>
    </row>
    <row r="11876">
      <c r="B11876" s="9" t="n">
        <v>11874</v>
      </c>
      <c r="C11876" s="10" t="inlineStr">
        <is>
          <t>Quản Lý R&amp;D (Tiếng Hàn) - Làm Việc Tại Bình Xuyên, Vĩnh Phúc.</t>
        </is>
      </c>
      <c r="D11876" s="10" t="inlineStr">
        <is>
          <t>Công ty TNHH KCI Vina</t>
        </is>
      </c>
      <c r="E11876" s="10" t="inlineStr">
        <is>
          <t>Thương lượng</t>
        </is>
      </c>
      <c r="F11876" s="10" t="inlineStr">
        <is>
          <t>Phú Thọ, Hà Nội, Vĩnh Phúc</t>
        </is>
      </c>
      <c r="G11876" s="10" t="inlineStr">
        <is>
          <t>Trưởng phòng</t>
        </is>
      </c>
      <c r="H11876" s="10" t="inlineStr">
        <is>
          <t>30/01/2026</t>
        </is>
      </c>
      <c r="I11876" s="10" t="inlineStr">
        <is>
          <t>16/04/2026</t>
        </is>
      </c>
      <c r="J11876" s="10" t="inlineStr">
        <is>
          <t>17/03/2026</t>
        </is>
      </c>
      <c r="K11876" s="10" t="inlineStr">
        <is>
          <t>N/A</t>
        </is>
      </c>
      <c r="L11876" s="10" t="inlineStr">
        <is>
          <t>Tiếng Hàn, Phân Tích Yêu Cầu Kỹ Thuật, Cải Tiến Quy Trình Sản Xuất, Cải Tiến, R&amp;D</t>
        </is>
      </c>
      <c r="M11876" s="10" t="inlineStr">
        <is>
          <t>Healthcare Plan, Team Activities, Others</t>
        </is>
      </c>
      <c r="N11876" s="11">
        <f>HYPERLINK("https://www.vietnamworks.com/quan-ly-r-d-tieng-han-lam-viec-tai-binh-xuyen-vinh-phuc-2008003-jv","Xem chi tiết")</f>
        <v/>
      </c>
      <c r="O11876" s="10" t="n"/>
    </row>
    <row r="11877">
      <c r="B11877" s="7" t="n">
        <v>11875</v>
      </c>
      <c r="C11877" t="inlineStr">
        <is>
          <t>Chuyên Viên Đào Tạo</t>
        </is>
      </c>
      <c r="D11877" t="inlineStr">
        <is>
          <t>Công Ty Cổ Phần Tập Đoàn Đèo Cả</t>
        </is>
      </c>
      <c r="E11877" t="inlineStr">
        <is>
          <t>Thương lượng</t>
        </is>
      </c>
      <c r="F11877" t="inlineStr">
        <is>
          <t>Hà Nội</t>
        </is>
      </c>
      <c r="G11877" t="inlineStr">
        <is>
          <t>Nhân viên</t>
        </is>
      </c>
      <c r="H11877" t="inlineStr">
        <is>
          <t>30/01/2026</t>
        </is>
      </c>
      <c r="I11877" t="inlineStr">
        <is>
          <t>16/04/2026</t>
        </is>
      </c>
      <c r="J11877" t="inlineStr">
        <is>
          <t>17/03/2026</t>
        </is>
      </c>
      <c r="K11877" t="inlineStr">
        <is>
          <t>N/A</t>
        </is>
      </c>
      <c r="L11877" t="inlineStr">
        <is>
          <t>Giao Tiếp, Giao tiếp, Quản Trị Kinh Doanh, Quản Trị Nhân Lực, Đào Tạo và Phát Triển</t>
        </is>
      </c>
      <c r="M11877" t="inlineStr">
        <is>
          <t>Bonus, Healthcare Plan, Paid Leave, Training, Laptop, Team Activities, Others</t>
        </is>
      </c>
      <c r="N11877" s="8">
        <f>HYPERLINK("https://www.vietnamworks.com/chuyen-vien-djao-tao-2008002-jv","Xem chi tiết")</f>
        <v/>
      </c>
    </row>
    <row r="11878">
      <c r="B11878" s="9" t="n">
        <v>11876</v>
      </c>
      <c r="C11878" s="10" t="inlineStr">
        <is>
          <t>Trưởng Phòng Chất Lượng (QA/QC Manager) - Làm Việc Tại Bình Xuyên, Vĩnh Phúc.</t>
        </is>
      </c>
      <c r="D11878" s="10" t="inlineStr">
        <is>
          <t>Công ty TNHH KCI Vina</t>
        </is>
      </c>
      <c r="E11878" s="10" t="inlineStr">
        <is>
          <t>20tr-25tr ₫/tháng</t>
        </is>
      </c>
      <c r="F11878" s="10" t="inlineStr">
        <is>
          <t>Phú Thọ, Hà Nội, Vĩnh Phúc</t>
        </is>
      </c>
      <c r="G11878" s="10" t="inlineStr">
        <is>
          <t>Trưởng phòng</t>
        </is>
      </c>
      <c r="H11878" s="10" t="inlineStr">
        <is>
          <t>30/01/2026</t>
        </is>
      </c>
      <c r="I11878" s="10" t="inlineStr">
        <is>
          <t>16/04/2026</t>
        </is>
      </c>
      <c r="J11878" s="10" t="inlineStr">
        <is>
          <t>17/03/2026</t>
        </is>
      </c>
      <c r="K11878" s="10" t="inlineStr">
        <is>
          <t>N/A</t>
        </is>
      </c>
      <c r="L11878" s="10" t="inlineStr">
        <is>
          <t>Quản lý chất lượng, SMT, Điện Tử, Cơ Khí, Kiểm Soát Chất Lượng</t>
        </is>
      </c>
      <c r="M11878" s="10" t="inlineStr">
        <is>
          <t>Healthcare Plan, Others</t>
        </is>
      </c>
      <c r="N11878" s="11">
        <f>HYPERLINK("https://www.vietnamworks.com/truong-phong-chat-luong-qa-qc-manager-lam-viec-tai-binh-xuyen-vinh-phuc-2008001-jv","Xem chi tiết")</f>
        <v/>
      </c>
      <c r="O11878" s="10" t="n"/>
    </row>
    <row r="11879">
      <c r="B11879" s="7" t="n">
        <v>11877</v>
      </c>
      <c r="C11879" t="inlineStr">
        <is>
          <t>Nhân Viên Điều Phối Sản Xuất</t>
        </is>
      </c>
      <c r="D11879" t="inlineStr">
        <is>
          <t>Công Ty Cổ Phần Bao Bì Thủ Đô</t>
        </is>
      </c>
      <c r="E11879" t="inlineStr">
        <is>
          <t>Thương lượng</t>
        </is>
      </c>
      <c r="F11879" t="inlineStr">
        <is>
          <t>Hà Nội</t>
        </is>
      </c>
      <c r="G11879" t="inlineStr">
        <is>
          <t>Nhân viên</t>
        </is>
      </c>
      <c r="H11879" t="inlineStr">
        <is>
          <t>29/01/2026</t>
        </is>
      </c>
      <c r="I11879" t="inlineStr">
        <is>
          <t>16/04/2026</t>
        </is>
      </c>
      <c r="J11879" t="inlineStr">
        <is>
          <t>17/03/2026</t>
        </is>
      </c>
      <c r="K11879" t="inlineStr">
        <is>
          <t>N/A</t>
        </is>
      </c>
      <c r="L11879" t="inlineStr">
        <is>
          <t>Kế Hoạch Sản Xuất, MS Office, Sản xuất, Xử Lý Hàng Tồn, Điều Phối</t>
        </is>
      </c>
      <c r="M11879" t="inlineStr">
        <is>
          <t>Bonus, Healthcare Plan, Paid Leave, Training, Others</t>
        </is>
      </c>
      <c r="N11879" s="8">
        <f>HYPERLINK("https://www.vietnamworks.com/nhan-vien-djieu-phoi-san-xuat-2007816-jv","Xem chi tiết")</f>
        <v/>
      </c>
    </row>
    <row r="11880">
      <c r="B11880" s="9" t="n">
        <v>11878</v>
      </c>
      <c r="C11880" s="10" t="inlineStr">
        <is>
          <t>Trưởng Ca Sản Xuất SMT - Làm Việc Tại Bình Xuyên, Vĩnh Phúc.</t>
        </is>
      </c>
      <c r="D11880" s="10" t="inlineStr">
        <is>
          <t>Công ty TNHH KCI Vina</t>
        </is>
      </c>
      <c r="E11880" s="10" t="inlineStr">
        <is>
          <t>Thương lượng</t>
        </is>
      </c>
      <c r="F11880" s="10" t="inlineStr">
        <is>
          <t>Phú Thọ, Vĩnh Phúc</t>
        </is>
      </c>
      <c r="G11880" s="10" t="inlineStr">
        <is>
          <t>Trưởng phòng</t>
        </is>
      </c>
      <c r="H11880" s="10" t="inlineStr">
        <is>
          <t>30/01/2026</t>
        </is>
      </c>
      <c r="I11880" s="10" t="inlineStr">
        <is>
          <t>16/04/2026</t>
        </is>
      </c>
      <c r="J11880" s="10" t="inlineStr">
        <is>
          <t>17/03/2026</t>
        </is>
      </c>
      <c r="K11880" s="10" t="inlineStr">
        <is>
          <t>N/A</t>
        </is>
      </c>
      <c r="L11880" s="10" t="inlineStr">
        <is>
          <t>Quản Lý Sản Xuất, Kỹ Thuật SMT, Gia Công Áp Lực, Điện tử, Điện Tử Công Nghiệp</t>
        </is>
      </c>
      <c r="M11880" s="10" t="inlineStr">
        <is>
          <t>Others</t>
        </is>
      </c>
      <c r="N11880" s="11">
        <f>HYPERLINK("https://www.vietnamworks.com/truong-ca-san-xuat-smt-lam-viec-tai-binh-xuyen-vinh-phuc-2007978-jv","Xem chi tiết")</f>
        <v/>
      </c>
      <c r="O11880" s="10" t="n"/>
    </row>
    <row r="11881">
      <c r="B11881" s="7" t="n">
        <v>11879</v>
      </c>
      <c r="C11881" t="inlineStr">
        <is>
          <t>Trưởng Phòng Cơ Điện</t>
        </is>
      </c>
      <c r="D11881" t="inlineStr">
        <is>
          <t>Công Ty Cổ Phần Bao Bì Thủ Đô</t>
        </is>
      </c>
      <c r="E11881" t="inlineStr">
        <is>
          <t>Thương lượng</t>
        </is>
      </c>
      <c r="F11881" t="inlineStr">
        <is>
          <t>Hà Nội</t>
        </is>
      </c>
      <c r="G11881" t="inlineStr">
        <is>
          <t>Trưởng phòng</t>
        </is>
      </c>
      <c r="H11881" t="inlineStr">
        <is>
          <t>29/01/2026</t>
        </is>
      </c>
      <c r="I11881" t="inlineStr">
        <is>
          <t>16/04/2026</t>
        </is>
      </c>
      <c r="J11881" t="inlineStr">
        <is>
          <t>17/03/2026</t>
        </is>
      </c>
      <c r="K11881" t="inlineStr">
        <is>
          <t>N/A</t>
        </is>
      </c>
      <c r="L11881" t="inlineStr">
        <is>
          <t>Lập Kế Hoạch, Lãnh Đạo, Cơ Điện, Quản Lý Chất Lượng, Tự Động Hóa</t>
        </is>
      </c>
      <c r="M11881" t="inlineStr">
        <is>
          <t>Bonus, Healthcare Plan, Paid Leave, Training, Others</t>
        </is>
      </c>
      <c r="N11881" s="8">
        <f>HYPERLINK("https://www.vietnamworks.com/truong-phong-co-djien-2007811-jv","Xem chi tiết")</f>
        <v/>
      </c>
    </row>
    <row r="11882">
      <c r="B11882" s="9" t="n">
        <v>11880</v>
      </c>
      <c r="C11882" s="10" t="inlineStr">
        <is>
          <t>Kỹ Sư Quản Lý Chất Lượng</t>
        </is>
      </c>
      <c r="D11882" s="10" t="inlineStr">
        <is>
          <t>Công Ty Cổ Phần Công Nghệ Công Nghiệp Bưu Chính Viễn Thông - VNPT Technology</t>
        </is>
      </c>
      <c r="E11882" s="10" t="inlineStr">
        <is>
          <t>Thương lượng</t>
        </is>
      </c>
      <c r="F11882" s="10" t="inlineStr">
        <is>
          <t>Hà Nội</t>
        </is>
      </c>
      <c r="G11882" s="10" t="inlineStr">
        <is>
          <t>Nhân viên</t>
        </is>
      </c>
      <c r="H11882" s="10" t="inlineStr">
        <is>
          <t>29/01/2026</t>
        </is>
      </c>
      <c r="I11882" s="10" t="inlineStr">
        <is>
          <t>16/04/2026</t>
        </is>
      </c>
      <c r="J11882" s="10" t="inlineStr">
        <is>
          <t>17/03/2026</t>
        </is>
      </c>
      <c r="K11882" s="10" t="inlineStr">
        <is>
          <t>N/A</t>
        </is>
      </c>
      <c r="L11882" s="10" t="inlineStr">
        <is>
          <t>Kiểm Soát Chất Lượng, MS Office, Quản Lý Chất Lượng Nhà Máy, Quản Lý Sản Xuất, Xây Dựng Quy Trình</t>
        </is>
      </c>
      <c r="M11882" s="10" t="inlineStr">
        <is>
          <t>Bonus, Training, Canteen</t>
        </is>
      </c>
      <c r="N11882" s="11">
        <f>HYPERLINK("https://www.vietnamworks.com/ky-su-quan-ly-chat-luong--2007697-jv","Xem chi tiết")</f>
        <v/>
      </c>
      <c r="O11882" s="10" t="n"/>
    </row>
    <row r="11883">
      <c r="B11883" s="7" t="n">
        <v>11881</v>
      </c>
      <c r="C11883" t="inlineStr">
        <is>
          <t>Cán Bộ Kỹ Thuật Xây Dựng - Lương Từ 23-28Tr/tháng</t>
        </is>
      </c>
      <c r="D11883" t="inlineStr">
        <is>
          <t>Công ty CP Đầu tư xây dựng Gicons</t>
        </is>
      </c>
      <c r="E11883" t="inlineStr">
        <is>
          <t>23tr-28tr ₫/tháng</t>
        </is>
      </c>
      <c r="F11883" t="inlineStr">
        <is>
          <t>Quảng Ninh, Hà Nội</t>
        </is>
      </c>
      <c r="G11883" t="inlineStr">
        <is>
          <t>Nhân viên</t>
        </is>
      </c>
      <c r="H11883" t="inlineStr">
        <is>
          <t>30/01/2026</t>
        </is>
      </c>
      <c r="I11883" t="inlineStr">
        <is>
          <t>16/04/2026</t>
        </is>
      </c>
      <c r="J11883" t="inlineStr">
        <is>
          <t>17/03/2026</t>
        </is>
      </c>
      <c r="K11883" t="inlineStr">
        <is>
          <t>N/A</t>
        </is>
      </c>
      <c r="L11883" t="inlineStr">
        <is>
          <t>Quản Lý Dự Án, AutoCAD, Quản Lý Thi Công, Triển Khai Dự Án, Xây Dựng Dân Dụng</t>
        </is>
      </c>
      <c r="M11883" t="inlineStr">
        <is>
          <t>Healthcare Plan, Awards, Team Activities</t>
        </is>
      </c>
      <c r="N11883" s="8">
        <f>HYPERLINK("https://www.vietnamworks.com/can-bo-ky-thuat-xay-dung-luong-tu-23-28tr-thang-2008036-jv","Xem chi tiết")</f>
        <v/>
      </c>
    </row>
    <row r="11884">
      <c r="B11884" s="9" t="n">
        <v>11882</v>
      </c>
      <c r="C11884" s="10" t="inlineStr">
        <is>
          <t>Nhân Viên HSE</t>
        </is>
      </c>
      <c r="D11884" s="10" t="inlineStr">
        <is>
          <t>CÔNG TY TNHH HESTRA VIỆT NAM</t>
        </is>
      </c>
      <c r="E11884" s="10" t="inlineStr">
        <is>
          <t>Thương lượng</t>
        </is>
      </c>
      <c r="F11884" s="10" t="inlineStr">
        <is>
          <t>Hải Phòng</t>
        </is>
      </c>
      <c r="G11884" s="10" t="inlineStr">
        <is>
          <t>Nhân viên</t>
        </is>
      </c>
      <c r="H11884" s="10" t="inlineStr">
        <is>
          <t>30/01/2026</t>
        </is>
      </c>
      <c r="I11884" s="10" t="inlineStr">
        <is>
          <t>16/04/2026</t>
        </is>
      </c>
      <c r="J11884" s="10" t="inlineStr">
        <is>
          <t>17/03/2026</t>
        </is>
      </c>
      <c r="K11884" s="10" t="inlineStr">
        <is>
          <t>N/A</t>
        </is>
      </c>
      <c r="L11884" s="10" t="inlineStr">
        <is>
          <t>Quản Lý Môi Trường, ISO 14001, Đánh Giá Rủi Ro, Đào tạo HSE, Xử Lý Nước Thải</t>
        </is>
      </c>
      <c r="M11884" s="10" t="inlineStr">
        <is>
          <t>Bonus</t>
        </is>
      </c>
      <c r="N11884" s="11">
        <f>HYPERLINK("https://www.vietnamworks.com/nhan-vien-hse-2008136-jv","Xem chi tiết")</f>
        <v/>
      </c>
      <c r="O11884" s="10" t="n"/>
    </row>
    <row r="11885">
      <c r="B11885" s="7" t="n">
        <v>11883</v>
      </c>
      <c r="C11885" t="inlineStr">
        <is>
          <t>Maintenance Engineer</t>
        </is>
      </c>
      <c r="D11885" t="inlineStr">
        <is>
          <t>Công Ty TNHH Laird Việt Nam</t>
        </is>
      </c>
      <c r="E11885" t="inlineStr">
        <is>
          <t>Thương lượng</t>
        </is>
      </c>
      <c r="F11885" t="inlineStr">
        <is>
          <t>Bắc Ninh</t>
        </is>
      </c>
      <c r="G11885" t="inlineStr">
        <is>
          <t>Nhân viên</t>
        </is>
      </c>
      <c r="H11885" t="inlineStr">
        <is>
          <t>30/01/2026</t>
        </is>
      </c>
      <c r="I11885" t="inlineStr">
        <is>
          <t>16/04/2026</t>
        </is>
      </c>
      <c r="J11885" t="inlineStr">
        <is>
          <t>17/03/2026</t>
        </is>
      </c>
      <c r="K11885" t="inlineStr">
        <is>
          <t>N/A</t>
        </is>
      </c>
      <c r="L11885" t="inlineStr">
        <is>
          <t>PLC, Mechanical, Troubleshooting, CAD Design, Communication Skills</t>
        </is>
      </c>
      <c r="M11885" t="inlineStr">
        <is>
          <t>Bonus, Team Activities, Others</t>
        </is>
      </c>
      <c r="N11885" s="8">
        <f>HYPERLINK("https://www.vietnamworks.com/maintenance-engineer--2008067-jv","Xem chi tiết")</f>
        <v/>
      </c>
    </row>
    <row r="11886">
      <c r="B11886" s="9" t="n">
        <v>11884</v>
      </c>
      <c r="C11886" s="10" t="inlineStr">
        <is>
          <t xml:space="preserve">Giám đốc Kinh doanh - Truyền thông - Marketing </t>
        </is>
      </c>
      <c r="D11886" s="10" t="inlineStr">
        <is>
          <t>Công Ty Cổ Phần Đầu Tư Và Kinh Doanh Nhà Khang Điền</t>
        </is>
      </c>
      <c r="E11886" s="10" t="inlineStr">
        <is>
          <t>Thương lượng</t>
        </is>
      </c>
      <c r="F11886" s="10" t="inlineStr">
        <is>
          <t>Hồ Chí Minh</t>
        </is>
      </c>
      <c r="G11886" s="10" t="inlineStr">
        <is>
          <t>Giám Đốc và Cấp Cao Hơn</t>
        </is>
      </c>
      <c r="H11886" s="10" t="inlineStr">
        <is>
          <t>30/01/2026</t>
        </is>
      </c>
      <c r="I11886" s="10" t="inlineStr">
        <is>
          <t>16/04/2026</t>
        </is>
      </c>
      <c r="J11886" s="10" t="inlineStr">
        <is>
          <t>17/03/2026</t>
        </is>
      </c>
      <c r="K11886" s="10" t="inlineStr">
        <is>
          <t>N/A</t>
        </is>
      </c>
      <c r="L11886" s="10" t="inlineStr">
        <is>
          <t>Bán hàng, Bất Động Sản, Bất Động Sản Thương Mại, Marketing, Truyền Thông</t>
        </is>
      </c>
      <c r="M11886" s="10" t="inlineStr">
        <is>
          <t>Bonus</t>
        </is>
      </c>
      <c r="N11886" s="11">
        <f>HYPERLINK("https://www.vietnamworks.com/giam-djoc-kinh-doanh-truyen-thong-marketing-2008113-jv","Xem chi tiết")</f>
        <v/>
      </c>
      <c r="O11886" s="10" t="n"/>
    </row>
    <row r="11887">
      <c r="B11887" s="7" t="n">
        <v>11885</v>
      </c>
      <c r="C11887" t="inlineStr">
        <is>
          <t>Chuyên Viên Pháp Lý Dự Án</t>
        </is>
      </c>
      <c r="D11887" t="inlineStr">
        <is>
          <t>Công ty CP Liên Doanh Cảng Quốc tế Mỹ Thủy</t>
        </is>
      </c>
      <c r="E11887" t="inlineStr">
        <is>
          <t>Thương lượng</t>
        </is>
      </c>
      <c r="F11887" t="inlineStr">
        <is>
          <t>Thừa Thiên Huế, Quảng Trị, Quảng Bình</t>
        </is>
      </c>
      <c r="G11887" t="inlineStr">
        <is>
          <t>Nhân viên</t>
        </is>
      </c>
      <c r="H11887" t="inlineStr">
        <is>
          <t>30/01/2026</t>
        </is>
      </c>
      <c r="I11887" t="inlineStr">
        <is>
          <t>16/04/2026</t>
        </is>
      </c>
      <c r="J11887" t="inlineStr">
        <is>
          <t>17/03/2026</t>
        </is>
      </c>
      <c r="K11887" t="inlineStr">
        <is>
          <t>N/A</t>
        </is>
      </c>
      <c r="L11887" t="inlineStr">
        <is>
          <t>Luật, Pháp Chế, Pháp Lý, Kinh Tế Xây Dựng, Luật Xây Dựng</t>
        </is>
      </c>
      <c r="M11887" t="inlineStr">
        <is>
          <t>Bonus, Healthcare Plan, Transportation</t>
        </is>
      </c>
      <c r="N11887" s="8">
        <f>HYPERLINK("https://www.vietnamworks.com/chuyen-vien-phap-ly-du-an-2008061-jv","Xem chi tiết")</f>
        <v/>
      </c>
    </row>
    <row r="11888">
      <c r="B11888" s="9" t="n">
        <v>11886</v>
      </c>
      <c r="C11888" s="10" t="inlineStr">
        <is>
          <t>Sales Tour Inbound - Sales Executive - Nhân Viên Sales Tour Tiếng Anh - Tối Thiểu Từ 1 Năm Kinh Nghiệm</t>
        </is>
      </c>
      <c r="D11888" s="10" t="inlineStr">
        <is>
          <t>CÔNG TY TNHH DU LỊCH TRẢI NGHIỆM ẤN TƯỢNG VIETNAM</t>
        </is>
      </c>
      <c r="E11888" s="10" t="inlineStr">
        <is>
          <t>$$ 500-1,000 /tháng</t>
        </is>
      </c>
      <c r="F11888" s="10" t="inlineStr">
        <is>
          <t>Hà Nội</t>
        </is>
      </c>
      <c r="G11888" s="10" t="inlineStr">
        <is>
          <t>Nhân viên</t>
        </is>
      </c>
      <c r="H11888" s="10" t="inlineStr">
        <is>
          <t>30/01/2026</t>
        </is>
      </c>
      <c r="I11888" s="10" t="inlineStr">
        <is>
          <t>16/04/2026</t>
        </is>
      </c>
      <c r="J11888" s="10" t="inlineStr">
        <is>
          <t>17/03/2026</t>
        </is>
      </c>
      <c r="K11888" s="10" t="inlineStr">
        <is>
          <t>N/A</t>
        </is>
      </c>
      <c r="L11888" s="10" t="inlineStr">
        <is>
          <t>Tour Sales, Du Lịch Lữ Hành, Du Lịch Inbound, Tour Inbound, Kinh Doanh Du Lịch</t>
        </is>
      </c>
      <c r="M11888" s="10" t="inlineStr">
        <is>
          <t>Bonus, Paid Leave, Travel Opportunities</t>
        </is>
      </c>
      <c r="N11888" s="11">
        <f>HYPERLINK("https://www.vietnamworks.com/sales-tour-inbound-sales-executive-nhan-vien-sales-tour-tieng-anh-toi-thieu-tu-1-nam-kinh-nghiem--2008065-jv","Xem chi tiết")</f>
        <v/>
      </c>
      <c r="O11888" s="10" t="n"/>
    </row>
    <row r="11889">
      <c r="B11889" s="7" t="n">
        <v>11887</v>
      </c>
      <c r="C11889" t="inlineStr">
        <is>
          <t>Garment Merchandiser (Sales Team/ Fob/ Sample/ Production/ Fabric/ Trim) - Nhân Viên Theo Dõi Đơn Hàng</t>
        </is>
      </c>
      <c r="D11889" t="inlineStr">
        <is>
          <t>Công Ty TNHH Nobland Viet Nam</t>
        </is>
      </c>
      <c r="E11889" t="inlineStr">
        <is>
          <t>11tr-30tr ₫/tháng</t>
        </is>
      </c>
      <c r="F11889" t="inlineStr">
        <is>
          <t>Hồ Chí Minh</t>
        </is>
      </c>
      <c r="G11889" t="inlineStr">
        <is>
          <t>Nhân viên</t>
        </is>
      </c>
      <c r="H11889" t="inlineStr">
        <is>
          <t>30/01/2026</t>
        </is>
      </c>
      <c r="I11889" t="inlineStr">
        <is>
          <t>16/04/2026</t>
        </is>
      </c>
      <c r="J11889" t="inlineStr">
        <is>
          <t>17/03/2026</t>
        </is>
      </c>
      <c r="K11889" t="inlineStr">
        <is>
          <t>N/A</t>
        </is>
      </c>
      <c r="L11889" t="inlineStr">
        <is>
          <t>Merchandise Garment, Textile Merchandising, May Mặc Thời Trang, Theo Dõi Đơn Hàng, Rập Mẫu</t>
        </is>
      </c>
      <c r="M11889" t="inlineStr">
        <is>
          <t>Bonus, Healthcare Plan, Others</t>
        </is>
      </c>
      <c r="N11889" s="8">
        <f>HYPERLINK("https://www.vietnamworks.com/garment-merchandiser-sales-team-fob-sample-production-fabric-trim-nhan-vien-theo-doi-don-hang--2008140-jv","Xem chi tiết")</f>
        <v/>
      </c>
    </row>
    <row r="11890">
      <c r="B11890" s="9" t="n">
        <v>11888</v>
      </c>
      <c r="C11890" s="10" t="inlineStr">
        <is>
          <t>Nhân Viên Quản Lý Sản Xuất (QLSX)</t>
        </is>
      </c>
      <c r="D11890" s="10" t="inlineStr">
        <is>
          <t>Tohoku Pioneer Vietnam Co., Ltd</t>
        </is>
      </c>
      <c r="E11890" s="10" t="inlineStr">
        <is>
          <t>Thương lượng</t>
        </is>
      </c>
      <c r="F11890" s="10" t="inlineStr">
        <is>
          <t>Hải Phòng</t>
        </is>
      </c>
      <c r="G11890" s="10" t="inlineStr">
        <is>
          <t>Nhân viên</t>
        </is>
      </c>
      <c r="H11890" s="10" t="inlineStr">
        <is>
          <t>30/01/2026</t>
        </is>
      </c>
      <c r="I11890" s="10" t="inlineStr">
        <is>
          <t>16/04/2026</t>
        </is>
      </c>
      <c r="J11890" s="10" t="inlineStr">
        <is>
          <t>17/03/2026</t>
        </is>
      </c>
      <c r="K11890" s="10" t="inlineStr">
        <is>
          <t>N/A</t>
        </is>
      </c>
      <c r="L11890" s="10" t="inlineStr">
        <is>
          <t>Phần mềm văn phòng, Quản Lý Sản Xuất, Tiếng Anh, Tiếng Nhật, Kỹ Thuật Sản Xuất</t>
        </is>
      </c>
      <c r="M11890" s="10" t="inlineStr">
        <is>
          <t>Healthcare Plan, Training, Travel Opportunities, Canteen, Others</t>
        </is>
      </c>
      <c r="N11890" s="11">
        <f>HYPERLINK("https://www.vietnamworks.com/nhan-vien-quan-ly-san-xuat-qlsx-2008205-jv","Xem chi tiết")</f>
        <v/>
      </c>
      <c r="O11890" s="10" t="n"/>
    </row>
    <row r="11891">
      <c r="B11891" s="7" t="n">
        <v>11889</v>
      </c>
      <c r="C11891" t="inlineStr">
        <is>
          <t>Kỹ Sư Triển Khai Bản Vẽ Hệ Thống MEP/ HVAC (không yêu cầu kinh nghiệm)</t>
        </is>
      </c>
      <c r="D11891" t="inlineStr">
        <is>
          <t>Công ty Phát triển phần mềm xây dựng Aureole (Aureole CSD)</t>
        </is>
      </c>
      <c r="E11891" t="inlineStr">
        <is>
          <t>Thương lượng</t>
        </is>
      </c>
      <c r="F11891" t="inlineStr">
        <is>
          <t>Hồ Chí Minh, Thừa Thiên Huế, Vĩnh Long</t>
        </is>
      </c>
      <c r="G11891" t="inlineStr">
        <is>
          <t>Mới Tốt Nghiệp</t>
        </is>
      </c>
      <c r="H11891" t="inlineStr">
        <is>
          <t>30/01/2026</t>
        </is>
      </c>
      <c r="I11891" t="inlineStr">
        <is>
          <t>16/04/2026</t>
        </is>
      </c>
      <c r="J11891" t="inlineStr">
        <is>
          <t>17/03/2026</t>
        </is>
      </c>
      <c r="K11891" t="inlineStr">
        <is>
          <t>N/A</t>
        </is>
      </c>
      <c r="L11891" t="inlineStr">
        <is>
          <t>AutoCAD 2D, Dự Toán, Tạo Dựng Mô Hình, Triển Khai Bản Vẽ 2D, Đọc Hiểu Bản Vẽ</t>
        </is>
      </c>
      <c r="M11891" t="inlineStr">
        <is>
          <t>Healthcare Plan, Training, Awards, Team Activities, Others</t>
        </is>
      </c>
      <c r="N11891" s="8">
        <f>HYPERLINK("https://www.vietnamworks.com/ky-su-trien-khai-ban-ve-he-thong-mep-hvac-khong-yeu-cau-kinh-nghiem-2008296-jv","Xem chi tiết")</f>
        <v/>
      </c>
    </row>
    <row r="11892">
      <c r="B11892" s="9" t="n">
        <v>11890</v>
      </c>
      <c r="C11892" s="10" t="inlineStr">
        <is>
          <t>Kế Toán Trưởng - Làm Việc Tại Bình Dương</t>
        </is>
      </c>
      <c r="D11892" s="10" t="inlineStr">
        <is>
          <t>Công ty Cổ phần Transimex</t>
        </is>
      </c>
      <c r="E11892" s="10" t="inlineStr">
        <is>
          <t>$$ 900-1,300 /tháng</t>
        </is>
      </c>
      <c r="F11892" s="10" t="inlineStr">
        <is>
          <t>Bình Dương</t>
        </is>
      </c>
      <c r="G11892" s="10" t="inlineStr">
        <is>
          <t>Trưởng phòng</t>
        </is>
      </c>
      <c r="H11892" s="10" t="inlineStr">
        <is>
          <t>30/01/2026</t>
        </is>
      </c>
      <c r="I11892" s="10" t="inlineStr">
        <is>
          <t>16/04/2026</t>
        </is>
      </c>
      <c r="J11892" s="10" t="inlineStr">
        <is>
          <t>17/03/2026</t>
        </is>
      </c>
      <c r="K11892" s="10" t="inlineStr">
        <is>
          <t>N/A</t>
        </is>
      </c>
      <c r="L11892" s="10" t="inlineStr">
        <is>
          <t>Kế Toán Tổng Hợp, Lập Báo Cáo Tài Chính, Luật Kế Toán, Phân Tích Báo Cáo, Quản Lý Sổ Sách</t>
        </is>
      </c>
      <c r="M11892" s="10" t="inlineStr">
        <is>
          <t>Bonus, Healthcare Plan, Travel Opportunities</t>
        </is>
      </c>
      <c r="N11892" s="11">
        <f>HYPERLINK("https://www.vietnamworks.com/ke-toan-truong-lam-viec-tai-binh-duong--2008116-jv","Xem chi tiết")</f>
        <v/>
      </c>
      <c r="O11892" s="10" t="n"/>
    </row>
    <row r="11893">
      <c r="B11893" s="7" t="n">
        <v>11891</v>
      </c>
      <c r="C11893" t="inlineStr">
        <is>
          <t>Go-To-Market Lead- Offer Upto 50M Net</t>
        </is>
      </c>
      <c r="D11893" t="inlineStr">
        <is>
          <t>OpenCommerce Group</t>
        </is>
      </c>
      <c r="E11893" t="inlineStr">
        <is>
          <t>Tới 50tr ₫/tháng</t>
        </is>
      </c>
      <c r="F11893" t="inlineStr">
        <is>
          <t>Hà Nội</t>
        </is>
      </c>
      <c r="G11893" t="inlineStr">
        <is>
          <t>Nhân viên</t>
        </is>
      </c>
      <c r="H11893" t="inlineStr">
        <is>
          <t>30/01/2026</t>
        </is>
      </c>
      <c r="I11893" t="inlineStr">
        <is>
          <t>16/04/2026</t>
        </is>
      </c>
      <c r="J11893" t="inlineStr">
        <is>
          <t>17/03/2026</t>
        </is>
      </c>
      <c r="K11893" t="inlineStr">
        <is>
          <t>N/A</t>
        </is>
      </c>
      <c r="L11893" t="inlineStr">
        <is>
          <t>E-commerce, Community Development, Analytical Skills, Leadership, Marketing</t>
        </is>
      </c>
      <c r="M11893" t="inlineStr">
        <is>
          <t>Bonus, Paid Leave, Training, Laptop, Travel Opportunities, Team Activities, Others</t>
        </is>
      </c>
      <c r="N11893" s="8">
        <f>HYPERLINK("https://www.vietnamworks.com/go-to-market-lead-offer-upto-50m-net-2008191-jv","Xem chi tiết")</f>
        <v/>
      </c>
    </row>
    <row r="11894">
      <c r="B11894" s="9" t="n">
        <v>11892</v>
      </c>
      <c r="C11894" s="10" t="inlineStr">
        <is>
          <t>Composite Production Engineer (Railway / Aerospace)</t>
        </is>
      </c>
      <c r="D11894" s="10" t="inlineStr">
        <is>
          <t>Công Ty TNHH Techbaba VINA</t>
        </is>
      </c>
      <c r="E11894" s="10" t="inlineStr">
        <is>
          <t>Thương lượng</t>
        </is>
      </c>
      <c r="F11894" s="10" t="inlineStr">
        <is>
          <t>Bình Dương, Bình Phước</t>
        </is>
      </c>
      <c r="G11894" s="10" t="inlineStr">
        <is>
          <t>Nhân viên</t>
        </is>
      </c>
      <c r="H11894" s="10" t="inlineStr">
        <is>
          <t>30/01/2026</t>
        </is>
      </c>
      <c r="I11894" s="10" t="inlineStr">
        <is>
          <t>16/04/2026</t>
        </is>
      </c>
      <c r="J11894" s="10" t="inlineStr">
        <is>
          <t>17/03/2026</t>
        </is>
      </c>
      <c r="K11894" s="10" t="inlineStr">
        <is>
          <t>N/A</t>
        </is>
      </c>
      <c r="L11894" s="10" t="inlineStr">
        <is>
          <t>Project Management, Project Ownership, Railway, Aerospace</t>
        </is>
      </c>
      <c r="M11894" s="10" t="inlineStr">
        <is>
          <t>Bonus, Healthcare Plan</t>
        </is>
      </c>
      <c r="N11894" s="11">
        <f>HYPERLINK("https://www.vietnamworks.com/composite-production-engineer-railway-aerospace-2008397-jv","Xem chi tiết")</f>
        <v/>
      </c>
      <c r="O11894" s="10" t="n"/>
    </row>
    <row r="11895">
      <c r="B11895" s="7" t="n">
        <v>11893</v>
      </c>
      <c r="C11895" t="inlineStr">
        <is>
          <t>Kế Toán Trưởng</t>
        </is>
      </c>
      <c r="D11895" t="inlineStr">
        <is>
          <t>Công Ty TNHH Vina</t>
        </is>
      </c>
      <c r="E11895" t="inlineStr">
        <is>
          <t>Thương lượng</t>
        </is>
      </c>
      <c r="F11895" t="inlineStr">
        <is>
          <t>Đồng Nai</t>
        </is>
      </c>
      <c r="G11895" t="inlineStr">
        <is>
          <t>Nhân viên</t>
        </is>
      </c>
      <c r="H11895" t="inlineStr">
        <is>
          <t>30/01/2026</t>
        </is>
      </c>
      <c r="I11895" t="inlineStr">
        <is>
          <t>16/04/2026</t>
        </is>
      </c>
      <c r="J11895" t="inlineStr">
        <is>
          <t>17/03/2026</t>
        </is>
      </c>
      <c r="K11895" t="inlineStr">
        <is>
          <t>N/A</t>
        </is>
      </c>
      <c r="L11895" t="inlineStr">
        <is>
          <t>Quản Lý Ngân Sách, Báo Cáo Quyết Toán, Báo Cáo Tài Chính, Luật Kế Toán, Lưu Trữ Chứng Từ</t>
        </is>
      </c>
      <c r="M11895" t="inlineStr">
        <is>
          <t>Bonus, Healthcare Plan, Paid Leave, Training, Awards</t>
        </is>
      </c>
      <c r="N11895" s="8">
        <f>HYPERLINK("https://www.vietnamworks.com/ke-toan-truong-2008248-jv","Xem chi tiết")</f>
        <v/>
      </c>
    </row>
    <row r="11896">
      <c r="B11896" s="9" t="n">
        <v>11894</v>
      </c>
      <c r="C11896" s="10" t="inlineStr">
        <is>
          <t>Cán Bộ Tư Vấn Giám Sát Xây Dựng</t>
        </is>
      </c>
      <c r="D11896" s="10" t="inlineStr">
        <is>
          <t>Công Ty Cổ Phần Đầu Tư Và Công Nghệ Xây Dựng Ibst</t>
        </is>
      </c>
      <c r="E11896" s="10" t="inlineStr">
        <is>
          <t>15tr-18tr ₫/tháng</t>
        </is>
      </c>
      <c r="F11896" s="10" t="inlineStr">
        <is>
          <t>Bắc Ninh, Lạng Sơn, Hà Nội</t>
        </is>
      </c>
      <c r="G11896" s="10" t="inlineStr">
        <is>
          <t>Nhân viên</t>
        </is>
      </c>
      <c r="H11896" s="10" t="inlineStr">
        <is>
          <t>30/01/2026</t>
        </is>
      </c>
      <c r="I11896" s="10" t="inlineStr">
        <is>
          <t>16/04/2026</t>
        </is>
      </c>
      <c r="J11896" s="10" t="inlineStr">
        <is>
          <t>17/03/2026</t>
        </is>
      </c>
      <c r="K11896" s="10" t="inlineStr">
        <is>
          <t>N/A</t>
        </is>
      </c>
      <c r="L11896" s="10" t="inlineStr">
        <is>
          <t>Giám Sát Xây Dựng, Kiểm Tra Chất Lượng, Quản Trị Tiến Độ, Tư Vấn Giám Sát, Xây Dựng Công Trình</t>
        </is>
      </c>
      <c r="M11896" s="10" t="inlineStr">
        <is>
          <t>Bonus, Healthcare Plan, Training, Travel Opportunities, Others</t>
        </is>
      </c>
      <c r="N11896" s="11">
        <f>HYPERLINK("https://www.vietnamworks.com/can-bo-tu-van-giam-sat-xay-dung-2008305-jv","Xem chi tiết")</f>
        <v/>
      </c>
      <c r="O11896" s="10" t="n"/>
    </row>
    <row r="11897">
      <c r="B11897" s="7" t="n">
        <v>11895</v>
      </c>
      <c r="C11897" t="inlineStr">
        <is>
          <t>Cán Bộ Tuyển Sinh - Swinburne MBA</t>
        </is>
      </c>
      <c r="D11897" t="inlineStr">
        <is>
          <t>Swinburne Việt Nam</t>
        </is>
      </c>
      <c r="E11897" t="inlineStr">
        <is>
          <t>Thương lượng</t>
        </is>
      </c>
      <c r="F11897" t="inlineStr">
        <is>
          <t>Hà Nội</t>
        </is>
      </c>
      <c r="G11897" t="inlineStr">
        <is>
          <t>Nhân viên</t>
        </is>
      </c>
      <c r="H11897" t="inlineStr">
        <is>
          <t>30/01/2026</t>
        </is>
      </c>
      <c r="I11897" t="inlineStr">
        <is>
          <t>16/04/2026</t>
        </is>
      </c>
      <c r="J11897" t="inlineStr">
        <is>
          <t>17/03/2026</t>
        </is>
      </c>
      <c r="K11897" t="inlineStr">
        <is>
          <t>N/A</t>
        </is>
      </c>
      <c r="L11897" t="inlineStr">
        <is>
          <t>Sales, Educational Support, Customer Service &amp; After Service, English, Communication And Problem-Solving Skills</t>
        </is>
      </c>
      <c r="M11897" t="inlineStr">
        <is>
          <t>Healthcare Plan, Training, Others</t>
        </is>
      </c>
      <c r="N11897" s="8">
        <f>HYPERLINK("https://www.vietnamworks.com/can-bo-tuyen-sinh-swinburne-mba-2008105-jv","Xem chi tiết")</f>
        <v/>
      </c>
    </row>
    <row r="11898">
      <c r="B11898" s="9" t="n">
        <v>11896</v>
      </c>
      <c r="C11898" s="10" t="inlineStr">
        <is>
          <t>Sales Agent U.S. Financial Services</t>
        </is>
      </c>
      <c r="D11898" s="10" t="inlineStr">
        <is>
          <t>Công ty TNHH SMB Viêt Nam</t>
        </is>
      </c>
      <c r="E11898" s="10" t="inlineStr">
        <is>
          <t>$$ 1,000-1,500 /tháng</t>
        </is>
      </c>
      <c r="F11898" s="10" t="inlineStr">
        <is>
          <t>Hồ Chí Minh</t>
        </is>
      </c>
      <c r="G11898" s="10" t="inlineStr">
        <is>
          <t>Mới Tốt Nghiệp</t>
        </is>
      </c>
      <c r="H11898" s="10" t="inlineStr">
        <is>
          <t>30/01/2026</t>
        </is>
      </c>
      <c r="I11898" s="10" t="inlineStr">
        <is>
          <t>16/04/2026</t>
        </is>
      </c>
      <c r="J11898" s="10" t="inlineStr">
        <is>
          <t>17/03/2026</t>
        </is>
      </c>
      <c r="K11898" s="10" t="inlineStr">
        <is>
          <t>N/A</t>
        </is>
      </c>
      <c r="L11898" s="10" t="inlineStr">
        <is>
          <t>English Fluency, Customer Mindset, Customer Service, Sales Planning, Sales Financial</t>
        </is>
      </c>
      <c r="M11898" s="10" t="inlineStr">
        <is>
          <t>Bonus, Training, Laptop, Travel Opportunities, Others</t>
        </is>
      </c>
      <c r="N11898" s="11">
        <f>HYPERLINK("https://www.vietnamworks.com/sales-agent-u-s-financial-services-2008192-jv","Xem chi tiết")</f>
        <v/>
      </c>
      <c r="O11898" s="10" t="n"/>
    </row>
    <row r="11899">
      <c r="B11899" s="7" t="n">
        <v>11897</v>
      </c>
      <c r="C11899" t="inlineStr">
        <is>
          <t>Marketing Research Executive</t>
        </is>
      </c>
      <c r="D11899" t="inlineStr">
        <is>
          <t>Dandelions Research</t>
        </is>
      </c>
      <c r="E11899" t="inlineStr">
        <is>
          <t>Thương lượng</t>
        </is>
      </c>
      <c r="F11899" t="inlineStr">
        <is>
          <t>Hồ Chí Minh</t>
        </is>
      </c>
      <c r="G11899" t="inlineStr">
        <is>
          <t>Nhân viên</t>
        </is>
      </c>
      <c r="H11899" t="inlineStr">
        <is>
          <t>30/01/2026</t>
        </is>
      </c>
      <c r="I11899" t="inlineStr">
        <is>
          <t>16/04/2026</t>
        </is>
      </c>
      <c r="J11899" t="inlineStr">
        <is>
          <t>17/03/2026</t>
        </is>
      </c>
      <c r="K11899" t="inlineStr">
        <is>
          <t>N/A</t>
        </is>
      </c>
      <c r="L11899" t="inlineStr">
        <is>
          <t>Client Service, Insight Generation, Insight &amp; Research, Analysis</t>
        </is>
      </c>
      <c r="M11899" t="inlineStr">
        <is>
          <t>Bonus, Training, Travel Opportunities</t>
        </is>
      </c>
      <c r="N11899" s="8">
        <f>HYPERLINK("https://www.vietnamworks.com/marketing-research-executive--2008314-jv","Xem chi tiết")</f>
        <v/>
      </c>
    </row>
    <row r="11900">
      <c r="B11900" s="9" t="n">
        <v>11898</v>
      </c>
      <c r="C11900" s="10" t="inlineStr">
        <is>
          <t>Trưởng Nhóm Hợp Đồng - Pháp Lý (Xây Dựng)</t>
        </is>
      </c>
      <c r="D11900" s="10" t="inlineStr">
        <is>
          <t>Công Ty TNHH Xây Dựng Tuấn Lê</t>
        </is>
      </c>
      <c r="E11900" s="10" t="inlineStr">
        <is>
          <t>Thương lượng</t>
        </is>
      </c>
      <c r="F11900" s="10" t="inlineStr">
        <is>
          <t>Hồ Chí Minh</t>
        </is>
      </c>
      <c r="G11900" s="10" t="inlineStr">
        <is>
          <t>Trưởng phòng</t>
        </is>
      </c>
      <c r="H11900" s="10" t="inlineStr">
        <is>
          <t>30/01/2026</t>
        </is>
      </c>
      <c r="I11900" s="10" t="inlineStr">
        <is>
          <t>16/04/2026</t>
        </is>
      </c>
      <c r="J11900" s="10" t="inlineStr">
        <is>
          <t>17/03/2026</t>
        </is>
      </c>
      <c r="K11900" s="10" t="inlineStr">
        <is>
          <t>N/A</t>
        </is>
      </c>
      <c r="L11900" s="10" t="inlineStr">
        <is>
          <t>Contract Law, Legal, Pháp Lý Hợp Đồng, Tư Vấn Pháp Lý, Đấu Thầu</t>
        </is>
      </c>
      <c r="M11900" s="10" t="inlineStr">
        <is>
          <t>Bonus, Healthcare Plan, Canteen</t>
        </is>
      </c>
      <c r="N11900" s="11">
        <f>HYPERLINK("https://www.vietnamworks.com/truong-nhom-hop-dong-phap-ly-xay-dung--2008399-jv","Xem chi tiết")</f>
        <v/>
      </c>
      <c r="O11900" s="10" t="n"/>
    </row>
    <row r="11901">
      <c r="B11901" s="7" t="n">
        <v>11899</v>
      </c>
      <c r="C11901" t="inlineStr">
        <is>
          <t>Real Estate Project Development</t>
        </is>
      </c>
      <c r="D11901" t="inlineStr">
        <is>
          <t>GS Engineering &amp; Construction</t>
        </is>
      </c>
      <c r="E11901" t="inlineStr">
        <is>
          <t>Thương lượng</t>
        </is>
      </c>
      <c r="F11901" t="inlineStr">
        <is>
          <t>Hồ Chí Minh</t>
        </is>
      </c>
      <c r="G11901" t="inlineStr">
        <is>
          <t>Nhân viên</t>
        </is>
      </c>
      <c r="H11901" t="inlineStr">
        <is>
          <t>30/01/2026</t>
        </is>
      </c>
      <c r="I11901" t="inlineStr">
        <is>
          <t>16/04/2026</t>
        </is>
      </c>
      <c r="J11901" t="inlineStr">
        <is>
          <t>17/03/2026</t>
        </is>
      </c>
      <c r="K11901" t="inlineStr">
        <is>
          <t>N/A</t>
        </is>
      </c>
      <c r="L11901" t="inlineStr">
        <is>
          <t>Project Development, Investment, Feasibility Study, Urban Planning, Architecture</t>
        </is>
      </c>
      <c r="M11901" t="inlineStr">
        <is>
          <t>Bonus, Laptop, Others</t>
        </is>
      </c>
      <c r="N11901" s="8">
        <f>HYPERLINK("https://www.vietnamworks.com/real-estate-project-development-2008050-jv","Xem chi tiết")</f>
        <v/>
      </c>
    </row>
    <row r="11902">
      <c r="B11902" s="9" t="n">
        <v>11900</v>
      </c>
      <c r="C11902" s="10" t="inlineStr">
        <is>
          <t>Training Coordinator</t>
        </is>
      </c>
      <c r="D11902" s="10" t="inlineStr">
        <is>
          <t>Công Ty TNHH Laird Việt Nam</t>
        </is>
      </c>
      <c r="E11902" s="10" t="inlineStr">
        <is>
          <t>Thương lượng</t>
        </is>
      </c>
      <c r="F11902" s="10" t="inlineStr">
        <is>
          <t>Bắc Ninh</t>
        </is>
      </c>
      <c r="G11902" s="10" t="inlineStr">
        <is>
          <t>Nhân viên</t>
        </is>
      </c>
      <c r="H11902" s="10" t="inlineStr">
        <is>
          <t>30/01/2026</t>
        </is>
      </c>
      <c r="I11902" s="10" t="inlineStr">
        <is>
          <t>16/04/2026</t>
        </is>
      </c>
      <c r="J11902" s="10" t="inlineStr">
        <is>
          <t>17/03/2026</t>
        </is>
      </c>
      <c r="K11902" s="10" t="inlineStr">
        <is>
          <t>N/A</t>
        </is>
      </c>
      <c r="L11902" s="10" t="inlineStr">
        <is>
          <t>Academic Program Management, Cross-Functional Understanding, Microsoft Excel, Education, Training coordination</t>
        </is>
      </c>
      <c r="M11902" s="10" t="inlineStr">
        <is>
          <t>Bonus, Team Activities, Canteen, Others</t>
        </is>
      </c>
      <c r="N11902" s="11">
        <f>HYPERLINK("https://www.vietnamworks.com/training-coordinator-2008403-jv","Xem chi tiết")</f>
        <v/>
      </c>
      <c r="O11902" s="10" t="n"/>
    </row>
    <row r="11903">
      <c r="B11903" s="7" t="n">
        <v>11901</v>
      </c>
      <c r="C11903" t="inlineStr">
        <is>
          <t>Project Sales Executive</t>
        </is>
      </c>
      <c r="D11903" t="inlineStr">
        <is>
          <t>Công Ty TNHH Sơn TOA Việt Nam</t>
        </is>
      </c>
      <c r="E11903" t="inlineStr">
        <is>
          <t>Thương lượng</t>
        </is>
      </c>
      <c r="F11903" t="inlineStr">
        <is>
          <t>Hồ Chí Minh, Bình Dương, Đồng Nai</t>
        </is>
      </c>
      <c r="G11903" t="inlineStr">
        <is>
          <t>Nhân viên</t>
        </is>
      </c>
      <c r="H11903" t="inlineStr">
        <is>
          <t>30/01/2026</t>
        </is>
      </c>
      <c r="I11903" t="inlineStr">
        <is>
          <t>16/04/2026</t>
        </is>
      </c>
      <c r="J11903" t="inlineStr">
        <is>
          <t>17/03/2026</t>
        </is>
      </c>
      <c r="K11903" t="inlineStr">
        <is>
          <t>N/A</t>
        </is>
      </c>
      <c r="L11903" t="inlineStr">
        <is>
          <t>Hóa Chất Xây Dựng, Quản Lý Khách Hàng, Phát Triển Dự Án, Xây Dựng Mối Quan Hệ, Quản Lý Kinh Doanh</t>
        </is>
      </c>
      <c r="M11903" t="inlineStr">
        <is>
          <t>Bonus, Healthcare Plan, Travel Opportunities</t>
        </is>
      </c>
      <c r="N11903" s="8">
        <f>HYPERLINK("https://www.vietnamworks.com/project-sales-executive--2008376-jv","Xem chi tiết")</f>
        <v/>
      </c>
    </row>
    <row r="11904">
      <c r="B11904" s="9" t="n">
        <v>11902</v>
      </c>
      <c r="C11904" s="10" t="inlineStr">
        <is>
          <t>Kế Toán Tổng Hợp</t>
        </is>
      </c>
      <c r="D11904" s="10" t="inlineStr">
        <is>
          <t>Công Ty TNHH Vina</t>
        </is>
      </c>
      <c r="E11904" s="10" t="inlineStr">
        <is>
          <t>Thương lượng</t>
        </is>
      </c>
      <c r="F11904" s="10" t="inlineStr">
        <is>
          <t>Đồng Nai</t>
        </is>
      </c>
      <c r="G11904" s="10" t="inlineStr">
        <is>
          <t>Nhân viên</t>
        </is>
      </c>
      <c r="H11904" s="10" t="inlineStr">
        <is>
          <t>30/01/2026</t>
        </is>
      </c>
      <c r="I11904" s="10" t="inlineStr">
        <is>
          <t>16/04/2026</t>
        </is>
      </c>
      <c r="J11904" s="10" t="inlineStr">
        <is>
          <t>17/03/2026</t>
        </is>
      </c>
      <c r="K11904" s="10" t="inlineStr">
        <is>
          <t>N/A</t>
        </is>
      </c>
      <c r="L11904" s="10" t="inlineStr">
        <is>
          <t>Báo Cáo Tài Chính, Báo Cáo Thuế, Kế Toán Sản Xuất, Đối Chiếu Số Liệu, Chứng Từ Kế Toán</t>
        </is>
      </c>
      <c r="M11904" s="10" t="inlineStr">
        <is>
          <t>Bonus, Healthcare Plan, Paid Leave, Training, Awards</t>
        </is>
      </c>
      <c r="N11904" s="11">
        <f>HYPERLINK("https://www.vietnamworks.com/ke-toan-tong-hop-2008252-jv","Xem chi tiết")</f>
        <v/>
      </c>
      <c r="O11904" s="10" t="n"/>
    </row>
    <row r="11905">
      <c r="B11905" s="7" t="n">
        <v>11903</v>
      </c>
      <c r="C11905" t="inlineStr">
        <is>
          <t>HSE Staff (Chuyên Viên An Toàn Lao Động)</t>
        </is>
      </c>
      <c r="D11905" t="inlineStr">
        <is>
          <t>Showa Gloves Vietnam</t>
        </is>
      </c>
      <c r="E11905" t="inlineStr">
        <is>
          <t>Thương lượng</t>
        </is>
      </c>
      <c r="F11905" t="inlineStr">
        <is>
          <t>Bình Dương</t>
        </is>
      </c>
      <c r="G11905" t="inlineStr">
        <is>
          <t>Nhân viên</t>
        </is>
      </c>
      <c r="H11905" t="inlineStr">
        <is>
          <t>30/01/2026</t>
        </is>
      </c>
      <c r="I11905" t="inlineStr">
        <is>
          <t>16/04/2026</t>
        </is>
      </c>
      <c r="J11905" t="inlineStr">
        <is>
          <t>17/03/2026</t>
        </is>
      </c>
      <c r="K11905" t="inlineStr">
        <is>
          <t>N/A</t>
        </is>
      </c>
      <c r="L11905" t="inlineStr">
        <is>
          <t>HSE Compliance, Labor Safety, HSE, An Toàn Lao Động, OHS Management</t>
        </is>
      </c>
      <c r="M11905" t="inlineStr">
        <is>
          <t>Bonus, Healthcare Plan, Transportation</t>
        </is>
      </c>
      <c r="N11905" s="8">
        <f>HYPERLINK("https://www.vietnamworks.com/hse-staff-chuyen-vien-an-toan-lao-dong--2008292-jv","Xem chi tiết")</f>
        <v/>
      </c>
    </row>
    <row r="11906">
      <c r="B11906" s="9" t="n">
        <v>11904</v>
      </c>
      <c r="C11906" s="10" t="inlineStr">
        <is>
          <t>Parttime - Chuyên Viên Hành Chính Văn Phòng - Tiếng Nhật N5 - N4</t>
        </is>
      </c>
      <c r="D11906" s="10" t="inlineStr">
        <is>
          <t>Công ty Phát triển phần mềm xây dựng Aureole (Aureole CSD)</t>
        </is>
      </c>
      <c r="E11906" s="10" t="inlineStr">
        <is>
          <t>Thương lượng</t>
        </is>
      </c>
      <c r="F11906" s="10" t="inlineStr">
        <is>
          <t>Hồ Chí Minh</t>
        </is>
      </c>
      <c r="G11906" s="10" t="inlineStr">
        <is>
          <t>Thực tập sinh/Sinh viên</t>
        </is>
      </c>
      <c r="H11906" s="10" t="inlineStr">
        <is>
          <t>30/01/2026</t>
        </is>
      </c>
      <c r="I11906" s="10" t="inlineStr">
        <is>
          <t>16/04/2026</t>
        </is>
      </c>
      <c r="J11906" s="10" t="inlineStr">
        <is>
          <t>17/03/2026</t>
        </is>
      </c>
      <c r="K11906" s="10" t="inlineStr">
        <is>
          <t>N/A</t>
        </is>
      </c>
      <c r="L11906" s="10" t="inlineStr">
        <is>
          <t>Hỗ Trợ Sự Kiện, Soạn Thảo Văn Bản, Thống Kê Số Liệu, Tiếng Nhật N4, Tin Học Văn Phòng</t>
        </is>
      </c>
      <c r="M11906" s="10" t="inlineStr">
        <is>
          <t>Training, Team Activities, Others</t>
        </is>
      </c>
      <c r="N11906" s="11">
        <f>HYPERLINK("https://www.vietnamworks.com/parttime-chuyen-vien-hanh-chinh-van-phong-tieng-nhat-n5-n4-2008251-jv","Xem chi tiết")</f>
        <v/>
      </c>
      <c r="O11906" s="10" t="n"/>
    </row>
    <row r="11907">
      <c r="B11907" s="7" t="n">
        <v>11905</v>
      </c>
      <c r="C11907" t="inlineStr">
        <is>
          <t>Kỹ Sư Triển Khai Bản Vẽ Xây Dựng</t>
        </is>
      </c>
      <c r="D11907" t="inlineStr">
        <is>
          <t>Công ty Phát triển phần mềm xây dựng Aureole (Aureole CSD)</t>
        </is>
      </c>
      <c r="E11907" t="inlineStr">
        <is>
          <t>Thương lượng</t>
        </is>
      </c>
      <c r="F11907" t="inlineStr">
        <is>
          <t>Hồ Chí Minh, Hà Nội, Thừa Thiên Huế</t>
        </is>
      </c>
      <c r="G11907" t="inlineStr">
        <is>
          <t>Mới Tốt Nghiệp</t>
        </is>
      </c>
      <c r="H11907" t="inlineStr">
        <is>
          <t>30/01/2026</t>
        </is>
      </c>
      <c r="I11907" t="inlineStr">
        <is>
          <t>16/04/2026</t>
        </is>
      </c>
      <c r="J11907" t="inlineStr">
        <is>
          <t>17/03/2026</t>
        </is>
      </c>
      <c r="K11907" t="inlineStr">
        <is>
          <t>N/A</t>
        </is>
      </c>
      <c r="L11907" t="inlineStr">
        <is>
          <t>AutoCAD, Lập Bản Vẽ Thi Công, Triển Khai Bản Vẽ, Xây Dựng Dân Dụng, Đọc Hiểu Bản Vẽ Kỹ Thuật</t>
        </is>
      </c>
      <c r="M11907" t="inlineStr">
        <is>
          <t>Healthcare Plan, Training, Awards, Team Activities, Others</t>
        </is>
      </c>
      <c r="N11907" s="8">
        <f>HYPERLINK("https://www.vietnamworks.com/ky-su-trien-khai-ban-ve-xay-dung-2008273-jv","Xem chi tiết")</f>
        <v/>
      </c>
    </row>
    <row r="11908">
      <c r="B11908" s="9" t="n">
        <v>11906</v>
      </c>
      <c r="C11908" s="10" t="inlineStr">
        <is>
          <t>QA Engineer</t>
        </is>
      </c>
      <c r="D11908" s="10" t="inlineStr">
        <is>
          <t>East Agile</t>
        </is>
      </c>
      <c r="E11908" s="10" t="inlineStr">
        <is>
          <t>$$ 1,000-3,000 /tháng</t>
        </is>
      </c>
      <c r="F11908" s="10" t="inlineStr">
        <is>
          <t>Hồ Chí Minh</t>
        </is>
      </c>
      <c r="G11908" s="10" t="inlineStr">
        <is>
          <t>Nhân viên</t>
        </is>
      </c>
      <c r="H11908" s="10" t="inlineStr">
        <is>
          <t>30/01/2026</t>
        </is>
      </c>
      <c r="I11908" s="10" t="inlineStr">
        <is>
          <t>16/04/2026</t>
        </is>
      </c>
      <c r="J11908" s="10" t="inlineStr">
        <is>
          <t>17/03/2026</t>
        </is>
      </c>
      <c r="K11908" s="10" t="inlineStr">
        <is>
          <t>N/A</t>
        </is>
      </c>
      <c r="L11908" s="10" t="inlineStr">
        <is>
          <t>Python, Django, Cloud Infrastructure, AI</t>
        </is>
      </c>
      <c r="M11908" s="10" t="inlineStr">
        <is>
          <t>Bonus, Healthcare Plan, Paid Leave, Training, Others</t>
        </is>
      </c>
      <c r="N11908" s="11">
        <f>HYPERLINK("https://www.vietnamworks.com/qa-engineer-2008246-jv","Xem chi tiết")</f>
        <v/>
      </c>
      <c r="O11908" s="10" t="n"/>
    </row>
    <row r="11909">
      <c r="B11909" s="7" t="n">
        <v>11907</v>
      </c>
      <c r="C11909" t="inlineStr">
        <is>
          <t>Trợ Lý Luật Sư</t>
        </is>
      </c>
      <c r="D11909" t="inlineStr">
        <is>
          <t>CÔNG TY LUẬT TNHH SANDY VÀ CÁC CỘNG SỰ</t>
        </is>
      </c>
      <c r="E11909" t="inlineStr">
        <is>
          <t>Thương lượng</t>
        </is>
      </c>
      <c r="F11909" t="inlineStr">
        <is>
          <t>Hà Nội</t>
        </is>
      </c>
      <c r="G11909" t="inlineStr">
        <is>
          <t>Mới Tốt Nghiệp</t>
        </is>
      </c>
      <c r="H11909" t="inlineStr">
        <is>
          <t>30/01/2026</t>
        </is>
      </c>
      <c r="I11909" t="inlineStr">
        <is>
          <t>16/04/2026</t>
        </is>
      </c>
      <c r="J11909" t="inlineStr">
        <is>
          <t>17/03/2026</t>
        </is>
      </c>
      <c r="K11909" t="inlineStr">
        <is>
          <t>N/A</t>
        </is>
      </c>
      <c r="L11909" t="inlineStr">
        <is>
          <t>Luật, Nghiên Cứu Hồ Sơ, Soạn Thảo Hợp Đồng, Tin Học Văn Phòng, Văn Bản Pháp Luật</t>
        </is>
      </c>
      <c r="M11909" t="inlineStr">
        <is>
          <t>Training, Others</t>
        </is>
      </c>
      <c r="N11909" s="8">
        <f>HYPERLINK("https://www.vietnamworks.com/tro-ly-luat-su-2008405-jv","Xem chi tiết")</f>
        <v/>
      </c>
    </row>
    <row r="11910">
      <c r="B11910" s="9" t="n">
        <v>11908</v>
      </c>
      <c r="C11910" s="10" t="inlineStr">
        <is>
          <t>Nhân Viên Kế Toán - Ngành Xd/bđs (Nghỉ T7, CN)</t>
        </is>
      </c>
      <c r="D11910" s="10" t="inlineStr">
        <is>
          <t>Công ty cổ phần Đầu tư Catgo</t>
        </is>
      </c>
      <c r="E11910" s="10" t="inlineStr">
        <is>
          <t>8tr-13tr ₫/tháng</t>
        </is>
      </c>
      <c r="F11910" s="10" t="inlineStr">
        <is>
          <t>Hà Nội</t>
        </is>
      </c>
      <c r="G11910" s="10" t="inlineStr">
        <is>
          <t>Nhân viên</t>
        </is>
      </c>
      <c r="H11910" s="10" t="inlineStr">
        <is>
          <t>30/01/2026</t>
        </is>
      </c>
      <c r="I11910" s="10" t="inlineStr">
        <is>
          <t>16/04/2026</t>
        </is>
      </c>
      <c r="J11910" s="10" t="inlineStr">
        <is>
          <t>17/03/2026</t>
        </is>
      </c>
      <c r="K11910" s="10" t="inlineStr">
        <is>
          <t>N/A</t>
        </is>
      </c>
      <c r="L11910" s="10" t="inlineStr">
        <is>
          <t>Kế Toán, Phân Tích Số Liệu, Phần mềm kế toán, Tổ Chức Thi Công, Tư duy logic</t>
        </is>
      </c>
      <c r="M11910" s="10" t="inlineStr">
        <is>
          <t>Bonus, Healthcare Plan, Travel Opportunities, Others</t>
        </is>
      </c>
      <c r="N11910" s="11">
        <f>HYPERLINK("https://www.vietnamworks.com/nhan-vien-ke-toan-nganh-xd-bds-nghi-t7-cn-2008476-jv","Xem chi tiết")</f>
        <v/>
      </c>
      <c r="O11910" s="10" t="n"/>
    </row>
    <row r="11911">
      <c r="B11911" s="7" t="n">
        <v>11909</v>
      </c>
      <c r="C11911" t="inlineStr">
        <is>
          <t>Kỹ Sư Thiết Kế Biết Catia - Thu Nhập 15 - 18 Triệu/tháng</t>
        </is>
      </c>
      <c r="D11911" t="inlineStr">
        <is>
          <t>CÔNG TY CỔ PHẦN TẬP ĐOÀN AN PHA VIỆT</t>
        </is>
      </c>
      <c r="E11911" t="inlineStr">
        <is>
          <t>15tr-18tr ₫/tháng</t>
        </is>
      </c>
      <c r="F11911" t="inlineStr">
        <is>
          <t>Hà Nam, Hà Nội</t>
        </is>
      </c>
      <c r="G11911" t="inlineStr">
        <is>
          <t>Nhân viên</t>
        </is>
      </c>
      <c r="H11911" t="inlineStr">
        <is>
          <t>30/01/2026</t>
        </is>
      </c>
      <c r="I11911" t="inlineStr">
        <is>
          <t>16/04/2026</t>
        </is>
      </c>
      <c r="J11911" t="inlineStr">
        <is>
          <t>17/03/2026</t>
        </is>
      </c>
      <c r="K11911" t="inlineStr">
        <is>
          <t>N/A</t>
        </is>
      </c>
      <c r="L11911" t="inlineStr">
        <is>
          <t>BOM Management, CATIA, CATIA Design, Thiết Kế Cơ Khí</t>
        </is>
      </c>
      <c r="M11911" t="inlineStr">
        <is>
          <t>Bonus, Healthcare Plan, Paid Leave, Others</t>
        </is>
      </c>
      <c r="N11911" s="8">
        <f>HYPERLINK("https://www.vietnamworks.com/ky-su-thiet-ke-biet-catia-thu-nhap-15-18-trieu-thang-2008430-jv","Xem chi tiết")</f>
        <v/>
      </c>
    </row>
    <row r="11912">
      <c r="B11912" s="9" t="n">
        <v>11910</v>
      </c>
      <c r="C11912" s="10" t="inlineStr">
        <is>
          <t>Nhân Viên Kế Toán Công Nợ (Debt Collection Accountant) - Lương Từ 500-700$/tháng Tùy Năng Lực Của Ứng Viên</t>
        </is>
      </c>
      <c r="D11912" s="10" t="inlineStr">
        <is>
          <t>Dorco Vina Co., Ltd</t>
        </is>
      </c>
      <c r="E11912" s="10" t="inlineStr">
        <is>
          <t>$$ 500-700 /tháng</t>
        </is>
      </c>
      <c r="F11912" s="10" t="inlineStr">
        <is>
          <t>Hưng Yên</t>
        </is>
      </c>
      <c r="G11912" s="10" t="inlineStr">
        <is>
          <t>Nhân viên</t>
        </is>
      </c>
      <c r="H11912" s="10" t="inlineStr">
        <is>
          <t>30/01/2026</t>
        </is>
      </c>
      <c r="I11912" s="10" t="inlineStr">
        <is>
          <t>16/04/2026</t>
        </is>
      </c>
      <c r="J11912" s="10" t="inlineStr">
        <is>
          <t>17/03/2026</t>
        </is>
      </c>
      <c r="K11912" s="10" t="inlineStr">
        <is>
          <t>N/A</t>
        </is>
      </c>
      <c r="L11912" s="10" t="inlineStr">
        <is>
          <t>Accounting, SAP, Kế Toán Công Nợ,  Chứng Từ Kế Toán, Quản Lý Chi Phí</t>
        </is>
      </c>
      <c r="M11912" s="10" t="inlineStr">
        <is>
          <t>Bonus, Healthcare Plan, Others</t>
        </is>
      </c>
      <c r="N11912" s="11">
        <f>HYPERLINK("https://www.vietnamworks.com/nhan-vien-ke-toan-cong-no-debt-collection-accountant-luong-tu-500-700dollarthang-tuy-nang-luc-cua-ung-vien-2008435-jv","Xem chi tiết")</f>
        <v/>
      </c>
      <c r="O11912" s="10" t="n"/>
    </row>
    <row r="11913">
      <c r="B11913" s="7" t="n">
        <v>11911</v>
      </c>
      <c r="C11913" t="inlineStr">
        <is>
          <t>Nhân Viên Xử Lý Hồ Sơ Du Học - Đãi Ngộ Hấp Dẫn</t>
        </is>
      </c>
      <c r="D11913" t="inlineStr">
        <is>
          <t>Công Ty TNHH MyAusVisa Định Cư - Du Học Úc</t>
        </is>
      </c>
      <c r="E11913" t="inlineStr">
        <is>
          <t>Thương lượng</t>
        </is>
      </c>
      <c r="F11913" t="inlineStr">
        <is>
          <t>Hà Nội</t>
        </is>
      </c>
      <c r="G11913" t="inlineStr">
        <is>
          <t>Nhân viên</t>
        </is>
      </c>
      <c r="H11913" t="inlineStr">
        <is>
          <t>30/01/2026</t>
        </is>
      </c>
      <c r="I11913" t="inlineStr">
        <is>
          <t>16/04/2026</t>
        </is>
      </c>
      <c r="J11913" t="inlineStr">
        <is>
          <t>17/03/2026</t>
        </is>
      </c>
      <c r="K11913" t="inlineStr">
        <is>
          <t>N/A</t>
        </is>
      </c>
      <c r="L11913" t="inlineStr">
        <is>
          <t>Xử Lý Hồ Sơ, Hành Chính, Documentation Handling, English, Hồ Sơ Du Học</t>
        </is>
      </c>
      <c r="M11913" t="inlineStr">
        <is>
          <t>Bonus, Paid Leave, Others</t>
        </is>
      </c>
      <c r="N11913" s="8">
        <f>HYPERLINK("https://www.vietnamworks.com/nhan-vien-xu-ly-ho-so-du-hoc-dai-ngo-hap-dan-2008512-jv","Xem chi tiết")</f>
        <v/>
      </c>
    </row>
    <row r="11914">
      <c r="B11914" s="9" t="n">
        <v>11912</v>
      </c>
      <c r="C11914" s="10" t="inlineStr">
        <is>
          <t>Nhân Viên Xử Lý Hồ Sơ Visa - Đãi Ngộ Hấp Dẫn</t>
        </is>
      </c>
      <c r="D11914" s="10" t="inlineStr">
        <is>
          <t>Công Ty TNHH MyAusVisa Định Cư - Du Học Úc</t>
        </is>
      </c>
      <c r="E11914" s="10" t="inlineStr">
        <is>
          <t>Thương lượng</t>
        </is>
      </c>
      <c r="F11914" s="10" t="inlineStr">
        <is>
          <t>Hà Nội</t>
        </is>
      </c>
      <c r="G11914" s="10" t="inlineStr">
        <is>
          <t>Nhân viên</t>
        </is>
      </c>
      <c r="H11914" s="10" t="inlineStr">
        <is>
          <t>30/01/2026</t>
        </is>
      </c>
      <c r="I11914" s="10" t="inlineStr">
        <is>
          <t>16/04/2026</t>
        </is>
      </c>
      <c r="J11914" s="10" t="inlineStr">
        <is>
          <t>17/03/2026</t>
        </is>
      </c>
      <c r="K11914" s="10" t="inlineStr">
        <is>
          <t>N/A</t>
        </is>
      </c>
      <c r="L11914" s="10" t="inlineStr">
        <is>
          <t>Document Preparation, English, Application Consultation, Application Management, Documentation Process</t>
        </is>
      </c>
      <c r="M11914" s="10" t="inlineStr">
        <is>
          <t>Bonus, Paid Leave, Others</t>
        </is>
      </c>
      <c r="N11914" s="11">
        <f>HYPERLINK("https://www.vietnamworks.com/nhan-vien-xu-ly-ho-so-visa-dai-ngo-hap-dan-2008509-jv","Xem chi tiết")</f>
        <v/>
      </c>
      <c r="O11914" s="10" t="n"/>
    </row>
    <row r="11915">
      <c r="B11915" s="7" t="n">
        <v>11913</v>
      </c>
      <c r="C11915" t="inlineStr">
        <is>
          <t>Chuyên Viên Nhân Sự（Tiếng Nhật / JLPT N2 Or Higher)</t>
        </is>
      </c>
      <c r="D11915" t="inlineStr">
        <is>
          <t>CÔNG TY TNHH THANKSLAB VIỆT NAM</t>
        </is>
      </c>
      <c r="E11915" t="inlineStr">
        <is>
          <t>20tr-30tr ₫/tháng</t>
        </is>
      </c>
      <c r="F11915" t="inlineStr">
        <is>
          <t>Hồ Chí Minh</t>
        </is>
      </c>
      <c r="G11915" t="inlineStr">
        <is>
          <t>Nhân viên</t>
        </is>
      </c>
      <c r="H11915" t="inlineStr">
        <is>
          <t>30/01/2026</t>
        </is>
      </c>
      <c r="I11915" t="inlineStr">
        <is>
          <t>16/04/2026</t>
        </is>
      </c>
      <c r="J11915" t="inlineStr">
        <is>
          <t>17/03/2026</t>
        </is>
      </c>
      <c r="K11915" t="inlineStr">
        <is>
          <t>N/A</t>
        </is>
      </c>
      <c r="L11915" t="inlineStr">
        <is>
          <t>Japanese N2, Recruitment, C&amp;B, IT Recruitment, Training Program Design</t>
        </is>
      </c>
      <c r="M11915" t="inlineStr">
        <is>
          <t>Bonus, Healthcare Plan, Laptop, Others</t>
        </is>
      </c>
      <c r="N11915" s="8">
        <f>HYPERLINK("https://www.vietnamworks.com/chuyen-vien-nhan-sudaeltieng-nhat-jlpt-n2-or-higher-2008426-jv","Xem chi tiết")</f>
        <v/>
      </c>
    </row>
    <row r="11916">
      <c r="B11916" s="9" t="n">
        <v>11914</v>
      </c>
      <c r="C11916" s="10" t="inlineStr">
        <is>
          <t>Trưởng Nhóm Nghiên Cứu Chiến Lược (R&amp;D)</t>
        </is>
      </c>
      <c r="D11916" s="10" t="inlineStr">
        <is>
          <t>Công Ty Cổ Phần Dược Phẩm SaVi</t>
        </is>
      </c>
      <c r="E11916" s="10" t="inlineStr">
        <is>
          <t>Thương lượng</t>
        </is>
      </c>
      <c r="F11916" s="10" t="inlineStr">
        <is>
          <t>Hồ Chí Minh</t>
        </is>
      </c>
      <c r="G11916" s="10" t="inlineStr">
        <is>
          <t>Nhân viên</t>
        </is>
      </c>
      <c r="H11916" s="10" t="inlineStr">
        <is>
          <t>30/01/2026</t>
        </is>
      </c>
      <c r="I11916" s="10" t="inlineStr">
        <is>
          <t>16/04/2026</t>
        </is>
      </c>
      <c r="J11916" s="10" t="inlineStr">
        <is>
          <t>17/03/2026</t>
        </is>
      </c>
      <c r="K11916" s="10" t="inlineStr">
        <is>
          <t>N/A</t>
        </is>
      </c>
      <c r="L11916" s="10" t="inlineStr">
        <is>
          <t>Bào Chế Tân Dược, Giải Quyết Vấn Đề, Lãnh Đạo Và Xây Dựng Đội Ngũ, Nghiên Cứu Phát Triển, Phân Tích Thị Trường</t>
        </is>
      </c>
      <c r="M11916" s="10" t="inlineStr">
        <is>
          <t>Bonus, Healthcare Plan, Training, Canteen</t>
        </is>
      </c>
      <c r="N11916" s="11">
        <f>HYPERLINK("https://www.vietnamworks.com/truong-nhom-nghien-cuu-chien-luoc-randd-2008514-jv","Xem chi tiết")</f>
        <v/>
      </c>
      <c r="O11916" s="10" t="n"/>
    </row>
    <row r="11917">
      <c r="B11917" s="7" t="n">
        <v>11915</v>
      </c>
      <c r="C11917" t="inlineStr">
        <is>
          <t>IT Comtor（Japanese / JLPT N2 Or Higher)</t>
        </is>
      </c>
      <c r="D11917" t="inlineStr">
        <is>
          <t>CÔNG TY TNHH THANKSLAB VIỆT NAM</t>
        </is>
      </c>
      <c r="E11917" t="inlineStr">
        <is>
          <t>15tr-28tr ₫/tháng</t>
        </is>
      </c>
      <c r="F11917" t="inlineStr">
        <is>
          <t>Hồ Chí Minh</t>
        </is>
      </c>
      <c r="G11917" t="inlineStr">
        <is>
          <t>Nhân viên</t>
        </is>
      </c>
      <c r="H11917" t="inlineStr">
        <is>
          <t>30/01/2026</t>
        </is>
      </c>
      <c r="I11917" t="inlineStr">
        <is>
          <t>16/04/2026</t>
        </is>
      </c>
      <c r="J11917" t="inlineStr">
        <is>
          <t>17/03/2026</t>
        </is>
      </c>
      <c r="K11917" t="inlineStr">
        <is>
          <t>N/A</t>
        </is>
      </c>
      <c r="L11917" t="inlineStr">
        <is>
          <t>Tiếng Nhật N2, Quản Lý Dự Án, Dịch Thuật, Project Management Tools, Biên Phiên Dịch Tiếng Nhật</t>
        </is>
      </c>
      <c r="M11917" t="inlineStr">
        <is>
          <t>Bonus, Healthcare Plan, Laptop, Team Activities, Canteen, Others</t>
        </is>
      </c>
      <c r="N11917" s="8">
        <f>HYPERLINK("https://www.vietnamworks.com/it-comtordaeljapanese-jlpt-n2-or-higher-2008524-jv","Xem chi tiết")</f>
        <v/>
      </c>
    </row>
    <row r="11918">
      <c r="B11918" s="9" t="n">
        <v>11916</v>
      </c>
      <c r="C11918" s="10" t="inlineStr">
        <is>
          <t>Kế Toán Tổng Hợp</t>
        </is>
      </c>
      <c r="D11918" s="10" t="inlineStr">
        <is>
          <t>Công ty TNHH Vật tư y tế Minh Long</t>
        </is>
      </c>
      <c r="E11918" s="10" t="inlineStr">
        <is>
          <t>13tr-18tr ₫/tháng</t>
        </is>
      </c>
      <c r="F11918" s="10" t="inlineStr">
        <is>
          <t>Hà Nội</t>
        </is>
      </c>
      <c r="G11918" s="10" t="inlineStr">
        <is>
          <t>Nhân viên</t>
        </is>
      </c>
      <c r="H11918" s="10" t="inlineStr">
        <is>
          <t>30/01/2026</t>
        </is>
      </c>
      <c r="I11918" s="10" t="inlineStr">
        <is>
          <t>16/04/2026</t>
        </is>
      </c>
      <c r="J11918" s="10" t="inlineStr">
        <is>
          <t>17/03/2026</t>
        </is>
      </c>
      <c r="K11918" s="10" t="inlineStr">
        <is>
          <t>N/A</t>
        </is>
      </c>
      <c r="L11918" s="10" t="inlineStr">
        <is>
          <t>Phần mềm kế toán, Khai Thuế, Quản Lý Chi Phí, Kê Khai Thuế, Kế Toán Tổng Hợp</t>
        </is>
      </c>
      <c r="M11918" s="10" t="inlineStr">
        <is>
          <t>Bonus, Healthcare Plan, Paid Leave, Travel Opportunities, Others</t>
        </is>
      </c>
      <c r="N11918" s="11">
        <f>HYPERLINK("https://www.vietnamworks.com/ke-toan-tong-hop-2008609-jv","Xem chi tiết")</f>
        <v/>
      </c>
      <c r="O11918" s="10" t="n"/>
    </row>
    <row r="11919">
      <c r="B11919" s="7" t="n">
        <v>11917</v>
      </c>
      <c r="C11919" t="inlineStr">
        <is>
          <t>Director Of Sales and Marketing (Hospitality)</t>
        </is>
      </c>
      <c r="D11919" t="inlineStr">
        <is>
          <t>Flamingo Holdings Group</t>
        </is>
      </c>
      <c r="E11919" t="inlineStr">
        <is>
          <t>Thương lượng</t>
        </is>
      </c>
      <c r="F11919" t="inlineStr">
        <is>
          <t>Hà Nội</t>
        </is>
      </c>
      <c r="G11919" t="inlineStr">
        <is>
          <t>Giám Đốc và Cấp Cao Hơn</t>
        </is>
      </c>
      <c r="H11919" t="inlineStr">
        <is>
          <t>30/01/2026</t>
        </is>
      </c>
      <c r="I11919" t="inlineStr">
        <is>
          <t>16/04/2026</t>
        </is>
      </c>
      <c r="J11919" t="inlineStr">
        <is>
          <t>17/03/2026</t>
        </is>
      </c>
      <c r="K11919" t="inlineStr">
        <is>
          <t>N/A</t>
        </is>
      </c>
      <c r="L11919" t="inlineStr">
        <is>
          <t>Kinh Doanh Du Lịch, Marketing Development, Quản Lý Nhân Sự, Giám Sát Kinh Doanh, Phát Triển Khách Hàng</t>
        </is>
      </c>
      <c r="M11919" t="inlineStr">
        <is>
          <t>Bonus, Healthcare Plan, Travel Opportunities, Others</t>
        </is>
      </c>
      <c r="N11919" s="8">
        <f>HYPERLINK("https://www.vietnamworks.com/director-of-sales-and-marketing-hospitality-2008570-jv","Xem chi tiết")</f>
        <v/>
      </c>
    </row>
    <row r="11920">
      <c r="B11920" s="9" t="n">
        <v>11918</v>
      </c>
      <c r="C11920" s="10" t="inlineStr">
        <is>
          <t>Project Manager Java, Chinese, English</t>
        </is>
      </c>
      <c r="D11920" s="10" t="inlineStr">
        <is>
          <t>Công Ty TNHH Clever Creations Tech</t>
        </is>
      </c>
      <c r="E11920" s="10" t="inlineStr">
        <is>
          <t>Thương lượng</t>
        </is>
      </c>
      <c r="F11920" s="10" t="inlineStr">
        <is>
          <t>Hồ Chí Minh</t>
        </is>
      </c>
      <c r="G11920" s="10" t="inlineStr">
        <is>
          <t>Nhân viên</t>
        </is>
      </c>
      <c r="H11920" s="10" t="inlineStr">
        <is>
          <t>30/01/2026</t>
        </is>
      </c>
      <c r="I11920" s="10" t="inlineStr">
        <is>
          <t>16/04/2026</t>
        </is>
      </c>
      <c r="J11920" s="10" t="inlineStr">
        <is>
          <t>17/03/2026</t>
        </is>
      </c>
      <c r="K11920" s="10" t="inlineStr">
        <is>
          <t>N/A</t>
        </is>
      </c>
      <c r="L11920" s="10" t="inlineStr">
        <is>
          <t>Java, Spring Boot, MariaDB, Project Management, English</t>
        </is>
      </c>
      <c r="M11920" s="10" t="inlineStr">
        <is>
          <t>Bonus, Awards, Others</t>
        </is>
      </c>
      <c r="N11920" s="11">
        <f>HYPERLINK("https://www.vietnamworks.com/project-manager-java-chinese-english-2008610-jv","Xem chi tiết")</f>
        <v/>
      </c>
      <c r="O11920" s="10" t="n"/>
    </row>
    <row r="11921">
      <c r="B11921" s="7" t="n">
        <v>11919</v>
      </c>
      <c r="C11921" t="inlineStr">
        <is>
          <t>Giám Đốc Điều Hành Cảng Hồng Vân</t>
        </is>
      </c>
      <c r="D11921" t="inlineStr">
        <is>
          <t>CÔNG TY CỔ PHẦN CẢNG HỒNG VÂN</t>
        </is>
      </c>
      <c r="E11921" t="inlineStr">
        <is>
          <t>Thương lượng</t>
        </is>
      </c>
      <c r="F11921" t="inlineStr">
        <is>
          <t>Hà Nội</t>
        </is>
      </c>
      <c r="G11921" t="inlineStr">
        <is>
          <t>Giám Đốc và Cấp Cao Hơn</t>
        </is>
      </c>
      <c r="H11921" t="inlineStr">
        <is>
          <t>30/01/2026</t>
        </is>
      </c>
      <c r="I11921" t="inlineStr">
        <is>
          <t>16/04/2026</t>
        </is>
      </c>
      <c r="J11921" t="inlineStr">
        <is>
          <t>17/03/2026</t>
        </is>
      </c>
      <c r="K11921" t="inlineStr">
        <is>
          <t>N/A</t>
        </is>
      </c>
      <c r="L11921" t="inlineStr">
        <is>
          <t>Quản Trị Kinh Doanh, Tài Chính, ngân hàng, Kinh Tế, Giao Tiếp</t>
        </is>
      </c>
      <c r="M11921" t="inlineStr">
        <is>
          <t>Bonus, Healthcare Plan, Awards, Team Activities, Others</t>
        </is>
      </c>
      <c r="N11921" s="8">
        <f>HYPERLINK("https://www.vietnamworks.com/giam-djoc-djieu-hanh-cang-hong-van-2008590-jv","Xem chi tiết")</f>
        <v/>
      </c>
    </row>
    <row r="11922">
      <c r="B11922" s="9" t="n">
        <v>11920</v>
      </c>
      <c r="C11922" s="10" t="inlineStr">
        <is>
          <t>[Tuyển Gấp] Kiến Trúc Sư Chủ Trì</t>
        </is>
      </c>
      <c r="D11922" s="10" t="inlineStr">
        <is>
          <t>Công Ty Cổ phần Ứng Dụng Và Chuyển Giao Công Nghệ Xây Dựng (CJSC)</t>
        </is>
      </c>
      <c r="E11922" s="10" t="inlineStr">
        <is>
          <t>20tr-30tr ₫/tháng</t>
        </is>
      </c>
      <c r="F11922" s="10" t="inlineStr">
        <is>
          <t>Hà Nội</t>
        </is>
      </c>
      <c r="G11922" s="10" t="inlineStr">
        <is>
          <t>Nhân viên</t>
        </is>
      </c>
      <c r="H11922" s="10" t="inlineStr">
        <is>
          <t>30/01/2026</t>
        </is>
      </c>
      <c r="I11922" s="10" t="inlineStr">
        <is>
          <t>16/04/2026</t>
        </is>
      </c>
      <c r="J11922" s="10" t="inlineStr">
        <is>
          <t>17/03/2026</t>
        </is>
      </c>
      <c r="K11922" s="10" t="inlineStr">
        <is>
          <t>N/A</t>
        </is>
      </c>
      <c r="L11922" s="10" t="inlineStr">
        <is>
          <t>AutoCAD, Sketchup, Photoshop, Quản Lý Dự Án, Kiến Trúc</t>
        </is>
      </c>
      <c r="M11922" s="10" t="inlineStr">
        <is>
          <t>Bonus, Healthcare Plan, Travel Opportunities, Team Activities, Others</t>
        </is>
      </c>
      <c r="N11922" s="11">
        <f>HYPERLINK("https://www.vietnamworks.com/tuyen-gap-kien-truc-su-chu-tri--2008572-jv","Xem chi tiết")</f>
        <v/>
      </c>
      <c r="O11922" s="10" t="n"/>
    </row>
    <row r="11923">
      <c r="B11923" s="7" t="n">
        <v>11921</v>
      </c>
      <c r="C11923" t="inlineStr">
        <is>
          <t>[HCM] Merchandiser</t>
        </is>
      </c>
      <c r="D11923" t="inlineStr">
        <is>
          <t>Newtimes Development LTD. - Vietnam Representative Office</t>
        </is>
      </c>
      <c r="E11923" t="inlineStr">
        <is>
          <t>Thương lượng</t>
        </is>
      </c>
      <c r="F11923" t="inlineStr">
        <is>
          <t>Hồ Chí Minh</t>
        </is>
      </c>
      <c r="G11923" t="inlineStr">
        <is>
          <t>Nhân viên</t>
        </is>
      </c>
      <c r="H11923" t="inlineStr">
        <is>
          <t>30/01/2026</t>
        </is>
      </c>
      <c r="I11923" t="inlineStr">
        <is>
          <t>16/04/2026</t>
        </is>
      </c>
      <c r="J11923" t="inlineStr">
        <is>
          <t>17/03/2026</t>
        </is>
      </c>
      <c r="K11923" t="inlineStr">
        <is>
          <t>N/A</t>
        </is>
      </c>
      <c r="L11923" t="inlineStr">
        <is>
          <t>Fashion, Merchandising, Garment Textile, Apparel, Fabric Merchandising</t>
        </is>
      </c>
      <c r="M11923" t="inlineStr">
        <is>
          <t>Bonus, Healthcare Plan, Team Activities</t>
        </is>
      </c>
      <c r="N11923" s="8">
        <f>HYPERLINK("https://www.vietnamworks.com/hcm-merchandiser--2008672-jv","Xem chi tiết")</f>
        <v/>
      </c>
    </row>
    <row r="11924">
      <c r="B11924" s="9" t="n">
        <v>11922</v>
      </c>
      <c r="C11924" s="10" t="inlineStr">
        <is>
          <t>Chuyên Viên Kiểm Soát Tài Chính Kinh Doanh Sơ Cấp/ Junior Commercial Finance Business Partner</t>
        </is>
      </c>
      <c r="D11924" s="10" t="inlineStr">
        <is>
          <t>CÔNG TY CỔ PHẦN DƯỢC PHẨM ĐẠT VI PHÚ (DAVIPHARM)</t>
        </is>
      </c>
      <c r="E11924" s="10" t="inlineStr">
        <is>
          <t>Thương lượng</t>
        </is>
      </c>
      <c r="F11924" s="10" t="inlineStr">
        <is>
          <t>Hồ Chí Minh</t>
        </is>
      </c>
      <c r="G11924" s="10" t="inlineStr">
        <is>
          <t>Nhân viên</t>
        </is>
      </c>
      <c r="H11924" s="10" t="inlineStr">
        <is>
          <t>13/03/2026</t>
        </is>
      </c>
      <c r="I11924" s="10" t="inlineStr">
        <is>
          <t>16/04/2026</t>
        </is>
      </c>
      <c r="J11924" s="10" t="inlineStr">
        <is>
          <t>17/03/2026</t>
        </is>
      </c>
      <c r="K11924" s="10" t="inlineStr">
        <is>
          <t>N/A</t>
        </is>
      </c>
      <c r="L11924" s="10" t="inlineStr">
        <is>
          <t>Kế toán, Ngoại Thương, Power BI</t>
        </is>
      </c>
      <c r="M11924" s="10" t="inlineStr">
        <is>
          <t>Bonus, Transportation</t>
        </is>
      </c>
      <c r="N11924" s="11">
        <f>HYPERLINK("https://www.vietnamworks.com/chuyen-vien-kiem-soat-tai-chinh-kinh-doanh-so-cap-junior-commercial-finance-business-partner-2023099-jv","Xem chi tiết")</f>
        <v/>
      </c>
      <c r="O11924" s="10" t="n"/>
    </row>
    <row r="11925">
      <c r="B11925" s="7" t="n">
        <v>11923</v>
      </c>
      <c r="C11925" t="inlineStr">
        <is>
          <t>Senior Consultant | Digital Transformation in Hanoi Office</t>
        </is>
      </c>
      <c r="D11925" t="inlineStr">
        <is>
          <t>Ernst &amp; Young Vietnam Limited (EY Vietnam)</t>
        </is>
      </c>
      <c r="E11925" t="inlineStr">
        <is>
          <t>Thương lượng</t>
        </is>
      </c>
      <c r="F11925" t="inlineStr">
        <is>
          <t>Hà Nội</t>
        </is>
      </c>
      <c r="G11925" t="inlineStr">
        <is>
          <t>Nhân viên</t>
        </is>
      </c>
      <c r="H11925" t="inlineStr">
        <is>
          <t>30/01/2026</t>
        </is>
      </c>
      <c r="I11925" t="inlineStr">
        <is>
          <t>16/04/2026</t>
        </is>
      </c>
      <c r="J11925" t="inlineStr">
        <is>
          <t>17/03/2026</t>
        </is>
      </c>
      <c r="K11925" t="inlineStr">
        <is>
          <t>N/A</t>
        </is>
      </c>
      <c r="L11925" t="inlineStr">
        <is>
          <t>PMP, ITIL, Scrum, Data Analytics, Digital Strategy</t>
        </is>
      </c>
      <c r="M11925" t="inlineStr">
        <is>
          <t>Bonus, Awards, Others</t>
        </is>
      </c>
      <c r="N11925" s="8">
        <f>HYPERLINK("https://www.vietnamworks.com/senior-consultant-digital-transformation-in-hanoi-office-2008731-jv","Xem chi tiết")</f>
        <v/>
      </c>
    </row>
    <row r="11926">
      <c r="B11926" s="9" t="n">
        <v>11924</v>
      </c>
      <c r="C11926" s="10" t="inlineStr">
        <is>
          <t>Kế Toán Trưởng</t>
        </is>
      </c>
      <c r="D11926" s="10" t="inlineStr">
        <is>
          <t>Công ty TNHH Vật tư y tế Minh Long</t>
        </is>
      </c>
      <c r="E11926" s="10" t="inlineStr">
        <is>
          <t>Thương lượng</t>
        </is>
      </c>
      <c r="F11926" s="10" t="inlineStr">
        <is>
          <t>Hà Nội</t>
        </is>
      </c>
      <c r="G11926" s="10" t="inlineStr">
        <is>
          <t>Trưởng phòng</t>
        </is>
      </c>
      <c r="H11926" s="10" t="inlineStr">
        <is>
          <t>30/01/2026</t>
        </is>
      </c>
      <c r="I11926" s="10" t="inlineStr">
        <is>
          <t>16/04/2026</t>
        </is>
      </c>
      <c r="J11926" s="10" t="inlineStr">
        <is>
          <t>17/03/2026</t>
        </is>
      </c>
      <c r="K11926" s="10" t="inlineStr">
        <is>
          <t>N/A</t>
        </is>
      </c>
      <c r="L11926" s="10" t="inlineStr">
        <is>
          <t>Quản Lý Chi Phí, Kiểm Soát Tài Chính, Lập Báo Cáo Tài Chính, Quản Lý Tài Sản, Quyết Toán Thuế</t>
        </is>
      </c>
      <c r="M11926" s="10" t="inlineStr">
        <is>
          <t>Bonus, Healthcare Plan, Paid Leave, Travel Opportunities, Others</t>
        </is>
      </c>
      <c r="N11926" s="11">
        <f>HYPERLINK("https://www.vietnamworks.com/ke-toan-truong-2008625-jv","Xem chi tiết")</f>
        <v/>
      </c>
      <c r="O11926" s="10" t="n"/>
    </row>
    <row r="11927">
      <c r="B11927" s="7" t="n">
        <v>11925</v>
      </c>
      <c r="C11927" t="inlineStr">
        <is>
          <t>Trade Marketing Manager</t>
        </is>
      </c>
      <c r="D11927" t="inlineStr">
        <is>
          <t>Công Ty Cổ Phần Tập Đoàn Gỗ Minh Long</t>
        </is>
      </c>
      <c r="E11927" t="inlineStr">
        <is>
          <t>$$ 1,000-1,500 /tháng</t>
        </is>
      </c>
      <c r="F11927" t="inlineStr">
        <is>
          <t>Hà Nội</t>
        </is>
      </c>
      <c r="G11927" t="inlineStr">
        <is>
          <t>Trưởng phòng</t>
        </is>
      </c>
      <c r="H11927" t="inlineStr">
        <is>
          <t>30/01/2026</t>
        </is>
      </c>
      <c r="I11927" t="inlineStr">
        <is>
          <t>16/04/2026</t>
        </is>
      </c>
      <c r="J11927" t="inlineStr">
        <is>
          <t>17/03/2026</t>
        </is>
      </c>
      <c r="K11927" t="inlineStr">
        <is>
          <t>N/A</t>
        </is>
      </c>
      <c r="L11927" t="inlineStr">
        <is>
          <t>Marketing Intelligence Analysis, Marketing POSM, Marketing Development, Trade Marketing, Business Analysis</t>
        </is>
      </c>
      <c r="M11927" t="inlineStr">
        <is>
          <t>Bonus, Training, Laptop</t>
        </is>
      </c>
      <c r="N11927" s="8">
        <f>HYPERLINK("https://www.vietnamworks.com/trade-marketing-manager-166-1--2008720-jv","Xem chi tiết")</f>
        <v/>
      </c>
    </row>
    <row r="11928">
      <c r="B11928" s="9" t="n">
        <v>11926</v>
      </c>
      <c r="C11928" s="10" t="inlineStr">
        <is>
          <t>Nhân Viên Thiết Kế Cơ Khí</t>
        </is>
      </c>
      <c r="D11928" s="10" t="inlineStr">
        <is>
          <t>CÔNG TY TNHH YJ LINK VINA</t>
        </is>
      </c>
      <c r="E11928" s="10" t="inlineStr">
        <is>
          <t>Thương lượng</t>
        </is>
      </c>
      <c r="F11928" s="10" t="inlineStr">
        <is>
          <t>Hải Phòng</t>
        </is>
      </c>
      <c r="G11928" s="10" t="inlineStr">
        <is>
          <t>Mới Tốt Nghiệp</t>
        </is>
      </c>
      <c r="H11928" s="10" t="inlineStr">
        <is>
          <t>13/03/2026</t>
        </is>
      </c>
      <c r="I11928" s="10" t="inlineStr">
        <is>
          <t>16/04/2026</t>
        </is>
      </c>
      <c r="J11928" s="10" t="inlineStr">
        <is>
          <t>17/03/2026</t>
        </is>
      </c>
      <c r="K11928" s="10" t="inlineStr">
        <is>
          <t>N/A</t>
        </is>
      </c>
      <c r="L11928" s="10" t="inlineStr">
        <is>
          <t>Thiết Kế Điện, Lập Trình PLC, Lập Trình AutoCAD, Thiết Kế Cơ Khí, ham học hỏi</t>
        </is>
      </c>
      <c r="M11928" s="10" t="inlineStr">
        <is>
          <t>Bonus, Healthcare Plan, Canteen</t>
        </is>
      </c>
      <c r="N11928" s="11">
        <f>HYPERLINK("https://www.vietnamworks.com/nhan-vien-thiet-ke-co-khi--2023282-jv","Xem chi tiết")</f>
        <v/>
      </c>
      <c r="O11928" s="10" t="n"/>
    </row>
    <row r="11929">
      <c r="B11929" s="7" t="n">
        <v>11927</v>
      </c>
      <c r="C11929" t="inlineStr">
        <is>
          <t>Project Manager Officer Tiếng Nhật / JLPT N2 Or Higher）</t>
        </is>
      </c>
      <c r="D11929" t="inlineStr">
        <is>
          <t>CÔNG TY TNHH THANKSLAB VIỆT NAM</t>
        </is>
      </c>
      <c r="E11929" t="inlineStr">
        <is>
          <t>20tr-50tr ₫/tháng</t>
        </is>
      </c>
      <c r="F11929" t="inlineStr">
        <is>
          <t>Hồ Chí Minh</t>
        </is>
      </c>
      <c r="G11929" t="inlineStr">
        <is>
          <t>Trưởng phòng</t>
        </is>
      </c>
      <c r="H11929" t="inlineStr">
        <is>
          <t>30/01/2026</t>
        </is>
      </c>
      <c r="I11929" t="inlineStr">
        <is>
          <t>16/04/2026</t>
        </is>
      </c>
      <c r="J11929" t="inlineStr">
        <is>
          <t>17/03/2026</t>
        </is>
      </c>
      <c r="K11929" t="inlineStr">
        <is>
          <t>N/A</t>
        </is>
      </c>
      <c r="L11929" t="inlineStr">
        <is>
          <t>Quản Lý Dự Án, Tiếng Nhật N2, Lập Trình Ứng Dụng Quản Lý, JLPT N2, QA/QC</t>
        </is>
      </c>
      <c r="M11929" t="inlineStr">
        <is>
          <t>Bonus, Healthcare Plan, Laptop, Team Activities, Others</t>
        </is>
      </c>
      <c r="N11929" s="8">
        <f>HYPERLINK("https://www.vietnamworks.com/project-manager-officer-tieng-nhat-jlpt-n2-or-higherdaelg-2008562-jv","Xem chi tiết")</f>
        <v/>
      </c>
    </row>
    <row r="11930">
      <c r="B11930" s="9" t="n">
        <v>11928</v>
      </c>
      <c r="C11930" s="10" t="inlineStr">
        <is>
          <t>Trưởng Nhóm Content SEO Tiếng Anh</t>
        </is>
      </c>
      <c r="D11930" s="10" t="inlineStr">
        <is>
          <t>Công ty cổ phần Nền tảng số MIC ACE</t>
        </is>
      </c>
      <c r="E11930" s="10" t="inlineStr">
        <is>
          <t>20tr-30tr ₫/tháng</t>
        </is>
      </c>
      <c r="F11930" s="10" t="inlineStr">
        <is>
          <t>Hà Nội</t>
        </is>
      </c>
      <c r="G11930" s="10" t="inlineStr">
        <is>
          <t>Nhân viên</t>
        </is>
      </c>
      <c r="H11930" s="10" t="inlineStr">
        <is>
          <t>12/03/2026</t>
        </is>
      </c>
      <c r="I11930" s="10" t="inlineStr">
        <is>
          <t>16/04/2026</t>
        </is>
      </c>
      <c r="J11930" s="10" t="inlineStr">
        <is>
          <t>17/03/2026</t>
        </is>
      </c>
      <c r="K11930" s="10" t="inlineStr">
        <is>
          <t>N/A</t>
        </is>
      </c>
      <c r="L11930" s="10" t="inlineStr">
        <is>
          <t>Analytical Skills, Content Writing, Keyword research, SEO Optimization, English</t>
        </is>
      </c>
      <c r="M11930" s="10" t="inlineStr">
        <is>
          <t>Paid Leave, Training, Team Activities, Others</t>
        </is>
      </c>
      <c r="N11930" s="11">
        <f>HYPERLINK("https://www.vietnamworks.com/truong-nhom-content-seo-tieng-anh-2022243-jv","Xem chi tiết")</f>
        <v/>
      </c>
      <c r="O11930" s="10" t="n"/>
    </row>
    <row r="11931">
      <c r="B11931" s="7" t="n">
        <v>11929</v>
      </c>
      <c r="C11931" t="inlineStr">
        <is>
          <t>Personal Assistant + Graphic Designer</t>
        </is>
      </c>
      <c r="D11931" t="inlineStr">
        <is>
          <t>CÔNG TY TNHH XUẤT NHẬP KHẨU SAIGON FRUITS</t>
        </is>
      </c>
      <c r="E11931" t="inlineStr">
        <is>
          <t>Từ 20tr ₫/tháng</t>
        </is>
      </c>
      <c r="F11931" t="inlineStr">
        <is>
          <t>Hồ Chí Minh</t>
        </is>
      </c>
      <c r="G11931" t="inlineStr">
        <is>
          <t>Nhân viên</t>
        </is>
      </c>
      <c r="H11931" t="inlineStr">
        <is>
          <t>12/03/2026</t>
        </is>
      </c>
      <c r="I11931" t="inlineStr">
        <is>
          <t>16/04/2026</t>
        </is>
      </c>
      <c r="J11931" t="inlineStr">
        <is>
          <t>17/03/2026</t>
        </is>
      </c>
      <c r="K11931" t="inlineStr">
        <is>
          <t>N/A</t>
        </is>
      </c>
      <c r="L11931" t="inlineStr">
        <is>
          <t>Adobe Illustrator, Adobe Photoshop, Packaging Design, English, Personal Assistant Experience</t>
        </is>
      </c>
      <c r="M11931" t="inlineStr">
        <is>
          <t>Bonus, Training, Laptop, Others</t>
        </is>
      </c>
      <c r="N11931" s="8">
        <f>HYPERLINK("https://www.vietnamworks.com/personal-assistant-graphic-designer-2022849-jv","Xem chi tiết")</f>
        <v/>
      </c>
    </row>
    <row r="11932">
      <c r="B11932" s="9" t="n">
        <v>11930</v>
      </c>
      <c r="C11932" s="10" t="inlineStr">
        <is>
          <t>Digital Markerting Specialist</t>
        </is>
      </c>
      <c r="D11932" s="10" t="inlineStr">
        <is>
          <t>Maker Sixty Four</t>
        </is>
      </c>
      <c r="E11932" s="10" t="inlineStr">
        <is>
          <t>Thương lượng</t>
        </is>
      </c>
      <c r="F11932" s="10" t="inlineStr">
        <is>
          <t>Hồ Chí Minh</t>
        </is>
      </c>
      <c r="G11932" s="10" t="inlineStr">
        <is>
          <t>Nhân viên</t>
        </is>
      </c>
      <c r="H11932" s="10" t="inlineStr">
        <is>
          <t>11/03/2026</t>
        </is>
      </c>
      <c r="I11932" s="10" t="inlineStr">
        <is>
          <t>16/04/2026</t>
        </is>
      </c>
      <c r="J11932" s="10" t="inlineStr">
        <is>
          <t>17/03/2026</t>
        </is>
      </c>
      <c r="K11932" s="10" t="inlineStr">
        <is>
          <t>N/A</t>
        </is>
      </c>
      <c r="L11932" s="10" t="inlineStr">
        <is>
          <t>Market Research, Advertising Campaign, Digital Media Planning, Advertising Optimization</t>
        </is>
      </c>
      <c r="M11932" s="10" t="inlineStr">
        <is>
          <t>Bonus, Healthcare Plan, Paid Leave, Awards, Transportation, Others</t>
        </is>
      </c>
      <c r="N11932" s="11">
        <f>HYPERLINK("https://www.vietnamworks.com/digital-markerting-specialist-2021985-jv","Xem chi tiết")</f>
        <v/>
      </c>
      <c r="O11932" s="10" t="n"/>
    </row>
    <row r="11933">
      <c r="B11933" s="7" t="n">
        <v>11931</v>
      </c>
      <c r="C11933" t="inlineStr">
        <is>
          <t>Chuyên Viên TC Hành Chính - Nhân Sự</t>
        </is>
      </c>
      <c r="D11933" t="inlineStr">
        <is>
          <t>Công Ty TNHH Xây Dựng và Thương Mại Phượng Long</t>
        </is>
      </c>
      <c r="E11933" t="inlineStr">
        <is>
          <t>Thương lượng</t>
        </is>
      </c>
      <c r="F11933" t="inlineStr">
        <is>
          <t>Hồ Chí Minh</t>
        </is>
      </c>
      <c r="G11933" t="inlineStr">
        <is>
          <t>Nhân viên</t>
        </is>
      </c>
      <c r="H11933" t="inlineStr">
        <is>
          <t>12/03/2026</t>
        </is>
      </c>
      <c r="I11933" t="inlineStr">
        <is>
          <t>16/04/2026</t>
        </is>
      </c>
      <c r="J11933" t="inlineStr">
        <is>
          <t>17/03/2026</t>
        </is>
      </c>
      <c r="K11933" t="inlineStr">
        <is>
          <t>N/A</t>
        </is>
      </c>
      <c r="L11933" t="inlineStr">
        <is>
          <t>Vận Hành Tòa Nhà, Quản Trị Nhân Sự, Nhân sự C&amp;B, Lưu Trữ Văn Thư, Hành Chính Nhân Sự</t>
        </is>
      </c>
      <c r="M11933" t="inlineStr">
        <is>
          <t>Bonus, Healthcare Plan, Team Activities</t>
        </is>
      </c>
      <c r="N11933" s="8">
        <f>HYPERLINK("https://www.vietnamworks.com/chuyen-vien-tc-hanh-chinh-nhan-su-2022469-jv","Xem chi tiết")</f>
        <v/>
      </c>
    </row>
    <row r="11934">
      <c r="B11934" s="9" t="n">
        <v>11932</v>
      </c>
      <c r="C11934" s="10" t="inlineStr">
        <is>
          <t>Quality Control &amp; Customer Support Coordinator</t>
        </is>
      </c>
      <c r="D11934" s="10" t="inlineStr">
        <is>
          <t>Wraplo Production</t>
        </is>
      </c>
      <c r="E11934" s="10" t="inlineStr">
        <is>
          <t>$$ 700-800 /tháng</t>
        </is>
      </c>
      <c r="F11934" s="10" t="inlineStr">
        <is>
          <t>Hồ Chí Minh</t>
        </is>
      </c>
      <c r="G11934" s="10" t="inlineStr">
        <is>
          <t>Nhân viên</t>
        </is>
      </c>
      <c r="H11934" s="10" t="inlineStr">
        <is>
          <t>14/03/2026</t>
        </is>
      </c>
      <c r="I11934" s="10" t="inlineStr">
        <is>
          <t>16/04/2026</t>
        </is>
      </c>
      <c r="J11934" s="10" t="inlineStr">
        <is>
          <t>17/03/2026</t>
        </is>
      </c>
      <c r="K11934" s="10" t="inlineStr">
        <is>
          <t>N/A</t>
        </is>
      </c>
      <c r="L11934" s="10" t="inlineStr">
        <is>
          <t>Quality Control, Textile Industry, Customer Support</t>
        </is>
      </c>
      <c r="M11934" s="10" t="inlineStr">
        <is>
          <t>Paid Leave</t>
        </is>
      </c>
      <c r="N11934" s="11">
        <f>HYPERLINK("https://www.vietnamworks.com/quality-control-customer-support-coordinator-2023688-jv","Xem chi tiết")</f>
        <v/>
      </c>
      <c r="O11934" s="10" t="n"/>
    </row>
    <row r="11935">
      <c r="B11935" s="7" t="n">
        <v>11933</v>
      </c>
      <c r="C11935" t="inlineStr">
        <is>
          <t>06 Chiến Binh \</t>
        </is>
      </c>
      <c r="D11935" t="inlineStr">
        <is>
          <t>Công ty TNHH Thuận Phát Hưng</t>
        </is>
      </c>
      <c r="E11935" t="inlineStr">
        <is>
          <t>$$ 500-1,000 /tháng</t>
        </is>
      </c>
      <c r="F11935" t="inlineStr">
        <is>
          <t>Hồ Chí Minh, Hà Nội</t>
        </is>
      </c>
      <c r="G11935" t="inlineStr">
        <is>
          <t>Nhân viên</t>
        </is>
      </c>
      <c r="H11935" t="inlineStr">
        <is>
          <t>09/03/2026</t>
        </is>
      </c>
      <c r="I11935" t="inlineStr">
        <is>
          <t>16/04/2026</t>
        </is>
      </c>
      <c r="J11935" t="inlineStr">
        <is>
          <t>17/03/2026</t>
        </is>
      </c>
      <c r="K11935" t="inlineStr">
        <is>
          <t>N/A</t>
        </is>
      </c>
      <c r="L11935" t="inlineStr">
        <is>
          <t>Sales B2B, Hóa Chất, Kiến Thức Về Bao Bì, Sales Kỹ Thuật</t>
        </is>
      </c>
      <c r="M11935" t="inlineStr">
        <is>
          <t>Bonus, Healthcare Plan, Training, Travel Opportunities</t>
        </is>
      </c>
      <c r="N11935" s="8">
        <f>HYPERLINK("https://www.vietnamworks.com/06-chien-binh-hunter-b2b-djong-hanh-cung-thuan-phat-hung-2020179-jv","Xem chi tiết")</f>
        <v/>
      </c>
    </row>
    <row r="11936">
      <c r="B11936" s="9" t="n">
        <v>11934</v>
      </c>
      <c r="C11936" s="10" t="inlineStr">
        <is>
          <t>Chuyên Viên Đăng Ký Thuốc / Regulatory Affairs Executive</t>
        </is>
      </c>
      <c r="D11936" s="10" t="inlineStr">
        <is>
          <t>CÔNG TY CỔ PHẦN DƯỢC PHẨM ĐẠT VI PHÚ (DAVIPHARM)</t>
        </is>
      </c>
      <c r="E11936" s="10" t="inlineStr">
        <is>
          <t>Thương lượng</t>
        </is>
      </c>
      <c r="F11936" s="10" t="inlineStr">
        <is>
          <t>Hồ Chí Minh</t>
        </is>
      </c>
      <c r="G11936" s="10" t="inlineStr">
        <is>
          <t>Nhân viên</t>
        </is>
      </c>
      <c r="H11936" s="10" t="inlineStr">
        <is>
          <t>13/03/2026</t>
        </is>
      </c>
      <c r="I11936" s="10" t="inlineStr">
        <is>
          <t>16/04/2026</t>
        </is>
      </c>
      <c r="J11936" s="10" t="inlineStr">
        <is>
          <t>17/03/2026</t>
        </is>
      </c>
      <c r="K11936" s="10" t="inlineStr">
        <is>
          <t>N/A</t>
        </is>
      </c>
      <c r="L11936" s="10" t="inlineStr">
        <is>
          <t>Đăng Ký Thuốc, Drug Registration Records, Regulatory Affairs, Dược, Registration Dossier</t>
        </is>
      </c>
      <c r="M11936" s="10" t="inlineStr">
        <is>
          <t>Bonus, Awards, Others</t>
        </is>
      </c>
      <c r="N11936" s="11">
        <f>HYPERLINK("https://www.vietnamworks.com/chuyen-vien-dang-ky-thuoc-regulatory-affairs-executive--2022911-jv","Xem chi tiết")</f>
        <v/>
      </c>
      <c r="O11936" s="10" t="n"/>
    </row>
    <row r="11937">
      <c r="B11937" s="7" t="n">
        <v>11935</v>
      </c>
      <c r="C11937" t="inlineStr">
        <is>
          <t>Kỹ Sư Thiết Kế Điện-Plc/ PC Control</t>
        </is>
      </c>
      <c r="D11937" t="inlineStr">
        <is>
          <t>CÔNG TY TNHH YJ LINK VINA</t>
        </is>
      </c>
      <c r="E11937" t="inlineStr">
        <is>
          <t>Thương lượng</t>
        </is>
      </c>
      <c r="F11937" t="inlineStr">
        <is>
          <t>Hải Phòng</t>
        </is>
      </c>
      <c r="G11937" t="inlineStr">
        <is>
          <t>Mới Tốt Nghiệp</t>
        </is>
      </c>
      <c r="H11937" t="inlineStr">
        <is>
          <t>13/03/2026</t>
        </is>
      </c>
      <c r="I11937" t="inlineStr">
        <is>
          <t>16/04/2026</t>
        </is>
      </c>
      <c r="J11937" t="inlineStr">
        <is>
          <t>17/03/2026</t>
        </is>
      </c>
      <c r="K11937" t="inlineStr">
        <is>
          <t>N/A</t>
        </is>
      </c>
      <c r="L11937" t="inlineStr">
        <is>
          <t>C#, C++, Automation, Computer Science, Tự Động Hóa</t>
        </is>
      </c>
      <c r="M11937" t="inlineStr">
        <is>
          <t>Bonus, Healthcare Plan, Canteen, Others</t>
        </is>
      </c>
      <c r="N11937" s="8">
        <f>HYPERLINK("https://www.vietnamworks.com/ky-su-thiet-ke-dien-plc-pc-control-2023301-jv","Xem chi tiết")</f>
        <v/>
      </c>
    </row>
    <row r="11938">
      <c r="B11938" s="9" t="n">
        <v>11936</v>
      </c>
      <c r="C11938" s="10" t="inlineStr">
        <is>
          <t>Trưởng Phòng Marketing (Brand Manager)</t>
        </is>
      </c>
      <c r="D11938" s="10" t="inlineStr">
        <is>
          <t>Công Ty Cổ Phần Tập Đoàn Gỗ Minh Long</t>
        </is>
      </c>
      <c r="E11938" s="10" t="inlineStr">
        <is>
          <t>$$ 1,500-2,000 /tháng</t>
        </is>
      </c>
      <c r="F11938" s="10" t="inlineStr">
        <is>
          <t>Hà Nội</t>
        </is>
      </c>
      <c r="G11938" s="10" t="inlineStr">
        <is>
          <t>Trưởng phòng</t>
        </is>
      </c>
      <c r="H11938" s="10" t="inlineStr">
        <is>
          <t>30/01/2026</t>
        </is>
      </c>
      <c r="I11938" s="10" t="inlineStr">
        <is>
          <t>16/04/2026</t>
        </is>
      </c>
      <c r="J11938" s="10" t="inlineStr">
        <is>
          <t>17/03/2026</t>
        </is>
      </c>
      <c r="K11938" s="10" t="inlineStr">
        <is>
          <t>N/A</t>
        </is>
      </c>
      <c r="L11938" s="10" t="inlineStr">
        <is>
          <t>Branding, Strategic Marketing Management, Digital Marketing, Brand Activation, Brand Management</t>
        </is>
      </c>
      <c r="M11938" s="10" t="inlineStr">
        <is>
          <t>Bonus, Healthcare Plan, Training</t>
        </is>
      </c>
      <c r="N11938" s="11">
        <f>HYPERLINK("https://www.vietnamworks.com/truong-phong-marketing-brand-manager--2008728-jv","Xem chi tiết")</f>
        <v/>
      </c>
      <c r="O11938" s="10" t="n"/>
    </row>
    <row r="11939">
      <c r="B11939" s="7" t="n">
        <v>11937</v>
      </c>
      <c r="C11939" t="inlineStr">
        <is>
          <t>Business Analyst (Membership Program Builder)</t>
        </is>
      </c>
      <c r="D11939" t="inlineStr">
        <is>
          <t>TPF Group</t>
        </is>
      </c>
      <c r="E11939" t="inlineStr">
        <is>
          <t>Thương lượng</t>
        </is>
      </c>
      <c r="F11939" t="inlineStr">
        <is>
          <t>Hồ Chí Minh</t>
        </is>
      </c>
      <c r="G11939" t="inlineStr">
        <is>
          <t>Nhân viên</t>
        </is>
      </c>
      <c r="H11939" t="inlineStr">
        <is>
          <t>30/01/2026</t>
        </is>
      </c>
      <c r="I11939" t="inlineStr">
        <is>
          <t>16/04/2026</t>
        </is>
      </c>
      <c r="J11939" t="inlineStr">
        <is>
          <t>17/03/2026</t>
        </is>
      </c>
      <c r="K11939" t="inlineStr">
        <is>
          <t>N/A</t>
        </is>
      </c>
      <c r="L11939" t="inlineStr">
        <is>
          <t>E-commerce, English fluency, Business Administration, Finance</t>
        </is>
      </c>
      <c r="M11939" t="inlineStr">
        <is>
          <t>Healthcare Plan, Paid Leave, Canteen</t>
        </is>
      </c>
      <c r="N11939" s="8">
        <f>HYPERLINK("https://www.vietnamworks.com/business-analyst-membership-program-builder--2008611-jv","Xem chi tiết")</f>
        <v/>
      </c>
    </row>
    <row r="11940">
      <c r="B11940" s="9" t="n">
        <v>11938</v>
      </c>
      <c r="C11940" s="10" t="inlineStr">
        <is>
          <t>Nhân Viên Kinh Doanh Tại Cửa Hàng</t>
        </is>
      </c>
      <c r="D11940" s="10" t="inlineStr">
        <is>
          <t>CÔNG TY CỔ PHẦN TRANG THIẾT BỊ BẢO HỘ LAO ĐỘNG AN BẮC</t>
        </is>
      </c>
      <c r="E11940" s="10" t="inlineStr">
        <is>
          <t>9tr-14tr ₫/tháng</t>
        </is>
      </c>
      <c r="F11940" s="10" t="inlineStr">
        <is>
          <t>Hồ Chí Minh</t>
        </is>
      </c>
      <c r="G11940" s="10" t="inlineStr">
        <is>
          <t>Nhân viên</t>
        </is>
      </c>
      <c r="H11940" s="10" t="inlineStr">
        <is>
          <t>13/03/2026</t>
        </is>
      </c>
      <c r="I11940" s="10" t="inlineStr">
        <is>
          <t>16/04/2026</t>
        </is>
      </c>
      <c r="J11940" s="10" t="inlineStr">
        <is>
          <t>17/03/2026</t>
        </is>
      </c>
      <c r="K11940" s="10" t="inlineStr">
        <is>
          <t>N/A</t>
        </is>
      </c>
      <c r="L11940" s="10" t="inlineStr">
        <is>
          <t>Tư Vấn, Kinh Doanh, Bán Hàng, Chăm Sóc Khách Hàng, Tư Vấn Bán Hàng</t>
        </is>
      </c>
      <c r="M11940" s="10" t="inlineStr">
        <is>
          <t>Bonus, Others</t>
        </is>
      </c>
      <c r="N11940" s="11">
        <f>HYPERLINK("https://www.vietnamworks.com/nhan-vien-kinh-doanh-tai-cua-hang-2023441-jv","Xem chi tiết")</f>
        <v/>
      </c>
      <c r="O11940" s="10" t="n"/>
    </row>
    <row r="11941">
      <c r="B11941" s="7" t="n">
        <v>11939</v>
      </c>
      <c r="C11941" t="inlineStr">
        <is>
          <t>Chuyên Viên Kinh Doanh B2B – Phần Mềm Quản Lý F&amp;B (Sales Executive/ Business Development)</t>
        </is>
      </c>
      <c r="D11941" t="inlineStr">
        <is>
          <t>Mona Software</t>
        </is>
      </c>
      <c r="E11941" t="inlineStr">
        <is>
          <t>12tr-30tr ₫/tháng</t>
        </is>
      </c>
      <c r="F11941" t="inlineStr">
        <is>
          <t>Hồ Chí Minh</t>
        </is>
      </c>
      <c r="G11941" t="inlineStr">
        <is>
          <t>Nhân viên</t>
        </is>
      </c>
      <c r="H11941" t="inlineStr">
        <is>
          <t>16/03/2026</t>
        </is>
      </c>
      <c r="I11941" t="inlineStr">
        <is>
          <t>16/04/2026</t>
        </is>
      </c>
      <c r="J11941" t="inlineStr">
        <is>
          <t>17/03/2026</t>
        </is>
      </c>
      <c r="K11941" t="inlineStr">
        <is>
          <t>N/A</t>
        </is>
      </c>
      <c r="L11941" t="inlineStr">
        <is>
          <t>Kinh Doanh B2B, Chăm Sóc Khách Hàng, Phát Triển Kinh Doanh, Tư Vấn Giải Pháp, Đàm Phán</t>
        </is>
      </c>
      <c r="M11941" t="inlineStr">
        <is>
          <t>Bonus, Healthcare Plan, Training, Awards, Team Activities, Others</t>
        </is>
      </c>
      <c r="N11941" s="8">
        <f>HYPERLINK("https://www.vietnamworks.com/chuyen-vien-kinh-doanh-b2b-phan-mem-quan-ly-fandb-sales-executive-business-development-2024151-jv","Xem chi tiết")</f>
        <v/>
      </c>
    </row>
    <row r="11942">
      <c r="B11942" s="9" t="n">
        <v>11940</v>
      </c>
      <c r="C11942" s="10" t="inlineStr">
        <is>
          <t>Sales Representative</t>
        </is>
      </c>
      <c r="D11942" s="10" t="inlineStr">
        <is>
          <t>Freser International (Vietnam) Co. Ltd.</t>
        </is>
      </c>
      <c r="E11942" s="10" t="inlineStr">
        <is>
          <t>Thương lượng</t>
        </is>
      </c>
      <c r="F11942" s="10" t="inlineStr">
        <is>
          <t>Hồ Chí Minh</t>
        </is>
      </c>
      <c r="G11942" s="10" t="inlineStr">
        <is>
          <t>Nhân viên</t>
        </is>
      </c>
      <c r="H11942" s="10" t="inlineStr">
        <is>
          <t>16/03/2026</t>
        </is>
      </c>
      <c r="I11942" s="10" t="inlineStr">
        <is>
          <t>16/04/2026</t>
        </is>
      </c>
      <c r="J11942" s="10" t="inlineStr">
        <is>
          <t>17/03/2026</t>
        </is>
      </c>
      <c r="K11942" s="10" t="inlineStr">
        <is>
          <t>N/A</t>
        </is>
      </c>
      <c r="L11942" s="10" t="inlineStr">
        <is>
          <t>Sales Technical, Sales Executive, Kinh Doanh Kỹ Thuật, Nhân viên kinh doanh, Bán Hàng Kỹ Thuật</t>
        </is>
      </c>
      <c r="M11942" s="10" t="inlineStr">
        <is>
          <t>Bonus, Awards, Team Activities</t>
        </is>
      </c>
      <c r="N11942" s="11">
        <f>HYPERLINK("https://www.vietnamworks.com/sales-representative--2024022-jv","Xem chi tiết")</f>
        <v/>
      </c>
      <c r="O11942" s="10" t="n"/>
    </row>
    <row r="11943">
      <c r="B11943" s="7" t="n">
        <v>11941</v>
      </c>
      <c r="C11943" t="inlineStr">
        <is>
          <t>Nhân Viên Admin Tổng Hợp (General Admin)</t>
        </is>
      </c>
      <c r="D11943" t="inlineStr">
        <is>
          <t>Freser International (Vietnam) Co. Ltd.</t>
        </is>
      </c>
      <c r="E11943" t="inlineStr">
        <is>
          <t>Thương lượng</t>
        </is>
      </c>
      <c r="F11943" t="inlineStr">
        <is>
          <t>Hồ Chí Minh</t>
        </is>
      </c>
      <c r="G11943" t="inlineStr">
        <is>
          <t>Nhân viên</t>
        </is>
      </c>
      <c r="H11943" t="inlineStr">
        <is>
          <t>16/03/2026</t>
        </is>
      </c>
      <c r="I11943" t="inlineStr">
        <is>
          <t>16/04/2026</t>
        </is>
      </c>
      <c r="J11943" t="inlineStr">
        <is>
          <t>17/03/2026</t>
        </is>
      </c>
      <c r="K11943" t="inlineStr">
        <is>
          <t>N/A</t>
        </is>
      </c>
      <c r="L11943" t="inlineStr">
        <is>
          <t>Hành Chính Nhân Sự, sales admin, Administration, General Administration</t>
        </is>
      </c>
      <c r="M11943" t="inlineStr">
        <is>
          <t>Bonus, Awards, Team Activities</t>
        </is>
      </c>
      <c r="N11943" s="8">
        <f>HYPERLINK("https://www.vietnamworks.com/nhan-vien-admin-tong-hop-general-admin-2024023-jv","Xem chi tiết")</f>
        <v/>
      </c>
    </row>
    <row r="11944">
      <c r="B11944" s="9" t="n">
        <v>11942</v>
      </c>
      <c r="C11944" s="10" t="inlineStr">
        <is>
          <t>Giám Sát Hiện Trường Hệ Thống Cơ Điện - Xây Dựng</t>
        </is>
      </c>
      <c r="D11944" s="10" t="inlineStr">
        <is>
          <t>Công Ty Cổ Phần Thương Mại Công Nghệ Npt</t>
        </is>
      </c>
      <c r="E11944" s="10" t="inlineStr">
        <is>
          <t>18tr-25tr ₫/tháng</t>
        </is>
      </c>
      <c r="F11944" s="10" t="inlineStr">
        <is>
          <t>Hà Nội</t>
        </is>
      </c>
      <c r="G11944" s="10" t="inlineStr">
        <is>
          <t>Nhân viên</t>
        </is>
      </c>
      <c r="H11944" s="10" t="inlineStr">
        <is>
          <t>16/03/2026</t>
        </is>
      </c>
      <c r="I11944" s="10" t="inlineStr">
        <is>
          <t>16/04/2026</t>
        </is>
      </c>
      <c r="J11944" s="10" t="inlineStr">
        <is>
          <t>17/03/2026</t>
        </is>
      </c>
      <c r="K11944" s="10" t="inlineStr">
        <is>
          <t>N/A</t>
        </is>
      </c>
      <c r="L11944" s="10" t="inlineStr">
        <is>
          <t>AutoCAD, Microsoft Project, Giám Sát Xây Dựng, Khảo Sát Công Trình, Quản Lý Tiến Độ</t>
        </is>
      </c>
      <c r="M11944" s="10" t="inlineStr">
        <is>
          <t>Bonus, Healthcare Plan, Training, Team Activities, Others</t>
        </is>
      </c>
      <c r="N11944" s="11">
        <f>HYPERLINK("https://www.vietnamworks.com/giam-sat-hien-truong-he-thong-co-djien-xay-dung-2024424-jv","Xem chi tiết")</f>
        <v/>
      </c>
      <c r="O11944" s="10" t="n"/>
    </row>
    <row r="11945">
      <c r="B11945" s="7" t="n">
        <v>11943</v>
      </c>
      <c r="C11945" t="inlineStr">
        <is>
          <t>Giám Đốc Marketing</t>
        </is>
      </c>
      <c r="D11945" t="inlineStr">
        <is>
          <t>Công Ty Cổ Phần XNK Thương Mại Đài Linh</t>
        </is>
      </c>
      <c r="E11945" t="inlineStr">
        <is>
          <t>50tr-90tr ₫/tháng</t>
        </is>
      </c>
      <c r="F11945" t="inlineStr">
        <is>
          <t>Hà Nội</t>
        </is>
      </c>
      <c r="G11945" t="inlineStr">
        <is>
          <t>Giám Đốc và Cấp Cao Hơn</t>
        </is>
      </c>
      <c r="H11945" t="inlineStr">
        <is>
          <t>16/03/2026</t>
        </is>
      </c>
      <c r="I11945" t="inlineStr">
        <is>
          <t>16/04/2026</t>
        </is>
      </c>
      <c r="J11945" t="inlineStr">
        <is>
          <t>17/03/2026</t>
        </is>
      </c>
      <c r="K11945" t="inlineStr">
        <is>
          <t>N/A</t>
        </is>
      </c>
      <c r="L11945" t="inlineStr">
        <is>
          <t>Xây Dựng Thương Hiệu, Phân Tích Thị Trường, Quản Lý Đội Nhóm, Tư Vấn Chiến Lược Marketing, Sáng Tạo</t>
        </is>
      </c>
      <c r="M11945" t="inlineStr">
        <is>
          <t>Healthcare Plan, Team Activities, Others</t>
        </is>
      </c>
      <c r="N11945" s="8">
        <f>HYPERLINK("https://www.vietnamworks.com/giam-djoc-marketing-2024350-jv","Xem chi tiết")</f>
        <v/>
      </c>
    </row>
    <row r="11946">
      <c r="B11946" s="9" t="n">
        <v>11944</v>
      </c>
      <c r="C11946" s="10" t="inlineStr">
        <is>
          <t>Chuyên Viên Nhân Sự Tiền Lương (Thông thạo Phần Mềm MISA &amp; Ứng Dụng AI)</t>
        </is>
      </c>
      <c r="D11946" s="10" t="inlineStr">
        <is>
          <t>Công Ty TNHH MTV Quản Lý Nợ Và Khai Thác Tài Sản Ngân Hàng TMCP Nam Á</t>
        </is>
      </c>
      <c r="E11946" s="10" t="inlineStr">
        <is>
          <t>Thương lượng</t>
        </is>
      </c>
      <c r="F11946" s="10" t="inlineStr">
        <is>
          <t>Hồ Chí Minh</t>
        </is>
      </c>
      <c r="G11946" s="10" t="inlineStr">
        <is>
          <t>Nhân viên</t>
        </is>
      </c>
      <c r="H11946" s="10" t="inlineStr">
        <is>
          <t>16/03/2026</t>
        </is>
      </c>
      <c r="I11946" s="10" t="inlineStr">
        <is>
          <t>16/04/2026</t>
        </is>
      </c>
      <c r="J11946" s="10" t="inlineStr">
        <is>
          <t>17/03/2026</t>
        </is>
      </c>
      <c r="K11946" s="10" t="inlineStr">
        <is>
          <t>N/A</t>
        </is>
      </c>
      <c r="L11946" s="10" t="inlineStr">
        <is>
          <t>C&amp;B, Quản Lý Tiền Lương, Nhân Sự, Thành thạo Misa, Lương Và Phúc Lợi</t>
        </is>
      </c>
      <c r="M11946" s="10" t="inlineStr">
        <is>
          <t>Bonus, Healthcare Plan, Training</t>
        </is>
      </c>
      <c r="N11946" s="11">
        <f>HYPERLINK("https://www.vietnamworks.com/chuyen-vien-nhan-su-tien-luong-thong-thao-phan-mem-misa-ung-dung-ai-2024194-jv","Xem chi tiết")</f>
        <v/>
      </c>
      <c r="O11946" s="10" t="n"/>
    </row>
    <row r="11947">
      <c r="B11947" s="7" t="n">
        <v>11945</v>
      </c>
      <c r="C11947" t="inlineStr">
        <is>
          <t>Tiếp Viên Hàng Không Hãng EVA AIR</t>
        </is>
      </c>
      <c r="D11947" t="inlineStr">
        <is>
          <t>EVA Airways Corp</t>
        </is>
      </c>
      <c r="E11947" t="inlineStr">
        <is>
          <t>Thương lượng</t>
        </is>
      </c>
      <c r="F11947" t="inlineStr">
        <is>
          <t>Hà Nội, Hồ Chí Minh</t>
        </is>
      </c>
      <c r="G11947" t="inlineStr">
        <is>
          <t>Mới Tốt Nghiệp</t>
        </is>
      </c>
      <c r="H11947" t="inlineStr">
        <is>
          <t>16/03/2026</t>
        </is>
      </c>
      <c r="I11947" t="inlineStr">
        <is>
          <t>16/04/2026</t>
        </is>
      </c>
      <c r="J11947" t="inlineStr">
        <is>
          <t>17/03/2026</t>
        </is>
      </c>
      <c r="K11947" t="inlineStr">
        <is>
          <t>N/A</t>
        </is>
      </c>
      <c r="L11947" t="inlineStr">
        <is>
          <t>English Language Proficiency, Vietnamese fluency, Customer Service, Teamwork, Pleasant Personality</t>
        </is>
      </c>
      <c r="M11947" t="inlineStr">
        <is>
          <t>Bonus, Healthcare Plan, Training</t>
        </is>
      </c>
      <c r="N11947" s="8">
        <f>HYPERLINK("https://www.vietnamworks.com/tiep-vien-hang-khong-hang-eva-air-2023840-jv","Xem chi tiết")</f>
        <v/>
      </c>
    </row>
    <row r="11948">
      <c r="B11948" s="9" t="n">
        <v>11946</v>
      </c>
      <c r="C11948" s="10" t="inlineStr">
        <is>
          <t>Sales Logistics (Nam) - Dĩ An, Bình Dương Cũ</t>
        </is>
      </c>
      <c r="D11948" s="10" t="inlineStr">
        <is>
          <t>CÔNG TY CỔ PHẦN THƯƠNG MẠI DỊCH VỤ GIAO NHẬN TIẾN PHÁT</t>
        </is>
      </c>
      <c r="E11948" s="10" t="inlineStr">
        <is>
          <t>Thương lượng</t>
        </is>
      </c>
      <c r="F11948" s="10" t="inlineStr">
        <is>
          <t>Bình Dương</t>
        </is>
      </c>
      <c r="G11948" s="10" t="inlineStr">
        <is>
          <t>Nhân viên</t>
        </is>
      </c>
      <c r="H11948" s="10" t="inlineStr">
        <is>
          <t>14/03/2026</t>
        </is>
      </c>
      <c r="I11948" s="10" t="inlineStr">
        <is>
          <t>16/04/2026</t>
        </is>
      </c>
      <c r="J11948" s="10" t="inlineStr">
        <is>
          <t>17/03/2026</t>
        </is>
      </c>
      <c r="K11948" s="10" t="inlineStr">
        <is>
          <t>N/A</t>
        </is>
      </c>
      <c r="L11948" s="10" t="inlineStr">
        <is>
          <t>Kinh Doanh Quốc Tế, Xuất Nhập Khẩu, Logistics, Freight Forwarding, Vận Tải Quốc Tế</t>
        </is>
      </c>
      <c r="M11948" s="10" t="inlineStr">
        <is>
          <t>Bonus</t>
        </is>
      </c>
      <c r="N11948" s="11">
        <f>HYPERLINK("https://www.vietnamworks.com/sales-logistics-nam-di-an-binh-duong-cu-2023662-jv","Xem chi tiết")</f>
        <v/>
      </c>
      <c r="O11948" s="10" t="n"/>
    </row>
    <row r="11949">
      <c r="B11949" s="7" t="n">
        <v>11947</v>
      </c>
      <c r="C11949" t="inlineStr">
        <is>
          <t>Commercial Assistant – Export</t>
        </is>
      </c>
      <c r="D11949" t="inlineStr">
        <is>
          <t>CPDS</t>
        </is>
      </c>
      <c r="E11949" t="inlineStr">
        <is>
          <t>$$ 600-800 /tháng</t>
        </is>
      </c>
      <c r="F11949" t="inlineStr">
        <is>
          <t>Hồ Chí Minh</t>
        </is>
      </c>
      <c r="G11949" t="inlineStr">
        <is>
          <t>Nhân viên</t>
        </is>
      </c>
      <c r="H11949" t="inlineStr">
        <is>
          <t>16/03/2026</t>
        </is>
      </c>
      <c r="I11949" t="inlineStr">
        <is>
          <t>16/04/2026</t>
        </is>
      </c>
      <c r="J11949" t="inlineStr">
        <is>
          <t>17/03/2026</t>
        </is>
      </c>
      <c r="K11949" t="inlineStr">
        <is>
          <t>N/A</t>
        </is>
      </c>
      <c r="L11949" t="inlineStr">
        <is>
          <t>Document Management, Google Suite, Solution Oriented, Documentation, Warehouse</t>
        </is>
      </c>
      <c r="M11949" t="inlineStr">
        <is>
          <t>Training, Others</t>
        </is>
      </c>
      <c r="N11949" s="8">
        <f>HYPERLINK("https://www.vietnamworks.com/commercial-assistant-export-2024425-jv","Xem chi tiết")</f>
        <v/>
      </c>
    </row>
    <row r="11950">
      <c r="B11950" s="9" t="n">
        <v>11948</v>
      </c>
      <c r="C11950" s="10" t="inlineStr">
        <is>
          <t>Giám Đốc Dự Án (Chỉ Huy Trưởng) Dự Án Kho Lạnh ( Đi làm ngay)</t>
        </is>
      </c>
      <c r="D11950" s="10" t="inlineStr">
        <is>
          <t>Công ty TNHH Tincons</t>
        </is>
      </c>
      <c r="E11950" s="10" t="inlineStr">
        <is>
          <t>30tr-35tr ₫/tháng</t>
        </is>
      </c>
      <c r="F11950" s="10" t="inlineStr">
        <is>
          <t>Hồ Chí Minh, Đồng Nai</t>
        </is>
      </c>
      <c r="G11950" s="10" t="inlineStr">
        <is>
          <t>Trưởng phòng</t>
        </is>
      </c>
      <c r="H11950" s="10" t="inlineStr">
        <is>
          <t>16/03/2026</t>
        </is>
      </c>
      <c r="I11950" s="10" t="inlineStr">
        <is>
          <t>16/04/2026</t>
        </is>
      </c>
      <c r="J11950" s="10" t="inlineStr">
        <is>
          <t>17/03/2026</t>
        </is>
      </c>
      <c r="K11950" s="10" t="inlineStr">
        <is>
          <t>N/A</t>
        </is>
      </c>
      <c r="L11950" s="10" t="inlineStr">
        <is>
          <t>Autocad, Giao Tiếp, Làm Việc Nhóm, Quản Lý Dự Án, Thi Công Xây Dựng</t>
        </is>
      </c>
      <c r="M11950" s="10" t="inlineStr">
        <is>
          <t>Bonus, Healthcare Plan, Others</t>
        </is>
      </c>
      <c r="N11950" s="11">
        <f>HYPERLINK("https://www.vietnamworks.com/giam-djoc-du-an-chi-huy-truong-du-an-kho-lanh-dji-lam-ngay-2024485-jv","Xem chi tiết")</f>
        <v/>
      </c>
      <c r="O11950" s="10" t="n"/>
    </row>
    <row r="11951">
      <c r="B11951" s="7" t="n">
        <v>11949</v>
      </c>
      <c r="C11951" t="inlineStr">
        <is>
          <t>Wireless Engineer (High-Volume Hiring) - Upto 80M</t>
        </is>
      </c>
      <c r="D11951" t="inlineStr">
        <is>
          <t>Công Ty TNHH Công Nghệ Huawei Việt Nam</t>
        </is>
      </c>
      <c r="E11951" t="inlineStr">
        <is>
          <t>Tới 80tr ₫/tháng</t>
        </is>
      </c>
      <c r="F11951" t="inlineStr">
        <is>
          <t>Hà Nội</t>
        </is>
      </c>
      <c r="G11951" t="inlineStr">
        <is>
          <t>Nhân viên</t>
        </is>
      </c>
      <c r="H11951" t="inlineStr">
        <is>
          <t>16/03/2026</t>
        </is>
      </c>
      <c r="I11951" t="inlineStr">
        <is>
          <t>16/04/2026</t>
        </is>
      </c>
      <c r="J11951" t="inlineStr">
        <is>
          <t>17/03/2026</t>
        </is>
      </c>
      <c r="K11951" t="inlineStr">
        <is>
          <t>N/A</t>
        </is>
      </c>
      <c r="L11951" t="inlineStr">
        <is>
          <t>Wireless solutions, English, Site Construction, Mobile Network</t>
        </is>
      </c>
      <c r="M11951" t="inlineStr">
        <is>
          <t>Bonus, Paid Leave, Others</t>
        </is>
      </c>
      <c r="N11951" s="8">
        <f>HYPERLINK("https://www.vietnamworks.com/wireless-engineer-high-volume-hiring-upto-80m--2024473-jv","Xem chi tiết")</f>
        <v/>
      </c>
    </row>
    <row r="11952">
      <c r="B11952" s="9" t="n">
        <v>11950</v>
      </c>
      <c r="C11952" s="10" t="inlineStr">
        <is>
          <t>Bác Sĩ Doanh Nghiệp</t>
        </is>
      </c>
      <c r="D11952" s="10" t="inlineStr">
        <is>
          <t>LTP Vietnam., Co Ltd</t>
        </is>
      </c>
      <c r="E11952" s="10" t="inlineStr">
        <is>
          <t>$$ 800-1,000 /tháng</t>
        </is>
      </c>
      <c r="F11952" s="10" t="inlineStr">
        <is>
          <t>Hồ Chí Minh</t>
        </is>
      </c>
      <c r="G11952" s="10" t="inlineStr">
        <is>
          <t>Nhân viên</t>
        </is>
      </c>
      <c r="H11952" s="10" t="inlineStr">
        <is>
          <t>16/03/2026</t>
        </is>
      </c>
      <c r="I11952" s="10" t="inlineStr">
        <is>
          <t>16/04/2026</t>
        </is>
      </c>
      <c r="J11952" s="10" t="inlineStr">
        <is>
          <t>17/03/2026</t>
        </is>
      </c>
      <c r="K11952" s="10" t="inlineStr">
        <is>
          <t>N/A</t>
        </is>
      </c>
      <c r="L11952" s="10" t="inlineStr">
        <is>
          <t>Microsoft Office, Quản Lý Thời Gian, Y Tế Lao Động, Y đa khoa, Đào Tạo</t>
        </is>
      </c>
      <c r="M11952" s="10" t="inlineStr">
        <is>
          <t>Paid Leave, Laptop, Travel Opportunities</t>
        </is>
      </c>
      <c r="N11952" s="11">
        <f>HYPERLINK("https://www.vietnamworks.com/bac-si-doanh-nghiep-2024437-jv","Xem chi tiết")</f>
        <v/>
      </c>
      <c r="O11952" s="10" t="n"/>
    </row>
    <row r="11953">
      <c r="B11953" s="7" t="n">
        <v>11951</v>
      </c>
      <c r="C11953" t="inlineStr">
        <is>
          <t>Kỹ Sư Thiết Kế Xây Dựng Làm Việc Tại TP.HCM</t>
        </is>
      </c>
      <c r="D11953" t="inlineStr">
        <is>
          <t>Công ty CP Tư vấn và Dịch vụ Viettel</t>
        </is>
      </c>
      <c r="E11953" t="inlineStr">
        <is>
          <t>13tr-20tr ₫/tháng</t>
        </is>
      </c>
      <c r="F11953" t="inlineStr">
        <is>
          <t>Hồ Chí Minh</t>
        </is>
      </c>
      <c r="G11953" t="inlineStr">
        <is>
          <t>Nhân viên</t>
        </is>
      </c>
      <c r="H11953" t="inlineStr">
        <is>
          <t>16/03/2026</t>
        </is>
      </c>
      <c r="I11953" t="inlineStr">
        <is>
          <t>16/04/2026</t>
        </is>
      </c>
      <c r="J11953" t="inlineStr">
        <is>
          <t>17/03/2026</t>
        </is>
      </c>
      <c r="K11953" t="inlineStr">
        <is>
          <t>N/A</t>
        </is>
      </c>
      <c r="L11953" t="inlineStr">
        <is>
          <t>Auto CAD, Lập Dự Toán, Hạ Tầng Viễn Thông, Thiết Kế Xây Dựng, Xây Dựng Dân Dụng và Công Nghiệp</t>
        </is>
      </c>
      <c r="M11953" t="inlineStr">
        <is>
          <t>Bonus, Training, Others</t>
        </is>
      </c>
      <c r="N11953" s="8">
        <f>HYPERLINK("https://www.vietnamworks.com/ky-su-thiet-ke-xay-dung-lam-viec-tai-tp-hcm-2024444-jv","Xem chi tiết")</f>
        <v/>
      </c>
    </row>
    <row r="11954">
      <c r="B11954" s="9" t="n">
        <v>11952</v>
      </c>
      <c r="C11954" s="10" t="inlineStr">
        <is>
          <t>Nhân Viên Kinh Doanh B2B và Phát Triển Đại Lý</t>
        </is>
      </c>
      <c r="D11954" s="10" t="inlineStr">
        <is>
          <t>Công ty Cổ phần La'Artisan Việt Nam</t>
        </is>
      </c>
      <c r="E11954" s="10" t="inlineStr">
        <is>
          <t>30tr-100tr ₫/tháng</t>
        </is>
      </c>
      <c r="F11954" s="10" t="inlineStr">
        <is>
          <t>Hà Nội</t>
        </is>
      </c>
      <c r="G11954" s="10" t="inlineStr">
        <is>
          <t>Nhân viên</t>
        </is>
      </c>
      <c r="H11954" s="10" t="inlineStr">
        <is>
          <t>16/03/2026</t>
        </is>
      </c>
      <c r="I11954" s="10" t="inlineStr">
        <is>
          <t>16/04/2026</t>
        </is>
      </c>
      <c r="J11954" s="10" t="inlineStr">
        <is>
          <t>17/03/2026</t>
        </is>
      </c>
      <c r="K11954" s="10" t="inlineStr">
        <is>
          <t>N/A</t>
        </is>
      </c>
      <c r="L11954" s="10" t="inlineStr">
        <is>
          <t>Sales experience, Chăm Sóc Khách Hàng, Phát Triển Đại Lý, Sales B2B, Xúc Tiến Thương Mại</t>
        </is>
      </c>
      <c r="M11954" s="10" t="inlineStr">
        <is>
          <t>Bonus, Healthcare Plan, Paid Leave, Mobile, Transportation, Others</t>
        </is>
      </c>
      <c r="N11954" s="11">
        <f>HYPERLINK("https://www.vietnamworks.com/nhan-vien-kinh-doanh-b2b-va-phat-trien-djai-ly-2024467-jv","Xem chi tiết")</f>
        <v/>
      </c>
      <c r="O11954" s="10" t="n"/>
    </row>
    <row r="11955">
      <c r="B11955" s="7" t="n">
        <v>11953</v>
      </c>
      <c r="C11955" t="inlineStr">
        <is>
          <t>Giám Đốc Kỹ Thuật</t>
        </is>
      </c>
      <c r="D11955" t="inlineStr">
        <is>
          <t>Công Ty Cổ Phần Công Nghiệp Và Thiết Bị Chiếu Sáng Duhal</t>
        </is>
      </c>
      <c r="E11955" t="inlineStr">
        <is>
          <t>15tr-30tr ₫/tháng</t>
        </is>
      </c>
      <c r="F11955" t="inlineStr">
        <is>
          <t>Long An</t>
        </is>
      </c>
      <c r="G11955" t="inlineStr">
        <is>
          <t>Giám Đốc và Cấp Cao Hơn</t>
        </is>
      </c>
      <c r="H11955" t="inlineStr">
        <is>
          <t>17/03/2026</t>
        </is>
      </c>
      <c r="I11955" t="inlineStr">
        <is>
          <t>16/04/2026</t>
        </is>
      </c>
      <c r="J11955" t="inlineStr">
        <is>
          <t>17/03/2026</t>
        </is>
      </c>
      <c r="K11955" t="inlineStr">
        <is>
          <t>N/A</t>
        </is>
      </c>
      <c r="L11955" t="inlineStr">
        <is>
          <t>Bảo Trì, Cơ Khí, Quản Lý Kỹ Thuật, Tư Duy Hệ Thống, Điện</t>
        </is>
      </c>
      <c r="M11955" t="inlineStr">
        <is>
          <t>Bonus</t>
        </is>
      </c>
      <c r="N11955" s="8">
        <f>HYPERLINK("https://www.vietnamworks.com/giam-djoc-ky-thuat-2024494-jv","Xem chi tiết")</f>
        <v/>
      </c>
    </row>
    <row r="11956">
      <c r="B11956" s="9" t="n">
        <v>11954</v>
      </c>
      <c r="C11956" s="10" t="inlineStr">
        <is>
          <t>Experience-Level and Mid-Level Archicad Draftsman Architect</t>
        </is>
      </c>
      <c r="D11956" s="10" t="inlineStr">
        <is>
          <t>Mostaghim</t>
        </is>
      </c>
      <c r="E11956" s="10" t="inlineStr">
        <is>
          <t>Thương lượng</t>
        </is>
      </c>
      <c r="F11956" s="10" t="inlineStr">
        <is>
          <t>Hồ Chí Minh</t>
        </is>
      </c>
      <c r="G11956" s="10" t="inlineStr">
        <is>
          <t>Nhân viên</t>
        </is>
      </c>
      <c r="H11956" s="10" t="inlineStr">
        <is>
          <t>17/03/2026</t>
        </is>
      </c>
      <c r="I11956" s="10" t="inlineStr">
        <is>
          <t>16/04/2026</t>
        </is>
      </c>
      <c r="J11956" s="10" t="inlineStr">
        <is>
          <t>17/03/2026</t>
        </is>
      </c>
      <c r="K11956" s="10" t="inlineStr">
        <is>
          <t>N/A</t>
        </is>
      </c>
      <c r="L11956" s="10" t="inlineStr">
        <is>
          <t>ArchiCAD, Architect, BIM, Architecture Documentation</t>
        </is>
      </c>
      <c r="M11956" s="10" t="inlineStr">
        <is>
          <t>Bonus, Paid Leave, Training</t>
        </is>
      </c>
      <c r="N11956" s="11">
        <f>HYPERLINK("https://www.vietnamworks.com/experience-level-and-mid-level-archicad-draftsman-architect-2024488-jv","Xem chi tiết")</f>
        <v/>
      </c>
      <c r="O11956" s="10" t="n"/>
    </row>
    <row r="11957">
      <c r="B11957" s="7" t="n">
        <v>11955</v>
      </c>
      <c r="C11957" t="inlineStr">
        <is>
          <t>HR Manager</t>
        </is>
      </c>
      <c r="D11957" t="inlineStr">
        <is>
          <t>Topas Ecolodge</t>
        </is>
      </c>
      <c r="E11957" t="inlineStr">
        <is>
          <t>Thương lượng</t>
        </is>
      </c>
      <c r="F11957" t="inlineStr">
        <is>
          <t>Hà Nội, Lào Cai</t>
        </is>
      </c>
      <c r="G11957" t="inlineStr">
        <is>
          <t>Trưởng phòng</t>
        </is>
      </c>
      <c r="H11957" t="inlineStr">
        <is>
          <t>16/03/2026</t>
        </is>
      </c>
      <c r="I11957" t="inlineStr">
        <is>
          <t>16/04/2026</t>
        </is>
      </c>
      <c r="J11957" t="inlineStr">
        <is>
          <t>17/03/2026</t>
        </is>
      </c>
      <c r="K11957" t="inlineStr">
        <is>
          <t>N/A</t>
        </is>
      </c>
      <c r="L11957" t="inlineStr">
        <is>
          <t>HR Policy Execution, Recruitment Tools, Performance Management, Training Program Design, Communication Skills</t>
        </is>
      </c>
      <c r="M11957" t="inlineStr">
        <is>
          <t>Bonus, Healthcare Plan, Paid Leave</t>
        </is>
      </c>
      <c r="N11957" s="8">
        <f>HYPERLINK("https://www.vietnamworks.com/hr-manager-2024440-jv","Xem chi tiết")</f>
        <v/>
      </c>
    </row>
    <row r="11958">
      <c r="B11958" s="9" t="n">
        <v>11956</v>
      </c>
      <c r="C11958" s="10" t="inlineStr">
        <is>
          <t>Merchandiser</t>
        </is>
      </c>
      <c r="D11958" s="10" t="inlineStr">
        <is>
          <t>GiGO Vietnam Co., Ltd | GENDA GiGO Entertainment Inc</t>
        </is>
      </c>
      <c r="E11958" s="10" t="inlineStr">
        <is>
          <t>Thương lượng</t>
        </is>
      </c>
      <c r="F11958" s="10" t="inlineStr">
        <is>
          <t>Hồ Chí Minh</t>
        </is>
      </c>
      <c r="G11958" s="10" t="inlineStr">
        <is>
          <t>Nhân viên</t>
        </is>
      </c>
      <c r="H11958" s="10" t="inlineStr">
        <is>
          <t>17/03/2026</t>
        </is>
      </c>
      <c r="I11958" s="10" t="inlineStr">
        <is>
          <t>16/04/2026</t>
        </is>
      </c>
      <c r="J11958" s="10" t="inlineStr">
        <is>
          <t>17/03/2026</t>
        </is>
      </c>
      <c r="K11958" s="10" t="inlineStr">
        <is>
          <t>N/A</t>
        </is>
      </c>
      <c r="L11958" s="10" t="inlineStr">
        <is>
          <t>Contract Management, English B Level, Import-Export, Logistics Control, Merchandise Management</t>
        </is>
      </c>
      <c r="M11958" s="10" t="inlineStr">
        <is>
          <t>Bonus, Healthcare Plan, Paid Leave, Transportation</t>
        </is>
      </c>
      <c r="N11958" s="11">
        <f>HYPERLINK("https://www.vietnamworks.com/merchandiser-2024498-jv","Xem chi tiết")</f>
        <v/>
      </c>
      <c r="O11958" s="10" t="n"/>
    </row>
    <row r="11959">
      <c r="B11959" s="7" t="n">
        <v>11957</v>
      </c>
      <c r="C11959" t="inlineStr">
        <is>
          <t>Bag Designer - ODM/OEM (Backpack, Handbag, Luggage)</t>
        </is>
      </c>
      <c r="D11959" t="inlineStr">
        <is>
          <t>Công Ty TNHH Kanaan Central Việt Nam</t>
        </is>
      </c>
      <c r="E11959" t="inlineStr">
        <is>
          <t>Thương lượng</t>
        </is>
      </c>
      <c r="F11959" t="inlineStr">
        <is>
          <t>Hồ Chí Minh</t>
        </is>
      </c>
      <c r="G11959" t="inlineStr">
        <is>
          <t>Nhân viên</t>
        </is>
      </c>
      <c r="H11959" t="inlineStr">
        <is>
          <t>17/03/2026</t>
        </is>
      </c>
      <c r="I11959" t="inlineStr">
        <is>
          <t>16/04/2026</t>
        </is>
      </c>
      <c r="J11959" t="inlineStr">
        <is>
          <t>17/03/2026</t>
        </is>
      </c>
      <c r="K11959" t="inlineStr">
        <is>
          <t>N/A</t>
        </is>
      </c>
      <c r="L11959" t="inlineStr">
        <is>
          <t>Adobe Illustrator, Aesthetic Design, Collaboration, Photoshop, Plate Design</t>
        </is>
      </c>
      <c r="M11959" t="inlineStr">
        <is>
          <t>Bonus, Others</t>
        </is>
      </c>
      <c r="N11959" s="8">
        <f>HYPERLINK("https://www.vietnamworks.com/bag-designer-odmoem-backpack-handbag-luggage-2024492-jv","Xem chi tiết")</f>
        <v/>
      </c>
    </row>
    <row r="11960">
      <c r="B11960" s="9" t="n">
        <v>11958</v>
      </c>
      <c r="C11960" s="10" t="inlineStr">
        <is>
          <t>Tân Bình_Kế Toán Tổng Hợp/ Kế toán Thuế_Thu nhập đến 23 triệu</t>
        </is>
      </c>
      <c r="D11960" s="10" t="inlineStr">
        <is>
          <t>CÔNG TY TNHH TƯỜNG MINH ART</t>
        </is>
      </c>
      <c r="E11960" s="10" t="inlineStr">
        <is>
          <t>15tr-23tr ₫/tháng</t>
        </is>
      </c>
      <c r="F11960" s="10" t="inlineStr">
        <is>
          <t>Hồ Chí Minh</t>
        </is>
      </c>
      <c r="G11960" s="10" t="inlineStr">
        <is>
          <t>Nhân viên</t>
        </is>
      </c>
      <c r="H11960" s="10" t="inlineStr">
        <is>
          <t>16/03/2026</t>
        </is>
      </c>
      <c r="I11960" s="10" t="inlineStr">
        <is>
          <t>16/04/2026</t>
        </is>
      </c>
      <c r="J11960" s="10" t="inlineStr">
        <is>
          <t>17/03/2026</t>
        </is>
      </c>
      <c r="K11960" s="10" t="inlineStr">
        <is>
          <t>N/A</t>
        </is>
      </c>
      <c r="L11960" s="10" t="inlineStr">
        <is>
          <t>Báo cáo tài chính &amp; Thuế, Kỹ Năng Báo Cáo Và Phân Tích, Kỹ Năng Làm Việc Độc Lập, Phần Mềm Kế Toán</t>
        </is>
      </c>
      <c r="M11960" s="10" t="inlineStr">
        <is>
          <t>Bonus, Healthcare Plan, Travel Opportunities, Others</t>
        </is>
      </c>
      <c r="N11960" s="11">
        <f>HYPERLINK("https://www.vietnamworks.com/tan-binh_ke-toan-tong-hop-ke-toan-thue_thu-nhap-djen-23-trieu-2024464-jv","Xem chi tiết")</f>
        <v/>
      </c>
      <c r="O11960" s="10" t="n"/>
    </row>
    <row r="11961">
      <c r="B11961" s="7" t="n">
        <v>11959</v>
      </c>
      <c r="C11961" t="inlineStr">
        <is>
          <t>Junior Australian Accountant Great Opportunity for Freshers (Or Under 1 Year of Experience)</t>
        </is>
      </c>
      <c r="D11961" t="inlineStr">
        <is>
          <t>Nextren Consulting Company Limited</t>
        </is>
      </c>
      <c r="E11961" t="inlineStr">
        <is>
          <t>Thương lượng</t>
        </is>
      </c>
      <c r="F11961" t="inlineStr">
        <is>
          <t>Hồ Chí Minh</t>
        </is>
      </c>
      <c r="G11961" t="inlineStr">
        <is>
          <t>Mới Tốt Nghiệp</t>
        </is>
      </c>
      <c r="H11961" t="inlineStr">
        <is>
          <t>17/03/2026</t>
        </is>
      </c>
      <c r="I11961" t="inlineStr">
        <is>
          <t>16/04/2026</t>
        </is>
      </c>
      <c r="J11961" t="inlineStr">
        <is>
          <t>17/03/2026</t>
        </is>
      </c>
      <c r="K11961" t="inlineStr">
        <is>
          <t>N/A</t>
        </is>
      </c>
      <c r="L11961" t="inlineStr">
        <is>
          <t>Accouting, English fluency, Excel Skills, Detail-oriented, Analysis &amp; Reporting Skills</t>
        </is>
      </c>
      <c r="M11961" t="inlineStr">
        <is>
          <t>Bonus, Training, Others</t>
        </is>
      </c>
      <c r="N11961" s="8">
        <f>HYPERLINK("https://www.vietnamworks.com/junior-australian-accountant-great-opportunity-for-freshers-or-under-1-year-of-experience--2024491-jv","Xem chi tiết")</f>
        <v/>
      </c>
    </row>
    <row r="11962">
      <c r="B11962" s="9" t="n">
        <v>11960</v>
      </c>
      <c r="C11962" s="10" t="inlineStr">
        <is>
          <t>Motion Designer</t>
        </is>
      </c>
      <c r="D11962" s="10" t="inlineStr">
        <is>
          <t>CÔNG TY CP PHÁT TRIỂN TÀI NĂNG VĂN HÓA NGHỆ THUẬT VIỆT NAM V-CULTURE TALENTS</t>
        </is>
      </c>
      <c r="E11962" s="10" t="inlineStr">
        <is>
          <t>Từ $ 500 /tháng</t>
        </is>
      </c>
      <c r="F11962" s="10" t="inlineStr">
        <is>
          <t>Hà Nội</t>
        </is>
      </c>
      <c r="G11962" s="10" t="inlineStr">
        <is>
          <t>Nhân viên</t>
        </is>
      </c>
      <c r="H11962" s="10" t="inlineStr">
        <is>
          <t>17/03/2026</t>
        </is>
      </c>
      <c r="I11962" s="10" t="inlineStr">
        <is>
          <t>16/04/2026</t>
        </is>
      </c>
      <c r="J11962" s="10" t="inlineStr">
        <is>
          <t>17/03/2026</t>
        </is>
      </c>
      <c r="K11962" s="10" t="inlineStr">
        <is>
          <t>N/A</t>
        </is>
      </c>
      <c r="L11962" s="10" t="inlineStr">
        <is>
          <t>Motion Graphic Design, Graphic Design, Adobe Photoshop, Adobe Illustrator, Adobe After Effects</t>
        </is>
      </c>
      <c r="M11962" s="10" t="inlineStr">
        <is>
          <t>Bonus, Healthcare Plan, Vouchers</t>
        </is>
      </c>
      <c r="N11962" s="11">
        <f>HYPERLINK("https://www.vietnamworks.com/motion-designer--2024508-jv","Xem chi tiết")</f>
        <v/>
      </c>
      <c r="O11962" s="10" t="n"/>
    </row>
    <row r="11963">
      <c r="B11963" s="7" t="n">
        <v>11961</v>
      </c>
      <c r="C11963" t="inlineStr">
        <is>
          <t>Video Editor</t>
        </is>
      </c>
      <c r="D11963" t="inlineStr">
        <is>
          <t>CÔNG TY CP PHÁT TRIỂN TÀI NĂNG VĂN HÓA NGHỆ THUẬT VIỆT NAM V-CULTURE TALENTS</t>
        </is>
      </c>
      <c r="E11963" t="inlineStr">
        <is>
          <t>Từ $ 500 /tháng</t>
        </is>
      </c>
      <c r="F11963" t="inlineStr">
        <is>
          <t>Hà Nội</t>
        </is>
      </c>
      <c r="G11963" t="inlineStr">
        <is>
          <t>Nhân viên</t>
        </is>
      </c>
      <c r="H11963" t="inlineStr">
        <is>
          <t>17/03/2026</t>
        </is>
      </c>
      <c r="I11963" t="inlineStr">
        <is>
          <t>16/04/2026</t>
        </is>
      </c>
      <c r="J11963" t="inlineStr">
        <is>
          <t>17/03/2026</t>
        </is>
      </c>
      <c r="K11963" t="inlineStr">
        <is>
          <t>N/A</t>
        </is>
      </c>
      <c r="L11963" t="inlineStr">
        <is>
          <t>Video Editing, Dựng Phim, Adobe Premiere Pro, Adobe Photoshop, Adobe After Effects</t>
        </is>
      </c>
      <c r="M11963" t="inlineStr">
        <is>
          <t>Bonus, Healthcare Plan, Vouchers</t>
        </is>
      </c>
      <c r="N11963" s="8">
        <f>HYPERLINK("https://www.vietnamworks.com/video-editor--2024506-jv","Xem chi tiết")</f>
        <v/>
      </c>
    </row>
    <row r="11964">
      <c r="B11964" s="9" t="n">
        <v>11962</v>
      </c>
      <c r="C11964" s="10" t="inlineStr">
        <is>
          <t>Graphic Designer</t>
        </is>
      </c>
      <c r="D11964" s="10" t="inlineStr">
        <is>
          <t>CÔNG TY CP PHÁT TRIỂN TÀI NĂNG VĂN HÓA NGHỆ THUẬT VIỆT NAM V-CULTURE TALENTS</t>
        </is>
      </c>
      <c r="E11964" s="10" t="inlineStr">
        <is>
          <t>Từ $ 500 /tháng</t>
        </is>
      </c>
      <c r="F11964" s="10" t="inlineStr">
        <is>
          <t>Hà Nội</t>
        </is>
      </c>
      <c r="G11964" s="10" t="inlineStr">
        <is>
          <t>Nhân viên</t>
        </is>
      </c>
      <c r="H11964" s="10" t="inlineStr">
        <is>
          <t>17/03/2026</t>
        </is>
      </c>
      <c r="I11964" s="10" t="inlineStr">
        <is>
          <t>16/04/2026</t>
        </is>
      </c>
      <c r="J11964" s="10" t="inlineStr">
        <is>
          <t>17/03/2026</t>
        </is>
      </c>
      <c r="K11964" s="10" t="inlineStr">
        <is>
          <t>N/A</t>
        </is>
      </c>
      <c r="L11964" s="10" t="inlineStr">
        <is>
          <t>Graphic Design, Design, Adobe Photoshop, Thiết Kế Đồ Họa, Adobe Illustrator</t>
        </is>
      </c>
      <c r="M11964" s="10" t="inlineStr">
        <is>
          <t>Bonus, Healthcare Plan, Vouchers</t>
        </is>
      </c>
      <c r="N11964" s="11">
        <f>HYPERLINK("https://www.vietnamworks.com/graphic-designer--2024503-jv","Xem chi tiết")</f>
        <v/>
      </c>
      <c r="O11964" s="10" t="n"/>
    </row>
    <row r="11965">
      <c r="B11965" s="7" t="n">
        <v>11963</v>
      </c>
      <c r="C11965" t="inlineStr">
        <is>
          <t>Kế Toán Trưởng/ Kế Toán Tổng Hợp</t>
        </is>
      </c>
      <c r="D11965" t="inlineStr">
        <is>
          <t>Công ty TNHH Đầu tư và Phát triển Hacom Việt Nam</t>
        </is>
      </c>
      <c r="E11965" t="inlineStr">
        <is>
          <t>20tr-25tr ₫/tháng</t>
        </is>
      </c>
      <c r="F11965" t="inlineStr">
        <is>
          <t>Hà Nội</t>
        </is>
      </c>
      <c r="G11965" t="inlineStr">
        <is>
          <t>Nhân viên</t>
        </is>
      </c>
      <c r="H11965" t="inlineStr">
        <is>
          <t>17/03/2026</t>
        </is>
      </c>
      <c r="I11965" t="inlineStr">
        <is>
          <t>16/04/2026</t>
        </is>
      </c>
      <c r="J11965" t="inlineStr">
        <is>
          <t>17/03/2026</t>
        </is>
      </c>
      <c r="K11965" t="inlineStr">
        <is>
          <t>N/A</t>
        </is>
      </c>
      <c r="L11965" t="inlineStr">
        <is>
          <t>Kế Toán, Tài Chính, Phân Tích Số Liệu, MISA Accounting Software, Thuế</t>
        </is>
      </c>
      <c r="M11965" t="inlineStr">
        <is>
          <t>Bonus, Healthcare Plan, Paid Leave, Team Activities, Others</t>
        </is>
      </c>
      <c r="N11965" s="8">
        <f>HYPERLINK("https://www.vietnamworks.com/ke-toan-truong-ke-toan-tong-hop--2024502-jv","Xem chi tiết")</f>
        <v/>
      </c>
    </row>
    <row r="11966">
      <c r="B11966" s="9" t="n">
        <v>11964</v>
      </c>
      <c r="C11966" s="10" t="inlineStr">
        <is>
          <t>Nhân Viên Phân Tích Nghiệp Vụ (BA)</t>
        </is>
      </c>
      <c r="D11966" s="10" t="inlineStr">
        <is>
          <t>Hệ thống Giáo Dục Edufit</t>
        </is>
      </c>
      <c r="E11966" s="10" t="inlineStr">
        <is>
          <t>Thương lượng</t>
        </is>
      </c>
      <c r="F11966" s="10" t="inlineStr">
        <is>
          <t>Hà Nội</t>
        </is>
      </c>
      <c r="G11966" s="10" t="inlineStr">
        <is>
          <t>Nhân viên</t>
        </is>
      </c>
      <c r="H11966" s="10" t="inlineStr">
        <is>
          <t>17/03/2026</t>
        </is>
      </c>
      <c r="I11966" s="10" t="inlineStr">
        <is>
          <t>16/04/2026</t>
        </is>
      </c>
      <c r="J11966" s="10" t="inlineStr">
        <is>
          <t>17/03/2026</t>
        </is>
      </c>
      <c r="K11966" s="10" t="inlineStr">
        <is>
          <t>N/A</t>
        </is>
      </c>
      <c r="L11966" s="10" t="inlineStr">
        <is>
          <t>Giao Tiếp, Phân Tích Nghiệp Vụ, Prototype, Thiết Kế Mockup, Tin Học Văn Phòng</t>
        </is>
      </c>
      <c r="M11966" s="10" t="inlineStr">
        <is>
          <t>Bonus, Paid Leave, Training, Others</t>
        </is>
      </c>
      <c r="N11966" s="11">
        <f>HYPERLINK("https://www.vietnamworks.com/nhan-vien-phan-tich-nghiep-vu-ba-2024496-jv","Xem chi tiết")</f>
        <v/>
      </c>
      <c r="O11966" s="10" t="n"/>
    </row>
    <row r="11967">
      <c r="B11967" s="7" t="n">
        <v>11965</v>
      </c>
      <c r="C11967" t="inlineStr">
        <is>
          <t>Process Junior/ Senior Staff</t>
        </is>
      </c>
      <c r="D11967" t="inlineStr">
        <is>
          <t>CÔNG TY TNHH SEAH M&amp;S VIỆT NAM</t>
        </is>
      </c>
      <c r="E11967" t="inlineStr">
        <is>
          <t>Thương lượng</t>
        </is>
      </c>
      <c r="F11967" t="inlineStr">
        <is>
          <t>Bà Rịa - Vũng Tàu</t>
        </is>
      </c>
      <c r="G11967" t="inlineStr">
        <is>
          <t>Nhân viên</t>
        </is>
      </c>
      <c r="H11967" t="inlineStr">
        <is>
          <t>17/03/2026</t>
        </is>
      </c>
      <c r="I11967" t="inlineStr">
        <is>
          <t>16/04/2026</t>
        </is>
      </c>
      <c r="J11967" t="inlineStr">
        <is>
          <t>17/03/2026</t>
        </is>
      </c>
      <c r="K11967" t="inlineStr">
        <is>
          <t>N/A</t>
        </is>
      </c>
      <c r="L11967" t="inlineStr">
        <is>
          <t>hóa học, Chemical Engineering, Production Analysis</t>
        </is>
      </c>
      <c r="M11967" t="inlineStr">
        <is>
          <t>Bonus, Awards, Transportation</t>
        </is>
      </c>
      <c r="N11967" s="8">
        <f>HYPERLINK("https://www.vietnamworks.com/process-junior-senior-staff-2024507-jv","Xem chi tiết")</f>
        <v/>
      </c>
    </row>
    <row r="11968">
      <c r="B11968" s="9" t="n">
        <v>11966</v>
      </c>
      <c r="C11968" s="10" t="inlineStr">
        <is>
          <t>Product Technologist Developer (Apparel)</t>
        </is>
      </c>
      <c r="D11968" s="10" t="inlineStr">
        <is>
          <t>Anko Sourcing (Kmart &amp; Target Australia)</t>
        </is>
      </c>
      <c r="E11968" s="10" t="inlineStr">
        <is>
          <t>Thương lượng</t>
        </is>
      </c>
      <c r="F11968" s="10" t="inlineStr">
        <is>
          <t>Hồ Chí Minh</t>
        </is>
      </c>
      <c r="G11968" s="10" t="inlineStr">
        <is>
          <t>Nhân viên</t>
        </is>
      </c>
      <c r="H11968" s="10" t="inlineStr">
        <is>
          <t>17/03/2026</t>
        </is>
      </c>
      <c r="I11968" s="10" t="inlineStr">
        <is>
          <t>16/04/2026</t>
        </is>
      </c>
      <c r="J11968" s="10" t="inlineStr">
        <is>
          <t>17/03/2026</t>
        </is>
      </c>
      <c r="K11968" s="10" t="inlineStr">
        <is>
          <t>N/A</t>
        </is>
      </c>
      <c r="L11968" s="10" t="inlineStr">
        <is>
          <t>Quality Control, Quality Process Improvement, QC Hardline, Hardlines</t>
        </is>
      </c>
      <c r="M11968" s="10" t="inlineStr">
        <is>
          <t>Bonus, Team Activities, Others</t>
        </is>
      </c>
      <c r="N11968" s="11">
        <f>HYPERLINK("https://www.vietnamworks.com/product-technologist-developer-apparel--2024500-jv","Xem chi tiết")</f>
        <v/>
      </c>
      <c r="O11968" s="10" t="n"/>
    </row>
    <row r="11969">
      <c r="B11969" s="7" t="n">
        <v>11967</v>
      </c>
      <c r="C11969" t="inlineStr">
        <is>
          <t>Admin Team Leader</t>
        </is>
      </c>
      <c r="D11969" t="inlineStr">
        <is>
          <t>Anheuser- Busch Inbev (AB Inbev)</t>
        </is>
      </c>
      <c r="E11969" t="inlineStr">
        <is>
          <t>Thương lượng</t>
        </is>
      </c>
      <c r="F11969" t="inlineStr">
        <is>
          <t>Bình Dương</t>
        </is>
      </c>
      <c r="G11969" t="inlineStr">
        <is>
          <t>Nhân viên</t>
        </is>
      </c>
      <c r="H11969" t="inlineStr">
        <is>
          <t>17/03/2026</t>
        </is>
      </c>
      <c r="I11969" t="inlineStr">
        <is>
          <t>16/04/2026</t>
        </is>
      </c>
      <c r="J11969" t="inlineStr">
        <is>
          <t>17/03/2026</t>
        </is>
      </c>
      <c r="K11969" t="inlineStr">
        <is>
          <t>N/A</t>
        </is>
      </c>
      <c r="L11969" t="inlineStr">
        <is>
          <t>Admin, Administration, Outsourcing Management, Event Organizing, Resource Management</t>
        </is>
      </c>
      <c r="M11969" t="inlineStr">
        <is>
          <t>Healthcare Plan, Paid Leave, Training</t>
        </is>
      </c>
      <c r="N11969" s="8">
        <f>HYPERLINK("https://www.vietnamworks.com/admin-team-leader--2024509-jv","Xem chi tiết")</f>
        <v/>
      </c>
    </row>
    <row r="11970">
      <c r="B11970" s="9" t="n">
        <v>11968</v>
      </c>
      <c r="C11970" s="10" t="inlineStr">
        <is>
          <t>Senior Consultant - Strategy Consulting | EY Parthenon (HCMC Office)</t>
        </is>
      </c>
      <c r="D11970" s="10" t="inlineStr">
        <is>
          <t>Ernst &amp; Young Vietnam Limited (EY Vietnam)</t>
        </is>
      </c>
      <c r="E11970" s="10" t="inlineStr">
        <is>
          <t>Thương lượng</t>
        </is>
      </c>
      <c r="F11970" s="10" t="inlineStr">
        <is>
          <t>Hồ Chí Minh</t>
        </is>
      </c>
      <c r="G11970" s="10" t="inlineStr">
        <is>
          <t>Nhân viên</t>
        </is>
      </c>
      <c r="H11970" s="10" t="inlineStr">
        <is>
          <t>17/03/2026</t>
        </is>
      </c>
      <c r="I11970" s="10" t="inlineStr">
        <is>
          <t>16/04/2026</t>
        </is>
      </c>
      <c r="J11970" s="10" t="inlineStr">
        <is>
          <t>17/03/2026</t>
        </is>
      </c>
      <c r="K11970" s="10" t="inlineStr">
        <is>
          <t>N/A</t>
        </is>
      </c>
      <c r="L11970" s="10" t="inlineStr">
        <is>
          <t>Consulting, Strategy Consulting, Project Management, Planning, Researching</t>
        </is>
      </c>
      <c r="M11970" s="10" t="inlineStr">
        <is>
          <t>Bonus, Awards, Others</t>
        </is>
      </c>
      <c r="N11970" s="11">
        <f>HYPERLINK("https://www.vietnamworks.com/senior-consultant-strategy-consulting-ey-parthenon-hcmc-office--2024512-jv","Xem chi tiết")</f>
        <v/>
      </c>
      <c r="O11970" s="10" t="n"/>
    </row>
    <row r="11971">
      <c r="B11971" s="7" t="n">
        <v>11969</v>
      </c>
      <c r="C11971" t="inlineStr">
        <is>
          <t>Trưởng Phòng Mua Hàng</t>
        </is>
      </c>
      <c r="D11971" t="inlineStr">
        <is>
          <t>Công ty TNHH Thương mại thủy sản Alo Fish</t>
        </is>
      </c>
      <c r="E11971" t="inlineStr">
        <is>
          <t>25tr-30tr ₫/tháng</t>
        </is>
      </c>
      <c r="F11971" t="inlineStr">
        <is>
          <t>Hồ Chí Minh</t>
        </is>
      </c>
      <c r="G11971" t="inlineStr">
        <is>
          <t>Trưởng phòng</t>
        </is>
      </c>
      <c r="H11971" t="inlineStr">
        <is>
          <t>17/03/2026</t>
        </is>
      </c>
      <c r="I11971" t="inlineStr">
        <is>
          <t>16/04/2026</t>
        </is>
      </c>
      <c r="J11971" t="inlineStr">
        <is>
          <t>17/03/2026</t>
        </is>
      </c>
      <c r="K11971" t="inlineStr">
        <is>
          <t>N/A</t>
        </is>
      </c>
      <c r="L11971" t="inlineStr">
        <is>
          <t>Chuỗi Cung Ứng, Mua Hàng, Quản Lý Thu Mua, Quy Trình Mua Hàng Nhập Khẩu, Thủy Sản</t>
        </is>
      </c>
      <c r="M11971" t="inlineStr">
        <is>
          <t>Healthcare Plan, Training, Others</t>
        </is>
      </c>
      <c r="N11971" s="8">
        <f>HYPERLINK("https://www.vietnamworks.com/truong-phong-mua-hang-2024518-jv","Xem chi tiết")</f>
        <v/>
      </c>
    </row>
    <row r="11972">
      <c r="B11972" s="9" t="n">
        <v>11970</v>
      </c>
      <c r="C11972" s="10" t="inlineStr">
        <is>
          <t>Kế Toán Tổng Hợp</t>
        </is>
      </c>
      <c r="D11972" s="10" t="inlineStr">
        <is>
          <t>CÔNG TY CỔ PHẦN TẬP ĐOÀN KIM OANH</t>
        </is>
      </c>
      <c r="E11972" s="10" t="inlineStr">
        <is>
          <t>Thương lượng</t>
        </is>
      </c>
      <c r="F11972" s="10" t="inlineStr">
        <is>
          <t>Hồ Chí Minh</t>
        </is>
      </c>
      <c r="G11972" s="10" t="inlineStr">
        <is>
          <t>Nhân viên</t>
        </is>
      </c>
      <c r="H11972" s="10" t="inlineStr">
        <is>
          <t>17/03/2026</t>
        </is>
      </c>
      <c r="I11972" s="10" t="inlineStr">
        <is>
          <t>16/04/2026</t>
        </is>
      </c>
      <c r="J11972" s="10" t="inlineStr">
        <is>
          <t>17/03/2026</t>
        </is>
      </c>
      <c r="K11972" s="10" t="inlineStr">
        <is>
          <t>N/A</t>
        </is>
      </c>
      <c r="L11972" s="10" t="inlineStr">
        <is>
          <t>Giao Tiếp, Kế Toán Tổng Hợp, Kỹ Năng Thương Thảo Đàm Phán, Microsoft Office, Phần mềm kế toán</t>
        </is>
      </c>
      <c r="M11972" s="10" t="inlineStr">
        <is>
          <t>Bonus, Healthcare Plan, Training</t>
        </is>
      </c>
      <c r="N11972" s="11">
        <f>HYPERLINK("https://www.vietnamworks.com/ke-toan-tong-hop-2024523-jv","Xem chi tiết")</f>
        <v/>
      </c>
      <c r="O11972" s="10" t="n"/>
    </row>
    <row r="11973">
      <c r="B11973" s="7" t="n">
        <v>11971</v>
      </c>
      <c r="C11973" t="inlineStr">
        <is>
          <t>Buyer</t>
        </is>
      </c>
      <c r="D11973" t="inlineStr">
        <is>
          <t>Công Ty Cổ Phần Metub Việt Nam</t>
        </is>
      </c>
      <c r="E11973" t="inlineStr">
        <is>
          <t>Thương lượng</t>
        </is>
      </c>
      <c r="F11973" t="inlineStr">
        <is>
          <t>Hồ Chí Minh</t>
        </is>
      </c>
      <c r="G11973" t="inlineStr">
        <is>
          <t>Nhân viên</t>
        </is>
      </c>
      <c r="H11973" t="inlineStr">
        <is>
          <t>17/03/2026</t>
        </is>
      </c>
      <c r="I11973" t="inlineStr">
        <is>
          <t>16/04/2026</t>
        </is>
      </c>
      <c r="J11973" t="inlineStr">
        <is>
          <t>17/03/2026</t>
        </is>
      </c>
      <c r="K11973" t="inlineStr">
        <is>
          <t>N/A</t>
        </is>
      </c>
      <c r="L11973" t="inlineStr">
        <is>
          <t>Product Management, Sales Management, Supplier Management, Data Analysis, Communication</t>
        </is>
      </c>
      <c r="M11973" t="inlineStr">
        <is>
          <t>Bonus, Healthcare Plan, Training, Others</t>
        </is>
      </c>
      <c r="N11973" s="8">
        <f>HYPERLINK("https://www.vietnamworks.com/buyer-2024527-jv","Xem chi tiết")</f>
        <v/>
      </c>
    </row>
    <row r="11974">
      <c r="B11974" s="9" t="n">
        <v>11972</v>
      </c>
      <c r="C11974" s="10" t="inlineStr">
        <is>
          <t>Electrical Design Engineer (3–6 Years Experience)</t>
        </is>
      </c>
      <c r="D11974" s="10" t="inlineStr">
        <is>
          <t>COVA HOLDINGS (VIETNAM)</t>
        </is>
      </c>
      <c r="E11974" s="10" t="inlineStr">
        <is>
          <t>Thương lượng</t>
        </is>
      </c>
      <c r="F11974" s="10" t="inlineStr">
        <is>
          <t>Hồ Chí Minh</t>
        </is>
      </c>
      <c r="G11974" s="10" t="inlineStr">
        <is>
          <t>Nhân viên</t>
        </is>
      </c>
      <c r="H11974" s="10" t="inlineStr">
        <is>
          <t>17/03/2026</t>
        </is>
      </c>
      <c r="I11974" s="10" t="inlineStr">
        <is>
          <t>16/04/2026</t>
        </is>
      </c>
      <c r="J11974" s="10" t="inlineStr">
        <is>
          <t>17/03/2026</t>
        </is>
      </c>
      <c r="K11974" s="10" t="inlineStr">
        <is>
          <t>N/A</t>
        </is>
      </c>
      <c r="L11974" s="10" t="inlineStr">
        <is>
          <t>Hydraulic Calculations, AutoCAD, Revit, Construction Drawings, Design Drawings</t>
        </is>
      </c>
      <c r="M11974" s="10" t="inlineStr">
        <is>
          <t>Bonus, Healthcare Plan, Paid Leave, Training, Others</t>
        </is>
      </c>
      <c r="N11974" s="11">
        <f>HYPERLINK("https://www.vietnamworks.com/electrical-design-engineer-3-6-years-experience-2024536-jv","Xem chi tiết")</f>
        <v/>
      </c>
      <c r="O11974" s="10" t="n"/>
    </row>
    <row r="11975">
      <c r="B11975" s="7" t="n">
        <v>11973</v>
      </c>
      <c r="C11975" t="inlineStr">
        <is>
          <t>Chuyên Viên Kinh Doanh Bất Động Sản (Data Có Sẵn – Hoa Hồng Hấp Dẫn)</t>
        </is>
      </c>
      <c r="D11975" t="inlineStr">
        <is>
          <t>CÔNG TY TNHH ĐẦU TƯ VÀ PHÁT TRIỂN BẤT ĐỘNG SẢN ONE PLUS</t>
        </is>
      </c>
      <c r="E11975" t="inlineStr">
        <is>
          <t>9tr-19tr ₫/tháng</t>
        </is>
      </c>
      <c r="F11975" t="inlineStr">
        <is>
          <t>Hồ Chí Minh</t>
        </is>
      </c>
      <c r="G11975" t="inlineStr">
        <is>
          <t>Nhân viên</t>
        </is>
      </c>
      <c r="H11975" t="inlineStr">
        <is>
          <t>17/03/2026</t>
        </is>
      </c>
      <c r="I11975" t="inlineStr">
        <is>
          <t>16/04/2026</t>
        </is>
      </c>
      <c r="J11975" t="inlineStr">
        <is>
          <t>17/03/2026</t>
        </is>
      </c>
      <c r="K11975" t="inlineStr">
        <is>
          <t>N/A</t>
        </is>
      </c>
      <c r="L11975" t="inlineStr">
        <is>
          <t>Tư Vấn Khách Hàng, Phát Triển Khách Hàng, Quản Lý Dữ Liệu, Bất Động Sản, Kinh Doanh</t>
        </is>
      </c>
      <c r="M11975" t="inlineStr">
        <is>
          <t>Bonus, Training, Team Activities, Others</t>
        </is>
      </c>
      <c r="N11975" s="8">
        <f>HYPERLINK("https://www.vietnamworks.com/chuyen-vien-kinh-doanh-bat-dong-san-data-co-san-hoa-hong-hap-dan-2024538-jv","Xem chi tiết")</f>
        <v/>
      </c>
    </row>
    <row r="11976">
      <c r="B11976" s="9" t="n">
        <v>11974</v>
      </c>
      <c r="C11976" s="10" t="inlineStr">
        <is>
          <t xml:space="preserve"> HR Manager</t>
        </is>
      </c>
      <c r="D11976" s="10" t="inlineStr">
        <is>
          <t>Green Field Group</t>
        </is>
      </c>
      <c r="E11976" s="10" t="inlineStr">
        <is>
          <t>$$ 1,200-1,500 /tháng</t>
        </is>
      </c>
      <c r="F11976" s="10" t="inlineStr">
        <is>
          <t>Hồ Chí Minh</t>
        </is>
      </c>
      <c r="G11976" s="10" t="inlineStr">
        <is>
          <t>Trưởng phòng</t>
        </is>
      </c>
      <c r="H11976" s="10" t="inlineStr">
        <is>
          <t>17/03/2026</t>
        </is>
      </c>
      <c r="I11976" s="10" t="inlineStr">
        <is>
          <t>16/04/2026</t>
        </is>
      </c>
      <c r="J11976" s="10" t="inlineStr">
        <is>
          <t>17/03/2026</t>
        </is>
      </c>
      <c r="K11976" s="10" t="inlineStr">
        <is>
          <t>N/A</t>
        </is>
      </c>
      <c r="L11976" s="10" t="inlineStr">
        <is>
          <t>Lương Và Phúc Lợi, Quản Trị Đội Ngũ, Tuyển Dụng, Đào Tạo và Phát Triển, Đào Tạo Và Xây Dựng Văn Hoá</t>
        </is>
      </c>
      <c r="M11976" s="10" t="inlineStr">
        <is>
          <t>Healthcare Plan, Paid Leave, Travel Opportunities</t>
        </is>
      </c>
      <c r="N11976" s="11">
        <f>HYPERLINK("https://www.vietnamworks.com/hr-manager-2024528-jv","Xem chi tiết")</f>
        <v/>
      </c>
      <c r="O11976" s="10" t="n"/>
    </row>
    <row r="11977">
      <c r="B11977" s="7" t="n">
        <v>11975</v>
      </c>
      <c r="C11977" t="inlineStr">
        <is>
          <t>GT South Head</t>
        </is>
      </c>
      <c r="D11977" t="inlineStr">
        <is>
          <t>Công ty TNHH CJ Foods Việt Nam/ CJ Foods Vietnam Company Limited</t>
        </is>
      </c>
      <c r="E11977" t="inlineStr">
        <is>
          <t>Thương lượng</t>
        </is>
      </c>
      <c r="F11977" t="inlineStr">
        <is>
          <t>Hồ Chí Minh</t>
        </is>
      </c>
      <c r="G11977" t="inlineStr">
        <is>
          <t>Trưởng phòng</t>
        </is>
      </c>
      <c r="H11977" t="inlineStr">
        <is>
          <t>17/03/2026</t>
        </is>
      </c>
      <c r="I11977" t="inlineStr">
        <is>
          <t>16/04/2026</t>
        </is>
      </c>
      <c r="J11977" t="inlineStr">
        <is>
          <t>17/03/2026</t>
        </is>
      </c>
      <c r="K11977" t="inlineStr">
        <is>
          <t>N/A</t>
        </is>
      </c>
      <c r="L11977" t="inlineStr">
        <is>
          <t>Sales Management, Distributor System Management, Trade Marketing, Analytical Skills, Leadership</t>
        </is>
      </c>
      <c r="M11977" t="inlineStr">
        <is>
          <t>Paid Leave, Laptop, Others</t>
        </is>
      </c>
      <c r="N11977" s="8">
        <f>HYPERLINK("https://www.vietnamworks.com/gt-south-head-2024537-jv","Xem chi tiết")</f>
        <v/>
      </c>
    </row>
    <row r="11978">
      <c r="B11978" s="9" t="n">
        <v>11976</v>
      </c>
      <c r="C11978" s="10" t="inlineStr">
        <is>
          <t>Nhân Viên Xuất Nhập Khẩu</t>
        </is>
      </c>
      <c r="D11978" s="10" t="inlineStr">
        <is>
          <t>Công Ty TNHH Advance Nonwoven Việt Nam</t>
        </is>
      </c>
      <c r="E11978" s="10" t="inlineStr">
        <is>
          <t>Thương lượng</t>
        </is>
      </c>
      <c r="F11978" s="10" t="inlineStr">
        <is>
          <t>Đà Nẵng</t>
        </is>
      </c>
      <c r="G11978" s="10" t="inlineStr">
        <is>
          <t>Nhân viên</t>
        </is>
      </c>
      <c r="H11978" s="10" t="inlineStr">
        <is>
          <t>17/03/2026</t>
        </is>
      </c>
      <c r="I11978" s="10" t="inlineStr">
        <is>
          <t>16/04/2026</t>
        </is>
      </c>
      <c r="J11978" s="10" t="inlineStr">
        <is>
          <t>17/03/2026</t>
        </is>
      </c>
      <c r="K11978" s="10" t="inlineStr">
        <is>
          <t>N/A</t>
        </is>
      </c>
      <c r="L11978" s="10" t="inlineStr">
        <is>
          <t>Xuất Nhập Khẩu, Logistics, Hải Quan, Incoterms, Thủ Tục Hải Quan</t>
        </is>
      </c>
      <c r="M11978" s="10" t="inlineStr">
        <is>
          <t>Bonus, Healthcare Plan, Paid Leave, Laptop, Travel Opportunities, Others</t>
        </is>
      </c>
      <c r="N11978" s="11">
        <f>HYPERLINK("https://www.vietnamworks.com/nhan-vien-xuat-nhap-khau-2024517-jv","Xem chi tiết")</f>
        <v/>
      </c>
      <c r="O11978" s="10" t="n"/>
    </row>
    <row r="11979">
      <c r="B11979" s="7" t="n">
        <v>11977</v>
      </c>
      <c r="C11979" t="inlineStr">
        <is>
          <t xml:space="preserve">Marketing Planner - Chuyên Viên Lập Kế Hoạch Marketing </t>
        </is>
      </c>
      <c r="D11979" t="inlineStr">
        <is>
          <t>CÔNG TY CỔ PHẦN THÀNH CÔNG MOTOR VIỆT NAM</t>
        </is>
      </c>
      <c r="E11979" t="inlineStr">
        <is>
          <t>$$ 700-1,100 /tháng</t>
        </is>
      </c>
      <c r="F11979" t="inlineStr">
        <is>
          <t>Hà Nội</t>
        </is>
      </c>
      <c r="G11979" t="inlineStr">
        <is>
          <t>Nhân viên</t>
        </is>
      </c>
      <c r="H11979" t="inlineStr">
        <is>
          <t>17/03/2026</t>
        </is>
      </c>
      <c r="I11979" t="inlineStr">
        <is>
          <t>16/04/2026</t>
        </is>
      </c>
      <c r="J11979" t="inlineStr">
        <is>
          <t>17/03/2026</t>
        </is>
      </c>
      <c r="K11979" t="inlineStr">
        <is>
          <t>N/A</t>
        </is>
      </c>
      <c r="L11979" t="inlineStr">
        <is>
          <t>Giao Tiếp Xuất Sắc, Kỹ năng lập kế hoạch, Phân Tích Chiến Lược, Phân Tích Dữ Liệu, Quản Lý Dự Án</t>
        </is>
      </c>
      <c r="M11979" t="inlineStr">
        <is>
          <t>Bonus, Healthcare Plan, Paid Leave</t>
        </is>
      </c>
      <c r="N11979" s="8">
        <f>HYPERLINK("https://www.vietnamworks.com/marketing-planner-chuyen-vien-lap-ke-hoach-marketing-2024529-jv","Xem chi tiết")</f>
        <v/>
      </c>
    </row>
    <row r="11980">
      <c r="B11980" s="9" t="n">
        <v>11978</v>
      </c>
      <c r="C11980" s="10" t="inlineStr">
        <is>
          <t>Secondary School Teacher (Natural Science Chemistry)</t>
        </is>
      </c>
      <c r="D11980" s="10" t="inlineStr">
        <is>
          <t>EMASI Nam Long - EMASI International Bilingual Schools</t>
        </is>
      </c>
      <c r="E11980" s="10" t="inlineStr">
        <is>
          <t>Thương lượng</t>
        </is>
      </c>
      <c r="F11980" s="10" t="inlineStr">
        <is>
          <t>Hồ Chí Minh</t>
        </is>
      </c>
      <c r="G11980" s="10" t="inlineStr">
        <is>
          <t>Nhân viên</t>
        </is>
      </c>
      <c r="H11980" s="10" t="inlineStr">
        <is>
          <t>17/03/2026</t>
        </is>
      </c>
      <c r="I11980" s="10" t="inlineStr">
        <is>
          <t>16/04/2026</t>
        </is>
      </c>
      <c r="J11980" s="10" t="inlineStr">
        <is>
          <t>17/03/2026</t>
        </is>
      </c>
      <c r="K11980" s="10" t="inlineStr">
        <is>
          <t>N/A</t>
        </is>
      </c>
      <c r="L11980" s="10" t="inlineStr">
        <is>
          <t>Classroom Management, Communication Skills, Problem-solving, Teamwork, Time Management</t>
        </is>
      </c>
      <c r="M11980" s="10" t="inlineStr">
        <is>
          <t>Healthcare Plan, Paid Leave, Laptop, Canteen</t>
        </is>
      </c>
      <c r="N11980" s="11">
        <f>HYPERLINK("https://www.vietnamworks.com/secondary-school-teacher-natural-science-chemistry-2024522-jv","Xem chi tiết")</f>
        <v/>
      </c>
      <c r="O11980" s="10" t="n"/>
    </row>
    <row r="11981">
      <c r="B11981" s="7" t="n">
        <v>11979</v>
      </c>
      <c r="C11981" t="inlineStr">
        <is>
          <t>Nhân Viên Kế Toán</t>
        </is>
      </c>
      <c r="D11981" t="inlineStr">
        <is>
          <t>Vacons (Interior Design &amp; Build)</t>
        </is>
      </c>
      <c r="E11981" t="inlineStr">
        <is>
          <t>12tr-16tr ₫/tháng</t>
        </is>
      </c>
      <c r="F11981" t="inlineStr">
        <is>
          <t>Hồ Chí Minh</t>
        </is>
      </c>
      <c r="G11981" t="inlineStr">
        <is>
          <t>Nhân viên</t>
        </is>
      </c>
      <c r="H11981" t="inlineStr">
        <is>
          <t>17/03/2026</t>
        </is>
      </c>
      <c r="I11981" t="inlineStr">
        <is>
          <t>16/04/2026</t>
        </is>
      </c>
      <c r="J11981" t="inlineStr">
        <is>
          <t>17/03/2026</t>
        </is>
      </c>
      <c r="K11981" t="inlineStr">
        <is>
          <t>N/A</t>
        </is>
      </c>
      <c r="L11981" t="inlineStr">
        <is>
          <t>Hạch Toán Chi Phí, Kế Toán Thuế, Nhanh nhẹn, Quản Lý Công Nợ, Kiến Thức Bhxh</t>
        </is>
      </c>
      <c r="M11981" t="inlineStr">
        <is>
          <t>Bonus, Healthcare Plan, Training, Others</t>
        </is>
      </c>
      <c r="N11981" s="8">
        <f>HYPERLINK("https://www.vietnamworks.com/nhan-vien-ke-toan-2024535-jv","Xem chi tiết")</f>
        <v/>
      </c>
    </row>
    <row r="11982">
      <c r="B11982" s="9" t="n">
        <v>11980</v>
      </c>
      <c r="C11982" s="10" t="inlineStr">
        <is>
          <t>Trưởng Phòng Marketing (Thu Nhập Tới 25Tr/ Tháng)</t>
        </is>
      </c>
      <c r="D11982" s="10" t="inlineStr">
        <is>
          <t>Công Ty TNHH Hồng Hạnh</t>
        </is>
      </c>
      <c r="E11982" s="10" t="inlineStr">
        <is>
          <t>20tr-25tr ₫/tháng</t>
        </is>
      </c>
      <c r="F11982" s="10" t="inlineStr">
        <is>
          <t>Hà Nội</t>
        </is>
      </c>
      <c r="G11982" s="10" t="inlineStr">
        <is>
          <t>Trưởng phòng</t>
        </is>
      </c>
      <c r="H11982" s="10" t="inlineStr">
        <is>
          <t>17/03/2026</t>
        </is>
      </c>
      <c r="I11982" s="10" t="inlineStr">
        <is>
          <t>16/04/2026</t>
        </is>
      </c>
      <c r="J11982" s="10" t="inlineStr">
        <is>
          <t>17/03/2026</t>
        </is>
      </c>
      <c r="K11982" s="10" t="inlineStr">
        <is>
          <t>N/A</t>
        </is>
      </c>
      <c r="L11982" s="10" t="inlineStr">
        <is>
          <t>Truyền Thông, Digital Marketing, Product Marketing, Marketing, Market Research</t>
        </is>
      </c>
      <c r="M11982" s="10" t="inlineStr">
        <is>
          <t>Bonus, Healthcare Plan, Team Activities</t>
        </is>
      </c>
      <c r="N11982" s="11">
        <f>HYPERLINK("https://www.vietnamworks.com/truong-phong-marketing-thu-nhap-toi-25tr-thang-2024530-jv","Xem chi tiết")</f>
        <v/>
      </c>
      <c r="O11982" s="10" t="n"/>
    </row>
    <row r="11983">
      <c r="B11983" s="7" t="n">
        <v>11981</v>
      </c>
      <c r="C11983" t="inlineStr">
        <is>
          <t>Property Management Executive</t>
        </is>
      </c>
      <c r="D11983" t="inlineStr">
        <is>
          <t>CÔNG TY TNHH THE SENTRY</t>
        </is>
      </c>
      <c r="E11983" t="inlineStr">
        <is>
          <t>Thương lượng</t>
        </is>
      </c>
      <c r="F11983" t="inlineStr">
        <is>
          <t>Hồ Chí Minh</t>
        </is>
      </c>
      <c r="G11983" t="inlineStr">
        <is>
          <t>Nhân viên</t>
        </is>
      </c>
      <c r="H11983" t="inlineStr">
        <is>
          <t>17/03/2026</t>
        </is>
      </c>
      <c r="I11983" t="inlineStr">
        <is>
          <t>16/04/2026</t>
        </is>
      </c>
      <c r="J11983" t="inlineStr">
        <is>
          <t>17/03/2026</t>
        </is>
      </c>
      <c r="K11983" t="inlineStr">
        <is>
          <t>N/A</t>
        </is>
      </c>
      <c r="L11983" t="inlineStr">
        <is>
          <t>Building Management, Real Estate, Operation, Property Management, English proficiency</t>
        </is>
      </c>
      <c r="M11983" t="inlineStr">
        <is>
          <t>Bonus, Team Activities, Others</t>
        </is>
      </c>
      <c r="N11983" s="8">
        <f>HYPERLINK("https://www.vietnamworks.com/property-management-executive--2024521-jv","Xem chi tiết")</f>
        <v/>
      </c>
    </row>
    <row r="11984">
      <c r="B11984" s="9" t="n">
        <v>11982</v>
      </c>
      <c r="C11984" s="10" t="inlineStr">
        <is>
          <t>Chuyên Viên Quản Lý Nghiệp Vụ Bảo Hiểm Con Người và Y Tế</t>
        </is>
      </c>
      <c r="D11984" s="10" t="inlineStr">
        <is>
          <t>Tổng Công Ty Bảo Hiểm Bảo Việt</t>
        </is>
      </c>
      <c r="E11984" s="10" t="inlineStr">
        <is>
          <t>Thương lượng</t>
        </is>
      </c>
      <c r="F11984" s="10" t="inlineStr">
        <is>
          <t>Hà Nội</t>
        </is>
      </c>
      <c r="G11984" s="10" t="inlineStr">
        <is>
          <t>Nhân viên</t>
        </is>
      </c>
      <c r="H11984" s="10" t="inlineStr">
        <is>
          <t>17/03/2026</t>
        </is>
      </c>
      <c r="I11984" s="10" t="inlineStr">
        <is>
          <t>16/04/2026</t>
        </is>
      </c>
      <c r="J11984" s="10" t="inlineStr">
        <is>
          <t>17/03/2026</t>
        </is>
      </c>
      <c r="K11984" s="10" t="inlineStr">
        <is>
          <t>N/A</t>
        </is>
      </c>
      <c r="L11984" s="10" t="inlineStr">
        <is>
          <t>Phát Triển Sản Phẩm, Phân Tích Số Liệu, Bảo Hiểm, Bồi Thường Bảo Hiểm, Tài Chính Doanh Nghiệp</t>
        </is>
      </c>
      <c r="M11984" s="10" t="inlineStr">
        <is>
          <t>Bonus, Healthcare Plan, Others</t>
        </is>
      </c>
      <c r="N11984" s="11">
        <f>HYPERLINK("https://www.vietnamworks.com/chuyen-vien-quan-ly-nghiep-vu-bao-hiem-con-nguoi-va-y-te-2024531-jv","Xem chi tiết")</f>
        <v/>
      </c>
      <c r="O11984" s="10" t="n"/>
    </row>
    <row r="11985">
      <c r="B11985" s="7" t="n">
        <v>11983</v>
      </c>
      <c r="C11985" t="inlineStr">
        <is>
          <t>Trưởng Ban Chuyển Đổi Số</t>
        </is>
      </c>
      <c r="D11985" t="inlineStr">
        <is>
          <t>Công ty Cổ phần Tập đoàn F.I.T</t>
        </is>
      </c>
      <c r="E11985" t="inlineStr">
        <is>
          <t>Thương lượng</t>
        </is>
      </c>
      <c r="F11985" t="inlineStr">
        <is>
          <t>Hà Nội</t>
        </is>
      </c>
      <c r="G11985" t="inlineStr">
        <is>
          <t>Giám Đốc và Cấp Cao Hơn</t>
        </is>
      </c>
      <c r="H11985" t="inlineStr">
        <is>
          <t>17/03/2026</t>
        </is>
      </c>
      <c r="I11985" t="inlineStr">
        <is>
          <t>16/04/2026</t>
        </is>
      </c>
      <c r="J11985" t="inlineStr">
        <is>
          <t>17/03/2026</t>
        </is>
      </c>
      <c r="K11985" t="inlineStr">
        <is>
          <t>N/A</t>
        </is>
      </c>
      <c r="L11985" t="inlineStr">
        <is>
          <t>Quản Trị Doanh Nghiệp, Cập Nhật Công Nghệ, Xây Dựng Chiến Lược, Đề Xuất Ý Tưởng</t>
        </is>
      </c>
      <c r="M11985" t="inlineStr">
        <is>
          <t>Bonus, Training, Team Activities</t>
        </is>
      </c>
      <c r="N11985" s="8">
        <f>HYPERLINK("https://www.vietnamworks.com/truong-ban-chuyen-doi-so--2024510-jv","Xem chi tiết")</f>
        <v/>
      </c>
    </row>
    <row r="11986">
      <c r="B11986" s="9" t="n">
        <v>11984</v>
      </c>
      <c r="C11986" s="10" t="inlineStr">
        <is>
          <t>Key Account Manager (EL - Home &amp; Kitchen Appliances)</t>
        </is>
      </c>
      <c r="D11986" s="10" t="inlineStr">
        <is>
          <t>Công Ty Cổ Phần Metub Việt Nam</t>
        </is>
      </c>
      <c r="E11986" s="10" t="inlineStr">
        <is>
          <t>Thương lượng</t>
        </is>
      </c>
      <c r="F11986" s="10" t="inlineStr">
        <is>
          <t>Hồ Chí Minh</t>
        </is>
      </c>
      <c r="G11986" s="10" t="inlineStr">
        <is>
          <t>Nhân viên</t>
        </is>
      </c>
      <c r="H11986" s="10" t="inlineStr">
        <is>
          <t>17/03/2026</t>
        </is>
      </c>
      <c r="I11986" s="10" t="inlineStr">
        <is>
          <t>16/04/2026</t>
        </is>
      </c>
      <c r="J11986" s="10" t="inlineStr">
        <is>
          <t>17/03/2026</t>
        </is>
      </c>
      <c r="K11986" s="10" t="inlineStr">
        <is>
          <t>N/A</t>
        </is>
      </c>
      <c r="L11986" s="10" t="inlineStr">
        <is>
          <t>Sales Planning, Store Management, Promotion Campaign, Marketing Analytics, Communication Skills</t>
        </is>
      </c>
      <c r="M11986" s="10" t="inlineStr">
        <is>
          <t>Bonus, Others</t>
        </is>
      </c>
      <c r="N11986" s="11">
        <f>HYPERLINK("https://www.vietnamworks.com/key-account-manager-el-home-and-kitchen-appliances-2024534-jv","Xem chi tiết")</f>
        <v/>
      </c>
      <c r="O11986" s="10" t="n"/>
    </row>
    <row r="11987">
      <c r="B11987" s="7" t="n">
        <v>11985</v>
      </c>
      <c r="C11987" t="inlineStr">
        <is>
          <t>Chuyên Viên Phát Triển Đối Tác</t>
        </is>
      </c>
      <c r="D11987" t="inlineStr">
        <is>
          <t>Hệ thống Giáo Dục Edufit</t>
        </is>
      </c>
      <c r="E11987" t="inlineStr">
        <is>
          <t>$$ 455-760 /tháng</t>
        </is>
      </c>
      <c r="F11987" t="inlineStr">
        <is>
          <t>Hải Phòng</t>
        </is>
      </c>
      <c r="G11987" t="inlineStr">
        <is>
          <t>Nhân viên</t>
        </is>
      </c>
      <c r="H11987" t="inlineStr">
        <is>
          <t>17/03/2026</t>
        </is>
      </c>
      <c r="I11987" t="inlineStr">
        <is>
          <t>16/04/2026</t>
        </is>
      </c>
      <c r="J11987" t="inlineStr">
        <is>
          <t>17/03/2026</t>
        </is>
      </c>
      <c r="K11987" t="inlineStr">
        <is>
          <t>N/A</t>
        </is>
      </c>
      <c r="L11987" t="inlineStr">
        <is>
          <t>Phát Triển Đối Tác, Partnership Development, Kinh Doanh, Business Development, B2B Sales</t>
        </is>
      </c>
      <c r="M11987" t="inlineStr">
        <is>
          <t>Bonus, Paid Leave, Kindergarten</t>
        </is>
      </c>
      <c r="N11987" s="8">
        <f>HYPERLINK("https://www.vietnamworks.com/chuyen-vien-phat-trien-doi-tac--2024533-jv","Xem chi tiết")</f>
        <v/>
      </c>
    </row>
    <row r="11988">
      <c r="B11988" s="9" t="n">
        <v>11986</v>
      </c>
      <c r="C11988" s="10" t="inlineStr">
        <is>
          <t>Marketing, Admissions &amp; Communications Manager (MAC Manager)</t>
        </is>
      </c>
      <c r="D11988" s="10" t="inlineStr">
        <is>
          <t>EMASI Nam Long - EMASI International Bilingual Schools</t>
        </is>
      </c>
      <c r="E11988" s="10" t="inlineStr">
        <is>
          <t>Thương lượng</t>
        </is>
      </c>
      <c r="F11988" s="10" t="inlineStr">
        <is>
          <t>Hồ Chí Minh</t>
        </is>
      </c>
      <c r="G11988" s="10" t="inlineStr">
        <is>
          <t>Trưởng phòng</t>
        </is>
      </c>
      <c r="H11988" s="10" t="inlineStr">
        <is>
          <t>17/03/2026</t>
        </is>
      </c>
      <c r="I11988" s="10" t="inlineStr">
        <is>
          <t>16/04/2026</t>
        </is>
      </c>
      <c r="J11988" s="10" t="inlineStr">
        <is>
          <t>17/03/2026</t>
        </is>
      </c>
      <c r="K11988" s="10" t="inlineStr">
        <is>
          <t>N/A</t>
        </is>
      </c>
      <c r="L11988" s="10" t="inlineStr">
        <is>
          <t>Communication Skills, CRM System, Market Research, Sales Strategy, Student Recruiting</t>
        </is>
      </c>
      <c r="M11988" s="10" t="inlineStr">
        <is>
          <t>Healthcare Plan, Library, Laptop, Canteen</t>
        </is>
      </c>
      <c r="N11988" s="11">
        <f>HYPERLINK("https://www.vietnamworks.com/marketing-admissions-and-communications-manager-mac-manager-2024526-jv","Xem chi tiết")</f>
        <v/>
      </c>
      <c r="O11988" s="10" t="n"/>
    </row>
    <row r="11989">
      <c r="B11989" s="7" t="n">
        <v>11987</v>
      </c>
      <c r="C11989" t="inlineStr">
        <is>
          <t>Senior Buyer</t>
        </is>
      </c>
      <c r="D11989" t="inlineStr">
        <is>
          <t>VINFAST TRADING AND PRODUCTION JSC</t>
        </is>
      </c>
      <c r="E11989" t="inlineStr">
        <is>
          <t>Thương lượng</t>
        </is>
      </c>
      <c r="F11989" t="inlineStr">
        <is>
          <t>Hà Nội</t>
        </is>
      </c>
      <c r="G11989" t="inlineStr">
        <is>
          <t>Nhân viên</t>
        </is>
      </c>
      <c r="H11989" t="inlineStr">
        <is>
          <t>17/03/2026</t>
        </is>
      </c>
      <c r="I11989" t="inlineStr">
        <is>
          <t>16/04/2026</t>
        </is>
      </c>
      <c r="J11989" t="inlineStr">
        <is>
          <t>17/03/2026</t>
        </is>
      </c>
      <c r="K11989" t="inlineStr">
        <is>
          <t>N/A</t>
        </is>
      </c>
      <c r="L11989" t="inlineStr">
        <is>
          <t>buyer, Automobile, Continuous Improvement, Procurement, Purchasing</t>
        </is>
      </c>
      <c r="M11989" t="inlineStr">
        <is>
          <t>Bonus, Healthcare Plan, Others</t>
        </is>
      </c>
      <c r="N11989" s="8">
        <f>HYPERLINK("https://www.vietnamworks.com/senior-buyer-35-2024552-jv","Xem chi tiết")</f>
        <v/>
      </c>
    </row>
    <row r="11990">
      <c r="B11990" s="9" t="n">
        <v>11988</v>
      </c>
      <c r="C11990" s="10" t="inlineStr">
        <is>
          <t>Data Scientist</t>
        </is>
      </c>
      <c r="D11990" s="10" t="inlineStr">
        <is>
          <t>CÔNG TY TNHH T.M.G</t>
        </is>
      </c>
      <c r="E11990" s="10" t="inlineStr">
        <is>
          <t>20tr-30tr ₫/tháng</t>
        </is>
      </c>
      <c r="F11990" s="10" t="inlineStr">
        <is>
          <t>Hồ Chí Minh</t>
        </is>
      </c>
      <c r="G11990" s="10" t="inlineStr">
        <is>
          <t>Nhân viên</t>
        </is>
      </c>
      <c r="H11990" s="10" t="inlineStr">
        <is>
          <t>17/03/2026</t>
        </is>
      </c>
      <c r="I11990" s="10" t="inlineStr">
        <is>
          <t>16/04/2026</t>
        </is>
      </c>
      <c r="J11990" s="10" t="inlineStr">
        <is>
          <t>17/03/2026</t>
        </is>
      </c>
      <c r="K11990" s="10" t="inlineStr">
        <is>
          <t>N/A</t>
        </is>
      </c>
      <c r="L11990" s="10" t="inlineStr">
        <is>
          <t>Data Science, Computer Science, Python, SQL, Machine Learning</t>
        </is>
      </c>
      <c r="M11990" s="10" t="inlineStr">
        <is>
          <t>Bonus, Healthcare Plan, Training</t>
        </is>
      </c>
      <c r="N11990" s="11">
        <f>HYPERLINK("https://www.vietnamworks.com/data-scientist--2024539-jv","Xem chi tiết")</f>
        <v/>
      </c>
      <c r="O11990" s="10" t="n"/>
    </row>
    <row r="11991">
      <c r="B11991" s="7" t="n">
        <v>11989</v>
      </c>
      <c r="C11991" t="inlineStr">
        <is>
          <t>Kế Toán Thuế</t>
        </is>
      </c>
      <c r="D11991" t="inlineStr">
        <is>
          <t>CÔNG TY TNHH T.M.G</t>
        </is>
      </c>
      <c r="E11991" t="inlineStr">
        <is>
          <t>Thương lượng</t>
        </is>
      </c>
      <c r="F11991" t="inlineStr">
        <is>
          <t>Hồ Chí Minh</t>
        </is>
      </c>
      <c r="G11991" t="inlineStr">
        <is>
          <t>Mới Tốt Nghiệp</t>
        </is>
      </c>
      <c r="H11991" t="inlineStr">
        <is>
          <t>17/03/2026</t>
        </is>
      </c>
      <c r="I11991" t="inlineStr">
        <is>
          <t>16/04/2026</t>
        </is>
      </c>
      <c r="J11991" t="inlineStr">
        <is>
          <t>17/03/2026</t>
        </is>
      </c>
      <c r="K11991" t="inlineStr">
        <is>
          <t>N/A</t>
        </is>
      </c>
      <c r="L11991" t="inlineStr">
        <is>
          <t>Tài Chính, Kế toán, Phần Mềm Kế Toán, Kiểm toán, Hạch Toán</t>
        </is>
      </c>
      <c r="M11991" t="inlineStr">
        <is>
          <t>Bonus, Healthcare Plan, Training</t>
        </is>
      </c>
      <c r="N11991" s="8">
        <f>HYPERLINK("https://www.vietnamworks.com/ke-toan-thue--2024547-jv","Xem chi tiết")</f>
        <v/>
      </c>
    </row>
    <row r="11992">
      <c r="B11992" s="9" t="n">
        <v>11990</v>
      </c>
      <c r="C11992" s="10" t="inlineStr">
        <is>
          <t>Nhân Viên Cải Tiến ( Kỹ Thuật Sản Phẩm)</t>
        </is>
      </c>
      <c r="D11992" s="10" t="inlineStr">
        <is>
          <t>INOUE Rubber Vietnam CO., LTD.</t>
        </is>
      </c>
      <c r="E11992" s="10" t="inlineStr">
        <is>
          <t>Thương lượng</t>
        </is>
      </c>
      <c r="F11992" s="10" t="inlineStr">
        <is>
          <t>Hà Nội</t>
        </is>
      </c>
      <c r="G11992" s="10" t="inlineStr">
        <is>
          <t>Nhân viên</t>
        </is>
      </c>
      <c r="H11992" s="10" t="inlineStr">
        <is>
          <t>17/03/2026</t>
        </is>
      </c>
      <c r="I11992" s="10" t="inlineStr">
        <is>
          <t>16/04/2026</t>
        </is>
      </c>
      <c r="J11992" s="10" t="inlineStr">
        <is>
          <t>17/03/2026</t>
        </is>
      </c>
      <c r="K11992" s="10" t="inlineStr">
        <is>
          <t>N/A</t>
        </is>
      </c>
      <c r="L11992" s="10" t="inlineStr">
        <is>
          <t>R&amp;D, QC Seven Tools, Kỹ Thuật, Cơ Khí, Cải Tiến Sản Phẩm</t>
        </is>
      </c>
      <c r="M11992" s="10" t="inlineStr">
        <is>
          <t>Bonus, Healthcare Plan, Team Activities</t>
        </is>
      </c>
      <c r="N11992" s="11">
        <f>HYPERLINK("https://www.vietnamworks.com/nhan-vien-cai-tien-ky-thuat-san-pham--2024545-jv","Xem chi tiết")</f>
        <v/>
      </c>
      <c r="O11992" s="10" t="n"/>
    </row>
    <row r="11993">
      <c r="B11993" s="7" t="n">
        <v>11991</v>
      </c>
      <c r="C11993" t="inlineStr">
        <is>
          <t>Giám Sát Bán Hàng - Khu Vực Bến Tre</t>
        </is>
      </c>
      <c r="D11993" t="inlineStr">
        <is>
          <t>PepsiCo Foods Vietnam Company</t>
        </is>
      </c>
      <c r="E11993" t="inlineStr">
        <is>
          <t>Thương lượng</t>
        </is>
      </c>
      <c r="F11993" t="inlineStr">
        <is>
          <t>Bến Tre</t>
        </is>
      </c>
      <c r="G11993" t="inlineStr">
        <is>
          <t>Trưởng phòng</t>
        </is>
      </c>
      <c r="H11993" t="inlineStr">
        <is>
          <t>17/03/2026</t>
        </is>
      </c>
      <c r="I11993" t="inlineStr">
        <is>
          <t>16/04/2026</t>
        </is>
      </c>
      <c r="J11993" t="inlineStr">
        <is>
          <t>17/03/2026</t>
        </is>
      </c>
      <c r="K11993" t="inlineStr">
        <is>
          <t>N/A</t>
        </is>
      </c>
      <c r="L11993" t="inlineStr">
        <is>
          <t>Bán Hàng, Bán Hàng Phân Phối, FMCG, Giám Sát Bán Hàng, Trade Marketing</t>
        </is>
      </c>
      <c r="M11993" t="inlineStr">
        <is>
          <t>Bonus, Healthcare Plan, Paid Leave</t>
        </is>
      </c>
      <c r="N11993" s="8">
        <f>HYPERLINK("https://www.vietnamworks.com/giam-sat-ban-hang-khu-vuc-ben-tre-2024561-jv","Xem chi tiết")</f>
        <v/>
      </c>
    </row>
    <row r="11994">
      <c r="B11994" s="9" t="n">
        <v>11992</v>
      </c>
      <c r="C11994" s="10" t="inlineStr">
        <is>
          <t>Chuyên Viên Cao Cấp/ Chuyên Gia Đối Tác Nhân Sự (People Partner Senior Specialist/expert)</t>
        </is>
      </c>
      <c r="D11994" s="10" t="inlineStr">
        <is>
          <t>Công ty Cổ Phần Hạ Tầng Hàng Không Masterise</t>
        </is>
      </c>
      <c r="E11994" s="10" t="inlineStr">
        <is>
          <t>$$ 1,000-2,000 /tháng</t>
        </is>
      </c>
      <c r="F11994" s="10" t="inlineStr">
        <is>
          <t>Hà Nội</t>
        </is>
      </c>
      <c r="G11994" s="10" t="inlineStr">
        <is>
          <t>Nhân viên</t>
        </is>
      </c>
      <c r="H11994" s="10" t="inlineStr">
        <is>
          <t>17/03/2026</t>
        </is>
      </c>
      <c r="I11994" s="10" t="inlineStr">
        <is>
          <t>16/04/2026</t>
        </is>
      </c>
      <c r="J11994" s="10" t="inlineStr">
        <is>
          <t>17/03/2026</t>
        </is>
      </c>
      <c r="K11994" s="10" t="inlineStr">
        <is>
          <t>N/A</t>
        </is>
      </c>
      <c r="L11994" s="10" t="inlineStr">
        <is>
          <t>Talent Acquisition, HRBP, Employer Branding, Engagement Management, recruiment</t>
        </is>
      </c>
      <c r="M11994" s="10" t="inlineStr">
        <is>
          <t>Bonus, Healthcare Plan, Laptop</t>
        </is>
      </c>
      <c r="N11994" s="11">
        <f>HYPERLINK("https://www.vietnamworks.com/chuyen-vien-cao-cap-chuyen-gia-doi-tac-nhan-su-people-partner-senior-specialist-expert-2024550-jv","Xem chi tiết")</f>
        <v/>
      </c>
      <c r="O11994" s="10" t="n"/>
    </row>
    <row r="11995">
      <c r="B11995" s="7" t="n">
        <v>11993</v>
      </c>
      <c r="C11995" t="inlineStr">
        <is>
          <t>Thư Ký/Trợ Lý Chủ Tịch Hội Đồng Quản Trị</t>
        </is>
      </c>
      <c r="D11995" t="inlineStr">
        <is>
          <t>Công Ty Cổ Phần Chứng Khoán Dầu Khí (Psi)</t>
        </is>
      </c>
      <c r="E11995" t="inlineStr">
        <is>
          <t>Thương lượng</t>
        </is>
      </c>
      <c r="F11995" t="inlineStr">
        <is>
          <t>Hà Nội</t>
        </is>
      </c>
      <c r="G11995" t="inlineStr">
        <is>
          <t>Nhân viên</t>
        </is>
      </c>
      <c r="H11995" t="inlineStr">
        <is>
          <t>17/03/2026</t>
        </is>
      </c>
      <c r="I11995" t="inlineStr">
        <is>
          <t>16/04/2026</t>
        </is>
      </c>
      <c r="J11995" t="inlineStr">
        <is>
          <t>17/03/2026</t>
        </is>
      </c>
      <c r="K11995" t="inlineStr">
        <is>
          <t>N/A</t>
        </is>
      </c>
      <c r="L11995" t="inlineStr">
        <is>
          <t>Quản Trị Kinh Doanh, Tài Chính, ngân hàng, Luật, Viết Báo Cáo</t>
        </is>
      </c>
      <c r="M11995" t="inlineStr">
        <is>
          <t>Bonus, Healthcare Plan, Training, Others</t>
        </is>
      </c>
      <c r="N11995" s="8">
        <f>HYPERLINK("https://www.vietnamworks.com/thu-kytro-ly-chu-tich-hoi-djong-quan-tri-2024541-jv","Xem chi tiết")</f>
        <v/>
      </c>
    </row>
    <row r="11996">
      <c r="B11996" s="9" t="n">
        <v>11994</v>
      </c>
      <c r="C11996" s="10" t="inlineStr">
        <is>
          <t>Seafreight Export Operator</t>
        </is>
      </c>
      <c r="D11996" s="10" t="inlineStr">
        <is>
          <t>Röhlig Vietnam Ltd.</t>
        </is>
      </c>
      <c r="E11996" s="10" t="inlineStr">
        <is>
          <t>Thương lượng</t>
        </is>
      </c>
      <c r="F11996" s="10" t="inlineStr">
        <is>
          <t>Hà Nội</t>
        </is>
      </c>
      <c r="G11996" s="10" t="inlineStr">
        <is>
          <t>Nhân viên</t>
        </is>
      </c>
      <c r="H11996" s="10" t="inlineStr">
        <is>
          <t>17/03/2026</t>
        </is>
      </c>
      <c r="I11996" s="10" t="inlineStr">
        <is>
          <t>16/04/2026</t>
        </is>
      </c>
      <c r="J11996" s="10" t="inlineStr">
        <is>
          <t>17/03/2026</t>
        </is>
      </c>
      <c r="K11996" s="10" t="inlineStr">
        <is>
          <t>N/A</t>
        </is>
      </c>
      <c r="L11996" s="10" t="inlineStr">
        <is>
          <t>Export Shipment, Seafreight Dangerous Goods Legislation, Claims Handling, MS Office, Communication Skills</t>
        </is>
      </c>
      <c r="M11996" s="10" t="inlineStr">
        <is>
          <t>Healthcare Plan, Training</t>
        </is>
      </c>
      <c r="N11996" s="11">
        <f>HYPERLINK("https://www.vietnamworks.com/seafreight-export-operator-2024562-jv","Xem chi tiết")</f>
        <v/>
      </c>
      <c r="O11996" s="10" t="n"/>
    </row>
    <row r="11997">
      <c r="B11997" s="7" t="n">
        <v>11995</v>
      </c>
      <c r="C11997" t="inlineStr">
        <is>
          <t>Nhân Viên Kỹ Thuật OOH</t>
        </is>
      </c>
      <c r="D11997" t="inlineStr">
        <is>
          <t>Công Ty Cổ Phần Prowtech International Vina</t>
        </is>
      </c>
      <c r="E11997" t="inlineStr">
        <is>
          <t>Thương lượng</t>
        </is>
      </c>
      <c r="F11997" t="inlineStr">
        <is>
          <t>Hồ Chí Minh</t>
        </is>
      </c>
      <c r="G11997" t="inlineStr">
        <is>
          <t>Mới Tốt Nghiệp</t>
        </is>
      </c>
      <c r="H11997" t="inlineStr">
        <is>
          <t>17/03/2026</t>
        </is>
      </c>
      <c r="I11997" t="inlineStr">
        <is>
          <t>16/04/2026</t>
        </is>
      </c>
      <c r="J11997" t="inlineStr">
        <is>
          <t>17/03/2026</t>
        </is>
      </c>
      <c r="K11997" t="inlineStr">
        <is>
          <t>N/A</t>
        </is>
      </c>
      <c r="L11997" t="inlineStr">
        <is>
          <t>Auto CAD, Kiểm Tra Bảo Trì, Mô Phỏng 3D, Sửa Chữa Bảo Dưỡng, Vận Hành Hệ Thống</t>
        </is>
      </c>
      <c r="M11997" t="inlineStr">
        <is>
          <t>Others</t>
        </is>
      </c>
      <c r="N11997" s="8">
        <f>HYPERLINK("https://www.vietnamworks.com/nhan-vien-ky-thuat-ooh-2024560-jv","Xem chi tiết")</f>
        <v/>
      </c>
    </row>
    <row r="11998">
      <c r="B11998" s="9" t="n">
        <v>11996</v>
      </c>
      <c r="C11998" s="10" t="inlineStr">
        <is>
          <t>Marketing Executive (Outsource Contract)</t>
        </is>
      </c>
      <c r="D11998" s="10" t="inlineStr">
        <is>
          <t>TCPVN Company Limited</t>
        </is>
      </c>
      <c r="E11998" s="10" t="inlineStr">
        <is>
          <t>Thương lượng</t>
        </is>
      </c>
      <c r="F11998" s="10" t="inlineStr">
        <is>
          <t>Hồ Chí Minh</t>
        </is>
      </c>
      <c r="G11998" s="10" t="inlineStr">
        <is>
          <t>Nhân viên</t>
        </is>
      </c>
      <c r="H11998" s="10" t="inlineStr">
        <is>
          <t>17/03/2026</t>
        </is>
      </c>
      <c r="I11998" s="10" t="inlineStr">
        <is>
          <t>16/04/2026</t>
        </is>
      </c>
      <c r="J11998" s="10" t="inlineStr">
        <is>
          <t>17/03/2026</t>
        </is>
      </c>
      <c r="K11998" s="10" t="inlineStr">
        <is>
          <t>N/A</t>
        </is>
      </c>
      <c r="L11998" s="10" t="inlineStr">
        <is>
          <t>Communication, MS Office, Attention To Detail, Data Entry, Quảng bá</t>
        </is>
      </c>
      <c r="M11998" s="10" t="inlineStr">
        <is>
          <t>Laptop, Others</t>
        </is>
      </c>
      <c r="N11998" s="11">
        <f>HYPERLINK("https://www.vietnamworks.com/marketing-executive-outsource-contract-2024543-jv","Xem chi tiết")</f>
        <v/>
      </c>
      <c r="O11998" s="10" t="n"/>
    </row>
    <row r="11999">
      <c r="B11999" s="7" t="n">
        <v>11997</v>
      </c>
      <c r="C11999" t="inlineStr">
        <is>
          <t>Chuyên Viên Kinh Doanh (Mạnh Về Tiệc/ Banquet)</t>
        </is>
      </c>
      <c r="D11999" t="inlineStr">
        <is>
          <t>Công ty TNHH Quản lý Khách sạn - Bitexco</t>
        </is>
      </c>
      <c r="E11999" t="inlineStr">
        <is>
          <t>Thương lượng</t>
        </is>
      </c>
      <c r="F11999" t="inlineStr">
        <is>
          <t>Hà Nội</t>
        </is>
      </c>
      <c r="G11999" t="inlineStr">
        <is>
          <t>Nhân viên</t>
        </is>
      </c>
      <c r="H11999" t="inlineStr">
        <is>
          <t>17/03/2026</t>
        </is>
      </c>
      <c r="I11999" t="inlineStr">
        <is>
          <t>16/04/2026</t>
        </is>
      </c>
      <c r="J11999" t="inlineStr">
        <is>
          <t>17/03/2026</t>
        </is>
      </c>
      <c r="K11999" t="inlineStr">
        <is>
          <t>N/A</t>
        </is>
      </c>
      <c r="L11999" t="inlineStr">
        <is>
          <t>Outside catering, Quản Trị Khách Sạn, Hospitality, Banquet, Event</t>
        </is>
      </c>
      <c r="M11999" t="inlineStr">
        <is>
          <t>Healthcare Plan, Paid Leave, Training, Awards, Laptop, Mobile, Team Activities, Canteen, Others</t>
        </is>
      </c>
      <c r="N11999" s="8">
        <f>HYPERLINK("https://www.vietnamworks.com/chuyen-vien-kinh-doanh-manh-ve-tiec-banquet-2024551-jv","Xem chi tiết")</f>
        <v/>
      </c>
    </row>
    <row r="12000">
      <c r="B12000" s="9" t="n">
        <v>11998</v>
      </c>
      <c r="C12000" s="10" t="inlineStr">
        <is>
          <t>Supply Chain Supervisor</t>
        </is>
      </c>
      <c r="D12000" s="10" t="inlineStr">
        <is>
          <t>Công Ty TNHH Coats Footwear Việt Nam</t>
        </is>
      </c>
      <c r="E12000" s="10" t="inlineStr">
        <is>
          <t>Thương lượng</t>
        </is>
      </c>
      <c r="F12000" s="10" t="inlineStr">
        <is>
          <t>Đồng Nai</t>
        </is>
      </c>
      <c r="G12000" s="10" t="inlineStr">
        <is>
          <t>Nhân viên</t>
        </is>
      </c>
      <c r="H12000" s="10" t="inlineStr">
        <is>
          <t>17/03/2026</t>
        </is>
      </c>
      <c r="I12000" s="10" t="inlineStr">
        <is>
          <t>16/04/2026</t>
        </is>
      </c>
      <c r="J12000" s="10" t="inlineStr">
        <is>
          <t>17/03/2026</t>
        </is>
      </c>
      <c r="K12000" s="10" t="inlineStr">
        <is>
          <t>N/A</t>
        </is>
      </c>
      <c r="L12000" s="10" t="inlineStr">
        <is>
          <t>Trade Law, Import/Export, Logistics, Supply Chain, Logistics Planning</t>
        </is>
      </c>
      <c r="M12000" s="10" t="inlineStr">
        <is>
          <t>Bonus, Healthcare Plan, Transportation, Others</t>
        </is>
      </c>
      <c r="N12000" s="11">
        <f>HYPERLINK("https://www.vietnamworks.com/supply-chain-supervisor--2024548-jv","Xem chi tiết")</f>
        <v/>
      </c>
      <c r="O12000" s="10" t="n"/>
    </row>
    <row r="12001">
      <c r="B12001" s="7" t="n">
        <v>11999</v>
      </c>
      <c r="C12001" t="inlineStr">
        <is>
          <t>Senior Accounting &amp; Tax Consultant</t>
        </is>
      </c>
      <c r="D12001" t="inlineStr">
        <is>
          <t>CÔNG TY TNHH ALITIUM PROFESSIONAL SERVICES</t>
        </is>
      </c>
      <c r="E12001" t="inlineStr">
        <is>
          <t>Thương lượng</t>
        </is>
      </c>
      <c r="F12001" t="inlineStr">
        <is>
          <t>Hồ Chí Minh</t>
        </is>
      </c>
      <c r="G12001" t="inlineStr">
        <is>
          <t>Nhân viên</t>
        </is>
      </c>
      <c r="H12001" t="inlineStr">
        <is>
          <t>17/03/2026</t>
        </is>
      </c>
      <c r="I12001" t="inlineStr">
        <is>
          <t>16/04/2026</t>
        </is>
      </c>
      <c r="J12001" t="inlineStr">
        <is>
          <t>17/03/2026</t>
        </is>
      </c>
      <c r="K12001" t="inlineStr">
        <is>
          <t>N/A</t>
        </is>
      </c>
      <c r="L12001" t="inlineStr">
        <is>
          <t>Accounting Software Proficiency, Accounting Tax, Client Consultation, Financial Reporting, Tax Compliance</t>
        </is>
      </c>
      <c r="M12001" t="inlineStr">
        <is>
          <t>Bonus, Healthcare Plan, Paid Leave, Training, Laptop, Mobile</t>
        </is>
      </c>
      <c r="N12001" s="8">
        <f>HYPERLINK("https://www.vietnamworks.com/senior-accounting-and-tax-consultant-2024540-jv","Xem chi tiết")</f>
        <v/>
      </c>
    </row>
    <row r="12002">
      <c r="B12002" s="9" t="n">
        <v>12000</v>
      </c>
      <c r="C12002" s="10" t="inlineStr">
        <is>
          <t>Commercial Executive (Footwear Industry)</t>
        </is>
      </c>
      <c r="D12002" s="10" t="inlineStr">
        <is>
          <t>Arneplant Vietnam Company</t>
        </is>
      </c>
      <c r="E12002" s="10" t="inlineStr">
        <is>
          <t>Thương lượng</t>
        </is>
      </c>
      <c r="F12002" s="10" t="inlineStr">
        <is>
          <t>Hồ Chí Minh</t>
        </is>
      </c>
      <c r="G12002" s="10" t="inlineStr">
        <is>
          <t>Nhân viên</t>
        </is>
      </c>
      <c r="H12002" s="10" t="inlineStr">
        <is>
          <t>17/03/2026</t>
        </is>
      </c>
      <c r="I12002" s="10" t="inlineStr">
        <is>
          <t>16/04/2026</t>
        </is>
      </c>
      <c r="J12002" s="10" t="inlineStr">
        <is>
          <t>17/03/2026</t>
        </is>
      </c>
      <c r="K12002" s="10" t="inlineStr">
        <is>
          <t>N/A</t>
        </is>
      </c>
      <c r="L12002" s="10" t="inlineStr">
        <is>
          <t>Communication Skills, Customer Experience Management, ESS Tools, Negotiation Skills, Problem-solving</t>
        </is>
      </c>
      <c r="M12002" s="10" t="inlineStr">
        <is>
          <t>Bonus, Healthcare Plan, Paid Leave, Others</t>
        </is>
      </c>
      <c r="N12002" s="11">
        <f>HYPERLINK("https://www.vietnamworks.com/commercial-executive-footwear-industry-2024549-jv","Xem chi tiết")</f>
        <v/>
      </c>
      <c r="O12002" s="10" t="n"/>
    </row>
    <row r="12003">
      <c r="B12003" s="7" t="n">
        <v>12001</v>
      </c>
      <c r="C12003" t="inlineStr">
        <is>
          <t>Nhân Viên Theo Dõi Đơn Hàng (Merchandiser) Nội Thất Gỗ Xuất Khẩu Không Cần Kinh Nghiệm, Cần Tiếng Anh Tốt</t>
        </is>
      </c>
      <c r="D12003" t="inlineStr">
        <is>
          <t>Công Ty TNHH Imiti</t>
        </is>
      </c>
      <c r="E12003" t="inlineStr">
        <is>
          <t>$$ 300-1,200 /tháng</t>
        </is>
      </c>
      <c r="F12003" t="inlineStr">
        <is>
          <t>Bình Dương</t>
        </is>
      </c>
      <c r="G12003" t="inlineStr">
        <is>
          <t>Mới Tốt Nghiệp</t>
        </is>
      </c>
      <c r="H12003" t="inlineStr">
        <is>
          <t>17/03/2026</t>
        </is>
      </c>
      <c r="I12003" t="inlineStr">
        <is>
          <t>16/04/2026</t>
        </is>
      </c>
      <c r="J12003" t="inlineStr">
        <is>
          <t>17/03/2026</t>
        </is>
      </c>
      <c r="K12003" t="inlineStr">
        <is>
          <t>N/A</t>
        </is>
      </c>
      <c r="L12003" t="inlineStr">
        <is>
          <t>Merchandising, English Communication, Customer Service, Theo Dõi Đơn Hàng, Phần mềm văn phòng</t>
        </is>
      </c>
      <c r="M12003" t="inlineStr">
        <is>
          <t>Bonus, Training, Others</t>
        </is>
      </c>
      <c r="N12003" s="8">
        <f>HYPERLINK("https://www.vietnamworks.com/nhan-vien-theo-doi-don-hang-merchandiser-noi-that-go-xuat-khau-khong-can-kinh-nghiem-can-tieng-anh-tot--2024565-jv","Xem chi tiết")</f>
        <v/>
      </c>
    </row>
    <row r="12004">
      <c r="B12004" s="9" t="n">
        <v>12002</v>
      </c>
      <c r="C12004" s="10" t="inlineStr">
        <is>
          <t>Nhân Viên Kinh Doanh B2B</t>
        </is>
      </c>
      <c r="D12004" s="10" t="inlineStr">
        <is>
          <t>Hệ thống Giáo Dục Edufit</t>
        </is>
      </c>
      <c r="E12004" s="10" t="inlineStr">
        <is>
          <t>$$ 570-950 /tháng</t>
        </is>
      </c>
      <c r="F12004" s="10" t="inlineStr">
        <is>
          <t>Hà Nội</t>
        </is>
      </c>
      <c r="G12004" s="10" t="inlineStr">
        <is>
          <t>Nhân viên</t>
        </is>
      </c>
      <c r="H12004" s="10" t="inlineStr">
        <is>
          <t>17/03/2026</t>
        </is>
      </c>
      <c r="I12004" s="10" t="inlineStr">
        <is>
          <t>16/04/2026</t>
        </is>
      </c>
      <c r="J12004" s="10" t="inlineStr">
        <is>
          <t>17/03/2026</t>
        </is>
      </c>
      <c r="K12004" s="10" t="inlineStr">
        <is>
          <t>N/A</t>
        </is>
      </c>
      <c r="L12004" s="10" t="inlineStr">
        <is>
          <t>Chăm Sóc Khách Hàng, Bán Hàng, B2B Sales, Kinh Doanh</t>
        </is>
      </c>
      <c r="M12004" s="10" t="inlineStr">
        <is>
          <t>Bonus, Paid Leave, Kindergarten</t>
        </is>
      </c>
      <c r="N12004" s="11">
        <f>HYPERLINK("https://www.vietnamworks.com/nhan-vien-kinh-doanh-b2b--2024542-jv","Xem chi tiết")</f>
        <v/>
      </c>
      <c r="O12004" s="10" t="n"/>
    </row>
    <row r="12005">
      <c r="B12005" s="7" t="n">
        <v>12003</v>
      </c>
      <c r="C12005" t="inlineStr">
        <is>
          <t>Ecocycle Ops Technician (Waste Management / Supervisor / HSE)</t>
        </is>
      </c>
      <c r="D12005" t="inlineStr">
        <is>
          <t>INSEE Vietnam</t>
        </is>
      </c>
      <c r="E12005" t="inlineStr">
        <is>
          <t>Thương lượng</t>
        </is>
      </c>
      <c r="F12005" t="inlineStr">
        <is>
          <t>Hồ Chí Minh</t>
        </is>
      </c>
      <c r="G12005" t="inlineStr">
        <is>
          <t>Nhân viên</t>
        </is>
      </c>
      <c r="H12005" t="inlineStr">
        <is>
          <t>17/03/2026</t>
        </is>
      </c>
      <c r="I12005" t="inlineStr">
        <is>
          <t>16/04/2026</t>
        </is>
      </c>
      <c r="J12005" t="inlineStr">
        <is>
          <t>17/03/2026</t>
        </is>
      </c>
      <c r="K12005" t="inlineStr">
        <is>
          <t>N/A</t>
        </is>
      </c>
      <c r="L12005" t="inlineStr">
        <is>
          <t>Environmental Technology, Mechanical Engineering, Occupational Safety, Problem Solving, Professional Supervision</t>
        </is>
      </c>
      <c r="M12005" t="inlineStr">
        <is>
          <t>Bonus, Healthcare Plan, Paid Leave, Training, Laptop</t>
        </is>
      </c>
      <c r="N12005" s="8">
        <f>HYPERLINK("https://www.vietnamworks.com/ecocycle-ops-technician-waste-management-supervisor-hse-2024544-jv","Xem chi tiết")</f>
        <v/>
      </c>
    </row>
    <row r="12006">
      <c r="B12006" s="9" t="n">
        <v>12004</v>
      </c>
      <c r="C12006" s="10" t="inlineStr">
        <is>
          <t>International Academic Advisor (Native English Teacher)</t>
        </is>
      </c>
      <c r="D12006" s="10" t="inlineStr">
        <is>
          <t>Morris International Preschool</t>
        </is>
      </c>
      <c r="E12006" s="10" t="inlineStr">
        <is>
          <t>40tr-50tr ₫/tháng</t>
        </is>
      </c>
      <c r="F12006" s="10" t="inlineStr">
        <is>
          <t>Hồ Chí Minh</t>
        </is>
      </c>
      <c r="G12006" s="10" t="inlineStr">
        <is>
          <t>Nhân viên</t>
        </is>
      </c>
      <c r="H12006" s="10" t="inlineStr">
        <is>
          <t>17/03/2026</t>
        </is>
      </c>
      <c r="I12006" s="10" t="inlineStr">
        <is>
          <t>16/04/2026</t>
        </is>
      </c>
      <c r="J12006" s="10" t="inlineStr">
        <is>
          <t>17/03/2026</t>
        </is>
      </c>
      <c r="K12006" s="10" t="inlineStr">
        <is>
          <t>N/A</t>
        </is>
      </c>
      <c r="L12006" s="10" t="inlineStr">
        <is>
          <t>English Speaking, Early Childhood Education, Teaching Techniques, Teaching Support, Passion For Children</t>
        </is>
      </c>
      <c r="M12006" s="10" t="inlineStr">
        <is>
          <t>Bonus, Paid Leave, Training, Others</t>
        </is>
      </c>
      <c r="N12006" s="11">
        <f>HYPERLINK("https://www.vietnamworks.com/international-academic-advisor-native-english-teacher-2024546-jv","Xem chi tiết")</f>
        <v/>
      </c>
      <c r="O12006" s="10" t="n"/>
    </row>
    <row r="12007">
      <c r="B12007" s="7" t="n">
        <v>12005</v>
      </c>
      <c r="C12007" t="inlineStr">
        <is>
          <t>Chuyên Viên Kinh Doanh Khách Hàng Cá Nhân - Hồ Chí Minh</t>
        </is>
      </c>
      <c r="D12007" t="inlineStr">
        <is>
          <t>Ngân Hàng TMCP Việt Nam Thương Tín (Vietbank)</t>
        </is>
      </c>
      <c r="E12007" t="inlineStr">
        <is>
          <t>$$ 400-800 /tháng</t>
        </is>
      </c>
      <c r="F12007" t="inlineStr">
        <is>
          <t>Hồ Chí Minh, Khánh Hòa</t>
        </is>
      </c>
      <c r="G12007" t="inlineStr">
        <is>
          <t>Nhân viên</t>
        </is>
      </c>
      <c r="H12007" t="inlineStr">
        <is>
          <t>17/03/2026</t>
        </is>
      </c>
      <c r="I12007" t="inlineStr">
        <is>
          <t>16/04/2026</t>
        </is>
      </c>
      <c r="J12007" t="inlineStr">
        <is>
          <t>17/03/2026</t>
        </is>
      </c>
      <c r="K12007" t="inlineStr">
        <is>
          <t>N/A</t>
        </is>
      </c>
      <c r="L12007" t="inlineStr">
        <is>
          <t>Tín Dụng Ngân Hàng, Kinh Doanh, Dịch Vụ Ngân Hàng, Phát Triển Kinh Doanh</t>
        </is>
      </c>
      <c r="M12007" t="inlineStr">
        <is>
          <t>Bonus, Healthcare Plan, Training</t>
        </is>
      </c>
      <c r="N12007" s="8">
        <f>HYPERLINK("https://www.vietnamworks.com/chuyen-vien-kinh-doanh-khach-hang-ca-nhan-ho-chi-minh--2024566-jv","Xem chi tiết")</f>
        <v/>
      </c>
    </row>
    <row r="12008">
      <c r="B12008" s="9" t="n">
        <v>12006</v>
      </c>
      <c r="C12008" s="10" t="inlineStr">
        <is>
          <t>Chuyên Viên Cao Cấp Nguồn Vốn - TNEX - 4B038</t>
        </is>
      </c>
      <c r="D12008" s="10" t="inlineStr">
        <is>
          <t>Tập đoàn ROX (ROX Group)</t>
        </is>
      </c>
      <c r="E12008" s="10" t="inlineStr">
        <is>
          <t>Thương lượng</t>
        </is>
      </c>
      <c r="F12008" s="10" t="inlineStr">
        <is>
          <t>Hà Nội</t>
        </is>
      </c>
      <c r="G12008" s="10" t="inlineStr">
        <is>
          <t>Nhân viên</t>
        </is>
      </c>
      <c r="H12008" s="10" t="inlineStr">
        <is>
          <t>17/03/2026</t>
        </is>
      </c>
      <c r="I12008" s="10" t="inlineStr">
        <is>
          <t>16/04/2026</t>
        </is>
      </c>
      <c r="J12008" s="10" t="inlineStr">
        <is>
          <t>17/03/2026</t>
        </is>
      </c>
      <c r="K12008" s="10" t="inlineStr">
        <is>
          <t>N/A</t>
        </is>
      </c>
      <c r="L12008" s="10" t="inlineStr">
        <is>
          <t>Phân Tích Tài Chính, Phân Tích Dự Án, Quản Lý Nguồn Vốn, Cân Đối Nguồn Vốn</t>
        </is>
      </c>
      <c r="M12008" s="10" t="inlineStr">
        <is>
          <t>Bonus, Healthcare Plan, Paid Leave</t>
        </is>
      </c>
      <c r="N12008" s="11">
        <f>HYPERLINK("https://www.vietnamworks.com/chuyen-vien-cao-cap-nguon-von-tnex-4b038-2024557-jv","Xem chi tiết")</f>
        <v/>
      </c>
      <c r="O12008" s="10" t="n"/>
    </row>
    <row r="12009">
      <c r="B12009" s="7" t="n">
        <v>12007</v>
      </c>
      <c r="C12009" t="inlineStr">
        <is>
          <t>Admin Executive</t>
        </is>
      </c>
      <c r="D12009" t="inlineStr">
        <is>
          <t>Công Ty Cổ Phần Metub Việt Nam</t>
        </is>
      </c>
      <c r="E12009" t="inlineStr">
        <is>
          <t>Thương lượng</t>
        </is>
      </c>
      <c r="F12009" t="inlineStr">
        <is>
          <t>Hồ Chí Minh</t>
        </is>
      </c>
      <c r="G12009" t="inlineStr">
        <is>
          <t>Nhân viên</t>
        </is>
      </c>
      <c r="H12009" t="inlineStr">
        <is>
          <t>17/03/2026</t>
        </is>
      </c>
      <c r="I12009" t="inlineStr">
        <is>
          <t>16/04/2026</t>
        </is>
      </c>
      <c r="J12009" t="inlineStr">
        <is>
          <t>17/03/2026</t>
        </is>
      </c>
      <c r="K12009" t="inlineStr">
        <is>
          <t>N/A</t>
        </is>
      </c>
      <c r="L12009" t="inlineStr">
        <is>
          <t>Quản Lý Tạp Vụ, Lưu Trữ Hồ Sơ, Microsoft Office, Kỹ năng tổ chức, Cẩn thận</t>
        </is>
      </c>
      <c r="M12009" t="inlineStr">
        <is>
          <t>Bonus, Healthcare Plan, Others</t>
        </is>
      </c>
      <c r="N12009" s="8">
        <f>HYPERLINK("https://www.vietnamworks.com/admin-executive-2024586-jv","Xem chi tiết")</f>
        <v/>
      </c>
    </row>
    <row r="12010">
      <c r="B12010" s="9" t="n">
        <v>12008</v>
      </c>
      <c r="C12010" s="10" t="inlineStr">
        <is>
          <t>Airfreight Export Operator</t>
        </is>
      </c>
      <c r="D12010" s="10" t="inlineStr">
        <is>
          <t>Röhlig Vietnam Ltd.</t>
        </is>
      </c>
      <c r="E12010" s="10" t="inlineStr">
        <is>
          <t>Thương lượng</t>
        </is>
      </c>
      <c r="F12010" s="10" t="inlineStr">
        <is>
          <t>Hồ Chí Minh</t>
        </is>
      </c>
      <c r="G12010" s="10" t="inlineStr">
        <is>
          <t>Nhân viên</t>
        </is>
      </c>
      <c r="H12010" s="10" t="inlineStr">
        <is>
          <t>17/03/2026</t>
        </is>
      </c>
      <c r="I12010" s="10" t="inlineStr">
        <is>
          <t>16/04/2026</t>
        </is>
      </c>
      <c r="J12010" s="10" t="inlineStr">
        <is>
          <t>17/03/2026</t>
        </is>
      </c>
      <c r="K12010" s="10" t="inlineStr">
        <is>
          <t>N/A</t>
        </is>
      </c>
      <c r="L12010" s="10" t="inlineStr">
        <is>
          <t>Import Airfreight, Iata Dangerous Goods Legislation, Landscape Knowledge, Aviation Security, Communication Skills</t>
        </is>
      </c>
      <c r="M12010" s="10" t="inlineStr">
        <is>
          <t>Healthcare Plan, Training</t>
        </is>
      </c>
      <c r="N12010" s="11">
        <f>HYPERLINK("https://www.vietnamworks.com/airfreight-export-operator-2024567-jv","Xem chi tiết")</f>
        <v/>
      </c>
      <c r="O12010" s="10" t="n"/>
    </row>
    <row r="12011">
      <c r="B12011" s="7" t="n">
        <v>12009</v>
      </c>
      <c r="C12011" t="inlineStr">
        <is>
          <t>Regulatory Affairs Specialist</t>
        </is>
      </c>
      <c r="D12011" t="inlineStr">
        <is>
          <t>Egis Pharmaceuticals Private Limited Company ( Hungary)</t>
        </is>
      </c>
      <c r="E12011" t="inlineStr">
        <is>
          <t>Thương lượng</t>
        </is>
      </c>
      <c r="F12011" t="inlineStr">
        <is>
          <t>Hà Nội</t>
        </is>
      </c>
      <c r="G12011" t="inlineStr">
        <is>
          <t>Nhân viên</t>
        </is>
      </c>
      <c r="H12011" t="inlineStr">
        <is>
          <t>17/03/2026</t>
        </is>
      </c>
      <c r="I12011" t="inlineStr">
        <is>
          <t>16/04/2026</t>
        </is>
      </c>
      <c r="J12011" t="inlineStr">
        <is>
          <t>17/03/2026</t>
        </is>
      </c>
      <c r="K12011" t="inlineStr">
        <is>
          <t>N/A</t>
        </is>
      </c>
      <c r="L12011" t="inlineStr">
        <is>
          <t>Pharmacy, Đăng Ký Thuốc, Regulatory Affairs, Dược, Drug Registration</t>
        </is>
      </c>
      <c r="M12011" t="inlineStr">
        <is>
          <t>Bonus, Healthcare Plan, Paid Leave</t>
        </is>
      </c>
      <c r="N12011" s="8">
        <f>HYPERLINK("https://www.vietnamworks.com/regulatory-affairs-specialist--2024572-jv","Xem chi tiết")</f>
        <v/>
      </c>
    </row>
    <row r="12012">
      <c r="B12012" s="9" t="n">
        <v>12010</v>
      </c>
      <c r="C12012" s="10" t="inlineStr">
        <is>
          <t>Global Network Expansion &amp; After-Sales Operations Manager</t>
        </is>
      </c>
      <c r="D12012" s="10" t="inlineStr">
        <is>
          <t>VINFAST TRADING AND PRODUCTION JSC</t>
        </is>
      </c>
      <c r="E12012" s="10" t="inlineStr">
        <is>
          <t>Thương lượng</t>
        </is>
      </c>
      <c r="F12012" s="10" t="inlineStr">
        <is>
          <t>Quốc tế, Hà Nội</t>
        </is>
      </c>
      <c r="G12012" s="10" t="inlineStr">
        <is>
          <t>Trưởng phòng</t>
        </is>
      </c>
      <c r="H12012" s="10" t="inlineStr">
        <is>
          <t>17/03/2026</t>
        </is>
      </c>
      <c r="I12012" s="10" t="inlineStr">
        <is>
          <t>16/04/2026</t>
        </is>
      </c>
      <c r="J12012" s="10" t="inlineStr">
        <is>
          <t>17/03/2026</t>
        </is>
      </c>
      <c r="K12012" s="10" t="inlineStr">
        <is>
          <t>N/A</t>
        </is>
      </c>
      <c r="L12012" s="10" t="inlineStr">
        <is>
          <t>Automotive, Mechanical Engineering, Business Administration, After-sales service knowledge, Customer Service</t>
        </is>
      </c>
      <c r="M12012" s="10" t="inlineStr">
        <is>
          <t>Bonus, Healthcare Plan, Others</t>
        </is>
      </c>
      <c r="N12012" s="11">
        <f>HYPERLINK("https://www.vietnamworks.com/global-network-expansion-after-sales-operations-manager--2024575-jv","Xem chi tiết")</f>
        <v/>
      </c>
      <c r="O12012" s="10" t="n"/>
    </row>
    <row r="12013">
      <c r="B12013" s="7" t="n">
        <v>12011</v>
      </c>
      <c r="C12013" t="inlineStr">
        <is>
          <t>Quản Lý Bộ Phận Thương Mại Điện Tử</t>
        </is>
      </c>
      <c r="D12013" t="inlineStr">
        <is>
          <t>Công Ty Cổ Phần Phát Triển Và Tăng Trưởng Xanh - Edge</t>
        </is>
      </c>
      <c r="E12013" t="inlineStr">
        <is>
          <t>Thương lượng</t>
        </is>
      </c>
      <c r="F12013" t="inlineStr">
        <is>
          <t>Hà Nội</t>
        </is>
      </c>
      <c r="G12013" t="inlineStr">
        <is>
          <t>Nhân viên</t>
        </is>
      </c>
      <c r="H12013" t="inlineStr">
        <is>
          <t>17/03/2026</t>
        </is>
      </c>
      <c r="I12013" t="inlineStr">
        <is>
          <t>16/04/2026</t>
        </is>
      </c>
      <c r="J12013" t="inlineStr">
        <is>
          <t>17/03/2026</t>
        </is>
      </c>
      <c r="K12013" t="inlineStr">
        <is>
          <t>N/A</t>
        </is>
      </c>
      <c r="L12013" t="inlineStr">
        <is>
          <t>Thương Mại Điện Tử, Ecommerce</t>
        </is>
      </c>
      <c r="M12013" t="inlineStr">
        <is>
          <t>Bonus, Paid Leave, Training</t>
        </is>
      </c>
      <c r="N12013" s="8">
        <f>HYPERLINK("https://www.vietnamworks.com/quan-ly-bo-phan-thuong-mai-dien-tu--2024578-jv","Xem chi tiết")</f>
        <v/>
      </c>
    </row>
    <row r="12014">
      <c r="B12014" s="9" t="n">
        <v>12012</v>
      </c>
      <c r="C12014" s="10" t="inlineStr">
        <is>
          <t>Chuyên Viên Kinh Doanh Quốc Tế B2B</t>
        </is>
      </c>
      <c r="D12014" s="10" t="inlineStr">
        <is>
          <t>CÔNG TY TNHH THỰC PHẨM TBES</t>
        </is>
      </c>
      <c r="E12014" s="10" t="inlineStr">
        <is>
          <t>$$ 500-1,500 /tháng</t>
        </is>
      </c>
      <c r="F12014" s="10" t="inlineStr">
        <is>
          <t>Hồ Chí Minh</t>
        </is>
      </c>
      <c r="G12014" s="10" t="inlineStr">
        <is>
          <t>Nhân viên</t>
        </is>
      </c>
      <c r="H12014" s="10" t="inlineStr">
        <is>
          <t>17/03/2026</t>
        </is>
      </c>
      <c r="I12014" s="10" t="inlineStr">
        <is>
          <t>16/04/2026</t>
        </is>
      </c>
      <c r="J12014" s="10" t="inlineStr">
        <is>
          <t>17/03/2026</t>
        </is>
      </c>
      <c r="K12014" s="10" t="inlineStr">
        <is>
          <t>N/A</t>
        </is>
      </c>
      <c r="L12014" s="10" t="inlineStr">
        <is>
          <t>Xuất Nhập Khẩu, Sales B2B, B2B Business Development, Bán Hàng B2B</t>
        </is>
      </c>
      <c r="M12014" s="10" t="inlineStr">
        <is>
          <t>Bonus, Healthcare Plan, Paid Leave</t>
        </is>
      </c>
      <c r="N12014" s="11">
        <f>HYPERLINK("https://www.vietnamworks.com/chuyen-vien-kinh-doanh-quoc-te-b2b--2024568-jv","Xem chi tiết")</f>
        <v/>
      </c>
      <c r="O12014" s="10" t="n"/>
    </row>
    <row r="12015">
      <c r="B12015" s="7" t="n">
        <v>12013</v>
      </c>
      <c r="C12015" t="inlineStr">
        <is>
          <t>Fresh ICT Officer</t>
        </is>
      </c>
      <c r="D12015" t="inlineStr">
        <is>
          <t>Danieli – Industrielle Beteiligung Co., Ltd</t>
        </is>
      </c>
      <c r="E12015" t="inlineStr">
        <is>
          <t>Thương lượng</t>
        </is>
      </c>
      <c r="F12015" t="inlineStr">
        <is>
          <t>Hồ Chí Minh</t>
        </is>
      </c>
      <c r="G12015" t="inlineStr">
        <is>
          <t>Mới Tốt Nghiệp</t>
        </is>
      </c>
      <c r="H12015" t="inlineStr">
        <is>
          <t>17/03/2026</t>
        </is>
      </c>
      <c r="I12015" t="inlineStr">
        <is>
          <t>16/04/2026</t>
        </is>
      </c>
      <c r="J12015" t="inlineStr">
        <is>
          <t>17/03/2026</t>
        </is>
      </c>
      <c r="K12015" t="inlineStr">
        <is>
          <t>N/A</t>
        </is>
      </c>
      <c r="L12015" t="inlineStr">
        <is>
          <t>ERP, IT Project Management, IT Application, SQL, ICT Solutions</t>
        </is>
      </c>
      <c r="M12015" t="inlineStr">
        <is>
          <t>Bonus, Paid Leave, Training</t>
        </is>
      </c>
      <c r="N12015" s="8">
        <f>HYPERLINK("https://www.vietnamworks.com/fresh-ict-officer-2024569-jv","Xem chi tiết")</f>
        <v/>
      </c>
    </row>
    <row r="12016">
      <c r="B12016" s="9" t="n">
        <v>12014</v>
      </c>
      <c r="C12016" s="10" t="inlineStr">
        <is>
          <t>Chuyên Viên Mua Hàng - Buyer - Tiếng Trung</t>
        </is>
      </c>
      <c r="D12016" s="10" t="inlineStr">
        <is>
          <t>Fushan Technology Vietnam</t>
        </is>
      </c>
      <c r="E12016" s="10" t="inlineStr">
        <is>
          <t>Thương lượng</t>
        </is>
      </c>
      <c r="F12016" s="10" t="inlineStr">
        <is>
          <t>Bắc Ninh, Hà Nội, Bắc Giang</t>
        </is>
      </c>
      <c r="G12016" s="10" t="inlineStr">
        <is>
          <t>Nhân viên</t>
        </is>
      </c>
      <c r="H12016" s="10" t="inlineStr">
        <is>
          <t>17/03/2026</t>
        </is>
      </c>
      <c r="I12016" s="10" t="inlineStr">
        <is>
          <t>16/04/2026</t>
        </is>
      </c>
      <c r="J12016" s="10" t="inlineStr">
        <is>
          <t>17/03/2026</t>
        </is>
      </c>
      <c r="K12016" s="10" t="inlineStr">
        <is>
          <t>N/A</t>
        </is>
      </c>
      <c r="L12016" s="10" t="inlineStr">
        <is>
          <t>Mua Hàng, Quản Lý Nhà Cung Cấp, Quản Lý Đơn Hàng, SAP</t>
        </is>
      </c>
      <c r="M12016" s="10" t="inlineStr">
        <is>
          <t>Bonus, Healthcare Plan, Paid Leave</t>
        </is>
      </c>
      <c r="N12016" s="11">
        <f>HYPERLINK("https://www.vietnamworks.com/chuyen-vien-mua-hang-buyer-tieng-trung-2024588-jv","Xem chi tiết")</f>
        <v/>
      </c>
      <c r="O12016" s="10" t="n"/>
    </row>
    <row r="12017">
      <c r="B12017" s="7" t="n">
        <v>12015</v>
      </c>
      <c r="C12017" t="inlineStr">
        <is>
          <t>Kỹ Sư Xây Dựng (Công Trình Viettel) – Thu Nhập 20Tr – Làm Việc Tại HCM</t>
        </is>
      </c>
      <c r="D12017" t="inlineStr">
        <is>
          <t>Công ty CP Tư vấn và Dịch vụ Viettel</t>
        </is>
      </c>
      <c r="E12017" t="inlineStr">
        <is>
          <t>$$ 13tr-20tr /tháng</t>
        </is>
      </c>
      <c r="F12017" t="inlineStr">
        <is>
          <t>Hồ Chí Minh</t>
        </is>
      </c>
      <c r="G12017" t="inlineStr">
        <is>
          <t>Mới Tốt Nghiệp</t>
        </is>
      </c>
      <c r="H12017" t="inlineStr">
        <is>
          <t>17/03/2026</t>
        </is>
      </c>
      <c r="I12017" t="inlineStr">
        <is>
          <t>16/04/2026</t>
        </is>
      </c>
      <c r="J12017" t="inlineStr">
        <is>
          <t>17/03/2026</t>
        </is>
      </c>
      <c r="K12017" t="inlineStr">
        <is>
          <t>N/A</t>
        </is>
      </c>
      <c r="L12017" t="inlineStr">
        <is>
          <t>Xây Dựng, Quản Lý Dự Án, Hồ Sơ Đấu Thầu, Kinh Tế Xây Dựng</t>
        </is>
      </c>
      <c r="M12017" t="inlineStr">
        <is>
          <t>Bonus, Training, Others</t>
        </is>
      </c>
      <c r="N12017" s="8">
        <f>HYPERLINK("https://www.vietnamworks.com/ky-su-xay-dung-cong-trinh-viettel-thu-nhap-20tr-lam-viec-tai-hcm-2024580-jv","Xem chi tiết")</f>
        <v/>
      </c>
    </row>
    <row r="12018">
      <c r="B12018" s="9" t="n">
        <v>12016</v>
      </c>
      <c r="C12018" s="10" t="inlineStr">
        <is>
          <t>[Hai Duong] Production Engineer</t>
        </is>
      </c>
      <c r="D12018" s="10" t="inlineStr">
        <is>
          <t>Proterial Vietnam Co., Ltd.</t>
        </is>
      </c>
      <c r="E12018" s="10" t="inlineStr">
        <is>
          <t>Thương lượng</t>
        </is>
      </c>
      <c r="F12018" s="10" t="inlineStr">
        <is>
          <t>Hải Dương</t>
        </is>
      </c>
      <c r="G12018" s="10" t="inlineStr">
        <is>
          <t>Nhân viên</t>
        </is>
      </c>
      <c r="H12018" s="10" t="inlineStr">
        <is>
          <t>17/03/2026</t>
        </is>
      </c>
      <c r="I12018" s="10" t="inlineStr">
        <is>
          <t>16/04/2026</t>
        </is>
      </c>
      <c r="J12018" s="10" t="inlineStr">
        <is>
          <t>17/03/2026</t>
        </is>
      </c>
      <c r="K12018" s="10" t="inlineStr">
        <is>
          <t>N/A</t>
        </is>
      </c>
      <c r="L12018" s="10" t="inlineStr">
        <is>
          <t>Production Process, Machine Operation, Automation System Design, Microsoft Office, Communication Skills</t>
        </is>
      </c>
      <c r="M12018" s="10" t="inlineStr">
        <is>
          <t>Bonus, Paid Leave, Team Activities, Transportation, Others</t>
        </is>
      </c>
      <c r="N12018" s="11">
        <f>HYPERLINK("https://www.vietnamworks.com/hai-duong-production-engineer-2024585-jv","Xem chi tiết")</f>
        <v/>
      </c>
      <c r="O12018" s="10" t="n"/>
    </row>
    <row r="12019">
      <c r="B12019" s="7" t="n">
        <v>12017</v>
      </c>
      <c r="C12019" t="inlineStr">
        <is>
          <t>Nhân Viên QA</t>
        </is>
      </c>
      <c r="D12019" t="inlineStr">
        <is>
          <t>CÔNG TY TNHH T.M.G</t>
        </is>
      </c>
      <c r="E12019" t="inlineStr">
        <is>
          <t>15tr-17tr ₫/tháng</t>
        </is>
      </c>
      <c r="F12019" t="inlineStr">
        <is>
          <t>Hồ Chí Minh</t>
        </is>
      </c>
      <c r="G12019" t="inlineStr">
        <is>
          <t>Nhân viên</t>
        </is>
      </c>
      <c r="H12019" t="inlineStr">
        <is>
          <t>17/03/2026</t>
        </is>
      </c>
      <c r="I12019" t="inlineStr">
        <is>
          <t>16/04/2026</t>
        </is>
      </c>
      <c r="J12019" t="inlineStr">
        <is>
          <t>17/03/2026</t>
        </is>
      </c>
      <c r="K12019" t="inlineStr">
        <is>
          <t>N/A</t>
        </is>
      </c>
      <c r="L12019" t="inlineStr">
        <is>
          <t>QA, Kiểm Tra Chất Lượng, May Mặc, Kiểm tra thành phẩm, Đánh Giá Chất Lượng</t>
        </is>
      </c>
      <c r="M12019" t="inlineStr">
        <is>
          <t>Bonus</t>
        </is>
      </c>
      <c r="N12019" s="8">
        <f>HYPERLINK("https://www.vietnamworks.com/nhan-vien-qa--2024590-jv","Xem chi tiết")</f>
        <v/>
      </c>
    </row>
    <row r="12020">
      <c r="B12020" s="9" t="n">
        <v>12018</v>
      </c>
      <c r="C12020" s="10" t="inlineStr">
        <is>
          <t>Seafreight Import Operator</t>
        </is>
      </c>
      <c r="D12020" s="10" t="inlineStr">
        <is>
          <t>Röhlig Vietnam Ltd.</t>
        </is>
      </c>
      <c r="E12020" s="10" t="inlineStr">
        <is>
          <t>Thương lượng</t>
        </is>
      </c>
      <c r="F12020" s="10" t="inlineStr">
        <is>
          <t>Hồ Chí Minh</t>
        </is>
      </c>
      <c r="G12020" s="10" t="inlineStr">
        <is>
          <t>Nhân viên</t>
        </is>
      </c>
      <c r="H12020" s="10" t="inlineStr">
        <is>
          <t>17/03/2026</t>
        </is>
      </c>
      <c r="I12020" s="10" t="inlineStr">
        <is>
          <t>16/04/2026</t>
        </is>
      </c>
      <c r="J12020" s="10" t="inlineStr">
        <is>
          <t>17/03/2026</t>
        </is>
      </c>
      <c r="K12020" s="10" t="inlineStr">
        <is>
          <t>N/A</t>
        </is>
      </c>
      <c r="L12020" s="10" t="inlineStr">
        <is>
          <t>Import Management, Claims Handling, Cargo Handling, Custom Clearance, Import Airfreight</t>
        </is>
      </c>
      <c r="M12020" s="10" t="inlineStr">
        <is>
          <t>Healthcare Plan, Training</t>
        </is>
      </c>
      <c r="N12020" s="11">
        <f>HYPERLINK("https://www.vietnamworks.com/seafreight-import-operator-2024571-jv","Xem chi tiết")</f>
        <v/>
      </c>
      <c r="O12020" s="10" t="n"/>
    </row>
    <row r="12021">
      <c r="B12021" s="7" t="n">
        <v>12019</v>
      </c>
      <c r="C12021" t="inlineStr">
        <is>
          <t>Senior Air Freight Executive</t>
        </is>
      </c>
      <c r="D12021" t="inlineStr">
        <is>
          <t>VIETNAM ALLLINK - TNR INTERNATIONAL LOGISTICS COMPANY LIMITED</t>
        </is>
      </c>
      <c r="E12021" t="inlineStr">
        <is>
          <t>18tr-25tr ₫/tháng</t>
        </is>
      </c>
      <c r="F12021" t="inlineStr">
        <is>
          <t>Hồ Chí Minh</t>
        </is>
      </c>
      <c r="G12021" t="inlineStr">
        <is>
          <t>Nhân viên</t>
        </is>
      </c>
      <c r="H12021" t="inlineStr">
        <is>
          <t>17/03/2026</t>
        </is>
      </c>
      <c r="I12021" t="inlineStr">
        <is>
          <t>16/04/2026</t>
        </is>
      </c>
      <c r="J12021" t="inlineStr">
        <is>
          <t>17/03/2026</t>
        </is>
      </c>
      <c r="K12021" t="inlineStr">
        <is>
          <t>N/A</t>
        </is>
      </c>
      <c r="L12021" t="inlineStr">
        <is>
          <t>Air Freight Logistics, Cost Control, Leadership Skills, Problem-solving, Customer-Oriented</t>
        </is>
      </c>
      <c r="M12021" t="inlineStr">
        <is>
          <t>Bonus, Healthcare Plan, Training</t>
        </is>
      </c>
      <c r="N12021" s="8">
        <f>HYPERLINK("https://www.vietnamworks.com/senior-air-freight-executive-2024581-jv","Xem chi tiết")</f>
        <v/>
      </c>
    </row>
    <row r="12022">
      <c r="B12022" s="9" t="n">
        <v>12020</v>
      </c>
      <c r="C12022" s="10" t="inlineStr">
        <is>
          <t>Giám Đốc Vận Hành</t>
        </is>
      </c>
      <c r="D12022" s="10" t="inlineStr">
        <is>
          <t>Tập Đoàn Vingroup - Công Ty Cổ phần Vincom Retail</t>
        </is>
      </c>
      <c r="E12022" s="10" t="inlineStr">
        <is>
          <t>$$ 2,000-4,000 /tháng</t>
        </is>
      </c>
      <c r="F12022" s="10" t="inlineStr">
        <is>
          <t>Hà Nội, Hà Giang, Thái Nguyên</t>
        </is>
      </c>
      <c r="G12022" s="10" t="inlineStr">
        <is>
          <t>Giám Đốc và Cấp Cao Hơn</t>
        </is>
      </c>
      <c r="H12022" s="10" t="inlineStr">
        <is>
          <t>17/03/2026</t>
        </is>
      </c>
      <c r="I12022" s="10" t="inlineStr">
        <is>
          <t>16/04/2026</t>
        </is>
      </c>
      <c r="J12022" s="10" t="inlineStr">
        <is>
          <t>17/03/2026</t>
        </is>
      </c>
      <c r="K12022" s="10" t="inlineStr">
        <is>
          <t>N/A</t>
        </is>
      </c>
      <c r="L12022" s="10" t="inlineStr">
        <is>
          <t>Giám đốc vận hành, Quản Trị Kinh Doanh, Quản Lý Bất Động Sản, Quản trị vận hành &amp; hệ thống, Quản Lý Chi Phí</t>
        </is>
      </c>
      <c r="M12022" s="10" t="inlineStr">
        <is>
          <t>Canteen</t>
        </is>
      </c>
      <c r="N12022" s="11">
        <f>HYPERLINK("https://www.vietnamworks.com/giam-djoc-van-hanh-2024583-jv","Xem chi tiết")</f>
        <v/>
      </c>
      <c r="O12022" s="10" t="n"/>
    </row>
    <row r="12023">
      <c r="B12023" s="7" t="n">
        <v>12021</v>
      </c>
      <c r="C12023" t="inlineStr">
        <is>
          <t>Head Of Cambridge Program Người Việt</t>
        </is>
      </c>
      <c r="D12023" t="inlineStr">
        <is>
          <t>Morris International Preschool</t>
        </is>
      </c>
      <c r="E12023" t="inlineStr">
        <is>
          <t>Thương lượng</t>
        </is>
      </c>
      <c r="F12023" t="inlineStr">
        <is>
          <t>Hồ Chí Minh</t>
        </is>
      </c>
      <c r="G12023" t="inlineStr">
        <is>
          <t>Trưởng phòng</t>
        </is>
      </c>
      <c r="H12023" t="inlineStr">
        <is>
          <t>17/03/2026</t>
        </is>
      </c>
      <c r="I12023" t="inlineStr">
        <is>
          <t>16/04/2026</t>
        </is>
      </c>
      <c r="J12023" t="inlineStr">
        <is>
          <t>17/03/2026</t>
        </is>
      </c>
      <c r="K12023" t="inlineStr">
        <is>
          <t>N/A</t>
        </is>
      </c>
      <c r="L12023" t="inlineStr">
        <is>
          <t>Quản Lý Học Thuật, Giáo Dục Mầm Non, Giao Tiếp Tiếng Anh, Đào Tạo, yêu trẻ</t>
        </is>
      </c>
      <c r="M12023" t="inlineStr">
        <is>
          <t>Bonus, Paid Leave, Training, Others</t>
        </is>
      </c>
      <c r="N12023" s="8">
        <f>HYPERLINK("https://www.vietnamworks.com/head-of-cambridge-program-nguoi-viet-2024592-jv","Xem chi tiết")</f>
        <v/>
      </c>
    </row>
    <row r="12024">
      <c r="B12024" s="9" t="n">
        <v>12022</v>
      </c>
      <c r="C12024" s="10" t="inlineStr">
        <is>
          <t>Consumer Market Knowledge Manager</t>
        </is>
      </c>
      <c r="D12024" s="10" t="inlineStr">
        <is>
          <t>Masan Consumer Holdings</t>
        </is>
      </c>
      <c r="E12024" s="10" t="inlineStr">
        <is>
          <t>Thương lượng</t>
        </is>
      </c>
      <c r="F12024" s="10" t="inlineStr">
        <is>
          <t>Hồ Chí Minh</t>
        </is>
      </c>
      <c r="G12024" s="10" t="inlineStr">
        <is>
          <t>Trưởng phòng</t>
        </is>
      </c>
      <c r="H12024" s="10" t="inlineStr">
        <is>
          <t>17/03/2026</t>
        </is>
      </c>
      <c r="I12024" s="10" t="inlineStr">
        <is>
          <t>16/04/2026</t>
        </is>
      </c>
      <c r="J12024" s="10" t="inlineStr">
        <is>
          <t>17/03/2026</t>
        </is>
      </c>
      <c r="K12024" s="10" t="inlineStr">
        <is>
          <t>N/A</t>
        </is>
      </c>
      <c r="L12024" s="10" t="inlineStr">
        <is>
          <t>Quantitative Analysis, Qualitative Market Research, Market Research, Consumer Insight, Consumer Analysis</t>
        </is>
      </c>
      <c r="M12024" s="10" t="inlineStr">
        <is>
          <t>Bonus, Laptop, Others</t>
        </is>
      </c>
      <c r="N12024" s="11">
        <f>HYPERLINK("https://www.vietnamworks.com/consumer-market-knowledge-manager--2024582-jv","Xem chi tiết")</f>
        <v/>
      </c>
      <c r="O12024" s="10" t="n"/>
    </row>
    <row r="12025">
      <c r="B12025" s="7" t="n">
        <v>12023</v>
      </c>
      <c r="C12025" t="inlineStr">
        <is>
          <t>Chuyên Viên Sales Marketing</t>
        </is>
      </c>
      <c r="D12025" t="inlineStr">
        <is>
          <t>Capstone Vietnam</t>
        </is>
      </c>
      <c r="E12025" t="inlineStr">
        <is>
          <t>Thương lượng</t>
        </is>
      </c>
      <c r="F12025" t="inlineStr">
        <is>
          <t>Hồ Chí Minh, Hà Nội</t>
        </is>
      </c>
      <c r="G12025" t="inlineStr">
        <is>
          <t>Nhân viên</t>
        </is>
      </c>
      <c r="H12025" t="inlineStr">
        <is>
          <t>17/03/2026</t>
        </is>
      </c>
      <c r="I12025" t="inlineStr">
        <is>
          <t>16/04/2026</t>
        </is>
      </c>
      <c r="J12025" t="inlineStr">
        <is>
          <t>17/03/2026</t>
        </is>
      </c>
      <c r="K12025" t="inlineStr">
        <is>
          <t>N/A</t>
        </is>
      </c>
      <c r="L12025" t="inlineStr">
        <is>
          <t>Marketing Development, Sales, Digital Marketing, Content, Consulting</t>
        </is>
      </c>
      <c r="M12025" t="inlineStr">
        <is>
          <t>Bonus, Healthcare Plan, Training, Awards</t>
        </is>
      </c>
      <c r="N12025" s="8">
        <f>HYPERLINK("https://www.vietnamworks.com/chuyen-vien-sales-marketing-2024591-jv","Xem chi tiết")</f>
        <v/>
      </c>
    </row>
    <row r="12026">
      <c r="B12026" s="9" t="n">
        <v>12024</v>
      </c>
      <c r="C12026" s="10" t="inlineStr">
        <is>
          <t>Chief of Marketing (Digital Growth) - TNEX - 4B040</t>
        </is>
      </c>
      <c r="D12026" s="10" t="inlineStr">
        <is>
          <t>Tập đoàn ROX (ROX Group)</t>
        </is>
      </c>
      <c r="E12026" s="10" t="inlineStr">
        <is>
          <t>$$ 4,600-5,800 /tháng</t>
        </is>
      </c>
      <c r="F12026" s="10" t="inlineStr">
        <is>
          <t>Hà Nội</t>
        </is>
      </c>
      <c r="G12026" s="10" t="inlineStr">
        <is>
          <t>Giám Đốc và Cấp Cao Hơn</t>
        </is>
      </c>
      <c r="H12026" s="10" t="inlineStr">
        <is>
          <t>17/03/2026</t>
        </is>
      </c>
      <c r="I12026" s="10" t="inlineStr">
        <is>
          <t>16/04/2026</t>
        </is>
      </c>
      <c r="J12026" s="10" t="inlineStr">
        <is>
          <t>17/03/2026</t>
        </is>
      </c>
      <c r="K12026" s="10" t="inlineStr">
        <is>
          <t>N/A</t>
        </is>
      </c>
      <c r="L12026" s="10" t="inlineStr">
        <is>
          <t>Digital Marketing, Digital Platforms, Digital Product Development</t>
        </is>
      </c>
      <c r="M12026" s="10" t="inlineStr">
        <is>
          <t>Bonus, Healthcare Plan, Paid Leave</t>
        </is>
      </c>
      <c r="N12026" s="11">
        <f>HYPERLINK("https://www.vietnamworks.com/chief-of-marketing-digital-growth-tnex-4b040-2024584-jv","Xem chi tiết")</f>
        <v/>
      </c>
      <c r="O12026" s="10" t="n"/>
    </row>
    <row r="12027">
      <c r="B12027" s="7" t="n">
        <v>12025</v>
      </c>
      <c r="C12027" t="inlineStr">
        <is>
          <t>Material Project Management - Quản Lý Nguyên Vật Liệu Dự Án - English Or Chinese</t>
        </is>
      </c>
      <c r="D12027" t="inlineStr">
        <is>
          <t>Fushan Technology Vietnam</t>
        </is>
      </c>
      <c r="E12027" t="inlineStr">
        <is>
          <t>Thương lượng</t>
        </is>
      </c>
      <c r="F12027" t="inlineStr">
        <is>
          <t>Bắc Ninh, Hà Nội, Bắc Giang</t>
        </is>
      </c>
      <c r="G12027" t="inlineStr">
        <is>
          <t>Nhân viên</t>
        </is>
      </c>
      <c r="H12027" t="inlineStr">
        <is>
          <t>17/03/2026</t>
        </is>
      </c>
      <c r="I12027" t="inlineStr">
        <is>
          <t>16/04/2026</t>
        </is>
      </c>
      <c r="J12027" t="inlineStr">
        <is>
          <t>17/03/2026</t>
        </is>
      </c>
      <c r="K12027" t="inlineStr">
        <is>
          <t>N/A</t>
        </is>
      </c>
      <c r="L12027" t="inlineStr">
        <is>
          <t>Project Management, Supply Chain Management, Data Analytics, Material Control, Supply Chain Planning</t>
        </is>
      </c>
      <c r="M12027" t="inlineStr">
        <is>
          <t>Bonus, Healthcare Plan, Paid Leave</t>
        </is>
      </c>
      <c r="N12027" s="8">
        <f>HYPERLINK("https://www.vietnamworks.com/material-project-management-quan-ly-nguyen-vat-lieu-du-an-english-or-chinese-2024593-jv","Xem chi tiết")</f>
        <v/>
      </c>
    </row>
    <row r="12028">
      <c r="B12028" s="9" t="n">
        <v>12026</v>
      </c>
      <c r="C12028" s="10" t="inlineStr">
        <is>
          <t>Kế Toán Tổng Hợp</t>
        </is>
      </c>
      <c r="D12028" s="10" t="inlineStr">
        <is>
          <t>CÔNG TY TNHH TIẾP VẬN YIYU</t>
        </is>
      </c>
      <c r="E12028" s="10" t="inlineStr">
        <is>
          <t>15tr-18tr ₫/tháng</t>
        </is>
      </c>
      <c r="F12028" s="10" t="inlineStr">
        <is>
          <t>Hà Nội</t>
        </is>
      </c>
      <c r="G12028" s="10" t="inlineStr">
        <is>
          <t>Nhân viên</t>
        </is>
      </c>
      <c r="H12028" s="10" t="inlineStr">
        <is>
          <t>17/03/2026</t>
        </is>
      </c>
      <c r="I12028" s="10" t="inlineStr">
        <is>
          <t>16/04/2026</t>
        </is>
      </c>
      <c r="J12028" s="10" t="inlineStr">
        <is>
          <t>17/03/2026</t>
        </is>
      </c>
      <c r="K12028" s="10" t="inlineStr">
        <is>
          <t>N/A</t>
        </is>
      </c>
      <c r="L12028" s="10" t="inlineStr">
        <is>
          <t>Kế Toán Tổng Hợp, Tiếng Anh, Kinh nghiệm kế toán, Vận Tải Quốc Tế, Tiếng Trung</t>
        </is>
      </c>
      <c r="M12028" s="10" t="inlineStr">
        <is>
          <t>Bonus, Healthcare Plan, Others</t>
        </is>
      </c>
      <c r="N12028" s="11">
        <f>HYPERLINK("https://www.vietnamworks.com/ke-toan-tong-hop-2024598-jv","Xem chi tiết")</f>
        <v/>
      </c>
      <c r="O12028" s="10" t="n"/>
    </row>
    <row r="12029">
      <c r="B12029" s="7" t="n">
        <v>12027</v>
      </c>
      <c r="C12029" t="inlineStr">
        <is>
          <t>HR Manager</t>
        </is>
      </c>
      <c r="D12029" t="inlineStr">
        <is>
          <t>TSNGroup</t>
        </is>
      </c>
      <c r="E12029" t="inlineStr">
        <is>
          <t>Thương lượng</t>
        </is>
      </c>
      <c r="F12029" t="inlineStr">
        <is>
          <t>Khánh Hòa, Hồ Chí Minh</t>
        </is>
      </c>
      <c r="G12029" t="inlineStr">
        <is>
          <t>Trưởng phòng</t>
        </is>
      </c>
      <c r="H12029" t="inlineStr">
        <is>
          <t>17/03/2026</t>
        </is>
      </c>
      <c r="I12029" t="inlineStr">
        <is>
          <t>16/04/2026</t>
        </is>
      </c>
      <c r="J12029" t="inlineStr">
        <is>
          <t>17/03/2026</t>
        </is>
      </c>
      <c r="K12029" t="inlineStr">
        <is>
          <t>N/A</t>
        </is>
      </c>
      <c r="L12029" t="inlineStr">
        <is>
          <t>Nhân Sự, Tuyển Dụng, Human Resources, Performance Management, Phát Triển Nhân Viên</t>
        </is>
      </c>
      <c r="M12029" t="inlineStr">
        <is>
          <t>Bonus, Paid Leave, Training, Team Activities</t>
        </is>
      </c>
      <c r="N12029" s="8">
        <f>HYPERLINK("https://www.vietnamworks.com/hr-manager-2024600-jv","Xem chi tiết")</f>
        <v/>
      </c>
    </row>
    <row r="12030">
      <c r="B12030" s="9" t="n">
        <v>12028</v>
      </c>
      <c r="C12030" s="10" t="inlineStr">
        <is>
          <t>Alternative Distribution Planning</t>
        </is>
      </c>
      <c r="D12030" s="10" t="inlineStr">
        <is>
          <t>Dai-Ichi Life Vietnam</t>
        </is>
      </c>
      <c r="E12030" s="10" t="inlineStr">
        <is>
          <t>Thương lượng</t>
        </is>
      </c>
      <c r="F12030" s="10" t="inlineStr">
        <is>
          <t>Hồ Chí Minh</t>
        </is>
      </c>
      <c r="G12030" s="10" t="inlineStr">
        <is>
          <t>Nhân viên</t>
        </is>
      </c>
      <c r="H12030" s="10" t="inlineStr">
        <is>
          <t>17/03/2026</t>
        </is>
      </c>
      <c r="I12030" s="10" t="inlineStr">
        <is>
          <t>16/04/2026</t>
        </is>
      </c>
      <c r="J12030" s="10" t="inlineStr">
        <is>
          <t>17/03/2026</t>
        </is>
      </c>
      <c r="K12030" s="10" t="inlineStr">
        <is>
          <t>N/A</t>
        </is>
      </c>
      <c r="L12030" s="10" t="inlineStr">
        <is>
          <t>Planning Data Analysis, Financial Planning, Life Insurance</t>
        </is>
      </c>
      <c r="M12030" s="10" t="inlineStr">
        <is>
          <t>Bonus, Healthcare Plan, Paid Leave</t>
        </is>
      </c>
      <c r="N12030" s="11">
        <f>HYPERLINK("https://www.vietnamworks.com/alternative-distribution-planning-2024609-jv","Xem chi tiết")</f>
        <v/>
      </c>
      <c r="O12030" s="10" t="n"/>
    </row>
    <row r="12031">
      <c r="B12031" s="7" t="n">
        <v>12029</v>
      </c>
      <c r="C12031" t="inlineStr">
        <is>
          <t>工程监理 Construction Engineer Chinese/English)</t>
        </is>
      </c>
      <c r="D12031" t="inlineStr">
        <is>
          <t>AI-CHA FOOD VIET NAM CO.,LTD</t>
        </is>
      </c>
      <c r="E12031" t="inlineStr">
        <is>
          <t>$$ 600-1,500 /tháng</t>
        </is>
      </c>
      <c r="F12031" t="inlineStr">
        <is>
          <t>Hồ Chí Minh</t>
        </is>
      </c>
      <c r="G12031" t="inlineStr">
        <is>
          <t>Nhân viên</t>
        </is>
      </c>
      <c r="H12031" t="inlineStr">
        <is>
          <t>17/03/2026</t>
        </is>
      </c>
      <c r="I12031" t="inlineStr">
        <is>
          <t>16/04/2026</t>
        </is>
      </c>
      <c r="J12031" t="inlineStr">
        <is>
          <t>17/03/2026</t>
        </is>
      </c>
      <c r="K12031" t="inlineStr">
        <is>
          <t>N/A</t>
        </is>
      </c>
      <c r="L12031" t="inlineStr">
        <is>
          <t>Interior Design, Interior Architecture, Project Managing, CAD 3Design, Engineering &amp; Construction Management</t>
        </is>
      </c>
      <c r="M12031" t="inlineStr">
        <is>
          <t>Others</t>
        </is>
      </c>
      <c r="N12031" s="8">
        <f>HYPERLINK("https://www.vietnamworks.com/xiao-lai-lia-construction-engineer-chinese-english-2024603-jv","Xem chi tiết")</f>
        <v/>
      </c>
    </row>
    <row r="12032">
      <c r="B12032" s="9" t="n">
        <v>12030</v>
      </c>
      <c r="C12032" s="10" t="inlineStr">
        <is>
          <t>Giám Sát Thi Công</t>
        </is>
      </c>
      <c r="D12032" s="10" t="inlineStr">
        <is>
          <t>CÔNG TY CỔ PHẦN ĐẦU TƯ XÂY DỰNG IMC VIỆT NAM</t>
        </is>
      </c>
      <c r="E12032" s="10" t="inlineStr">
        <is>
          <t>500-1,000 ₫/tháng</t>
        </is>
      </c>
      <c r="F12032" s="10" t="inlineStr">
        <is>
          <t>Hà Nội, Bắc Ninh</t>
        </is>
      </c>
      <c r="G12032" s="10" t="inlineStr">
        <is>
          <t>Nhân viên</t>
        </is>
      </c>
      <c r="H12032" s="10" t="inlineStr">
        <is>
          <t>17/03/2026</t>
        </is>
      </c>
      <c r="I12032" s="10" t="inlineStr">
        <is>
          <t>16/04/2026</t>
        </is>
      </c>
      <c r="J12032" s="10" t="inlineStr">
        <is>
          <t>17/03/2026</t>
        </is>
      </c>
      <c r="K12032" s="10" t="inlineStr">
        <is>
          <t>N/A</t>
        </is>
      </c>
      <c r="L12032" s="10" t="inlineStr">
        <is>
          <t>Xây Dựng, Triển Khai Hồ Sơ Thi Công, Kiểm Soát Tiến Độ Thi Công, Khai Triển Bản Vẽ, Lập Hồ Sơ Nghiệm Thu</t>
        </is>
      </c>
      <c r="M12032" s="10" t="inlineStr">
        <is>
          <t>Bonus, Healthcare Plan, Others</t>
        </is>
      </c>
      <c r="N12032" s="11">
        <f>HYPERLINK("https://www.vietnamworks.com/giam-sat-thi-cong--2024611-jv","Xem chi tiết")</f>
        <v/>
      </c>
      <c r="O12032" s="10" t="n"/>
    </row>
    <row r="12033">
      <c r="B12033" s="7" t="n">
        <v>12031</v>
      </c>
      <c r="C12033" t="inlineStr">
        <is>
          <t>Finance Manager (Fintech/Chứng khoán/Banking)</t>
        </is>
      </c>
      <c r="D12033" t="inlineStr">
        <is>
          <t>Công ty Cổ phần Sàn giao dịch Tài sản mã hóa Việt Nam Thịnh Vượng</t>
        </is>
      </c>
      <c r="E12033" t="inlineStr">
        <is>
          <t>$$ 2,000-3,000 /tháng</t>
        </is>
      </c>
      <c r="F12033" t="inlineStr">
        <is>
          <t>Hà Nội</t>
        </is>
      </c>
      <c r="G12033" t="inlineStr">
        <is>
          <t>Trưởng phòng</t>
        </is>
      </c>
      <c r="H12033" t="inlineStr">
        <is>
          <t>17/03/2026</t>
        </is>
      </c>
      <c r="I12033" t="inlineStr">
        <is>
          <t>16/04/2026</t>
        </is>
      </c>
      <c r="J12033" t="inlineStr">
        <is>
          <t>17/03/2026</t>
        </is>
      </c>
      <c r="K12033" t="inlineStr">
        <is>
          <t>N/A</t>
        </is>
      </c>
      <c r="L12033" t="inlineStr">
        <is>
          <t>Finance Business Partnering, Finance Management, Finance Planning, Financial Modeling, Negotiation Skills</t>
        </is>
      </c>
      <c r="M12033" t="inlineStr">
        <is>
          <t>Bonus, Healthcare Plan, Laptop, Others</t>
        </is>
      </c>
      <c r="N12033" s="8">
        <f>HYPERLINK("https://www.vietnamworks.com/finance-manager-fintechchung-khoanbanking-2024622-jv","Xem chi tiết")</f>
        <v/>
      </c>
    </row>
    <row r="12034">
      <c r="B12034" s="9" t="n">
        <v>12032</v>
      </c>
      <c r="C12034" s="10" t="inlineStr">
        <is>
          <t>Chuyên Viên Phân Tích Tài Chính</t>
        </is>
      </c>
      <c r="D12034" s="10" t="inlineStr">
        <is>
          <t>Công Ty Cổ Phần Bán Lẻ Kỹ Thuật Số FPT</t>
        </is>
      </c>
      <c r="E12034" s="10" t="inlineStr">
        <is>
          <t>Thương lượng</t>
        </is>
      </c>
      <c r="F12034" s="10" t="inlineStr">
        <is>
          <t>Hà Nội</t>
        </is>
      </c>
      <c r="G12034" s="10" t="inlineStr">
        <is>
          <t>Nhân viên</t>
        </is>
      </c>
      <c r="H12034" s="10" t="inlineStr">
        <is>
          <t>17/03/2026</t>
        </is>
      </c>
      <c r="I12034" s="10" t="inlineStr">
        <is>
          <t>16/04/2026</t>
        </is>
      </c>
      <c r="J12034" s="10" t="inlineStr">
        <is>
          <t>17/03/2026</t>
        </is>
      </c>
      <c r="K12034" s="10" t="inlineStr">
        <is>
          <t>N/A</t>
        </is>
      </c>
      <c r="L12034" s="10" t="inlineStr">
        <is>
          <t>Kế Toán, Kiểm Toán, Làm Việc Nhóm, Phân Tích Tài Chính, SQL</t>
        </is>
      </c>
      <c r="M12034" s="10" t="inlineStr">
        <is>
          <t>Bonus, Healthcare Plan, Training, Team Activities, Others</t>
        </is>
      </c>
      <c r="N12034" s="11">
        <f>HYPERLINK("https://www.vietnamworks.com/chuyen-vien-phan-tich-tai-chinh-2024619-jv","Xem chi tiết")</f>
        <v/>
      </c>
      <c r="O12034" s="10" t="n"/>
    </row>
    <row r="12035">
      <c r="B12035" s="7" t="n">
        <v>12033</v>
      </c>
      <c r="C12035" t="inlineStr">
        <is>
          <t>Front Office Manager (FOM)</t>
        </is>
      </c>
      <c r="D12035" t="inlineStr">
        <is>
          <t>Công Ty Cổ Phần Tập Đoàn Hoá Chất Nhựa</t>
        </is>
      </c>
      <c r="E12035" t="inlineStr">
        <is>
          <t>Thương lượng</t>
        </is>
      </c>
      <c r="F12035" t="inlineStr">
        <is>
          <t>Quảng Ninh</t>
        </is>
      </c>
      <c r="G12035" t="inlineStr">
        <is>
          <t>Trưởng phòng</t>
        </is>
      </c>
      <c r="H12035" t="inlineStr">
        <is>
          <t>17/03/2026</t>
        </is>
      </c>
      <c r="I12035" t="inlineStr">
        <is>
          <t>16/04/2026</t>
        </is>
      </c>
      <c r="J12035" t="inlineStr">
        <is>
          <t>17/03/2026</t>
        </is>
      </c>
      <c r="K12035" t="inlineStr">
        <is>
          <t>N/A</t>
        </is>
      </c>
      <c r="L12035" t="inlineStr">
        <is>
          <t>Dịch Vụ Khách Hàng, Front Office Management, Lễ Tân, Chăm Sóc Khách Hàng, Quản Trị Tiền Sảnh</t>
        </is>
      </c>
      <c r="M12035" t="inlineStr">
        <is>
          <t>Bonus, Healthcare Plan, Team Activities</t>
        </is>
      </c>
      <c r="N12035" s="8">
        <f>HYPERLINK("https://www.vietnamworks.com/front-office-manager-fom--2024621-jv","Xem chi tiết")</f>
        <v/>
      </c>
    </row>
    <row r="12036">
      <c r="B12036" s="9" t="n">
        <v>12034</v>
      </c>
      <c r="C12036" s="10" t="inlineStr">
        <is>
          <t>Sales Area Manager Asia</t>
        </is>
      </c>
      <c r="D12036" s="10" t="inlineStr">
        <is>
          <t>Công Ty TNHH GT Line Á Châu</t>
        </is>
      </c>
      <c r="E12036" s="10" t="inlineStr">
        <is>
          <t>Thương lượng</t>
        </is>
      </c>
      <c r="F12036" s="10" t="inlineStr">
        <is>
          <t>Bà Rịa - Vũng Tàu</t>
        </is>
      </c>
      <c r="G12036" s="10" t="inlineStr">
        <is>
          <t>Nhân viên</t>
        </is>
      </c>
      <c r="H12036" s="10" t="inlineStr">
        <is>
          <t>17/03/2026</t>
        </is>
      </c>
      <c r="I12036" s="10" t="inlineStr">
        <is>
          <t>16/04/2026</t>
        </is>
      </c>
      <c r="J12036" s="10" t="inlineStr">
        <is>
          <t>17/03/2026</t>
        </is>
      </c>
      <c r="K12036" s="10" t="inlineStr">
        <is>
          <t>N/A</t>
        </is>
      </c>
      <c r="L12036" s="10" t="inlineStr">
        <is>
          <t>B2B Sales, Pricing Strategy, Distribution Strategy Development, English Fluency, Willing to travel</t>
        </is>
      </c>
      <c r="M12036" s="10" t="inlineStr">
        <is>
          <t>Bonus, Healthcare Plan, Training, Laptop, Mobile, Others</t>
        </is>
      </c>
      <c r="N12036" s="11">
        <f>HYPERLINK("https://www.vietnamworks.com/sales-area-manager-asia-2024616-jv","Xem chi tiết")</f>
        <v/>
      </c>
      <c r="O12036" s="10" t="n"/>
    </row>
    <row r="12037">
      <c r="B12037" s="7" t="n">
        <v>12035</v>
      </c>
      <c r="C12037" t="inlineStr">
        <is>
          <t>Kỹ Sư Thiết Kế Cơ Khí</t>
        </is>
      </c>
      <c r="D12037" t="inlineStr">
        <is>
          <t>CÔNG TY CỔ PHẦN AMECC ENGINEERING</t>
        </is>
      </c>
      <c r="E12037" t="inlineStr">
        <is>
          <t>Thương lượng</t>
        </is>
      </c>
      <c r="F12037" t="inlineStr">
        <is>
          <t>Hà Nội</t>
        </is>
      </c>
      <c r="G12037" t="inlineStr">
        <is>
          <t>Nhân viên</t>
        </is>
      </c>
      <c r="H12037" t="inlineStr">
        <is>
          <t>17/03/2026</t>
        </is>
      </c>
      <c r="I12037" t="inlineStr">
        <is>
          <t>16/04/2026</t>
        </is>
      </c>
      <c r="J12037" t="inlineStr">
        <is>
          <t>17/03/2026</t>
        </is>
      </c>
      <c r="K12037" t="inlineStr">
        <is>
          <t>N/A</t>
        </is>
      </c>
      <c r="L12037" t="inlineStr">
        <is>
          <t>AutoCAD, Tiếng Anh, Mechanical Design, Thiết Kế Cơ Khí, Thiết Kế Kết Cấu Thép</t>
        </is>
      </c>
      <c r="M12037" t="inlineStr">
        <is>
          <t>Bonus, Healthcare Plan, Team Activities, Others</t>
        </is>
      </c>
      <c r="N12037" s="8">
        <f>HYPERLINK("https://www.vietnamworks.com/ky-su-thiet-ke-co-khi-2024627-jv","Xem chi tiết")</f>
        <v/>
      </c>
    </row>
    <row r="12038">
      <c r="B12038" s="9" t="n">
        <v>12036</v>
      </c>
      <c r="C12038" s="10" t="inlineStr">
        <is>
          <t>Nhân Viên Thiết Kế / Designer</t>
        </is>
      </c>
      <c r="D12038" s="10" t="inlineStr">
        <is>
          <t>Mascot International Viet Nam</t>
        </is>
      </c>
      <c r="E12038" s="10" t="inlineStr">
        <is>
          <t>Thương lượng</t>
        </is>
      </c>
      <c r="F12038" s="10" t="inlineStr">
        <is>
          <t>Hải Dương</t>
        </is>
      </c>
      <c r="G12038" s="10" t="inlineStr">
        <is>
          <t>Nhân viên</t>
        </is>
      </c>
      <c r="H12038" s="10" t="inlineStr">
        <is>
          <t>17/03/2026</t>
        </is>
      </c>
      <c r="I12038" s="10" t="inlineStr">
        <is>
          <t>16/04/2026</t>
        </is>
      </c>
      <c r="J12038" s="10" t="inlineStr">
        <is>
          <t>17/03/2026</t>
        </is>
      </c>
      <c r="K12038" s="10" t="inlineStr">
        <is>
          <t>N/A</t>
        </is>
      </c>
      <c r="L12038" s="10" t="inlineStr">
        <is>
          <t>Fashion Design, illustrator, Photoshop, 3D Modeling, Thiết Kế Thời Trang</t>
        </is>
      </c>
      <c r="M12038" s="10" t="inlineStr">
        <is>
          <t>Bonus, Healthcare Plan, Paid Leave, Training, Transportation, Canteen, Others</t>
        </is>
      </c>
      <c r="N12038" s="11">
        <f>HYPERLINK("https://www.vietnamworks.com/nhan-vien-thiet-ke-designer-2024605-jv","Xem chi tiết")</f>
        <v/>
      </c>
      <c r="O12038" s="10" t="n"/>
    </row>
    <row r="12039">
      <c r="B12039" s="7" t="n">
        <v>12037</v>
      </c>
      <c r="C12039" t="inlineStr">
        <is>
          <t>Trợ Lý Kiểm Toán (Audit Assistant) - Thu Nhập và Đãi Ngộ Hấp Dẫn</t>
        </is>
      </c>
      <c r="D12039" t="inlineStr">
        <is>
          <t>Công Ty TNHH Tư Vấn Đầu Tư Tài Chính Kế Toán Thuế - Kiểm Toán Com.pt</t>
        </is>
      </c>
      <c r="E12039" t="inlineStr">
        <is>
          <t>Thương lượng</t>
        </is>
      </c>
      <c r="F12039" t="inlineStr">
        <is>
          <t>Hà Nội</t>
        </is>
      </c>
      <c r="G12039" t="inlineStr">
        <is>
          <t>Nhân viên</t>
        </is>
      </c>
      <c r="H12039" t="inlineStr">
        <is>
          <t>17/03/2026</t>
        </is>
      </c>
      <c r="I12039" t="inlineStr">
        <is>
          <t>16/04/2026</t>
        </is>
      </c>
      <c r="J12039" t="inlineStr">
        <is>
          <t>17/03/2026</t>
        </is>
      </c>
      <c r="K12039" t="inlineStr">
        <is>
          <t>N/A</t>
        </is>
      </c>
      <c r="L12039" t="inlineStr">
        <is>
          <t>Thẩm Định Giá, Kiểm Toán, Trợ Lý, Lập Báo Cáo Kiểm Toán, Báo Cáo Tài Chính</t>
        </is>
      </c>
      <c r="M12039" t="inlineStr">
        <is>
          <t>Bonus, Team Activities, Others</t>
        </is>
      </c>
      <c r="N12039" s="8">
        <f>HYPERLINK("https://www.vietnamworks.com/tro-ly-kiem-toan-audit-assistant-thu-nhap-va-dai-ngo-hap-dan--2024628-jv","Xem chi tiết")</f>
        <v/>
      </c>
    </row>
    <row r="12040">
      <c r="B12040" s="9" t="n">
        <v>12038</v>
      </c>
      <c r="C12040" s="10" t="inlineStr">
        <is>
          <t>Senior Manager (Sales &amp; BD - China Market)</t>
        </is>
      </c>
      <c r="D12040" s="10" t="inlineStr">
        <is>
          <t>ASIA DMC</t>
        </is>
      </c>
      <c r="E12040" s="10" t="inlineStr">
        <is>
          <t>Thương lượng</t>
        </is>
      </c>
      <c r="F12040" s="10" t="inlineStr">
        <is>
          <t>Hà Nội</t>
        </is>
      </c>
      <c r="G12040" s="10" t="inlineStr">
        <is>
          <t>Trưởng phòng</t>
        </is>
      </c>
      <c r="H12040" s="10" t="inlineStr">
        <is>
          <t>17/03/2026</t>
        </is>
      </c>
      <c r="I12040" s="10" t="inlineStr">
        <is>
          <t>16/04/2026</t>
        </is>
      </c>
      <c r="J12040" s="10" t="inlineStr">
        <is>
          <t>17/03/2026</t>
        </is>
      </c>
      <c r="K12040" s="10" t="inlineStr">
        <is>
          <t>N/A</t>
        </is>
      </c>
      <c r="L12040" s="10" t="inlineStr">
        <is>
          <t>Sales manager, Knowledge Of Us/China, Chinese, Inbound Tour, Sales Strategy</t>
        </is>
      </c>
      <c r="M12040" s="10" t="inlineStr">
        <is>
          <t>Bonus, Healthcare Plan, Travel Opportunities</t>
        </is>
      </c>
      <c r="N12040" s="11">
        <f>HYPERLINK("https://www.vietnamworks.com/senior-manager-sales-bd-china-market-2024620-jv","Xem chi tiết")</f>
        <v/>
      </c>
      <c r="O12040" s="10" t="n"/>
    </row>
    <row r="12041">
      <c r="B12041" s="7" t="n">
        <v>12039</v>
      </c>
      <c r="C12041" t="inlineStr">
        <is>
          <t>Phó Phòng Kho Tổng Và Giao Nhận Miền Nam</t>
        </is>
      </c>
      <c r="D12041" t="inlineStr">
        <is>
          <t>Công Ty Cổ Phần Bán Lẻ Kỹ Thuật Số FPT</t>
        </is>
      </c>
      <c r="E12041" t="inlineStr">
        <is>
          <t>Thương lượng</t>
        </is>
      </c>
      <c r="F12041" t="inlineStr">
        <is>
          <t>Hồ Chí Minh</t>
        </is>
      </c>
      <c r="G12041" t="inlineStr">
        <is>
          <t>Trưởng phòng</t>
        </is>
      </c>
      <c r="H12041" t="inlineStr">
        <is>
          <t>17/03/2026</t>
        </is>
      </c>
      <c r="I12041" t="inlineStr">
        <is>
          <t>16/04/2026</t>
        </is>
      </c>
      <c r="J12041" t="inlineStr">
        <is>
          <t>17/03/2026</t>
        </is>
      </c>
      <c r="K12041" t="inlineStr">
        <is>
          <t>N/A</t>
        </is>
      </c>
      <c r="L12041" t="inlineStr">
        <is>
          <t>Kế Toán Phân Tích, Kỹ năng tổ chức, Làm Việc Nhóm, Logistics, Quản Lý Kho</t>
        </is>
      </c>
      <c r="M12041" t="inlineStr">
        <is>
          <t>Bonus, Paid Leave, Training, Team Activities, Others</t>
        </is>
      </c>
      <c r="N12041" s="8">
        <f>HYPERLINK("https://www.vietnamworks.com/pho-phong-kho-tong-va-giao-nhan-mien-nam-2024625-jv","Xem chi tiết")</f>
        <v/>
      </c>
    </row>
    <row r="12042">
      <c r="B12042" s="9" t="n">
        <v>12040</v>
      </c>
      <c r="C12042" s="10" t="inlineStr">
        <is>
          <t>Accounting &amp; Reception Staff (Contractor) Temp 7 Months</t>
        </is>
      </c>
      <c r="D12042" s="10" t="inlineStr">
        <is>
          <t>Yara</t>
        </is>
      </c>
      <c r="E12042" s="10" t="inlineStr">
        <is>
          <t>Thương lượng</t>
        </is>
      </c>
      <c r="F12042" s="10" t="inlineStr">
        <is>
          <t>Hồ Chí Minh</t>
        </is>
      </c>
      <c r="G12042" s="10" t="inlineStr">
        <is>
          <t>Nhân viên</t>
        </is>
      </c>
      <c r="H12042" s="10" t="inlineStr">
        <is>
          <t>17/03/2026</t>
        </is>
      </c>
      <c r="I12042" s="10" t="inlineStr">
        <is>
          <t>16/04/2026</t>
        </is>
      </c>
      <c r="J12042" s="10" t="inlineStr">
        <is>
          <t>17/03/2026</t>
        </is>
      </c>
      <c r="K12042" s="10" t="inlineStr">
        <is>
          <t>N/A</t>
        </is>
      </c>
      <c r="L12042" s="10" t="inlineStr">
        <is>
          <t>Accounting, ERP System, E-Invoice, Excel, Customer Orientation</t>
        </is>
      </c>
      <c r="M12042" s="10" t="inlineStr">
        <is>
          <t>Bonus</t>
        </is>
      </c>
      <c r="N12042" s="11">
        <f>HYPERLINK("https://www.vietnamworks.com/accounting-and-reception-staff-contractor-temp-7-months-2024595-jv","Xem chi tiết")</f>
        <v/>
      </c>
      <c r="O12042" s="10" t="n"/>
    </row>
    <row r="12043">
      <c r="B12043" s="7" t="n">
        <v>12041</v>
      </c>
      <c r="C12043" t="inlineStr">
        <is>
          <t>Phó Tổng Giám Đốc Tài Chính/ CFO</t>
        </is>
      </c>
      <c r="D12043" t="inlineStr">
        <is>
          <t>CÔNG TY CỔ PHẦN DƯỢC AIKYA</t>
        </is>
      </c>
      <c r="E12043" t="inlineStr">
        <is>
          <t>Thương lượng</t>
        </is>
      </c>
      <c r="F12043" t="inlineStr">
        <is>
          <t>Hồ Chí Minh</t>
        </is>
      </c>
      <c r="G12043" t="inlineStr">
        <is>
          <t>Giám Đốc và Cấp Cao Hơn</t>
        </is>
      </c>
      <c r="H12043" t="inlineStr">
        <is>
          <t>17/03/2026</t>
        </is>
      </c>
      <c r="I12043" t="inlineStr">
        <is>
          <t>16/04/2026</t>
        </is>
      </c>
      <c r="J12043" t="inlineStr">
        <is>
          <t>17/03/2026</t>
        </is>
      </c>
      <c r="K12043" t="inlineStr">
        <is>
          <t>N/A</t>
        </is>
      </c>
      <c r="L12043" t="inlineStr">
        <is>
          <t>CFO, ACCA, CPA, Tài Chính Kế Toán, Kiểm Soát Dòng Tiền</t>
        </is>
      </c>
      <c r="M12043" t="inlineStr">
        <is>
          <t>Others</t>
        </is>
      </c>
      <c r="N12043" s="8">
        <f>HYPERLINK("https://www.vietnamworks.com/pho-tong-giam-doc-tai-chinh-cfo--2024612-jv","Xem chi tiết")</f>
        <v/>
      </c>
    </row>
    <row r="12044">
      <c r="B12044" s="9" t="n">
        <v>12042</v>
      </c>
      <c r="C12044" s="10" t="inlineStr">
        <is>
          <t>Nhân Viên Marketing</t>
        </is>
      </c>
      <c r="D12044" s="10" t="inlineStr">
        <is>
          <t>Công Ty Cổ Phần Michem Việt Nam</t>
        </is>
      </c>
      <c r="E12044" s="10" t="inlineStr">
        <is>
          <t>Thương lượng</t>
        </is>
      </c>
      <c r="F12044" s="10" t="inlineStr">
        <is>
          <t>Hà Nội</t>
        </is>
      </c>
      <c r="G12044" s="10" t="inlineStr">
        <is>
          <t>Nhân viên</t>
        </is>
      </c>
      <c r="H12044" s="10" t="inlineStr">
        <is>
          <t>17/03/2026</t>
        </is>
      </c>
      <c r="I12044" s="10" t="inlineStr">
        <is>
          <t>16/04/2026</t>
        </is>
      </c>
      <c r="J12044" s="10" t="inlineStr">
        <is>
          <t>17/03/2026</t>
        </is>
      </c>
      <c r="K12044" s="10" t="inlineStr">
        <is>
          <t>N/A</t>
        </is>
      </c>
      <c r="L12044" s="10" t="inlineStr">
        <is>
          <t>SEO, Xây Dựng Thương Hiệu, Tiếp Thị Kinh Doanh, Quảng Bá Hình Ảnh, Nghiên Cứu Thị Trường</t>
        </is>
      </c>
      <c r="M12044" s="10" t="inlineStr">
        <is>
          <t>Bonus, Healthcare Plan, Training</t>
        </is>
      </c>
      <c r="N12044" s="11">
        <f>HYPERLINK("https://www.vietnamworks.com/nhan-vien-marketing-1257--2024617-jv","Xem chi tiết")</f>
        <v/>
      </c>
      <c r="O12044" s="10" t="n"/>
    </row>
    <row r="12045">
      <c r="B12045" s="7" t="n">
        <v>12043</v>
      </c>
      <c r="C12045" t="inlineStr">
        <is>
          <t>Chuyên Viên Giải Pháp Và Dịch Vụ Mảng UPS Công Nghiệp</t>
        </is>
      </c>
      <c r="D12045" t="inlineStr">
        <is>
          <t>Công Ty Cổ Phần Công Nghệ Và Giải Pháp EMS</t>
        </is>
      </c>
      <c r="E12045" t="inlineStr">
        <is>
          <t>15tr-25tr ₫/tháng</t>
        </is>
      </c>
      <c r="F12045" t="inlineStr">
        <is>
          <t>Hà Nội</t>
        </is>
      </c>
      <c r="G12045" t="inlineStr">
        <is>
          <t>Nhân viên</t>
        </is>
      </c>
      <c r="H12045" t="inlineStr">
        <is>
          <t>17/03/2026</t>
        </is>
      </c>
      <c r="I12045" t="inlineStr">
        <is>
          <t>16/04/2026</t>
        </is>
      </c>
      <c r="J12045" t="inlineStr">
        <is>
          <t>17/03/2026</t>
        </is>
      </c>
      <c r="K12045" t="inlineStr">
        <is>
          <t>N/A</t>
        </is>
      </c>
      <c r="L12045" t="inlineStr">
        <is>
          <t>AutoCAD, Installation Testing, System Design, MEP, UPS</t>
        </is>
      </c>
      <c r="M12045" t="inlineStr">
        <is>
          <t>Bonus, Healthcare Plan, Paid Leave, Training, Awards, Team Activities</t>
        </is>
      </c>
      <c r="N12045" s="8">
        <f>HYPERLINK("https://www.vietnamworks.com/chuyen-vien-giai-phap-va-dich-vu-mang-ups-cong-nghiep-2024630-jv","Xem chi tiết")</f>
        <v/>
      </c>
    </row>
    <row r="12046">
      <c r="B12046" s="9" t="n">
        <v>12044</v>
      </c>
      <c r="C12046" s="10" t="inlineStr">
        <is>
          <t>Business Development Executive</t>
        </is>
      </c>
      <c r="D12046" s="10" t="inlineStr">
        <is>
          <t>Công Ty Cổ Phần Tân Phú Việt Nam</t>
        </is>
      </c>
      <c r="E12046" s="10" t="inlineStr">
        <is>
          <t>$$ 600-1,500 /tháng</t>
        </is>
      </c>
      <c r="F12046" s="10" t="inlineStr">
        <is>
          <t>Đồng Nai, Bà Rịa - Vũng Tàu</t>
        </is>
      </c>
      <c r="G12046" s="10" t="inlineStr">
        <is>
          <t>Nhân viên</t>
        </is>
      </c>
      <c r="H12046" s="10" t="inlineStr">
        <is>
          <t>17/03/2026</t>
        </is>
      </c>
      <c r="I12046" s="10" t="inlineStr">
        <is>
          <t>16/04/2026</t>
        </is>
      </c>
      <c r="J12046" s="10" t="inlineStr">
        <is>
          <t>17/03/2026</t>
        </is>
      </c>
      <c r="K12046" s="10" t="inlineStr">
        <is>
          <t>N/A</t>
        </is>
      </c>
      <c r="L12046" s="10" t="inlineStr">
        <is>
          <t>Kinh Tế, Kỹ năng đàm phán, Marketing Development, Ngoại Thương, Xuất Nhập Khẩu</t>
        </is>
      </c>
      <c r="M12046" s="10" t="inlineStr">
        <is>
          <t>Bonus, Healthcare Plan, Paid Leave, Training, Laptop, Travel Opportunities, Transportation, Canteen</t>
        </is>
      </c>
      <c r="N12046" s="11">
        <f>HYPERLINK("https://www.vietnamworks.com/business-development-executive-2024618-jv","Xem chi tiết")</f>
        <v/>
      </c>
      <c r="O12046" s="10" t="n"/>
    </row>
    <row r="12047">
      <c r="B12047" s="7" t="n">
        <v>12045</v>
      </c>
      <c r="C12047" t="inlineStr">
        <is>
          <t>Business Analyst</t>
        </is>
      </c>
      <c r="D12047" t="inlineStr">
        <is>
          <t>Tasco Joint Stock Company</t>
        </is>
      </c>
      <c r="E12047" t="inlineStr">
        <is>
          <t>Thương lượng</t>
        </is>
      </c>
      <c r="F12047" t="inlineStr">
        <is>
          <t>Hà Nội</t>
        </is>
      </c>
      <c r="G12047" t="inlineStr">
        <is>
          <t>Nhân viên</t>
        </is>
      </c>
      <c r="H12047" t="inlineStr">
        <is>
          <t>17/03/2026</t>
        </is>
      </c>
      <c r="I12047" t="inlineStr">
        <is>
          <t>16/04/2026</t>
        </is>
      </c>
      <c r="J12047" t="inlineStr">
        <is>
          <t>17/03/2026</t>
        </is>
      </c>
      <c r="K12047" t="inlineStr">
        <is>
          <t>N/A</t>
        </is>
      </c>
      <c r="L12047" t="inlineStr">
        <is>
          <t>Công Cụ BI, Phân Tích Yêu Cầu, Quản Lý Kho, Tư Duy Hệ Thống, Viết Tài Liệu</t>
        </is>
      </c>
      <c r="M12047" t="inlineStr">
        <is>
          <t>Healthcare Plan, Laptop, Team Activities, Others</t>
        </is>
      </c>
      <c r="N12047" s="8">
        <f>HYPERLINK("https://www.vietnamworks.com/business-analyst-2024631-jv","Xem chi tiết")</f>
        <v/>
      </c>
    </row>
    <row r="12048">
      <c r="B12048" s="9" t="n">
        <v>12046</v>
      </c>
      <c r="C12048" s="10" t="inlineStr">
        <is>
          <t xml:space="preserve">Chuyên Viên Kiểm Soát Nội Bộ </t>
        </is>
      </c>
      <c r="D12048" s="10" t="inlineStr">
        <is>
          <t>Công Ty Cổ Phần Đầu Tư Nhật Huy</t>
        </is>
      </c>
      <c r="E12048" s="10" t="inlineStr">
        <is>
          <t>20tr-30tr ₫/tháng</t>
        </is>
      </c>
      <c r="F12048" s="10" t="inlineStr">
        <is>
          <t>Hà Nội</t>
        </is>
      </c>
      <c r="G12048" s="10" t="inlineStr">
        <is>
          <t>Nhân viên</t>
        </is>
      </c>
      <c r="H12048" s="10" t="inlineStr">
        <is>
          <t>17/03/2026</t>
        </is>
      </c>
      <c r="I12048" s="10" t="inlineStr">
        <is>
          <t>16/04/2026</t>
        </is>
      </c>
      <c r="J12048" s="10" t="inlineStr">
        <is>
          <t>17/03/2026</t>
        </is>
      </c>
      <c r="K12048" s="10" t="inlineStr">
        <is>
          <t>N/A</t>
        </is>
      </c>
      <c r="L12048" s="10" t="inlineStr">
        <is>
          <t>Báo Cáo Tài Chính, Giao Tiếp, Kiểm Soát Nội Bộ, Kỹ năng tin học văn phòng, Phân Tích Dữ Liệu</t>
        </is>
      </c>
      <c r="M12048" s="10" t="inlineStr">
        <is>
          <t>Bonus</t>
        </is>
      </c>
      <c r="N12048" s="11">
        <f>HYPERLINK("https://www.vietnamworks.com/chuyen-vien-kiem-soat-noi-bo-2024640-jv","Xem chi tiết")</f>
        <v/>
      </c>
      <c r="O12048" s="10" t="n"/>
    </row>
    <row r="12049">
      <c r="B12049" s="7" t="n">
        <v>12047</v>
      </c>
      <c r="C12049" t="inlineStr">
        <is>
          <t>Chuyên Viên Dịch Vụ Quỹ và Danh Mục</t>
        </is>
      </c>
      <c r="D12049" t="inlineStr">
        <is>
          <t>Công Ty TNHH Quản lý Quỹ Đầu tư Chứng khoán Vietcombank</t>
        </is>
      </c>
      <c r="E12049" t="inlineStr">
        <is>
          <t>Thương lượng</t>
        </is>
      </c>
      <c r="F12049" t="inlineStr">
        <is>
          <t>Hà Nội</t>
        </is>
      </c>
      <c r="G12049" t="inlineStr">
        <is>
          <t>Nhân viên</t>
        </is>
      </c>
      <c r="H12049" t="inlineStr">
        <is>
          <t>17/03/2026</t>
        </is>
      </c>
      <c r="I12049" t="inlineStr">
        <is>
          <t>16/04/2026</t>
        </is>
      </c>
      <c r="J12049" t="inlineStr">
        <is>
          <t>17/03/2026</t>
        </is>
      </c>
      <c r="K12049" t="inlineStr">
        <is>
          <t>N/A</t>
        </is>
      </c>
      <c r="L12049" t="inlineStr">
        <is>
          <t>Chứng Khoán, Dịch Vụ Chứng Khoán, Quản Lý Quỹ, Kế Toán, Tài Chính</t>
        </is>
      </c>
      <c r="M12049" t="inlineStr">
        <is>
          <t>Others</t>
        </is>
      </c>
      <c r="N12049" s="8">
        <f>HYPERLINK("https://www.vietnamworks.com/chuyen-vien-dich-vu-quy-va-danh-muc-2024637-jv","Xem chi tiết")</f>
        <v/>
      </c>
    </row>
    <row r="12050">
      <c r="B12050" s="9" t="n">
        <v>12048</v>
      </c>
      <c r="C12050" s="10" t="inlineStr">
        <is>
          <t>Kế Toán Công Nợ Tổng Hợp</t>
        </is>
      </c>
      <c r="D12050" s="10" t="inlineStr">
        <is>
          <t>Momentum Industrial (Vietnam) Limited</t>
        </is>
      </c>
      <c r="E12050" s="10" t="inlineStr">
        <is>
          <t>Từ $ 700 /tháng</t>
        </is>
      </c>
      <c r="F12050" s="10" t="inlineStr">
        <is>
          <t>Hồ Chí Minh</t>
        </is>
      </c>
      <c r="G12050" s="10" t="inlineStr">
        <is>
          <t>Nhân viên</t>
        </is>
      </c>
      <c r="H12050" s="10" t="inlineStr">
        <is>
          <t>17/03/2026</t>
        </is>
      </c>
      <c r="I12050" s="10" t="inlineStr">
        <is>
          <t>16/04/2026</t>
        </is>
      </c>
      <c r="J12050" s="10" t="inlineStr">
        <is>
          <t>17/03/2026</t>
        </is>
      </c>
      <c r="K12050" s="10" t="inlineStr">
        <is>
          <t>N/A</t>
        </is>
      </c>
      <c r="L12050" s="10" t="inlineStr">
        <is>
          <t>Kiểm toán, Kế toán, Tiếng anh cơ bản, Chi tiết, Tỉ mỉ</t>
        </is>
      </c>
      <c r="M12050" s="10" t="inlineStr">
        <is>
          <t>Bonus, Healthcare Plan, Others</t>
        </is>
      </c>
      <c r="N12050" s="11">
        <f>HYPERLINK("https://www.vietnamworks.com/ke-toan-cong-no-tong-hop--2024632-jv","Xem chi tiết")</f>
        <v/>
      </c>
      <c r="O12050" s="10" t="n"/>
    </row>
    <row r="12051">
      <c r="B12051" s="7" t="n">
        <v>12049</v>
      </c>
      <c r="C12051" t="inlineStr">
        <is>
          <t>Kỹ Sư M&amp;E/Nhân Viên Pre Sale</t>
        </is>
      </c>
      <c r="D12051" t="inlineStr">
        <is>
          <t>Công Ty Cổ Phần Công Nghệ Và Giải Pháp EMS</t>
        </is>
      </c>
      <c r="E12051" t="inlineStr">
        <is>
          <t>13tr-25tr ₫/tháng</t>
        </is>
      </c>
      <c r="F12051" t="inlineStr">
        <is>
          <t>Hà Nội</t>
        </is>
      </c>
      <c r="G12051" t="inlineStr">
        <is>
          <t>Nhân viên</t>
        </is>
      </c>
      <c r="H12051" t="inlineStr">
        <is>
          <t>17/03/2026</t>
        </is>
      </c>
      <c r="I12051" t="inlineStr">
        <is>
          <t>16/04/2026</t>
        </is>
      </c>
      <c r="J12051" t="inlineStr">
        <is>
          <t>17/03/2026</t>
        </is>
      </c>
      <c r="K12051" t="inlineStr">
        <is>
          <t>N/A</t>
        </is>
      </c>
      <c r="L12051" t="inlineStr">
        <is>
          <t>Data Center Management, Giải Pháp Kỹ Thuật, Lập Trình AutoCAD, M&amp;E, Triển Khai Kỹ Thuật</t>
        </is>
      </c>
      <c r="M12051" t="inlineStr">
        <is>
          <t>Bonus, Healthcare Plan, Training, Awards, Team Activities</t>
        </is>
      </c>
      <c r="N12051" s="8">
        <f>HYPERLINK("https://www.vietnamworks.com/ky-su-mandenhan-vien-pre-sale-2024648-jv","Xem chi tiết")</f>
        <v/>
      </c>
    </row>
    <row r="12052">
      <c r="B12052" s="9" t="n">
        <v>12050</v>
      </c>
      <c r="C12052" s="10" t="inlineStr">
        <is>
          <t>Nhân Viên Dự Án Gói Thầu (Thuộc Mảng Xây Dựng)</t>
        </is>
      </c>
      <c r="D12052" s="10" t="inlineStr">
        <is>
          <t>VIFON</t>
        </is>
      </c>
      <c r="E12052" s="10" t="inlineStr">
        <is>
          <t>$$ 500-800 /tháng</t>
        </is>
      </c>
      <c r="F12052" s="10" t="inlineStr">
        <is>
          <t>Hồ Chí Minh</t>
        </is>
      </c>
      <c r="G12052" s="10" t="inlineStr">
        <is>
          <t>Nhân viên</t>
        </is>
      </c>
      <c r="H12052" s="10" t="inlineStr">
        <is>
          <t>17/03/2026</t>
        </is>
      </c>
      <c r="I12052" s="10" t="inlineStr">
        <is>
          <t>16/04/2026</t>
        </is>
      </c>
      <c r="J12052" s="10" t="inlineStr">
        <is>
          <t>17/03/2026</t>
        </is>
      </c>
      <c r="K12052" s="10" t="inlineStr">
        <is>
          <t>N/A</t>
        </is>
      </c>
      <c r="L12052" s="10" t="inlineStr">
        <is>
          <t>Thu Mua Vật Tư, Vật liệu xây dựng, Vật Liệu Nội Thất</t>
        </is>
      </c>
      <c r="M12052" s="10" t="inlineStr">
        <is>
          <t>Bonus, Healthcare Plan, Paid Leave</t>
        </is>
      </c>
      <c r="N12052" s="11">
        <f>HYPERLINK("https://www.vietnamworks.com/nhan-vien-du-an-goi-thau-thuoc-mang-xay-dung-2024658-jv","Xem chi tiết")</f>
        <v/>
      </c>
      <c r="O12052" s="10" t="n"/>
    </row>
    <row r="12053">
      <c r="B12053" s="7" t="n">
        <v>12051</v>
      </c>
      <c r="C12053" t="inlineStr">
        <is>
          <t>Kế Toán Trưởng</t>
        </is>
      </c>
      <c r="D12053" t="inlineStr">
        <is>
          <t>CÔNG TY TNHH BẤT ĐỘNG SẢN HẢI HIẾU</t>
        </is>
      </c>
      <c r="E12053" t="inlineStr">
        <is>
          <t>Thương lượng</t>
        </is>
      </c>
      <c r="F12053" t="inlineStr">
        <is>
          <t>Hà Nội</t>
        </is>
      </c>
      <c r="G12053" t="inlineStr">
        <is>
          <t>Nhân viên</t>
        </is>
      </c>
      <c r="H12053" t="inlineStr">
        <is>
          <t>17/03/2026</t>
        </is>
      </c>
      <c r="I12053" t="inlineStr">
        <is>
          <t>16/04/2026</t>
        </is>
      </c>
      <c r="J12053" t="inlineStr">
        <is>
          <t>17/03/2026</t>
        </is>
      </c>
      <c r="K12053" t="inlineStr">
        <is>
          <t>N/A</t>
        </is>
      </c>
      <c r="L12053" t="inlineStr">
        <is>
          <t>Kế Toán, Tài Chính, Phân Tích Tài Chính, Kế Toán Trưởng, Quản Trị Tài Chính</t>
        </is>
      </c>
      <c r="M12053" t="inlineStr">
        <is>
          <t>Bonus, Healthcare Plan, Others</t>
        </is>
      </c>
      <c r="N12053" s="8">
        <f>HYPERLINK("https://www.vietnamworks.com/ke-toan-truong-2024643-jv","Xem chi tiết")</f>
        <v/>
      </c>
    </row>
    <row r="12054">
      <c r="B12054" s="9" t="n">
        <v>12052</v>
      </c>
      <c r="C12054" s="10" t="inlineStr">
        <is>
          <t>(Việc làm Vĩnh Long) Kỹ Sư Triển Khai Bản Vẽ Xây Dựng</t>
        </is>
      </c>
      <c r="D12054" s="10" t="inlineStr">
        <is>
          <t>Công ty Phát triển phần mềm xây dựng Aureole (Aureole CSD)</t>
        </is>
      </c>
      <c r="E12054" s="10" t="inlineStr">
        <is>
          <t>7tr-9tr ₫/tháng</t>
        </is>
      </c>
      <c r="F12054" s="10" t="inlineStr">
        <is>
          <t>Vĩnh Long</t>
        </is>
      </c>
      <c r="G12054" s="10" t="inlineStr">
        <is>
          <t>Nhân viên</t>
        </is>
      </c>
      <c r="H12054" s="10" t="inlineStr">
        <is>
          <t>17/03/2026</t>
        </is>
      </c>
      <c r="I12054" s="10" t="inlineStr">
        <is>
          <t>16/04/2026</t>
        </is>
      </c>
      <c r="J12054" s="10" t="inlineStr">
        <is>
          <t>17/03/2026</t>
        </is>
      </c>
      <c r="K12054" s="10" t="inlineStr">
        <is>
          <t>N/A</t>
        </is>
      </c>
      <c r="L12054" s="10" t="inlineStr">
        <is>
          <t>AutoCAD, Triển Khai Bản Vẽ, Đọc Hiểu Bản Vẽ Kỹ Thuật</t>
        </is>
      </c>
      <c r="M12054" s="10" t="inlineStr">
        <is>
          <t>Healthcare Plan, Paid Leave, Training, Awards, Team Activities, Others</t>
        </is>
      </c>
      <c r="N12054" s="11">
        <f>HYPERLINK("https://www.vietnamworks.com/-viec-lam-vinh-long-ky-su-trien-khai-ban-ve-xay-dung-2024649-jv","Xem chi tiết")</f>
        <v/>
      </c>
      <c r="O12054" s="10" t="n"/>
    </row>
    <row r="12055">
      <c r="B12055" s="7" t="n">
        <v>12053</v>
      </c>
      <c r="C12055" t="inlineStr">
        <is>
          <t>Business Analyst</t>
        </is>
      </c>
      <c r="D12055" t="inlineStr">
        <is>
          <t>Webprovise</t>
        </is>
      </c>
      <c r="E12055" t="inlineStr">
        <is>
          <t>Thương lượng</t>
        </is>
      </c>
      <c r="F12055" t="inlineStr">
        <is>
          <t>Hà Nội</t>
        </is>
      </c>
      <c r="G12055" t="inlineStr">
        <is>
          <t>Nhân viên</t>
        </is>
      </c>
      <c r="H12055" t="inlineStr">
        <is>
          <t>17/03/2026</t>
        </is>
      </c>
      <c r="I12055" t="inlineStr">
        <is>
          <t>16/04/2026</t>
        </is>
      </c>
      <c r="J12055" t="inlineStr">
        <is>
          <t>17/03/2026</t>
        </is>
      </c>
      <c r="K12055" t="inlineStr">
        <is>
          <t>N/A</t>
        </is>
      </c>
      <c r="L12055" t="inlineStr">
        <is>
          <t>Business Analysis, Agile Methodologies, Requirement Analysis, Software Development, Communication Skills</t>
        </is>
      </c>
      <c r="M12055" t="inlineStr">
        <is>
          <t>Bonus, Paid Leave, Team Activities, Others</t>
        </is>
      </c>
      <c r="N12055" s="8">
        <f>HYPERLINK("https://www.vietnamworks.com/business-analyst-2024642-jv","Xem chi tiết")</f>
        <v/>
      </c>
    </row>
    <row r="12056">
      <c r="B12056" s="9" t="n">
        <v>12054</v>
      </c>
      <c r="C12056" s="10" t="inlineStr">
        <is>
          <t>Giám Đốc Chương Trình Truyền Thông Đa Phương Tiện</t>
        </is>
      </c>
      <c r="D12056" s="10" t="inlineStr">
        <is>
          <t>Đại học CMC</t>
        </is>
      </c>
      <c r="E12056" s="10" t="inlineStr">
        <is>
          <t>Thương lượng</t>
        </is>
      </c>
      <c r="F12056" s="10" t="inlineStr">
        <is>
          <t>Hà Nội</t>
        </is>
      </c>
      <c r="G12056" s="10" t="inlineStr">
        <is>
          <t>Giám Đốc và Cấp Cao Hơn</t>
        </is>
      </c>
      <c r="H12056" s="10" t="inlineStr">
        <is>
          <t>17/03/2026</t>
        </is>
      </c>
      <c r="I12056" s="10" t="inlineStr">
        <is>
          <t>16/04/2026</t>
        </is>
      </c>
      <c r="J12056" s="10" t="inlineStr">
        <is>
          <t>17/03/2026</t>
        </is>
      </c>
      <c r="K12056" s="10" t="inlineStr">
        <is>
          <t>N/A</t>
        </is>
      </c>
      <c r="L12056" s="10" t="inlineStr">
        <is>
          <t>Báo chí, Multimedia Communication, Quan Hệ Công Chúng, Quản Lý Đào Tạo, Truyền Thông</t>
        </is>
      </c>
      <c r="M12056" s="10" t="inlineStr">
        <is>
          <t>Bonus, Healthcare Plan, Training, Team Activities, Others</t>
        </is>
      </c>
      <c r="N12056" s="11">
        <f>HYPERLINK("https://www.vietnamworks.com/giam-djoc-chuong-trinh-truyen-thong-dja-phuong-tien-2024653-jv","Xem chi tiết")</f>
        <v/>
      </c>
      <c r="O12056" s="10" t="n"/>
    </row>
    <row r="12057">
      <c r="B12057" s="7" t="n">
        <v>12055</v>
      </c>
      <c r="C12057" t="inlineStr">
        <is>
          <t>Trưởng Ban Truyền Thông</t>
        </is>
      </c>
      <c r="D12057" t="inlineStr">
        <is>
          <t>Công Ty Cổ Phần Đầu Tư Xây Dựng Newtecons</t>
        </is>
      </c>
      <c r="E12057" t="inlineStr">
        <is>
          <t>Thương lượng</t>
        </is>
      </c>
      <c r="F12057" t="inlineStr">
        <is>
          <t>Hồ Chí Minh</t>
        </is>
      </c>
      <c r="G12057" t="inlineStr">
        <is>
          <t>Trưởng phòng</t>
        </is>
      </c>
      <c r="H12057" t="inlineStr">
        <is>
          <t>17/03/2026</t>
        </is>
      </c>
      <c r="I12057" t="inlineStr">
        <is>
          <t>16/04/2026</t>
        </is>
      </c>
      <c r="J12057" t="inlineStr">
        <is>
          <t>17/03/2026</t>
        </is>
      </c>
      <c r="K12057" t="inlineStr">
        <is>
          <t>N/A</t>
        </is>
      </c>
      <c r="L12057" t="inlineStr">
        <is>
          <t>Chiến Lược Truyền Thông, Quản Lý Thương Hiệu, Quản Trị Đội Ngũ, Phân Tích Chiến Lược, Truyền Thông Báo Chí</t>
        </is>
      </c>
      <c r="M12057" t="inlineStr">
        <is>
          <t>Bonus, Healthcare Plan, Training, Others</t>
        </is>
      </c>
      <c r="N12057" s="8">
        <f>HYPERLINK("https://www.vietnamworks.com/truong-ban-truyen-thong-2024655-jv","Xem chi tiết")</f>
        <v/>
      </c>
    </row>
    <row r="12058">
      <c r="B12058" s="9" t="n">
        <v>12056</v>
      </c>
      <c r="C12058" s="10" t="inlineStr">
        <is>
          <t>Kiến Trúc Sư (Concept &amp; Triển Khai 2D)</t>
        </is>
      </c>
      <c r="D12058" s="10" t="inlineStr">
        <is>
          <t>CÔNG TY TNHH ĐẦU TƯ TÍN THÀNH HOLDINGS</t>
        </is>
      </c>
      <c r="E12058" s="10" t="inlineStr">
        <is>
          <t>$$ 620-900 /tháng</t>
        </is>
      </c>
      <c r="F12058" s="10" t="inlineStr">
        <is>
          <t>Hồ Chí Minh</t>
        </is>
      </c>
      <c r="G12058" s="10" t="inlineStr">
        <is>
          <t>Nhân viên</t>
        </is>
      </c>
      <c r="H12058" s="10" t="inlineStr">
        <is>
          <t>17/03/2026</t>
        </is>
      </c>
      <c r="I12058" s="10" t="inlineStr">
        <is>
          <t>16/04/2026</t>
        </is>
      </c>
      <c r="J12058" s="10" t="inlineStr">
        <is>
          <t>17/03/2026</t>
        </is>
      </c>
      <c r="K12058" s="10" t="inlineStr">
        <is>
          <t>N/A</t>
        </is>
      </c>
      <c r="L12058" s="10" t="inlineStr">
        <is>
          <t>Thiết Kế Kiến Trúc Nội Thất, Concepts 3D, Sketchup AutoCAD, Thiết Kế Concept, Bản Vẽ Kỹ Thuật</t>
        </is>
      </c>
      <c r="M12058" s="10" t="inlineStr">
        <is>
          <t>Bonus, Paid Leave, Team Activities</t>
        </is>
      </c>
      <c r="N12058" s="11">
        <f>HYPERLINK("https://www.vietnamworks.com/kien-truc-su-concept-trien-khai-2d-2024657-jv","Xem chi tiết")</f>
        <v/>
      </c>
      <c r="O12058" s="10" t="n"/>
    </row>
    <row r="12059">
      <c r="B12059" s="7" t="n">
        <v>12057</v>
      </c>
      <c r="C12059" t="inlineStr">
        <is>
          <t>Nhân Viên Thiết Kế Kỹ Thuật</t>
        </is>
      </c>
      <c r="D12059" t="inlineStr">
        <is>
          <t>Eurowindow Holding</t>
        </is>
      </c>
      <c r="E12059" t="inlineStr">
        <is>
          <t>Thương lượng</t>
        </is>
      </c>
      <c r="F12059" t="inlineStr">
        <is>
          <t>Hà Nội</t>
        </is>
      </c>
      <c r="G12059" t="inlineStr">
        <is>
          <t>Nhân viên</t>
        </is>
      </c>
      <c r="H12059" t="inlineStr">
        <is>
          <t>17/03/2026</t>
        </is>
      </c>
      <c r="I12059" t="inlineStr">
        <is>
          <t>16/04/2026</t>
        </is>
      </c>
      <c r="J12059" t="inlineStr">
        <is>
          <t>17/03/2026</t>
        </is>
      </c>
      <c r="K12059" t="inlineStr">
        <is>
          <t>N/A</t>
        </is>
      </c>
      <c r="L12059" t="inlineStr">
        <is>
          <t>Thiết Kế Kỹ Thuật, AutoCAD 2D, AutoCAD 3D, Tin Học Văn Phòng, Bóc tách</t>
        </is>
      </c>
      <c r="M12059" t="inlineStr">
        <is>
          <t>Bonus, Healthcare Plan, Training, Travel Opportunities, Team Activities, Others</t>
        </is>
      </c>
      <c r="N12059" s="8">
        <f>HYPERLINK("https://www.vietnamworks.com/nhan-vien-thiet-ke-ky-thuat-2024650-jv","Xem chi tiết")</f>
        <v/>
      </c>
    </row>
    <row r="12060">
      <c r="B12060" s="9" t="n">
        <v>12058</v>
      </c>
      <c r="C12060" s="10" t="inlineStr">
        <is>
          <t>Back - End Developer (Java)</t>
        </is>
      </c>
      <c r="D12060" s="10" t="inlineStr">
        <is>
          <t>Tasco Joint Stock Company</t>
        </is>
      </c>
      <c r="E12060" s="10" t="inlineStr">
        <is>
          <t>Thương lượng</t>
        </is>
      </c>
      <c r="F12060" s="10" t="inlineStr">
        <is>
          <t>Hà Nội</t>
        </is>
      </c>
      <c r="G12060" s="10" t="inlineStr">
        <is>
          <t>Nhân viên</t>
        </is>
      </c>
      <c r="H12060" s="10" t="inlineStr">
        <is>
          <t>17/03/2026</t>
        </is>
      </c>
      <c r="I12060" s="10" t="inlineStr">
        <is>
          <t>16/04/2026</t>
        </is>
      </c>
      <c r="J12060" s="10" t="inlineStr">
        <is>
          <t>17/03/2026</t>
        </is>
      </c>
      <c r="K12060" s="10" t="inlineStr">
        <is>
          <t>N/A</t>
        </is>
      </c>
      <c r="L12060" s="10" t="inlineStr">
        <is>
          <t>Hibernate, Java, Microservices, PostgreSQL, Spring Framework</t>
        </is>
      </c>
      <c r="M12060" s="10" t="inlineStr">
        <is>
          <t>Healthcare Plan, Laptop, Team Activities, Others</t>
        </is>
      </c>
      <c r="N12060" s="11">
        <f>HYPERLINK("https://www.vietnamworks.com/back-end-developer-java-2024635-jv","Xem chi tiết")</f>
        <v/>
      </c>
      <c r="O12060" s="10" t="n"/>
    </row>
    <row r="12061">
      <c r="B12061" s="7" t="n">
        <v>12059</v>
      </c>
      <c r="C12061" t="inlineStr">
        <is>
          <t>Công Nhân Vận Hành Kho / Nhân Viên Vận Hành Kho (Chính Thức)</t>
        </is>
      </c>
      <c r="D12061" t="inlineStr">
        <is>
          <t>Công ty TNHH Freudenberg &amp; Vilene International Việt Nam</t>
        </is>
      </c>
      <c r="E12061" t="inlineStr">
        <is>
          <t>Thương lượng</t>
        </is>
      </c>
      <c r="F12061" t="inlineStr">
        <is>
          <t>Đồng Nai</t>
        </is>
      </c>
      <c r="G12061" t="inlineStr">
        <is>
          <t>Mới Tốt Nghiệp</t>
        </is>
      </c>
      <c r="H12061" t="inlineStr">
        <is>
          <t>17/03/2026</t>
        </is>
      </c>
      <c r="I12061" t="inlineStr">
        <is>
          <t>16/04/2026</t>
        </is>
      </c>
      <c r="J12061" t="inlineStr">
        <is>
          <t>17/03/2026</t>
        </is>
      </c>
      <c r="K12061" t="inlineStr">
        <is>
          <t>N/A</t>
        </is>
      </c>
      <c r="L12061" t="inlineStr">
        <is>
          <t>Warehouse Management, Forklift, Inventory Checking, Import Management, Warehouse Operation</t>
        </is>
      </c>
      <c r="M12061" t="inlineStr">
        <is>
          <t>Bonus, Healthcare Plan, Canteen, Others</t>
        </is>
      </c>
      <c r="N12061" s="8">
        <f>HYPERLINK("https://www.vietnamworks.com/cong-nhan-van-hanh-kho-nhan-vien-van-hanh-kho-chinh-thuc-2024638-jv","Xem chi tiết")</f>
        <v/>
      </c>
    </row>
    <row r="12062">
      <c r="B12062" s="9" t="n">
        <v>12060</v>
      </c>
      <c r="C12062" s="10" t="inlineStr">
        <is>
          <t>Front - End Developer (Vuejs)</t>
        </is>
      </c>
      <c r="D12062" s="10" t="inlineStr">
        <is>
          <t>Tasco Joint Stock Company</t>
        </is>
      </c>
      <c r="E12062" s="10" t="inlineStr">
        <is>
          <t>Thương lượng</t>
        </is>
      </c>
      <c r="F12062" s="10" t="inlineStr">
        <is>
          <t>Hà Nội</t>
        </is>
      </c>
      <c r="G12062" s="10" t="inlineStr">
        <is>
          <t>Nhân viên</t>
        </is>
      </c>
      <c r="H12062" s="10" t="inlineStr">
        <is>
          <t>17/03/2026</t>
        </is>
      </c>
      <c r="I12062" s="10" t="inlineStr">
        <is>
          <t>16/04/2026</t>
        </is>
      </c>
      <c r="J12062" s="10" t="inlineStr">
        <is>
          <t>17/03/2026</t>
        </is>
      </c>
      <c r="K12062" s="10" t="inlineStr">
        <is>
          <t>N/A</t>
        </is>
      </c>
      <c r="L12062" s="10" t="inlineStr">
        <is>
          <t>CSS3, HTML5, JavaScript, Problem-solving, Vue.js</t>
        </is>
      </c>
      <c r="M12062" s="10" t="inlineStr">
        <is>
          <t>Healthcare Plan, Team Activities, Others</t>
        </is>
      </c>
      <c r="N12062" s="11">
        <f>HYPERLINK("https://www.vietnamworks.com/front-end-developer-vuejs-2024652-jv","Xem chi tiết")</f>
        <v/>
      </c>
      <c r="O12062" s="10" t="n"/>
    </row>
    <row r="12063">
      <c r="B12063" s="7" t="n">
        <v>12061</v>
      </c>
      <c r="C12063" t="inlineStr">
        <is>
          <t>Hot Job - Nhân Viên Kế Toán</t>
        </is>
      </c>
      <c r="D12063" t="inlineStr">
        <is>
          <t>Công Ty TNHH Sinfonia Microtec (Việt Nam)</t>
        </is>
      </c>
      <c r="E12063" t="inlineStr">
        <is>
          <t>Thương lượng</t>
        </is>
      </c>
      <c r="F12063" t="inlineStr">
        <is>
          <t>Hà Nam, Ninh Bình</t>
        </is>
      </c>
      <c r="G12063" t="inlineStr">
        <is>
          <t>Mới Tốt Nghiệp</t>
        </is>
      </c>
      <c r="H12063" t="inlineStr">
        <is>
          <t>17/03/2026</t>
        </is>
      </c>
      <c r="I12063" t="inlineStr">
        <is>
          <t>27/03/2026</t>
        </is>
      </c>
      <c r="J12063" t="inlineStr">
        <is>
          <t>17/03/2026</t>
        </is>
      </c>
      <c r="K12063" t="inlineStr">
        <is>
          <t>N/A</t>
        </is>
      </c>
      <c r="L12063" t="inlineStr">
        <is>
          <t>Kế Toán, Kế Toán Giá Thành, Kê Khai Thuế, Quyết Toán Thuế, Tính Giá Thành</t>
        </is>
      </c>
      <c r="M12063" t="inlineStr">
        <is>
          <t>Bonus, Healthcare Plan, Paid Leave, Library, Laptop, Team Activities, Others</t>
        </is>
      </c>
      <c r="N12063" s="8">
        <f>HYPERLINK("https://www.vietnamworks.com/hot-job-nhan-vien-ke-toan-2024662-jv","Xem chi tiết")</f>
        <v/>
      </c>
    </row>
    <row r="12064">
      <c r="B12064" s="9" t="n">
        <v>12062</v>
      </c>
      <c r="C12064" s="10" t="inlineStr">
        <is>
          <t>[Ninh Bình] Kế Toán Tổng Hợp</t>
        </is>
      </c>
      <c r="D12064" s="10" t="inlineStr">
        <is>
          <t>Công Ty Cổ Phần Xi Măng Xuân Thành</t>
        </is>
      </c>
      <c r="E12064" s="10" t="inlineStr">
        <is>
          <t>12tr-18tr ₫/tháng</t>
        </is>
      </c>
      <c r="F12064" s="10" t="inlineStr">
        <is>
          <t>Ninh Bình</t>
        </is>
      </c>
      <c r="G12064" s="10" t="inlineStr">
        <is>
          <t>Nhân viên</t>
        </is>
      </c>
      <c r="H12064" s="10" t="inlineStr">
        <is>
          <t>17/03/2026</t>
        </is>
      </c>
      <c r="I12064" s="10" t="inlineStr">
        <is>
          <t>16/04/2026</t>
        </is>
      </c>
      <c r="J12064" s="10" t="inlineStr">
        <is>
          <t>17/03/2026</t>
        </is>
      </c>
      <c r="K12064" s="10" t="inlineStr">
        <is>
          <t>N/A</t>
        </is>
      </c>
      <c r="L12064" s="10" t="inlineStr">
        <is>
          <t>Kế Toán Tổng Hợp, Hạch Toán Thuế, Quản Lý, Kiểm Soát Công Nợ, Làm Việc Nhóm</t>
        </is>
      </c>
      <c r="M12064" s="10" t="inlineStr">
        <is>
          <t>Bonus, Healthcare Plan, Transportation</t>
        </is>
      </c>
      <c r="N12064" s="11">
        <f>HYPERLINK("https://www.vietnamworks.com/ninh-binh-ke-toan-tong-hop-2024659-jv","Xem chi tiết")</f>
        <v/>
      </c>
      <c r="O12064" s="10" t="n"/>
    </row>
    <row r="12065">
      <c r="B12065" s="7" t="n">
        <v>12063</v>
      </c>
      <c r="C12065" t="inlineStr">
        <is>
          <t>Kỹ Sư M&amp;E/Trưởng Phòng Pre-sale</t>
        </is>
      </c>
      <c r="D12065" t="inlineStr">
        <is>
          <t>Công Ty Cổ Phần Công Nghệ Và Giải Pháp EMS</t>
        </is>
      </c>
      <c r="E12065" t="inlineStr">
        <is>
          <t>25tr-35tr ₫/tháng</t>
        </is>
      </c>
      <c r="F12065" t="inlineStr">
        <is>
          <t>Hà Nội</t>
        </is>
      </c>
      <c r="G12065" t="inlineStr">
        <is>
          <t>Trưởng phòng</t>
        </is>
      </c>
      <c r="H12065" t="inlineStr">
        <is>
          <t>17/03/2026</t>
        </is>
      </c>
      <c r="I12065" t="inlineStr">
        <is>
          <t>16/04/2026</t>
        </is>
      </c>
      <c r="J12065" t="inlineStr">
        <is>
          <t>17/03/2026</t>
        </is>
      </c>
      <c r="K12065" t="inlineStr">
        <is>
          <t>N/A</t>
        </is>
      </c>
      <c r="L12065" t="inlineStr">
        <is>
          <t>Cơ Điện, Giải Pháp Kỹ Thuật, Presales Technical, Quản Lý Đội Nhóm, Thuyết Trình Kỹ Thuật</t>
        </is>
      </c>
      <c r="M12065" t="inlineStr">
        <is>
          <t>Bonus, Healthcare Plan, Training, Awards, Team Activities</t>
        </is>
      </c>
      <c r="N12065" s="8">
        <f>HYPERLINK("https://www.vietnamworks.com/ky-su-mandetruong-phong-pre-sale-2024660-jv","Xem chi tiết")</f>
        <v/>
      </c>
    </row>
    <row r="12066">
      <c r="B12066" s="9" t="n">
        <v>12064</v>
      </c>
      <c r="C12066" s="10" t="inlineStr">
        <is>
          <t>Sales Corporate (Aesthetic Medical Devices)</t>
        </is>
      </c>
      <c r="D12066" s="10" t="inlineStr">
        <is>
          <t>Aim Medical Technology Vietnam</t>
        </is>
      </c>
      <c r="E12066" s="10" t="inlineStr">
        <is>
          <t>$$ 350-1,000 /tháng</t>
        </is>
      </c>
      <c r="F12066" s="10" t="inlineStr">
        <is>
          <t>Hồ Chí Minh</t>
        </is>
      </c>
      <c r="G12066" s="10" t="inlineStr">
        <is>
          <t>Nhân viên</t>
        </is>
      </c>
      <c r="H12066" s="10" t="inlineStr">
        <is>
          <t>17/03/2026</t>
        </is>
      </c>
      <c r="I12066" s="10" t="inlineStr">
        <is>
          <t>16/04/2026</t>
        </is>
      </c>
      <c r="J12066" s="10" t="inlineStr">
        <is>
          <t>17/03/2026</t>
        </is>
      </c>
      <c r="K12066" s="10" t="inlineStr">
        <is>
          <t>N/A</t>
        </is>
      </c>
      <c r="L12066" s="10" t="inlineStr">
        <is>
          <t>Sales, Communications</t>
        </is>
      </c>
      <c r="M12066" s="10" t="inlineStr">
        <is>
          <t>Bonus, Training</t>
        </is>
      </c>
      <c r="N12066" s="11">
        <f>HYPERLINK("https://www.vietnamworks.com/sales-corporate-aesthetic-medical-devices--2024651-jv","Xem chi tiết")</f>
        <v/>
      </c>
      <c r="O12066" s="10" t="n"/>
    </row>
    <row r="12067">
      <c r="B12067" s="7" t="n">
        <v>12065</v>
      </c>
      <c r="C12067" t="inlineStr">
        <is>
          <t>Kỹ Sư Dự Toán (QS)</t>
        </is>
      </c>
      <c r="D12067" t="inlineStr">
        <is>
          <t>CÔNG TY TNHH ĐẦU TƯ TÍN THÀNH HOLDINGS</t>
        </is>
      </c>
      <c r="E12067" t="inlineStr">
        <is>
          <t>$$ 550-850 /tháng</t>
        </is>
      </c>
      <c r="F12067" t="inlineStr">
        <is>
          <t>Hồ Chí Minh</t>
        </is>
      </c>
      <c r="G12067" t="inlineStr">
        <is>
          <t>Nhân viên</t>
        </is>
      </c>
      <c r="H12067" t="inlineStr">
        <is>
          <t>17/03/2026</t>
        </is>
      </c>
      <c r="I12067" t="inlineStr">
        <is>
          <t>16/04/2026</t>
        </is>
      </c>
      <c r="J12067" t="inlineStr">
        <is>
          <t>17/03/2026</t>
        </is>
      </c>
      <c r="K12067" t="inlineStr">
        <is>
          <t>N/A</t>
        </is>
      </c>
      <c r="L12067" t="inlineStr">
        <is>
          <t>Dự Toán, Bóc Tách Khối Lượng, QS, AutoCAD, Hồ Sơ Mời Thầu</t>
        </is>
      </c>
      <c r="M12067" t="inlineStr">
        <is>
          <t>Bonus, Paid Leave, Team Activities</t>
        </is>
      </c>
      <c r="N12067" s="8">
        <f>HYPERLINK("https://www.vietnamworks.com/ky-su-du-toan-qs--2024666-jv","Xem chi tiết")</f>
        <v/>
      </c>
    </row>
    <row r="12068">
      <c r="B12068" s="9" t="n">
        <v>12066</v>
      </c>
      <c r="C12068" s="10" t="inlineStr">
        <is>
          <t>Kế Toán Trưởng</t>
        </is>
      </c>
      <c r="D12068" s="10" t="inlineStr">
        <is>
          <t>Công ty Cổ Phần Tập Đoàn Gia Định</t>
        </is>
      </c>
      <c r="E12068" s="10" t="inlineStr">
        <is>
          <t>Thương lượng</t>
        </is>
      </c>
      <c r="F12068" s="10" t="inlineStr">
        <is>
          <t>Hồ Chí Minh</t>
        </is>
      </c>
      <c r="G12068" s="10" t="inlineStr">
        <is>
          <t>Nhân viên</t>
        </is>
      </c>
      <c r="H12068" s="10" t="inlineStr">
        <is>
          <t>17/03/2026</t>
        </is>
      </c>
      <c r="I12068" s="10" t="inlineStr">
        <is>
          <t>16/04/2026</t>
        </is>
      </c>
      <c r="J12068" s="10" t="inlineStr">
        <is>
          <t>17/03/2026</t>
        </is>
      </c>
      <c r="K12068" s="10" t="inlineStr">
        <is>
          <t>N/A</t>
        </is>
      </c>
      <c r="L12068" s="10" t="inlineStr">
        <is>
          <t>Quản Lý Tài Chính, Kiểm Soát Kiểm Toán, Tư Vấn Vay Vốn, Phần mềm kế toán, Giao Tiếp</t>
        </is>
      </c>
      <c r="M12068" s="10" t="inlineStr">
        <is>
          <t>Bonus, Healthcare Plan, Training, Others</t>
        </is>
      </c>
      <c r="N12068" s="11">
        <f>HYPERLINK("https://www.vietnamworks.com/ke-toan-truong-2024669-jv","Xem chi tiết")</f>
        <v/>
      </c>
      <c r="O12068" s="10" t="n"/>
    </row>
    <row r="12069">
      <c r="B12069" s="7" t="n">
        <v>12067</v>
      </c>
      <c r="C12069" t="inlineStr">
        <is>
          <t>Kế Toán Thuế | Tax Accountant</t>
        </is>
      </c>
      <c r="D12069" t="inlineStr">
        <is>
          <t>Công ty TNHH Otis Minh Châu</t>
        </is>
      </c>
      <c r="E12069" t="inlineStr">
        <is>
          <t>12tr-18tr ₫/tháng</t>
        </is>
      </c>
      <c r="F12069" t="inlineStr">
        <is>
          <t>Hồ Chí Minh</t>
        </is>
      </c>
      <c r="G12069" t="inlineStr">
        <is>
          <t>Nhân viên</t>
        </is>
      </c>
      <c r="H12069" t="inlineStr">
        <is>
          <t>17/03/2026</t>
        </is>
      </c>
      <c r="I12069" t="inlineStr">
        <is>
          <t>16/04/2026</t>
        </is>
      </c>
      <c r="J12069" t="inlineStr">
        <is>
          <t>17/03/2026</t>
        </is>
      </c>
      <c r="K12069" t="inlineStr">
        <is>
          <t>N/A</t>
        </is>
      </c>
      <c r="L12069" t="inlineStr">
        <is>
          <t>Chính Sách Thuế, Báo Cáo Thuế, Kế Toán Sản Xuất, Hạch Toán Kê Khai Thuế, Kế toán công nợ</t>
        </is>
      </c>
      <c r="M12069" t="inlineStr">
        <is>
          <t>Bonus, Healthcare Plan, Training, Laptop, Travel Opportunities, Others</t>
        </is>
      </c>
      <c r="N12069" s="8">
        <f>HYPERLINK("https://www.vietnamworks.com/ke-toan-thue-or-tax-accountant-2024683-jv","Xem chi tiết")</f>
        <v/>
      </c>
    </row>
    <row r="12070">
      <c r="B12070" s="9" t="n">
        <v>12068</v>
      </c>
      <c r="C12070" s="10" t="inlineStr">
        <is>
          <t>Kỹ Sư Xây Dựng</t>
        </is>
      </c>
      <c r="D12070" s="10" t="inlineStr">
        <is>
          <t>Công ty Cổ Phần Tập Đoàn Gia Định</t>
        </is>
      </c>
      <c r="E12070" s="10" t="inlineStr">
        <is>
          <t>Thương lượng</t>
        </is>
      </c>
      <c r="F12070" s="10" t="inlineStr">
        <is>
          <t>Hồ Chí Minh</t>
        </is>
      </c>
      <c r="G12070" s="10" t="inlineStr">
        <is>
          <t>Nhân viên</t>
        </is>
      </c>
      <c r="H12070" s="10" t="inlineStr">
        <is>
          <t>17/03/2026</t>
        </is>
      </c>
      <c r="I12070" s="10" t="inlineStr">
        <is>
          <t>16/04/2026</t>
        </is>
      </c>
      <c r="J12070" s="10" t="inlineStr">
        <is>
          <t>17/03/2026</t>
        </is>
      </c>
      <c r="K12070" s="10" t="inlineStr">
        <is>
          <t>N/A</t>
        </is>
      </c>
      <c r="L12070" s="10" t="inlineStr">
        <is>
          <t>Xây Dựng, Quản Lý Vật Tư, Sử Dụng Phần Mềm, Chế Tạo Máy Móc, Làm Việc Nhóm</t>
        </is>
      </c>
      <c r="M12070" s="10" t="inlineStr">
        <is>
          <t>Bonus, Healthcare Plan, Training, Others</t>
        </is>
      </c>
      <c r="N12070" s="11">
        <f>HYPERLINK("https://www.vietnamworks.com/ky-su-xay-dung-2024681-jv","Xem chi tiết")</f>
        <v/>
      </c>
      <c r="O12070" s="10" t="n"/>
    </row>
    <row r="12071">
      <c r="B12071" s="7" t="n">
        <v>12069</v>
      </c>
      <c r="C12071" t="inlineStr">
        <is>
          <t>Kế Toán Vật Tư Xây Dựng</t>
        </is>
      </c>
      <c r="D12071" t="inlineStr">
        <is>
          <t>CÔNG TY TNHH ĐẦU TƯ TÍN THÀNH HOLDINGS</t>
        </is>
      </c>
      <c r="E12071" t="inlineStr">
        <is>
          <t>$$ 430-550 /tháng</t>
        </is>
      </c>
      <c r="F12071" t="inlineStr">
        <is>
          <t>Hồ Chí Minh</t>
        </is>
      </c>
      <c r="G12071" t="inlineStr">
        <is>
          <t>Nhân viên</t>
        </is>
      </c>
      <c r="H12071" t="inlineStr">
        <is>
          <t>17/03/2026</t>
        </is>
      </c>
      <c r="I12071" t="inlineStr">
        <is>
          <t>16/04/2026</t>
        </is>
      </c>
      <c r="J12071" t="inlineStr">
        <is>
          <t>17/03/2026</t>
        </is>
      </c>
      <c r="K12071" t="inlineStr">
        <is>
          <t>N/A</t>
        </is>
      </c>
      <c r="L12071" t="inlineStr">
        <is>
          <t>Kế Toán Xây Dựng, Đối Chiếu Công Nợ, Chứng Từ Thanh Toán, Tìm Kiếm Nhà Cung Cấp, Định Mức Vật Tư</t>
        </is>
      </c>
      <c r="M12071" t="inlineStr">
        <is>
          <t>Bonus, Paid Leave, Team Activities</t>
        </is>
      </c>
      <c r="N12071" s="8">
        <f>HYPERLINK("https://www.vietnamworks.com/ke-toan-vat-tu-xay-dung--2024677-jv","Xem chi tiết")</f>
        <v/>
      </c>
    </row>
    <row r="12072">
      <c r="B12072" s="9" t="n">
        <v>12070</v>
      </c>
      <c r="C12072" s="10" t="inlineStr">
        <is>
          <t>Project Sale Technical</t>
        </is>
      </c>
      <c r="D12072" s="10" t="inlineStr">
        <is>
          <t>Công Ty Cổ Phần CMC</t>
        </is>
      </c>
      <c r="E12072" s="10" t="inlineStr">
        <is>
          <t>15tr-30tr ₫/tháng</t>
        </is>
      </c>
      <c r="F12072" s="10" t="inlineStr">
        <is>
          <t>Hồ Chí Minh, Hà Nội</t>
        </is>
      </c>
      <c r="G12072" s="10" t="inlineStr">
        <is>
          <t>Trưởng phòng</t>
        </is>
      </c>
      <c r="H12072" s="10" t="inlineStr">
        <is>
          <t>17/03/2026</t>
        </is>
      </c>
      <c r="I12072" s="10" t="inlineStr">
        <is>
          <t>16/04/2026</t>
        </is>
      </c>
      <c r="J12072" s="10" t="inlineStr">
        <is>
          <t>17/03/2026</t>
        </is>
      </c>
      <c r="K12072" s="10" t="inlineStr">
        <is>
          <t>N/A</t>
        </is>
      </c>
      <c r="L12072" s="10" t="inlineStr">
        <is>
          <t>Giao Tiếp, Kinh Doanh Kiến Trúc, Phát Triển Thị Trường</t>
        </is>
      </c>
      <c r="M12072" s="10" t="inlineStr">
        <is>
          <t>Training, Others</t>
        </is>
      </c>
      <c r="N12072" s="11">
        <f>HYPERLINK("https://www.vietnamworks.com/project-sale-technical-2024674-jv","Xem chi tiết")</f>
        <v/>
      </c>
      <c r="O12072" s="10" t="n"/>
    </row>
    <row r="12073">
      <c r="B12073" s="7" t="n">
        <v>12071</v>
      </c>
      <c r="C12073" t="inlineStr">
        <is>
          <t>Supply Chain Manager (Electronics/Manufacturing Industry - Da Nang)</t>
        </is>
      </c>
      <c r="D12073" t="inlineStr">
        <is>
          <t>Công Ty TNHH Premo Việt Nam</t>
        </is>
      </c>
      <c r="E12073" t="inlineStr">
        <is>
          <t>Thương lượng</t>
        </is>
      </c>
      <c r="F12073" t="inlineStr">
        <is>
          <t>Quảng Nam</t>
        </is>
      </c>
      <c r="G12073" t="inlineStr">
        <is>
          <t>Trưởng phòng</t>
        </is>
      </c>
      <c r="H12073" t="inlineStr">
        <is>
          <t>17/03/2026</t>
        </is>
      </c>
      <c r="I12073" t="inlineStr">
        <is>
          <t>16/04/2026</t>
        </is>
      </c>
      <c r="J12073" t="inlineStr">
        <is>
          <t>17/03/2026</t>
        </is>
      </c>
      <c r="K12073" t="inlineStr">
        <is>
          <t>N/A</t>
        </is>
      </c>
      <c r="L12073" t="inlineStr">
        <is>
          <t>Inventory Management, Logistics Management, Risk Management, Supplier Management, Supply Chain Management</t>
        </is>
      </c>
      <c r="M12073" t="inlineStr">
        <is>
          <t>Healthcare Plan, Paid Leave, Training, Team Activities, Transportation, Others</t>
        </is>
      </c>
      <c r="N12073" s="8">
        <f>HYPERLINK("https://www.vietnamworks.com/supply-chain-manager-electronicsmanufacturing-industry-da-nang-2024664-jv","Xem chi tiết")</f>
        <v/>
      </c>
    </row>
    <row r="12074">
      <c r="B12074" s="9" t="n">
        <v>12072</v>
      </c>
      <c r="C12074" s="10" t="inlineStr">
        <is>
          <t>DEMAND PLANNING INTERN</t>
        </is>
      </c>
      <c r="D12074" s="10" t="inlineStr">
        <is>
          <t>Mondelēz Kinh Đô Việt Nam</t>
        </is>
      </c>
      <c r="E12074" s="10" t="inlineStr">
        <is>
          <t>$$ 100-500 /tháng</t>
        </is>
      </c>
      <c r="F12074" s="10" t="inlineStr">
        <is>
          <t>Hồ Chí Minh</t>
        </is>
      </c>
      <c r="G12074" s="10" t="inlineStr">
        <is>
          <t>Thực tập sinh/Sinh viên</t>
        </is>
      </c>
      <c r="H12074" s="10" t="inlineStr">
        <is>
          <t>17/03/2026</t>
        </is>
      </c>
      <c r="I12074" s="10" t="inlineStr">
        <is>
          <t>16/04/2026</t>
        </is>
      </c>
      <c r="J12074" s="10" t="inlineStr">
        <is>
          <t>17/03/2026</t>
        </is>
      </c>
      <c r="K12074" s="10" t="inlineStr">
        <is>
          <t>N/A</t>
        </is>
      </c>
      <c r="L12074" s="10" t="inlineStr">
        <is>
          <t>Analytical Skills, Communication, Microsoft Office, Power Pivot, SQL</t>
        </is>
      </c>
      <c r="M12074" s="10" t="inlineStr">
        <is>
          <t>Laptop</t>
        </is>
      </c>
      <c r="N12074" s="11">
        <f>HYPERLINK("https://www.vietnamworks.com/demand-planning-intern-2024665-jv","Xem chi tiết")</f>
        <v/>
      </c>
      <c r="O12074" s="10" t="n"/>
    </row>
    <row r="12075">
      <c r="B12075" s="7" t="n">
        <v>12073</v>
      </c>
      <c r="C12075" t="inlineStr">
        <is>
          <t>Data Analyst</t>
        </is>
      </c>
      <c r="D12075" t="inlineStr">
        <is>
          <t>Samsung Electronics Vietnam Thai Nguyen Co., Ltd</t>
        </is>
      </c>
      <c r="E12075" t="inlineStr">
        <is>
          <t>Thương lượng</t>
        </is>
      </c>
      <c r="F12075" t="inlineStr">
        <is>
          <t>Thái Nguyên, Hà Nội, Bắc Giang</t>
        </is>
      </c>
      <c r="G12075" t="inlineStr">
        <is>
          <t>Nhân viên</t>
        </is>
      </c>
      <c r="H12075" t="inlineStr">
        <is>
          <t>17/03/2026</t>
        </is>
      </c>
      <c r="I12075" t="inlineStr">
        <is>
          <t>16/04/2026</t>
        </is>
      </c>
      <c r="J12075" t="inlineStr">
        <is>
          <t>17/03/2026</t>
        </is>
      </c>
      <c r="K12075" t="inlineStr">
        <is>
          <t>N/A</t>
        </is>
      </c>
      <c r="L12075" t="inlineStr">
        <is>
          <t>Data Analysis, Data Science, Python, Power BI, Minitab</t>
        </is>
      </c>
      <c r="M12075" t="inlineStr">
        <is>
          <t>Bonus, Paid Leave, Others</t>
        </is>
      </c>
      <c r="N12075" s="8">
        <f>HYPERLINK("https://www.vietnamworks.com/data-analyst--2024668-jv","Xem chi tiết")</f>
        <v/>
      </c>
    </row>
    <row r="12076">
      <c r="B12076" s="9" t="n">
        <v>12074</v>
      </c>
      <c r="C12076" s="10" t="inlineStr">
        <is>
          <t>Kế Toán Tổng Hợp (Ngành Xây Dựng)</t>
        </is>
      </c>
      <c r="D12076" s="10" t="inlineStr">
        <is>
          <t>CÔNG TY TNHH ĐẦU TƯ VÀ XÂY DỰNG TPCONS</t>
        </is>
      </c>
      <c r="E12076" s="10" t="inlineStr">
        <is>
          <t>Từ 15tr ₫/tháng</t>
        </is>
      </c>
      <c r="F12076" s="10" t="inlineStr">
        <is>
          <t>Hồ Chí Minh</t>
        </is>
      </c>
      <c r="G12076" s="10" t="inlineStr">
        <is>
          <t>Nhân viên</t>
        </is>
      </c>
      <c r="H12076" s="10" t="inlineStr">
        <is>
          <t>17/03/2026</t>
        </is>
      </c>
      <c r="I12076" s="10" t="inlineStr">
        <is>
          <t>16/04/2026</t>
        </is>
      </c>
      <c r="J12076" s="10" t="inlineStr">
        <is>
          <t>17/03/2026</t>
        </is>
      </c>
      <c r="K12076" s="10" t="inlineStr">
        <is>
          <t>N/A</t>
        </is>
      </c>
      <c r="L12076" s="10" t="inlineStr">
        <is>
          <t>Kế Toán Tổng Hợp, Quyết Toán Thuế, Quản Lý Chi Phí, Hoạch Toán Chi Phí Công Trình, Kế Toán Xây Dựng</t>
        </is>
      </c>
      <c r="M12076" s="10" t="inlineStr">
        <is>
          <t>Bonus, Healthcare Plan, Training, Others</t>
        </is>
      </c>
      <c r="N12076" s="11">
        <f>HYPERLINK("https://www.vietnamworks.com/ke-toan-tong-hop-nganh-xay-dung-2024667-jv","Xem chi tiết")</f>
        <v/>
      </c>
      <c r="O12076" s="10" t="n"/>
    </row>
    <row r="12077">
      <c r="B12077" s="7" t="n">
        <v>12075</v>
      </c>
      <c r="C12077" t="inlineStr">
        <is>
          <t>Nhân Viên Kinh Doanh Kênh GT (Kênh Truyền Thống)</t>
        </is>
      </c>
      <c r="D12077" t="inlineStr">
        <is>
          <t>Viet Nam Nisshin Seifun Co.,Ltd</t>
        </is>
      </c>
      <c r="E12077" t="inlineStr">
        <is>
          <t>10tr-11tr ₫/tháng</t>
        </is>
      </c>
      <c r="F12077" t="inlineStr">
        <is>
          <t>Hồ Chí Minh</t>
        </is>
      </c>
      <c r="G12077" t="inlineStr">
        <is>
          <t>Nhân viên</t>
        </is>
      </c>
      <c r="H12077" t="inlineStr">
        <is>
          <t>17/03/2026</t>
        </is>
      </c>
      <c r="I12077" t="inlineStr">
        <is>
          <t>16/04/2026</t>
        </is>
      </c>
      <c r="J12077" t="inlineStr">
        <is>
          <t>17/03/2026</t>
        </is>
      </c>
      <c r="K12077" t="inlineStr">
        <is>
          <t>N/A</t>
        </is>
      </c>
      <c r="L12077" t="inlineStr">
        <is>
          <t>Chăm Sóc Khách Hàng, Kinh Doanh, Tìm Kiếm Khách Hàng, FMCG, Kênh Gt</t>
        </is>
      </c>
      <c r="M12077" t="inlineStr">
        <is>
          <t>Bonus, Healthcare Plan, Training, Kindergarten, Others</t>
        </is>
      </c>
      <c r="N12077" s="8">
        <f>HYPERLINK("https://www.vietnamworks.com/nhan-vien-kinh-doanh-kenh-gt-kenh-truyen-thong-2024684-jv","Xem chi tiết")</f>
        <v/>
      </c>
    </row>
    <row r="12078">
      <c r="B12078" s="9" t="n">
        <v>12076</v>
      </c>
      <c r="C12078" s="10" t="inlineStr">
        <is>
          <t>Logistics Specialist</t>
        </is>
      </c>
      <c r="D12078" s="10" t="inlineStr">
        <is>
          <t>Công Ty TNHH Hữu Toàn Group</t>
        </is>
      </c>
      <c r="E12078" s="10" t="inlineStr">
        <is>
          <t>$$ 500-1,000 /tháng</t>
        </is>
      </c>
      <c r="F12078" s="10" t="inlineStr">
        <is>
          <t>Hồ Chí Minh</t>
        </is>
      </c>
      <c r="G12078" s="10" t="inlineStr">
        <is>
          <t>Nhân viên</t>
        </is>
      </c>
      <c r="H12078" s="10" t="inlineStr">
        <is>
          <t>17/03/2026</t>
        </is>
      </c>
      <c r="I12078" s="10" t="inlineStr">
        <is>
          <t>16/04/2026</t>
        </is>
      </c>
      <c r="J12078" s="10" t="inlineStr">
        <is>
          <t>17/03/2026</t>
        </is>
      </c>
      <c r="K12078" s="10" t="inlineStr">
        <is>
          <t>N/A</t>
        </is>
      </c>
      <c r="L12078" s="10" t="inlineStr">
        <is>
          <t>Supply Chain Management, Logistics Management, Logistics, Hồ Sơ Hải Quan</t>
        </is>
      </c>
      <c r="M12078" s="10" t="inlineStr">
        <is>
          <t>Healthcare Plan, Paid Leave, Others</t>
        </is>
      </c>
      <c r="N12078" s="11">
        <f>HYPERLINK("https://www.vietnamworks.com/logistics-specialist--2024691-jv","Xem chi tiết")</f>
        <v/>
      </c>
      <c r="O12078" s="10" t="n"/>
    </row>
    <row r="12079">
      <c r="B12079" s="7" t="n">
        <v>12077</v>
      </c>
      <c r="C12079" t="inlineStr">
        <is>
          <t>Medical Representative - Hospital - ETC (Nghệ An)</t>
        </is>
      </c>
      <c r="D12079" t="inlineStr">
        <is>
          <t>Zuellig Pharma Viet Nam</t>
        </is>
      </c>
      <c r="E12079" t="inlineStr">
        <is>
          <t>Thương lượng</t>
        </is>
      </c>
      <c r="F12079" t="inlineStr">
        <is>
          <t>Nghệ An</t>
        </is>
      </c>
      <c r="G12079" t="inlineStr">
        <is>
          <t>Nhân viên</t>
        </is>
      </c>
      <c r="H12079" t="inlineStr">
        <is>
          <t>17/03/2026</t>
        </is>
      </c>
      <c r="I12079" t="inlineStr">
        <is>
          <t>16/04/2026</t>
        </is>
      </c>
      <c r="J12079" t="inlineStr">
        <is>
          <t>17/03/2026</t>
        </is>
      </c>
      <c r="K12079" t="inlineStr">
        <is>
          <t>N/A</t>
        </is>
      </c>
      <c r="L12079" t="inlineStr">
        <is>
          <t>Medical, Pharmaceutical Knowledge, Sales Experience, Pharmacist</t>
        </is>
      </c>
      <c r="M12079" t="inlineStr">
        <is>
          <t>Healthcare Plan, Training, Mobile, Travel Opportunities</t>
        </is>
      </c>
      <c r="N12079" s="8">
        <f>HYPERLINK("https://www.vietnamworks.com/medical-representative-hospital-etc-nghe-an-2024698-jv","Xem chi tiết")</f>
        <v/>
      </c>
    </row>
    <row r="12080">
      <c r="B12080" s="9" t="n">
        <v>12078</v>
      </c>
      <c r="C12080" s="10" t="inlineStr">
        <is>
          <t>Android Developer, Smart POS (Fintech)</t>
        </is>
      </c>
      <c r="D12080" s="10" t="inlineStr">
        <is>
          <t>Vietpay Corporation</t>
        </is>
      </c>
      <c r="E12080" s="10" t="inlineStr">
        <is>
          <t>Thương lượng</t>
        </is>
      </c>
      <c r="F12080" s="10" t="inlineStr">
        <is>
          <t>Hà Nội, Hồ Chí Minh</t>
        </is>
      </c>
      <c r="G12080" s="10" t="inlineStr">
        <is>
          <t>Nhân viên</t>
        </is>
      </c>
      <c r="H12080" s="10" t="inlineStr">
        <is>
          <t>17/03/2026</t>
        </is>
      </c>
      <c r="I12080" s="10" t="inlineStr">
        <is>
          <t>16/04/2026</t>
        </is>
      </c>
      <c r="J12080" s="10" t="inlineStr">
        <is>
          <t>17/03/2026</t>
        </is>
      </c>
      <c r="K12080" s="10" t="inlineStr">
        <is>
          <t>N/A</t>
        </is>
      </c>
      <c r="L12080" s="10" t="inlineStr">
        <is>
          <t>Android Development, C, EMV, Fintech, Payment Application</t>
        </is>
      </c>
      <c r="M12080" s="10" t="inlineStr">
        <is>
          <t>Bonus, Healthcare Plan, Awards, Others</t>
        </is>
      </c>
      <c r="N12080" s="11">
        <f>HYPERLINK("https://www.vietnamworks.com/android-developer-smart-pos-fintech-2024676-jv","Xem chi tiết")</f>
        <v/>
      </c>
      <c r="O12080" s="10" t="n"/>
    </row>
    <row r="12081">
      <c r="B12081" s="7" t="n">
        <v>12079</v>
      </c>
      <c r="C12081" t="inlineStr">
        <is>
          <t>Associate - IT Department</t>
        </is>
      </c>
      <c r="D12081" t="inlineStr">
        <is>
          <t>Mizuho Bank, Ltd. - HCMC Branch</t>
        </is>
      </c>
      <c r="E12081" t="inlineStr">
        <is>
          <t>Thương lượng</t>
        </is>
      </c>
      <c r="F12081" t="inlineStr">
        <is>
          <t>Hồ Chí Minh</t>
        </is>
      </c>
      <c r="G12081" t="inlineStr">
        <is>
          <t>Nhân viên</t>
        </is>
      </c>
      <c r="H12081" t="inlineStr">
        <is>
          <t>17/03/2026</t>
        </is>
      </c>
      <c r="I12081" t="inlineStr">
        <is>
          <t>16/04/2026</t>
        </is>
      </c>
      <c r="J12081" t="inlineStr">
        <is>
          <t>17/03/2026</t>
        </is>
      </c>
      <c r="K12081" t="inlineStr">
        <is>
          <t>N/A</t>
        </is>
      </c>
      <c r="L12081" t="inlineStr">
        <is>
          <t>English Communication, Time Management, Pressure Handling, Technical Thinking</t>
        </is>
      </c>
      <c r="M12081" t="inlineStr">
        <is>
          <t>Bonus, Training</t>
        </is>
      </c>
      <c r="N12081" s="8">
        <f>HYPERLINK("https://www.vietnamworks.com/associate-it-department-2024697-jv","Xem chi tiết")</f>
        <v/>
      </c>
    </row>
    <row r="12082">
      <c r="B12082" s="9" t="n">
        <v>12080</v>
      </c>
      <c r="C12082" s="10" t="inlineStr">
        <is>
          <t>(HCM/VĨNH LONG/HUE) Kỹ Sư Triển Khai Bản Vẽ BIM (Hệ Thống MEP/ HVAC)</t>
        </is>
      </c>
      <c r="D12082" s="10" t="inlineStr">
        <is>
          <t>Công ty Phát triển phần mềm xây dựng Aureole (Aureole CSD)</t>
        </is>
      </c>
      <c r="E12082" s="10" t="inlineStr">
        <is>
          <t>7tr-9tr ₫/tháng</t>
        </is>
      </c>
      <c r="F12082" s="10" t="inlineStr">
        <is>
          <t>Hồ Chí Minh, Thừa Thiên Huế, Vĩnh Long</t>
        </is>
      </c>
      <c r="G12082" s="10" t="inlineStr">
        <is>
          <t>Nhân viên</t>
        </is>
      </c>
      <c r="H12082" s="10" t="inlineStr">
        <is>
          <t>17/03/2026</t>
        </is>
      </c>
      <c r="I12082" s="10" t="inlineStr">
        <is>
          <t>16/04/2026</t>
        </is>
      </c>
      <c r="J12082" s="10" t="inlineStr">
        <is>
          <t>17/03/2026</t>
        </is>
      </c>
      <c r="K12082" s="10" t="inlineStr">
        <is>
          <t>N/A</t>
        </is>
      </c>
      <c r="L12082" s="10" t="inlineStr">
        <is>
          <t>Đọc Hiểu Bản Vẽ, Auto Cad (2D - 3D), Triển Khai Bản Vẽ</t>
        </is>
      </c>
      <c r="M12082" s="10" t="inlineStr">
        <is>
          <t>Healthcare Plan, Paid Leave, Training, Awards, Team Activities, Others</t>
        </is>
      </c>
      <c r="N12082" s="11">
        <f>HYPERLINK("https://www.vietnamworks.com/-hcmvinh-longhue-ky-su-trien-khai-ban-ve-bim-he-thong-mep-hvac-2024696-jv","Xem chi tiết")</f>
        <v/>
      </c>
      <c r="O12082" s="10" t="n"/>
    </row>
    <row r="12083">
      <c r="B12083" s="7" t="n">
        <v>12081</v>
      </c>
      <c r="C12083" t="inlineStr">
        <is>
          <t>Chuyên Viên Quản Lý Hoạt Động Dịch Vụ Đại Lý</t>
        </is>
      </c>
      <c r="D12083" t="inlineStr">
        <is>
          <t>Hyundai Thành Công Việt Nam (Hyundai.thanhcong.vn)</t>
        </is>
      </c>
      <c r="E12083" t="inlineStr">
        <is>
          <t>Thương lượng</t>
        </is>
      </c>
      <c r="F12083" t="inlineStr">
        <is>
          <t>Hồ Chí Minh</t>
        </is>
      </c>
      <c r="G12083" t="inlineStr">
        <is>
          <t>Nhân viên</t>
        </is>
      </c>
      <c r="H12083" t="inlineStr">
        <is>
          <t>17/03/2026</t>
        </is>
      </c>
      <c r="I12083" t="inlineStr">
        <is>
          <t>16/04/2026</t>
        </is>
      </c>
      <c r="J12083" t="inlineStr">
        <is>
          <t>17/03/2026</t>
        </is>
      </c>
      <c r="K12083" t="inlineStr">
        <is>
          <t>N/A</t>
        </is>
      </c>
      <c r="L12083" t="inlineStr">
        <is>
          <t>Đào Tạo, Thuyết Trình, Tổng Hợp Phân Tích, Quản lý hoạt động</t>
        </is>
      </c>
      <c r="M12083" t="inlineStr">
        <is>
          <t>Bonus, Healthcare Plan, Travel Opportunities</t>
        </is>
      </c>
      <c r="N12083" s="8">
        <f>HYPERLINK("https://www.vietnamworks.com/chuyen-vien-quan-ly-hoat-djong-dich-vu-djai-ly-2024694-jv","Xem chi tiết")</f>
        <v/>
      </c>
    </row>
    <row r="12084">
      <c r="B12084" s="9" t="n">
        <v>12082</v>
      </c>
      <c r="C12084" s="10" t="inlineStr">
        <is>
          <t>Full Stack Java Software Architect (Fintech, AWS, Microservices)</t>
        </is>
      </c>
      <c r="D12084" s="10" t="inlineStr">
        <is>
          <t>Vietpay Corporation</t>
        </is>
      </c>
      <c r="E12084" s="10" t="inlineStr">
        <is>
          <t>Thương lượng</t>
        </is>
      </c>
      <c r="F12084" s="10" t="inlineStr">
        <is>
          <t>Hồ Chí Minh</t>
        </is>
      </c>
      <c r="G12084" s="10" t="inlineStr">
        <is>
          <t>Nhân viên</t>
        </is>
      </c>
      <c r="H12084" s="10" t="inlineStr">
        <is>
          <t>17/03/2026</t>
        </is>
      </c>
      <c r="I12084" s="10" t="inlineStr">
        <is>
          <t>16/04/2026</t>
        </is>
      </c>
      <c r="J12084" s="10" t="inlineStr">
        <is>
          <t>17/03/2026</t>
        </is>
      </c>
      <c r="K12084" s="10" t="inlineStr">
        <is>
          <t>N/A</t>
        </is>
      </c>
      <c r="L12084" s="10" t="inlineStr">
        <is>
          <t>Cloud AWS, REST API, Spring Boot, SQL</t>
        </is>
      </c>
      <c r="M12084" s="10" t="inlineStr">
        <is>
          <t>Bonus, Healthcare Plan, Awards, Others</t>
        </is>
      </c>
      <c r="N12084" s="11">
        <f>HYPERLINK("https://www.vietnamworks.com/full-stack-java-software-architect-fintech-aws-microservices-2024678-jv","Xem chi tiết")</f>
        <v/>
      </c>
      <c r="O12084" s="10" t="n"/>
    </row>
    <row r="12085">
      <c r="B12085" s="7" t="n">
        <v>12083</v>
      </c>
      <c r="C12085" t="inlineStr">
        <is>
          <t>Enterprise Database Architect (Fintech)</t>
        </is>
      </c>
      <c r="D12085" t="inlineStr">
        <is>
          <t>Vietpay Corporation</t>
        </is>
      </c>
      <c r="E12085" t="inlineStr">
        <is>
          <t>Thương lượng</t>
        </is>
      </c>
      <c r="F12085" t="inlineStr">
        <is>
          <t>Hà Nội, Hồ Chí Minh</t>
        </is>
      </c>
      <c r="G12085" t="inlineStr">
        <is>
          <t>Nhân viên</t>
        </is>
      </c>
      <c r="H12085" t="inlineStr">
        <is>
          <t>17/03/2026</t>
        </is>
      </c>
      <c r="I12085" t="inlineStr">
        <is>
          <t>16/04/2026</t>
        </is>
      </c>
      <c r="J12085" t="inlineStr">
        <is>
          <t>17/03/2026</t>
        </is>
      </c>
      <c r="K12085" t="inlineStr">
        <is>
          <t>N/A</t>
        </is>
      </c>
      <c r="L12085" t="inlineStr">
        <is>
          <t>API Integration, Data Modeling, database management, MongoDB, SQL</t>
        </is>
      </c>
      <c r="M12085" t="inlineStr">
        <is>
          <t>Bonus, Healthcare Plan, Awards, Others</t>
        </is>
      </c>
      <c r="N12085" s="8">
        <f>HYPERLINK("https://www.vietnamworks.com/enterprise-database-architect-fintech-2024675-jv","Xem chi tiết")</f>
        <v/>
      </c>
    </row>
    <row r="12086">
      <c r="B12086" s="9" t="n">
        <v>12084</v>
      </c>
      <c r="C12086" s="10" t="inlineStr">
        <is>
          <t>Recruitment &amp; Training Staff Nikkiso Vietnam (Hung Yen) - Ưu Tiên Ứng Viên Nam</t>
        </is>
      </c>
      <c r="D12086" s="10" t="inlineStr">
        <is>
          <t>NIKKISO VIETNAM, INC.</t>
        </is>
      </c>
      <c r="E12086" s="10" t="inlineStr">
        <is>
          <t>Thương lượng</t>
        </is>
      </c>
      <c r="F12086" s="10" t="inlineStr">
        <is>
          <t>Hưng Yên, Hải Dương, Hà Nội</t>
        </is>
      </c>
      <c r="G12086" s="10" t="inlineStr">
        <is>
          <t>Nhân viên</t>
        </is>
      </c>
      <c r="H12086" s="10" t="inlineStr">
        <is>
          <t>17/03/2026</t>
        </is>
      </c>
      <c r="I12086" s="10" t="inlineStr">
        <is>
          <t>16/04/2026</t>
        </is>
      </c>
      <c r="J12086" s="10" t="inlineStr">
        <is>
          <t>17/03/2026</t>
        </is>
      </c>
      <c r="K12086" s="10" t="inlineStr">
        <is>
          <t>N/A</t>
        </is>
      </c>
      <c r="L12086" s="10" t="inlineStr">
        <is>
          <t>C&amp;B, Recruitment, Employee Relations, Human Resources Management, Training</t>
        </is>
      </c>
      <c r="M12086" s="10" t="inlineStr">
        <is>
          <t>Bonus, Healthcare Plan, Training</t>
        </is>
      </c>
      <c r="N12086" s="11">
        <f>HYPERLINK("https://www.vietnamworks.com/recruitment-training-staff-nikkiso-vietnam-hung-yen-uu-tien-ung-vien-nam-2024701-jv","Xem chi tiết")</f>
        <v/>
      </c>
      <c r="O12086" s="10" t="n"/>
    </row>
    <row r="12087">
      <c r="B12087" s="7" t="n">
        <v>12085</v>
      </c>
      <c r="C12087" t="inlineStr">
        <is>
          <t>Nhân Viên Kế Toán Công Ty</t>
        </is>
      </c>
      <c r="D12087" t="inlineStr">
        <is>
          <t>CÔNG TY CỔ PHẦN TRANG THIẾT BỊ BẢO HỘ LAO ĐỘNG AN BẮC</t>
        </is>
      </c>
      <c r="E12087" t="inlineStr">
        <is>
          <t>10tr-13tr ₫/tháng</t>
        </is>
      </c>
      <c r="F12087" t="inlineStr">
        <is>
          <t>Hồ Chí Minh</t>
        </is>
      </c>
      <c r="G12087" t="inlineStr">
        <is>
          <t>Nhân viên</t>
        </is>
      </c>
      <c r="H12087" t="inlineStr">
        <is>
          <t>17/03/2026</t>
        </is>
      </c>
      <c r="I12087" t="inlineStr">
        <is>
          <t>16/04/2026</t>
        </is>
      </c>
      <c r="J12087" t="inlineStr">
        <is>
          <t>17/03/2026</t>
        </is>
      </c>
      <c r="K12087" t="inlineStr">
        <is>
          <t>N/A</t>
        </is>
      </c>
      <c r="L12087" t="inlineStr">
        <is>
          <t>Kế Toán Tổng Hợp, Kế Toán, Báo Cáo Tài Chính, Kế Toán Nội Bộ</t>
        </is>
      </c>
      <c r="M12087" t="inlineStr">
        <is>
          <t>Bonus, Others</t>
        </is>
      </c>
      <c r="N12087" s="8">
        <f>HYPERLINK("https://www.vietnamworks.com/nhan-vien-ke-toan-cong-ty--2024705-jv","Xem chi tiết")</f>
        <v/>
      </c>
    </row>
    <row r="12088">
      <c r="B12088" s="9" t="n">
        <v>12086</v>
      </c>
      <c r="C12088" s="10" t="inlineStr">
        <is>
          <t>Kỹ Sư Tự Động Hóa</t>
        </is>
      </c>
      <c r="D12088" s="10" t="inlineStr">
        <is>
          <t>NITORI Furniture Vietnam EPE</t>
        </is>
      </c>
      <c r="E12088" s="10" t="inlineStr">
        <is>
          <t>Thương lượng</t>
        </is>
      </c>
      <c r="F12088" s="10" t="inlineStr">
        <is>
          <t>Hà Nội</t>
        </is>
      </c>
      <c r="G12088" s="10" t="inlineStr">
        <is>
          <t>Nhân viên</t>
        </is>
      </c>
      <c r="H12088" s="10" t="inlineStr">
        <is>
          <t>17/03/2026</t>
        </is>
      </c>
      <c r="I12088" s="10" t="inlineStr">
        <is>
          <t>16/04/2026</t>
        </is>
      </c>
      <c r="J12088" s="10" t="inlineStr">
        <is>
          <t>17/03/2026</t>
        </is>
      </c>
      <c r="K12088" s="10" t="inlineStr">
        <is>
          <t>N/A</t>
        </is>
      </c>
      <c r="L12088" s="10" t="inlineStr">
        <is>
          <t>PLC, Tự động hoá (PLC), Autocad Electric, Tự Động Hóa</t>
        </is>
      </c>
      <c r="M12088" s="10" t="inlineStr">
        <is>
          <t>Bonus, Paid Leave, Transportation</t>
        </is>
      </c>
      <c r="N12088" s="11">
        <f>HYPERLINK("https://www.vietnamworks.com/ky-su-tu-djong-hoa-2024713-jv","Xem chi tiết")</f>
        <v/>
      </c>
      <c r="O12088" s="10" t="n"/>
    </row>
    <row r="12089">
      <c r="B12089" s="7" t="n">
        <v>12087</v>
      </c>
      <c r="C12089" t="inlineStr">
        <is>
          <t>Nhân Viên Kế Toán (đi làm luôn)</t>
        </is>
      </c>
      <c r="D12089" t="inlineStr">
        <is>
          <t>Công ty Cổ phần Kinh doanh Ô tô Thủ Đô</t>
        </is>
      </c>
      <c r="E12089" t="inlineStr">
        <is>
          <t>$$ 16tr-17tr /tháng</t>
        </is>
      </c>
      <c r="F12089" t="inlineStr">
        <is>
          <t>Hà Nội</t>
        </is>
      </c>
      <c r="G12089" t="inlineStr">
        <is>
          <t>Nhân viên</t>
        </is>
      </c>
      <c r="H12089" t="inlineStr">
        <is>
          <t>17/03/2026</t>
        </is>
      </c>
      <c r="I12089" t="inlineStr">
        <is>
          <t>16/04/2026</t>
        </is>
      </c>
      <c r="J12089" t="inlineStr">
        <is>
          <t>17/03/2026</t>
        </is>
      </c>
      <c r="K12089" t="inlineStr">
        <is>
          <t>N/A</t>
        </is>
      </c>
      <c r="L12089" t="inlineStr">
        <is>
          <t>Sử dụng thành thạo excel</t>
        </is>
      </c>
      <c r="M12089" t="inlineStr">
        <is>
          <t>Bonus, Healthcare Plan, Training, Mobile, Travel Opportunities, Canteen</t>
        </is>
      </c>
      <c r="N12089" s="8">
        <f>HYPERLINK("https://www.vietnamworks.com/nhan-vien-ke-toan-dji-lam-luon-2024699-jv","Xem chi tiết")</f>
        <v/>
      </c>
    </row>
    <row r="12090">
      <c r="B12090" s="9" t="n">
        <v>12088</v>
      </c>
      <c r="C12090" s="10" t="inlineStr">
        <is>
          <t>Kỹ Sư Xây Dựng Làm Việc Tại Công Trình</t>
        </is>
      </c>
      <c r="D12090" s="10" t="inlineStr">
        <is>
          <t>Công ty CP Xây dựng và Kỹ nghệ Intercontinental</t>
        </is>
      </c>
      <c r="E12090" s="10" t="inlineStr">
        <is>
          <t>Thương lượng</t>
        </is>
      </c>
      <c r="F12090" s="10" t="inlineStr">
        <is>
          <t>Bắc Giang, Bắc Ninh</t>
        </is>
      </c>
      <c r="G12090" s="10" t="inlineStr">
        <is>
          <t>Nhân viên</t>
        </is>
      </c>
      <c r="H12090" s="10" t="inlineStr">
        <is>
          <t>17/03/2026</t>
        </is>
      </c>
      <c r="I12090" s="10" t="inlineStr">
        <is>
          <t>16/04/2026</t>
        </is>
      </c>
      <c r="J12090" s="10" t="inlineStr">
        <is>
          <t>17/03/2026</t>
        </is>
      </c>
      <c r="K12090" s="10" t="inlineStr">
        <is>
          <t>N/A</t>
        </is>
      </c>
      <c r="L12090" s="10" t="inlineStr">
        <is>
          <t>Xây Dựng, AutoCAD, Giám Sát Thi Công, Kiểm Soát Khối Lượng, Thi Công Nhà Xưởng</t>
        </is>
      </c>
      <c r="M12090" s="10" t="inlineStr">
        <is>
          <t>Bonus, Healthcare Plan, Training, Awards, Team Activities</t>
        </is>
      </c>
      <c r="N12090" s="11">
        <f>HYPERLINK("https://www.vietnamworks.com/ky-su-xay-dung-lam-viec-tai-cong-trinh-2024714-jv","Xem chi tiết")</f>
        <v/>
      </c>
      <c r="O12090" s="10" t="n"/>
    </row>
    <row r="12091">
      <c r="B12091" s="7" t="n">
        <v>12089</v>
      </c>
      <c r="C12091" t="inlineStr">
        <is>
          <t>Kỹ Sư Thiết Kế</t>
        </is>
      </c>
      <c r="D12091" t="inlineStr">
        <is>
          <t>SEI Electronic Components (Vietnam), Ltd.</t>
        </is>
      </c>
      <c r="E12091" t="inlineStr">
        <is>
          <t>Thương lượng</t>
        </is>
      </c>
      <c r="F12091" t="inlineStr">
        <is>
          <t>Hà Nội</t>
        </is>
      </c>
      <c r="G12091" t="inlineStr">
        <is>
          <t>Mới Tốt Nghiệp</t>
        </is>
      </c>
      <c r="H12091" t="inlineStr">
        <is>
          <t>17/03/2026</t>
        </is>
      </c>
      <c r="I12091" t="inlineStr">
        <is>
          <t>16/04/2026</t>
        </is>
      </c>
      <c r="J12091" t="inlineStr">
        <is>
          <t>17/03/2026</t>
        </is>
      </c>
      <c r="K12091" t="inlineStr">
        <is>
          <t>N/A</t>
        </is>
      </c>
      <c r="L12091" t="inlineStr">
        <is>
          <t>AutoCAD 2D, PCB Design, Electronics components, Tiếng Nhật N3, CAM</t>
        </is>
      </c>
      <c r="M12091" t="inlineStr">
        <is>
          <t>Bonus, Paid Leave, Transportation</t>
        </is>
      </c>
      <c r="N12091" s="8">
        <f>HYPERLINK("https://www.vietnamworks.com/ky-su-thiet-ke--2024706-jv","Xem chi tiết")</f>
        <v/>
      </c>
    </row>
    <row r="12092">
      <c r="B12092" s="9" t="n">
        <v>12090</v>
      </c>
      <c r="C12092" s="10" t="inlineStr">
        <is>
          <t>Chuyên Viên Quản Trị Rủi Ro Dịch Vụ Chứng Khoán</t>
        </is>
      </c>
      <c r="D12092" s="10" t="inlineStr">
        <is>
          <t>Công Ty Cổ Phần Chứng Khoán KB Việt Nam</t>
        </is>
      </c>
      <c r="E12092" s="10" t="inlineStr">
        <is>
          <t>Thương lượng</t>
        </is>
      </c>
      <c r="F12092" s="10" t="inlineStr">
        <is>
          <t>Hà Nội</t>
        </is>
      </c>
      <c r="G12092" s="10" t="inlineStr">
        <is>
          <t>Nhân viên</t>
        </is>
      </c>
      <c r="H12092" s="10" t="inlineStr">
        <is>
          <t>17/03/2026</t>
        </is>
      </c>
      <c r="I12092" s="10" t="inlineStr">
        <is>
          <t>16/04/2026</t>
        </is>
      </c>
      <c r="J12092" s="10" t="inlineStr">
        <is>
          <t>17/03/2026</t>
        </is>
      </c>
      <c r="K12092" s="10" t="inlineStr">
        <is>
          <t>N/A</t>
        </is>
      </c>
      <c r="L12092" s="10" t="inlineStr">
        <is>
          <t>Quản Trị Rủi Ro, Tài Chính, Chứng Khoán, Giao Tiếp Tiếng Anh, Kế toán</t>
        </is>
      </c>
      <c r="M12092" s="10" t="inlineStr">
        <is>
          <t>Bonus, Healthcare Plan, Paid Leave, Others</t>
        </is>
      </c>
      <c r="N12092" s="11">
        <f>HYPERLINK("https://www.vietnamworks.com/chuyen-vien-quan-tri-rui-ro-dich-vu-chung-khoan-2024711-jv","Xem chi tiết")</f>
        <v/>
      </c>
      <c r="O12092" s="10" t="n"/>
    </row>
    <row r="12093">
      <c r="B12093" s="7" t="n">
        <v>12091</v>
      </c>
      <c r="C12093" t="inlineStr">
        <is>
          <t>Senior Associate - Salesforce Business Analyst (Consulting)</t>
        </is>
      </c>
      <c r="D12093" t="inlineStr">
        <is>
          <t>PwC (Vietnam) Ltd.</t>
        </is>
      </c>
      <c r="E12093" t="inlineStr">
        <is>
          <t>Thương lượng</t>
        </is>
      </c>
      <c r="F12093" t="inlineStr">
        <is>
          <t>Hà Nội</t>
        </is>
      </c>
      <c r="G12093" t="inlineStr">
        <is>
          <t>Nhân viên</t>
        </is>
      </c>
      <c r="H12093" t="inlineStr">
        <is>
          <t>17/03/2026</t>
        </is>
      </c>
      <c r="I12093" t="inlineStr">
        <is>
          <t>16/04/2026</t>
        </is>
      </c>
      <c r="J12093" t="inlineStr">
        <is>
          <t>17/03/2026</t>
        </is>
      </c>
      <c r="K12093" t="inlineStr">
        <is>
          <t>N/A</t>
        </is>
      </c>
      <c r="L12093" t="inlineStr">
        <is>
          <t>Salesforce, Tư Vấn, Công Nghệ Thông Tin</t>
        </is>
      </c>
      <c r="M12093" t="inlineStr">
        <is>
          <t>Bonus, Training, Laptop</t>
        </is>
      </c>
      <c r="N12093" s="8">
        <f>HYPERLINK("https://www.vietnamworks.com/senior-associate-salesforce-business-analyst-consulting-2024709-jv","Xem chi tiết")</f>
        <v/>
      </c>
    </row>
    <row r="12094">
      <c r="B12094" s="9" t="n">
        <v>12092</v>
      </c>
      <c r="C12094" s="10" t="inlineStr">
        <is>
          <t>Chuyên Viên Quản Trị Rủi Ro</t>
        </is>
      </c>
      <c r="D12094" s="10" t="inlineStr">
        <is>
          <t>Công Ty Cổ Phần Chứng Khoán Tiên Phong</t>
        </is>
      </c>
      <c r="E12094" s="10" t="inlineStr">
        <is>
          <t>Thương lượng</t>
        </is>
      </c>
      <c r="F12094" s="10" t="inlineStr">
        <is>
          <t>Hồ Chí Minh</t>
        </is>
      </c>
      <c r="G12094" s="10" t="inlineStr">
        <is>
          <t>Nhân viên</t>
        </is>
      </c>
      <c r="H12094" s="10" t="inlineStr">
        <is>
          <t>17/03/2026</t>
        </is>
      </c>
      <c r="I12094" s="10" t="inlineStr">
        <is>
          <t>16/04/2026</t>
        </is>
      </c>
      <c r="J12094" s="10" t="inlineStr">
        <is>
          <t>17/03/2026</t>
        </is>
      </c>
      <c r="K12094" s="10" t="inlineStr">
        <is>
          <t>N/A</t>
        </is>
      </c>
      <c r="L12094" s="10" t="inlineStr">
        <is>
          <t>Quản Trị Rủi Ro, Giao Dịch Chứng Khoán, Kiểm Soát Nội Bộ, Kiểm Soát Rủi Ro, Quản Lý Kiểm Soát Nội Bộ</t>
        </is>
      </c>
      <c r="M12094" s="10" t="inlineStr">
        <is>
          <t>Bonus, Training, Awards, Others</t>
        </is>
      </c>
      <c r="N12094" s="11">
        <f>HYPERLINK("https://www.vietnamworks.com/chuyen-vien-quan-tri-rui-ro-2024702-jv","Xem chi tiết")</f>
        <v/>
      </c>
      <c r="O12094" s="10" t="n"/>
    </row>
    <row r="12095">
      <c r="B12095" s="7" t="n">
        <v>12093</v>
      </c>
      <c r="C12095" t="inlineStr">
        <is>
          <t>Nhân Viên Kế Toán Cấp Cao</t>
        </is>
      </c>
      <c r="D12095" t="inlineStr">
        <is>
          <t>Viet Nam Nisshin Seifun Co.,Ltd</t>
        </is>
      </c>
      <c r="E12095" t="inlineStr">
        <is>
          <t>Thương lượng</t>
        </is>
      </c>
      <c r="F12095" t="inlineStr">
        <is>
          <t>Đồng Nai</t>
        </is>
      </c>
      <c r="G12095" t="inlineStr">
        <is>
          <t>Nhân viên</t>
        </is>
      </c>
      <c r="H12095" t="inlineStr">
        <is>
          <t>17/03/2026</t>
        </is>
      </c>
      <c r="I12095" t="inlineStr">
        <is>
          <t>16/04/2026</t>
        </is>
      </c>
      <c r="J12095" t="inlineStr">
        <is>
          <t>17/03/2026</t>
        </is>
      </c>
      <c r="K12095" t="inlineStr">
        <is>
          <t>N/A</t>
        </is>
      </c>
      <c r="L12095" t="inlineStr">
        <is>
          <t>Báo Cáo Kế Toán, Hạch Toán, Kế toán, Kế toán Quản trị, Kế Toán Tài Chính</t>
        </is>
      </c>
      <c r="M12095" t="inlineStr">
        <is>
          <t>Healthcare Plan, Paid Leave, Training, Awards, Travel Opportunities, Team Activities, Canteen, Others</t>
        </is>
      </c>
      <c r="N12095" s="8">
        <f>HYPERLINK("https://www.vietnamworks.com/nhan-vien-ke-toan-cap-cao-2024703-jv","Xem chi tiết")</f>
        <v/>
      </c>
    </row>
    <row r="12096">
      <c r="B12096" s="9" t="n">
        <v>12094</v>
      </c>
      <c r="C12096" s="10" t="inlineStr">
        <is>
          <t>Nhân Viên Tiếng Nhật</t>
        </is>
      </c>
      <c r="D12096" s="10" t="inlineStr">
        <is>
          <t>NITORI Furniture Vietnam EPE</t>
        </is>
      </c>
      <c r="E12096" s="10" t="inlineStr">
        <is>
          <t>Thương lượng</t>
        </is>
      </c>
      <c r="F12096" s="10" t="inlineStr">
        <is>
          <t>Hà Nội</t>
        </is>
      </c>
      <c r="G12096" s="10" t="inlineStr">
        <is>
          <t>Nhân viên</t>
        </is>
      </c>
      <c r="H12096" s="10" t="inlineStr">
        <is>
          <t>17/03/2026</t>
        </is>
      </c>
      <c r="I12096" s="10" t="inlineStr">
        <is>
          <t>16/04/2026</t>
        </is>
      </c>
      <c r="J12096" s="10" t="inlineStr">
        <is>
          <t>17/03/2026</t>
        </is>
      </c>
      <c r="K12096" s="10" t="inlineStr">
        <is>
          <t>N/A</t>
        </is>
      </c>
      <c r="L12096" s="10" t="inlineStr">
        <is>
          <t>Phiên Dịch Tiếng Nhật, Trợ lý Giám Đốc, Tiếng Nhật, Trợ lý cho Ban Giám đốc</t>
        </is>
      </c>
      <c r="M12096" s="10" t="inlineStr">
        <is>
          <t>Bonus, Paid Leave, Transportation</t>
        </is>
      </c>
      <c r="N12096" s="11">
        <f>HYPERLINK("https://www.vietnamworks.com/nhan-vien-tieng-nhat-2024720-jv","Xem chi tiết")</f>
        <v/>
      </c>
      <c r="O12096" s="10" t="n"/>
    </row>
    <row r="12097">
      <c r="B12097" s="7" t="n">
        <v>12095</v>
      </c>
      <c r="C12097" t="inlineStr">
        <is>
          <t>Chief Financial Officer (CFO)</t>
        </is>
      </c>
      <c r="D12097" t="inlineStr">
        <is>
          <t>CÔNG TY TNHH FASTECH ASIA</t>
        </is>
      </c>
      <c r="E12097" t="inlineStr">
        <is>
          <t>Thương lượng</t>
        </is>
      </c>
      <c r="F12097" t="inlineStr">
        <is>
          <t>Hà Nội</t>
        </is>
      </c>
      <c r="G12097" t="inlineStr">
        <is>
          <t>Giám Đốc và Cấp Cao Hơn</t>
        </is>
      </c>
      <c r="H12097" t="inlineStr">
        <is>
          <t>17/03/2026</t>
        </is>
      </c>
      <c r="I12097" t="inlineStr">
        <is>
          <t>16/04/2026</t>
        </is>
      </c>
      <c r="J12097" t="inlineStr">
        <is>
          <t>17/03/2026</t>
        </is>
      </c>
      <c r="K12097" t="inlineStr">
        <is>
          <t>N/A</t>
        </is>
      </c>
      <c r="L12097" t="inlineStr">
        <is>
          <t>Financial Management, Financial Strategy, Fundraising, Investor Relations, Leadership</t>
        </is>
      </c>
      <c r="M12097" t="inlineStr">
        <is>
          <t>Bonus, Healthcare Plan, Training, Team Activities, Others</t>
        </is>
      </c>
      <c r="N12097" s="8">
        <f>HYPERLINK("https://www.vietnamworks.com/chief-financial-officer-cfo-2024710-jv","Xem chi tiết")</f>
        <v/>
      </c>
    </row>
    <row r="12098">
      <c r="B12098" s="9" t="n">
        <v>12096</v>
      </c>
      <c r="C12098" s="10" t="inlineStr">
        <is>
          <t>Nhân Viên Kế Toán</t>
        </is>
      </c>
      <c r="D12098" s="10" t="inlineStr">
        <is>
          <t>Công Ty TNHH Giao Nhận Vận Tải Biển Và Thương Mại M&amp;t</t>
        </is>
      </c>
      <c r="E12098" s="10" t="inlineStr">
        <is>
          <t>Thương lượng</t>
        </is>
      </c>
      <c r="F12098" s="10" t="inlineStr">
        <is>
          <t>Hải Phòng</t>
        </is>
      </c>
      <c r="G12098" s="10" t="inlineStr">
        <is>
          <t>Nhân viên</t>
        </is>
      </c>
      <c r="H12098" s="10" t="inlineStr">
        <is>
          <t>17/03/2026</t>
        </is>
      </c>
      <c r="I12098" s="10" t="inlineStr">
        <is>
          <t>16/04/2026</t>
        </is>
      </c>
      <c r="J12098" s="10" t="inlineStr">
        <is>
          <t>17/03/2026</t>
        </is>
      </c>
      <c r="K12098" s="10" t="inlineStr">
        <is>
          <t>N/A</t>
        </is>
      </c>
      <c r="L12098" s="10" t="inlineStr">
        <is>
          <t>Kế Toán, Kế Toán Nội Bộ, Theo Dõi Công Nợ, Hệ Thống Thuế, Hạch Toán</t>
        </is>
      </c>
      <c r="M12098" s="10" t="inlineStr">
        <is>
          <t>Bonus, Healthcare Plan, Paid Leave</t>
        </is>
      </c>
      <c r="N12098" s="11">
        <f>HYPERLINK("https://www.vietnamworks.com/nhan-vien-ke-toan--2024717-jv","Xem chi tiết")</f>
        <v/>
      </c>
      <c r="O12098" s="10" t="n"/>
    </row>
    <row r="12099">
      <c r="B12099" s="7" t="n">
        <v>12097</v>
      </c>
      <c r="C12099" t="inlineStr">
        <is>
          <t>Associate - Treasury Desk</t>
        </is>
      </c>
      <c r="D12099" t="inlineStr">
        <is>
          <t>Mizuho Bank, Ltd. - HCMC Branch</t>
        </is>
      </c>
      <c r="E12099" t="inlineStr">
        <is>
          <t>Thương lượng</t>
        </is>
      </c>
      <c r="F12099" t="inlineStr">
        <is>
          <t>Hồ Chí Minh</t>
        </is>
      </c>
      <c r="G12099" t="inlineStr">
        <is>
          <t>Nhân viên</t>
        </is>
      </c>
      <c r="H12099" t="inlineStr">
        <is>
          <t>17/03/2026</t>
        </is>
      </c>
      <c r="I12099" t="inlineStr">
        <is>
          <t>16/04/2026</t>
        </is>
      </c>
      <c r="J12099" t="inlineStr">
        <is>
          <t>17/03/2026</t>
        </is>
      </c>
      <c r="K12099" t="inlineStr">
        <is>
          <t>N/A</t>
        </is>
      </c>
      <c r="L12099" t="inlineStr">
        <is>
          <t>Credit Analysis, Finance, Communication, Banking, Relationship Management</t>
        </is>
      </c>
      <c r="M12099" t="inlineStr">
        <is>
          <t>Bonus, Healthcare Plan, Paid Leave</t>
        </is>
      </c>
      <c r="N12099" s="8">
        <f>HYPERLINK("https://www.vietnamworks.com/associate-treasury-desk-2024718-jv","Xem chi tiết")</f>
        <v/>
      </c>
    </row>
    <row r="12100">
      <c r="B12100" s="9" t="n">
        <v>12098</v>
      </c>
      <c r="C12100" s="10" t="inlineStr">
        <is>
          <t>Nhân Viên Phát Triển Kinh Doanh</t>
        </is>
      </c>
      <c r="D12100" s="10" t="inlineStr">
        <is>
          <t>BH Asia Trading Co., Ltd</t>
        </is>
      </c>
      <c r="E12100" s="10" t="inlineStr">
        <is>
          <t>Thương lượng</t>
        </is>
      </c>
      <c r="F12100" s="10" t="inlineStr">
        <is>
          <t>Hồ Chí Minh</t>
        </is>
      </c>
      <c r="G12100" s="10" t="inlineStr">
        <is>
          <t>Nhân viên</t>
        </is>
      </c>
      <c r="H12100" s="10" t="inlineStr">
        <is>
          <t>17/03/2026</t>
        </is>
      </c>
      <c r="I12100" s="10" t="inlineStr">
        <is>
          <t>16/04/2026</t>
        </is>
      </c>
      <c r="J12100" s="10" t="inlineStr">
        <is>
          <t>17/03/2026</t>
        </is>
      </c>
      <c r="K12100" s="10" t="inlineStr">
        <is>
          <t>N/A</t>
        </is>
      </c>
      <c r="L12100" s="10" t="inlineStr">
        <is>
          <t>Giám Sát Kinh Doanh, Phân Tích Thị Trường, Phát Triển Khách Hàng, Phát Triển Kinh Doanh, Đàm Phán</t>
        </is>
      </c>
      <c r="M12100" s="10" t="inlineStr">
        <is>
          <t>Healthcare Plan, Paid Leave, Team Activities, Others</t>
        </is>
      </c>
      <c r="N12100" s="11">
        <f>HYPERLINK("https://www.vietnamworks.com/nhan-vien-phat-trien-kinh-doanh-2024719-jv","Xem chi tiết")</f>
        <v/>
      </c>
      <c r="O12100" s="10" t="n"/>
    </row>
    <row r="12101">
      <c r="B12101" s="7" t="n">
        <v>12099</v>
      </c>
      <c r="C12101" t="inlineStr">
        <is>
          <t>Legal Associate for Advisory Team</t>
        </is>
      </c>
      <c r="D12101" t="inlineStr">
        <is>
          <t>Công Ty Luật TNHH Dentons Luật Việt</t>
        </is>
      </c>
      <c r="E12101" t="inlineStr">
        <is>
          <t>Thương lượng</t>
        </is>
      </c>
      <c r="F12101" t="inlineStr">
        <is>
          <t>Hồ Chí Minh</t>
        </is>
      </c>
      <c r="G12101" t="inlineStr">
        <is>
          <t>Nhân viên</t>
        </is>
      </c>
      <c r="H12101" t="inlineStr">
        <is>
          <t>17/03/2026</t>
        </is>
      </c>
      <c r="I12101" t="inlineStr">
        <is>
          <t>16/04/2026</t>
        </is>
      </c>
      <c r="J12101" t="inlineStr">
        <is>
          <t>17/03/2026</t>
        </is>
      </c>
      <c r="K12101" t="inlineStr">
        <is>
          <t>N/A</t>
        </is>
      </c>
      <c r="L12101" t="inlineStr">
        <is>
          <t>Legal Advise, Analytical Skills, English, Legal Consulting, Negotiation Skills</t>
        </is>
      </c>
      <c r="M12101" t="inlineStr">
        <is>
          <t>Bonus, Training, Others</t>
        </is>
      </c>
      <c r="N12101" s="8">
        <f>HYPERLINK("https://www.vietnamworks.com/legal-associate-for-advisory-team-2024712-jv","Xem chi tiết")</f>
        <v/>
      </c>
    </row>
    <row r="12102">
      <c r="B12102" s="9" t="n">
        <v>12100</v>
      </c>
      <c r="C12102" s="10" t="inlineStr">
        <is>
          <t>Manager, Property Management</t>
        </is>
      </c>
      <c r="D12102" s="10" t="inlineStr">
        <is>
          <t>CapitaLand Development (Vietnam)</t>
        </is>
      </c>
      <c r="E12102" s="10" t="inlineStr">
        <is>
          <t>Thương lượng</t>
        </is>
      </c>
      <c r="F12102" s="10" t="inlineStr">
        <is>
          <t>Hà Nội</t>
        </is>
      </c>
      <c r="G12102" s="10" t="inlineStr">
        <is>
          <t>Trưởng phòng</t>
        </is>
      </c>
      <c r="H12102" s="10" t="inlineStr">
        <is>
          <t>17/03/2026</t>
        </is>
      </c>
      <c r="I12102" s="10" t="inlineStr">
        <is>
          <t>16/04/2026</t>
        </is>
      </c>
      <c r="J12102" s="10" t="inlineStr">
        <is>
          <t>17/03/2026</t>
        </is>
      </c>
      <c r="K12102" s="10" t="inlineStr">
        <is>
          <t>N/A</t>
        </is>
      </c>
      <c r="L12102" s="10" t="inlineStr">
        <is>
          <t>Property Management, Building Management, Engineering, Facilities Management, Quản Lý Vận Hành Tòa Nhà</t>
        </is>
      </c>
      <c r="M12102" s="10" t="inlineStr">
        <is>
          <t>Bonus, Healthcare Plan, Training</t>
        </is>
      </c>
      <c r="N12102" s="11">
        <f>HYPERLINK("https://www.vietnamworks.com/manager-property-management--2024704-jv","Xem chi tiết")</f>
        <v/>
      </c>
      <c r="O12102" s="10" t="n"/>
    </row>
    <row r="12103">
      <c r="B12103" s="7" t="n">
        <v>12101</v>
      </c>
      <c r="C12103" t="inlineStr">
        <is>
          <t>Salesforce Developer (Consulting)</t>
        </is>
      </c>
      <c r="D12103" t="inlineStr">
        <is>
          <t>PwC (Vietnam) Ltd.</t>
        </is>
      </c>
      <c r="E12103" t="inlineStr">
        <is>
          <t>Thương lượng</t>
        </is>
      </c>
      <c r="F12103" t="inlineStr">
        <is>
          <t>Hà Nội</t>
        </is>
      </c>
      <c r="G12103" t="inlineStr">
        <is>
          <t>Nhân viên</t>
        </is>
      </c>
      <c r="H12103" t="inlineStr">
        <is>
          <t>17/03/2026</t>
        </is>
      </c>
      <c r="I12103" t="inlineStr">
        <is>
          <t>16/04/2026</t>
        </is>
      </c>
      <c r="J12103" t="inlineStr">
        <is>
          <t>17/03/2026</t>
        </is>
      </c>
      <c r="K12103" t="inlineStr">
        <is>
          <t>N/A</t>
        </is>
      </c>
      <c r="L12103" t="inlineStr">
        <is>
          <t>Communication Skills, MariaDB, Salesforce Development, Visualforce, Salesforce Certifications</t>
        </is>
      </c>
      <c r="M12103" t="inlineStr">
        <is>
          <t>Training, Laptop</t>
        </is>
      </c>
      <c r="N12103" s="8">
        <f>HYPERLINK("https://www.vietnamworks.com/salesforce-developer-consulting-2024716-jv","Xem chi tiết")</f>
        <v/>
      </c>
    </row>
    <row r="12104">
      <c r="B12104" s="9" t="n">
        <v>12102</v>
      </c>
      <c r="C12104" s="10" t="inlineStr">
        <is>
          <t>Trưởng Phòng Tài Chính Đầu Tư</t>
        </is>
      </c>
      <c r="D12104" s="10" t="inlineStr">
        <is>
          <t>Công Ty Cổ Phần Phúc Sinh</t>
        </is>
      </c>
      <c r="E12104" s="10" t="inlineStr">
        <is>
          <t>Thương lượng</t>
        </is>
      </c>
      <c r="F12104" s="10" t="inlineStr">
        <is>
          <t>Hồ Chí Minh</t>
        </is>
      </c>
      <c r="G12104" s="10" t="inlineStr">
        <is>
          <t>Trưởng phòng</t>
        </is>
      </c>
      <c r="H12104" s="10" t="inlineStr">
        <is>
          <t>17/03/2026</t>
        </is>
      </c>
      <c r="I12104" s="10" t="inlineStr">
        <is>
          <t>16/04/2026</t>
        </is>
      </c>
      <c r="J12104" s="10" t="inlineStr">
        <is>
          <t>17/03/2026</t>
        </is>
      </c>
      <c r="K12104" s="10" t="inlineStr">
        <is>
          <t>N/A</t>
        </is>
      </c>
      <c r="L12104" s="10" t="inlineStr">
        <is>
          <t>Phân Tích Tài Chính, Quản Lý Công Nợ, Quản Lý Dòng Tiền, Tài Chính Doanh Nghiệp, Thẩm Định</t>
        </is>
      </c>
      <c r="M12104" s="10" t="inlineStr">
        <is>
          <t>Bonus, Healthcare Plan, Canteen</t>
        </is>
      </c>
      <c r="N12104" s="11">
        <f>HYPERLINK("https://www.vietnamworks.com/truong-phong-tai-chinh-dau-tu--2024721-jv","Xem chi tiết")</f>
        <v/>
      </c>
      <c r="O12104" s="10" t="n"/>
    </row>
    <row r="12105">
      <c r="B12105" s="7" t="n">
        <v>12103</v>
      </c>
      <c r="C12105" t="inlineStr">
        <is>
          <t>Sales Consultant (Tư Vấn Bán Hàng Sơn Trang Trí)</t>
        </is>
      </c>
      <c r="D12105" t="inlineStr">
        <is>
          <t>Jotun Paints Vietnam Company Limited</t>
        </is>
      </c>
      <c r="E12105" t="inlineStr">
        <is>
          <t>Thương lượng</t>
        </is>
      </c>
      <c r="F12105" t="inlineStr">
        <is>
          <t>Hà Nội</t>
        </is>
      </c>
      <c r="G12105" t="inlineStr">
        <is>
          <t>Nhân viên</t>
        </is>
      </c>
      <c r="H12105" t="inlineStr">
        <is>
          <t>17/03/2026</t>
        </is>
      </c>
      <c r="I12105" t="inlineStr">
        <is>
          <t>16/04/2026</t>
        </is>
      </c>
      <c r="J12105" t="inlineStr">
        <is>
          <t>17/03/2026</t>
        </is>
      </c>
      <c r="K12105" t="inlineStr">
        <is>
          <t>N/A</t>
        </is>
      </c>
      <c r="L12105" t="inlineStr">
        <is>
          <t>Technical Sales, English, Client Relationships, Technical Drawing Reading, MS Office</t>
        </is>
      </c>
      <c r="M12105" t="inlineStr">
        <is>
          <t>Bonus, Healthcare Plan, Team Activities</t>
        </is>
      </c>
      <c r="N12105" s="8">
        <f>HYPERLINK("https://www.vietnamworks.com/sales-consultant-tu-van-ban-hang-son-trang-tri--2024715-jv","Xem chi tiết")</f>
        <v/>
      </c>
    </row>
    <row r="12106">
      <c r="B12106" s="9" t="n">
        <v>12104</v>
      </c>
      <c r="C12106" s="10" t="inlineStr">
        <is>
          <t>Construction Engineer</t>
        </is>
      </c>
      <c r="D12106" s="10" t="inlineStr">
        <is>
          <t>Công Ty TNHH Kỹ Thuật Và Xây Dựng JEIL Việt Nam</t>
        </is>
      </c>
      <c r="E12106" s="10" t="inlineStr">
        <is>
          <t>Thương lượng</t>
        </is>
      </c>
      <c r="F12106" s="10" t="inlineStr">
        <is>
          <t>Hồ Chí Minh</t>
        </is>
      </c>
      <c r="G12106" s="10" t="inlineStr">
        <is>
          <t>Nhân viên</t>
        </is>
      </c>
      <c r="H12106" s="10" t="inlineStr">
        <is>
          <t>17/03/2026</t>
        </is>
      </c>
      <c r="I12106" s="10" t="inlineStr">
        <is>
          <t>16/04/2026</t>
        </is>
      </c>
      <c r="J12106" s="10" t="inlineStr">
        <is>
          <t>17/03/2026</t>
        </is>
      </c>
      <c r="K12106" s="10" t="inlineStr">
        <is>
          <t>N/A</t>
        </is>
      </c>
      <c r="L12106" s="10" t="inlineStr">
        <is>
          <t>Microsoft Office, English, AutoCAD, Site Supervision, Technical Drawing Reading</t>
        </is>
      </c>
      <c r="M12106" s="10" t="inlineStr">
        <is>
          <t>Bonus, Healthcare Plan, Paid Leave, Others</t>
        </is>
      </c>
      <c r="N12106" s="11">
        <f>HYPERLINK("https://www.vietnamworks.com/construction-engineer--2024728-jv","Xem chi tiết")</f>
        <v/>
      </c>
      <c r="O12106" s="10" t="n"/>
    </row>
    <row r="12107">
      <c r="B12107" s="7" t="n">
        <v>12105</v>
      </c>
      <c r="C12107" t="inlineStr">
        <is>
          <t>Kỹ Sư HVAC</t>
        </is>
      </c>
      <c r="D12107" t="inlineStr">
        <is>
          <t>CÔNG TY TNHH XUẤT NHẬP KHẨU CƠ ĐIỆN GREEN LINE</t>
        </is>
      </c>
      <c r="E12107" t="inlineStr">
        <is>
          <t>12tr-15tr ₫/tháng</t>
        </is>
      </c>
      <c r="F12107" t="inlineStr">
        <is>
          <t>Hồ Chí Minh, Nghệ An</t>
        </is>
      </c>
      <c r="G12107" t="inlineStr">
        <is>
          <t>Nhân viên</t>
        </is>
      </c>
      <c r="H12107" t="inlineStr">
        <is>
          <t>17/03/2026</t>
        </is>
      </c>
      <c r="I12107" t="inlineStr">
        <is>
          <t>16/04/2026</t>
        </is>
      </c>
      <c r="J12107" t="inlineStr">
        <is>
          <t>17/03/2026</t>
        </is>
      </c>
      <c r="K12107" t="inlineStr">
        <is>
          <t>N/A</t>
        </is>
      </c>
      <c r="L12107" t="inlineStr">
        <is>
          <t>Autocad, Excel, Word, Điện Lạnh, Điều Hòa Thông Gió</t>
        </is>
      </c>
      <c r="M12107" t="inlineStr">
        <is>
          <t>Healthcare Plan, Training, Vouchers, Others</t>
        </is>
      </c>
      <c r="N12107" s="8">
        <f>HYPERLINK("https://www.vietnamworks.com/ky-su-hvac-2024735-jv","Xem chi tiết")</f>
        <v/>
      </c>
    </row>
    <row r="12108">
      <c r="B12108" s="9" t="n">
        <v>12106</v>
      </c>
      <c r="C12108" s="10" t="inlineStr">
        <is>
          <t>US Accountant &amp; Tax (Fresher Or Up to 3 Years Experience)</t>
        </is>
      </c>
      <c r="D12108" s="10" t="inlineStr">
        <is>
          <t>JH INT CO., LTD.</t>
        </is>
      </c>
      <c r="E12108" s="10" t="inlineStr">
        <is>
          <t>Thương lượng</t>
        </is>
      </c>
      <c r="F12108" s="10" t="inlineStr">
        <is>
          <t>Hồ Chí Minh</t>
        </is>
      </c>
      <c r="G12108" s="10" t="inlineStr">
        <is>
          <t>Mới Tốt Nghiệp</t>
        </is>
      </c>
      <c r="H12108" s="10" t="inlineStr">
        <is>
          <t>17/03/2026</t>
        </is>
      </c>
      <c r="I12108" s="10" t="inlineStr">
        <is>
          <t>16/04/2026</t>
        </is>
      </c>
      <c r="J12108" s="10" t="inlineStr">
        <is>
          <t>17/03/2026</t>
        </is>
      </c>
      <c r="K12108" s="10" t="inlineStr">
        <is>
          <t>N/A</t>
        </is>
      </c>
      <c r="L12108" s="10" t="inlineStr">
        <is>
          <t>Accounting, QuickBooks, Bank Reconciliation</t>
        </is>
      </c>
      <c r="M12108" s="10" t="inlineStr">
        <is>
          <t>Bonus, Healthcare Plan, Paid Leave, Training, Others</t>
        </is>
      </c>
      <c r="N12108" s="11">
        <f>HYPERLINK("https://www.vietnamworks.com/us-accountant-and-tax-fresher-or-up-to-3-years-experience-2024738-jv","Xem chi tiết")</f>
        <v/>
      </c>
      <c r="O12108" s="10" t="n"/>
    </row>
    <row r="12109">
      <c r="B12109" s="7" t="n">
        <v>12107</v>
      </c>
      <c r="C12109" t="inlineStr">
        <is>
          <t>Chuyên Viên Điều Phối Dự Án</t>
        </is>
      </c>
      <c r="D12109" t="inlineStr">
        <is>
          <t>Công Ty Cổ Phần Tập Đoàn Năng Lượng BIM</t>
        </is>
      </c>
      <c r="E12109" t="inlineStr">
        <is>
          <t>Thương lượng</t>
        </is>
      </c>
      <c r="F12109" t="inlineStr">
        <is>
          <t>Ninh Thuận</t>
        </is>
      </c>
      <c r="G12109" t="inlineStr">
        <is>
          <t>Nhân viên</t>
        </is>
      </c>
      <c r="H12109" t="inlineStr">
        <is>
          <t>17/03/2026</t>
        </is>
      </c>
      <c r="I12109" t="inlineStr">
        <is>
          <t>16/04/2026</t>
        </is>
      </c>
      <c r="J12109" t="inlineStr">
        <is>
          <t>17/03/2026</t>
        </is>
      </c>
      <c r="K12109" t="inlineStr">
        <is>
          <t>N/A</t>
        </is>
      </c>
      <c r="L12109" t="inlineStr">
        <is>
          <t>Quản Lý Dự Án Công Trình Xây Dựng, Xây Dựng, Kế Hoạch Dự Án, Kiểm Soát Tiến Độ Dự Án</t>
        </is>
      </c>
      <c r="M12109" t="inlineStr">
        <is>
          <t>Bonus</t>
        </is>
      </c>
      <c r="N12109" s="8">
        <f>HYPERLINK("https://www.vietnamworks.com/chuyen-vien-dieu-phoi-du-an--2024734-jv","Xem chi tiết")</f>
        <v/>
      </c>
    </row>
    <row r="12110">
      <c r="B12110" s="9" t="n">
        <v>12108</v>
      </c>
      <c r="C12110" s="10" t="inlineStr">
        <is>
          <t>Kỹ Sư Điện</t>
        </is>
      </c>
      <c r="D12110" s="10" t="inlineStr">
        <is>
          <t>CÔNG TY TNHH XUẤT NHẬP KHẨU CƠ ĐIỆN GREEN LINE</t>
        </is>
      </c>
      <c r="E12110" s="10" t="inlineStr">
        <is>
          <t>15tr-20tr ₫/tháng</t>
        </is>
      </c>
      <c r="F12110" s="10" t="inlineStr">
        <is>
          <t>Hồ Chí Minh, Nghệ An</t>
        </is>
      </c>
      <c r="G12110" s="10" t="inlineStr">
        <is>
          <t>Nhân viên</t>
        </is>
      </c>
      <c r="H12110" s="10" t="inlineStr">
        <is>
          <t>17/03/2026</t>
        </is>
      </c>
      <c r="I12110" s="10" t="inlineStr">
        <is>
          <t>16/04/2026</t>
        </is>
      </c>
      <c r="J12110" s="10" t="inlineStr">
        <is>
          <t>17/03/2026</t>
        </is>
      </c>
      <c r="K12110" s="10" t="inlineStr">
        <is>
          <t>N/A</t>
        </is>
      </c>
      <c r="L12110" s="10" t="inlineStr">
        <is>
          <t>Autocad, Excel, Hệ Thống Điện, Word, Điện Công Nghiệp</t>
        </is>
      </c>
      <c r="M12110" s="10" t="inlineStr">
        <is>
          <t>Healthcare Plan, Training, Vouchers, Others</t>
        </is>
      </c>
      <c r="N12110" s="11">
        <f>HYPERLINK("https://www.vietnamworks.com/ky-su-djien-2024730-jv","Xem chi tiết")</f>
        <v/>
      </c>
      <c r="O12110" s="10" t="n"/>
    </row>
    <row r="12111">
      <c r="B12111" s="7" t="n">
        <v>12109</v>
      </c>
      <c r="C12111" t="inlineStr">
        <is>
          <t>Nhân Viên Chứng Từ Kiêm Khai Báo Hải Quan</t>
        </is>
      </c>
      <c r="D12111" t="inlineStr">
        <is>
          <t>Công Ty TNHH Giao Nhận Vận Tải Biển Và Thương Mại M&amp;t</t>
        </is>
      </c>
      <c r="E12111" t="inlineStr">
        <is>
          <t>Thương lượng</t>
        </is>
      </c>
      <c r="F12111" t="inlineStr">
        <is>
          <t>Hải Phòng</t>
        </is>
      </c>
      <c r="G12111" t="inlineStr">
        <is>
          <t>Nhân viên</t>
        </is>
      </c>
      <c r="H12111" t="inlineStr">
        <is>
          <t>17/03/2026</t>
        </is>
      </c>
      <c r="I12111" t="inlineStr">
        <is>
          <t>16/04/2026</t>
        </is>
      </c>
      <c r="J12111" t="inlineStr">
        <is>
          <t>17/03/2026</t>
        </is>
      </c>
      <c r="K12111" t="inlineStr">
        <is>
          <t>N/A</t>
        </is>
      </c>
      <c r="L12111" t="inlineStr">
        <is>
          <t>Thủ Tục Hải Quan, Chứng Từ Xuất Nhập Khẩu, Chứng Từ Nhập Khẩu, Logistics, Vận Tải</t>
        </is>
      </c>
      <c r="M12111" t="inlineStr">
        <is>
          <t>Bonus, Healthcare Plan, Travel Opportunities</t>
        </is>
      </c>
      <c r="N12111" s="8">
        <f>HYPERLINK("https://www.vietnamworks.com/nhan-vien-chung-tu-kiem-khai-bao-hai-quan-2024731-jv","Xem chi tiết")</f>
        <v/>
      </c>
    </row>
    <row r="12112">
      <c r="B12112" s="9" t="n">
        <v>12110</v>
      </c>
      <c r="C12112" s="10" t="inlineStr">
        <is>
          <t>Sale Supervisor</t>
        </is>
      </c>
      <c r="D12112" s="10" t="inlineStr">
        <is>
          <t>BUPBES</t>
        </is>
      </c>
      <c r="E12112" s="10" t="inlineStr">
        <is>
          <t>Thương lượng</t>
        </is>
      </c>
      <c r="F12112" s="10" t="inlineStr">
        <is>
          <t>Hồ Chí Minh</t>
        </is>
      </c>
      <c r="G12112" s="10" t="inlineStr">
        <is>
          <t>Trưởng phòng</t>
        </is>
      </c>
      <c r="H12112" s="10" t="inlineStr">
        <is>
          <t>17/03/2026</t>
        </is>
      </c>
      <c r="I12112" s="10" t="inlineStr">
        <is>
          <t>16/04/2026</t>
        </is>
      </c>
      <c r="J12112" s="10" t="inlineStr">
        <is>
          <t>17/03/2026</t>
        </is>
      </c>
      <c r="K12112" s="10" t="inlineStr">
        <is>
          <t>N/A</t>
        </is>
      </c>
      <c r="L12112" s="10" t="inlineStr">
        <is>
          <t>Sales Supervisor, Online Sales, Customer Service, Bán Hàng, B2B Sales</t>
        </is>
      </c>
      <c r="M12112" s="10" t="inlineStr">
        <is>
          <t>Bonus, Paid Leave</t>
        </is>
      </c>
      <c r="N12112" s="11">
        <f>HYPERLINK("https://www.vietnamworks.com/sale-supervisor--2024741-jv","Xem chi tiết")</f>
        <v/>
      </c>
      <c r="O12112" s="10" t="n"/>
    </row>
    <row r="12113">
      <c r="B12113" s="7" t="n">
        <v>12111</v>
      </c>
      <c r="C12113" t="inlineStr">
        <is>
          <t>Manager, Salesforce Business Analyst (Consulting)</t>
        </is>
      </c>
      <c r="D12113" t="inlineStr">
        <is>
          <t>PwC (Vietnam) Ltd.</t>
        </is>
      </c>
      <c r="E12113" t="inlineStr">
        <is>
          <t>Thương lượng</t>
        </is>
      </c>
      <c r="F12113" t="inlineStr">
        <is>
          <t>Hà Nội</t>
        </is>
      </c>
      <c r="G12113" t="inlineStr">
        <is>
          <t>Trưởng phòng</t>
        </is>
      </c>
      <c r="H12113" t="inlineStr">
        <is>
          <t>17/03/2026</t>
        </is>
      </c>
      <c r="I12113" t="inlineStr">
        <is>
          <t>16/04/2026</t>
        </is>
      </c>
      <c r="J12113" t="inlineStr">
        <is>
          <t>17/03/2026</t>
        </is>
      </c>
      <c r="K12113" t="inlineStr">
        <is>
          <t>N/A</t>
        </is>
      </c>
      <c r="L12113" t="inlineStr">
        <is>
          <t>Client Facing, Salesforce Development, System Configuration</t>
        </is>
      </c>
      <c r="M12113" t="inlineStr">
        <is>
          <t>Others</t>
        </is>
      </c>
      <c r="N12113" s="8">
        <f>HYPERLINK("https://www.vietnamworks.com/manager-salesforce-business-analyst-consulting-2024739-jv","Xem chi tiết")</f>
        <v/>
      </c>
    </row>
    <row r="12114">
      <c r="B12114" s="9" t="n">
        <v>12112</v>
      </c>
      <c r="C12114" s="10" t="inlineStr">
        <is>
          <t>Local Client Manager</t>
        </is>
      </c>
      <c r="D12114" s="10" t="inlineStr">
        <is>
          <t>Maersk Vietnam Ltd.</t>
        </is>
      </c>
      <c r="E12114" s="10" t="inlineStr">
        <is>
          <t>Thương lượng</t>
        </is>
      </c>
      <c r="F12114" s="10" t="inlineStr">
        <is>
          <t>Hà Nội</t>
        </is>
      </c>
      <c r="G12114" s="10" t="inlineStr">
        <is>
          <t>Nhân viên</t>
        </is>
      </c>
      <c r="H12114" s="10" t="inlineStr">
        <is>
          <t>17/03/2026</t>
        </is>
      </c>
      <c r="I12114" s="10" t="inlineStr">
        <is>
          <t>16/04/2026</t>
        </is>
      </c>
      <c r="J12114" s="10" t="inlineStr">
        <is>
          <t>17/03/2026</t>
        </is>
      </c>
      <c r="K12114" s="10" t="inlineStr">
        <is>
          <t>N/A</t>
        </is>
      </c>
      <c r="L12114" s="10" t="inlineStr">
        <is>
          <t>Customer Relation, Logistics, Sales Strategy, Stakeholder Management, Team Work</t>
        </is>
      </c>
      <c r="M12114" s="10" t="inlineStr">
        <is>
          <t>Bonus, Healthcare Plan, Laptop</t>
        </is>
      </c>
      <c r="N12114" s="11">
        <f>HYPERLINK("https://www.vietnamworks.com/local-client-manager-2024743-jv","Xem chi tiết")</f>
        <v/>
      </c>
      <c r="O12114" s="10" t="n"/>
    </row>
    <row r="12115">
      <c r="B12115" s="7" t="n">
        <v>12113</v>
      </c>
      <c r="C12115" t="inlineStr">
        <is>
          <t>Kế Toán Trưởng (Huyện Bình Chánh Cũ - TPHCM)</t>
        </is>
      </c>
      <c r="D12115" t="inlineStr">
        <is>
          <t>Công ty TNHH MTV TM DV Phước Oanh</t>
        </is>
      </c>
      <c r="E12115" t="inlineStr">
        <is>
          <t>20tr-30tr ₫/tháng</t>
        </is>
      </c>
      <c r="F12115" t="inlineStr">
        <is>
          <t>Hồ Chí Minh</t>
        </is>
      </c>
      <c r="G12115" t="inlineStr">
        <is>
          <t>Trưởng phòng</t>
        </is>
      </c>
      <c r="H12115" t="inlineStr">
        <is>
          <t>17/03/2026</t>
        </is>
      </c>
      <c r="I12115" t="inlineStr">
        <is>
          <t>16/04/2026</t>
        </is>
      </c>
      <c r="J12115" t="inlineStr">
        <is>
          <t>17/03/2026</t>
        </is>
      </c>
      <c r="K12115" t="inlineStr">
        <is>
          <t>N/A</t>
        </is>
      </c>
      <c r="L12115" t="inlineStr">
        <is>
          <t>Phân Tích Chi Phí, Quản Lý Tài Chính, Kế Hoạch Chi Phí, Kiểm Kê Tài Sản, Kế toán</t>
        </is>
      </c>
      <c r="M12115" t="inlineStr">
        <is>
          <t>Mobile</t>
        </is>
      </c>
      <c r="N12115" s="8">
        <f>HYPERLINK("https://www.vietnamworks.com/ke-toan-truong-huyen-binh-chanh-cu-tphcm-2024729-jv","Xem chi tiết")</f>
        <v/>
      </c>
    </row>
    <row r="12116">
      <c r="B12116" s="9" t="n">
        <v>12114</v>
      </c>
      <c r="C12116" s="10" t="inlineStr">
        <is>
          <t>Manager, Salesforce Developer (Consulting)</t>
        </is>
      </c>
      <c r="D12116" s="10" t="inlineStr">
        <is>
          <t>PwC (Vietnam) Ltd.</t>
        </is>
      </c>
      <c r="E12116" s="10" t="inlineStr">
        <is>
          <t>Thương lượng</t>
        </is>
      </c>
      <c r="F12116" s="10" t="inlineStr">
        <is>
          <t>Hà Nội</t>
        </is>
      </c>
      <c r="G12116" s="10" t="inlineStr">
        <is>
          <t>Trưởng phòng</t>
        </is>
      </c>
      <c r="H12116" s="10" t="inlineStr">
        <is>
          <t>17/03/2026</t>
        </is>
      </c>
      <c r="I12116" s="10" t="inlineStr">
        <is>
          <t>16/04/2026</t>
        </is>
      </c>
      <c r="J12116" s="10" t="inlineStr">
        <is>
          <t>17/03/2026</t>
        </is>
      </c>
      <c r="K12116" s="10" t="inlineStr">
        <is>
          <t>N/A</t>
        </is>
      </c>
      <c r="L12116" s="10" t="inlineStr">
        <is>
          <t>Effective Communication, MariaDB, Salesforce Certifications, Salesforce Development, Visualforce</t>
        </is>
      </c>
      <c r="M12116" s="10" t="inlineStr">
        <is>
          <t>Others</t>
        </is>
      </c>
      <c r="N12116" s="11">
        <f>HYPERLINK("https://www.vietnamworks.com/manager-salesforce-developer-consulting-2024746-jv","Xem chi tiết")</f>
        <v/>
      </c>
      <c r="O12116" s="10" t="n"/>
    </row>
    <row r="12117">
      <c r="B12117" s="7" t="n">
        <v>12115</v>
      </c>
      <c r="C12117" t="inlineStr">
        <is>
          <t>Nhân Viên Kế Toán Tổng Hợp kiêm Admin</t>
        </is>
      </c>
      <c r="D12117" t="inlineStr">
        <is>
          <t>ASC GROUP</t>
        </is>
      </c>
      <c r="E12117" t="inlineStr">
        <is>
          <t>Thương lượng</t>
        </is>
      </c>
      <c r="F12117" t="inlineStr">
        <is>
          <t>Đà Nẵng</t>
        </is>
      </c>
      <c r="G12117" t="inlineStr">
        <is>
          <t>Nhân viên</t>
        </is>
      </c>
      <c r="H12117" t="inlineStr">
        <is>
          <t>17/03/2026</t>
        </is>
      </c>
      <c r="I12117" t="inlineStr">
        <is>
          <t>16/04/2026</t>
        </is>
      </c>
      <c r="J12117" t="inlineStr">
        <is>
          <t>17/03/2026</t>
        </is>
      </c>
      <c r="K12117" t="inlineStr">
        <is>
          <t>N/A</t>
        </is>
      </c>
      <c r="L12117" t="inlineStr">
        <is>
          <t>Admin, Documentation, Excel, Kế toán, Tài Chính</t>
        </is>
      </c>
      <c r="M12117" t="inlineStr">
        <is>
          <t>Bonus, Healthcare Plan, Training, Others</t>
        </is>
      </c>
      <c r="N12117" s="8">
        <f>HYPERLINK("https://www.vietnamworks.com/nhan-vien-ke-toan-tong-hop-kiem-admin-2024748-jv","Xem chi tiết")</f>
        <v/>
      </c>
    </row>
    <row r="12118">
      <c r="B12118" s="9" t="n">
        <v>12116</v>
      </c>
      <c r="C12118" s="10" t="inlineStr">
        <is>
          <t>General Ledger (GL) Accountant</t>
        </is>
      </c>
      <c r="D12118" s="10" t="inlineStr">
        <is>
          <t>Innovature Consulting Co., Ltd</t>
        </is>
      </c>
      <c r="E12118" s="10" t="inlineStr">
        <is>
          <t>Tới $ 1,500 /tháng</t>
        </is>
      </c>
      <c r="F12118" s="10" t="inlineStr">
        <is>
          <t>Bình Dương</t>
        </is>
      </c>
      <c r="G12118" s="10" t="inlineStr">
        <is>
          <t>Nhân viên</t>
        </is>
      </c>
      <c r="H12118" s="10" t="inlineStr">
        <is>
          <t>17/03/2026</t>
        </is>
      </c>
      <c r="I12118" s="10" t="inlineStr">
        <is>
          <t>16/04/2026</t>
        </is>
      </c>
      <c r="J12118" s="10" t="inlineStr">
        <is>
          <t>17/03/2026</t>
        </is>
      </c>
      <c r="K12118" s="10" t="inlineStr">
        <is>
          <t>N/A</t>
        </is>
      </c>
      <c r="L12118" s="10" t="inlineStr">
        <is>
          <t>English, General Ledgers, ERP Dynamic 365</t>
        </is>
      </c>
      <c r="M12118" s="10" t="inlineStr">
        <is>
          <t>Healthcare Plan, Training, Others</t>
        </is>
      </c>
      <c r="N12118" s="11">
        <f>HYPERLINK("https://www.vietnamworks.com/general-ledger-gl-accountant-2024742-jv","Xem chi tiết")</f>
        <v/>
      </c>
      <c r="O12118" s="10" t="n"/>
    </row>
    <row r="12119">
      <c r="B12119" s="7" t="n">
        <v>12117</v>
      </c>
      <c r="C12119" t="inlineStr">
        <is>
          <t>Senior Operations &amp; Commercial Manager Freight Forwarding</t>
        </is>
      </c>
      <c r="D12119" t="inlineStr">
        <is>
          <t>HECNY SHIPPING VIETNAM COMPANY LIMITED</t>
        </is>
      </c>
      <c r="E12119" t="inlineStr">
        <is>
          <t>Thương lượng</t>
        </is>
      </c>
      <c r="F12119" t="inlineStr">
        <is>
          <t>Hồ Chí Minh</t>
        </is>
      </c>
      <c r="G12119" t="inlineStr">
        <is>
          <t>Trưởng phòng</t>
        </is>
      </c>
      <c r="H12119" t="inlineStr">
        <is>
          <t>17/03/2026</t>
        </is>
      </c>
      <c r="I12119" t="inlineStr">
        <is>
          <t>16/04/2026</t>
        </is>
      </c>
      <c r="J12119" t="inlineStr">
        <is>
          <t>17/03/2026</t>
        </is>
      </c>
      <c r="K12119" t="inlineStr">
        <is>
          <t>N/A</t>
        </is>
      </c>
      <c r="L12119" t="inlineStr">
        <is>
          <t>Freight Forwarding, Ocean Freight, Pricing Strategy, Operational Management, Leadership</t>
        </is>
      </c>
      <c r="M12119" t="inlineStr">
        <is>
          <t>Bonus</t>
        </is>
      </c>
      <c r="N12119" s="8">
        <f>HYPERLINK("https://www.vietnamworks.com/senior-operations-commercial-manager-freight-forwarding-2024752-jv","Xem chi tiết")</f>
        <v/>
      </c>
    </row>
    <row r="12120">
      <c r="B12120" s="9" t="n">
        <v>12118</v>
      </c>
      <c r="C12120" s="10" t="inlineStr">
        <is>
          <t>Sale Leader/ Trưởng Nhóm Kinh Doanh (Thiết Bị Thẩm Mỹ)</t>
        </is>
      </c>
      <c r="D12120" s="10" t="inlineStr">
        <is>
          <t>G&amp;BVINA.,JSC</t>
        </is>
      </c>
      <c r="E12120" s="10" t="inlineStr">
        <is>
          <t>Từ $ 600 /tháng</t>
        </is>
      </c>
      <c r="F12120" s="10" t="inlineStr">
        <is>
          <t>Hà Nội</t>
        </is>
      </c>
      <c r="G12120" s="10" t="inlineStr">
        <is>
          <t>Trưởng phòng</t>
        </is>
      </c>
      <c r="H12120" s="10" t="inlineStr">
        <is>
          <t>17/03/2026</t>
        </is>
      </c>
      <c r="I12120" s="10" t="inlineStr">
        <is>
          <t>16/04/2026</t>
        </is>
      </c>
      <c r="J12120" s="10" t="inlineStr">
        <is>
          <t>17/03/2026</t>
        </is>
      </c>
      <c r="K12120" s="10" t="inlineStr">
        <is>
          <t>N/A</t>
        </is>
      </c>
      <c r="L12120" s="10" t="inlineStr">
        <is>
          <t>Sale Leader, Kinh Doanh, Da Liễu Thẩm Mỹ, Kinh Doanh Thiết Bị Y Tế</t>
        </is>
      </c>
      <c r="M12120" s="10" t="inlineStr">
        <is>
          <t>Bonus, Healthcare Plan, Awards</t>
        </is>
      </c>
      <c r="N12120" s="11">
        <f>HYPERLINK("https://www.vietnamworks.com/sale-leader-truong-nhom-kinh-doanh-thiet-bi-tham-my--2024732-jv","Xem chi tiết")</f>
        <v/>
      </c>
      <c r="O12120" s="10" t="n"/>
    </row>
    <row r="12121">
      <c r="B12121" s="7" t="n">
        <v>12119</v>
      </c>
      <c r="C12121" t="inlineStr">
        <is>
          <t>Construction Manager (CM)</t>
        </is>
      </c>
      <c r="D12121" t="inlineStr">
        <is>
          <t>Tổng Công Ty Cổ Phần Thương Mại Xây Dựng (WTO)</t>
        </is>
      </c>
      <c r="E12121" t="inlineStr">
        <is>
          <t>Thương lượng</t>
        </is>
      </c>
      <c r="F12121" t="inlineStr">
        <is>
          <t>Hà Nội</t>
        </is>
      </c>
      <c r="G12121" t="inlineStr">
        <is>
          <t>Nhân viên</t>
        </is>
      </c>
      <c r="H12121" t="inlineStr">
        <is>
          <t>17/03/2026</t>
        </is>
      </c>
      <c r="I12121" t="inlineStr">
        <is>
          <t>16/04/2026</t>
        </is>
      </c>
      <c r="J12121" t="inlineStr">
        <is>
          <t>17/03/2026</t>
        </is>
      </c>
      <c r="K12121" t="inlineStr">
        <is>
          <t>N/A</t>
        </is>
      </c>
      <c r="L12121" t="inlineStr">
        <is>
          <t>Giao Tiếp Tiếng Anh, Kỹ Thuật Xây Dựng, Lãnh Đạo, Quản Lý Chất Lượng, Quản Lý Dự Án</t>
        </is>
      </c>
      <c r="M12121" t="inlineStr">
        <is>
          <t>Bonus, Healthcare Plan, Others</t>
        </is>
      </c>
      <c r="N12121" s="8">
        <f>HYPERLINK("https://www.vietnamworks.com/construction-manager-cm-2024736-jv","Xem chi tiết")</f>
        <v/>
      </c>
    </row>
    <row r="12122">
      <c r="B12122" s="9" t="n">
        <v>12120</v>
      </c>
      <c r="C12122" s="10" t="inlineStr">
        <is>
          <t>Kỹ Sư HVAC - REVIT (15 Triệu - 20 Triệu/ Tháng) + Thưởng Dự Án</t>
        </is>
      </c>
      <c r="D12122" s="10" t="inlineStr">
        <is>
          <t>CÔNG TY TNHH XUẤT NHẬP KHẨU CƠ ĐIỆN GREEN LINE</t>
        </is>
      </c>
      <c r="E12122" s="10" t="inlineStr">
        <is>
          <t>15tr-20tr ₫/tháng</t>
        </is>
      </c>
      <c r="F12122" s="10" t="inlineStr">
        <is>
          <t>Hồ Chí Minh, Nghệ An</t>
        </is>
      </c>
      <c r="G12122" s="10" t="inlineStr">
        <is>
          <t>Nhân viên</t>
        </is>
      </c>
      <c r="H12122" s="10" t="inlineStr">
        <is>
          <t>17/03/2026</t>
        </is>
      </c>
      <c r="I12122" s="10" t="inlineStr">
        <is>
          <t>16/04/2026</t>
        </is>
      </c>
      <c r="J12122" s="10" t="inlineStr">
        <is>
          <t>17/03/2026</t>
        </is>
      </c>
      <c r="K12122" s="10" t="inlineStr">
        <is>
          <t>N/A</t>
        </is>
      </c>
      <c r="L12122" s="10" t="inlineStr">
        <is>
          <t>Autocad, HVAC, MS Office, Revit, Triển Khai Bản Vẽ</t>
        </is>
      </c>
      <c r="M12122" s="10" t="inlineStr">
        <is>
          <t>Bonus, Healthcare Plan, Vouchers, Others</t>
        </is>
      </c>
      <c r="N12122" s="11">
        <f>HYPERLINK("https://www.vietnamworks.com/ky-su-hvac-revit-15-trieu-20-trieu-thang-thuong-du-an-2024740-jv","Xem chi tiết")</f>
        <v/>
      </c>
      <c r="O12122" s="10" t="n"/>
    </row>
    <row r="12123">
      <c r="B12123" s="7" t="n">
        <v>12121</v>
      </c>
      <c r="C12123" t="inlineStr">
        <is>
          <t>Kỹ Sư Trưởng HVAC - QLDA (Chuyên Hệ Chiller &amp; Dự Án Nhà Máy)</t>
        </is>
      </c>
      <c r="D12123" t="inlineStr">
        <is>
          <t>CÔNG TY TNHH XUẤT NHẬP KHẨU CƠ ĐIỆN GREEN LINE</t>
        </is>
      </c>
      <c r="E12123" t="inlineStr">
        <is>
          <t>Từ 30tr ₫/tháng</t>
        </is>
      </c>
      <c r="F12123" t="inlineStr">
        <is>
          <t>Hồ Chí Minh</t>
        </is>
      </c>
      <c r="G12123" t="inlineStr">
        <is>
          <t>Trưởng phòng</t>
        </is>
      </c>
      <c r="H12123" t="inlineStr">
        <is>
          <t>17/03/2026</t>
        </is>
      </c>
      <c r="I12123" t="inlineStr">
        <is>
          <t>16/04/2026</t>
        </is>
      </c>
      <c r="J12123" t="inlineStr">
        <is>
          <t>17/03/2026</t>
        </is>
      </c>
      <c r="K12123" t="inlineStr">
        <is>
          <t>N/A</t>
        </is>
      </c>
      <c r="L12123" t="inlineStr">
        <is>
          <t>Autocad, HVAC, Dự Án Nhà Máy, Giám Sát Hiện Trường, Revit MEP</t>
        </is>
      </c>
      <c r="M12123" t="inlineStr">
        <is>
          <t>Bonus, Healthcare Plan, Training, Travel Opportunities, Vouchers</t>
        </is>
      </c>
      <c r="N12123" s="8">
        <f>HYPERLINK("https://www.vietnamworks.com/ky-su-truong-hvac-qlda-chuyen-he-chiller-and-du-an-nha-may-2024751-jv","Xem chi tiết")</f>
        <v/>
      </c>
    </row>
    <row r="12124">
      <c r="B12124" s="9" t="n">
        <v>12122</v>
      </c>
      <c r="C12124" s="10" t="inlineStr">
        <is>
          <t>Chuyên Gia Nghiên Cứu Thị Trường - Khối Chiến Lược</t>
        </is>
      </c>
      <c r="D12124" s="10" t="inlineStr">
        <is>
          <t>Ngân Hàng TMCP Đại Chúng Việt Nam</t>
        </is>
      </c>
      <c r="E12124" s="10" t="inlineStr">
        <is>
          <t>Thương lượng</t>
        </is>
      </c>
      <c r="F12124" s="10" t="inlineStr">
        <is>
          <t>Hà Nội</t>
        </is>
      </c>
      <c r="G12124" s="10" t="inlineStr">
        <is>
          <t>Nhân viên</t>
        </is>
      </c>
      <c r="H12124" s="10" t="inlineStr">
        <is>
          <t>17/03/2026</t>
        </is>
      </c>
      <c r="I12124" s="10" t="inlineStr">
        <is>
          <t>16/04/2026</t>
        </is>
      </c>
      <c r="J12124" s="10" t="inlineStr">
        <is>
          <t>17/03/2026</t>
        </is>
      </c>
      <c r="K12124" s="10" t="inlineStr">
        <is>
          <t>N/A</t>
        </is>
      </c>
      <c r="L12124" s="10" t="inlineStr">
        <is>
          <t>Nghiên Cứu Thị Trường, Consumer Insight, phân tích vĩ mô, Data Analysis, Strategic Planning</t>
        </is>
      </c>
      <c r="M12124" s="10" t="inlineStr">
        <is>
          <t>Bonus, Healthcare Plan, Canteen</t>
        </is>
      </c>
      <c r="N12124" s="11">
        <f>HYPERLINK("https://www.vietnamworks.com/chuyen-gia-nghien-cuu-thi-truong-khoi-chien-luoc-2024749-jv","Xem chi tiết")</f>
        <v/>
      </c>
      <c r="O12124" s="10" t="n"/>
    </row>
    <row r="12125">
      <c r="B12125" s="7" t="n">
        <v>12123</v>
      </c>
      <c r="C12125" t="inlineStr">
        <is>
          <t>Kế Toán Trưởng (Doanh Nghiệp Logistic &amp; Thương Mại Thiết Bị Y Tế)</t>
        </is>
      </c>
      <c r="D12125" t="inlineStr">
        <is>
          <t>G&amp;BVINA.,JSC</t>
        </is>
      </c>
      <c r="E12125" t="inlineStr">
        <is>
          <t>Từ $ 1,000 /tháng</t>
        </is>
      </c>
      <c r="F12125" t="inlineStr">
        <is>
          <t>Hà Nội</t>
        </is>
      </c>
      <c r="G12125" t="inlineStr">
        <is>
          <t>Trưởng phòng</t>
        </is>
      </c>
      <c r="H12125" t="inlineStr">
        <is>
          <t>17/03/2026</t>
        </is>
      </c>
      <c r="I12125" t="inlineStr">
        <is>
          <t>16/04/2026</t>
        </is>
      </c>
      <c r="J12125" t="inlineStr">
        <is>
          <t>17/03/2026</t>
        </is>
      </c>
      <c r="K12125" t="inlineStr">
        <is>
          <t>N/A</t>
        </is>
      </c>
      <c r="L12125" t="inlineStr">
        <is>
          <t>Kế Toán Thuế, Kế Toán Trưởng</t>
        </is>
      </c>
      <c r="M12125" t="inlineStr">
        <is>
          <t>Bonus, Healthcare Plan, Awards</t>
        </is>
      </c>
      <c r="N12125" s="8">
        <f>HYPERLINK("https://www.vietnamworks.com/ke-toan-truong-doanh-nghiep-logistic-thuong-mai-thiet-bi-y-te--2024733-jv","Xem chi tiết")</f>
        <v/>
      </c>
    </row>
    <row r="12126">
      <c r="B12126" s="9" t="n">
        <v>12124</v>
      </c>
      <c r="C12126" s="10" t="inlineStr">
        <is>
          <t>Qs Kỹ Sư Khối Lượng Làm Việc Tại Công Trình</t>
        </is>
      </c>
      <c r="D12126" s="10" t="inlineStr">
        <is>
          <t>Công ty CP Xây dựng và Kỹ nghệ Intercontinental</t>
        </is>
      </c>
      <c r="E12126" s="10" t="inlineStr">
        <is>
          <t>Thương lượng</t>
        </is>
      </c>
      <c r="F12126" s="10" t="inlineStr">
        <is>
          <t>Bắc Giang, Bắc Ninh</t>
        </is>
      </c>
      <c r="G12126" s="10" t="inlineStr">
        <is>
          <t>Nhân viên</t>
        </is>
      </c>
      <c r="H12126" s="10" t="inlineStr">
        <is>
          <t>17/03/2026</t>
        </is>
      </c>
      <c r="I12126" s="10" t="inlineStr">
        <is>
          <t>16/04/2026</t>
        </is>
      </c>
      <c r="J12126" s="10" t="inlineStr">
        <is>
          <t>17/03/2026</t>
        </is>
      </c>
      <c r="K12126" s="10" t="inlineStr">
        <is>
          <t>N/A</t>
        </is>
      </c>
      <c r="L12126" s="10" t="inlineStr">
        <is>
          <t>Kinh Tế Xây Dựng, Excel, AutoCAD, Bóc Tách Khối Lượng, Lập Hồ Sơ Thanh Toán</t>
        </is>
      </c>
      <c r="M12126" s="10" t="inlineStr">
        <is>
          <t>Bonus, Healthcare Plan, Training, Awards, Team Activities</t>
        </is>
      </c>
      <c r="N12126" s="11">
        <f>HYPERLINK("https://www.vietnamworks.com/qs-ky-su-khoi-luong-lam-viec-tai-cong-trinh-2024754-jv","Xem chi tiết")</f>
        <v/>
      </c>
      <c r="O12126" s="10" t="n"/>
    </row>
    <row r="12127">
      <c r="B12127" s="7" t="n">
        <v>12125</v>
      </c>
      <c r="C12127" t="inlineStr">
        <is>
          <t>Chuyên Viên Kế Hoạch Tiến Độ</t>
        </is>
      </c>
      <c r="D12127" t="inlineStr">
        <is>
          <t>Công Ty Cổ Phần Tập Đoàn Năng Lượng BIM</t>
        </is>
      </c>
      <c r="E12127" t="inlineStr">
        <is>
          <t>Thương lượng</t>
        </is>
      </c>
      <c r="F12127" t="inlineStr">
        <is>
          <t>Ninh Thuận</t>
        </is>
      </c>
      <c r="G12127" t="inlineStr">
        <is>
          <t>Nhân viên</t>
        </is>
      </c>
      <c r="H12127" t="inlineStr">
        <is>
          <t>17/03/2026</t>
        </is>
      </c>
      <c r="I12127" t="inlineStr">
        <is>
          <t>16/04/2026</t>
        </is>
      </c>
      <c r="J12127" t="inlineStr">
        <is>
          <t>17/03/2026</t>
        </is>
      </c>
      <c r="K12127" t="inlineStr">
        <is>
          <t>N/A</t>
        </is>
      </c>
      <c r="L12127" t="inlineStr">
        <is>
          <t>Quản Lý Dự Án, Kiểm Soát Tiến Độ Thi Công, Kiểm Soát Tiến Độ Dự Án, Kế Hoạch Dự Án, Xây Dựng</t>
        </is>
      </c>
      <c r="M12127" t="inlineStr">
        <is>
          <t>Paid Leave</t>
        </is>
      </c>
      <c r="N12127" s="8">
        <f>HYPERLINK("https://www.vietnamworks.com/chuyen-vien-ke-hoach-tien-do--2024753-jv","Xem chi tiết")</f>
        <v/>
      </c>
    </row>
    <row r="12128">
      <c r="B12128" s="9" t="n">
        <v>12126</v>
      </c>
      <c r="C12128" s="10" t="inlineStr">
        <is>
          <t>Kế Toán Tổng Hợp</t>
        </is>
      </c>
      <c r="D12128" s="10" t="inlineStr">
        <is>
          <t>Công Ty Cổ Phần Đầu Tư Và Phát Triển Nhà VNP</t>
        </is>
      </c>
      <c r="E12128" s="10" t="inlineStr">
        <is>
          <t>22tr-25tr ₫/tháng</t>
        </is>
      </c>
      <c r="F12128" s="10" t="inlineStr">
        <is>
          <t>Hà Nội</t>
        </is>
      </c>
      <c r="G12128" s="10" t="inlineStr">
        <is>
          <t>Nhân viên</t>
        </is>
      </c>
      <c r="H12128" s="10" t="inlineStr">
        <is>
          <t>17/03/2026</t>
        </is>
      </c>
      <c r="I12128" s="10" t="inlineStr">
        <is>
          <t>16/04/2026</t>
        </is>
      </c>
      <c r="J12128" s="10" t="inlineStr">
        <is>
          <t>17/03/2026</t>
        </is>
      </c>
      <c r="K12128" s="10" t="inlineStr">
        <is>
          <t>N/A</t>
        </is>
      </c>
      <c r="L12128" s="10" t="inlineStr">
        <is>
          <t>Kế Toán Tổng Hợp, Tài Chính, Kiểm Toán, Kế Toán, Báo Cáo Tài Chính</t>
        </is>
      </c>
      <c r="M12128" s="10" t="inlineStr">
        <is>
          <t>Bonus, Healthcare Plan, Others</t>
        </is>
      </c>
      <c r="N12128" s="11">
        <f>HYPERLINK("https://www.vietnamworks.com/ke-toan-tong-hop--2024761-jv","Xem chi tiết")</f>
        <v/>
      </c>
      <c r="O12128" s="10" t="n"/>
    </row>
    <row r="12129">
      <c r="B12129" s="7" t="n">
        <v>12127</v>
      </c>
      <c r="C12129" t="inlineStr">
        <is>
          <t>Import Customer Service &amp; Documentation Officer</t>
        </is>
      </c>
      <c r="D12129" t="inlineStr">
        <is>
          <t>HECNY SHIPPING VIETNAM COMPANY LIMITED</t>
        </is>
      </c>
      <c r="E12129" t="inlineStr">
        <is>
          <t>Thương lượng</t>
        </is>
      </c>
      <c r="F12129" t="inlineStr">
        <is>
          <t>Hồ Chí Minh</t>
        </is>
      </c>
      <c r="G12129" t="inlineStr">
        <is>
          <t>Nhân viên</t>
        </is>
      </c>
      <c r="H12129" t="inlineStr">
        <is>
          <t>17/03/2026</t>
        </is>
      </c>
      <c r="I12129" t="inlineStr">
        <is>
          <t>16/04/2026</t>
        </is>
      </c>
      <c r="J12129" t="inlineStr">
        <is>
          <t>17/03/2026</t>
        </is>
      </c>
      <c r="K12129" t="inlineStr">
        <is>
          <t>N/A</t>
        </is>
      </c>
      <c r="L12129" t="inlineStr">
        <is>
          <t>Microsoft Office, Export &amp; Import Documentation, Shipping Procedures, Customer Service, English</t>
        </is>
      </c>
      <c r="M12129" t="inlineStr">
        <is>
          <t>Bonus</t>
        </is>
      </c>
      <c r="N12129" s="8">
        <f>HYPERLINK("https://www.vietnamworks.com/import-customer-service-documentation-officer-2024758-jv","Xem chi tiết")</f>
        <v/>
      </c>
    </row>
    <row r="12130">
      <c r="B12130" s="9" t="n">
        <v>12128</v>
      </c>
      <c r="C12130" s="10" t="inlineStr">
        <is>
          <t>Cử Nhân Luật</t>
        </is>
      </c>
      <c r="D12130" s="10" t="inlineStr">
        <is>
          <t>Tổng Công Ty Đầu Tư Phát Triển Nhà Và Đô Thị</t>
        </is>
      </c>
      <c r="E12130" s="10" t="inlineStr">
        <is>
          <t>30tr-50tr ₫/tháng</t>
        </is>
      </c>
      <c r="F12130" s="10" t="inlineStr">
        <is>
          <t>Hà Nội</t>
        </is>
      </c>
      <c r="G12130" s="10" t="inlineStr">
        <is>
          <t>Nhân viên</t>
        </is>
      </c>
      <c r="H12130" s="10" t="inlineStr">
        <is>
          <t>17/03/2026</t>
        </is>
      </c>
      <c r="I12130" s="10" t="inlineStr">
        <is>
          <t>16/04/2026</t>
        </is>
      </c>
      <c r="J12130" s="10" t="inlineStr">
        <is>
          <t>17/03/2026</t>
        </is>
      </c>
      <c r="K12130" s="10" t="inlineStr">
        <is>
          <t>N/A</t>
        </is>
      </c>
      <c r="L12130" s="10" t="inlineStr">
        <is>
          <t>Cập Nhật Luật, Giao Tiếp Tốt, Kinh Nghiệm Pháp Chế, Soạn Thảo Văn Bản, Tin Học Văn Phòng</t>
        </is>
      </c>
      <c r="M12130" s="10" t="inlineStr">
        <is>
          <t>Bonus, Healthcare Plan, Others</t>
        </is>
      </c>
      <c r="N12130" s="11">
        <f>HYPERLINK("https://www.vietnamworks.com/cu-nhan-luat-2024765-jv","Xem chi tiết")</f>
        <v/>
      </c>
      <c r="O12130" s="10" t="n"/>
    </row>
    <row r="12131">
      <c r="B12131" s="7" t="n">
        <v>12129</v>
      </c>
      <c r="C12131" t="inlineStr">
        <is>
          <t>Pricing Executive</t>
        </is>
      </c>
      <c r="D12131" t="inlineStr">
        <is>
          <t>HECNY SHIPPING VIETNAM COMPANY LIMITED</t>
        </is>
      </c>
      <c r="E12131" t="inlineStr">
        <is>
          <t>Thương lượng</t>
        </is>
      </c>
      <c r="F12131" t="inlineStr">
        <is>
          <t>Hồ Chí Minh</t>
        </is>
      </c>
      <c r="G12131" t="inlineStr">
        <is>
          <t>Nhân viên</t>
        </is>
      </c>
      <c r="H12131" t="inlineStr">
        <is>
          <t>17/03/2026</t>
        </is>
      </c>
      <c r="I12131" t="inlineStr">
        <is>
          <t>16/04/2026</t>
        </is>
      </c>
      <c r="J12131" t="inlineStr">
        <is>
          <t>17/03/2026</t>
        </is>
      </c>
      <c r="K12131" t="inlineStr">
        <is>
          <t>N/A</t>
        </is>
      </c>
      <c r="L12131" t="inlineStr">
        <is>
          <t>English, Pricing Strategy, Procurement, Freight Forwarding, Negotiation Skills</t>
        </is>
      </c>
      <c r="M12131" t="inlineStr">
        <is>
          <t>Bonus</t>
        </is>
      </c>
      <c r="N12131" s="8">
        <f>HYPERLINK("https://www.vietnamworks.com/pricing-executive--2024781-jv","Xem chi tiết")</f>
        <v/>
      </c>
    </row>
    <row r="12132">
      <c r="B12132" s="9" t="n">
        <v>12130</v>
      </c>
      <c r="C12132" s="10" t="inlineStr">
        <is>
          <t xml:space="preserve">Industrial Engineering &amp; Continuous Improvement Manager </t>
        </is>
      </c>
      <c r="D12132" s="10" t="inlineStr">
        <is>
          <t>Thygesen Textile Vietnam</t>
        </is>
      </c>
      <c r="E12132" s="10" t="inlineStr">
        <is>
          <t>$$ 1,500-2,500 /tháng</t>
        </is>
      </c>
      <c r="F12132" s="10" t="inlineStr">
        <is>
          <t>Phú Thọ</t>
        </is>
      </c>
      <c r="G12132" s="10" t="inlineStr">
        <is>
          <t>Trưởng phòng</t>
        </is>
      </c>
      <c r="H12132" s="10" t="inlineStr">
        <is>
          <t>17/03/2026</t>
        </is>
      </c>
      <c r="I12132" s="10" t="inlineStr">
        <is>
          <t>16/04/2026</t>
        </is>
      </c>
      <c r="J12132" s="10" t="inlineStr">
        <is>
          <t>17/03/2026</t>
        </is>
      </c>
      <c r="K12132" s="10" t="inlineStr">
        <is>
          <t>N/A</t>
        </is>
      </c>
      <c r="L12132" s="10" t="inlineStr">
        <is>
          <t>Analytical Thinking, IE, Problem Solving, Team leadership, Training Capabilities</t>
        </is>
      </c>
      <c r="M12132" s="10" t="inlineStr">
        <is>
          <t>Bonus, Healthcare Plan, Training, Laptop, Travel Opportunities, Canteen</t>
        </is>
      </c>
      <c r="N12132" s="11">
        <f>HYPERLINK("https://www.vietnamworks.com/industrial-engineering-and-continuous-improvement-manager-2024764-jv","Xem chi tiết")</f>
        <v/>
      </c>
      <c r="O12132" s="10" t="n"/>
    </row>
    <row r="12133">
      <c r="B12133" s="7" t="n">
        <v>12131</v>
      </c>
      <c r="C12133" t="inlineStr">
        <is>
          <t>Nhân Viên Kinh Doanh Tour Du Lịch Tiếng Anh Giao Tiếp Tốt - Không Có Kinh Nghiệm Sẽ Được Đào Tạo (Thu Nhập Up to 30Tr++)</t>
        </is>
      </c>
      <c r="D12133" t="inlineStr">
        <is>
          <t>CÔNG TY TNHH ALTOUR INDOCHINA</t>
        </is>
      </c>
      <c r="E12133" t="inlineStr">
        <is>
          <t>$$ 500-1,500 /tháng</t>
        </is>
      </c>
      <c r="F12133" t="inlineStr">
        <is>
          <t>Hà Nội</t>
        </is>
      </c>
      <c r="G12133" t="inlineStr">
        <is>
          <t>Nhân viên</t>
        </is>
      </c>
      <c r="H12133" t="inlineStr">
        <is>
          <t>17/03/2026</t>
        </is>
      </c>
      <c r="I12133" t="inlineStr">
        <is>
          <t>16/04/2026</t>
        </is>
      </c>
      <c r="J12133" t="inlineStr">
        <is>
          <t>17/03/2026</t>
        </is>
      </c>
      <c r="K12133" t="inlineStr">
        <is>
          <t>N/A</t>
        </is>
      </c>
      <c r="L12133" t="inlineStr">
        <is>
          <t>Tour Online Sales, Tiếng Anh, Chăm Sóc Khách Hàng, Kinh Doanh Du Lịch, Tour Inbound</t>
        </is>
      </c>
      <c r="M12133" t="inlineStr">
        <is>
          <t>Bonus, Healthcare Plan, Paid Leave</t>
        </is>
      </c>
      <c r="N12133" s="8">
        <f>HYPERLINK("https://www.vietnamworks.com/nhan-vien-kinh-doanh-tour-du-lich-tieng-anh-giao-tiep-tot-khong-co-kinh-nghiem-se-duoc-dao-tao-thu-nhap-up-to-30tr--2024782-jv","Xem chi tiết")</f>
        <v/>
      </c>
    </row>
    <row r="12134">
      <c r="B12134" s="9" t="n">
        <v>12132</v>
      </c>
      <c r="C12134" s="10" t="inlineStr">
        <is>
          <t>Kỹ Sư Dân Dụng Công Nghiệp</t>
        </is>
      </c>
      <c r="D12134" s="10" t="inlineStr">
        <is>
          <t>Công Ty Cổ Phần Tư Vấn Xây Dựng Công Trình Hàng Hải</t>
        </is>
      </c>
      <c r="E12134" s="10" t="inlineStr">
        <is>
          <t>Thương lượng</t>
        </is>
      </c>
      <c r="F12134" s="10" t="inlineStr">
        <is>
          <t>Hà Nội</t>
        </is>
      </c>
      <c r="G12134" s="10" t="inlineStr">
        <is>
          <t>Nhân viên</t>
        </is>
      </c>
      <c r="H12134" s="10" t="inlineStr">
        <is>
          <t>17/03/2026</t>
        </is>
      </c>
      <c r="I12134" s="10" t="inlineStr">
        <is>
          <t>16/04/2026</t>
        </is>
      </c>
      <c r="J12134" s="10" t="inlineStr">
        <is>
          <t>17/03/2026</t>
        </is>
      </c>
      <c r="K12134" s="10" t="inlineStr">
        <is>
          <t>N/A</t>
        </is>
      </c>
      <c r="L12134" s="10" t="inlineStr">
        <is>
          <t>Thiết kế, Auto Cad, Revit, Tekla Structures, Etabs</t>
        </is>
      </c>
      <c r="M12134" s="10" t="inlineStr">
        <is>
          <t>Bonus, Healthcare Plan, Team Activities, Others</t>
        </is>
      </c>
      <c r="N12134" s="11">
        <f>HYPERLINK("https://www.vietnamworks.com/ky-su-dan-dung-cong-nghiep-2024800-jv","Xem chi tiết")</f>
        <v/>
      </c>
      <c r="O12134" s="10" t="n"/>
    </row>
    <row r="12135">
      <c r="B12135" s="7" t="n">
        <v>12133</v>
      </c>
      <c r="C12135" t="inlineStr">
        <is>
          <t>Machine Maintenance Engineer (Kỹ Sư/Kỹ sư cao cấp Phòng Bảo Trì Nhà Xưởng Và Máy Móc)</t>
        </is>
      </c>
      <c r="D12135" t="inlineStr">
        <is>
          <t>Hoya Glass Disk Vietnam</t>
        </is>
      </c>
      <c r="E12135" t="inlineStr">
        <is>
          <t>Thương lượng</t>
        </is>
      </c>
      <c r="F12135" t="inlineStr">
        <is>
          <t>Hà Nội</t>
        </is>
      </c>
      <c r="G12135" t="inlineStr">
        <is>
          <t>Nhân viên</t>
        </is>
      </c>
      <c r="H12135" t="inlineStr">
        <is>
          <t>17/03/2026</t>
        </is>
      </c>
      <c r="I12135" t="inlineStr">
        <is>
          <t>16/04/2026</t>
        </is>
      </c>
      <c r="J12135" t="inlineStr">
        <is>
          <t>17/03/2026</t>
        </is>
      </c>
      <c r="K12135" t="inlineStr">
        <is>
          <t>N/A</t>
        </is>
      </c>
      <c r="L12135" t="inlineStr">
        <is>
          <t>Electrical Systems, Maintenance Engineering, Mechanical System, Predictive Maintenance, Problem-solving</t>
        </is>
      </c>
      <c r="M12135" t="inlineStr">
        <is>
          <t>Bonus, Healthcare Plan, Training, Team Activities, Others</t>
        </is>
      </c>
      <c r="N12135" s="8">
        <f>HYPERLINK("https://www.vietnamworks.com/machine-maintenance-engineer-ky-suky-su-cao-cap-phong-bao-tri-nha-xuong-va-may-moc-2024769-jv","Xem chi tiết")</f>
        <v/>
      </c>
    </row>
    <row r="12136">
      <c r="B12136" s="9" t="n">
        <v>12134</v>
      </c>
      <c r="C12136" s="10" t="inlineStr">
        <is>
          <t>Kế Toán Tổng Hợp</t>
        </is>
      </c>
      <c r="D12136" s="10" t="inlineStr">
        <is>
          <t>Công Ty Cổ Phần Michem Việt Nam</t>
        </is>
      </c>
      <c r="E12136" s="10" t="inlineStr">
        <is>
          <t>Thương lượng</t>
        </is>
      </c>
      <c r="F12136" s="10" t="inlineStr">
        <is>
          <t>Hà Nội</t>
        </is>
      </c>
      <c r="G12136" s="10" t="inlineStr">
        <is>
          <t>Nhân viên</t>
        </is>
      </c>
      <c r="H12136" s="10" t="inlineStr">
        <is>
          <t>17/03/2026</t>
        </is>
      </c>
      <c r="I12136" s="10" t="inlineStr">
        <is>
          <t>16/04/2026</t>
        </is>
      </c>
      <c r="J12136" s="10" t="inlineStr">
        <is>
          <t>17/03/2026</t>
        </is>
      </c>
      <c r="K12136" s="10" t="inlineStr">
        <is>
          <t>N/A</t>
        </is>
      </c>
      <c r="L12136" s="10" t="inlineStr">
        <is>
          <t>Kế Toán, Quản Lý Kế Toán, Dự Toán Ngân Sách, Kế Toán Tổng Hợp, Thuế</t>
        </is>
      </c>
      <c r="M12136" s="10" t="inlineStr">
        <is>
          <t>Bonus, Healthcare Plan, Training</t>
        </is>
      </c>
      <c r="N12136" s="11">
        <f>HYPERLINK("https://www.vietnamworks.com/ke-toan-tong-hop--2024755-jv","Xem chi tiết")</f>
        <v/>
      </c>
      <c r="O12136" s="10" t="n"/>
    </row>
    <row r="12137">
      <c r="B12137" s="7" t="n">
        <v>12135</v>
      </c>
      <c r="C12137" t="inlineStr">
        <is>
          <t>Chuyên Viên Cao Cấp Chiến Lược Kinh Doanh - Văn Phòng Quản Lý Dự Án</t>
        </is>
      </c>
      <c r="D12137" t="inlineStr">
        <is>
          <t>Ngân Hàng TMCP Đại Chúng Việt Nam</t>
        </is>
      </c>
      <c r="E12137" t="inlineStr">
        <is>
          <t>Thương lượng</t>
        </is>
      </c>
      <c r="F12137" t="inlineStr">
        <is>
          <t>Hà Nội</t>
        </is>
      </c>
      <c r="G12137" t="inlineStr">
        <is>
          <t>Nhân viên</t>
        </is>
      </c>
      <c r="H12137" t="inlineStr">
        <is>
          <t>17/03/2026</t>
        </is>
      </c>
      <c r="I12137" t="inlineStr">
        <is>
          <t>16/04/2026</t>
        </is>
      </c>
      <c r="J12137" t="inlineStr">
        <is>
          <t>17/03/2026</t>
        </is>
      </c>
      <c r="K12137" t="inlineStr">
        <is>
          <t>N/A</t>
        </is>
      </c>
      <c r="L12137" t="inlineStr">
        <is>
          <t>Phân Tích Chiến Lược Kinh Doanh, Phân Tích Kinh Doanh, Phân Tích Kinh Tế, Chiến Lược Đầu Tư, Hoạch Định Chiến Lược</t>
        </is>
      </c>
      <c r="M12137" t="inlineStr">
        <is>
          <t>Bonus, Healthcare Plan, Canteen</t>
        </is>
      </c>
      <c r="N12137" s="8">
        <f>HYPERLINK("https://www.vietnamworks.com/chuyen-vien-cao-cap-chien-luoc-kinh-doanh-van-phong-quan-ly-du-an--2024756-jv","Xem chi tiết")</f>
        <v/>
      </c>
    </row>
    <row r="12138">
      <c r="B12138" s="9" t="n">
        <v>12136</v>
      </c>
      <c r="C12138" s="10" t="inlineStr">
        <is>
          <t>Trưởng Bộ Phận Kiểm Toán Nội Bộ/ Kiểm Toán Viên</t>
        </is>
      </c>
      <c r="D12138" s="10" t="inlineStr">
        <is>
          <t>Công Ty Cổ Phần Quản Lý Quỹ Đầu Tư MB (MBCapital)</t>
        </is>
      </c>
      <c r="E12138" s="10" t="inlineStr">
        <is>
          <t>Thương lượng</t>
        </is>
      </c>
      <c r="F12138" s="10" t="inlineStr">
        <is>
          <t>Hà Nội</t>
        </is>
      </c>
      <c r="G12138" s="10" t="inlineStr">
        <is>
          <t>Giám Đốc và Cấp Cao Hơn</t>
        </is>
      </c>
      <c r="H12138" s="10" t="inlineStr">
        <is>
          <t>17/03/2026</t>
        </is>
      </c>
      <c r="I12138" s="10" t="inlineStr">
        <is>
          <t>16/04/2026</t>
        </is>
      </c>
      <c r="J12138" s="10" t="inlineStr">
        <is>
          <t>17/03/2026</t>
        </is>
      </c>
      <c r="K12138" s="10" t="inlineStr">
        <is>
          <t>N/A</t>
        </is>
      </c>
      <c r="L12138" s="10" t="inlineStr">
        <is>
          <t>Quản Lý Tài Chính, Kiểm Toán Nội Bộ, Quản Trị Rủi Ro, Kế Toán, Giao Tiếp</t>
        </is>
      </c>
      <c r="M12138" s="10" t="inlineStr">
        <is>
          <t>Bonus, Healthcare Plan, Paid Leave</t>
        </is>
      </c>
      <c r="N12138" s="11">
        <f>HYPERLINK("https://www.vietnamworks.com/truong-bo-phan-kiem-toan-noi-bo-kiem-toan-vien-2024763-jv","Xem chi tiết")</f>
        <v/>
      </c>
      <c r="O12138" s="10" t="n"/>
    </row>
    <row r="12139">
      <c r="B12139" s="7" t="n">
        <v>12137</v>
      </c>
      <c r="C12139" t="inlineStr">
        <is>
          <t>Chuyên Viên Mua Hàng Nước Ngoài (Tiếng Trung Hoặc Tiếng Anh)</t>
        </is>
      </c>
      <c r="D12139" t="inlineStr">
        <is>
          <t>Công ty Cổ phần Tập đoàn Nagakawa</t>
        </is>
      </c>
      <c r="E12139" t="inlineStr">
        <is>
          <t>Thương lượng</t>
        </is>
      </c>
      <c r="F12139" t="inlineStr">
        <is>
          <t>Hà Nội</t>
        </is>
      </c>
      <c r="G12139" t="inlineStr">
        <is>
          <t>Nhân viên</t>
        </is>
      </c>
      <c r="H12139" t="inlineStr">
        <is>
          <t>17/03/2026</t>
        </is>
      </c>
      <c r="I12139" t="inlineStr">
        <is>
          <t>16/04/2026</t>
        </is>
      </c>
      <c r="J12139" t="inlineStr">
        <is>
          <t>17/03/2026</t>
        </is>
      </c>
      <c r="K12139" t="inlineStr">
        <is>
          <t>N/A</t>
        </is>
      </c>
      <c r="L12139" t="inlineStr">
        <is>
          <t>Hardware Purchasing, Mua Hàng Nước Ngoài, Mua Hàng Phụ Kiện, Mua Hàng Điện Tử, Mua Hàng Nhập Khẩu</t>
        </is>
      </c>
      <c r="M12139" t="inlineStr">
        <is>
          <t>Healthcare Plan, Travel Opportunities, Others</t>
        </is>
      </c>
      <c r="N12139" s="8">
        <f>HYPERLINK("https://www.vietnamworks.com/chuyen-vien-mua-hang-nuoc-ngoai-tieng-trung-hoac-tieng-anh-2024762-jv","Xem chi tiết")</f>
        <v/>
      </c>
    </row>
    <row r="12140">
      <c r="B12140" s="9" t="n">
        <v>12138</v>
      </c>
      <c r="C12140" s="10" t="inlineStr">
        <is>
          <t>Kỹ Sư Bán Hàng/ Nhân Viên Kinh Doanh Thiết Bị Vật Tư Tiêu Hao Phòng Thí Nghiệm</t>
        </is>
      </c>
      <c r="D12140" s="10" t="inlineStr">
        <is>
          <t>Công Ty TNHH Thiết Bị 2H</t>
        </is>
      </c>
      <c r="E12140" s="10" t="inlineStr">
        <is>
          <t>Thương lượng</t>
        </is>
      </c>
      <c r="F12140" s="10" t="inlineStr">
        <is>
          <t>Hà Nội, Hồ Chí Minh</t>
        </is>
      </c>
      <c r="G12140" s="10" t="inlineStr">
        <is>
          <t>Nhân viên</t>
        </is>
      </c>
      <c r="H12140" s="10" t="inlineStr">
        <is>
          <t>17/03/2026</t>
        </is>
      </c>
      <c r="I12140" s="10" t="inlineStr">
        <is>
          <t>16/04/2026</t>
        </is>
      </c>
      <c r="J12140" s="10" t="inlineStr">
        <is>
          <t>17/03/2026</t>
        </is>
      </c>
      <c r="K12140" s="10" t="inlineStr">
        <is>
          <t>N/A</t>
        </is>
      </c>
      <c r="L12140" s="10" t="inlineStr">
        <is>
          <t>Kỹ Thuật Hóa, Kỹ Thuật Vi Sinh, Kỹ Thuật Hóa Dược, Kỹ Thuật Môi Trường, Kinh Doanh Thiết Bị Máy Móc</t>
        </is>
      </c>
      <c r="M12140" s="10" t="inlineStr">
        <is>
          <t>Bonus, Healthcare Plan, Others</t>
        </is>
      </c>
      <c r="N12140" s="11">
        <f>HYPERLINK("https://www.vietnamworks.com/ky-su-ban-hang-nhan-vien-kinh-doanh-thiet-bi-vat-tu-tieu-hao-phong-thi-nghiem-2024791-jv","Xem chi tiết")</f>
        <v/>
      </c>
      <c r="O12140" s="10" t="n"/>
    </row>
    <row r="12141">
      <c r="B12141" s="7" t="n">
        <v>12139</v>
      </c>
      <c r="C12141" t="inlineStr">
        <is>
          <t>Nhân Viên KOCCA Việt Nam (한국콘텐츠진흥원 베트남 비즈니스센터 현지직원)</t>
        </is>
      </c>
      <c r="D12141" t="inlineStr">
        <is>
          <t>KOCCA Việt Nam</t>
        </is>
      </c>
      <c r="E12141" t="inlineStr">
        <is>
          <t>Thương lượng</t>
        </is>
      </c>
      <c r="F12141" t="inlineStr">
        <is>
          <t>Hà Nội</t>
        </is>
      </c>
      <c r="G12141" t="inlineStr">
        <is>
          <t>Mới Tốt Nghiệp</t>
        </is>
      </c>
      <c r="H12141" t="inlineStr">
        <is>
          <t>17/03/2026</t>
        </is>
      </c>
      <c r="I12141" t="inlineStr">
        <is>
          <t>16/04/2026</t>
        </is>
      </c>
      <c r="J12141" t="inlineStr">
        <is>
          <t>17/03/2026</t>
        </is>
      </c>
      <c r="K12141" t="inlineStr">
        <is>
          <t>N/A</t>
        </is>
      </c>
      <c r="L12141" t="inlineStr">
        <is>
          <t>Korean Language, Vietnamese fluency, English Language Proficiency, Communication Skills, Vận Hành Dự Án</t>
        </is>
      </c>
      <c r="M12141" t="inlineStr">
        <is>
          <t>Paid Leave, Others</t>
        </is>
      </c>
      <c r="N12141" s="8">
        <f>HYPERLINK("https://www.vietnamworks.com/nhan-vien-kocca-viet-nam-2024768-jv","Xem chi tiết")</f>
        <v/>
      </c>
    </row>
    <row r="12142">
      <c r="B12142" s="9" t="n">
        <v>12140</v>
      </c>
      <c r="C12142" s="10" t="inlineStr">
        <is>
          <t>Nhân Viên Thiết Kế Hệ Thống Điều Hòa - HVAC</t>
        </is>
      </c>
      <c r="D12142" s="10" t="inlineStr">
        <is>
          <t>Công ty Cổ phần Tập đoàn Nagakawa</t>
        </is>
      </c>
      <c r="E12142" s="10" t="inlineStr">
        <is>
          <t>$$ 500-800 /tháng</t>
        </is>
      </c>
      <c r="F12142" s="10" t="inlineStr">
        <is>
          <t>Hà Nội</t>
        </is>
      </c>
      <c r="G12142" s="10" t="inlineStr">
        <is>
          <t>Nhân viên</t>
        </is>
      </c>
      <c r="H12142" s="10" t="inlineStr">
        <is>
          <t>17/03/2026</t>
        </is>
      </c>
      <c r="I12142" s="10" t="inlineStr">
        <is>
          <t>16/04/2026</t>
        </is>
      </c>
      <c r="J12142" s="10" t="inlineStr">
        <is>
          <t>17/03/2026</t>
        </is>
      </c>
      <c r="K12142" s="10" t="inlineStr">
        <is>
          <t>N/A</t>
        </is>
      </c>
      <c r="L12142" s="10" t="inlineStr">
        <is>
          <t>Thiết Kế Hệ Thống HVAC, HVAC, HVAC Design, Thiết Kế Điều Hòa Thông Gió, Hệ Thống Điều Hòa Không Khí</t>
        </is>
      </c>
      <c r="M12142" s="10" t="inlineStr">
        <is>
          <t>Healthcare Plan, Travel Opportunities, Others</t>
        </is>
      </c>
      <c r="N12142" s="11">
        <f>HYPERLINK("https://www.vietnamworks.com/nhan-vien-thiet-ke-he-thong-dieu-hoa-hvac--2024759-jv","Xem chi tiết")</f>
        <v/>
      </c>
      <c r="O12142" s="10" t="n"/>
    </row>
    <row r="12143">
      <c r="B12143" s="7" t="n">
        <v>12141</v>
      </c>
      <c r="C12143" t="inlineStr">
        <is>
          <t>Strategic Planning Expert</t>
        </is>
      </c>
      <c r="D12143" t="inlineStr">
        <is>
          <t>Công Ty Cổ Phần Vàng Bạc Đá Quý Phú Nhuận (PNJ)</t>
        </is>
      </c>
      <c r="E12143" t="inlineStr">
        <is>
          <t>Thương lượng</t>
        </is>
      </c>
      <c r="F12143" t="inlineStr">
        <is>
          <t>Hồ Chí Minh</t>
        </is>
      </c>
      <c r="G12143" t="inlineStr">
        <is>
          <t>Trưởng phòng</t>
        </is>
      </c>
      <c r="H12143" t="inlineStr">
        <is>
          <t>17/03/2026</t>
        </is>
      </c>
      <c r="I12143" t="inlineStr">
        <is>
          <t>16/04/2026</t>
        </is>
      </c>
      <c r="J12143" t="inlineStr">
        <is>
          <t>17/03/2026</t>
        </is>
      </c>
      <c r="K12143" t="inlineStr">
        <is>
          <t>N/A</t>
        </is>
      </c>
      <c r="L12143" t="inlineStr">
        <is>
          <t>Performance Management, Business Strategic Planning, KPI Management, KPI Planning, Reporting</t>
        </is>
      </c>
      <c r="M12143" t="inlineStr">
        <is>
          <t>Bonus, Healthcare Plan, Paid Leave</t>
        </is>
      </c>
      <c r="N12143" s="8">
        <f>HYPERLINK("https://www.vietnamworks.com/strategic-planning-expert-2024789-jv","Xem chi tiết")</f>
        <v/>
      </c>
    </row>
    <row r="12144">
      <c r="B12144" s="9" t="n">
        <v>12142</v>
      </c>
      <c r="C12144" s="10" t="inlineStr">
        <is>
          <t>Chuyên Viên Kinh Doanh Ngành Hàng Điện Lạnh - Kênh GT</t>
        </is>
      </c>
      <c r="D12144" s="10" t="inlineStr">
        <is>
          <t>Công ty Cổ phần Tập đoàn Nagakawa</t>
        </is>
      </c>
      <c r="E12144" s="10" t="inlineStr">
        <is>
          <t>$$ 1,000-2,000 /tháng</t>
        </is>
      </c>
      <c r="F12144" s="10" t="inlineStr">
        <is>
          <t>Hà Nội</t>
        </is>
      </c>
      <c r="G12144" s="10" t="inlineStr">
        <is>
          <t>Nhân viên</t>
        </is>
      </c>
      <c r="H12144" s="10" t="inlineStr">
        <is>
          <t>17/03/2026</t>
        </is>
      </c>
      <c r="I12144" s="10" t="inlineStr">
        <is>
          <t>16/04/2026</t>
        </is>
      </c>
      <c r="J12144" s="10" t="inlineStr">
        <is>
          <t>17/03/2026</t>
        </is>
      </c>
      <c r="K12144" s="10" t="inlineStr">
        <is>
          <t>N/A</t>
        </is>
      </c>
      <c r="L12144" s="10" t="inlineStr">
        <is>
          <t>Kinh Doanh, Kênh Gt, Điện Lạnh, Bán Hàng Phân Phối, Kinh Nghiệm Làm Việc Với Kênh Đại Lý</t>
        </is>
      </c>
      <c r="M12144" s="10" t="inlineStr">
        <is>
          <t>Healthcare Plan, Travel Opportunities, Others</t>
        </is>
      </c>
      <c r="N12144" s="11">
        <f>HYPERLINK("https://www.vietnamworks.com/chuyen-vien-kinh-doanh-nganh-hang-dien-lanh-kenh-gt-2024770-jv","Xem chi tiết")</f>
        <v/>
      </c>
      <c r="O12144" s="10" t="n"/>
    </row>
    <row r="12145">
      <c r="B12145" s="7" t="n">
        <v>12143</v>
      </c>
      <c r="C12145" t="inlineStr">
        <is>
          <t>Operation Planning Specialist</t>
        </is>
      </c>
      <c r="D12145" t="inlineStr">
        <is>
          <t>Công Ty Bảo Hiểm Nhân Thọ Cathay</t>
        </is>
      </c>
      <c r="E12145" t="inlineStr">
        <is>
          <t>Thương lượng</t>
        </is>
      </c>
      <c r="F12145" t="inlineStr">
        <is>
          <t>Hồ Chí Minh</t>
        </is>
      </c>
      <c r="G12145" t="inlineStr">
        <is>
          <t>Nhân viên</t>
        </is>
      </c>
      <c r="H12145" t="inlineStr">
        <is>
          <t>17/03/2026</t>
        </is>
      </c>
      <c r="I12145" t="inlineStr">
        <is>
          <t>16/04/2026</t>
        </is>
      </c>
      <c r="J12145" t="inlineStr">
        <is>
          <t>17/03/2026</t>
        </is>
      </c>
      <c r="K12145" t="inlineStr">
        <is>
          <t>N/A</t>
        </is>
      </c>
      <c r="L12145" t="inlineStr">
        <is>
          <t>Operation, Life Insurance, Life Insurance Operation</t>
        </is>
      </c>
      <c r="M12145" t="inlineStr">
        <is>
          <t>Bonus, Healthcare Plan, Training</t>
        </is>
      </c>
      <c r="N12145" s="8">
        <f>HYPERLINK("https://www.vietnamworks.com/operation-planning-specialist--2024767-jv","Xem chi tiết")</f>
        <v/>
      </c>
    </row>
    <row r="12146">
      <c r="B12146" s="9" t="n">
        <v>12144</v>
      </c>
      <c r="C12146" s="10" t="inlineStr">
        <is>
          <t>Kế Toán Thuế</t>
        </is>
      </c>
      <c r="D12146" s="10" t="inlineStr">
        <is>
          <t>CÔNG TY CỔ PHẦN MEN UNIVERSE</t>
        </is>
      </c>
      <c r="E12146" s="10" t="inlineStr">
        <is>
          <t>9tr-13tr ₫/tháng</t>
        </is>
      </c>
      <c r="F12146" s="10" t="inlineStr">
        <is>
          <t>Hà Nội</t>
        </is>
      </c>
      <c r="G12146" s="10" t="inlineStr">
        <is>
          <t>Mới Tốt Nghiệp</t>
        </is>
      </c>
      <c r="H12146" s="10" t="inlineStr">
        <is>
          <t>17/03/2026</t>
        </is>
      </c>
      <c r="I12146" s="10" t="inlineStr">
        <is>
          <t>16/04/2026</t>
        </is>
      </c>
      <c r="J12146" s="10" t="inlineStr">
        <is>
          <t>17/03/2026</t>
        </is>
      </c>
      <c r="K12146" s="10" t="inlineStr">
        <is>
          <t>N/A</t>
        </is>
      </c>
      <c r="L12146" s="10" t="inlineStr">
        <is>
          <t>Báo Cáo Thuế, Google Sheets, Hạch Toán, Luật Thuế, Phần Mềm Kế Toán</t>
        </is>
      </c>
      <c r="M12146" s="10" t="inlineStr">
        <is>
          <t>Bonus, Healthcare Plan, Paid Leave, Team Activities</t>
        </is>
      </c>
      <c r="N12146" s="11">
        <f>HYPERLINK("https://www.vietnamworks.com/ke-toan-thue-2024844-jv","Xem chi tiết")</f>
        <v/>
      </c>
      <c r="O12146" s="10" t="n"/>
    </row>
    <row r="12147">
      <c r="B12147" s="7" t="n">
        <v>12145</v>
      </c>
      <c r="C12147" t="inlineStr">
        <is>
          <t>Junior Legal - Ho Chi Minh</t>
        </is>
      </c>
      <c r="D12147" t="inlineStr">
        <is>
          <t>CÔNG TY TNHH KẾ TOÁN VÀ THUẾ VIA</t>
        </is>
      </c>
      <c r="E12147" t="inlineStr">
        <is>
          <t>Thương lượng</t>
        </is>
      </c>
      <c r="F12147" t="inlineStr">
        <is>
          <t>Hồ Chí Minh</t>
        </is>
      </c>
      <c r="G12147" t="inlineStr">
        <is>
          <t>Nhân viên</t>
        </is>
      </c>
      <c r="H12147" t="inlineStr">
        <is>
          <t>17/03/2026</t>
        </is>
      </c>
      <c r="I12147" t="inlineStr">
        <is>
          <t>16/04/2026</t>
        </is>
      </c>
      <c r="J12147" t="inlineStr">
        <is>
          <t>17/03/2026</t>
        </is>
      </c>
      <c r="K12147" t="inlineStr">
        <is>
          <t>N/A</t>
        </is>
      </c>
      <c r="L12147" t="inlineStr">
        <is>
          <t>Experience In Legal Field, Business English, Tact and discretion, Legal Service, Work Permit</t>
        </is>
      </c>
      <c r="M12147" t="inlineStr">
        <is>
          <t>Bonus, Healthcare Plan, Paid Leave, Training, Team Activities</t>
        </is>
      </c>
      <c r="N12147" s="8">
        <f>HYPERLINK("https://www.vietnamworks.com/junior-legal-ho-chi-minh-2024843-jv","Xem chi tiết")</f>
        <v/>
      </c>
    </row>
    <row r="12148">
      <c r="B12148" s="9" t="n">
        <v>12146</v>
      </c>
      <c r="C12148" s="10" t="inlineStr">
        <is>
          <t>Sales Admin</t>
        </is>
      </c>
      <c r="D12148" s="10" t="inlineStr">
        <is>
          <t>CÔNG TY TNHH TEXON SEMICONDUCTOR TECHNOLOGIES</t>
        </is>
      </c>
      <c r="E12148" s="10" t="inlineStr">
        <is>
          <t>9tr-20tr ₫/tháng</t>
        </is>
      </c>
      <c r="F12148" s="10" t="inlineStr">
        <is>
          <t>Bắc Ninh</t>
        </is>
      </c>
      <c r="G12148" s="10" t="inlineStr">
        <is>
          <t>Nhân viên</t>
        </is>
      </c>
      <c r="H12148" s="10" t="inlineStr">
        <is>
          <t>17/03/2026</t>
        </is>
      </c>
      <c r="I12148" s="10" t="inlineStr">
        <is>
          <t>16/04/2026</t>
        </is>
      </c>
      <c r="J12148" s="10" t="inlineStr">
        <is>
          <t>17/03/2026</t>
        </is>
      </c>
      <c r="K12148" s="10" t="inlineStr">
        <is>
          <t>N/A</t>
        </is>
      </c>
      <c r="L12148" s="10" t="inlineStr">
        <is>
          <t>Customer Support, English, Making Quotation, Sales Admin, Customer Handling</t>
        </is>
      </c>
      <c r="M12148" s="10" t="inlineStr">
        <is>
          <t>Training, Travel Opportunities, Team Activities, Transportation, Canteen, Others</t>
        </is>
      </c>
      <c r="N12148" s="11">
        <f>HYPERLINK("https://www.vietnamworks.com/sales-admin-2024831-jv","Xem chi tiết")</f>
        <v/>
      </c>
      <c r="O12148" s="10" t="n"/>
    </row>
    <row r="12149">
      <c r="B12149" s="7" t="n">
        <v>12147</v>
      </c>
      <c r="C12149" t="inlineStr">
        <is>
          <t>Accouting Staff / Kế Toán Viên (04 Người)</t>
        </is>
      </c>
      <c r="D12149" t="inlineStr">
        <is>
          <t>Công Ty TNHH Nobland Viet Nam</t>
        </is>
      </c>
      <c r="E12149" t="inlineStr">
        <is>
          <t>Thương lượng</t>
        </is>
      </c>
      <c r="F12149" t="inlineStr">
        <is>
          <t>Hồ Chí Minh</t>
        </is>
      </c>
      <c r="G12149" t="inlineStr">
        <is>
          <t>Nhân viên</t>
        </is>
      </c>
      <c r="H12149" t="inlineStr">
        <is>
          <t>17/03/2026</t>
        </is>
      </c>
      <c r="I12149" t="inlineStr">
        <is>
          <t>16/04/2026</t>
        </is>
      </c>
      <c r="J12149" t="inlineStr">
        <is>
          <t>17/03/2026</t>
        </is>
      </c>
      <c r="K12149" t="inlineStr">
        <is>
          <t>N/A</t>
        </is>
      </c>
      <c r="L12149" t="inlineStr">
        <is>
          <t>Giao Tiếp Tiếng Anh, Hạch Toán, Đối Chiếu Công Nợ, Kế toán, Odoo system</t>
        </is>
      </c>
      <c r="M12149" t="inlineStr">
        <is>
          <t>Bonus, Healthcare Plan, Others</t>
        </is>
      </c>
      <c r="N12149" s="8">
        <f>HYPERLINK("https://www.vietnamworks.com/accouting-staff-ke-toan-vien-04-nguoi-2024822-jv","Xem chi tiết")</f>
        <v/>
      </c>
    </row>
    <row r="12150">
      <c r="B12150" s="9" t="n">
        <v>12148</v>
      </c>
      <c r="C12150" s="10" t="inlineStr">
        <is>
          <t>Purchasing Manager</t>
        </is>
      </c>
      <c r="D12150" s="10" t="inlineStr">
        <is>
          <t>Sonova Operations Center Vietnam</t>
        </is>
      </c>
      <c r="E12150" s="10" t="inlineStr">
        <is>
          <t>Thương lượng</t>
        </is>
      </c>
      <c r="F12150" s="10" t="inlineStr">
        <is>
          <t>Bình Dương</t>
        </is>
      </c>
      <c r="G12150" s="10" t="inlineStr">
        <is>
          <t>Trưởng phòng</t>
        </is>
      </c>
      <c r="H12150" s="10" t="inlineStr">
        <is>
          <t>17/03/2026</t>
        </is>
      </c>
      <c r="I12150" s="10" t="inlineStr">
        <is>
          <t>16/04/2026</t>
        </is>
      </c>
      <c r="J12150" s="10" t="inlineStr">
        <is>
          <t>17/03/2026</t>
        </is>
      </c>
      <c r="K12150" s="10" t="inlineStr">
        <is>
          <t>N/A</t>
        </is>
      </c>
      <c r="L12150" s="10" t="inlineStr">
        <is>
          <t>Purchasing, Indirect Purchasing, Electronic, manufacturing, Procurement</t>
        </is>
      </c>
      <c r="M12150" s="10" t="inlineStr">
        <is>
          <t>Transportation, Others</t>
        </is>
      </c>
      <c r="N12150" s="11">
        <f>HYPERLINK("https://www.vietnamworks.com/purchasing-manager--2024819-jv","Xem chi tiết")</f>
        <v/>
      </c>
      <c r="O12150" s="10" t="n"/>
    </row>
    <row r="12151">
      <c r="B12151" s="7" t="n">
        <v>12149</v>
      </c>
      <c r="C12151" t="inlineStr">
        <is>
          <t>Sales Executive (Food Ingredients and Food Additives) | Nhân Viên Kinh Doanh</t>
        </is>
      </c>
      <c r="D12151" t="inlineStr">
        <is>
          <t>Công ty TNHH SMARC</t>
        </is>
      </c>
      <c r="E12151" t="inlineStr">
        <is>
          <t>Thương lượng</t>
        </is>
      </c>
      <c r="F12151" t="inlineStr">
        <is>
          <t>Hà Nội</t>
        </is>
      </c>
      <c r="G12151" t="inlineStr">
        <is>
          <t>Nhân viên</t>
        </is>
      </c>
      <c r="H12151" t="inlineStr">
        <is>
          <t>17/03/2026</t>
        </is>
      </c>
      <c r="I12151" t="inlineStr">
        <is>
          <t>16/04/2026</t>
        </is>
      </c>
      <c r="J12151" t="inlineStr">
        <is>
          <t>17/03/2026</t>
        </is>
      </c>
      <c r="K12151" t="inlineStr">
        <is>
          <t>N/A</t>
        </is>
      </c>
      <c r="L12151" t="inlineStr">
        <is>
          <t>Bán Hàng, Ngành Thực Phẩm và Đồ Uống, Sale, Food</t>
        </is>
      </c>
      <c r="M12151" t="inlineStr">
        <is>
          <t>Bonus, Healthcare Plan, Travel Opportunities</t>
        </is>
      </c>
      <c r="N12151" s="8">
        <f>HYPERLINK("https://www.vietnamworks.com/sales-executive-food-ingredients-and-food-additives-nhan-vien-kinh-doanh-2024817-jv","Xem chi tiết")</f>
        <v/>
      </c>
    </row>
    <row r="12152">
      <c r="B12152" s="9" t="n">
        <v>12150</v>
      </c>
      <c r="C12152" s="10" t="inlineStr">
        <is>
          <t>Nhân Viên Tiếng Nhật</t>
        </is>
      </c>
      <c r="D12152" s="10" t="inlineStr">
        <is>
          <t>Brother Industries (Vietnam) Ltd.</t>
        </is>
      </c>
      <c r="E12152" s="10" t="inlineStr">
        <is>
          <t>Thương lượng</t>
        </is>
      </c>
      <c r="F12152" s="10" t="inlineStr">
        <is>
          <t>Hải Phòng</t>
        </is>
      </c>
      <c r="G12152" s="10" t="inlineStr">
        <is>
          <t>Nhân viên</t>
        </is>
      </c>
      <c r="H12152" s="10" t="inlineStr">
        <is>
          <t>17/03/2026</t>
        </is>
      </c>
      <c r="I12152" s="10" t="inlineStr">
        <is>
          <t>16/04/2026</t>
        </is>
      </c>
      <c r="J12152" s="10" t="inlineStr">
        <is>
          <t>17/03/2026</t>
        </is>
      </c>
      <c r="K12152" s="10" t="inlineStr">
        <is>
          <t>N/A</t>
        </is>
      </c>
      <c r="L12152" s="10" t="inlineStr">
        <is>
          <t>Tiếng Nhật, Tiếng Nhật N3, Luật, Admin, Hành Chính</t>
        </is>
      </c>
      <c r="M12152" s="10" t="inlineStr">
        <is>
          <t>Travel Opportunities, Team Activities, Transportation</t>
        </is>
      </c>
      <c r="N12152" s="11">
        <f>HYPERLINK("https://www.vietnamworks.com/nhan-vien-tieng-nhat--2024824-jv","Xem chi tiết")</f>
        <v/>
      </c>
      <c r="O12152" s="10" t="n"/>
    </row>
    <row r="12153">
      <c r="B12153" s="7" t="n">
        <v>12151</v>
      </c>
      <c r="C12153" t="inlineStr">
        <is>
          <t>Packaging &amp; MRO SME, Indirect Sourcing</t>
        </is>
      </c>
      <c r="D12153" t="inlineStr">
        <is>
          <t>Molex Vietnam Co., Ltd.</t>
        </is>
      </c>
      <c r="E12153" t="inlineStr">
        <is>
          <t>Thương lượng</t>
        </is>
      </c>
      <c r="F12153" t="inlineStr">
        <is>
          <t>Hưng Yên, Hà Nội</t>
        </is>
      </c>
      <c r="G12153" t="inlineStr">
        <is>
          <t>Nhân viên</t>
        </is>
      </c>
      <c r="H12153" t="inlineStr">
        <is>
          <t>17/03/2026</t>
        </is>
      </c>
      <c r="I12153" t="inlineStr">
        <is>
          <t>16/04/2026</t>
        </is>
      </c>
      <c r="J12153" t="inlineStr">
        <is>
          <t>17/03/2026</t>
        </is>
      </c>
      <c r="K12153" t="inlineStr">
        <is>
          <t>N/A</t>
        </is>
      </c>
      <c r="L12153" t="inlineStr">
        <is>
          <t>Analytical Skills, Bilingual Proficiency, Familiar with Procurement Process, Fiber Optic Cable, Team Management</t>
        </is>
      </c>
      <c r="M12153" t="inlineStr">
        <is>
          <t>Bonus, Healthcare Plan, Paid Leave, Training, Team Activities, Transportation, Others</t>
        </is>
      </c>
      <c r="N12153" s="8">
        <f>HYPERLINK("https://www.vietnamworks.com/packaging-and-mro-sme-indirect-sourcing-2024809-jv","Xem chi tiết")</f>
        <v/>
      </c>
    </row>
    <row r="12154">
      <c r="B12154" s="9" t="n">
        <v>12152</v>
      </c>
      <c r="C12154" s="10" t="inlineStr">
        <is>
          <t>Senior Graphic Designer - Mức Lương: 20-25Tr (Nữ)</t>
        </is>
      </c>
      <c r="D12154" s="10" t="inlineStr">
        <is>
          <t>Công Ty TNHH Eikodo Việt Nam</t>
        </is>
      </c>
      <c r="E12154" s="10" t="inlineStr">
        <is>
          <t>20tr-25tr ₫/tháng</t>
        </is>
      </c>
      <c r="F12154" s="10" t="inlineStr">
        <is>
          <t>Hà Nội</t>
        </is>
      </c>
      <c r="G12154" s="10" t="inlineStr">
        <is>
          <t>Nhân viên</t>
        </is>
      </c>
      <c r="H12154" s="10" t="inlineStr">
        <is>
          <t>17/03/2026</t>
        </is>
      </c>
      <c r="I12154" s="10" t="inlineStr">
        <is>
          <t>16/04/2026</t>
        </is>
      </c>
      <c r="J12154" s="10" t="inlineStr">
        <is>
          <t>17/03/2026</t>
        </is>
      </c>
      <c r="K12154" s="10" t="inlineStr">
        <is>
          <t>N/A</t>
        </is>
      </c>
      <c r="L12154" s="10" t="inlineStr">
        <is>
          <t>Thiết Kế Bao Bì, Packaging Designer, Graphic Designer, Thiết Kế</t>
        </is>
      </c>
      <c r="M12154" s="10" t="inlineStr">
        <is>
          <t>Bonus, Healthcare Plan, Paid Leave, Others</t>
        </is>
      </c>
      <c r="N12154" s="11">
        <f>HYPERLINK("https://www.vietnamworks.com/senior-graphic-designer-muc-luong-20-25tr-nu-2024839-jv","Xem chi tiết")</f>
        <v/>
      </c>
      <c r="O12154" s="10" t="n"/>
    </row>
    <row r="12155">
      <c r="B12155" s="7" t="n">
        <v>12153</v>
      </c>
      <c r="C12155" t="inlineStr">
        <is>
          <t>Quản lý Kinh doanh Khu vực Miền Trung- Tây Nguyên (Bắc Miền Trung)</t>
        </is>
      </c>
      <c r="D12155" t="inlineStr">
        <is>
          <t>Công ty Cổ phần Gạch Men Ý Mỹ</t>
        </is>
      </c>
      <c r="E12155" t="inlineStr">
        <is>
          <t>Thương lượng</t>
        </is>
      </c>
      <c r="F12155" t="inlineStr">
        <is>
          <t>Hồ Chí Minh, Đồng Nai</t>
        </is>
      </c>
      <c r="G12155" t="inlineStr">
        <is>
          <t>Trưởng phòng</t>
        </is>
      </c>
      <c r="H12155" t="inlineStr">
        <is>
          <t>17/03/2026</t>
        </is>
      </c>
      <c r="I12155" t="inlineStr">
        <is>
          <t>16/04/2026</t>
        </is>
      </c>
      <c r="J12155" t="inlineStr">
        <is>
          <t>17/03/2026</t>
        </is>
      </c>
      <c r="K12155" t="inlineStr">
        <is>
          <t>N/A</t>
        </is>
      </c>
      <c r="L12155" t="inlineStr">
        <is>
          <t>Kỹ năng bán hàng, Kỹ Năng Lãnh Đạo Đội Nhóm, Kỹ năng quan sát và phân tích vấn đề, Kỹ Năng Thương Thảo Tốt</t>
        </is>
      </c>
      <c r="M12155" t="inlineStr">
        <is>
          <t>Bonus</t>
        </is>
      </c>
      <c r="N12155" s="8">
        <f>HYPERLINK("https://www.vietnamworks.com/quan-ly-kinh-doanh-khu-vuc-mien-trung-tay-nguyen-bac-mien-trung-2024848-jv","Xem chi tiết")</f>
        <v/>
      </c>
    </row>
    <row r="12156">
      <c r="B12156" s="9" t="n">
        <v>12154</v>
      </c>
      <c r="C12156" s="10" t="inlineStr">
        <is>
          <t>Purchasing Staff (Accept Fresher)</t>
        </is>
      </c>
      <c r="D12156" s="10" t="inlineStr">
        <is>
          <t>CÔNG TY TNHH TEXON SEMICONDUCTOR TECHNOLOGIES</t>
        </is>
      </c>
      <c r="E12156" s="10" t="inlineStr">
        <is>
          <t>Thương lượng</t>
        </is>
      </c>
      <c r="F12156" s="10" t="inlineStr">
        <is>
          <t>Bắc Ninh</t>
        </is>
      </c>
      <c r="G12156" s="10" t="inlineStr">
        <is>
          <t>Nhân viên</t>
        </is>
      </c>
      <c r="H12156" s="10" t="inlineStr">
        <is>
          <t>17/03/2026</t>
        </is>
      </c>
      <c r="I12156" s="10" t="inlineStr">
        <is>
          <t>16/04/2026</t>
        </is>
      </c>
      <c r="J12156" s="10" t="inlineStr">
        <is>
          <t>17/03/2026</t>
        </is>
      </c>
      <c r="K12156" s="10" t="inlineStr">
        <is>
          <t>N/A</t>
        </is>
      </c>
      <c r="L12156" s="10" t="inlineStr">
        <is>
          <t>Mua Hàng, Purchase Management, Purchasing, Microsoft Office, Negotiation Skills</t>
        </is>
      </c>
      <c r="M12156" s="10" t="inlineStr">
        <is>
          <t>Travel Opportunities, Transportation, Vouchers</t>
        </is>
      </c>
      <c r="N12156" s="11">
        <f>HYPERLINK("https://www.vietnamworks.com/purchasing-staff-accept-fresher--2024830-jv","Xem chi tiết")</f>
        <v/>
      </c>
      <c r="O12156" s="10" t="n"/>
    </row>
    <row r="12157">
      <c r="B12157" s="7" t="n">
        <v>12155</v>
      </c>
      <c r="C12157" t="inlineStr">
        <is>
          <t>Restaurant Manager</t>
        </is>
      </c>
      <c r="D12157" t="inlineStr">
        <is>
          <t>TẬP ĐOÀN HẢI SẢN HOÀNG GIA</t>
        </is>
      </c>
      <c r="E12157" t="inlineStr">
        <is>
          <t>$$ 800-1,200 /tháng</t>
        </is>
      </c>
      <c r="F12157" t="inlineStr">
        <is>
          <t>Hồ Chí Minh</t>
        </is>
      </c>
      <c r="G12157" t="inlineStr">
        <is>
          <t>Trưởng phòng</t>
        </is>
      </c>
      <c r="H12157" t="inlineStr">
        <is>
          <t>17/03/2026</t>
        </is>
      </c>
      <c r="I12157" t="inlineStr">
        <is>
          <t>16/04/2026</t>
        </is>
      </c>
      <c r="J12157" t="inlineStr">
        <is>
          <t>17/03/2026</t>
        </is>
      </c>
      <c r="K12157" t="inlineStr">
        <is>
          <t>N/A</t>
        </is>
      </c>
      <c r="L12157" t="inlineStr">
        <is>
          <t>Restaurant Management, Quản Lý Nhà Hàng Khách Sạn, Quản Lý Nhà Hàng, F&amp;B Business, Quản Lý Chi Nhánh</t>
        </is>
      </c>
      <c r="M12157" t="inlineStr">
        <is>
          <t>Bonus, Healthcare Plan, Laptop</t>
        </is>
      </c>
      <c r="N12157" s="8">
        <f>HYPERLINK("https://www.vietnamworks.com/restaurant-manager--2024810-jv","Xem chi tiết")</f>
        <v/>
      </c>
    </row>
    <row r="12158">
      <c r="B12158" s="9" t="n">
        <v>12156</v>
      </c>
      <c r="C12158" s="10" t="inlineStr">
        <is>
          <t>3D Design &amp; Implemetation Specialist - Fashion Design Experience</t>
        </is>
      </c>
      <c r="D12158" s="10" t="inlineStr">
        <is>
          <t>CLO Virtual Fashion</t>
        </is>
      </c>
      <c r="E12158" s="10" t="inlineStr">
        <is>
          <t>Thương lượng</t>
        </is>
      </c>
      <c r="F12158" s="10" t="inlineStr">
        <is>
          <t>Hồ Chí Minh, Hà Nội</t>
        </is>
      </c>
      <c r="G12158" s="10" t="inlineStr">
        <is>
          <t>Nhân viên</t>
        </is>
      </c>
      <c r="H12158" s="10" t="inlineStr">
        <is>
          <t>17/03/2026</t>
        </is>
      </c>
      <c r="I12158" s="10" t="inlineStr">
        <is>
          <t>16/04/2026</t>
        </is>
      </c>
      <c r="J12158" s="10" t="inlineStr">
        <is>
          <t>17/03/2026</t>
        </is>
      </c>
      <c r="K12158" s="10" t="inlineStr">
        <is>
          <t>N/A</t>
        </is>
      </c>
      <c r="L12158" s="10" t="inlineStr">
        <is>
          <t>3D Design, Fashion Design, CLO3D, English, Thiết Kế Thời Trang</t>
        </is>
      </c>
      <c r="M12158" s="10" t="inlineStr">
        <is>
          <t>Bonus, Paid Leave, Laptop</t>
        </is>
      </c>
      <c r="N12158" s="11">
        <f>HYPERLINK("https://www.vietnamworks.com/3d-design-implemetation-specialist-fashion-design-experience--2024840-jv","Xem chi tiết")</f>
        <v/>
      </c>
      <c r="O12158" s="10" t="n"/>
    </row>
    <row r="12159">
      <c r="B12159" s="7" t="n">
        <v>12157</v>
      </c>
      <c r="C12159" t="inlineStr">
        <is>
          <t>Chuyên Viên IT/ IT Specialist</t>
        </is>
      </c>
      <c r="D12159" t="inlineStr">
        <is>
          <t>Bel Gà Việt Nam</t>
        </is>
      </c>
      <c r="E12159" t="inlineStr">
        <is>
          <t>Thương lượng</t>
        </is>
      </c>
      <c r="F12159" t="inlineStr">
        <is>
          <t>Lâm Đồng, Hồ Chí Minh</t>
        </is>
      </c>
      <c r="G12159" t="inlineStr">
        <is>
          <t>Nhân viên</t>
        </is>
      </c>
      <c r="H12159" t="inlineStr">
        <is>
          <t>17/03/2026</t>
        </is>
      </c>
      <c r="I12159" t="inlineStr">
        <is>
          <t>16/04/2026</t>
        </is>
      </c>
      <c r="J12159" t="inlineStr">
        <is>
          <t>17/03/2026</t>
        </is>
      </c>
      <c r="K12159" t="inlineStr">
        <is>
          <t>N/A</t>
        </is>
      </c>
      <c r="L12159" t="inlineStr">
        <is>
          <t>IT System, Cisco, IT Support</t>
        </is>
      </c>
      <c r="M12159" t="inlineStr">
        <is>
          <t>Bonus, Healthcare Plan, Travel Opportunities</t>
        </is>
      </c>
      <c r="N12159" s="8">
        <f>HYPERLINK("https://www.vietnamworks.com/chuyen-vien-it-it-specialist-2024834-jv","Xem chi tiết")</f>
        <v/>
      </c>
    </row>
    <row r="12160">
      <c r="B12160" s="9" t="n">
        <v>12158</v>
      </c>
      <c r="C12160" s="10" t="inlineStr">
        <is>
          <t>Production Coordinator Upholstery</t>
        </is>
      </c>
      <c r="D12160" s="10" t="inlineStr">
        <is>
          <t>Van Thiel &amp; Co.</t>
        </is>
      </c>
      <c r="E12160" s="10" t="inlineStr">
        <is>
          <t>Thương lượng</t>
        </is>
      </c>
      <c r="F12160" s="10" t="inlineStr">
        <is>
          <t>Bình Dương</t>
        </is>
      </c>
      <c r="G12160" s="10" t="inlineStr">
        <is>
          <t>Nhân viên</t>
        </is>
      </c>
      <c r="H12160" s="10" t="inlineStr">
        <is>
          <t>17/03/2026</t>
        </is>
      </c>
      <c r="I12160" s="10" t="inlineStr">
        <is>
          <t>16/04/2026</t>
        </is>
      </c>
      <c r="J12160" s="10" t="inlineStr">
        <is>
          <t>17/03/2026</t>
        </is>
      </c>
      <c r="K12160" s="10" t="inlineStr">
        <is>
          <t>N/A</t>
        </is>
      </c>
      <c r="L12160" s="10" t="inlineStr">
        <is>
          <t>Upholstery Manufacturing, Production Process, Mandarin, Proactivity, Communication</t>
        </is>
      </c>
      <c r="M12160" s="10" t="inlineStr">
        <is>
          <t>Bonus, Healthcare Plan, Paid Leave</t>
        </is>
      </c>
      <c r="N12160" s="11">
        <f>HYPERLINK("https://www.vietnamworks.com/production-coordinator-upholstery--2024825-jv","Xem chi tiết")</f>
        <v/>
      </c>
      <c r="O12160" s="10" t="n"/>
    </row>
    <row r="12161">
      <c r="B12161" s="7" t="n">
        <v>12159</v>
      </c>
      <c r="C12161" t="inlineStr">
        <is>
          <t>Creative Strategist - Video Content Creator (Up-To $2,000)</t>
        </is>
      </c>
      <c r="D12161" t="inlineStr">
        <is>
          <t>Crossian Việt Nam</t>
        </is>
      </c>
      <c r="E12161" t="inlineStr">
        <is>
          <t>Tới $ 2,000 /tháng</t>
        </is>
      </c>
      <c r="F12161" t="inlineStr">
        <is>
          <t>Hồ Chí Minh, Hà Nội</t>
        </is>
      </c>
      <c r="G12161" t="inlineStr">
        <is>
          <t>Nhân viên</t>
        </is>
      </c>
      <c r="H12161" t="inlineStr">
        <is>
          <t>17/03/2026</t>
        </is>
      </c>
      <c r="I12161" t="inlineStr">
        <is>
          <t>16/04/2026</t>
        </is>
      </c>
      <c r="J12161" t="inlineStr">
        <is>
          <t>17/03/2026</t>
        </is>
      </c>
      <c r="K12161" t="inlineStr">
        <is>
          <t>N/A</t>
        </is>
      </c>
      <c r="L12161" t="inlineStr">
        <is>
          <t>Video Content Creation, Digital Storytelling, Project Management, Video Production, Campaign Management</t>
        </is>
      </c>
      <c r="M12161" t="inlineStr">
        <is>
          <t>Bonus, Healthcare Plan, Others</t>
        </is>
      </c>
      <c r="N12161" s="8">
        <f>HYPERLINK("https://www.vietnamworks.com/creative-strategist-video-content-creator-up-to-2-000-2024832-jv","Xem chi tiết")</f>
        <v/>
      </c>
    </row>
    <row r="12162">
      <c r="B12162" s="9" t="n">
        <v>12160</v>
      </c>
      <c r="C12162" s="10" t="inlineStr">
        <is>
          <t>Creative Video Producer (Up-To $2,000)</t>
        </is>
      </c>
      <c r="D12162" s="10" t="inlineStr">
        <is>
          <t>Crossian Việt Nam</t>
        </is>
      </c>
      <c r="E12162" s="10" t="inlineStr">
        <is>
          <t>Tới $ 2,000 /tháng</t>
        </is>
      </c>
      <c r="F12162" s="10" t="inlineStr">
        <is>
          <t>Hồ Chí Minh, Hà Nội</t>
        </is>
      </c>
      <c r="G12162" s="10" t="inlineStr">
        <is>
          <t>Nhân viên</t>
        </is>
      </c>
      <c r="H12162" s="10" t="inlineStr">
        <is>
          <t>17/03/2026</t>
        </is>
      </c>
      <c r="I12162" s="10" t="inlineStr">
        <is>
          <t>16/04/2026</t>
        </is>
      </c>
      <c r="J12162" s="10" t="inlineStr">
        <is>
          <t>17/03/2026</t>
        </is>
      </c>
      <c r="K12162" s="10" t="inlineStr">
        <is>
          <t>N/A</t>
        </is>
      </c>
      <c r="L12162" s="10" t="inlineStr">
        <is>
          <t>Video Production, Digital Storytelling, Project Management, Digital Media, Video Content Production</t>
        </is>
      </c>
      <c r="M12162" s="10" t="inlineStr">
        <is>
          <t>Bonus, Healthcare Plan, Team Activities</t>
        </is>
      </c>
      <c r="N12162" s="11">
        <f>HYPERLINK("https://www.vietnamworks.com/creative-video-producer-up-to-2-000-2024826-jv","Xem chi tiết")</f>
        <v/>
      </c>
      <c r="O12162" s="10" t="n"/>
    </row>
    <row r="12163">
      <c r="B12163" s="7" t="n">
        <v>12161</v>
      </c>
      <c r="C12163" t="inlineStr">
        <is>
          <t>Digital Marketing Executive</t>
        </is>
      </c>
      <c r="D12163" t="inlineStr">
        <is>
          <t>Công Ty TNHH Thương Mại Konox Việt Nam</t>
        </is>
      </c>
      <c r="E12163" t="inlineStr">
        <is>
          <t>Thương lượng</t>
        </is>
      </c>
      <c r="F12163" t="inlineStr">
        <is>
          <t>Hà Nội</t>
        </is>
      </c>
      <c r="G12163" t="inlineStr">
        <is>
          <t>Nhân viên</t>
        </is>
      </c>
      <c r="H12163" t="inlineStr">
        <is>
          <t>17/03/2026</t>
        </is>
      </c>
      <c r="I12163" t="inlineStr">
        <is>
          <t>16/04/2026</t>
        </is>
      </c>
      <c r="J12163" t="inlineStr">
        <is>
          <t>17/03/2026</t>
        </is>
      </c>
      <c r="K12163" t="inlineStr">
        <is>
          <t>N/A</t>
        </is>
      </c>
      <c r="L12163" t="inlineStr">
        <is>
          <t>Digital Marketing, Google Ads, Facebook Ads, Performance Marketing, Quản Lý Nội Dung</t>
        </is>
      </c>
      <c r="M12163" t="inlineStr">
        <is>
          <t>Bonus, Healthcare Plan, Training, Laptop, Team Activities, Others</t>
        </is>
      </c>
      <c r="N12163" s="8">
        <f>HYPERLINK("https://www.vietnamworks.com/digital-marketing-executive-2024838-jv","Xem chi tiết")</f>
        <v/>
      </c>
    </row>
    <row r="12164">
      <c r="B12164" s="9" t="n">
        <v>12162</v>
      </c>
      <c r="C12164" s="10" t="inlineStr">
        <is>
          <t>Executive Assistant to CFO</t>
        </is>
      </c>
      <c r="D12164" s="10" t="inlineStr">
        <is>
          <t>Bosch Global Software Technologies Company Limited</t>
        </is>
      </c>
      <c r="E12164" s="10" t="inlineStr">
        <is>
          <t>Thương lượng</t>
        </is>
      </c>
      <c r="F12164" s="10" t="inlineStr">
        <is>
          <t>Hồ Chí Minh</t>
        </is>
      </c>
      <c r="G12164" s="10" t="inlineStr">
        <is>
          <t>Nhân viên</t>
        </is>
      </c>
      <c r="H12164" s="10" t="inlineStr">
        <is>
          <t>17/03/2026</t>
        </is>
      </c>
      <c r="I12164" s="10" t="inlineStr">
        <is>
          <t>16/04/2026</t>
        </is>
      </c>
      <c r="J12164" s="10" t="inlineStr">
        <is>
          <t>17/03/2026</t>
        </is>
      </c>
      <c r="K12164" s="10" t="inlineStr">
        <is>
          <t>N/A</t>
        </is>
      </c>
      <c r="L12164" s="10" t="inlineStr">
        <is>
          <t>Accounting, Analytical Skills, Assistant, Digitalization, Finance</t>
        </is>
      </c>
      <c r="M12164" s="10" t="inlineStr">
        <is>
          <t>Bonus, Healthcare Plan, Paid Leave, Training, Team Activities, Transportation, Others</t>
        </is>
      </c>
      <c r="N12164" s="11">
        <f>HYPERLINK("https://www.vietnamworks.com/executive-assistant-to-cfo-2024827-jv","Xem chi tiết")</f>
        <v/>
      </c>
      <c r="O12164" s="10" t="n"/>
    </row>
    <row r="12165">
      <c r="B12165" s="7" t="n">
        <v>12163</v>
      </c>
      <c r="C12165" t="inlineStr">
        <is>
          <t>Quản Lý Sản Xuất (Nhà Máy Dược Phẩm) / Production Manager (Pharmaceutical Manufacturing)</t>
        </is>
      </c>
      <c r="D12165" t="inlineStr">
        <is>
          <t>CÔNG TY CỔ PHẦN DƯỢC PHẨM ĐẠT VI PHÚ (DAVIPHARM)</t>
        </is>
      </c>
      <c r="E12165" t="inlineStr">
        <is>
          <t>Thương lượng</t>
        </is>
      </c>
      <c r="F12165" t="inlineStr">
        <is>
          <t>Hồ Chí Minh</t>
        </is>
      </c>
      <c r="G12165" t="inlineStr">
        <is>
          <t>Trưởng phòng</t>
        </is>
      </c>
      <c r="H12165" t="inlineStr">
        <is>
          <t>17/03/2026</t>
        </is>
      </c>
      <c r="I12165" t="inlineStr">
        <is>
          <t>16/04/2026</t>
        </is>
      </c>
      <c r="J12165" t="inlineStr">
        <is>
          <t>17/03/2026</t>
        </is>
      </c>
      <c r="K12165" t="inlineStr">
        <is>
          <t>N/A</t>
        </is>
      </c>
      <c r="L12165" t="inlineStr">
        <is>
          <t>Pharmaceutical Manufacturing, Quality Assurance, Dược Phẩm, Production Schedule, Kế Hoạch Sản Xuất</t>
        </is>
      </c>
      <c r="M12165" t="inlineStr">
        <is>
          <t>Bonus, Training, Others</t>
        </is>
      </c>
      <c r="N12165" s="8">
        <f>HYPERLINK("https://www.vietnamworks.com/quan-ly-san-xuat-nha-may-duoc-pham-production-manager-pharmaceutical-manufacturing-2024821-jv","Xem chi tiết")</f>
        <v/>
      </c>
    </row>
    <row r="12166">
      <c r="B12166" s="9" t="n">
        <v>12164</v>
      </c>
      <c r="C12166" s="10" t="inlineStr">
        <is>
          <t>Kế Toán Nội Bộ</t>
        </is>
      </c>
      <c r="D12166" s="10" t="inlineStr">
        <is>
          <t>Qualy Cashew</t>
        </is>
      </c>
      <c r="E12166" s="10" t="inlineStr">
        <is>
          <t>9tr-13tr ₫/tháng</t>
        </is>
      </c>
      <c r="F12166" s="10" t="inlineStr">
        <is>
          <t>Hồ Chí Minh</t>
        </is>
      </c>
      <c r="G12166" s="10" t="inlineStr">
        <is>
          <t>Nhân viên</t>
        </is>
      </c>
      <c r="H12166" s="10" t="inlineStr">
        <is>
          <t>17/03/2026</t>
        </is>
      </c>
      <c r="I12166" s="10" t="inlineStr">
        <is>
          <t>16/04/2026</t>
        </is>
      </c>
      <c r="J12166" s="10" t="inlineStr">
        <is>
          <t>17/03/2026</t>
        </is>
      </c>
      <c r="K12166" s="10" t="inlineStr">
        <is>
          <t>N/A</t>
        </is>
      </c>
      <c r="L12166" s="10" t="inlineStr">
        <is>
          <t>Kiểm Toán, Tài Chính Doanh Nghiệp, Báo Cáo Tài Chính, Nghiệp Vụ Kế Toán, Theo Dõi Công Nợ</t>
        </is>
      </c>
      <c r="M12166" s="10" t="inlineStr">
        <is>
          <t>Bonus, Healthcare Plan, Others</t>
        </is>
      </c>
      <c r="N12166" s="11">
        <f>HYPERLINK("https://www.vietnamworks.com/ke-toan-noi-bo-2024853-jv","Xem chi tiết")</f>
        <v/>
      </c>
      <c r="O12166" s="10" t="n"/>
    </row>
    <row r="12167">
      <c r="B12167" s="7" t="n">
        <v>12165</v>
      </c>
      <c r="C12167" t="inlineStr">
        <is>
          <t>Nhân Viên Thiết Kế - Designer</t>
        </is>
      </c>
      <c r="D12167" t="inlineStr">
        <is>
          <t>CÔNG TY CỔ PHẦN MEN UNIVERSE</t>
        </is>
      </c>
      <c r="E12167" t="inlineStr">
        <is>
          <t>10tr-15tr ₫/tháng</t>
        </is>
      </c>
      <c r="F12167" t="inlineStr">
        <is>
          <t>Hà Nội</t>
        </is>
      </c>
      <c r="G12167" t="inlineStr">
        <is>
          <t>Mới Tốt Nghiệp</t>
        </is>
      </c>
      <c r="H12167" t="inlineStr">
        <is>
          <t>17/03/2026</t>
        </is>
      </c>
      <c r="I12167" t="inlineStr">
        <is>
          <t>16/04/2026</t>
        </is>
      </c>
      <c r="J12167" t="inlineStr">
        <is>
          <t>17/03/2026</t>
        </is>
      </c>
      <c r="K12167" t="inlineStr">
        <is>
          <t>N/A</t>
        </is>
      </c>
      <c r="L12167" t="inlineStr">
        <is>
          <t>Illustrator, Photoshop, Thiết Kế Ấn Phẩm, Thiết Kế Banner, Thiết Kế Đồ Họa</t>
        </is>
      </c>
      <c r="M12167" t="inlineStr">
        <is>
          <t>Bonus, Healthcare Plan, Training, Awards, Team Activities, Others</t>
        </is>
      </c>
      <c r="N12167" s="8">
        <f>HYPERLINK("https://www.vietnamworks.com/nhan-vien-thiet-ke-designer-2024874-jv","Xem chi tiết")</f>
        <v/>
      </c>
    </row>
    <row r="12168">
      <c r="B12168" s="9" t="n">
        <v>12166</v>
      </c>
      <c r="C12168" s="10" t="inlineStr">
        <is>
          <t>Kế Toán Thuế - Lương Hấp Dẫn Lên Đến 18 Triệu - Môi Trường Chuyên Nghiệp | Đi Làm Ngay</t>
        </is>
      </c>
      <c r="D12168" s="10" t="inlineStr">
        <is>
          <t>CÔNG TY TNHH MỘT THÀNH VIÊN TƯ VẤN DU HỌC VÀ GIÁO DỤC A&amp;U</t>
        </is>
      </c>
      <c r="E12168" s="10" t="inlineStr">
        <is>
          <t>15tr-18tr ₫/tháng</t>
        </is>
      </c>
      <c r="F12168" s="10" t="inlineStr">
        <is>
          <t>Hà Nội</t>
        </is>
      </c>
      <c r="G12168" s="10" t="inlineStr">
        <is>
          <t>Nhân viên</t>
        </is>
      </c>
      <c r="H12168" s="10" t="inlineStr">
        <is>
          <t>17/03/2026</t>
        </is>
      </c>
      <c r="I12168" s="10" t="inlineStr">
        <is>
          <t>16/04/2026</t>
        </is>
      </c>
      <c r="J12168" s="10" t="inlineStr">
        <is>
          <t>17/03/2026</t>
        </is>
      </c>
      <c r="K12168" s="10" t="inlineStr">
        <is>
          <t>N/A</t>
        </is>
      </c>
      <c r="L12168" s="10" t="inlineStr">
        <is>
          <t>Kế Toán, Tài Chính, Hạch Toán, Quản Lý Hóa Đơn, Thuế</t>
        </is>
      </c>
      <c r="M12168" s="10" t="inlineStr">
        <is>
          <t>Bonus, Healthcare Plan, Paid Leave, Training, Laptop, Travel Opportunities, Others</t>
        </is>
      </c>
      <c r="N12168" s="11">
        <f>HYPERLINK("https://www.vietnamworks.com/ke-toan-thue-luong-hap-dan-len-djen-18-trieu-moi-truong-chuyen-nghiep-or-dji-lam-ngay-2024864-jv","Xem chi tiết")</f>
        <v/>
      </c>
      <c r="O12168" s="10" t="n"/>
    </row>
    <row r="12169">
      <c r="B12169" s="7" t="n">
        <v>12167</v>
      </c>
      <c r="C12169" t="inlineStr">
        <is>
          <t>Nhân Viên Hành Chính &amp; Nhân Sự ( Tiếng Trung )</t>
        </is>
      </c>
      <c r="D12169" t="inlineStr">
        <is>
          <t>CÔNG TY TNHH QUẢN LÝ DỊCH VỤ ĂN UỐNG HƯNG THỊNH</t>
        </is>
      </c>
      <c r="E12169" t="inlineStr">
        <is>
          <t>15tr-25tr ₫/tháng</t>
        </is>
      </c>
      <c r="F12169" t="inlineStr">
        <is>
          <t>Hồ Chí Minh</t>
        </is>
      </c>
      <c r="G12169" t="inlineStr">
        <is>
          <t>Nhân viên</t>
        </is>
      </c>
      <c r="H12169" t="inlineStr">
        <is>
          <t>17/03/2026</t>
        </is>
      </c>
      <c r="I12169" t="inlineStr">
        <is>
          <t>16/04/2026</t>
        </is>
      </c>
      <c r="J12169" t="inlineStr">
        <is>
          <t>17/03/2026</t>
        </is>
      </c>
      <c r="K12169" t="inlineStr">
        <is>
          <t>N/A</t>
        </is>
      </c>
      <c r="L12169" t="inlineStr">
        <is>
          <t>Thành thạo Microsoft office, Thành Thạo Tiếng Trung</t>
        </is>
      </c>
      <c r="M12169" t="inlineStr">
        <is>
          <t>Others</t>
        </is>
      </c>
      <c r="N12169" s="8">
        <f>HYPERLINK("https://www.vietnamworks.com/nhan-vien-hanh-chinh-and-nhan-su-tieng-trung-2024897-jv","Xem chi tiết")</f>
        <v/>
      </c>
    </row>
    <row r="12170">
      <c r="B12170" s="9" t="n">
        <v>12168</v>
      </c>
      <c r="C12170" s="10" t="inlineStr">
        <is>
          <t>Nhân Viên Nhân Sự (Không Yêu Cầu Kinh Nghiệm)</t>
        </is>
      </c>
      <c r="D12170" s="10" t="inlineStr">
        <is>
          <t>INOAC Vietnam CO., LTD.</t>
        </is>
      </c>
      <c r="E12170" s="10" t="inlineStr">
        <is>
          <t>Thương lượng</t>
        </is>
      </c>
      <c r="F12170" s="10" t="inlineStr">
        <is>
          <t>Hà Nội</t>
        </is>
      </c>
      <c r="G12170" s="10" t="inlineStr">
        <is>
          <t>Mới Tốt Nghiệp</t>
        </is>
      </c>
      <c r="H12170" s="10" t="inlineStr">
        <is>
          <t>17/03/2026</t>
        </is>
      </c>
      <c r="I12170" s="10" t="inlineStr">
        <is>
          <t>16/04/2026</t>
        </is>
      </c>
      <c r="J12170" s="10" t="inlineStr">
        <is>
          <t>17/03/2026</t>
        </is>
      </c>
      <c r="K12170" s="10" t="inlineStr">
        <is>
          <t>N/A</t>
        </is>
      </c>
      <c r="L12170" s="10" t="inlineStr">
        <is>
          <t>Human Resources, CSR, Payroll, Recruitment, Japanese</t>
        </is>
      </c>
      <c r="M12170" s="10" t="inlineStr">
        <is>
          <t>Bonus, Training, Transportation</t>
        </is>
      </c>
      <c r="N12170" s="11">
        <f>HYPERLINK("https://www.vietnamworks.com/nhan-vien-nhan-su-khong-yeu-cau-kinh-nghiem--2024852-jv","Xem chi tiết")</f>
        <v/>
      </c>
      <c r="O12170" s="10" t="n"/>
    </row>
    <row r="12171">
      <c r="B12171" s="7" t="n">
        <v>12169</v>
      </c>
      <c r="C12171" t="inlineStr">
        <is>
          <t>HR Recruiter</t>
        </is>
      </c>
      <c r="D12171" t="inlineStr">
        <is>
          <t>CÔNG TY B.L. HARBERT INTERNATIONAL, L.L.C HOA KỲ</t>
        </is>
      </c>
      <c r="E12171" t="inlineStr">
        <is>
          <t>Thương lượng</t>
        </is>
      </c>
      <c r="F12171" t="inlineStr">
        <is>
          <t>Hà Nội</t>
        </is>
      </c>
      <c r="G12171" t="inlineStr">
        <is>
          <t>Trưởng phòng</t>
        </is>
      </c>
      <c r="H12171" t="inlineStr">
        <is>
          <t>17/03/2026</t>
        </is>
      </c>
      <c r="I12171" t="inlineStr">
        <is>
          <t>16/04/2026</t>
        </is>
      </c>
      <c r="J12171" t="inlineStr">
        <is>
          <t>17/03/2026</t>
        </is>
      </c>
      <c r="K12171" t="inlineStr">
        <is>
          <t>N/A</t>
        </is>
      </c>
      <c r="L12171" t="inlineStr">
        <is>
          <t>HR Planning, Sourcing Analysis, Communication Skills, Mass Recruitment, Basic English</t>
        </is>
      </c>
      <c r="M12171" t="inlineStr">
        <is>
          <t>Bonus, Healthcare Plan, Paid Leave, Others</t>
        </is>
      </c>
      <c r="N12171" s="8">
        <f>HYPERLINK("https://www.vietnamworks.com/hr-recruiter-2024859-jv","Xem chi tiết")</f>
        <v/>
      </c>
    </row>
    <row r="12172">
      <c r="B12172" s="9" t="n">
        <v>12170</v>
      </c>
      <c r="C12172" s="10" t="inlineStr">
        <is>
          <t>Civil Assistant Superintendent</t>
        </is>
      </c>
      <c r="D12172" s="10" t="inlineStr">
        <is>
          <t>CÔNG TY B.L. HARBERT INTERNATIONAL, L.L.C HOA KỲ</t>
        </is>
      </c>
      <c r="E12172" s="10" t="inlineStr">
        <is>
          <t>Tới 45tr ₫/tháng</t>
        </is>
      </c>
      <c r="F12172" s="10" t="inlineStr">
        <is>
          <t>Hà Nội</t>
        </is>
      </c>
      <c r="G12172" s="10" t="inlineStr">
        <is>
          <t>Nhân viên</t>
        </is>
      </c>
      <c r="H12172" s="10" t="inlineStr">
        <is>
          <t>17/03/2026</t>
        </is>
      </c>
      <c r="I12172" s="10" t="inlineStr">
        <is>
          <t>16/04/2026</t>
        </is>
      </c>
      <c r="J12172" s="10" t="inlineStr">
        <is>
          <t>17/03/2026</t>
        </is>
      </c>
      <c r="K12172" s="10" t="inlineStr">
        <is>
          <t>N/A</t>
        </is>
      </c>
      <c r="L12172" s="10" t="inlineStr">
        <is>
          <t>Civil Engineering, Construction Supervision, Problem Solving, English, Technical Drawing Reading</t>
        </is>
      </c>
      <c r="M12172" s="10" t="inlineStr">
        <is>
          <t>Bonus, Healthcare Plan, Paid Leave, Canteen, Others</t>
        </is>
      </c>
      <c r="N12172" s="11">
        <f>HYPERLINK("https://www.vietnamworks.com/civil-assistant-superintendent-2024850-jv","Xem chi tiết")</f>
        <v/>
      </c>
      <c r="O12172" s="10" t="n"/>
    </row>
    <row r="12173">
      <c r="B12173" s="7" t="n">
        <v>12171</v>
      </c>
      <c r="C12173" t="inlineStr">
        <is>
          <t>Production Manager</t>
        </is>
      </c>
      <c r="D12173" t="inlineStr">
        <is>
          <t>Archer Daniels Midland (ADM)</t>
        </is>
      </c>
      <c r="E12173" t="inlineStr">
        <is>
          <t>Thương lượng</t>
        </is>
      </c>
      <c r="F12173" t="inlineStr">
        <is>
          <t>Bình Dương</t>
        </is>
      </c>
      <c r="G12173" t="inlineStr">
        <is>
          <t>Trưởng phòng</t>
        </is>
      </c>
      <c r="H12173" t="inlineStr">
        <is>
          <t>17/03/2026</t>
        </is>
      </c>
      <c r="I12173" t="inlineStr">
        <is>
          <t>16/04/2026</t>
        </is>
      </c>
      <c r="J12173" t="inlineStr">
        <is>
          <t>17/03/2026</t>
        </is>
      </c>
      <c r="K12173" t="inlineStr">
        <is>
          <t>N/A</t>
        </is>
      </c>
      <c r="L12173" t="inlineStr">
        <is>
          <t>Quản Lý Sản Xuất, Production Management, Production Planning, Production, Kế Hoạch Sản Xuất</t>
        </is>
      </c>
      <c r="M12173" t="inlineStr">
        <is>
          <t>Healthcare Plan</t>
        </is>
      </c>
      <c r="N12173" s="8">
        <f>HYPERLINK("https://www.vietnamworks.com/production-manager--2024881-jv","Xem chi tiết")</f>
        <v/>
      </c>
    </row>
    <row r="12174">
      <c r="B12174" s="9" t="n">
        <v>12172</v>
      </c>
      <c r="C12174" s="10" t="inlineStr">
        <is>
          <t>Kế Toán Tổng Hợp - Mức Lương Hấp Dẫn Lên Đến 18.000.000 Trở Lên - Nghỉ Thứ 7 &amp; Chủ Nhật | Đi Làm Ngay</t>
        </is>
      </c>
      <c r="D12174" s="10" t="inlineStr">
        <is>
          <t>CÔNG TY TNHH MỘT THÀNH VIÊN TƯ VẤN DU HỌC VÀ GIÁO DỤC A&amp;U</t>
        </is>
      </c>
      <c r="E12174" s="10" t="inlineStr">
        <is>
          <t>15tr-18tr ₫/tháng</t>
        </is>
      </c>
      <c r="F12174" s="10" t="inlineStr">
        <is>
          <t>Hà Nội</t>
        </is>
      </c>
      <c r="G12174" s="10" t="inlineStr">
        <is>
          <t>Nhân viên</t>
        </is>
      </c>
      <c r="H12174" s="10" t="inlineStr">
        <is>
          <t>17/03/2026</t>
        </is>
      </c>
      <c r="I12174" s="10" t="inlineStr">
        <is>
          <t>16/04/2026</t>
        </is>
      </c>
      <c r="J12174" s="10" t="inlineStr">
        <is>
          <t>17/03/2026</t>
        </is>
      </c>
      <c r="K12174" s="10" t="inlineStr">
        <is>
          <t>N/A</t>
        </is>
      </c>
      <c r="L12174" s="10" t="inlineStr">
        <is>
          <t>Kế Toán Nội Bộ, Kế Toán Thuế, Báo Cáo Tài Chính, Phân Tích Số Liệu, Cẩn thận</t>
        </is>
      </c>
      <c r="M12174" s="10" t="inlineStr">
        <is>
          <t>Bonus, Paid Leave, Training, Others</t>
        </is>
      </c>
      <c r="N12174" s="11">
        <f>HYPERLINK("https://www.vietnamworks.com/ke-toan-tong-hop-muc-luong-hap-dan-len-djen-18-000-000-tro-len-nghi-thu-7-and-chu-nhat-or-dji-lam-ngay-2024857-jv","Xem chi tiết")</f>
        <v/>
      </c>
      <c r="O12174" s="10" t="n"/>
    </row>
    <row r="12175">
      <c r="B12175" s="7" t="n">
        <v>12173</v>
      </c>
      <c r="C12175" t="inlineStr">
        <is>
          <t>Senior Software Engineer</t>
        </is>
      </c>
      <c r="D12175" t="inlineStr">
        <is>
          <t>Gearment Co.,Ltd</t>
        </is>
      </c>
      <c r="E12175" t="inlineStr">
        <is>
          <t>Tới 45tr ₫/tháng</t>
        </is>
      </c>
      <c r="F12175" t="inlineStr">
        <is>
          <t>Hồ Chí Minh</t>
        </is>
      </c>
      <c r="G12175" t="inlineStr">
        <is>
          <t>Nhân viên</t>
        </is>
      </c>
      <c r="H12175" t="inlineStr">
        <is>
          <t>17/03/2026</t>
        </is>
      </c>
      <c r="I12175" t="inlineStr">
        <is>
          <t>16/04/2026</t>
        </is>
      </c>
      <c r="J12175" t="inlineStr">
        <is>
          <t>17/03/2026</t>
        </is>
      </c>
      <c r="K12175" t="inlineStr">
        <is>
          <t>N/A</t>
        </is>
      </c>
      <c r="L12175" t="inlineStr">
        <is>
          <t>FullStack, React, RESTful API, TypeScript, Golang</t>
        </is>
      </c>
      <c r="M12175" t="inlineStr">
        <is>
          <t>Bonus, Healthcare Plan, Paid Leave, Laptop, Team Activities, Others</t>
        </is>
      </c>
      <c r="N12175" s="8">
        <f>HYPERLINK("https://www.vietnamworks.com/senior-software-engineer-2024858-jv","Xem chi tiết")</f>
        <v/>
      </c>
    </row>
    <row r="12176">
      <c r="B12176" s="9" t="n">
        <v>12174</v>
      </c>
      <c r="C12176" s="10" t="inlineStr">
        <is>
          <t>AI Lead (Agentic AI)</t>
        </is>
      </c>
      <c r="D12176" s="10" t="inlineStr">
        <is>
          <t>Công Ty Cổ Phần Vàng Bạc Đá Quý Phú Nhuận (PNJ)</t>
        </is>
      </c>
      <c r="E12176" s="10" t="inlineStr">
        <is>
          <t>Thương lượng</t>
        </is>
      </c>
      <c r="F12176" s="10" t="inlineStr">
        <is>
          <t>Hồ Chí Minh</t>
        </is>
      </c>
      <c r="G12176" s="10" t="inlineStr">
        <is>
          <t>Trưởng phòng</t>
        </is>
      </c>
      <c r="H12176" s="10" t="inlineStr">
        <is>
          <t>17/03/2026</t>
        </is>
      </c>
      <c r="I12176" s="10" t="inlineStr">
        <is>
          <t>16/04/2026</t>
        </is>
      </c>
      <c r="J12176" s="10" t="inlineStr">
        <is>
          <t>17/03/2026</t>
        </is>
      </c>
      <c r="K12176" s="10" t="inlineStr">
        <is>
          <t>N/A</t>
        </is>
      </c>
      <c r="L12176" s="10" t="inlineStr">
        <is>
          <t>LLM, Agentic Ai, GenAI, Multi-Agent Ai</t>
        </is>
      </c>
      <c r="M12176" s="10" t="inlineStr">
        <is>
          <t>Bonus, Healthcare Plan, Paid Leave</t>
        </is>
      </c>
      <c r="N12176" s="11">
        <f>HYPERLINK("https://www.vietnamworks.com/ai-lead-agentic-ai-2024866-jv","Xem chi tiết")</f>
        <v/>
      </c>
      <c r="O12176" s="10" t="n"/>
    </row>
    <row r="12177">
      <c r="B12177" s="7" t="n">
        <v>12175</v>
      </c>
      <c r="C12177" t="inlineStr">
        <is>
          <t>General Accountant</t>
        </is>
      </c>
      <c r="D12177" t="inlineStr">
        <is>
          <t>Blacktree Company Limited</t>
        </is>
      </c>
      <c r="E12177" t="inlineStr">
        <is>
          <t>Thương lượng</t>
        </is>
      </c>
      <c r="F12177" t="inlineStr">
        <is>
          <t>Hồ Chí Minh</t>
        </is>
      </c>
      <c r="G12177" t="inlineStr">
        <is>
          <t>Nhân viên</t>
        </is>
      </c>
      <c r="H12177" t="inlineStr">
        <is>
          <t>17/03/2026</t>
        </is>
      </c>
      <c r="I12177" t="inlineStr">
        <is>
          <t>01/04/2026</t>
        </is>
      </c>
      <c r="J12177" t="inlineStr">
        <is>
          <t>17/03/2026</t>
        </is>
      </c>
      <c r="K12177" t="inlineStr">
        <is>
          <t>N/A</t>
        </is>
      </c>
      <c r="L12177" t="inlineStr">
        <is>
          <t>Accounting, English, Excel, Finance, MS Office</t>
        </is>
      </c>
      <c r="M12177" t="inlineStr">
        <is>
          <t>Others</t>
        </is>
      </c>
      <c r="N12177" s="8">
        <f>HYPERLINK("https://www.vietnamworks.com/general-accountant-2024854-jv","Xem chi tiết")</f>
        <v/>
      </c>
    </row>
    <row r="12178">
      <c r="B12178" s="9" t="n">
        <v>12176</v>
      </c>
      <c r="C12178" s="10" t="inlineStr">
        <is>
          <t>Leader Content</t>
        </is>
      </c>
      <c r="D12178" s="10" t="inlineStr">
        <is>
          <t>CÔNG TY CỔ PHẦN MEN UNIVERSE</t>
        </is>
      </c>
      <c r="E12178" s="10" t="inlineStr">
        <is>
          <t>14tr-18tr ₫/tháng</t>
        </is>
      </c>
      <c r="F12178" s="10" t="inlineStr">
        <is>
          <t>Hà Nội</t>
        </is>
      </c>
      <c r="G12178" s="10" t="inlineStr">
        <is>
          <t>Nhân viên</t>
        </is>
      </c>
      <c r="H12178" s="10" t="inlineStr">
        <is>
          <t>17/03/2026</t>
        </is>
      </c>
      <c r="I12178" s="10" t="inlineStr">
        <is>
          <t>16/04/2026</t>
        </is>
      </c>
      <c r="J12178" s="10" t="inlineStr">
        <is>
          <t>17/03/2026</t>
        </is>
      </c>
      <c r="K12178" s="10" t="inlineStr">
        <is>
          <t>N/A</t>
        </is>
      </c>
      <c r="L12178" s="10" t="inlineStr">
        <is>
          <t>Biên Tập Nội Dung, Chỉnh Sửa Hình Ảnh, Quản Lý Kênh Truyền Thông, Quản Lý Thương Hiệu, Tiktok</t>
        </is>
      </c>
      <c r="M12178" s="10" t="inlineStr">
        <is>
          <t>Bonus, Healthcare Plan, Training, Team Activities, Others</t>
        </is>
      </c>
      <c r="N12178" s="11">
        <f>HYPERLINK("https://www.vietnamworks.com/leader-content-2024855-jv","Xem chi tiết")</f>
        <v/>
      </c>
      <c r="O12178" s="10" t="n"/>
    </row>
    <row r="12179">
      <c r="B12179" s="7" t="n">
        <v>12177</v>
      </c>
      <c r="C12179" t="inlineStr">
        <is>
          <t>Trưởng Nhóm Digital Marketing</t>
        </is>
      </c>
      <c r="D12179" t="inlineStr">
        <is>
          <t>Công Ty Cổ Phần Học Viện Minh Trí Thành</t>
        </is>
      </c>
      <c r="E12179" t="inlineStr">
        <is>
          <t>18tr-25tr ₫/tháng</t>
        </is>
      </c>
      <c r="F12179" t="inlineStr">
        <is>
          <t>Hà Nội</t>
        </is>
      </c>
      <c r="G12179" t="inlineStr">
        <is>
          <t>Trưởng phòng</t>
        </is>
      </c>
      <c r="H12179" t="inlineStr">
        <is>
          <t>17/03/2026</t>
        </is>
      </c>
      <c r="I12179" t="inlineStr">
        <is>
          <t>16/04/2026</t>
        </is>
      </c>
      <c r="J12179" t="inlineStr">
        <is>
          <t>17/03/2026</t>
        </is>
      </c>
      <c r="K12179" t="inlineStr">
        <is>
          <t>N/A</t>
        </is>
      </c>
      <c r="L12179" t="inlineStr">
        <is>
          <t>Digital Marketing, Google Ads, Facebook Ads, Data Analysis, Leadership</t>
        </is>
      </c>
      <c r="M12179" t="inlineStr">
        <is>
          <t>Bonus, Healthcare Plan, Training, Travel Opportunities, Team Activities, Others</t>
        </is>
      </c>
      <c r="N12179" s="8">
        <f>HYPERLINK("https://www.vietnamworks.com/truong-nhom-digital-marketing-2024896-jv","Xem chi tiết")</f>
        <v/>
      </c>
    </row>
    <row r="12180">
      <c r="B12180" s="9" t="n">
        <v>12178</v>
      </c>
      <c r="C12180" s="10" t="inlineStr">
        <is>
          <t>Thực Tập Sinh Phân Tích Dữ Liệu &amp; Nghiên Cứu Sản Phẩm</t>
        </is>
      </c>
      <c r="D12180" s="10" t="inlineStr">
        <is>
          <t>Công Ty Cổ Phần Chứng Khoán SSI</t>
        </is>
      </c>
      <c r="E12180" s="10" t="inlineStr">
        <is>
          <t>Thương lượng</t>
        </is>
      </c>
      <c r="F12180" s="10" t="inlineStr">
        <is>
          <t>Hà Nội, Hồ Chí Minh</t>
        </is>
      </c>
      <c r="G12180" s="10" t="inlineStr">
        <is>
          <t>Thực tập sinh/Sinh viên</t>
        </is>
      </c>
      <c r="H12180" s="10" t="inlineStr">
        <is>
          <t>17/03/2026</t>
        </is>
      </c>
      <c r="I12180" s="10" t="inlineStr">
        <is>
          <t>16/04/2026</t>
        </is>
      </c>
      <c r="J12180" s="10" t="inlineStr">
        <is>
          <t>17/03/2026</t>
        </is>
      </c>
      <c r="K12180" s="10" t="inlineStr">
        <is>
          <t>N/A</t>
        </is>
      </c>
      <c r="L12180" s="10" t="inlineStr">
        <is>
          <t>Data Analysis, Excel, Information Systems, Power BI, Financial Products</t>
        </is>
      </c>
      <c r="M12180" s="10" t="inlineStr">
        <is>
          <t>Training</t>
        </is>
      </c>
      <c r="N12180" s="11">
        <f>HYPERLINK("https://www.vietnamworks.com/thuc-tap-sinh-phan-tich-du-lieu-and-nghien-cuu-san-pham-2024869-jv","Xem chi tiết")</f>
        <v/>
      </c>
      <c r="O12180" s="10" t="n"/>
    </row>
    <row r="12181">
      <c r="B12181" s="7" t="n">
        <v>12179</v>
      </c>
      <c r="C12181" t="inlineStr">
        <is>
          <t>Client Director - iRetail Media</t>
        </is>
      </c>
      <c r="D12181" t="inlineStr">
        <is>
          <t>Chi Nhánh Công Ty Cổ Phần Công Nghệ Thông Tin Truyền Thông Thiên Hy Long Việt Nam</t>
        </is>
      </c>
      <c r="E12181" t="inlineStr">
        <is>
          <t>Thương lượng</t>
        </is>
      </c>
      <c r="F12181" t="inlineStr">
        <is>
          <t>Hà Nội</t>
        </is>
      </c>
      <c r="G12181" t="inlineStr">
        <is>
          <t>Giám Đốc và Cấp Cao Hơn</t>
        </is>
      </c>
      <c r="H12181" t="inlineStr">
        <is>
          <t>17/03/2026</t>
        </is>
      </c>
      <c r="I12181" t="inlineStr">
        <is>
          <t>16/04/2026</t>
        </is>
      </c>
      <c r="J12181" t="inlineStr">
        <is>
          <t>17/03/2026</t>
        </is>
      </c>
      <c r="K12181" t="inlineStr">
        <is>
          <t>N/A</t>
        </is>
      </c>
      <c r="L12181" t="inlineStr">
        <is>
          <t>B2B, Trade Marketing, Digital Advertising, Retail Management, Media</t>
        </is>
      </c>
      <c r="M12181" t="inlineStr">
        <is>
          <t>Bonus, Healthcare Plan, Paid Leave</t>
        </is>
      </c>
      <c r="N12181" s="8">
        <f>HYPERLINK("https://www.vietnamworks.com/client-director-iretail-media-2024895-jv","Xem chi tiết")</f>
        <v/>
      </c>
    </row>
    <row r="12182">
      <c r="B12182" s="9" t="n">
        <v>12180</v>
      </c>
      <c r="C12182" s="10" t="inlineStr">
        <is>
          <t>Nhân Viên Kế Hoạch Sản Xuất (May)</t>
        </is>
      </c>
      <c r="D12182" s="10" t="inlineStr">
        <is>
          <t>Công Ty CP Dệt May Đầu Tư Thương Mại Thành Công (TCM)</t>
        </is>
      </c>
      <c r="E12182" s="10" t="inlineStr">
        <is>
          <t>Thương lượng</t>
        </is>
      </c>
      <c r="F12182" s="10" t="inlineStr">
        <is>
          <t>Tây Ninh</t>
        </is>
      </c>
      <c r="G12182" s="10" t="inlineStr">
        <is>
          <t>Nhân viên</t>
        </is>
      </c>
      <c r="H12182" s="10" t="inlineStr">
        <is>
          <t>17/03/2026</t>
        </is>
      </c>
      <c r="I12182" s="10" t="inlineStr">
        <is>
          <t>16/04/2026</t>
        </is>
      </c>
      <c r="J12182" s="10" t="inlineStr">
        <is>
          <t>17/03/2026</t>
        </is>
      </c>
      <c r="K12182" s="10" t="inlineStr">
        <is>
          <t>N/A</t>
        </is>
      </c>
      <c r="L12182" s="10" t="inlineStr">
        <is>
          <t>Spinning Processes, Production Management, Quality Control, Raw Materials, Textile Garment</t>
        </is>
      </c>
      <c r="M12182" s="10" t="inlineStr">
        <is>
          <t>Bonus, Healthcare Plan, Canteen</t>
        </is>
      </c>
      <c r="N12182" s="11">
        <f>HYPERLINK("https://www.vietnamworks.com/nhan-vien-ke-hoach-san-xuat-may-2024891-jv","Xem chi tiết")</f>
        <v/>
      </c>
      <c r="O12182" s="10" t="n"/>
    </row>
    <row r="12183">
      <c r="B12183" s="7" t="n">
        <v>12181</v>
      </c>
      <c r="C12183" t="inlineStr">
        <is>
          <t>Phó Phòng Tài Chính</t>
        </is>
      </c>
      <c r="D12183" t="inlineStr">
        <is>
          <t>Samsung Electronics Vietnam Thai Nguyen Co., Ltd</t>
        </is>
      </c>
      <c r="E12183" t="inlineStr">
        <is>
          <t>$$ 1,000-1,000 /tháng</t>
        </is>
      </c>
      <c r="F12183" t="inlineStr">
        <is>
          <t>Thái Nguyên, Bắc Giang, Hà Nội</t>
        </is>
      </c>
      <c r="G12183" t="inlineStr">
        <is>
          <t>Nhân viên</t>
        </is>
      </c>
      <c r="H12183" t="inlineStr">
        <is>
          <t>17/03/2026</t>
        </is>
      </c>
      <c r="I12183" t="inlineStr">
        <is>
          <t>16/04/2026</t>
        </is>
      </c>
      <c r="J12183" t="inlineStr">
        <is>
          <t>17/03/2026</t>
        </is>
      </c>
      <c r="K12183" t="inlineStr">
        <is>
          <t>N/A</t>
        </is>
      </c>
      <c r="L12183" t="inlineStr">
        <is>
          <t>Tài Chính, Kế Toán</t>
        </is>
      </c>
      <c r="M12183" t="inlineStr">
        <is>
          <t>Bonus, Paid Leave, Others</t>
        </is>
      </c>
      <c r="N12183" s="8">
        <f>HYPERLINK("https://www.vietnamworks.com/pho-phong-tai-chinh--2024894-jv","Xem chi tiết")</f>
        <v/>
      </c>
    </row>
    <row r="12184">
      <c r="B12184" s="9" t="n">
        <v>12182</v>
      </c>
      <c r="C12184" s="10" t="inlineStr">
        <is>
          <t>C&amp;B Executive</t>
        </is>
      </c>
      <c r="D12184" s="10" t="inlineStr">
        <is>
          <t>Kinderworld International Group (Singapore International School)</t>
        </is>
      </c>
      <c r="E12184" s="10" t="inlineStr">
        <is>
          <t>Từ $ 800 /tháng</t>
        </is>
      </c>
      <c r="F12184" s="10" t="inlineStr">
        <is>
          <t>Hồ Chí Minh</t>
        </is>
      </c>
      <c r="G12184" s="10" t="inlineStr">
        <is>
          <t>Nhân viên</t>
        </is>
      </c>
      <c r="H12184" s="10" t="inlineStr">
        <is>
          <t>17/03/2026</t>
        </is>
      </c>
      <c r="I12184" s="10" t="inlineStr">
        <is>
          <t>16/04/2026</t>
        </is>
      </c>
      <c r="J12184" s="10" t="inlineStr">
        <is>
          <t>17/03/2026</t>
        </is>
      </c>
      <c r="K12184" s="10" t="inlineStr">
        <is>
          <t>N/A</t>
        </is>
      </c>
      <c r="L12184" s="10" t="inlineStr">
        <is>
          <t>Tuyển Dụng, Nhân Sự, HR, C&amp;B, Work Permit</t>
        </is>
      </c>
      <c r="M12184" s="10" t="inlineStr">
        <is>
          <t>Bonus, Paid Leave, Kindergarten</t>
        </is>
      </c>
      <c r="N12184" s="11">
        <f>HYPERLINK("https://www.vietnamworks.com/c-b-executive-127-1-1--2024890-jv","Xem chi tiết")</f>
        <v/>
      </c>
      <c r="O12184" s="10" t="n"/>
    </row>
    <row r="12185">
      <c r="B12185" s="7" t="n">
        <v>12183</v>
      </c>
      <c r="C12185" t="inlineStr">
        <is>
          <t>Machinery SME, Indirect Sourcing</t>
        </is>
      </c>
      <c r="D12185" t="inlineStr">
        <is>
          <t>Molex Vietnam Co., Ltd.</t>
        </is>
      </c>
      <c r="E12185" t="inlineStr">
        <is>
          <t>Thương lượng</t>
        </is>
      </c>
      <c r="F12185" t="inlineStr">
        <is>
          <t>Hưng Yên, Hà Nội</t>
        </is>
      </c>
      <c r="G12185" t="inlineStr">
        <is>
          <t>Nhân viên</t>
        </is>
      </c>
      <c r="H12185" t="inlineStr">
        <is>
          <t>17/03/2026</t>
        </is>
      </c>
      <c r="I12185" t="inlineStr">
        <is>
          <t>16/04/2026</t>
        </is>
      </c>
      <c r="J12185" t="inlineStr">
        <is>
          <t>17/03/2026</t>
        </is>
      </c>
      <c r="K12185" t="inlineStr">
        <is>
          <t>N/A</t>
        </is>
      </c>
      <c r="L12185" t="inlineStr">
        <is>
          <t>Analytical Skills, Collaboration, Procurement, Stakeholder Management, Optical Fiber Technology</t>
        </is>
      </c>
      <c r="M12185" t="inlineStr">
        <is>
          <t>Bonus, Healthcare Plan, Paid Leave, Training, Team Activities, Transportation, Others</t>
        </is>
      </c>
      <c r="N12185" s="8">
        <f>HYPERLINK("https://www.vietnamworks.com/machinery-sme-indirect-sourcing-2024887-jv","Xem chi tiết")</f>
        <v/>
      </c>
    </row>
    <row r="12186">
      <c r="B12186" s="9" t="n">
        <v>12184</v>
      </c>
      <c r="C12186" s="10" t="inlineStr">
        <is>
          <t>[ Hot Job ] Chuyên Viên Kinh Doanh / Sales Associate (Đà Nẵng)</t>
        </is>
      </c>
      <c r="D12186" s="10" t="inlineStr">
        <is>
          <t>Công ty  Cho thuê Tài chính TNHH BIDV - SuMi TRUST</t>
        </is>
      </c>
      <c r="E12186" s="10" t="inlineStr">
        <is>
          <t>Thương lượng</t>
        </is>
      </c>
      <c r="F12186" s="10" t="inlineStr">
        <is>
          <t>Đà Nẵng</t>
        </is>
      </c>
      <c r="G12186" s="10" t="inlineStr">
        <is>
          <t>Nhân viên</t>
        </is>
      </c>
      <c r="H12186" s="10" t="inlineStr">
        <is>
          <t>17/03/2026</t>
        </is>
      </c>
      <c r="I12186" s="10" t="inlineStr">
        <is>
          <t>16/04/2026</t>
        </is>
      </c>
      <c r="J12186" s="10" t="inlineStr">
        <is>
          <t>17/03/2026</t>
        </is>
      </c>
      <c r="K12186" s="10" t="inlineStr">
        <is>
          <t>N/A</t>
        </is>
      </c>
      <c r="L12186" s="10" t="inlineStr">
        <is>
          <t>Kinh Doanh, Tìm Kiếm Khách Hàng, Tiếng Anh, Tiếp thị, Đàm Phán</t>
        </is>
      </c>
      <c r="M12186" s="10" t="inlineStr">
        <is>
          <t>Bonus, Healthcare Plan, Others</t>
        </is>
      </c>
      <c r="N12186" s="11">
        <f>HYPERLINK("https://www.vietnamworks.com/hot-job-chuyen-vien-kinh-doanh-sales-associate-da-nang-2024900-jv","Xem chi tiết")</f>
        <v/>
      </c>
      <c r="O12186" s="10" t="n"/>
    </row>
    <row r="12187">
      <c r="B12187" s="7" t="n">
        <v>12185</v>
      </c>
      <c r="C12187" t="inlineStr">
        <is>
          <t>Sales Staff (Hợp Đồng 12 Tháng)</t>
        </is>
      </c>
      <c r="D12187" t="inlineStr">
        <is>
          <t>Shindengen Vietnam Co., Ltd</t>
        </is>
      </c>
      <c r="E12187" t="inlineStr">
        <is>
          <t>Thương lượng</t>
        </is>
      </c>
      <c r="F12187" t="inlineStr">
        <is>
          <t>Hưng Yên, Hà Nội, Hải Dương</t>
        </is>
      </c>
      <c r="G12187" t="inlineStr">
        <is>
          <t>Nhân viên</t>
        </is>
      </c>
      <c r="H12187" t="inlineStr">
        <is>
          <t>17/03/2026</t>
        </is>
      </c>
      <c r="I12187" t="inlineStr">
        <is>
          <t>16/04/2026</t>
        </is>
      </c>
      <c r="J12187" t="inlineStr">
        <is>
          <t>17/03/2026</t>
        </is>
      </c>
      <c r="K12187" t="inlineStr">
        <is>
          <t>N/A</t>
        </is>
      </c>
      <c r="L12187" t="inlineStr">
        <is>
          <t>Sales experience, Export-Import Knowledge, Báo Giá, MS Office</t>
        </is>
      </c>
      <c r="M12187" t="inlineStr">
        <is>
          <t>Healthcare Plan, Team Activities, Transportation, Others</t>
        </is>
      </c>
      <c r="N12187" s="8">
        <f>HYPERLINK("https://www.vietnamworks.com/sales-staff-hop-djong-12-thang-2024901-jv","Xem chi tiết")</f>
        <v/>
      </c>
    </row>
    <row r="12188">
      <c r="B12188" s="9" t="n">
        <v>12186</v>
      </c>
      <c r="C12188" s="10" t="inlineStr">
        <is>
          <t>Chuyên Viên Kế Hoạch Tài Chính/ Finance Planning Executive</t>
        </is>
      </c>
      <c r="D12188" s="10" t="inlineStr">
        <is>
          <t>Công Ty Cổ Phần Chuỗi Thực Phẩm TH</t>
        </is>
      </c>
      <c r="E12188" s="10" t="inlineStr">
        <is>
          <t>Thương lượng</t>
        </is>
      </c>
      <c r="F12188" s="10" t="inlineStr">
        <is>
          <t>Hà Nội</t>
        </is>
      </c>
      <c r="G12188" s="10" t="inlineStr">
        <is>
          <t>Nhân viên</t>
        </is>
      </c>
      <c r="H12188" s="10" t="inlineStr">
        <is>
          <t>17/03/2026</t>
        </is>
      </c>
      <c r="I12188" s="10" t="inlineStr">
        <is>
          <t>16/04/2026</t>
        </is>
      </c>
      <c r="J12188" s="10" t="inlineStr">
        <is>
          <t>17/03/2026</t>
        </is>
      </c>
      <c r="K12188" s="10" t="inlineStr">
        <is>
          <t>N/A</t>
        </is>
      </c>
      <c r="L12188" s="10" t="inlineStr">
        <is>
          <t>FMCG, Financial Planning, Financial Audit, Financial Analysis, Finance</t>
        </is>
      </c>
      <c r="M12188" s="10" t="inlineStr">
        <is>
          <t>Training</t>
        </is>
      </c>
      <c r="N12188" s="11">
        <f>HYPERLINK("https://www.vietnamworks.com/chuyen-vien-ke-hoach-tai-chinh-finance-planning-executive--2024920-jv","Xem chi tiết")</f>
        <v/>
      </c>
      <c r="O12188" s="10" t="n"/>
    </row>
    <row r="12189">
      <c r="B12189" s="7" t="n">
        <v>12187</v>
      </c>
      <c r="C12189" t="inlineStr">
        <is>
          <t>In-Process Quality Engineer (IPQC)</t>
        </is>
      </c>
      <c r="D12189" t="inlineStr">
        <is>
          <t>Molex Vietnam Co., Ltd.</t>
        </is>
      </c>
      <c r="E12189" t="inlineStr">
        <is>
          <t>Thương lượng</t>
        </is>
      </c>
      <c r="F12189" t="inlineStr">
        <is>
          <t>Hà Nội</t>
        </is>
      </c>
      <c r="G12189" t="inlineStr">
        <is>
          <t>Nhân viên</t>
        </is>
      </c>
      <c r="H12189" t="inlineStr">
        <is>
          <t>17/03/2026</t>
        </is>
      </c>
      <c r="I12189" t="inlineStr">
        <is>
          <t>16/04/2026</t>
        </is>
      </c>
      <c r="J12189" t="inlineStr">
        <is>
          <t>17/03/2026</t>
        </is>
      </c>
      <c r="K12189" t="inlineStr">
        <is>
          <t>N/A</t>
        </is>
      </c>
      <c r="L12189" t="inlineStr">
        <is>
          <t>Coaching, Lean Six Sigma, Quality Engineer, Root Cause Analysis, Statistical Analysis</t>
        </is>
      </c>
      <c r="M12189" t="inlineStr">
        <is>
          <t>Bonus, Healthcare Plan, Training, Transportation, Canteen, Others</t>
        </is>
      </c>
      <c r="N12189" s="8">
        <f>HYPERLINK("https://www.vietnamworks.com/in-process-quality-engineer-ipqc-2024914-jv","Xem chi tiết")</f>
        <v/>
      </c>
    </row>
    <row r="12190">
      <c r="B12190" s="9" t="n">
        <v>12188</v>
      </c>
      <c r="C12190" s="10" t="inlineStr">
        <is>
          <t>Kỹ Thuật Hiện Trường (Hỗ Trợ Chỗ Ăn Ở, Lương 18 - 28Tr++)</t>
        </is>
      </c>
      <c r="D12190" s="10" t="inlineStr">
        <is>
          <t>dong hui</t>
        </is>
      </c>
      <c r="E12190" s="10" t="inlineStr">
        <is>
          <t>18tr-28tr ₫/tháng</t>
        </is>
      </c>
      <c r="F12190" s="10" t="inlineStr">
        <is>
          <t>Hà Nội, Bắc Giang</t>
        </is>
      </c>
      <c r="G12190" s="10" t="inlineStr">
        <is>
          <t>Nhân viên</t>
        </is>
      </c>
      <c r="H12190" s="10" t="inlineStr">
        <is>
          <t>17/03/2026</t>
        </is>
      </c>
      <c r="I12190" s="10" t="inlineStr">
        <is>
          <t>16/04/2026</t>
        </is>
      </c>
      <c r="J12190" s="10" t="inlineStr">
        <is>
          <t>17/03/2026</t>
        </is>
      </c>
      <c r="K12190" s="10" t="inlineStr">
        <is>
          <t>N/A</t>
        </is>
      </c>
      <c r="L12190" s="10" t="inlineStr">
        <is>
          <t>AutoCAD, MEP, Nghiệm Thu Hiện Trường, Lập Bản Vẽ Thi Công, Kiểm Tra Chất Lượng Công Trình</t>
        </is>
      </c>
      <c r="M12190" s="10" t="inlineStr">
        <is>
          <t>Bonus, Healthcare Plan, Others</t>
        </is>
      </c>
      <c r="N12190" s="11">
        <f>HYPERLINK("https://www.vietnamworks.com/ky-thuat-hien-truong-ho-tro-cho-an-o-luong-18-28tr-2024917-jv","Xem chi tiết")</f>
        <v/>
      </c>
      <c r="O12190" s="10" t="n"/>
    </row>
    <row r="12191">
      <c r="B12191" s="7" t="n">
        <v>12189</v>
      </c>
      <c r="C12191" t="inlineStr">
        <is>
          <t>Key Account Manager</t>
        </is>
      </c>
      <c r="D12191" t="inlineStr">
        <is>
          <t>Công ty TNHH TUV Rheinland Vietnam.</t>
        </is>
      </c>
      <c r="E12191" t="inlineStr">
        <is>
          <t>Thương lượng</t>
        </is>
      </c>
      <c r="F12191" t="inlineStr">
        <is>
          <t>Hồ Chí Minh</t>
        </is>
      </c>
      <c r="G12191" t="inlineStr">
        <is>
          <t>Trưởng phòng</t>
        </is>
      </c>
      <c r="H12191" t="inlineStr">
        <is>
          <t>17/03/2026</t>
        </is>
      </c>
      <c r="I12191" t="inlineStr">
        <is>
          <t>16/04/2026</t>
        </is>
      </c>
      <c r="J12191" t="inlineStr">
        <is>
          <t>17/03/2026</t>
        </is>
      </c>
      <c r="K12191" t="inlineStr">
        <is>
          <t>N/A</t>
        </is>
      </c>
      <c r="L12191" t="inlineStr">
        <is>
          <t>Key Account Management, Tic Industry Knowledge, Softlines, English, Market Research</t>
        </is>
      </c>
      <c r="M12191" t="inlineStr">
        <is>
          <t>Bonus, Healthcare Plan, Paid Leave</t>
        </is>
      </c>
      <c r="N12191" s="8">
        <f>HYPERLINK("https://www.vietnamworks.com/key-account-manager--2024905-jv","Xem chi tiết")</f>
        <v/>
      </c>
    </row>
    <row r="12192">
      <c r="B12192" s="9" t="n">
        <v>12190</v>
      </c>
      <c r="C12192" s="10" t="inlineStr">
        <is>
          <t>Kỹ Sư Quản Lý Chất Lượng</t>
        </is>
      </c>
      <c r="D12192" s="10" t="inlineStr">
        <is>
          <t>Viettel VTX</t>
        </is>
      </c>
      <c r="E12192" s="10" t="inlineStr">
        <is>
          <t>Thương lượng</t>
        </is>
      </c>
      <c r="F12192" s="10" t="inlineStr">
        <is>
          <t>Thái Nguyên</t>
        </is>
      </c>
      <c r="G12192" s="10" t="inlineStr">
        <is>
          <t>Nhân viên</t>
        </is>
      </c>
      <c r="H12192" s="10" t="inlineStr">
        <is>
          <t>17/03/2026</t>
        </is>
      </c>
      <c r="I12192" s="10" t="inlineStr">
        <is>
          <t>16/04/2026</t>
        </is>
      </c>
      <c r="J12192" s="10" t="inlineStr">
        <is>
          <t>17/03/2026</t>
        </is>
      </c>
      <c r="K12192" s="10" t="inlineStr">
        <is>
          <t>N/A</t>
        </is>
      </c>
      <c r="L12192" s="10" t="inlineStr">
        <is>
          <t>Kỹ năng giao tiếp, Làm Việc Nhóm, Phân Tích Sản Xuất, Quản Lý Chất Lượng, Tư Duy Sáng Tạo</t>
        </is>
      </c>
      <c r="M12192" s="10" t="inlineStr">
        <is>
          <t>Healthcare Plan, Training, Others</t>
        </is>
      </c>
      <c r="N12192" s="11">
        <f>HYPERLINK("https://www.vietnamworks.com/ky-su-quan-ly-chat-luong-2024922-jv","Xem chi tiết")</f>
        <v/>
      </c>
      <c r="O12192" s="10" t="n"/>
    </row>
    <row r="12193">
      <c r="B12193" s="7" t="n">
        <v>12191</v>
      </c>
      <c r="C12193" t="inlineStr">
        <is>
          <t>Trưởng Nhóm Mua Hàng (Nguyên Liệu Giấy)</t>
        </is>
      </c>
      <c r="D12193" t="inlineStr">
        <is>
          <t>CÔNG TY TNHH MỘT THÀNH VIÊN BAO BÌ QUỐC TẾ</t>
        </is>
      </c>
      <c r="E12193" t="inlineStr">
        <is>
          <t>Tới 20tr ₫/tháng</t>
        </is>
      </c>
      <c r="F12193" t="inlineStr">
        <is>
          <t>Hà Nội</t>
        </is>
      </c>
      <c r="G12193" t="inlineStr">
        <is>
          <t>Nhân viên</t>
        </is>
      </c>
      <c r="H12193" t="inlineStr">
        <is>
          <t>17/03/2026</t>
        </is>
      </c>
      <c r="I12193" t="inlineStr">
        <is>
          <t>16/04/2026</t>
        </is>
      </c>
      <c r="J12193" t="inlineStr">
        <is>
          <t>17/03/2026</t>
        </is>
      </c>
      <c r="K12193" t="inlineStr">
        <is>
          <t>N/A</t>
        </is>
      </c>
      <c r="L12193" t="inlineStr">
        <is>
          <t>Kiểm Tra Chứng Từ, Lập Kế Hoạch Mua Hàng, Quản Lý Nhà Cung Cấp, Theo Dõi Tiến Độ, Thu Mua Nguyên Vật Liệu</t>
        </is>
      </c>
      <c r="M12193" t="inlineStr">
        <is>
          <t>Bonus, Healthcare Plan, Team Activities, Others</t>
        </is>
      </c>
      <c r="N12193" s="8">
        <f>HYPERLINK("https://www.vietnamworks.com/truong-nhom-mua-hang-nguyen-lieu-giay-2024919-jv","Xem chi tiết")</f>
        <v/>
      </c>
    </row>
    <row r="12194">
      <c r="B12194" s="9" t="n">
        <v>12192</v>
      </c>
      <c r="C12194" s="10" t="inlineStr">
        <is>
          <t>Chuyên Viên Dự Án - Đấu Thầu Trên Hệ Thống Mạng Đấu Thầu Quốc Gia Các Gói Thầu Thuộc EVN</t>
        </is>
      </c>
      <c r="D12194" s="10" t="inlineStr">
        <is>
          <t>CÔNG TY TNHH THƯƠNG MẠI DỊCH VỤ XUẤT NHẬP KHẨU KHÁNH HƯNG</t>
        </is>
      </c>
      <c r="E12194" s="10" t="inlineStr">
        <is>
          <t>Thương lượng</t>
        </is>
      </c>
      <c r="F12194" s="10" t="inlineStr">
        <is>
          <t>Hồ Chí Minh</t>
        </is>
      </c>
      <c r="G12194" s="10" t="inlineStr">
        <is>
          <t>Nhân viên</t>
        </is>
      </c>
      <c r="H12194" s="10" t="inlineStr">
        <is>
          <t>17/03/2026</t>
        </is>
      </c>
      <c r="I12194" s="10" t="inlineStr">
        <is>
          <t>16/04/2026</t>
        </is>
      </c>
      <c r="J12194" s="10" t="inlineStr">
        <is>
          <t>17/03/2026</t>
        </is>
      </c>
      <c r="K12194" s="10" t="inlineStr">
        <is>
          <t>N/A</t>
        </is>
      </c>
      <c r="L12194" s="10" t="inlineStr">
        <is>
          <t>Kỹ Thuật Điện, Hệ Thống Điện, Thiết Bị Điện, Đấu Thầu, Quản Lý Dự Án</t>
        </is>
      </c>
      <c r="M12194" s="10" t="inlineStr">
        <is>
          <t>Healthcare Plan</t>
        </is>
      </c>
      <c r="N12194" s="11">
        <f>HYPERLINK("https://www.vietnamworks.com/chuyen-vien-du-an-djau-thau-tren-he-thong-mang-djau-thau-quoc-gia-cac-goi-thau-thuoc-evn-2024904-jv","Xem chi tiết")</f>
        <v/>
      </c>
      <c r="O12194" s="10" t="n"/>
    </row>
    <row r="12195">
      <c r="B12195" s="7" t="n">
        <v>12193</v>
      </c>
      <c r="C12195" t="inlineStr">
        <is>
          <t xml:space="preserve">MEP QS Specialist - Chuyên Viên Dự Toán &amp; Kiểm Soát Khối Lượng MEP </t>
        </is>
      </c>
      <c r="D12195" t="inlineStr">
        <is>
          <t>CÔNG TY CỔ PHẦN ĐẦU TƯ VÀ QUẢN LÝ KHÁCH SẠN AKYN</t>
        </is>
      </c>
      <c r="E12195" t="inlineStr">
        <is>
          <t>28tr-30tr ₫/tháng</t>
        </is>
      </c>
      <c r="F12195" t="inlineStr">
        <is>
          <t>Hồ Chí Minh</t>
        </is>
      </c>
      <c r="G12195" t="inlineStr">
        <is>
          <t>Nhân viên</t>
        </is>
      </c>
      <c r="H12195" t="inlineStr">
        <is>
          <t>17/03/2026</t>
        </is>
      </c>
      <c r="I12195" t="inlineStr">
        <is>
          <t>16/04/2026</t>
        </is>
      </c>
      <c r="J12195" t="inlineStr">
        <is>
          <t>17/03/2026</t>
        </is>
      </c>
      <c r="K12195" t="inlineStr">
        <is>
          <t>N/A</t>
        </is>
      </c>
      <c r="L12195" t="inlineStr">
        <is>
          <t>Analytical Skills, Contract Management, Cost Estimation, Procurement</t>
        </is>
      </c>
      <c r="M12195" t="inlineStr">
        <is>
          <t>Bonus, Healthcare Plan, Paid Leave, Training, Laptop, Team Activities, Others</t>
        </is>
      </c>
      <c r="N12195" s="8">
        <f>HYPERLINK("https://www.vietnamworks.com/mep-qs-specialist-chuyen-vien-du-toan-and-kiem-soat-khoi-luong-mep-2024916-jv","Xem chi tiết")</f>
        <v/>
      </c>
    </row>
    <row r="12196">
      <c r="B12196" s="9" t="n">
        <v>12194</v>
      </c>
      <c r="C12196" s="10" t="inlineStr">
        <is>
          <t>[HN] Procurement Staff</t>
        </is>
      </c>
      <c r="D12196" s="10" t="inlineStr">
        <is>
          <t>CÔNG TY TNHH YIC ONE</t>
        </is>
      </c>
      <c r="E12196" s="10" t="inlineStr">
        <is>
          <t>Thương lượng</t>
        </is>
      </c>
      <c r="F12196" s="10" t="inlineStr">
        <is>
          <t>Hà Nội</t>
        </is>
      </c>
      <c r="G12196" s="10" t="inlineStr">
        <is>
          <t>Nhân viên</t>
        </is>
      </c>
      <c r="H12196" s="10" t="inlineStr">
        <is>
          <t>17/03/2026</t>
        </is>
      </c>
      <c r="I12196" s="10" t="inlineStr">
        <is>
          <t>16/04/2026</t>
        </is>
      </c>
      <c r="J12196" s="10" t="inlineStr">
        <is>
          <t>17/03/2026</t>
        </is>
      </c>
      <c r="K12196" s="10" t="inlineStr">
        <is>
          <t>N/A</t>
        </is>
      </c>
      <c r="L12196" s="10" t="inlineStr">
        <is>
          <t>Analytical Skills, Contract Negotiation, Problem-solving, Purchasing, Supplier Sourcing</t>
        </is>
      </c>
      <c r="M12196" s="10" t="inlineStr">
        <is>
          <t>Bonus, Training, Team Activities, Others</t>
        </is>
      </c>
      <c r="N12196" s="11">
        <f>HYPERLINK("https://www.vietnamworks.com/hn-procurement-staff-2024929-jv","Xem chi tiết")</f>
        <v/>
      </c>
      <c r="O12196" s="10" t="n"/>
    </row>
    <row r="12197">
      <c r="B12197" s="7" t="n">
        <v>12195</v>
      </c>
      <c r="C12197" t="inlineStr">
        <is>
          <t>Facilities SME, Indirect Sourcing</t>
        </is>
      </c>
      <c r="D12197" t="inlineStr">
        <is>
          <t>Molex Vietnam Co., Ltd.</t>
        </is>
      </c>
      <c r="E12197" t="inlineStr">
        <is>
          <t>Thương lượng</t>
        </is>
      </c>
      <c r="F12197" t="inlineStr">
        <is>
          <t>Hưng Yên</t>
        </is>
      </c>
      <c r="G12197" t="inlineStr">
        <is>
          <t>Nhân viên</t>
        </is>
      </c>
      <c r="H12197" t="inlineStr">
        <is>
          <t>17/03/2026</t>
        </is>
      </c>
      <c r="I12197" t="inlineStr">
        <is>
          <t>16/04/2026</t>
        </is>
      </c>
      <c r="J12197" t="inlineStr">
        <is>
          <t>17/03/2026</t>
        </is>
      </c>
      <c r="K12197" t="inlineStr">
        <is>
          <t>N/A</t>
        </is>
      </c>
      <c r="L12197" t="inlineStr">
        <is>
          <t>Engineering Design, Familiar with Procurement Process, Fiber Optic Cable, Leadership Skills, Problem Solving</t>
        </is>
      </c>
      <c r="M12197" t="inlineStr">
        <is>
          <t>Bonus, Healthcare Plan, Travel Opportunities, Team Activities, Transportation, Canteen, Others</t>
        </is>
      </c>
      <c r="N12197" s="8">
        <f>HYPERLINK("https://www.vietnamworks.com/facilities-sme-indirect-sourcing-2024927-jv","Xem chi tiết")</f>
        <v/>
      </c>
    </row>
    <row r="12198">
      <c r="B12198" s="9" t="n">
        <v>12196</v>
      </c>
      <c r="C12198" s="10" t="inlineStr">
        <is>
          <t>Phó Giám Đốc Phát Triển Kinh Doanh Saigon Ratings</t>
        </is>
      </c>
      <c r="D12198" s="10" t="inlineStr">
        <is>
          <t>CÔNG TY CỔ PHẦN SÀI GÒN PHÁT THỊNH RATINGS</t>
        </is>
      </c>
      <c r="E12198" s="10" t="inlineStr">
        <is>
          <t>Thương lượng</t>
        </is>
      </c>
      <c r="F12198" s="10" t="inlineStr">
        <is>
          <t>Hồ Chí Minh, Hà Nội</t>
        </is>
      </c>
      <c r="G12198" s="10" t="inlineStr">
        <is>
          <t>Giám Đốc và Cấp Cao Hơn</t>
        </is>
      </c>
      <c r="H12198" s="10" t="inlineStr">
        <is>
          <t>17/03/2026</t>
        </is>
      </c>
      <c r="I12198" s="10" t="inlineStr">
        <is>
          <t>16/04/2026</t>
        </is>
      </c>
      <c r="J12198" s="10" t="inlineStr">
        <is>
          <t>17/03/2026</t>
        </is>
      </c>
      <c r="K12198" s="10" t="inlineStr">
        <is>
          <t>N/A</t>
        </is>
      </c>
      <c r="L12198" s="10" t="inlineStr">
        <is>
          <t>Quản Lý Dự Án, Phát Triển Kinh Doanh, Giao Tiếp Tiếng Anh, Digital Marketing, Tư Vấn Khách Hàng</t>
        </is>
      </c>
      <c r="M12198" s="10" t="inlineStr">
        <is>
          <t>Healthcare Plan, Training, Others</t>
        </is>
      </c>
      <c r="N12198" s="11">
        <f>HYPERLINK("https://www.vietnamworks.com/pho-giam-djoc-phat-trien-kinh-doanh-saigon-ratings-2024907-jv","Xem chi tiết")</f>
        <v/>
      </c>
      <c r="O12198" s="10" t="n"/>
    </row>
    <row r="12199">
      <c r="B12199" s="7" t="n">
        <v>12197</v>
      </c>
      <c r="C12199" t="inlineStr">
        <is>
          <t>(JP 231) Kỹ Sư Thiết Kế Cơ Khí 3D CAD: Máy Chuyển Hàng, Tiếp Nhiên Liệu Tàu Biển (Bunkering)- Đi Nhật Miễn Phí Làm Việc Tại Tokyo</t>
        </is>
      </c>
      <c r="D12199" t="inlineStr">
        <is>
          <t>Công Ty TNHH R Techno Việt Nam</t>
        </is>
      </c>
      <c r="E12199" t="inlineStr">
        <is>
          <t>¥ 400,000-550,000 /tháng</t>
        </is>
      </c>
      <c r="F12199" t="inlineStr">
        <is>
          <t>Hồ Chí Minh</t>
        </is>
      </c>
      <c r="G12199" t="inlineStr">
        <is>
          <t>Nhân viên</t>
        </is>
      </c>
      <c r="H12199" t="inlineStr">
        <is>
          <t>17/03/2026</t>
        </is>
      </c>
      <c r="I12199" t="inlineStr">
        <is>
          <t>16/04/2026</t>
        </is>
      </c>
      <c r="J12199" t="inlineStr">
        <is>
          <t>17/03/2026</t>
        </is>
      </c>
      <c r="K12199" t="inlineStr">
        <is>
          <t>N/A</t>
        </is>
      </c>
      <c r="L12199" t="inlineStr">
        <is>
          <t>Bản Vẽ Kỹ Thuật, Làm Tài Liệu Kỹ Thuật, Thiết Kế 3D, Thiết Kế Cơ Khí</t>
        </is>
      </c>
      <c r="M12199" t="inlineStr">
        <is>
          <t>Healthcare Plan, Paid Leave, Others</t>
        </is>
      </c>
      <c r="N12199" s="8">
        <f>HYPERLINK("https://www.vietnamworks.com/-jp-231-ky-su-thiet-ke-co-khi-3d-cad-may-chuyen-hang-tiep-nhien-lieu-tau-bien-bunkering-dji-nhat-mien-phi-lam-viec-tai-tokyo-2024926-jv","Xem chi tiết")</f>
        <v/>
      </c>
    </row>
    <row r="12200">
      <c r="B12200" s="9" t="n">
        <v>12198</v>
      </c>
      <c r="C12200" s="10" t="inlineStr">
        <is>
          <t>Trưởng Bộ Phận Chăm Sóc Khách Hàng</t>
        </is>
      </c>
      <c r="D12200" s="10" t="inlineStr">
        <is>
          <t>Công Ty Cổ Phần Tập đoàn Đầu tư Thái Nam</t>
        </is>
      </c>
      <c r="E12200" s="10" t="inlineStr">
        <is>
          <t>Thương lượng</t>
        </is>
      </c>
      <c r="F12200" s="10" t="inlineStr">
        <is>
          <t>Hải Phòng</t>
        </is>
      </c>
      <c r="G12200" s="10" t="inlineStr">
        <is>
          <t>Trưởng phòng</t>
        </is>
      </c>
      <c r="H12200" s="10" t="inlineStr">
        <is>
          <t>17/03/2026</t>
        </is>
      </c>
      <c r="I12200" s="10" t="inlineStr">
        <is>
          <t>16/04/2026</t>
        </is>
      </c>
      <c r="J12200" s="10" t="inlineStr">
        <is>
          <t>17/03/2026</t>
        </is>
      </c>
      <c r="K12200" s="10" t="inlineStr">
        <is>
          <t>N/A</t>
        </is>
      </c>
      <c r="L12200" s="10" t="inlineStr">
        <is>
          <t>Giao Tiếp, Kinh Nghiệm Bđs, Quản Lý Công Nợ, Quản Lý Thời Gian, Tin Học Văn Phòng</t>
        </is>
      </c>
      <c r="M12200" s="10" t="inlineStr">
        <is>
          <t>Bonus, Healthcare Plan, Team Activities, Others</t>
        </is>
      </c>
      <c r="N12200" s="11">
        <f>HYPERLINK("https://www.vietnamworks.com/truong-bo-phan-cham-soc-khach-hang-2024923-jv","Xem chi tiết")</f>
        <v/>
      </c>
      <c r="O12200" s="10" t="n"/>
    </row>
    <row r="12201">
      <c r="B12201" s="7" t="n">
        <v>12199</v>
      </c>
      <c r="C12201" t="inlineStr">
        <is>
          <t>Kế Toán Tổng Hợp _ Kinh Nghiệm Quyết Toán Thuế</t>
        </is>
      </c>
      <c r="D12201" t="inlineStr">
        <is>
          <t>East Sea Travel &amp; Air Service</t>
        </is>
      </c>
      <c r="E12201" t="inlineStr">
        <is>
          <t>$$ 700-900 /tháng</t>
        </is>
      </c>
      <c r="F12201" t="inlineStr">
        <is>
          <t>Hồ Chí Minh</t>
        </is>
      </c>
      <c r="G12201" t="inlineStr">
        <is>
          <t>Nhân viên</t>
        </is>
      </c>
      <c r="H12201" t="inlineStr">
        <is>
          <t>17/03/2026</t>
        </is>
      </c>
      <c r="I12201" t="inlineStr">
        <is>
          <t>16/04/2026</t>
        </is>
      </c>
      <c r="J12201" t="inlineStr">
        <is>
          <t>17/03/2026</t>
        </is>
      </c>
      <c r="K12201" t="inlineStr">
        <is>
          <t>N/A</t>
        </is>
      </c>
      <c r="L12201" t="inlineStr">
        <is>
          <t>Theo Dõi Công Nợ, Báo Cáo Tài Chính, Hệ Thống Thuế, Chứng Từ Hóa Đơn, Kiểm Toán</t>
        </is>
      </c>
      <c r="M12201" t="inlineStr">
        <is>
          <t>Bonus, Healthcare Plan, Travel Opportunities</t>
        </is>
      </c>
      <c r="N12201" s="8">
        <f>HYPERLINK("https://www.vietnamworks.com/ke-toan-tong-hop-kinh-nghiem-quyet-toan-thue-2024928-jv","Xem chi tiết")</f>
        <v/>
      </c>
    </row>
    <row r="12202">
      <c r="B12202" s="9" t="n">
        <v>12200</v>
      </c>
      <c r="C12202" s="10" t="inlineStr">
        <is>
          <t>Business Process Analyst (Hanoi Office)</t>
        </is>
      </c>
      <c r="D12202" s="10" t="inlineStr">
        <is>
          <t>Acclime Vietnam</t>
        </is>
      </c>
      <c r="E12202" s="10" t="inlineStr">
        <is>
          <t>Thương lượng</t>
        </is>
      </c>
      <c r="F12202" s="10" t="inlineStr">
        <is>
          <t>Hà Nội</t>
        </is>
      </c>
      <c r="G12202" s="10" t="inlineStr">
        <is>
          <t>Nhân viên</t>
        </is>
      </c>
      <c r="H12202" s="10" t="inlineStr">
        <is>
          <t>17/03/2026</t>
        </is>
      </c>
      <c r="I12202" s="10" t="inlineStr">
        <is>
          <t>16/04/2026</t>
        </is>
      </c>
      <c r="J12202" s="10" t="inlineStr">
        <is>
          <t>17/03/2026</t>
        </is>
      </c>
      <c r="K12202" s="10" t="inlineStr">
        <is>
          <t>N/A</t>
        </is>
      </c>
      <c r="L12202" s="10" t="inlineStr">
        <is>
          <t>English, Business Process Improvement, Lean Six Sigma, Cross-Cultural Communication, Operational Process Analysis</t>
        </is>
      </c>
      <c r="M12202" s="10" t="inlineStr">
        <is>
          <t>Bonus, Healthcare Plan, Training</t>
        </is>
      </c>
      <c r="N12202" s="11">
        <f>HYPERLINK("https://www.vietnamworks.com/business-process-analyst-hanoi-office-2024911-jv","Xem chi tiết")</f>
        <v/>
      </c>
      <c r="O12202" s="10" t="n"/>
    </row>
    <row r="12203">
      <c r="B12203" s="7" t="n">
        <v>12201</v>
      </c>
      <c r="C12203" t="inlineStr">
        <is>
          <t>Sales Supervisor - Livestock</t>
        </is>
      </c>
      <c r="D12203" t="inlineStr">
        <is>
          <t>Archer Daniels Midland (ADM)</t>
        </is>
      </c>
      <c r="E12203" t="inlineStr">
        <is>
          <t>Thương lượng</t>
        </is>
      </c>
      <c r="F12203" t="inlineStr">
        <is>
          <t>Đắk Lắk</t>
        </is>
      </c>
      <c r="G12203" t="inlineStr">
        <is>
          <t>Nhân viên</t>
        </is>
      </c>
      <c r="H12203" t="inlineStr">
        <is>
          <t>17/03/2026</t>
        </is>
      </c>
      <c r="I12203" t="inlineStr">
        <is>
          <t>16/04/2026</t>
        </is>
      </c>
      <c r="J12203" t="inlineStr">
        <is>
          <t>17/03/2026</t>
        </is>
      </c>
      <c r="K12203" t="inlineStr">
        <is>
          <t>N/A</t>
        </is>
      </c>
      <c r="L12203" t="inlineStr">
        <is>
          <t>Nhân viên kinh doanh, Thức Ăn Chăn Nuôi, Sales Supervisor, Sales, Giám Sát Kinh Doanh</t>
        </is>
      </c>
      <c r="M12203" t="inlineStr">
        <is>
          <t>Healthcare Plan</t>
        </is>
      </c>
      <c r="N12203" s="8">
        <f>HYPERLINK("https://www.vietnamworks.com/sales-supervisor-livestock-2024930-jv","Xem chi tiết")</f>
        <v/>
      </c>
    </row>
    <row r="12204">
      <c r="B12204" s="9" t="n">
        <v>12202</v>
      </c>
      <c r="C12204" s="10" t="inlineStr">
        <is>
          <t>Hybrid Accountant (Part-Time / Flexible)</t>
        </is>
      </c>
      <c r="D12204" s="10" t="inlineStr">
        <is>
          <t>Hybrid Sports Lounge</t>
        </is>
      </c>
      <c r="E12204" s="10" t="inlineStr">
        <is>
          <t>10tr-12tr ₫/tháng</t>
        </is>
      </c>
      <c r="F12204" s="10" t="inlineStr">
        <is>
          <t>Đà Nẵng</t>
        </is>
      </c>
      <c r="G12204" s="10" t="inlineStr">
        <is>
          <t>Nhân viên</t>
        </is>
      </c>
      <c r="H12204" s="10" t="inlineStr">
        <is>
          <t>17/03/2026</t>
        </is>
      </c>
      <c r="I12204" s="10" t="inlineStr">
        <is>
          <t>16/04/2026</t>
        </is>
      </c>
      <c r="J12204" s="10" t="inlineStr">
        <is>
          <t>17/03/2026</t>
        </is>
      </c>
      <c r="K12204" s="10" t="inlineStr">
        <is>
          <t>N/A</t>
        </is>
      </c>
      <c r="L12204" s="10" t="inlineStr">
        <is>
          <t>Accounting, Finance, Vietnam Tax Law, VAT Invoice, Solution Oriented</t>
        </is>
      </c>
      <c r="M12204" s="10" t="inlineStr">
        <is>
          <t>Bonus, Healthcare Plan, Paid Leave, Others</t>
        </is>
      </c>
      <c r="N12204" s="11">
        <f>HYPERLINK("https://www.vietnamworks.com/hybrid-accountant-part-time-flexible-2024932-jv","Xem chi tiết")</f>
        <v/>
      </c>
      <c r="O12204" s="10" t="n"/>
    </row>
    <row r="12205">
      <c r="B12205" s="7" t="n">
        <v>12203</v>
      </c>
      <c r="C12205" t="inlineStr">
        <is>
          <t>Relationship Manager</t>
        </is>
      </c>
      <c r="D12205" t="inlineStr">
        <is>
          <t>China Construction Bank Corporation – HCMC Branch</t>
        </is>
      </c>
      <c r="E12205" t="inlineStr">
        <is>
          <t>Thương lượng</t>
        </is>
      </c>
      <c r="F12205" t="inlineStr">
        <is>
          <t>Hồ Chí Minh</t>
        </is>
      </c>
      <c r="G12205" t="inlineStr">
        <is>
          <t>Trưởng phòng</t>
        </is>
      </c>
      <c r="H12205" t="inlineStr">
        <is>
          <t>17/03/2026</t>
        </is>
      </c>
      <c r="I12205" t="inlineStr">
        <is>
          <t>16/04/2026</t>
        </is>
      </c>
      <c r="J12205" t="inlineStr">
        <is>
          <t>17/03/2026</t>
        </is>
      </c>
      <c r="K12205" t="inlineStr">
        <is>
          <t>N/A</t>
        </is>
      </c>
      <c r="L12205" t="inlineStr">
        <is>
          <t>Financial Solution, Banking Regulation, Interpersonal skills, Credit, Relationship Management</t>
        </is>
      </c>
      <c r="M12205" t="inlineStr">
        <is>
          <t>Bonus, Healthcare Plan, Team Activities</t>
        </is>
      </c>
      <c r="N12205" s="8">
        <f>HYPERLINK("https://www.vietnamworks.com/relationship-manager-2024931-jv","Xem chi tiết")</f>
        <v/>
      </c>
    </row>
    <row r="12206">
      <c r="B12206" s="9" t="n">
        <v>12204</v>
      </c>
      <c r="C12206" s="10" t="inlineStr">
        <is>
          <t>Kỹ Sư Công Trình Kết Cấu Thép</t>
        </is>
      </c>
      <c r="D12206" s="10" t="inlineStr">
        <is>
          <t>Công Ty TNHH Xây Dựng Thương Mại Dịch Vụ Hồng Tín</t>
        </is>
      </c>
      <c r="E12206" s="10" t="inlineStr">
        <is>
          <t>13tr-20tr ₫/tháng</t>
        </is>
      </c>
      <c r="F12206" s="10" t="inlineStr">
        <is>
          <t>Bình Dương, Bình Phước</t>
        </is>
      </c>
      <c r="G12206" s="10" t="inlineStr">
        <is>
          <t>Nhân viên</t>
        </is>
      </c>
      <c r="H12206" s="10" t="inlineStr">
        <is>
          <t>17/03/2026</t>
        </is>
      </c>
      <c r="I12206" s="10" t="inlineStr">
        <is>
          <t>16/04/2026</t>
        </is>
      </c>
      <c r="J12206" s="10" t="inlineStr">
        <is>
          <t>17/03/2026</t>
        </is>
      </c>
      <c r="K12206" s="10" t="inlineStr">
        <is>
          <t>N/A</t>
        </is>
      </c>
      <c r="L12206" s="10" t="inlineStr">
        <is>
          <t>Autocad, Giám Sát Thi Công, Kết Cấu Thép, Lập Trình AutoCAD, Xây Dựng</t>
        </is>
      </c>
      <c r="M12206" s="10" t="inlineStr">
        <is>
          <t>Bonus, Healthcare Plan, Others</t>
        </is>
      </c>
      <c r="N12206" s="11">
        <f>HYPERLINK("https://www.vietnamworks.com/ky-su-cong-trinh-ket-cau-thep-2024944-jv","Xem chi tiết")</f>
        <v/>
      </c>
      <c r="O12206" s="10" t="n"/>
    </row>
    <row r="12207">
      <c r="B12207" s="7" t="n">
        <v>12205</v>
      </c>
      <c r="C12207" t="inlineStr">
        <is>
          <t>[HN] Personal Income Tax Specialist</t>
        </is>
      </c>
      <c r="D12207" t="inlineStr">
        <is>
          <t>CÔNG TY TNHH YIC ONE</t>
        </is>
      </c>
      <c r="E12207" t="inlineStr">
        <is>
          <t>Thương lượng</t>
        </is>
      </c>
      <c r="F12207" t="inlineStr">
        <is>
          <t>Hà Nội</t>
        </is>
      </c>
      <c r="G12207" t="inlineStr">
        <is>
          <t>Nhân viên</t>
        </is>
      </c>
      <c r="H12207" t="inlineStr">
        <is>
          <t>17/03/2026</t>
        </is>
      </c>
      <c r="I12207" t="inlineStr">
        <is>
          <t>16/04/2026</t>
        </is>
      </c>
      <c r="J12207" t="inlineStr">
        <is>
          <t>17/03/2026</t>
        </is>
      </c>
      <c r="K12207" t="inlineStr">
        <is>
          <t>N/A</t>
        </is>
      </c>
      <c r="L12207" t="inlineStr">
        <is>
          <t>English Communication, Personal Income Tax, Tax Calculation, Tax Declaration, Technical Advisory</t>
        </is>
      </c>
      <c r="M12207" t="inlineStr">
        <is>
          <t>Bonus, Healthcare Plan, Paid Leave, Training, Laptop, Team Activities, Others</t>
        </is>
      </c>
      <c r="N12207" s="8">
        <f>HYPERLINK("https://www.vietnamworks.com/hn-personal-income-tax-specialist-2024936-jv","Xem chi tiết")</f>
        <v/>
      </c>
    </row>
    <row r="12208">
      <c r="B12208" s="9" t="n">
        <v>12206</v>
      </c>
      <c r="C12208" s="10" t="inlineStr">
        <is>
          <t>Thiết Kế Điện (Topk) - Kinh Nghiệm 3 Năm Trở Lên</t>
        </is>
      </c>
      <c r="D12208" s="10" t="inlineStr">
        <is>
          <t>CÔNG TY TRÁCH NHIỆM HỮU HẠN TOP ENGINEERING VINA</t>
        </is>
      </c>
      <c r="E12208" s="10" t="inlineStr">
        <is>
          <t>Thương lượng</t>
        </is>
      </c>
      <c r="F12208" s="10" t="inlineStr">
        <is>
          <t>Vĩnh Phúc, Hà Nội</t>
        </is>
      </c>
      <c r="G12208" s="10" t="inlineStr">
        <is>
          <t>Nhân viên</t>
        </is>
      </c>
      <c r="H12208" s="10" t="inlineStr">
        <is>
          <t>17/03/2026</t>
        </is>
      </c>
      <c r="I12208" s="10" t="inlineStr">
        <is>
          <t>16/04/2026</t>
        </is>
      </c>
      <c r="J12208" s="10" t="inlineStr">
        <is>
          <t>17/03/2026</t>
        </is>
      </c>
      <c r="K12208" s="10" t="inlineStr">
        <is>
          <t>N/A</t>
        </is>
      </c>
      <c r="L12208" s="10" t="inlineStr">
        <is>
          <t>Electrical Engineering, M&amp;E, Autocad, EPLAN, Tiếng Hàn</t>
        </is>
      </c>
      <c r="M12208" s="10" t="inlineStr">
        <is>
          <t>Bonus</t>
        </is>
      </c>
      <c r="N12208" s="11">
        <f>HYPERLINK("https://www.vietnamworks.com/thiet-ke-djien-topk-kinh-nghiem-3-nam-tro-len-2024941-jv","Xem chi tiết")</f>
        <v/>
      </c>
      <c r="O12208" s="10" t="n"/>
    </row>
    <row r="12209">
      <c r="B12209" s="7" t="n">
        <v>12207</v>
      </c>
      <c r="C12209" t="inlineStr">
        <is>
          <t>Sourcing Specialist</t>
        </is>
      </c>
      <c r="D12209" t="inlineStr">
        <is>
          <t>Molex Vietnam Co., Ltd.</t>
        </is>
      </c>
      <c r="E12209" t="inlineStr">
        <is>
          <t>Thương lượng</t>
        </is>
      </c>
      <c r="F12209" t="inlineStr">
        <is>
          <t>Hưng Yên, Bắc Ninh, Hà Nội</t>
        </is>
      </c>
      <c r="G12209" t="inlineStr">
        <is>
          <t>Nhân viên</t>
        </is>
      </c>
      <c r="H12209" t="inlineStr">
        <is>
          <t>17/03/2026</t>
        </is>
      </c>
      <c r="I12209" t="inlineStr">
        <is>
          <t>16/04/2026</t>
        </is>
      </c>
      <c r="J12209" t="inlineStr">
        <is>
          <t>17/03/2026</t>
        </is>
      </c>
      <c r="K12209" t="inlineStr">
        <is>
          <t>N/A</t>
        </is>
      </c>
      <c r="L12209" t="inlineStr">
        <is>
          <t>Supply Chain, Supplier Sourcing, Sourcing Management, Supplier Management</t>
        </is>
      </c>
      <c r="M12209" t="inlineStr">
        <is>
          <t>Bonus, Healthcare Plan, Transportation</t>
        </is>
      </c>
      <c r="N12209" s="8">
        <f>HYPERLINK("https://www.vietnamworks.com/sourcing-specialist--2024937-jv","Xem chi tiết")</f>
        <v/>
      </c>
    </row>
    <row r="12210">
      <c r="B12210" s="9" t="n">
        <v>12208</v>
      </c>
      <c r="C12210" s="10" t="inlineStr">
        <is>
          <t>Kế Toán Tổng Hợp</t>
        </is>
      </c>
      <c r="D12210" s="10" t="inlineStr">
        <is>
          <t>Công Ty Cổ Phần Tập Đoàn BRG</t>
        </is>
      </c>
      <c r="E12210" s="10" t="inlineStr">
        <is>
          <t>Thương lượng</t>
        </is>
      </c>
      <c r="F12210" s="10" t="inlineStr">
        <is>
          <t>Hà Nội</t>
        </is>
      </c>
      <c r="G12210" s="10" t="inlineStr">
        <is>
          <t>Nhân viên</t>
        </is>
      </c>
      <c r="H12210" s="10" t="inlineStr">
        <is>
          <t>17/03/2026</t>
        </is>
      </c>
      <c r="I12210" s="10" t="inlineStr">
        <is>
          <t>16/04/2026</t>
        </is>
      </c>
      <c r="J12210" s="10" t="inlineStr">
        <is>
          <t>17/03/2026</t>
        </is>
      </c>
      <c r="K12210" s="10" t="inlineStr">
        <is>
          <t>N/A</t>
        </is>
      </c>
      <c r="L12210" s="10" t="inlineStr">
        <is>
          <t>Accounting Software, Analytical Skills, Communication Skills, Financial Reporting, General Accounting Principals</t>
        </is>
      </c>
      <c r="M12210" s="10" t="inlineStr">
        <is>
          <t>Bonus, Healthcare Plan, Training, Others</t>
        </is>
      </c>
      <c r="N12210" s="11">
        <f>HYPERLINK("https://www.vietnamworks.com/ke-toan-tong-hop-2024943-jv","Xem chi tiết")</f>
        <v/>
      </c>
      <c r="O12210" s="10" t="n"/>
    </row>
    <row r="12211">
      <c r="B12211" s="7" t="n">
        <v>12209</v>
      </c>
      <c r="C12211" t="inlineStr">
        <is>
          <t>Kỹ Sư Kinh Tế Xây Dựng</t>
        </is>
      </c>
      <c r="D12211" t="inlineStr">
        <is>
          <t>Công ty Cổ phần Đầu tư và Phát triển Bất động sản HUDLAND</t>
        </is>
      </c>
      <c r="E12211" t="inlineStr">
        <is>
          <t>Thương lượng</t>
        </is>
      </c>
      <c r="F12211" t="inlineStr">
        <is>
          <t>Hà Nội</t>
        </is>
      </c>
      <c r="G12211" t="inlineStr">
        <is>
          <t>Nhân viên</t>
        </is>
      </c>
      <c r="H12211" t="inlineStr">
        <is>
          <t>17/03/2026</t>
        </is>
      </c>
      <c r="I12211" t="inlineStr">
        <is>
          <t>16/04/2026</t>
        </is>
      </c>
      <c r="J12211" t="inlineStr">
        <is>
          <t>17/03/2026</t>
        </is>
      </c>
      <c r="K12211" t="inlineStr">
        <is>
          <t>N/A</t>
        </is>
      </c>
      <c r="L12211" t="inlineStr">
        <is>
          <t>Kinh Tế Xây Dựng, Thi Công Công Trình, Xây Dựng, Đấu Thầu, Đấu Thầu Xây Dựng</t>
        </is>
      </c>
      <c r="M12211" t="inlineStr">
        <is>
          <t>Healthcare Plan, Transportation, Kindergarten</t>
        </is>
      </c>
      <c r="N12211" s="8">
        <f>HYPERLINK("https://www.vietnamworks.com/ky-su-kinh-te-xay-dung-2024942-jv","Xem chi tiết")</f>
        <v/>
      </c>
    </row>
    <row r="12212">
      <c r="B12212" s="9" t="n">
        <v>12210</v>
      </c>
      <c r="C12212" s="10" t="inlineStr">
        <is>
          <t>Nhân Viên Kỹ Thuật Địa Chất (Các Dự Án Trong Khu Vực HCM)</t>
        </is>
      </c>
      <c r="D12212" s="10" t="inlineStr">
        <is>
          <t>Công ty Cổ phần Tư vấn Xây dựng Hoàng Long</t>
        </is>
      </c>
      <c r="E12212" s="10" t="inlineStr">
        <is>
          <t>Thương lượng</t>
        </is>
      </c>
      <c r="F12212" s="10" t="inlineStr">
        <is>
          <t>Hồ Chí Minh</t>
        </is>
      </c>
      <c r="G12212" s="10" t="inlineStr">
        <is>
          <t>Nhân viên</t>
        </is>
      </c>
      <c r="H12212" s="10" t="inlineStr">
        <is>
          <t>17/03/2026</t>
        </is>
      </c>
      <c r="I12212" s="10" t="inlineStr">
        <is>
          <t>16/04/2026</t>
        </is>
      </c>
      <c r="J12212" s="10" t="inlineStr">
        <is>
          <t>17/03/2026</t>
        </is>
      </c>
      <c r="K12212" s="10" t="inlineStr">
        <is>
          <t>N/A</t>
        </is>
      </c>
      <c r="L12212" s="10" t="inlineStr">
        <is>
          <t>Địa Chất Công Trình, Kỹ Thuật, AutoCAD, Công Trình Giao Thông, Khảo sát địa chất</t>
        </is>
      </c>
      <c r="M12212" s="10" t="inlineStr">
        <is>
          <t>Bonus, Healthcare Plan, Training, Team Activities</t>
        </is>
      </c>
      <c r="N12212" s="11">
        <f>HYPERLINK("https://www.vietnamworks.com/nhan-vien-ky-thuat-djia-chat-cac-du-an-trong-khu-vuc-hcm-2024949-jv","Xem chi tiết")</f>
        <v/>
      </c>
      <c r="O12212" s="10" t="n"/>
    </row>
    <row r="12213">
      <c r="B12213" s="7" t="n">
        <v>12211</v>
      </c>
      <c r="C12213" t="inlineStr">
        <is>
          <t>Phát Triển Vision SW (Topk)</t>
        </is>
      </c>
      <c r="D12213" t="inlineStr">
        <is>
          <t>CÔNG TY TRÁCH NHIỆM HỮU HẠN TOP ENGINEERING VINA</t>
        </is>
      </c>
      <c r="E12213" t="inlineStr">
        <is>
          <t>Thương lượng</t>
        </is>
      </c>
      <c r="F12213" t="inlineStr">
        <is>
          <t>Quốc tế</t>
        </is>
      </c>
      <c r="G12213" t="inlineStr">
        <is>
          <t>Nhân viên</t>
        </is>
      </c>
      <c r="H12213" t="inlineStr">
        <is>
          <t>17/03/2026</t>
        </is>
      </c>
      <c r="I12213" t="inlineStr">
        <is>
          <t>16/04/2026</t>
        </is>
      </c>
      <c r="J12213" t="inlineStr">
        <is>
          <t>17/03/2026</t>
        </is>
      </c>
      <c r="K12213" t="inlineStr">
        <is>
          <t>N/A</t>
        </is>
      </c>
      <c r="L12213" t="inlineStr">
        <is>
          <t>C#, C++, MFC, Tiếng Hàn, Vision Development</t>
        </is>
      </c>
      <c r="M12213" t="inlineStr">
        <is>
          <t>Bonus</t>
        </is>
      </c>
      <c r="N12213" s="8">
        <f>HYPERLINK("https://www.vietnamworks.com/phat-trien-vision-sw-topk-2024938-jv","Xem chi tiết")</f>
        <v/>
      </c>
    </row>
    <row r="12214">
      <c r="B12214" s="9" t="n">
        <v>12212</v>
      </c>
      <c r="C12214" s="10" t="inlineStr">
        <is>
          <t>Product Operations Expert (Business Analyst)</t>
        </is>
      </c>
      <c r="D12214" s="10" t="inlineStr">
        <is>
          <t>Công ty Cổ phần Thanh toán số Mobifone</t>
        </is>
      </c>
      <c r="E12214" s="10" t="inlineStr">
        <is>
          <t>Thương lượng</t>
        </is>
      </c>
      <c r="F12214" s="10" t="inlineStr">
        <is>
          <t>Hà Nội</t>
        </is>
      </c>
      <c r="G12214" s="10" t="inlineStr">
        <is>
          <t>Nhân viên</t>
        </is>
      </c>
      <c r="H12214" s="10" t="inlineStr">
        <is>
          <t>17/03/2026</t>
        </is>
      </c>
      <c r="I12214" s="10" t="inlineStr">
        <is>
          <t>16/04/2026</t>
        </is>
      </c>
      <c r="J12214" s="10" t="inlineStr">
        <is>
          <t>17/03/2026</t>
        </is>
      </c>
      <c r="K12214" s="10" t="inlineStr">
        <is>
          <t>N/A</t>
        </is>
      </c>
      <c r="L12214" s="10" t="inlineStr">
        <is>
          <t>Vận Hành, ngân hàng, Business Analysis, Phân Tích Nghiệp Vụ, Product Operation</t>
        </is>
      </c>
      <c r="M12214" s="10" t="inlineStr">
        <is>
          <t>Bonus, Paid Leave, Canteen</t>
        </is>
      </c>
      <c r="N12214" s="11">
        <f>HYPERLINK("https://www.vietnamworks.com/product-operations-expert-business-analyst-2024939-jv","Xem chi tiết")</f>
        <v/>
      </c>
      <c r="O12214" s="10" t="n"/>
    </row>
    <row r="12215">
      <c r="B12215" s="7" t="n">
        <v>12213</v>
      </c>
      <c r="C12215" t="inlineStr">
        <is>
          <t>Import Manager</t>
        </is>
      </c>
      <c r="D12215" t="inlineStr">
        <is>
          <t>Công Ty TNHH Onpoint</t>
        </is>
      </c>
      <c r="E12215" t="inlineStr">
        <is>
          <t>Thương lượng</t>
        </is>
      </c>
      <c r="F12215" t="inlineStr">
        <is>
          <t>Hồ Chí Minh</t>
        </is>
      </c>
      <c r="G12215" t="inlineStr">
        <is>
          <t>Trưởng phòng</t>
        </is>
      </c>
      <c r="H12215" t="inlineStr">
        <is>
          <t>17/03/2026</t>
        </is>
      </c>
      <c r="I12215" t="inlineStr">
        <is>
          <t>16/04/2026</t>
        </is>
      </c>
      <c r="J12215" t="inlineStr">
        <is>
          <t>17/03/2026</t>
        </is>
      </c>
      <c r="K12215" t="inlineStr">
        <is>
          <t>N/A</t>
        </is>
      </c>
      <c r="L12215" t="inlineStr">
        <is>
          <t>Customs Clearance, Customs Procedures, Import Operations, International Logistics, Vendor Management</t>
        </is>
      </c>
      <c r="M12215" t="inlineStr">
        <is>
          <t>Bonus, Healthcare Plan, Paid Leave, Laptop, Others</t>
        </is>
      </c>
      <c r="N12215" s="8">
        <f>HYPERLINK("https://www.vietnamworks.com/import-manager-2024958-jv","Xem chi tiết")</f>
        <v/>
      </c>
    </row>
    <row r="12216">
      <c r="B12216" s="9" t="n">
        <v>12214</v>
      </c>
      <c r="C12216" s="10" t="inlineStr">
        <is>
          <t>Livestream Sampling Executive (Warehouse Executive)</t>
        </is>
      </c>
      <c r="D12216" s="10" t="inlineStr">
        <is>
          <t>Công Ty TNHH Onpoint</t>
        </is>
      </c>
      <c r="E12216" s="10" t="inlineStr">
        <is>
          <t>Thương lượng</t>
        </is>
      </c>
      <c r="F12216" s="10" t="inlineStr">
        <is>
          <t>Hồ Chí Minh</t>
        </is>
      </c>
      <c r="G12216" s="10" t="inlineStr">
        <is>
          <t>Mới Tốt Nghiệp</t>
        </is>
      </c>
      <c r="H12216" s="10" t="inlineStr">
        <is>
          <t>17/03/2026</t>
        </is>
      </c>
      <c r="I12216" s="10" t="inlineStr">
        <is>
          <t>16/04/2026</t>
        </is>
      </c>
      <c r="J12216" s="10" t="inlineStr">
        <is>
          <t>17/03/2026</t>
        </is>
      </c>
      <c r="K12216" s="10" t="inlineStr">
        <is>
          <t>N/A</t>
        </is>
      </c>
      <c r="L12216" s="10" t="inlineStr">
        <is>
          <t>Livestream, MS Excel, Quản Lý Kho, Quản Trị Hàng Hóa, Vận Hành Kho</t>
        </is>
      </c>
      <c r="M12216" s="10" t="inlineStr">
        <is>
          <t>Bonus, Healthcare Plan, Paid Leave, Laptop, Others</t>
        </is>
      </c>
      <c r="N12216" s="11">
        <f>HYPERLINK("https://www.vietnamworks.com/livestream-sampling-executive-warehouse-executive-2024955-jv","Xem chi tiết")</f>
        <v/>
      </c>
      <c r="O12216" s="10" t="n"/>
    </row>
    <row r="12217">
      <c r="B12217" s="7" t="n">
        <v>12215</v>
      </c>
      <c r="C12217" t="inlineStr">
        <is>
          <t>Test Engineer</t>
        </is>
      </c>
      <c r="D12217" t="inlineStr">
        <is>
          <t>Molex Vietnam Co., Ltd.</t>
        </is>
      </c>
      <c r="E12217" t="inlineStr">
        <is>
          <t>Thương lượng</t>
        </is>
      </c>
      <c r="F12217" t="inlineStr">
        <is>
          <t>Hưng Yên</t>
        </is>
      </c>
      <c r="G12217" t="inlineStr">
        <is>
          <t>Nhân viên</t>
        </is>
      </c>
      <c r="H12217" t="inlineStr">
        <is>
          <t>17/03/2026</t>
        </is>
      </c>
      <c r="I12217" t="inlineStr">
        <is>
          <t>16/04/2026</t>
        </is>
      </c>
      <c r="J12217" t="inlineStr">
        <is>
          <t>17/03/2026</t>
        </is>
      </c>
      <c r="K12217" t="inlineStr">
        <is>
          <t>N/A</t>
        </is>
      </c>
      <c r="L12217" t="inlineStr">
        <is>
          <t>C/C++, Communication Skills, Problem-solving, Python Programming, Visual C#</t>
        </is>
      </c>
      <c r="M12217" t="inlineStr">
        <is>
          <t>Healthcare Plan, Paid Leave, Training, Team Activities, Transportation, Others</t>
        </is>
      </c>
      <c r="N12217" s="8">
        <f>HYPERLINK("https://www.vietnamworks.com/test-engineer-2024950-jv","Xem chi tiết")</f>
        <v/>
      </c>
    </row>
    <row r="12218">
      <c r="B12218" s="9" t="n">
        <v>12216</v>
      </c>
      <c r="C12218" s="10" t="inlineStr">
        <is>
          <t>[HN] Chuyên Viên Tuân Thủ/compliance Specialist</t>
        </is>
      </c>
      <c r="D12218" s="10" t="inlineStr">
        <is>
          <t>CÔNG TY TNHH YIC ONE</t>
        </is>
      </c>
      <c r="E12218" s="10" t="inlineStr">
        <is>
          <t>Thương lượng</t>
        </is>
      </c>
      <c r="F12218" s="10" t="inlineStr">
        <is>
          <t>Hà Nội</t>
        </is>
      </c>
      <c r="G12218" s="10" t="inlineStr">
        <is>
          <t>Nhân viên</t>
        </is>
      </c>
      <c r="H12218" s="10" t="inlineStr">
        <is>
          <t>17/03/2026</t>
        </is>
      </c>
      <c r="I12218" s="10" t="inlineStr">
        <is>
          <t>16/04/2026</t>
        </is>
      </c>
      <c r="J12218" s="10" t="inlineStr">
        <is>
          <t>17/03/2026</t>
        </is>
      </c>
      <c r="K12218" s="10" t="inlineStr">
        <is>
          <t>N/A</t>
        </is>
      </c>
      <c r="L12218" s="10" t="inlineStr">
        <is>
          <t>Audit, Compliance, EHS Regulations, English Fluency, Labor Law</t>
        </is>
      </c>
      <c r="M12218" s="10" t="inlineStr">
        <is>
          <t>Bonus, Healthcare Plan, Training, Team Activities, Transportation</t>
        </is>
      </c>
      <c r="N12218" s="11">
        <f>HYPERLINK("https://www.vietnamworks.com/hn-chuyen-vien-tuan-thu-compliance-specialist-2024934-jv","Xem chi tiết")</f>
        <v/>
      </c>
      <c r="O12218" s="10" t="n"/>
    </row>
    <row r="12219">
      <c r="B12219" s="7" t="n">
        <v>12217</v>
      </c>
      <c r="C12219" t="inlineStr">
        <is>
          <t>Manufacturing Engineer</t>
        </is>
      </c>
      <c r="D12219" t="inlineStr">
        <is>
          <t>Công ty TNHH Schoeller-Bleckmann Việt Nam</t>
        </is>
      </c>
      <c r="E12219" t="inlineStr">
        <is>
          <t>Thương lượng</t>
        </is>
      </c>
      <c r="F12219" t="inlineStr">
        <is>
          <t>Bình Dương</t>
        </is>
      </c>
      <c r="G12219" t="inlineStr">
        <is>
          <t>Nhân viên</t>
        </is>
      </c>
      <c r="H12219" t="inlineStr">
        <is>
          <t>17/03/2026</t>
        </is>
      </c>
      <c r="I12219" t="inlineStr">
        <is>
          <t>16/04/2026</t>
        </is>
      </c>
      <c r="J12219" t="inlineStr">
        <is>
          <t>17/03/2026</t>
        </is>
      </c>
      <c r="K12219" t="inlineStr">
        <is>
          <t>N/A</t>
        </is>
      </c>
      <c r="L12219" t="inlineStr">
        <is>
          <t>3D CAD, CNC Manufacturing, Product Design, Mechanical Engineering, Production Planning</t>
        </is>
      </c>
      <c r="M12219" t="inlineStr">
        <is>
          <t>Bonus, Paid Leave, Transportation</t>
        </is>
      </c>
      <c r="N12219" s="8">
        <f>HYPERLINK("https://www.vietnamworks.com/manufacturing-engineer-2024948-jv","Xem chi tiết")</f>
        <v/>
      </c>
    </row>
    <row r="12220">
      <c r="B12220" s="9" t="n">
        <v>12218</v>
      </c>
      <c r="C12220" s="10" t="inlineStr">
        <is>
          <t>Livestream Account Leader</t>
        </is>
      </c>
      <c r="D12220" s="10" t="inlineStr">
        <is>
          <t>Công Ty TNHH Onpoint</t>
        </is>
      </c>
      <c r="E12220" s="10" t="inlineStr">
        <is>
          <t>Thương lượng</t>
        </is>
      </c>
      <c r="F12220" s="10" t="inlineStr">
        <is>
          <t>Hồ Chí Minh</t>
        </is>
      </c>
      <c r="G12220" s="10" t="inlineStr">
        <is>
          <t>Trưởng phòng</t>
        </is>
      </c>
      <c r="H12220" s="10" t="inlineStr">
        <is>
          <t>17/03/2026</t>
        </is>
      </c>
      <c r="I12220" s="10" t="inlineStr">
        <is>
          <t>16/04/2026</t>
        </is>
      </c>
      <c r="J12220" s="10" t="inlineStr">
        <is>
          <t>17/03/2026</t>
        </is>
      </c>
      <c r="K12220" s="10" t="inlineStr">
        <is>
          <t>N/A</t>
        </is>
      </c>
      <c r="L12220" s="10" t="inlineStr">
        <is>
          <t>Analytical Thinking, Livestream, Performance Monitoring, Relationship Management, Team Management</t>
        </is>
      </c>
      <c r="M12220" s="10" t="inlineStr">
        <is>
          <t>Bonus, Healthcare Plan, Paid Leave, Laptop, Mobile, Others</t>
        </is>
      </c>
      <c r="N12220" s="11">
        <f>HYPERLINK("https://www.vietnamworks.com/livestream-account-leader-2024945-jv","Xem chi tiết")</f>
        <v/>
      </c>
      <c r="O12220" s="10" t="n"/>
    </row>
    <row r="12221">
      <c r="B12221" s="7" t="n">
        <v>12219</v>
      </c>
      <c r="C12221" t="inlineStr">
        <is>
          <t>Lead Team Kiến Trúc Công Nghiệp (Phó Phòng Thiết Kế)</t>
        </is>
      </c>
      <c r="D12221" t="inlineStr">
        <is>
          <t>Công Ty TNHH Xây Dựng Thương Mại Dịch Vụ Hồng Tín</t>
        </is>
      </c>
      <c r="E12221" t="inlineStr">
        <is>
          <t>Thương lượng</t>
        </is>
      </c>
      <c r="F12221" t="inlineStr">
        <is>
          <t>Hồ Chí Minh</t>
        </is>
      </c>
      <c r="G12221" t="inlineStr">
        <is>
          <t>Trưởng phòng</t>
        </is>
      </c>
      <c r="H12221" t="inlineStr">
        <is>
          <t>17/03/2026</t>
        </is>
      </c>
      <c r="I12221" t="inlineStr">
        <is>
          <t>16/04/2026</t>
        </is>
      </c>
      <c r="J12221" t="inlineStr">
        <is>
          <t>17/03/2026</t>
        </is>
      </c>
      <c r="K12221" t="inlineStr">
        <is>
          <t>N/A</t>
        </is>
      </c>
      <c r="L12221" t="inlineStr">
        <is>
          <t>Autocad, Kiến Trúc Công Nghiệp, Photoshop, Revit, Sketchup</t>
        </is>
      </c>
      <c r="M12221" t="inlineStr">
        <is>
          <t>Bonus, Healthcare Plan, Others</t>
        </is>
      </c>
      <c r="N12221" s="8">
        <f>HYPERLINK("https://www.vietnamworks.com/lead-team-kien-truc-cong-nghiep-pho-phong-thiet-ke-2024951-jv","Xem chi tiết")</f>
        <v/>
      </c>
    </row>
    <row r="12222">
      <c r="B12222" s="9" t="n">
        <v>12220</v>
      </c>
      <c r="C12222" s="10" t="inlineStr">
        <is>
          <t>Financial Control &amp; Operations Lead</t>
        </is>
      </c>
      <c r="D12222" s="10" t="inlineStr">
        <is>
          <t>United Overseas Bank (Vietnam) Limited (UOB)</t>
        </is>
      </c>
      <c r="E12222" s="10" t="inlineStr">
        <is>
          <t>Thương lượng</t>
        </is>
      </c>
      <c r="F12222" s="10" t="inlineStr">
        <is>
          <t>Hồ Chí Minh</t>
        </is>
      </c>
      <c r="G12222" s="10" t="inlineStr">
        <is>
          <t>Trưởng phòng</t>
        </is>
      </c>
      <c r="H12222" s="10" t="inlineStr">
        <is>
          <t>17/03/2026</t>
        </is>
      </c>
      <c r="I12222" s="10" t="inlineStr">
        <is>
          <t>16/04/2026</t>
        </is>
      </c>
      <c r="J12222" s="10" t="inlineStr">
        <is>
          <t>17/03/2026</t>
        </is>
      </c>
      <c r="K12222" s="10" t="inlineStr">
        <is>
          <t>N/A</t>
        </is>
      </c>
      <c r="L12222" s="10" t="inlineStr">
        <is>
          <t>Analytical Skills, Communication Skills, Experience In SAP, Financial Control, Financial Management</t>
        </is>
      </c>
      <c r="M12222" s="10" t="inlineStr">
        <is>
          <t>Bonus, Healthcare Plan, Paid Leave, Others</t>
        </is>
      </c>
      <c r="N12222" s="11">
        <f>HYPERLINK("https://www.vietnamworks.com/financial-control-and-operations-lead-2024957-jv","Xem chi tiết")</f>
        <v/>
      </c>
      <c r="O12222" s="10" t="n"/>
    </row>
    <row r="12223">
      <c r="B12223" s="7" t="n">
        <v>12221</v>
      </c>
      <c r="C12223" t="inlineStr">
        <is>
          <t>Trưởng Phòng Hành Chính - Nhân Sự (Chủ Đầu Tư Bất Động Sản)</t>
        </is>
      </c>
      <c r="D12223" t="inlineStr">
        <is>
          <t>Vietnamworks' Client</t>
        </is>
      </c>
      <c r="E12223" t="inlineStr">
        <is>
          <t>Thương lượng</t>
        </is>
      </c>
      <c r="F12223" t="inlineStr">
        <is>
          <t>Hà Nội</t>
        </is>
      </c>
      <c r="G12223" t="inlineStr">
        <is>
          <t>Trưởng phòng</t>
        </is>
      </c>
      <c r="H12223" t="inlineStr">
        <is>
          <t>17/03/2026</t>
        </is>
      </c>
      <c r="I12223" t="inlineStr">
        <is>
          <t>16/04/2026</t>
        </is>
      </c>
      <c r="J12223" t="inlineStr">
        <is>
          <t>17/03/2026</t>
        </is>
      </c>
      <c r="K12223" t="inlineStr">
        <is>
          <t>N/A</t>
        </is>
      </c>
      <c r="L12223" t="inlineStr">
        <is>
          <t>Quản Lý Nhân Sự, Tuyển Dụng, Đào Tạo, Phát Triển Văn Hóa, Quan Hệ Lao Động</t>
        </is>
      </c>
      <c r="M12223" t="inlineStr">
        <is>
          <t>Bonus, Healthcare Plan, Paid Leave, Laptop, Team Activities</t>
        </is>
      </c>
      <c r="N12223" s="8">
        <f>HYPERLINK("https://www.vietnamworks.com/truong-phong-hanh-chinh-nhan-su-chu-djau-tu-bat-djong-san-2024959-jv","Xem chi tiết")</f>
        <v/>
      </c>
    </row>
    <row r="12224">
      <c r="B12224" s="9" t="n">
        <v>12222</v>
      </c>
      <c r="C12224" s="10" t="inlineStr">
        <is>
          <t>E-Merchandise Executive</t>
        </is>
      </c>
      <c r="D12224" s="10" t="inlineStr">
        <is>
          <t>Công Ty TNHH Onpoint</t>
        </is>
      </c>
      <c r="E12224" s="10" t="inlineStr">
        <is>
          <t>Thương lượng</t>
        </is>
      </c>
      <c r="F12224" s="10" t="inlineStr">
        <is>
          <t>Hồ Chí Minh</t>
        </is>
      </c>
      <c r="G12224" s="10" t="inlineStr">
        <is>
          <t>Nhân viên</t>
        </is>
      </c>
      <c r="H12224" s="10" t="inlineStr">
        <is>
          <t>17/03/2026</t>
        </is>
      </c>
      <c r="I12224" s="10" t="inlineStr">
        <is>
          <t>16/04/2026</t>
        </is>
      </c>
      <c r="J12224" s="10" t="inlineStr">
        <is>
          <t>17/03/2026</t>
        </is>
      </c>
      <c r="K12224" s="10" t="inlineStr">
        <is>
          <t>N/A</t>
        </is>
      </c>
      <c r="L12224" s="10" t="inlineStr">
        <is>
          <t>Display Management, Livestream, MS Excel, Visual Hierarchy, Visual Merchandising</t>
        </is>
      </c>
      <c r="M12224" s="10" t="inlineStr">
        <is>
          <t>Bonus, Healthcare Plan, Paid Leave, Laptop, Mobile, Others</t>
        </is>
      </c>
      <c r="N12224" s="11">
        <f>HYPERLINK("https://www.vietnamworks.com/e-merchandise-executive-2024966-jv","Xem chi tiết")</f>
        <v/>
      </c>
      <c r="O12224" s="10" t="n"/>
    </row>
    <row r="12225">
      <c r="B12225" s="7" t="n">
        <v>12223</v>
      </c>
      <c r="C12225" t="inlineStr">
        <is>
          <t>Campaign &amp; Merchandise Executive</t>
        </is>
      </c>
      <c r="D12225" t="inlineStr">
        <is>
          <t>Công Ty TNHH Onpoint</t>
        </is>
      </c>
      <c r="E12225" t="inlineStr">
        <is>
          <t>Thương lượng</t>
        </is>
      </c>
      <c r="F12225" t="inlineStr">
        <is>
          <t>Hồ Chí Minh</t>
        </is>
      </c>
      <c r="G12225" t="inlineStr">
        <is>
          <t>Nhân viên</t>
        </is>
      </c>
      <c r="H12225" t="inlineStr">
        <is>
          <t>17/03/2026</t>
        </is>
      </c>
      <c r="I12225" t="inlineStr">
        <is>
          <t>16/04/2026</t>
        </is>
      </c>
      <c r="J12225" t="inlineStr">
        <is>
          <t>17/03/2026</t>
        </is>
      </c>
      <c r="K12225" t="inlineStr">
        <is>
          <t>N/A</t>
        </is>
      </c>
      <c r="L12225" t="inlineStr">
        <is>
          <t>Campaign Marketing, Digital Marketing, E-commerce, Market Research, Marketing Development</t>
        </is>
      </c>
      <c r="M12225" t="inlineStr">
        <is>
          <t>Bonus, Healthcare Plan, Paid Leave, Laptop, Others</t>
        </is>
      </c>
      <c r="N12225" s="8">
        <f>HYPERLINK("https://www.vietnamworks.com/campaign-and-merchandise-executive-2024969-jv","Xem chi tiết")</f>
        <v/>
      </c>
    </row>
    <row r="12226">
      <c r="B12226" s="9" t="n">
        <v>12224</v>
      </c>
      <c r="C12226" s="10" t="inlineStr">
        <is>
          <t>Kỹ Sư Thiết Kế Điện</t>
        </is>
      </c>
      <c r="D12226" s="10" t="inlineStr">
        <is>
          <t>Công Ty TNHH Xây Dựng Thương Mại Dịch Vụ Hồng Tín</t>
        </is>
      </c>
      <c r="E12226" s="10" t="inlineStr">
        <is>
          <t>Thương lượng</t>
        </is>
      </c>
      <c r="F12226" s="10" t="inlineStr">
        <is>
          <t>Hồ Chí Minh</t>
        </is>
      </c>
      <c r="G12226" s="10" t="inlineStr">
        <is>
          <t>Nhân viên</t>
        </is>
      </c>
      <c r="H12226" s="10" t="inlineStr">
        <is>
          <t>17/03/2026</t>
        </is>
      </c>
      <c r="I12226" s="10" t="inlineStr">
        <is>
          <t>16/04/2026</t>
        </is>
      </c>
      <c r="J12226" s="10" t="inlineStr">
        <is>
          <t>17/03/2026</t>
        </is>
      </c>
      <c r="K12226" s="10" t="inlineStr">
        <is>
          <t>N/A</t>
        </is>
      </c>
      <c r="L12226" s="10" t="inlineStr">
        <is>
          <t>Lập Dự Toán, Lập Trình AutoCAD, Lập Trình Revit, Thiết Kế Hệ Thống Điện, Thiết Kế Điện</t>
        </is>
      </c>
      <c r="M12226" s="10" t="inlineStr">
        <is>
          <t>Others</t>
        </is>
      </c>
      <c r="N12226" s="11">
        <f>HYPERLINK("https://www.vietnamworks.com/ky-su-thiet-ke-djien-2024964-jv","Xem chi tiết")</f>
        <v/>
      </c>
      <c r="O12226" s="10" t="n"/>
    </row>
    <row r="12227">
      <c r="B12227" s="7" t="n">
        <v>12225</v>
      </c>
      <c r="C12227" t="inlineStr">
        <is>
          <t>Lập Trình Viên (Senior Developer)</t>
        </is>
      </c>
      <c r="D12227" t="inlineStr">
        <is>
          <t>Công ty cổ phần consortio priority</t>
        </is>
      </c>
      <c r="E12227" t="inlineStr">
        <is>
          <t>Thương lượng</t>
        </is>
      </c>
      <c r="F12227" t="inlineStr">
        <is>
          <t>Hà Nội</t>
        </is>
      </c>
      <c r="G12227" t="inlineStr">
        <is>
          <t>Nhân viên</t>
        </is>
      </c>
      <c r="H12227" t="inlineStr">
        <is>
          <t>17/03/2026</t>
        </is>
      </c>
      <c r="I12227" t="inlineStr">
        <is>
          <t>16/04/2026</t>
        </is>
      </c>
      <c r="J12227" t="inlineStr">
        <is>
          <t>17/03/2026</t>
        </is>
      </c>
      <c r="K12227" t="inlineStr">
        <is>
          <t>N/A</t>
        </is>
      </c>
      <c r="L12227" t="inlineStr">
        <is>
          <t>Linux CentOS, AWS, Google Cloud Platform, Docker, Kubernetes</t>
        </is>
      </c>
      <c r="M12227" t="inlineStr">
        <is>
          <t>Bonus, Paid Leave, Training, Laptop, Others</t>
        </is>
      </c>
      <c r="N12227" s="8">
        <f>HYPERLINK("https://www.vietnamworks.com/lap-trinh-vien-senior-developer-2024965-jv","Xem chi tiết")</f>
        <v/>
      </c>
    </row>
    <row r="12228">
      <c r="B12228" s="9" t="n">
        <v>12226</v>
      </c>
      <c r="C12228" s="10" t="inlineStr">
        <is>
          <t>Kiến Trúc Sư (Thiết Kế Concept - Triển Khai Thiết Kế Kỹ Thuật - Kết Cấu)</t>
        </is>
      </c>
      <c r="D12228" s="10" t="inlineStr">
        <is>
          <t>Công ty cổ phần Tư vấn đầu tư xây dựng phát triển đô thị Hà Nội (HACID)</t>
        </is>
      </c>
      <c r="E12228" s="10" t="inlineStr">
        <is>
          <t>20tr-30tr ₫/tháng</t>
        </is>
      </c>
      <c r="F12228" s="10" t="inlineStr">
        <is>
          <t>Hà Nội</t>
        </is>
      </c>
      <c r="G12228" s="10" t="inlineStr">
        <is>
          <t>Nhân viên</t>
        </is>
      </c>
      <c r="H12228" s="10" t="inlineStr">
        <is>
          <t>17/03/2026</t>
        </is>
      </c>
      <c r="I12228" s="10" t="inlineStr">
        <is>
          <t>16/04/2026</t>
        </is>
      </c>
      <c r="J12228" s="10" t="inlineStr">
        <is>
          <t>17/03/2026</t>
        </is>
      </c>
      <c r="K12228" s="10" t="inlineStr">
        <is>
          <t>N/A</t>
        </is>
      </c>
      <c r="L12228" s="10" t="inlineStr">
        <is>
          <t>Kiến Trúc Xây Dựng, AutoCAD, Thiết Kế Kết Cấu, Revit, Kiến Trúc Giải Pháp</t>
        </is>
      </c>
      <c r="M12228" s="10" t="inlineStr">
        <is>
          <t>Bonus, Healthcare Plan, Team Activities</t>
        </is>
      </c>
      <c r="N12228" s="11">
        <f>HYPERLINK("https://www.vietnamworks.com/kien-truc-su-thiet-ke-concept-trien-khai-thiet-ke-ky-thuat-ket-cau-2024960-jv","Xem chi tiết")</f>
        <v/>
      </c>
      <c r="O12228" s="10" t="n"/>
    </row>
    <row r="12229">
      <c r="B12229" s="7" t="n">
        <v>12227</v>
      </c>
      <c r="C12229" t="inlineStr">
        <is>
          <t>Technical Designer (Nhân Viên Thiết Kế &amp; Triển Khai Kỹ Thuật)</t>
        </is>
      </c>
      <c r="D12229" t="inlineStr">
        <is>
          <t>Cty TNHH Xưởng Thiết Kế Số 7 (The 7 Studio Co., Ltd)</t>
        </is>
      </c>
      <c r="E12229" t="inlineStr">
        <is>
          <t>Thương lượng</t>
        </is>
      </c>
      <c r="F12229" t="inlineStr">
        <is>
          <t>Hồ Chí Minh</t>
        </is>
      </c>
      <c r="G12229" t="inlineStr">
        <is>
          <t>Nhân viên</t>
        </is>
      </c>
      <c r="H12229" t="inlineStr">
        <is>
          <t>17/03/2026</t>
        </is>
      </c>
      <c r="I12229" t="inlineStr">
        <is>
          <t>16/04/2026</t>
        </is>
      </c>
      <c r="J12229" t="inlineStr">
        <is>
          <t>17/03/2026</t>
        </is>
      </c>
      <c r="K12229" t="inlineStr">
        <is>
          <t>N/A</t>
        </is>
      </c>
      <c r="L12229" t="inlineStr">
        <is>
          <t>Technical Design, Autocad, SKETCH UP</t>
        </is>
      </c>
      <c r="M12229" t="inlineStr">
        <is>
          <t>Bonus, Healthcare Plan, Others</t>
        </is>
      </c>
      <c r="N12229" s="8">
        <f>HYPERLINK("https://www.vietnamworks.com/technical-designer-nhan-vien-thiet-ke-trien-khai-ky-thuat-2024963-jv","Xem chi tiết")</f>
        <v/>
      </c>
    </row>
    <row r="12230">
      <c r="B12230" s="9" t="n">
        <v>12228</v>
      </c>
      <c r="C12230" s="10" t="inlineStr">
        <is>
          <t>Interior Designer (Nhân Viên Thiết Kế Nội Thất)</t>
        </is>
      </c>
      <c r="D12230" s="10" t="inlineStr">
        <is>
          <t>Cty TNHH Xưởng Thiết Kế Số 7 (The 7 Studio Co., Ltd)</t>
        </is>
      </c>
      <c r="E12230" s="10" t="inlineStr">
        <is>
          <t>Thương lượng</t>
        </is>
      </c>
      <c r="F12230" s="10" t="inlineStr">
        <is>
          <t>Hồ Chí Minh</t>
        </is>
      </c>
      <c r="G12230" s="10" t="inlineStr">
        <is>
          <t>Nhân viên</t>
        </is>
      </c>
      <c r="H12230" s="10" t="inlineStr">
        <is>
          <t>17/03/2026</t>
        </is>
      </c>
      <c r="I12230" s="10" t="inlineStr">
        <is>
          <t>16/04/2026</t>
        </is>
      </c>
      <c r="J12230" s="10" t="inlineStr">
        <is>
          <t>17/03/2026</t>
        </is>
      </c>
      <c r="K12230" s="10" t="inlineStr">
        <is>
          <t>N/A</t>
        </is>
      </c>
      <c r="L12230" s="10" t="inlineStr">
        <is>
          <t>Interior Design, 3D, Autocad</t>
        </is>
      </c>
      <c r="M12230" s="10" t="inlineStr">
        <is>
          <t>Bonus, Healthcare Plan, Others</t>
        </is>
      </c>
      <c r="N12230" s="11">
        <f>HYPERLINK("https://www.vietnamworks.com/interior-designer-nhan-vien-thiet-ke-noi-that--2024968-jv","Xem chi tiết")</f>
        <v/>
      </c>
      <c r="O12230" s="10" t="n"/>
    </row>
    <row r="12231">
      <c r="B12231" s="7" t="n">
        <v>12229</v>
      </c>
      <c r="C12231" t="inlineStr">
        <is>
          <t>Field Sales Executive (Electrical Testing Services) - Hanoi</t>
        </is>
      </c>
      <c r="D12231" t="inlineStr">
        <is>
          <t>Công ty TNHH TUV Rheinland Vietnam.</t>
        </is>
      </c>
      <c r="E12231" t="inlineStr">
        <is>
          <t>Thương lượng</t>
        </is>
      </c>
      <c r="F12231" t="inlineStr">
        <is>
          <t>Hà Nội</t>
        </is>
      </c>
      <c r="G12231" t="inlineStr">
        <is>
          <t>Nhân viên</t>
        </is>
      </c>
      <c r="H12231" t="inlineStr">
        <is>
          <t>17/03/2026</t>
        </is>
      </c>
      <c r="I12231" t="inlineStr">
        <is>
          <t>16/04/2026</t>
        </is>
      </c>
      <c r="J12231" t="inlineStr">
        <is>
          <t>17/03/2026</t>
        </is>
      </c>
      <c r="K12231" t="inlineStr">
        <is>
          <t>N/A</t>
        </is>
      </c>
      <c r="L12231" t="inlineStr">
        <is>
          <t>Sales Engineering, Sales &amp; Business Development, Electrical Engineering, Sales B2B, English proficiency</t>
        </is>
      </c>
      <c r="M12231" t="inlineStr">
        <is>
          <t>Bonus, Healthcare Plan, Paid Leave</t>
        </is>
      </c>
      <c r="N12231" s="8">
        <f>HYPERLINK("https://www.vietnamworks.com/field-sales-executive-electrical-testing-services-hanoi-2024977-jv","Xem chi tiết")</f>
        <v/>
      </c>
    </row>
    <row r="12232">
      <c r="B12232" s="9" t="n">
        <v>12230</v>
      </c>
      <c r="C12232" s="10" t="inlineStr">
        <is>
          <t>Sales Executive – Forwarding &amp; Logistics</t>
        </is>
      </c>
      <c r="D12232" s="10" t="inlineStr">
        <is>
          <t>T.H.I. GROUP (Vietnam) Co., Ltd</t>
        </is>
      </c>
      <c r="E12232" s="10" t="inlineStr">
        <is>
          <t>Thương lượng</t>
        </is>
      </c>
      <c r="F12232" s="10" t="inlineStr">
        <is>
          <t>Đà Nẵng, Hà Nội, Hồ Chí Minh</t>
        </is>
      </c>
      <c r="G12232" s="10" t="inlineStr">
        <is>
          <t>Nhân viên</t>
        </is>
      </c>
      <c r="H12232" s="10" t="inlineStr">
        <is>
          <t>17/03/2026</t>
        </is>
      </c>
      <c r="I12232" s="10" t="inlineStr">
        <is>
          <t>16/04/2026</t>
        </is>
      </c>
      <c r="J12232" s="10" t="inlineStr">
        <is>
          <t>17/03/2026</t>
        </is>
      </c>
      <c r="K12232" s="10" t="inlineStr">
        <is>
          <t>N/A</t>
        </is>
      </c>
      <c r="L12232" s="10" t="inlineStr">
        <is>
          <t>Freight Forwarding Sales, Sales, Business Development, Giao Nhận, Sales Logistics</t>
        </is>
      </c>
      <c r="M12232" s="10" t="inlineStr">
        <is>
          <t>Bonus, Healthcare Plan</t>
        </is>
      </c>
      <c r="N12232" s="11">
        <f>HYPERLINK("https://www.vietnamworks.com/sales-executive-forwarding-logistics--2024971-jv","Xem chi tiết")</f>
        <v/>
      </c>
      <c r="O12232" s="10" t="n"/>
    </row>
    <row r="12233">
      <c r="B12233" s="7" t="n">
        <v>12231</v>
      </c>
      <c r="C12233" t="inlineStr">
        <is>
          <t>Giám Sát Xây Dựng</t>
        </is>
      </c>
      <c r="D12233" t="inlineStr">
        <is>
          <t>Công Ty Cổ Phần Đầu Tư Xây Dựng Ricons</t>
        </is>
      </c>
      <c r="E12233" t="inlineStr">
        <is>
          <t>Thương lượng</t>
        </is>
      </c>
      <c r="F12233" t="inlineStr">
        <is>
          <t>Hà Nội, Hồ Chí Minh</t>
        </is>
      </c>
      <c r="G12233" t="inlineStr">
        <is>
          <t>Mới Tốt Nghiệp</t>
        </is>
      </c>
      <c r="H12233" t="inlineStr">
        <is>
          <t>17/03/2026</t>
        </is>
      </c>
      <c r="I12233" t="inlineStr">
        <is>
          <t>16/04/2026</t>
        </is>
      </c>
      <c r="J12233" t="inlineStr">
        <is>
          <t>17/03/2026</t>
        </is>
      </c>
      <c r="K12233" t="inlineStr">
        <is>
          <t>N/A</t>
        </is>
      </c>
      <c r="L12233" t="inlineStr">
        <is>
          <t>Xây Dựng, Xây Dựng Dân Dụng, Giám Sát Xây Dựng, Xây Dựng Công Nghiệp, Triển Khai Bản Vẽ</t>
        </is>
      </c>
      <c r="M12233" t="inlineStr">
        <is>
          <t>Bonus, Healthcare Plan, Paid Leave</t>
        </is>
      </c>
      <c r="N12233" s="8">
        <f>HYPERLINK("https://www.vietnamworks.com/giam-sat-xay-dung--2024972-jv","Xem chi tiết")</f>
        <v/>
      </c>
    </row>
    <row r="12234">
      <c r="B12234" s="9" t="n">
        <v>12232</v>
      </c>
      <c r="C12234" s="10" t="inlineStr">
        <is>
          <t>Textile Technical Engineer</t>
        </is>
      </c>
      <c r="D12234" s="10" t="inlineStr">
        <is>
          <t>Công Ty TNHH WGR Industries</t>
        </is>
      </c>
      <c r="E12234" s="10" t="inlineStr">
        <is>
          <t>Thương lượng</t>
        </is>
      </c>
      <c r="F12234" s="10" t="inlineStr">
        <is>
          <t>Gia Lai, Bình Định</t>
        </is>
      </c>
      <c r="G12234" s="10" t="inlineStr">
        <is>
          <t>Nhân viên</t>
        </is>
      </c>
      <c r="H12234" s="10" t="inlineStr">
        <is>
          <t>17/03/2026</t>
        </is>
      </c>
      <c r="I12234" s="10" t="inlineStr">
        <is>
          <t>16/04/2026</t>
        </is>
      </c>
      <c r="J12234" s="10" t="inlineStr">
        <is>
          <t>17/03/2026</t>
        </is>
      </c>
      <c r="K12234" s="10" t="inlineStr">
        <is>
          <t>N/A</t>
        </is>
      </c>
      <c r="L12234" s="10" t="inlineStr">
        <is>
          <t>Product Operation, Quality Control, Maintenance, Production Equipment, Textile Garment</t>
        </is>
      </c>
      <c r="M12234" s="10" t="inlineStr">
        <is>
          <t>Healthcare Plan, Laptop, Transportation</t>
        </is>
      </c>
      <c r="N12234" s="11">
        <f>HYPERLINK("https://www.vietnamworks.com/textile-technical-engineer-2024978-jv","Xem chi tiết")</f>
        <v/>
      </c>
      <c r="O12234" s="10" t="n"/>
    </row>
    <row r="12235">
      <c r="B12235" s="7" t="n">
        <v>12233</v>
      </c>
      <c r="C12235" t="inlineStr">
        <is>
          <t>General accountant - Kế Toán Tổng Hợp</t>
        </is>
      </c>
      <c r="D12235" t="inlineStr">
        <is>
          <t>Greenmore Vietnam Co., Ltd</t>
        </is>
      </c>
      <c r="E12235" t="inlineStr">
        <is>
          <t>Thương lượng</t>
        </is>
      </c>
      <c r="F12235" t="inlineStr">
        <is>
          <t>Bình Dương</t>
        </is>
      </c>
      <c r="G12235" t="inlineStr">
        <is>
          <t>Nhân viên</t>
        </is>
      </c>
      <c r="H12235" t="inlineStr">
        <is>
          <t>17/03/2026</t>
        </is>
      </c>
      <c r="I12235" t="inlineStr">
        <is>
          <t>16/04/2026</t>
        </is>
      </c>
      <c r="J12235" t="inlineStr">
        <is>
          <t>17/03/2026</t>
        </is>
      </c>
      <c r="K12235" t="inlineStr">
        <is>
          <t>N/A</t>
        </is>
      </c>
      <c r="L12235" t="inlineStr">
        <is>
          <t>Kế Toán, Tài Chính, Phân Tích Tài Chính, Microsoft Office, Giao Tiếp</t>
        </is>
      </c>
      <c r="M12235" t="inlineStr">
        <is>
          <t>Bonus</t>
        </is>
      </c>
      <c r="N12235" s="8">
        <f>HYPERLINK("https://www.vietnamworks.com/general-accountant-ke-toan-tong-hop-2024979-jv","Xem chi tiết")</f>
        <v/>
      </c>
    </row>
    <row r="12236">
      <c r="B12236" s="9" t="n">
        <v>12234</v>
      </c>
      <c r="C12236" s="10" t="inlineStr">
        <is>
          <t>Training Specialist ( Good English)</t>
        </is>
      </c>
      <c r="D12236" s="10" t="inlineStr">
        <is>
          <t>Camso Việt Nam</t>
        </is>
      </c>
      <c r="E12236" s="10" t="inlineStr">
        <is>
          <t>Thương lượng</t>
        </is>
      </c>
      <c r="F12236" s="10" t="inlineStr">
        <is>
          <t>Bình Dương</t>
        </is>
      </c>
      <c r="G12236" s="10" t="inlineStr">
        <is>
          <t>Nhân viên</t>
        </is>
      </c>
      <c r="H12236" s="10" t="inlineStr">
        <is>
          <t>17/03/2026</t>
        </is>
      </c>
      <c r="I12236" s="10" t="inlineStr">
        <is>
          <t>16/04/2026</t>
        </is>
      </c>
      <c r="J12236" s="10" t="inlineStr">
        <is>
          <t>17/03/2026</t>
        </is>
      </c>
      <c r="K12236" s="10" t="inlineStr">
        <is>
          <t>N/A</t>
        </is>
      </c>
      <c r="L12236" s="10" t="inlineStr">
        <is>
          <t>Communication Skills, HR Software, Organizational skills, Time Management, Problem Solving</t>
        </is>
      </c>
      <c r="M12236" s="10" t="inlineStr">
        <is>
          <t>Bonus, Training, Transportation</t>
        </is>
      </c>
      <c r="N12236" s="11">
        <f>HYPERLINK("https://www.vietnamworks.com/training-specialist-good-english-2024973-jv","Xem chi tiết")</f>
        <v/>
      </c>
      <c r="O12236" s="10" t="n"/>
    </row>
    <row r="12237">
      <c r="B12237" s="7" t="n">
        <v>12235</v>
      </c>
      <c r="C12237" t="inlineStr">
        <is>
          <t>Giám Sát Cơ Điện</t>
        </is>
      </c>
      <c r="D12237" t="inlineStr">
        <is>
          <t>Công Ty Cổ Phần Đầu Tư Xây Dựng Ricons</t>
        </is>
      </c>
      <c r="E12237" t="inlineStr">
        <is>
          <t>Thương lượng</t>
        </is>
      </c>
      <c r="F12237" t="inlineStr">
        <is>
          <t>Hà Nội, Hồ Chí Minh</t>
        </is>
      </c>
      <c r="G12237" t="inlineStr">
        <is>
          <t>Mới Tốt Nghiệp</t>
        </is>
      </c>
      <c r="H12237" t="inlineStr">
        <is>
          <t>17/03/2026</t>
        </is>
      </c>
      <c r="I12237" t="inlineStr">
        <is>
          <t>16/04/2026</t>
        </is>
      </c>
      <c r="J12237" t="inlineStr">
        <is>
          <t>17/03/2026</t>
        </is>
      </c>
      <c r="K12237" t="inlineStr">
        <is>
          <t>N/A</t>
        </is>
      </c>
      <c r="L12237" t="inlineStr">
        <is>
          <t>Giám Sát Cơ Điện, MEP, Thi Công Cơ Điện, Cấp Thoát Nước, Nhiệt Điện Lạnh</t>
        </is>
      </c>
      <c r="M12237" t="inlineStr">
        <is>
          <t>Bonus, Healthcare Plan, Paid Leave</t>
        </is>
      </c>
      <c r="N12237" s="8">
        <f>HYPERLINK("https://www.vietnamworks.com/giam-sat-co-dien--2024975-jv","Xem chi tiết")</f>
        <v/>
      </c>
    </row>
    <row r="12238">
      <c r="B12238" s="9" t="n">
        <v>12236</v>
      </c>
      <c r="C12238" s="10" t="inlineStr">
        <is>
          <t>Kỹ Sư Cơ Điện Ban Quản Lý Dự Án</t>
        </is>
      </c>
      <c r="D12238" s="10" t="inlineStr">
        <is>
          <t>Công ty TNHH Đại Hoàng Long Trung Yên (Xây dựng – BĐS Chủ đầu tư)</t>
        </is>
      </c>
      <c r="E12238" s="10" t="inlineStr">
        <is>
          <t>Thương lượng</t>
        </is>
      </c>
      <c r="F12238" s="10" t="inlineStr">
        <is>
          <t>Hà Nội</t>
        </is>
      </c>
      <c r="G12238" s="10" t="inlineStr">
        <is>
          <t>Nhân viên</t>
        </is>
      </c>
      <c r="H12238" s="10" t="inlineStr">
        <is>
          <t>17/03/2026</t>
        </is>
      </c>
      <c r="I12238" s="10" t="inlineStr">
        <is>
          <t>16/04/2026</t>
        </is>
      </c>
      <c r="J12238" s="10" t="inlineStr">
        <is>
          <t>17/03/2026</t>
        </is>
      </c>
      <c r="K12238" s="10" t="inlineStr">
        <is>
          <t>N/A</t>
        </is>
      </c>
      <c r="L12238" s="10" t="inlineStr">
        <is>
          <t>Bóc Tách Khối Lượng, Construction Regulation, MEP Engineering, Project Management</t>
        </is>
      </c>
      <c r="M12238" s="10" t="inlineStr">
        <is>
          <t>Bonus, Healthcare Plan, Others</t>
        </is>
      </c>
      <c r="N12238" s="11">
        <f>HYPERLINK("https://www.vietnamworks.com/ky-su-co-djien-ban-quan-ly-du-an-2024983-jv","Xem chi tiết")</f>
        <v/>
      </c>
      <c r="O12238" s="10" t="n"/>
    </row>
    <row r="12239">
      <c r="B12239" s="7" t="n">
        <v>12237</v>
      </c>
      <c r="C12239" t="inlineStr">
        <is>
          <t>Merchandiser Manager</t>
        </is>
      </c>
      <c r="D12239" t="inlineStr">
        <is>
          <t>Greenmore Vietnam Co., Ltd</t>
        </is>
      </c>
      <c r="E12239" t="inlineStr">
        <is>
          <t>Thương lượng</t>
        </is>
      </c>
      <c r="F12239" t="inlineStr">
        <is>
          <t>Bình Định</t>
        </is>
      </c>
      <c r="G12239" t="inlineStr">
        <is>
          <t>Trưởng phòng</t>
        </is>
      </c>
      <c r="H12239" t="inlineStr">
        <is>
          <t>17/03/2026</t>
        </is>
      </c>
      <c r="I12239" t="inlineStr">
        <is>
          <t>16/04/2026</t>
        </is>
      </c>
      <c r="J12239" t="inlineStr">
        <is>
          <t>17/03/2026</t>
        </is>
      </c>
      <c r="K12239" t="inlineStr">
        <is>
          <t>N/A</t>
        </is>
      </c>
      <c r="L12239" t="inlineStr">
        <is>
          <t>English, Problem-solving skills, Good communication, Wood</t>
        </is>
      </c>
      <c r="M12239" t="inlineStr">
        <is>
          <t>Bonus, Healthcare Plan, Training, Team Activities</t>
        </is>
      </c>
      <c r="N12239" s="8">
        <f>HYPERLINK("https://www.vietnamworks.com/merchandiser-manager-2024976-jv","Xem chi tiết")</f>
        <v/>
      </c>
    </row>
    <row r="12240">
      <c r="B12240" s="9" t="n">
        <v>12238</v>
      </c>
      <c r="C12240" s="10" t="inlineStr">
        <is>
          <t>Giám Đốc Ban Quản Lý Dự Án Ban Quản Lý Dự Án/ Chủ Đầu Tư</t>
        </is>
      </c>
      <c r="D12240" s="10" t="inlineStr">
        <is>
          <t>Công ty TNHH Đại Hoàng Long Trung Yên (Xây dựng – BĐS Chủ đầu tư)</t>
        </is>
      </c>
      <c r="E12240" s="10" t="inlineStr">
        <is>
          <t>Thương lượng</t>
        </is>
      </c>
      <c r="F12240" s="10" t="inlineStr">
        <is>
          <t>Hà Nội</t>
        </is>
      </c>
      <c r="G12240" s="10" t="inlineStr">
        <is>
          <t>Giám Đốc và Cấp Cao Hơn</t>
        </is>
      </c>
      <c r="H12240" s="10" t="inlineStr">
        <is>
          <t>17/03/2026</t>
        </is>
      </c>
      <c r="I12240" s="10" t="inlineStr">
        <is>
          <t>16/04/2026</t>
        </is>
      </c>
      <c r="J12240" s="10" t="inlineStr">
        <is>
          <t>17/03/2026</t>
        </is>
      </c>
      <c r="K12240" s="10" t="inlineStr">
        <is>
          <t>N/A</t>
        </is>
      </c>
      <c r="L12240" s="10" t="inlineStr">
        <is>
          <t>Luật Xây Dựng, Quản Lý Dự Án, Thủ Tục Pháp lý, Xây Dựng</t>
        </is>
      </c>
      <c r="M12240" s="10" t="inlineStr">
        <is>
          <t>Bonus, Healthcare Plan, Others</t>
        </is>
      </c>
      <c r="N12240" s="11">
        <f>HYPERLINK("https://www.vietnamworks.com/giam-djoc-ban-quan-ly-du-an-ban-quan-ly-du-an-chu-djau-tu-2024981-jv","Xem chi tiết")</f>
        <v/>
      </c>
      <c r="O12240" s="10" t="n"/>
    </row>
    <row r="12241">
      <c r="B12241" s="7" t="n">
        <v>12239</v>
      </c>
      <c r="C12241" t="inlineStr">
        <is>
          <t>Chuyên Viên Văn Hóa, Nhân Tài &amp; Văn Phòng Số (1–5 Năm Kinh Nghiệm)</t>
        </is>
      </c>
      <c r="D12241" t="inlineStr">
        <is>
          <t>Công ty Cổ phần Khoáng sản Vật liệu Á CỘNG</t>
        </is>
      </c>
      <c r="E12241" t="inlineStr">
        <is>
          <t>10tr-16tr ₫/tháng</t>
        </is>
      </c>
      <c r="F12241" t="inlineStr">
        <is>
          <t>Hồ Chí Minh</t>
        </is>
      </c>
      <c r="G12241" t="inlineStr">
        <is>
          <t>Nhân viên</t>
        </is>
      </c>
      <c r="H12241" t="inlineStr">
        <is>
          <t>17/03/2026</t>
        </is>
      </c>
      <c r="I12241" t="inlineStr">
        <is>
          <t>16/04/2026</t>
        </is>
      </c>
      <c r="J12241" t="inlineStr">
        <is>
          <t>17/03/2026</t>
        </is>
      </c>
      <c r="K12241" t="inlineStr">
        <is>
          <t>N/A</t>
        </is>
      </c>
      <c r="L12241" t="inlineStr">
        <is>
          <t>Tuyển Dụng, Hành Chính, Hành chính - Admin, Operation, Nhân sự - HR</t>
        </is>
      </c>
      <c r="M12241" t="inlineStr">
        <is>
          <t>Training</t>
        </is>
      </c>
      <c r="N12241" s="8">
        <f>HYPERLINK("https://www.vietnamworks.com/chuyen-vien-van-hoa-nhan-tai-and-van-phong-so-1-5-nam-kinh-nghiem-2024970-jv","Xem chi tiết")</f>
        <v/>
      </c>
    </row>
    <row r="12242">
      <c r="B12242" s="9" t="n">
        <v>12240</v>
      </c>
      <c r="C12242" s="10" t="inlineStr">
        <is>
          <t>Chuyên Viên EHS Nghỉ Thứ 7, Chủ Nhật Thưởng Upto 2 Tháng Lương/năm</t>
        </is>
      </c>
      <c r="D12242" s="10" t="inlineStr">
        <is>
          <t>Công Ty TNHH Anthony Innovations Việt Nam</t>
        </is>
      </c>
      <c r="E12242" s="10" t="inlineStr">
        <is>
          <t>Tới 25tr ₫/tháng</t>
        </is>
      </c>
      <c r="F12242" s="10" t="inlineStr">
        <is>
          <t>Hưng Yên, Hải Dương, Hà Nội</t>
        </is>
      </c>
      <c r="G12242" s="10" t="inlineStr">
        <is>
          <t>Nhân viên</t>
        </is>
      </c>
      <c r="H12242" s="10" t="inlineStr">
        <is>
          <t>17/03/2026</t>
        </is>
      </c>
      <c r="I12242" s="10" t="inlineStr">
        <is>
          <t>16/04/2026</t>
        </is>
      </c>
      <c r="J12242" s="10" t="inlineStr">
        <is>
          <t>17/03/2026</t>
        </is>
      </c>
      <c r="K12242" s="10" t="inlineStr">
        <is>
          <t>N/A</t>
        </is>
      </c>
      <c r="L12242" s="10" t="inlineStr">
        <is>
          <t>Kỹ Thuật, Bảo Hộ Lao Động, Môi Trường, Giao Tiếp Tiếng Anh, EHS</t>
        </is>
      </c>
      <c r="M12242" s="10" t="inlineStr">
        <is>
          <t>Bonus, Healthcare Plan, Training, Team Activities, Transportation, Others</t>
        </is>
      </c>
      <c r="N12242" s="11">
        <f>HYPERLINK("https://www.vietnamworks.com/chuyen-vien-ehs-nghi-thu-7-chu-nhat-thuong-upto-2-thang-luongnam-2024982-jv","Xem chi tiết")</f>
        <v/>
      </c>
      <c r="O12242" s="10" t="n"/>
    </row>
    <row r="12243">
      <c r="B12243" s="7" t="n">
        <v>12241</v>
      </c>
      <c r="C12243" t="inlineStr">
        <is>
          <t>Quản Lý Bộ Phận Vận Hành Máy Phay</t>
        </is>
      </c>
      <c r="D12243" t="inlineStr">
        <is>
          <t>CÔNG TY TNHH CƠ KHÍ INDES</t>
        </is>
      </c>
      <c r="E12243" t="inlineStr">
        <is>
          <t>15tr-25tr ₫/tháng</t>
        </is>
      </c>
      <c r="F12243" t="inlineStr">
        <is>
          <t>Hà Nội</t>
        </is>
      </c>
      <c r="G12243" t="inlineStr">
        <is>
          <t>Nhân viên</t>
        </is>
      </c>
      <c r="H12243" t="inlineStr">
        <is>
          <t>17/03/2026</t>
        </is>
      </c>
      <c r="I12243" t="inlineStr">
        <is>
          <t>16/04/2026</t>
        </is>
      </c>
      <c r="J12243" t="inlineStr">
        <is>
          <t>17/03/2026</t>
        </is>
      </c>
      <c r="K12243" t="inlineStr">
        <is>
          <t>N/A</t>
        </is>
      </c>
      <c r="L12243" t="inlineStr">
        <is>
          <t>Vận Hành Máy CNC, Lập Trình CNC, Đọc Bản Vẽ Kỹ Thuật, Thiết Bị Đo Lường, Xử Lý Sự Cố</t>
        </is>
      </c>
      <c r="M12243" t="inlineStr">
        <is>
          <t>Bonus, Healthcare Plan, Training, Awards, Others</t>
        </is>
      </c>
      <c r="N12243" s="8">
        <f>HYPERLINK("https://www.vietnamworks.com/quan-ly-bo-phan-van-hanh-may-phay-2024985-jv","Xem chi tiết")</f>
        <v/>
      </c>
    </row>
    <row r="12244">
      <c r="B12244" s="9" t="n">
        <v>12242</v>
      </c>
      <c r="C12244" s="10" t="inlineStr">
        <is>
          <t>Tổng Giám Đốc Điều Hành</t>
        </is>
      </c>
      <c r="D12244" s="10" t="inlineStr">
        <is>
          <t>CÔNG TY CỔ PHẦN FLAMINGO REDTOURS</t>
        </is>
      </c>
      <c r="E12244" s="10" t="inlineStr">
        <is>
          <t>Thương lượng</t>
        </is>
      </c>
      <c r="F12244" s="10" t="inlineStr">
        <is>
          <t>Hà Nội</t>
        </is>
      </c>
      <c r="G12244" s="10" t="inlineStr">
        <is>
          <t>Giám Đốc và Cấp Cao Hơn</t>
        </is>
      </c>
      <c r="H12244" s="10" t="inlineStr">
        <is>
          <t>17/03/2026</t>
        </is>
      </c>
      <c r="I12244" s="10" t="inlineStr">
        <is>
          <t>16/04/2026</t>
        </is>
      </c>
      <c r="J12244" s="10" t="inlineStr">
        <is>
          <t>17/03/2026</t>
        </is>
      </c>
      <c r="K12244" s="10" t="inlineStr">
        <is>
          <t>N/A</t>
        </is>
      </c>
      <c r="L12244" s="10" t="inlineStr">
        <is>
          <t>Quản Lý Doanh Nghiệp, Quản Lý Phát Triển Nhân Sự, Quản Lý Điều Hành, Quản Trị Chiến Lược, Quản Trị Rủi Ro</t>
        </is>
      </c>
      <c r="M12244" s="10" t="inlineStr">
        <is>
          <t>Bonus, Healthcare Plan, Others</t>
        </is>
      </c>
      <c r="N12244" s="11">
        <f>HYPERLINK("https://www.vietnamworks.com/tong-giam-djoc-djieu-hanh-2024986-jv","Xem chi tiết")</f>
        <v/>
      </c>
      <c r="O12244" s="10" t="n"/>
    </row>
    <row r="12245">
      <c r="B12245" s="7" t="n">
        <v>12243</v>
      </c>
      <c r="C12245" t="inlineStr">
        <is>
          <t>Chuyên Viên Du Lịch Phụ Trách Tuyến Nhật Bản, Trung Quốc, Nga</t>
        </is>
      </c>
      <c r="D12245" t="inlineStr">
        <is>
          <t>CÔNG TY CỔ PHẦN FLAMINGO REDTOURS</t>
        </is>
      </c>
      <c r="E12245" t="inlineStr">
        <is>
          <t>Thương lượng</t>
        </is>
      </c>
      <c r="F12245" t="inlineStr">
        <is>
          <t>Hà Nội</t>
        </is>
      </c>
      <c r="G12245" t="inlineStr">
        <is>
          <t>Nhân viên</t>
        </is>
      </c>
      <c r="H12245" t="inlineStr">
        <is>
          <t>17/03/2026</t>
        </is>
      </c>
      <c r="I12245" t="inlineStr">
        <is>
          <t>16/04/2026</t>
        </is>
      </c>
      <c r="J12245" t="inlineStr">
        <is>
          <t>17/03/2026</t>
        </is>
      </c>
      <c r="K12245" t="inlineStr">
        <is>
          <t>N/A</t>
        </is>
      </c>
      <c r="L12245" t="inlineStr">
        <is>
          <t>Land Tour, Quản Lý Dữ Liệu, Thiết Kế Tour, Tính Giá Tour, Xây Dựng Chương Trình</t>
        </is>
      </c>
      <c r="M12245" t="inlineStr">
        <is>
          <t>Bonus, Healthcare Plan, Training, Awards, Travel Opportunities, Others</t>
        </is>
      </c>
      <c r="N12245" s="8">
        <f>HYPERLINK("https://www.vietnamworks.com/chuyen-vien-du-lich-phu-trach-tuyen-nhat-ban-trung-quoc-nga-2025007-jv","Xem chi tiết")</f>
        <v/>
      </c>
    </row>
    <row r="12246">
      <c r="B12246" s="9" t="n">
        <v>12244</v>
      </c>
      <c r="C12246" s="10" t="inlineStr">
        <is>
          <t>Phó Giám Đốc Phát Triển Kinh Doanhs</t>
        </is>
      </c>
      <c r="D12246" s="10" t="inlineStr">
        <is>
          <t>CÔNG TY CỔ PHẦN FLAMINGO REDTOURS</t>
        </is>
      </c>
      <c r="E12246" s="10" t="inlineStr">
        <is>
          <t>Thương lượng</t>
        </is>
      </c>
      <c r="F12246" s="10" t="inlineStr">
        <is>
          <t>Hà Nội</t>
        </is>
      </c>
      <c r="G12246" s="10" t="inlineStr">
        <is>
          <t>Giám Đốc và Cấp Cao Hơn</t>
        </is>
      </c>
      <c r="H12246" s="10" t="inlineStr">
        <is>
          <t>17/03/2026</t>
        </is>
      </c>
      <c r="I12246" s="10" t="inlineStr">
        <is>
          <t>16/04/2026</t>
        </is>
      </c>
      <c r="J12246" s="10" t="inlineStr">
        <is>
          <t>17/03/2026</t>
        </is>
      </c>
      <c r="K12246" s="10" t="inlineStr">
        <is>
          <t>N/A</t>
        </is>
      </c>
      <c r="L12246" s="10" t="inlineStr">
        <is>
          <t>Nghiên Cứu Thị Trường, Phát Triển Kinh Doanh, Quản Lý Kinh Doanh, Quản Trị Rủi Ro, Xây Dựng Chiến Lược</t>
        </is>
      </c>
      <c r="M12246" s="10" t="inlineStr">
        <is>
          <t>Bonus, Healthcare Plan, Others</t>
        </is>
      </c>
      <c r="N12246" s="11">
        <f>HYPERLINK("https://www.vietnamworks.com/pho-giam-djoc-phat-trien-kinh-doanhs-2024999-jv","Xem chi tiết")</f>
        <v/>
      </c>
      <c r="O12246" s="10" t="n"/>
    </row>
    <row r="12247">
      <c r="B12247" s="7" t="n">
        <v>12245</v>
      </c>
      <c r="C12247" t="inlineStr">
        <is>
          <t>Nhân Viên Kinh Doanh Du Lịch</t>
        </is>
      </c>
      <c r="D12247" t="inlineStr">
        <is>
          <t>CÔNG TY CỔ PHẦN FLAMINGO REDTOURS</t>
        </is>
      </c>
      <c r="E12247" t="inlineStr">
        <is>
          <t>Thương lượng</t>
        </is>
      </c>
      <c r="F12247" t="inlineStr">
        <is>
          <t>Hà Nội</t>
        </is>
      </c>
      <c r="G12247" t="inlineStr">
        <is>
          <t>Nhân viên</t>
        </is>
      </c>
      <c r="H12247" t="inlineStr">
        <is>
          <t>17/03/2026</t>
        </is>
      </c>
      <c r="I12247" t="inlineStr">
        <is>
          <t>16/04/2026</t>
        </is>
      </c>
      <c r="J12247" t="inlineStr">
        <is>
          <t>17/03/2026</t>
        </is>
      </c>
      <c r="K12247" t="inlineStr">
        <is>
          <t>N/A</t>
        </is>
      </c>
      <c r="L12247" t="inlineStr">
        <is>
          <t>Chăm Sóc Khách Hàng, Kinh Doanh Du Lịch, Nghiên Cứu Thị Trường, Quản Lý Khách Hàng, Tư Vấn Sản Phẩm</t>
        </is>
      </c>
      <c r="M12247" t="inlineStr">
        <is>
          <t>Bonus, Healthcare Plan, Training, Awards, Travel Opportunities, Others</t>
        </is>
      </c>
      <c r="N12247" s="8">
        <f>HYPERLINK("https://www.vietnamworks.com/nhan-vien-kinh-doanh-du-lich-2025013-jv","Xem chi tiết")</f>
        <v/>
      </c>
    </row>
    <row r="12248">
      <c r="B12248" s="9" t="n">
        <v>12246</v>
      </c>
      <c r="C12248" s="10" t="inlineStr">
        <is>
          <t>Trưởng Phòng Kinh Doanh Khu Vực Kênh GT (ASM Khu Vực Miền Trung)</t>
        </is>
      </c>
      <c r="D12248" s="10" t="inlineStr">
        <is>
          <t>Công Ty Cổ Phần Tập đoàn Mutosi</t>
        </is>
      </c>
      <c r="E12248" s="10" t="inlineStr">
        <is>
          <t>30tr-40tr ₫/tháng</t>
        </is>
      </c>
      <c r="F12248" s="10" t="inlineStr">
        <is>
          <t>Đà Nẵng, Bình Định, Quảng Ngãi</t>
        </is>
      </c>
      <c r="G12248" s="10" t="inlineStr">
        <is>
          <t>Trưởng phòng</t>
        </is>
      </c>
      <c r="H12248" s="10" t="inlineStr">
        <is>
          <t>17/03/2026</t>
        </is>
      </c>
      <c r="I12248" s="10" t="inlineStr">
        <is>
          <t>16/04/2026</t>
        </is>
      </c>
      <c r="J12248" s="10" t="inlineStr">
        <is>
          <t>17/03/2026</t>
        </is>
      </c>
      <c r="K12248" s="10" t="inlineStr">
        <is>
          <t>N/A</t>
        </is>
      </c>
      <c r="L12248" s="10" t="inlineStr">
        <is>
          <t>ASM, Area Sales Management, Kênh Gt, Quản Lý Kênh Phân Phối, Quản Lý Kinh Doanh</t>
        </is>
      </c>
      <c r="M12248" s="10" t="inlineStr">
        <is>
          <t>Bonus, Paid Leave, Training, Transportation, Others</t>
        </is>
      </c>
      <c r="N12248" s="11">
        <f>HYPERLINK("https://www.vietnamworks.com/truong-phong-kinh-doanh-khu-vuc-kenh-gt-asm-khu-vuc-mien-trung-2025012-jv","Xem chi tiết")</f>
        <v/>
      </c>
      <c r="O12248" s="10" t="n"/>
    </row>
    <row r="12249">
      <c r="B12249" s="7" t="n">
        <v>12247</v>
      </c>
      <c r="C12249" t="inlineStr">
        <is>
          <t>Recruiter Intern (Recruitment Trainee)</t>
        </is>
      </c>
      <c r="D12249" t="inlineStr">
        <is>
          <t>Navigos Group</t>
        </is>
      </c>
      <c r="E12249" t="inlineStr">
        <is>
          <t>$$ 100-200 /tháng</t>
        </is>
      </c>
      <c r="F12249" t="inlineStr">
        <is>
          <t>Hà Nội</t>
        </is>
      </c>
      <c r="G12249" t="inlineStr">
        <is>
          <t>Mới Tốt Nghiệp</t>
        </is>
      </c>
      <c r="H12249" t="inlineStr">
        <is>
          <t>17/03/2026</t>
        </is>
      </c>
      <c r="I12249" t="inlineStr">
        <is>
          <t>16/04/2026</t>
        </is>
      </c>
      <c r="J12249" t="inlineStr">
        <is>
          <t>17/03/2026</t>
        </is>
      </c>
      <c r="K12249" t="inlineStr">
        <is>
          <t>N/A</t>
        </is>
      </c>
      <c r="L12249" t="inlineStr">
        <is>
          <t>N/A</t>
        </is>
      </c>
      <c r="M12249" t="inlineStr">
        <is>
          <t>Training</t>
        </is>
      </c>
      <c r="N12249" s="8">
        <f>HYPERLINK("https://www.vietnamworks.com/recruiter-intern-recruitment-trainee-2024990-jv","Xem chi tiết")</f>
        <v/>
      </c>
    </row>
    <row r="12250">
      <c r="B12250" s="9" t="n">
        <v>12248</v>
      </c>
      <c r="C12250" s="10" t="inlineStr">
        <is>
          <t>Vận Hành Sàn Thương Mại Điện Tử (Shopee &amp; Tiktok)</t>
        </is>
      </c>
      <c r="D12250" s="10" t="inlineStr">
        <is>
          <t>Công Ty TNHH IMU</t>
        </is>
      </c>
      <c r="E12250" s="10" t="inlineStr">
        <is>
          <t>16tr-25tr ₫/tháng</t>
        </is>
      </c>
      <c r="F12250" s="10" t="inlineStr">
        <is>
          <t>Hồ Chí Minh</t>
        </is>
      </c>
      <c r="G12250" s="10" t="inlineStr">
        <is>
          <t>Nhân viên</t>
        </is>
      </c>
      <c r="H12250" s="10" t="inlineStr">
        <is>
          <t>17/03/2026</t>
        </is>
      </c>
      <c r="I12250" s="10" t="inlineStr">
        <is>
          <t>16/04/2026</t>
        </is>
      </c>
      <c r="J12250" s="10" t="inlineStr">
        <is>
          <t>17/03/2026</t>
        </is>
      </c>
      <c r="K12250" s="10" t="inlineStr">
        <is>
          <t>N/A</t>
        </is>
      </c>
      <c r="L12250" s="10" t="inlineStr">
        <is>
          <t>E-commerce, Performance Marketing, Tiktok Ads</t>
        </is>
      </c>
      <c r="M12250" s="10" t="inlineStr">
        <is>
          <t>Bonus, Others</t>
        </is>
      </c>
      <c r="N12250" s="11">
        <f>HYPERLINK("https://www.vietnamworks.com/van-hanh-san-thuong-mai-djien-tu-shopee-and-tiktok-2024994-jv","Xem chi tiết")</f>
        <v/>
      </c>
      <c r="O12250" s="10" t="n"/>
    </row>
    <row r="12251">
      <c r="B12251" s="7" t="n">
        <v>12249</v>
      </c>
      <c r="C12251" t="inlineStr">
        <is>
          <t>Import - Export Staff (Nhân Viên Xuất Nhập Khẩu)</t>
        </is>
      </c>
      <c r="D12251" t="inlineStr">
        <is>
          <t>Hayakawa Electronics Vietnam Co., Ltd.</t>
        </is>
      </c>
      <c r="E12251" t="inlineStr">
        <is>
          <t>Thương lượng</t>
        </is>
      </c>
      <c r="F12251" t="inlineStr">
        <is>
          <t>Bắc Ninh</t>
        </is>
      </c>
      <c r="G12251" t="inlineStr">
        <is>
          <t>Nhân viên</t>
        </is>
      </c>
      <c r="H12251" t="inlineStr">
        <is>
          <t>17/03/2026</t>
        </is>
      </c>
      <c r="I12251" t="inlineStr">
        <is>
          <t>16/04/2026</t>
        </is>
      </c>
      <c r="J12251" t="inlineStr">
        <is>
          <t>17/03/2026</t>
        </is>
      </c>
      <c r="K12251" t="inlineStr">
        <is>
          <t>N/A</t>
        </is>
      </c>
      <c r="L12251" t="inlineStr">
        <is>
          <t>Document Management, English, Export &amp; Import Documentation, Reporting</t>
        </is>
      </c>
      <c r="M12251" t="inlineStr">
        <is>
          <t>Bonus, Training, Transportation</t>
        </is>
      </c>
      <c r="N12251" s="8">
        <f>HYPERLINK("https://www.vietnamworks.com/import-export-staff-nhan-vien-xuat-nhap-khau-2024997-jv","Xem chi tiết")</f>
        <v/>
      </c>
    </row>
    <row r="12252">
      <c r="B12252" s="9" t="n">
        <v>12250</v>
      </c>
      <c r="C12252" s="10" t="inlineStr">
        <is>
          <t>Nhân Viên Kinh Doanh Thiết Bị Y Tế</t>
        </is>
      </c>
      <c r="D12252" s="10" t="inlineStr">
        <is>
          <t>Công ty CP Trang thiết bị Y tế Trọng Minh</t>
        </is>
      </c>
      <c r="E12252" s="10" t="inlineStr">
        <is>
          <t>Thương lượng</t>
        </is>
      </c>
      <c r="F12252" s="10" t="inlineStr">
        <is>
          <t>Hồ Chí Minh</t>
        </is>
      </c>
      <c r="G12252" s="10" t="inlineStr">
        <is>
          <t>Nhân viên</t>
        </is>
      </c>
      <c r="H12252" s="10" t="inlineStr">
        <is>
          <t>17/03/2026</t>
        </is>
      </c>
      <c r="I12252" s="10" t="inlineStr">
        <is>
          <t>16/04/2026</t>
        </is>
      </c>
      <c r="J12252" s="10" t="inlineStr">
        <is>
          <t>17/03/2026</t>
        </is>
      </c>
      <c r="K12252" s="10" t="inlineStr">
        <is>
          <t>N/A</t>
        </is>
      </c>
      <c r="L12252" s="10" t="inlineStr">
        <is>
          <t>Giao Tiếp, Kỹ năng đàm phán, Làm Việc Nhóm, Thuyết Trình, Trung Thực</t>
        </is>
      </c>
      <c r="M12252" s="10" t="inlineStr">
        <is>
          <t>Bonus, Healthcare Plan, Paid Leave, Training, Others</t>
        </is>
      </c>
      <c r="N12252" s="11">
        <f>HYPERLINK("https://www.vietnamworks.com/nhan-vien-kinh-doanh-thiet-bi-y-te-2024988-jv","Xem chi tiết")</f>
        <v/>
      </c>
      <c r="O12252" s="10" t="n"/>
    </row>
    <row r="12253">
      <c r="B12253" s="7" t="n">
        <v>12251</v>
      </c>
      <c r="C12253" t="inlineStr">
        <is>
          <t>Chuyên Viên Kinh Doanh Tổ Chức Sự Kiện</t>
        </is>
      </c>
      <c r="D12253" t="inlineStr">
        <is>
          <t>CÔNG TY CỔ PHẦN FLAMINGO REDTOURS</t>
        </is>
      </c>
      <c r="E12253" t="inlineStr">
        <is>
          <t>Thương lượng</t>
        </is>
      </c>
      <c r="F12253" t="inlineStr">
        <is>
          <t>Hà Nội</t>
        </is>
      </c>
      <c r="G12253" t="inlineStr">
        <is>
          <t>Nhân viên</t>
        </is>
      </c>
      <c r="H12253" t="inlineStr">
        <is>
          <t>17/03/2026</t>
        </is>
      </c>
      <c r="I12253" t="inlineStr">
        <is>
          <t>16/04/2026</t>
        </is>
      </c>
      <c r="J12253" t="inlineStr">
        <is>
          <t>17/03/2026</t>
        </is>
      </c>
      <c r="K12253" t="inlineStr">
        <is>
          <t>N/A</t>
        </is>
      </c>
      <c r="L12253" t="inlineStr">
        <is>
          <t>Báo Giá, MICE, Quản Lý Chi Phí, Tìm Kiếm Khách Hàng, Đàm Phán</t>
        </is>
      </c>
      <c r="M12253" t="inlineStr">
        <is>
          <t>Bonus, Healthcare Plan, Training, Others</t>
        </is>
      </c>
      <c r="N12253" s="8">
        <f>HYPERLINK("https://www.vietnamworks.com/chuyen-vien-kinh-doanh-to-chuc-su-kien-2025009-jv","Xem chi tiết")</f>
        <v/>
      </c>
    </row>
    <row r="12254">
      <c r="B12254" s="9" t="n">
        <v>12252</v>
      </c>
      <c r="C12254" s="10" t="inlineStr">
        <is>
          <t>Kế Toán Trưởng Kiêm Kế Toán Tổng Hợp</t>
        </is>
      </c>
      <c r="D12254" s="10" t="inlineStr">
        <is>
          <t>Moveo Land</t>
        </is>
      </c>
      <c r="E12254" s="10" t="inlineStr">
        <is>
          <t>Thương lượng</t>
        </is>
      </c>
      <c r="F12254" s="10" t="inlineStr">
        <is>
          <t>Hồ Chí Minh</t>
        </is>
      </c>
      <c r="G12254" s="10" t="inlineStr">
        <is>
          <t>Trưởng phòng</t>
        </is>
      </c>
      <c r="H12254" s="10" t="inlineStr">
        <is>
          <t>17/03/2026</t>
        </is>
      </c>
      <c r="I12254" s="10" t="inlineStr">
        <is>
          <t>16/04/2026</t>
        </is>
      </c>
      <c r="J12254" s="10" t="inlineStr">
        <is>
          <t>17/03/2026</t>
        </is>
      </c>
      <c r="K12254" s="10" t="inlineStr">
        <is>
          <t>N/A</t>
        </is>
      </c>
      <c r="L12254" s="10" t="inlineStr">
        <is>
          <t>Kiểm Soát Tài Chính, Quản Lý Quỹ, Hạch Toán, Luật Thuế, Phần Mềm Kế Toán</t>
        </is>
      </c>
      <c r="M12254" s="10" t="inlineStr">
        <is>
          <t>Healthcare Plan, Others</t>
        </is>
      </c>
      <c r="N12254" s="11">
        <f>HYPERLINK("https://www.vietnamworks.com/ke-toan-truong-kiem-ke-toan-tong-hop-2024993-jv","Xem chi tiết")</f>
        <v/>
      </c>
      <c r="O12254" s="10" t="n"/>
    </row>
    <row r="12255">
      <c r="B12255" s="7" t="n">
        <v>12253</v>
      </c>
      <c r="C12255" t="inlineStr">
        <is>
          <t>[Urgent] Garment Merchandiser</t>
        </is>
      </c>
      <c r="D12255" t="inlineStr">
        <is>
          <t>The Representative Office Of Asmara Int’l ltd in Ho Chi Minh City</t>
        </is>
      </c>
      <c r="E12255" t="inlineStr">
        <is>
          <t>Thương lượng</t>
        </is>
      </c>
      <c r="F12255" t="inlineStr">
        <is>
          <t>Hà Nội, Hồ Chí Minh</t>
        </is>
      </c>
      <c r="G12255" t="inlineStr">
        <is>
          <t>Nhân viên</t>
        </is>
      </c>
      <c r="H12255" t="inlineStr">
        <is>
          <t>17/03/2026</t>
        </is>
      </c>
      <c r="I12255" t="inlineStr">
        <is>
          <t>16/04/2026</t>
        </is>
      </c>
      <c r="J12255" t="inlineStr">
        <is>
          <t>17/03/2026</t>
        </is>
      </c>
      <c r="K12255" t="inlineStr">
        <is>
          <t>N/A</t>
        </is>
      </c>
      <c r="L12255" t="inlineStr">
        <is>
          <t>Sample Development, Merchandising, Garment</t>
        </is>
      </c>
      <c r="M12255" t="inlineStr">
        <is>
          <t>Bonus, Healthcare Plan, Paid Leave</t>
        </is>
      </c>
      <c r="N12255" s="8">
        <f>HYPERLINK("https://www.vietnamworks.com/urgent-garment-merchandiser--2025006-jv","Xem chi tiết")</f>
        <v/>
      </c>
    </row>
    <row r="12256">
      <c r="B12256" s="9" t="n">
        <v>12254</v>
      </c>
      <c r="C12256" s="10" t="inlineStr">
        <is>
          <t>Nhân Viên Thiết Kế Kỹ Thuật (Fresher – Đào Tạo 100%)</t>
        </is>
      </c>
      <c r="D12256" s="10" t="inlineStr">
        <is>
          <t>MiTek Việt Nam</t>
        </is>
      </c>
      <c r="E12256" s="10" t="inlineStr">
        <is>
          <t>10tr-12tr ₫/tháng</t>
        </is>
      </c>
      <c r="F12256" s="10" t="inlineStr">
        <is>
          <t>Hồ Chí Minh</t>
        </is>
      </c>
      <c r="G12256" s="10" t="inlineStr">
        <is>
          <t>Mới Tốt Nghiệp</t>
        </is>
      </c>
      <c r="H12256" s="10" t="inlineStr">
        <is>
          <t>17/03/2026</t>
        </is>
      </c>
      <c r="I12256" s="10" t="inlineStr">
        <is>
          <t>16/04/2026</t>
        </is>
      </c>
      <c r="J12256" s="10" t="inlineStr">
        <is>
          <t>17/03/2026</t>
        </is>
      </c>
      <c r="K12256" s="10" t="inlineStr">
        <is>
          <t>N/A</t>
        </is>
      </c>
      <c r="L12256" s="10" t="inlineStr">
        <is>
          <t>AutoCAD, Đọc Hiểu Bản Vẽ, Thiết Kế, Bản Vẽ Kiến trúc, Thiết Kế Xây Dựng</t>
        </is>
      </c>
      <c r="M12256" s="10" t="inlineStr">
        <is>
          <t>Bonus, Healthcare Plan, Paid Leave, Training, Travel Opportunities, Team Activities, Others</t>
        </is>
      </c>
      <c r="N12256" s="11">
        <f>HYPERLINK("https://www.vietnamworks.com/nhan-vien-thiet-ke-ky-thuat-fresher-djao-tao-100percent-2025008-jv","Xem chi tiết")</f>
        <v/>
      </c>
      <c r="O12256" s="10" t="n"/>
    </row>
    <row r="12257">
      <c r="B12257" s="7" t="n">
        <v>12255</v>
      </c>
      <c r="C12257" t="inlineStr">
        <is>
          <t>Kế Toán Tổng Hợp - Kế Toán Trưởng</t>
        </is>
      </c>
      <c r="D12257" t="inlineStr">
        <is>
          <t>Văn phòng công chứng Đông Đô</t>
        </is>
      </c>
      <c r="E12257" t="inlineStr">
        <is>
          <t>15tr-20tr ₫/tháng</t>
        </is>
      </c>
      <c r="F12257" t="inlineStr">
        <is>
          <t>Hà Nội</t>
        </is>
      </c>
      <c r="G12257" t="inlineStr">
        <is>
          <t>Nhân viên</t>
        </is>
      </c>
      <c r="H12257" t="inlineStr">
        <is>
          <t>17/03/2026</t>
        </is>
      </c>
      <c r="I12257" t="inlineStr">
        <is>
          <t>16/04/2026</t>
        </is>
      </c>
      <c r="J12257" t="inlineStr">
        <is>
          <t>17/03/2026</t>
        </is>
      </c>
      <c r="K12257" t="inlineStr">
        <is>
          <t>N/A</t>
        </is>
      </c>
      <c r="L12257" t="inlineStr">
        <is>
          <t>Tài Chính, Kế Toán, Quản Lý Tài Chính, Phần mềm kế toán Misa, Kế Toán Tổng Hợp</t>
        </is>
      </c>
      <c r="M12257" t="inlineStr">
        <is>
          <t>Bonus, Healthcare Plan, Travel Opportunities, Others</t>
        </is>
      </c>
      <c r="N12257" s="8">
        <f>HYPERLINK("https://www.vietnamworks.com/ke-toan-tong-hop-ke-toan-truong--2025010-jv","Xem chi tiết")</f>
        <v/>
      </c>
    </row>
    <row r="12258">
      <c r="B12258" s="9" t="n">
        <v>12256</v>
      </c>
      <c r="C12258" s="10" t="inlineStr">
        <is>
          <t>Biên Phiên Dịch Tiếng Nhật N2 Trở Lên</t>
        </is>
      </c>
      <c r="D12258" s="10" t="inlineStr">
        <is>
          <t>Công ty TNHH Yotsuba Dress việt nam</t>
        </is>
      </c>
      <c r="E12258" s="10" t="inlineStr">
        <is>
          <t>Thương lượng</t>
        </is>
      </c>
      <c r="F12258" s="10" t="inlineStr">
        <is>
          <t>Thanh Hóa</t>
        </is>
      </c>
      <c r="G12258" s="10" t="inlineStr">
        <is>
          <t>Nhân viên</t>
        </is>
      </c>
      <c r="H12258" s="10" t="inlineStr">
        <is>
          <t>17/03/2026</t>
        </is>
      </c>
      <c r="I12258" s="10" t="inlineStr">
        <is>
          <t>16/04/2026</t>
        </is>
      </c>
      <c r="J12258" s="10" t="inlineStr">
        <is>
          <t>17/03/2026</t>
        </is>
      </c>
      <c r="K12258" s="10" t="inlineStr">
        <is>
          <t>N/A</t>
        </is>
      </c>
      <c r="L12258" s="10" t="inlineStr">
        <is>
          <t>Phiên Dịch Tiếng Nhật, Tiếng Nhật N2, Biên Phiên Dịch, Biên Phiên Dịch Tiếng Nhật, Japanese N2</t>
        </is>
      </c>
      <c r="M12258" s="10" t="inlineStr">
        <is>
          <t>Bonus, Healthcare Plan, Paid Leave</t>
        </is>
      </c>
      <c r="N12258" s="11">
        <f>HYPERLINK("https://www.vietnamworks.com/bien-phien-dich-tieng-nhat-n2-tro-len--2025011-jv","Xem chi tiết")</f>
        <v/>
      </c>
      <c r="O12258" s="10" t="n"/>
    </row>
    <row r="12259">
      <c r="B12259" s="7" t="n">
        <v>12257</v>
      </c>
      <c r="C12259" t="inlineStr">
        <is>
          <t>Tư Vấn Tuyển Sinh Lĩnh Vực Giáo Dục</t>
        </is>
      </c>
      <c r="D12259" t="inlineStr">
        <is>
          <t>Công Ty Cổ Phần Giáo Dục Titan</t>
        </is>
      </c>
      <c r="E12259" t="inlineStr">
        <is>
          <t>Từ 10tr ₫/tháng</t>
        </is>
      </c>
      <c r="F12259" t="inlineStr">
        <is>
          <t>Hồ Chí Minh</t>
        </is>
      </c>
      <c r="G12259" t="inlineStr">
        <is>
          <t>Nhân viên</t>
        </is>
      </c>
      <c r="H12259" t="inlineStr">
        <is>
          <t>17/03/2026</t>
        </is>
      </c>
      <c r="I12259" t="inlineStr">
        <is>
          <t>16/04/2026</t>
        </is>
      </c>
      <c r="J12259" t="inlineStr">
        <is>
          <t>17/03/2026</t>
        </is>
      </c>
      <c r="K12259" t="inlineStr">
        <is>
          <t>N/A</t>
        </is>
      </c>
      <c r="L12259" t="inlineStr">
        <is>
          <t>Tin Học Văn Phòng, Chăm Sóc Khách Hàng, Giáo Dục, Quản trị Kinh doanh, Tư Vấn Tuyển Sinh</t>
        </is>
      </c>
      <c r="M12259" t="inlineStr">
        <is>
          <t>Bonus, Healthcare Plan, Paid Leave, Training, Travel Opportunities, Team Activities, Others</t>
        </is>
      </c>
      <c r="N12259" s="8">
        <f>HYPERLINK("https://www.vietnamworks.com/tu-van-tuyen-sinh-linh-vuc-giao-duc-2024998-jv","Xem chi tiết")</f>
        <v/>
      </c>
    </row>
    <row r="12260">
      <c r="B12260" s="9" t="n">
        <v>12258</v>
      </c>
      <c r="C12260" s="10" t="inlineStr">
        <is>
          <t>Human Resources Manager (HRM)</t>
        </is>
      </c>
      <c r="D12260" s="10" t="inlineStr">
        <is>
          <t>Công ty cổ phần Nền tảng số MIC ACE</t>
        </is>
      </c>
      <c r="E12260" s="10" t="inlineStr">
        <is>
          <t>35tr-45tr ₫/tháng</t>
        </is>
      </c>
      <c r="F12260" s="10" t="inlineStr">
        <is>
          <t>Hà Nội</t>
        </is>
      </c>
      <c r="G12260" s="10" t="inlineStr">
        <is>
          <t>Trưởng phòng</t>
        </is>
      </c>
      <c r="H12260" s="10" t="inlineStr">
        <is>
          <t>17/03/2026</t>
        </is>
      </c>
      <c r="I12260" s="10" t="inlineStr">
        <is>
          <t>16/04/2026</t>
        </is>
      </c>
      <c r="J12260" s="10" t="inlineStr">
        <is>
          <t>17/03/2026</t>
        </is>
      </c>
      <c r="K12260" s="10" t="inlineStr">
        <is>
          <t>N/A</t>
        </is>
      </c>
      <c r="L12260" s="10" t="inlineStr">
        <is>
          <t>Quản Trị Nhân Sự, KPI Reporting, Đào Tạo, Phân tích dữ liệu, Giao Tiếp</t>
        </is>
      </c>
      <c r="M12260" s="10" t="inlineStr">
        <is>
          <t>Bonus, Paid Leave, Training, Team Activities, Others</t>
        </is>
      </c>
      <c r="N12260" s="11">
        <f>HYPERLINK("https://www.vietnamworks.com/human-resources-manager-hrm-2024987-jv","Xem chi tiết")</f>
        <v/>
      </c>
      <c r="O12260" s="10" t="n"/>
    </row>
    <row r="12261">
      <c r="B12261" s="7" t="n">
        <v>12259</v>
      </c>
      <c r="C12261" t="inlineStr">
        <is>
          <t>Chuyên Viên Truyền Thông Dự Án (Thời Vụ - Có Headcount Lên Chính Thức)</t>
        </is>
      </c>
      <c r="D12261" t="inlineStr">
        <is>
          <t>Công Ty Cổ Phần Tập Đoàn TH</t>
        </is>
      </c>
      <c r="E12261" t="inlineStr">
        <is>
          <t>Thương lượng</t>
        </is>
      </c>
      <c r="F12261" t="inlineStr">
        <is>
          <t>Hà Nội</t>
        </is>
      </c>
      <c r="G12261" t="inlineStr">
        <is>
          <t>Nhân viên</t>
        </is>
      </c>
      <c r="H12261" t="inlineStr">
        <is>
          <t>17/03/2026</t>
        </is>
      </c>
      <c r="I12261" t="inlineStr">
        <is>
          <t>16/04/2026</t>
        </is>
      </c>
      <c r="J12261" t="inlineStr">
        <is>
          <t>17/03/2026</t>
        </is>
      </c>
      <c r="K12261" t="inlineStr">
        <is>
          <t>N/A</t>
        </is>
      </c>
      <c r="L12261" t="inlineStr">
        <is>
          <t>Truyền Thông, Đối Ngoại, Truyền Thông Đối Ngoại</t>
        </is>
      </c>
      <c r="M12261" t="inlineStr">
        <is>
          <t>Healthcare Plan</t>
        </is>
      </c>
      <c r="N12261" s="8">
        <f>HYPERLINK("https://www.vietnamworks.com/chuyen-vien-truyen-thong-du-an-thoi-vu-co-headcount-len-chinh-thuc-2025002-jv","Xem chi tiết")</f>
        <v/>
      </c>
    </row>
    <row r="12262">
      <c r="B12262" s="9" t="n">
        <v>12260</v>
      </c>
      <c r="C12262" s="10" t="inlineStr">
        <is>
          <t>Trợ Lý Số &amp; AI Cho CEO / Anh Chị Quản Lý Cấp Cao, Những Người Đã Hiểu Sâu Về Digital, Data và AI</t>
        </is>
      </c>
      <c r="D12262" s="10" t="inlineStr">
        <is>
          <t>Công ty Cổ phần Khoáng sản Vật liệu Á CỘNG</t>
        </is>
      </c>
      <c r="E12262" s="10" t="inlineStr">
        <is>
          <t>5tr-10tr ₫/tháng</t>
        </is>
      </c>
      <c r="F12262" s="10" t="inlineStr">
        <is>
          <t>Hồ Chí Minh</t>
        </is>
      </c>
      <c r="G12262" s="10" t="inlineStr">
        <is>
          <t>Mới Tốt Nghiệp</t>
        </is>
      </c>
      <c r="H12262" s="10" t="inlineStr">
        <is>
          <t>17/03/2026</t>
        </is>
      </c>
      <c r="I12262" s="10" t="inlineStr">
        <is>
          <t>16/04/2026</t>
        </is>
      </c>
      <c r="J12262" s="10" t="inlineStr">
        <is>
          <t>17/03/2026</t>
        </is>
      </c>
      <c r="K12262" s="10" t="inlineStr">
        <is>
          <t>N/A</t>
        </is>
      </c>
      <c r="L12262" s="10" t="inlineStr">
        <is>
          <t>Công Nghệ Thông Tin, Hệ Thống Thông Tin, Sử Dụng Phần Mềm</t>
        </is>
      </c>
      <c r="M12262" s="10" t="inlineStr">
        <is>
          <t>Training, Team Activities, Others</t>
        </is>
      </c>
      <c r="N12262" s="11">
        <f>HYPERLINK("https://www.vietnamworks.com/tro-ly-so-and-ai-cho-ceo-anh-chi-quan-ly-cap-cao-nhung-nguoi-dja-hieu-sau-ve-digital-data-va-ai-2024992-jv","Xem chi tiết")</f>
        <v/>
      </c>
      <c r="O12262" s="10" t="n"/>
    </row>
    <row r="12263">
      <c r="B12263" s="7" t="n">
        <v>12261</v>
      </c>
      <c r="C12263" t="inlineStr">
        <is>
          <t>Kiến Trúc Sư</t>
        </is>
      </c>
      <c r="D12263" t="inlineStr">
        <is>
          <t>V-M Architects Company Limited</t>
        </is>
      </c>
      <c r="E12263" t="inlineStr">
        <is>
          <t>$$ 500-1,000 /tháng</t>
        </is>
      </c>
      <c r="F12263" t="inlineStr">
        <is>
          <t>Hà Nội</t>
        </is>
      </c>
      <c r="G12263" t="inlineStr">
        <is>
          <t>Nhân viên</t>
        </is>
      </c>
      <c r="H12263" t="inlineStr">
        <is>
          <t>17/03/2026</t>
        </is>
      </c>
      <c r="I12263" t="inlineStr">
        <is>
          <t>16/04/2026</t>
        </is>
      </c>
      <c r="J12263" t="inlineStr">
        <is>
          <t>17/03/2026</t>
        </is>
      </c>
      <c r="K12263" t="inlineStr">
        <is>
          <t>N/A</t>
        </is>
      </c>
      <c r="L12263" t="inlineStr">
        <is>
          <t>Revit, Thiết Kế Kiến Trúc, Kiến Trúc Xây Dựng, Thiết Kế Nhà Ở</t>
        </is>
      </c>
      <c r="M12263" t="inlineStr">
        <is>
          <t>Bonus, Paid Leave, Travel Opportunities</t>
        </is>
      </c>
      <c r="N12263" s="8">
        <f>HYPERLINK("https://www.vietnamworks.com/kien-truc-su--2025015-jv","Xem chi tiết")</f>
        <v/>
      </c>
    </row>
    <row r="12264">
      <c r="B12264" s="9" t="n">
        <v>12262</v>
      </c>
      <c r="C12264" s="10" t="inlineStr">
        <is>
          <t>Kế Toán Trưởng (Chief Accountant)</t>
        </is>
      </c>
      <c r="D12264" s="10" t="inlineStr">
        <is>
          <t>Công ty TNHH Kuang Tai (VN)</t>
        </is>
      </c>
      <c r="E12264" s="10" t="inlineStr">
        <is>
          <t>Thương lượng</t>
        </is>
      </c>
      <c r="F12264" s="10" t="inlineStr">
        <is>
          <t>Đồng Nai</t>
        </is>
      </c>
      <c r="G12264" s="10" t="inlineStr">
        <is>
          <t>Trưởng phòng</t>
        </is>
      </c>
      <c r="H12264" s="10" t="inlineStr">
        <is>
          <t>17/03/2026</t>
        </is>
      </c>
      <c r="I12264" s="10" t="inlineStr">
        <is>
          <t>16/04/2026</t>
        </is>
      </c>
      <c r="J12264" s="10" t="inlineStr">
        <is>
          <t>17/03/2026</t>
        </is>
      </c>
      <c r="K12264" s="10" t="inlineStr">
        <is>
          <t>N/A</t>
        </is>
      </c>
      <c r="L12264" s="10" t="inlineStr">
        <is>
          <t>Tài Chính, Kiểm Toán, Kế Toán, Finance, Chief Accountant Certificate</t>
        </is>
      </c>
      <c r="M12264" s="10" t="inlineStr">
        <is>
          <t>Bonus</t>
        </is>
      </c>
      <c r="N12264" s="11">
        <f>HYPERLINK("https://www.vietnamworks.com/ke-toan-truong-chief-accountant--2025022-jv","Xem chi tiết")</f>
        <v/>
      </c>
      <c r="O12264" s="10" t="n"/>
    </row>
    <row r="12265">
      <c r="B12265" s="7" t="n">
        <v>12263</v>
      </c>
      <c r="C12265" t="inlineStr">
        <is>
          <t>Senior Civil &amp; Structural Engineer</t>
        </is>
      </c>
      <c r="D12265" t="inlineStr">
        <is>
          <t>Intes Co., Ltd</t>
        </is>
      </c>
      <c r="E12265" t="inlineStr">
        <is>
          <t>$$ 800-1,300 /tháng</t>
        </is>
      </c>
      <c r="F12265" t="inlineStr">
        <is>
          <t>Hồ Chí Minh</t>
        </is>
      </c>
      <c r="G12265" t="inlineStr">
        <is>
          <t>Nhân viên</t>
        </is>
      </c>
      <c r="H12265" t="inlineStr">
        <is>
          <t>17/03/2026</t>
        </is>
      </c>
      <c r="I12265" t="inlineStr">
        <is>
          <t>16/04/2026</t>
        </is>
      </c>
      <c r="J12265" t="inlineStr">
        <is>
          <t>17/03/2026</t>
        </is>
      </c>
      <c r="K12265" t="inlineStr">
        <is>
          <t>N/A</t>
        </is>
      </c>
      <c r="L12265" t="inlineStr">
        <is>
          <t>CAD Software, BIM Application, Eurocode standards, Staad, Etab</t>
        </is>
      </c>
      <c r="M12265" t="inlineStr">
        <is>
          <t>Bonus, Healthcare Plan, Training</t>
        </is>
      </c>
      <c r="N12265" s="8">
        <f>HYPERLINK("https://www.vietnamworks.com/senior-civil-structural-engineer--2025019-jv","Xem chi tiết")</f>
        <v/>
      </c>
    </row>
    <row r="12266">
      <c r="B12266" s="9" t="n">
        <v>12264</v>
      </c>
      <c r="C12266" s="10" t="inlineStr">
        <is>
          <t>Chuyên Viên Kiểm Soát Chất Lượng Dịch Vụ</t>
        </is>
      </c>
      <c r="D12266" s="10" t="inlineStr">
        <is>
          <t>Công Ty TNHH Quản Lý Và Dịch Vụ Tài Sản Thành Công</t>
        </is>
      </c>
      <c r="E12266" s="10" t="inlineStr">
        <is>
          <t>12.5tr-18tr ₫/tháng</t>
        </is>
      </c>
      <c r="F12266" s="10" t="inlineStr">
        <is>
          <t>Hà Nội</t>
        </is>
      </c>
      <c r="G12266" s="10" t="inlineStr">
        <is>
          <t>Nhân viên</t>
        </is>
      </c>
      <c r="H12266" s="10" t="inlineStr">
        <is>
          <t>17/03/2026</t>
        </is>
      </c>
      <c r="I12266" s="10" t="inlineStr">
        <is>
          <t>16/04/2026</t>
        </is>
      </c>
      <c r="J12266" s="10" t="inlineStr">
        <is>
          <t>17/03/2026</t>
        </is>
      </c>
      <c r="K12266" s="10" t="inlineStr">
        <is>
          <t>N/A</t>
        </is>
      </c>
      <c r="L12266" s="10" t="inlineStr">
        <is>
          <t>Lập Báo Cáo, Giải Quyết Tố Cáo, Dịch Vụ Khách Hàng, Kiểm Soát Nội Bộ, Đánh Giá Chất Lượng</t>
        </is>
      </c>
      <c r="M12266" s="10" t="inlineStr">
        <is>
          <t>Bonus, Healthcare Plan, Training, Team Activities, Others</t>
        </is>
      </c>
      <c r="N12266" s="11">
        <f>HYPERLINK("https://www.vietnamworks.com/chuyen-vien-kiem-soat-chat-luong-dich-vu-2025014-jv","Xem chi tiết")</f>
        <v/>
      </c>
      <c r="O12266" s="10" t="n"/>
    </row>
    <row r="12267">
      <c r="B12267" s="7" t="n">
        <v>12265</v>
      </c>
      <c r="C12267" t="inlineStr">
        <is>
          <t xml:space="preserve">Accounting Supervisor </t>
        </is>
      </c>
      <c r="D12267" t="inlineStr">
        <is>
          <t>PERSOLKELLY Vietnam</t>
        </is>
      </c>
      <c r="E12267" t="inlineStr">
        <is>
          <t>Thương lượng</t>
        </is>
      </c>
      <c r="F12267" t="inlineStr">
        <is>
          <t>Đồng Nai</t>
        </is>
      </c>
      <c r="G12267" t="inlineStr">
        <is>
          <t>Trưởng phòng</t>
        </is>
      </c>
      <c r="H12267" t="inlineStr">
        <is>
          <t>17/03/2026</t>
        </is>
      </c>
      <c r="I12267" t="inlineStr">
        <is>
          <t>16/04/2026</t>
        </is>
      </c>
      <c r="J12267" t="inlineStr">
        <is>
          <t>17/03/2026</t>
        </is>
      </c>
      <c r="K12267" t="inlineStr">
        <is>
          <t>N/A</t>
        </is>
      </c>
      <c r="L12267" t="inlineStr">
        <is>
          <t>Accounting, Communication, English Communicate, Financial Law, Leadership</t>
        </is>
      </c>
      <c r="M12267" t="inlineStr">
        <is>
          <t>Bonus, Healthcare Plan, Transportation</t>
        </is>
      </c>
      <c r="N12267" s="8">
        <f>HYPERLINK("https://www.vietnamworks.com/accounting-supervisor-2025020-jv","Xem chi tiết")</f>
        <v/>
      </c>
    </row>
    <row r="12268">
      <c r="B12268" s="9" t="n">
        <v>12266</v>
      </c>
      <c r="C12268" s="10" t="inlineStr">
        <is>
          <t>Nhân Viên Kinh Doanh (Bộ Phận Marketing)</t>
        </is>
      </c>
      <c r="D12268" s="10" t="inlineStr">
        <is>
          <t>CHI NHÁNH TẠI TP ĐÀ NẴNG – CÔNG TY TNHH VẬN TẢI CONTAINER HẢI AN</t>
        </is>
      </c>
      <c r="E12268" s="10" t="inlineStr">
        <is>
          <t>Thương lượng</t>
        </is>
      </c>
      <c r="F12268" s="10" t="inlineStr">
        <is>
          <t>Đà Nẵng</t>
        </is>
      </c>
      <c r="G12268" s="10" t="inlineStr">
        <is>
          <t>Nhân viên</t>
        </is>
      </c>
      <c r="H12268" s="10" t="inlineStr">
        <is>
          <t>17/03/2026</t>
        </is>
      </c>
      <c r="I12268" s="10" t="inlineStr">
        <is>
          <t>16/04/2026</t>
        </is>
      </c>
      <c r="J12268" s="10" t="inlineStr">
        <is>
          <t>17/03/2026</t>
        </is>
      </c>
      <c r="K12268" s="10" t="inlineStr">
        <is>
          <t>N/A</t>
        </is>
      </c>
      <c r="L12268" s="10" t="inlineStr">
        <is>
          <t>Marketing Development, Customer Care, English Language Proficiency, Office Software, Import-Export</t>
        </is>
      </c>
      <c r="M12268" s="10" t="inlineStr">
        <is>
          <t>Bonus, Paid Leave, Travel Opportunities, Others</t>
        </is>
      </c>
      <c r="N12268" s="11">
        <f>HYPERLINK("https://www.vietnamworks.com/nhan-vien-kinh-doanh-bo-phan-marketing-2025024-jv","Xem chi tiết")</f>
        <v/>
      </c>
      <c r="O12268" s="10" t="n"/>
    </row>
    <row r="12269">
      <c r="B12269" s="7" t="n">
        <v>12267</v>
      </c>
      <c r="C12269" t="inlineStr">
        <is>
          <t>Trợ Lý Sản Xuất (Tiếng Trung)</t>
        </is>
      </c>
      <c r="D12269" t="inlineStr">
        <is>
          <t>Công ty TNHH Kuang Tai (VN)</t>
        </is>
      </c>
      <c r="E12269" t="inlineStr">
        <is>
          <t>Thương lượng</t>
        </is>
      </c>
      <c r="F12269" t="inlineStr">
        <is>
          <t>Đồng Nai</t>
        </is>
      </c>
      <c r="G12269" t="inlineStr">
        <is>
          <t>Nhân viên</t>
        </is>
      </c>
      <c r="H12269" t="inlineStr">
        <is>
          <t>17/03/2026</t>
        </is>
      </c>
      <c r="I12269" t="inlineStr">
        <is>
          <t>16/04/2026</t>
        </is>
      </c>
      <c r="J12269" t="inlineStr">
        <is>
          <t>17/03/2026</t>
        </is>
      </c>
      <c r="K12269" t="inlineStr">
        <is>
          <t>N/A</t>
        </is>
      </c>
      <c r="L12269" t="inlineStr">
        <is>
          <t>Trợ Lý, Tiếng Trung, Giao Tiếp, Biên Phiên Dịch, Sản Xuất</t>
        </is>
      </c>
      <c r="M12269" t="inlineStr">
        <is>
          <t>Bonus</t>
        </is>
      </c>
      <c r="N12269" s="8">
        <f>HYPERLINK("https://www.vietnamworks.com/tro-ly-san-xuat-tieng-trung--2025035-jv","Xem chi tiết")</f>
        <v/>
      </c>
    </row>
    <row r="12270">
      <c r="B12270" s="9" t="n">
        <v>12268</v>
      </c>
      <c r="C12270" s="10" t="inlineStr">
        <is>
          <t>[HN] Kỹ Sư Thiết Bị Y Tế (Số Lượng: 02)</t>
        </is>
      </c>
      <c r="D12270" s="10" t="inlineStr">
        <is>
          <t>CÔNG TY TNHH CÔNG NGHỆ Y HỌC ĐỨC CHI</t>
        </is>
      </c>
      <c r="E12270" s="10" t="inlineStr">
        <is>
          <t>15tr-18tr ₫/tháng</t>
        </is>
      </c>
      <c r="F12270" s="10" t="inlineStr">
        <is>
          <t>Hà Nội</t>
        </is>
      </c>
      <c r="G12270" s="10" t="inlineStr">
        <is>
          <t>Nhân viên</t>
        </is>
      </c>
      <c r="H12270" s="10" t="inlineStr">
        <is>
          <t>17/03/2026</t>
        </is>
      </c>
      <c r="I12270" s="10" t="inlineStr">
        <is>
          <t>16/04/2026</t>
        </is>
      </c>
      <c r="J12270" s="10" t="inlineStr">
        <is>
          <t>17/03/2026</t>
        </is>
      </c>
      <c r="K12270" s="10" t="inlineStr">
        <is>
          <t>N/A</t>
        </is>
      </c>
      <c r="L12270" s="10" t="inlineStr">
        <is>
          <t>Kỹ Thuật Y Sinh, Thiết Bị Y Tế, Bảo Trì, Lắp Đặt Thiết Bị, Tiếng Anh</t>
        </is>
      </c>
      <c r="M12270" s="10" t="inlineStr">
        <is>
          <t>Bonus, Training, Others</t>
        </is>
      </c>
      <c r="N12270" s="11">
        <f>HYPERLINK("https://www.vietnamworks.com/hn-ky-su-thiet-bi-y-te-so-luong-02-2025028-jv","Xem chi tiết")</f>
        <v/>
      </c>
      <c r="O12270" s="10" t="n"/>
    </row>
    <row r="12271">
      <c r="B12271" s="7" t="n">
        <v>12269</v>
      </c>
      <c r="C12271" t="inlineStr">
        <is>
          <t>(JP 232) Kỹ Sư PLC Thiết Kế Điều Khiển Điện Cho Máy Tiếp Nhiên Liệu Tàu, Cảng Đi Nhật Miễn Phí Làm Việc Tại Tokyo</t>
        </is>
      </c>
      <c r="D12271" t="inlineStr">
        <is>
          <t>Công Ty TNHH R Techno Việt Nam</t>
        </is>
      </c>
      <c r="E12271" t="inlineStr">
        <is>
          <t>¥ 400,000-550,000 /tháng</t>
        </is>
      </c>
      <c r="F12271" t="inlineStr">
        <is>
          <t>Quốc tế</t>
        </is>
      </c>
      <c r="G12271" t="inlineStr">
        <is>
          <t>Nhân viên</t>
        </is>
      </c>
      <c r="H12271" t="inlineStr">
        <is>
          <t>17/03/2026</t>
        </is>
      </c>
      <c r="I12271" t="inlineStr">
        <is>
          <t>16/04/2026</t>
        </is>
      </c>
      <c r="J12271" t="inlineStr">
        <is>
          <t>17/03/2026</t>
        </is>
      </c>
      <c r="K12271" t="inlineStr">
        <is>
          <t>N/A</t>
        </is>
      </c>
      <c r="L12271" t="inlineStr">
        <is>
          <t>N/A</t>
        </is>
      </c>
      <c r="M12271" t="inlineStr">
        <is>
          <t>Healthcare Plan, Paid Leave, Others</t>
        </is>
      </c>
      <c r="N12271" s="8">
        <f>HYPERLINK("https://www.vietnamworks.com/-jp-232-ky-su-plc-thiet-ke-djieu-khien-djien-cho-may-tiep-nhien-lieu-tau-cang-dji-nhat-mien-phi-lam-viec-tai-tokyo-2025026-jv","Xem chi tiết")</f>
        <v/>
      </c>
    </row>
    <row r="12272">
      <c r="B12272" s="9" t="n">
        <v>12270</v>
      </c>
      <c r="C12272" s="10" t="inlineStr">
        <is>
          <t>Kỹ Thuật Viên Bảo Hành Miền Nam (Thu Nhập Cạnh Tranh Trên Thị Trường Từ 12Tr - 15Tr (Gross)</t>
        </is>
      </c>
      <c r="D12272" s="10" t="inlineStr">
        <is>
          <t>Công ty CP Tập Đoàn UKG</t>
        </is>
      </c>
      <c r="E12272" s="10" t="inlineStr">
        <is>
          <t>12tr-15tr ₫/tháng</t>
        </is>
      </c>
      <c r="F12272" s="10" t="inlineStr">
        <is>
          <t>Hồ Chí Minh</t>
        </is>
      </c>
      <c r="G12272" s="10" t="inlineStr">
        <is>
          <t>Nhân viên</t>
        </is>
      </c>
      <c r="H12272" s="10" t="inlineStr">
        <is>
          <t>17/03/2026</t>
        </is>
      </c>
      <c r="I12272" s="10" t="inlineStr">
        <is>
          <t>16/04/2026</t>
        </is>
      </c>
      <c r="J12272" s="10" t="inlineStr">
        <is>
          <t>17/03/2026</t>
        </is>
      </c>
      <c r="K12272" s="10" t="inlineStr">
        <is>
          <t>N/A</t>
        </is>
      </c>
      <c r="L12272" s="10" t="inlineStr">
        <is>
          <t>Bảo Hành, Hỗ Trợ Kỹ Thuật, Sửa Chữa Thiết Bị, Thiết Bị Gia Dụng, Điện tử</t>
        </is>
      </c>
      <c r="M12272" s="10" t="inlineStr">
        <is>
          <t>Bonus, Healthcare Plan, Paid Leave, Training, Team Activities</t>
        </is>
      </c>
      <c r="N12272" s="11">
        <f>HYPERLINK("https://www.vietnamworks.com/ky-thuat-vien-bao-hanh-mien-nam-thu-nhap-canh-tranh-tren-thi-truong-tu-12tr-15tr-gross-2025017-jv","Xem chi tiết")</f>
        <v/>
      </c>
      <c r="O12272" s="10" t="n"/>
    </row>
    <row r="12273">
      <c r="B12273" s="7" t="n">
        <v>12271</v>
      </c>
      <c r="C12273" t="inlineStr">
        <is>
          <t>Wealth Banking Relationship Senior Officer</t>
        </is>
      </c>
      <c r="D12273" t="inlineStr">
        <is>
          <t>United Overseas Bank (Vietnam) Limited (UOB)</t>
        </is>
      </c>
      <c r="E12273" t="inlineStr">
        <is>
          <t>Thương lượng</t>
        </is>
      </c>
      <c r="F12273" t="inlineStr">
        <is>
          <t>Hồ Chí Minh</t>
        </is>
      </c>
      <c r="G12273" t="inlineStr">
        <is>
          <t>Nhân viên</t>
        </is>
      </c>
      <c r="H12273" t="inlineStr">
        <is>
          <t>17/03/2026</t>
        </is>
      </c>
      <c r="I12273" t="inlineStr">
        <is>
          <t>16/04/2026</t>
        </is>
      </c>
      <c r="J12273" t="inlineStr">
        <is>
          <t>17/03/2026</t>
        </is>
      </c>
      <c r="K12273" t="inlineStr">
        <is>
          <t>N/A</t>
        </is>
      </c>
      <c r="L12273" t="inlineStr">
        <is>
          <t>Communication Skills, Financial Analysis, Industrial Sales, Negotiation Skills, Relationship Management</t>
        </is>
      </c>
      <c r="M12273" t="inlineStr">
        <is>
          <t>Bonus, Healthcare Plan, Paid Leave, Others</t>
        </is>
      </c>
      <c r="N12273" s="8">
        <f>HYPERLINK("https://www.vietnamworks.com/wealth-banking-relationship-senior-officer--2025025-jv","Xem chi tiết")</f>
        <v/>
      </c>
    </row>
    <row r="12274">
      <c r="B12274" s="9" t="n">
        <v>12272</v>
      </c>
      <c r="C12274" s="10" t="inlineStr">
        <is>
          <t>Structural Revit Modeler</t>
        </is>
      </c>
      <c r="D12274" s="10" t="inlineStr">
        <is>
          <t>Intes Co., Ltd</t>
        </is>
      </c>
      <c r="E12274" s="10" t="inlineStr">
        <is>
          <t>$$ 500-800 /tháng</t>
        </is>
      </c>
      <c r="F12274" s="10" t="inlineStr">
        <is>
          <t>Hồ Chí Minh</t>
        </is>
      </c>
      <c r="G12274" s="10" t="inlineStr">
        <is>
          <t>Nhân viên</t>
        </is>
      </c>
      <c r="H12274" s="10" t="inlineStr">
        <is>
          <t>17/03/2026</t>
        </is>
      </c>
      <c r="I12274" s="10" t="inlineStr">
        <is>
          <t>16/04/2026</t>
        </is>
      </c>
      <c r="J12274" s="10" t="inlineStr">
        <is>
          <t>17/03/2026</t>
        </is>
      </c>
      <c r="K12274" s="10" t="inlineStr">
        <is>
          <t>N/A</t>
        </is>
      </c>
      <c r="L12274" s="10" t="inlineStr">
        <is>
          <t>Revit Drafter, BIM Revit, BIM Coordination, AutoCAD, Structural Drawing</t>
        </is>
      </c>
      <c r="M12274" s="10" t="inlineStr">
        <is>
          <t>Bonus, Healthcare Plan, Training</t>
        </is>
      </c>
      <c r="N12274" s="11">
        <f>HYPERLINK("https://www.vietnamworks.com/structural-revit-modeler--2025040-jv","Xem chi tiết")</f>
        <v/>
      </c>
      <c r="O12274" s="10" t="n"/>
    </row>
    <row r="12275">
      <c r="B12275" s="7" t="n">
        <v>12273</v>
      </c>
      <c r="C12275" t="inlineStr">
        <is>
          <t>Event Planner</t>
        </is>
      </c>
      <c r="D12275" t="inlineStr">
        <is>
          <t>Công Ty TNHH Đầu Tư Thương Mại Và Du Lịch Quốc Tế Hòa Bình (Hoà Bình Group)</t>
        </is>
      </c>
      <c r="E12275" t="inlineStr">
        <is>
          <t>Thương lượng</t>
        </is>
      </c>
      <c r="F12275" t="inlineStr">
        <is>
          <t>Hồ Chí Minh</t>
        </is>
      </c>
      <c r="G12275" t="inlineStr">
        <is>
          <t>Nhân viên</t>
        </is>
      </c>
      <c r="H12275" t="inlineStr">
        <is>
          <t>17/03/2026</t>
        </is>
      </c>
      <c r="I12275" t="inlineStr">
        <is>
          <t>16/04/2026</t>
        </is>
      </c>
      <c r="J12275" t="inlineStr">
        <is>
          <t>17/03/2026</t>
        </is>
      </c>
      <c r="K12275" t="inlineStr">
        <is>
          <t>N/A</t>
        </is>
      </c>
      <c r="L12275" t="inlineStr">
        <is>
          <t>Truyền Thông, Tổ Chức Sự Kiện, Event Planning, Proposal Writing, Quảng Cáo</t>
        </is>
      </c>
      <c r="M12275" t="inlineStr">
        <is>
          <t>Bonus, Healthcare Plan, Laptop</t>
        </is>
      </c>
      <c r="N12275" s="8">
        <f>HYPERLINK("https://www.vietnamworks.com/event-planner--2025038-jv","Xem chi tiết")</f>
        <v/>
      </c>
    </row>
    <row r="12276">
      <c r="B12276" s="9" t="n">
        <v>12274</v>
      </c>
      <c r="C12276" s="10" t="inlineStr">
        <is>
          <t>[Tuyển Gấp] Chuyên Viên Nhân Sự</t>
        </is>
      </c>
      <c r="D12276" s="10" t="inlineStr">
        <is>
          <t>Xuân Cầu Holdings</t>
        </is>
      </c>
      <c r="E12276" s="10" t="inlineStr">
        <is>
          <t>Thương lượng</t>
        </is>
      </c>
      <c r="F12276" s="10" t="inlineStr">
        <is>
          <t>Hà Nội</t>
        </is>
      </c>
      <c r="G12276" s="10" t="inlineStr">
        <is>
          <t>Nhân viên</t>
        </is>
      </c>
      <c r="H12276" s="10" t="inlineStr">
        <is>
          <t>17/03/2026</t>
        </is>
      </c>
      <c r="I12276" s="10" t="inlineStr">
        <is>
          <t>16/04/2026</t>
        </is>
      </c>
      <c r="J12276" s="10" t="inlineStr">
        <is>
          <t>17/03/2026</t>
        </is>
      </c>
      <c r="K12276" s="10" t="inlineStr">
        <is>
          <t>N/A</t>
        </is>
      </c>
      <c r="L12276" s="10" t="inlineStr">
        <is>
          <t>Giao Tiếp, Luật Lao Động, Tin Học Văn Phòng, Tiếng Trung</t>
        </is>
      </c>
      <c r="M12276" s="10" t="inlineStr">
        <is>
          <t>Bonus, Healthcare Plan, Paid Leave</t>
        </is>
      </c>
      <c r="N12276" s="11">
        <f>HYPERLINK("https://www.vietnamworks.com/tuyen-gap-chuyen-vien-nhan-su-2025029-jv","Xem chi tiết")</f>
        <v/>
      </c>
      <c r="O12276" s="10" t="n"/>
    </row>
    <row r="12277">
      <c r="B12277" s="7" t="n">
        <v>12275</v>
      </c>
      <c r="C12277" t="inlineStr">
        <is>
          <t>Nhân Viên Quản Lý Đơn Hàng (Merchandiser)</t>
        </is>
      </c>
      <c r="D12277" t="inlineStr">
        <is>
          <t>Công Ty TNHH Spica Elastic Việt Nam</t>
        </is>
      </c>
      <c r="E12277" t="inlineStr">
        <is>
          <t>Thương lượng</t>
        </is>
      </c>
      <c r="F12277" t="inlineStr">
        <is>
          <t>Bắc Ninh</t>
        </is>
      </c>
      <c r="G12277" t="inlineStr">
        <is>
          <t>Nhân viên</t>
        </is>
      </c>
      <c r="H12277" t="inlineStr">
        <is>
          <t>17/03/2026</t>
        </is>
      </c>
      <c r="I12277" t="inlineStr">
        <is>
          <t>16/04/2026</t>
        </is>
      </c>
      <c r="J12277" t="inlineStr">
        <is>
          <t>17/03/2026</t>
        </is>
      </c>
      <c r="K12277" t="inlineStr">
        <is>
          <t>N/A</t>
        </is>
      </c>
      <c r="L12277" t="inlineStr">
        <is>
          <t>Dệt May, Merchandising, Quản Lý Đơn Hàng, Theo Dõi Đơn Hàng, Tiếng Anh</t>
        </is>
      </c>
      <c r="M12277" t="inlineStr">
        <is>
          <t>Bonus, Healthcare Plan, Team Activities</t>
        </is>
      </c>
      <c r="N12277" s="8">
        <f>HYPERLINK("https://www.vietnamworks.com/nhan-vien-quan-ly-djon-hang-merchandiser-2025041-jv","Xem chi tiết")</f>
        <v/>
      </c>
    </row>
    <row r="12278">
      <c r="B12278" s="9" t="n">
        <v>12276</v>
      </c>
      <c r="C12278" s="10" t="inlineStr">
        <is>
          <t>Wealth Banking Relationship Manager</t>
        </is>
      </c>
      <c r="D12278" s="10" t="inlineStr">
        <is>
          <t>United Overseas Bank (Vietnam) Limited (UOB)</t>
        </is>
      </c>
      <c r="E12278" s="10" t="inlineStr">
        <is>
          <t>Thương lượng</t>
        </is>
      </c>
      <c r="F12278" s="10" t="inlineStr">
        <is>
          <t>Hồ Chí Minh</t>
        </is>
      </c>
      <c r="G12278" s="10" t="inlineStr">
        <is>
          <t>Nhân viên</t>
        </is>
      </c>
      <c r="H12278" s="10" t="inlineStr">
        <is>
          <t>17/03/2026</t>
        </is>
      </c>
      <c r="I12278" s="10" t="inlineStr">
        <is>
          <t>16/04/2026</t>
        </is>
      </c>
      <c r="J12278" s="10" t="inlineStr">
        <is>
          <t>17/03/2026</t>
        </is>
      </c>
      <c r="K12278" s="10" t="inlineStr">
        <is>
          <t>N/A</t>
        </is>
      </c>
      <c r="L12278" s="10" t="inlineStr">
        <is>
          <t>Communication Skills, Financial Analysis, Industrial Sales, Negotiation Skills, Relationship Management</t>
        </is>
      </c>
      <c r="M12278" s="10" t="inlineStr">
        <is>
          <t>Bonus, Healthcare Plan, Paid Leave, Others</t>
        </is>
      </c>
      <c r="N12278" s="11">
        <f>HYPERLINK("https://www.vietnamworks.com/wealth-banking-relationship-manager--2025021-jv","Xem chi tiết")</f>
        <v/>
      </c>
      <c r="O12278" s="10" t="n"/>
    </row>
    <row r="12279">
      <c r="B12279" s="7" t="n">
        <v>12277</v>
      </c>
      <c r="C12279" t="inlineStr">
        <is>
          <t>Giám Đốc Cao Cấp Phát Triển Dự Án Khu Vực (Project Development Director) Chấp Nhận Đi Công Tác Dài Ngày Tại Nước Ngoài - HO - 1U016</t>
        </is>
      </c>
      <c r="D12279" t="inlineStr">
        <is>
          <t>Tập đoàn ROX (ROX Group)</t>
        </is>
      </c>
      <c r="E12279" t="inlineStr">
        <is>
          <t>$$ 5,000-10,000 /tháng</t>
        </is>
      </c>
      <c r="F12279" t="inlineStr">
        <is>
          <t>Hà Nội</t>
        </is>
      </c>
      <c r="G12279" t="inlineStr">
        <is>
          <t>Giám Đốc và Cấp Cao Hơn</t>
        </is>
      </c>
      <c r="H12279" t="inlineStr">
        <is>
          <t>17/03/2026</t>
        </is>
      </c>
      <c r="I12279" t="inlineStr">
        <is>
          <t>16/04/2026</t>
        </is>
      </c>
      <c r="J12279" t="inlineStr">
        <is>
          <t>17/03/2026</t>
        </is>
      </c>
      <c r="K12279" t="inlineStr">
        <is>
          <t>N/A</t>
        </is>
      </c>
      <c r="L12279" t="inlineStr">
        <is>
          <t>Tiếng Anh thành thạo, Đi Công Tác Nước Ngoài, Quản Lý Dự Án, Bất Động Sản</t>
        </is>
      </c>
      <c r="M12279" t="inlineStr">
        <is>
          <t>Bonus, Healthcare Plan, Paid Leave</t>
        </is>
      </c>
      <c r="N12279" s="8">
        <f>HYPERLINK("https://www.vietnamworks.com/giam-doc-cao-cap-phat-trien-du-an-khu-vuc-project-development-director-chap-nhan-di-cong-tac-dai-ngay-tai-nuoc-ngoai-ho-1u016-2025030-jv","Xem chi tiết")</f>
        <v/>
      </c>
    </row>
    <row r="12280">
      <c r="B12280" s="9" t="n">
        <v>12278</v>
      </c>
      <c r="C12280" s="10" t="inlineStr">
        <is>
          <t>Cán Bộ Cấp Cao Truyền Thông Và Đối Ngoại/ Senior Officer - Media &amp; Communication</t>
        </is>
      </c>
      <c r="D12280" s="10" t="inlineStr">
        <is>
          <t>Masan High-Tech Materials</t>
        </is>
      </c>
      <c r="E12280" s="10" t="inlineStr">
        <is>
          <t>1-1 ₫/tháng</t>
        </is>
      </c>
      <c r="F12280" s="10" t="inlineStr">
        <is>
          <t>Hà Nội</t>
        </is>
      </c>
      <c r="G12280" s="10" t="inlineStr">
        <is>
          <t>Nhân viên</t>
        </is>
      </c>
      <c r="H12280" s="10" t="inlineStr">
        <is>
          <t>17/03/2026</t>
        </is>
      </c>
      <c r="I12280" s="10" t="inlineStr">
        <is>
          <t>16/04/2026</t>
        </is>
      </c>
      <c r="J12280" s="10" t="inlineStr">
        <is>
          <t>17/03/2026</t>
        </is>
      </c>
      <c r="K12280" s="10" t="inlineStr">
        <is>
          <t>N/A</t>
        </is>
      </c>
      <c r="L12280" s="10" t="inlineStr">
        <is>
          <t>Communication, Digital Media, Marketing Development, MS Office, PR</t>
        </is>
      </c>
      <c r="M12280" s="10" t="inlineStr">
        <is>
          <t>Bonus</t>
        </is>
      </c>
      <c r="N12280" s="11">
        <f>HYPERLINK("https://www.vietnamworks.com/can-bo-cap-cao-truyen-thong-va-djoi-ngoai-senior-officer-media-and-communication-2025034-jv","Xem chi tiết")</f>
        <v/>
      </c>
      <c r="O12280" s="10" t="n"/>
    </row>
    <row r="12281">
      <c r="B12281" s="7" t="n">
        <v>12279</v>
      </c>
      <c r="C12281" t="inlineStr">
        <is>
          <t>Nhân Viên Điều Chế &amp; Thí Nghiệm - Đông Anh (Có Xe Đưa Đón)</t>
        </is>
      </c>
      <c r="D12281" t="inlineStr">
        <is>
          <t>TOTO Vietnam Co., Ltd</t>
        </is>
      </c>
      <c r="E12281" t="inlineStr">
        <is>
          <t>$$ 450-550 /tháng</t>
        </is>
      </c>
      <c r="F12281" t="inlineStr">
        <is>
          <t>Hà Nội</t>
        </is>
      </c>
      <c r="G12281" t="inlineStr">
        <is>
          <t>Nhân viên</t>
        </is>
      </c>
      <c r="H12281" t="inlineStr">
        <is>
          <t>17/03/2026</t>
        </is>
      </c>
      <c r="I12281" t="inlineStr">
        <is>
          <t>16/04/2026</t>
        </is>
      </c>
      <c r="J12281" t="inlineStr">
        <is>
          <t>17/03/2026</t>
        </is>
      </c>
      <c r="K12281" t="inlineStr">
        <is>
          <t>N/A</t>
        </is>
      </c>
      <c r="L12281" t="inlineStr">
        <is>
          <t>Hóa Phân Tích, Hóa Vô Cơ, Kỹ Thuật Hóa, Tiếng Anh Căn Bản, Sillicat</t>
        </is>
      </c>
      <c r="M12281" t="inlineStr">
        <is>
          <t>Healthcare Plan, Paid Leave, Training, Others</t>
        </is>
      </c>
      <c r="N12281" s="8">
        <f>HYPERLINK("https://www.vietnamworks.com/nhan-vien-djieu-che-and-thi-nghiem-djong-anh-co-xe-djua-djon-2025031-jv","Xem chi tiết")</f>
        <v/>
      </c>
    </row>
    <row r="12282">
      <c r="B12282" s="9" t="n">
        <v>12280</v>
      </c>
      <c r="C12282" s="10" t="inlineStr">
        <is>
          <t>Họa Viên 3D Sketchup Nội Thất</t>
        </is>
      </c>
      <c r="D12282" s="10" t="inlineStr">
        <is>
          <t>QDSPACES</t>
        </is>
      </c>
      <c r="E12282" s="10" t="inlineStr">
        <is>
          <t>$$ 500-700 /tháng</t>
        </is>
      </c>
      <c r="F12282" s="10" t="inlineStr">
        <is>
          <t>Hồ Chí Minh</t>
        </is>
      </c>
      <c r="G12282" s="10" t="inlineStr">
        <is>
          <t>Nhân viên</t>
        </is>
      </c>
      <c r="H12282" s="10" t="inlineStr">
        <is>
          <t>17/03/2026</t>
        </is>
      </c>
      <c r="I12282" s="10" t="inlineStr">
        <is>
          <t>16/04/2026</t>
        </is>
      </c>
      <c r="J12282" s="10" t="inlineStr">
        <is>
          <t>17/03/2026</t>
        </is>
      </c>
      <c r="K12282" s="10" t="inlineStr">
        <is>
          <t>N/A</t>
        </is>
      </c>
      <c r="L12282" s="10" t="inlineStr">
        <is>
          <t>Khai Triển Nội Thất, Enscape rendering, Sketchup, Auto CAD</t>
        </is>
      </c>
      <c r="M12282" s="10" t="inlineStr">
        <is>
          <t>Bonus</t>
        </is>
      </c>
      <c r="N12282" s="11">
        <f>HYPERLINK("https://www.vietnamworks.com/hoa-vien-3d-sketchup-noi-that--2025033-jv","Xem chi tiết")</f>
        <v/>
      </c>
      <c r="O12282" s="10" t="n"/>
    </row>
    <row r="12283">
      <c r="B12283" s="7" t="n">
        <v>12281</v>
      </c>
      <c r="C12283" t="inlineStr">
        <is>
          <t>Architectural Revit Modeller</t>
        </is>
      </c>
      <c r="D12283" t="inlineStr">
        <is>
          <t>Designlab</t>
        </is>
      </c>
      <c r="E12283" t="inlineStr">
        <is>
          <t>Thương lượng</t>
        </is>
      </c>
      <c r="F12283" t="inlineStr">
        <is>
          <t>Hồ Chí Minh</t>
        </is>
      </c>
      <c r="G12283" t="inlineStr">
        <is>
          <t>Nhân viên</t>
        </is>
      </c>
      <c r="H12283" t="inlineStr">
        <is>
          <t>17/03/2026</t>
        </is>
      </c>
      <c r="I12283" t="inlineStr">
        <is>
          <t>16/04/2026</t>
        </is>
      </c>
      <c r="J12283" t="inlineStr">
        <is>
          <t>17/03/2026</t>
        </is>
      </c>
      <c r="K12283" t="inlineStr">
        <is>
          <t>N/A</t>
        </is>
      </c>
      <c r="L12283" t="inlineStr">
        <is>
          <t>AutoCAD, BIM Model, Revit, Technical Drawing, Architectural Design</t>
        </is>
      </c>
      <c r="M12283" t="inlineStr">
        <is>
          <t>Bonus, Paid Leave, Team Activities</t>
        </is>
      </c>
      <c r="N12283" s="8">
        <f>HYPERLINK("https://www.vietnamworks.com/architectural-revit-modeller--2025045-jv","Xem chi tiết")</f>
        <v/>
      </c>
    </row>
    <row r="12284">
      <c r="B12284" s="9" t="n">
        <v>12282</v>
      </c>
      <c r="C12284" s="10" t="inlineStr">
        <is>
          <t>Sales Executive</t>
        </is>
      </c>
      <c r="D12284" s="10" t="inlineStr">
        <is>
          <t>MyStorage</t>
        </is>
      </c>
      <c r="E12284" s="10" t="inlineStr">
        <is>
          <t>Từ 12tr ₫/tháng</t>
        </is>
      </c>
      <c r="F12284" s="10" t="inlineStr">
        <is>
          <t>Hồ Chí Minh</t>
        </is>
      </c>
      <c r="G12284" s="10" t="inlineStr">
        <is>
          <t>Mới Tốt Nghiệp</t>
        </is>
      </c>
      <c r="H12284" s="10" t="inlineStr">
        <is>
          <t>17/03/2026</t>
        </is>
      </c>
      <c r="I12284" s="10" t="inlineStr">
        <is>
          <t>16/04/2026</t>
        </is>
      </c>
      <c r="J12284" s="10" t="inlineStr">
        <is>
          <t>17/03/2026</t>
        </is>
      </c>
      <c r="K12284" s="10" t="inlineStr">
        <is>
          <t>N/A</t>
        </is>
      </c>
      <c r="L12284" s="10" t="inlineStr">
        <is>
          <t>Customer Service, Sales Support, Communication, Customer Negotiation, Sales Planning</t>
        </is>
      </c>
      <c r="M12284" s="10" t="inlineStr">
        <is>
          <t>Bonus, Training, Others</t>
        </is>
      </c>
      <c r="N12284" s="11">
        <f>HYPERLINK("https://www.vietnamworks.com/sales-executive-2025062-jv","Xem chi tiết")</f>
        <v/>
      </c>
      <c r="O12284" s="10" t="n"/>
    </row>
    <row r="12285">
      <c r="B12285" s="7" t="n">
        <v>12283</v>
      </c>
      <c r="C12285" t="inlineStr">
        <is>
          <t>[Ho Chi Minh] Business Development Executive| Chuyên Viên Phát Triển Kinh Doanh</t>
        </is>
      </c>
      <c r="D12285" t="inlineStr">
        <is>
          <t>Amann (Vietnam) Co., Ltd.</t>
        </is>
      </c>
      <c r="E12285" t="inlineStr">
        <is>
          <t>Thương lượng</t>
        </is>
      </c>
      <c r="F12285" t="inlineStr">
        <is>
          <t>Hồ Chí Minh</t>
        </is>
      </c>
      <c r="G12285" t="inlineStr">
        <is>
          <t>Nhân viên</t>
        </is>
      </c>
      <c r="H12285" t="inlineStr">
        <is>
          <t>17/03/2026</t>
        </is>
      </c>
      <c r="I12285" t="inlineStr">
        <is>
          <t>16/04/2026</t>
        </is>
      </c>
      <c r="J12285" t="inlineStr">
        <is>
          <t>17/03/2026</t>
        </is>
      </c>
      <c r="K12285" t="inlineStr">
        <is>
          <t>N/A</t>
        </is>
      </c>
      <c r="L12285" t="inlineStr">
        <is>
          <t>Chinese Language, Business Development, B2B Sale, Footwear, Textile Industry</t>
        </is>
      </c>
      <c r="M12285" t="inlineStr">
        <is>
          <t>Bonus, Healthcare Plan, Paid Leave</t>
        </is>
      </c>
      <c r="N12285" s="8">
        <f>HYPERLINK("https://www.vietnamworks.com/ho-chi-minh-business-development-executive-chuyen-vien-phat-trien-kinh-doanh--2025044-jv","Xem chi tiết")</f>
        <v/>
      </c>
    </row>
    <row r="12286">
      <c r="B12286" s="9" t="n">
        <v>12284</v>
      </c>
      <c r="C12286" s="10" t="inlineStr">
        <is>
          <t>Operation Executive</t>
        </is>
      </c>
      <c r="D12286" s="10" t="inlineStr">
        <is>
          <t>Odyssey Resources (Vietnam) Limited.</t>
        </is>
      </c>
      <c r="E12286" s="10" t="inlineStr">
        <is>
          <t>Thương lượng</t>
        </is>
      </c>
      <c r="F12286" s="10" t="inlineStr">
        <is>
          <t>Hồ Chí Minh</t>
        </is>
      </c>
      <c r="G12286" s="10" t="inlineStr">
        <is>
          <t>Nhân viên</t>
        </is>
      </c>
      <c r="H12286" s="10" t="inlineStr">
        <is>
          <t>17/03/2026</t>
        </is>
      </c>
      <c r="I12286" s="10" t="inlineStr">
        <is>
          <t>16/04/2026</t>
        </is>
      </c>
      <c r="J12286" s="10" t="inlineStr">
        <is>
          <t>17/03/2026</t>
        </is>
      </c>
      <c r="K12286" s="10" t="inlineStr">
        <is>
          <t>N/A</t>
        </is>
      </c>
      <c r="L12286" s="10" t="inlineStr">
        <is>
          <t>English, Operation, Customer Service, Coordinating, Problem Solving</t>
        </is>
      </c>
      <c r="M12286" s="10" t="inlineStr">
        <is>
          <t>Healthcare Plan, Paid Leave, Team Activities</t>
        </is>
      </c>
      <c r="N12286" s="11">
        <f>HYPERLINK("https://www.vietnamworks.com/operation-executive-25-1-1-1-1-1-3-1-1-2-1-1-1-1-2-2-1--2025051-jv","Xem chi tiết")</f>
        <v/>
      </c>
      <c r="O12286" s="10" t="n"/>
    </row>
    <row r="12287">
      <c r="B12287" s="7" t="n">
        <v>12285</v>
      </c>
      <c r="C12287" t="inlineStr">
        <is>
          <t>Nhân Viên Content Marketing Bất Động Sản</t>
        </is>
      </c>
      <c r="D12287" t="inlineStr">
        <is>
          <t>CÔNG TY CỔ PHẦN MAXON</t>
        </is>
      </c>
      <c r="E12287" t="inlineStr">
        <is>
          <t>10tr-16tr ₫/tháng</t>
        </is>
      </c>
      <c r="F12287" t="inlineStr">
        <is>
          <t>Hà Nội</t>
        </is>
      </c>
      <c r="G12287" t="inlineStr">
        <is>
          <t>Nhân viên</t>
        </is>
      </c>
      <c r="H12287" t="inlineStr">
        <is>
          <t>17/03/2026</t>
        </is>
      </c>
      <c r="I12287" t="inlineStr">
        <is>
          <t>16/04/2026</t>
        </is>
      </c>
      <c r="J12287" t="inlineStr">
        <is>
          <t>17/03/2026</t>
        </is>
      </c>
      <c r="K12287" t="inlineStr">
        <is>
          <t>N/A</t>
        </is>
      </c>
      <c r="L12287" t="inlineStr">
        <is>
          <t>Content Marketing, Insights Research, Branding Strategy, Bất Động Sản, Marketing Planning</t>
        </is>
      </c>
      <c r="M12287" t="inlineStr">
        <is>
          <t>Bonus, Healthcare Plan, Others</t>
        </is>
      </c>
      <c r="N12287" s="8">
        <f>HYPERLINK("https://www.vietnamworks.com/nhan-vien-content-marketing-bat-djong-san-2025063-jv","Xem chi tiết")</f>
        <v/>
      </c>
    </row>
    <row r="12288">
      <c r="B12288" s="9" t="n">
        <v>12286</v>
      </c>
      <c r="C12288" s="10" t="inlineStr">
        <is>
          <t>Accountant</t>
        </is>
      </c>
      <c r="D12288" s="10" t="inlineStr">
        <is>
          <t>True Accounting</t>
        </is>
      </c>
      <c r="E12288" s="10" t="inlineStr">
        <is>
          <t>$$ 450-900 /tháng</t>
        </is>
      </c>
      <c r="F12288" s="10" t="inlineStr">
        <is>
          <t>Hồ Chí Minh</t>
        </is>
      </c>
      <c r="G12288" s="10" t="inlineStr">
        <is>
          <t>Mới Tốt Nghiệp</t>
        </is>
      </c>
      <c r="H12288" s="10" t="inlineStr">
        <is>
          <t>17/03/2026</t>
        </is>
      </c>
      <c r="I12288" s="10" t="inlineStr">
        <is>
          <t>16/04/2026</t>
        </is>
      </c>
      <c r="J12288" s="10" t="inlineStr">
        <is>
          <t>17/03/2026</t>
        </is>
      </c>
      <c r="K12288" s="10" t="inlineStr">
        <is>
          <t>N/A</t>
        </is>
      </c>
      <c r="L12288" s="10" t="inlineStr">
        <is>
          <t>Accounting, IFRS, Xero Accounting Software, Tài Chính, Kế Toán</t>
        </is>
      </c>
      <c r="M12288" s="10" t="inlineStr">
        <is>
          <t>Bonus, Paid Leave, Training</t>
        </is>
      </c>
      <c r="N12288" s="11">
        <f>HYPERLINK("https://www.vietnamworks.com/accountant--2025070-jv","Xem chi tiết")</f>
        <v/>
      </c>
      <c r="O12288" s="10" t="n"/>
    </row>
    <row r="12289">
      <c r="B12289" s="7" t="n">
        <v>12287</v>
      </c>
      <c r="C12289" t="inlineStr">
        <is>
          <t>Sale Và Tư Vấn Du Học</t>
        </is>
      </c>
      <c r="D12289" t="inlineStr">
        <is>
          <t>Capstone Vietnam</t>
        </is>
      </c>
      <c r="E12289" t="inlineStr">
        <is>
          <t>Thương lượng</t>
        </is>
      </c>
      <c r="F12289" t="inlineStr">
        <is>
          <t>Hồ Chí Minh, Hà Nội</t>
        </is>
      </c>
      <c r="G12289" t="inlineStr">
        <is>
          <t>Nhân viên</t>
        </is>
      </c>
      <c r="H12289" t="inlineStr">
        <is>
          <t>17/03/2026</t>
        </is>
      </c>
      <c r="I12289" t="inlineStr">
        <is>
          <t>16/04/2026</t>
        </is>
      </c>
      <c r="J12289" t="inlineStr">
        <is>
          <t>17/03/2026</t>
        </is>
      </c>
      <c r="K12289" t="inlineStr">
        <is>
          <t>N/A</t>
        </is>
      </c>
      <c r="L12289" t="inlineStr">
        <is>
          <t>Education, Sales, Consulting, Communication, Problem Solving</t>
        </is>
      </c>
      <c r="M12289" t="inlineStr">
        <is>
          <t>Bonus, Healthcare Plan, Paid Leave, Training, Awards, Others</t>
        </is>
      </c>
      <c r="N12289" s="8">
        <f>HYPERLINK("https://www.vietnamworks.com/sale-va-tu-van-du-hoc-2025043-jv","Xem chi tiết")</f>
        <v/>
      </c>
    </row>
    <row r="12290">
      <c r="B12290" s="9" t="n">
        <v>12288</v>
      </c>
      <c r="C12290" s="10" t="inlineStr">
        <is>
          <t>Tổ Phó Sản Xuất Ép Nhựa (Injection Molding Shift Leader)</t>
        </is>
      </c>
      <c r="D12290" s="10" t="inlineStr">
        <is>
          <t>Alwin Vietnam LLC.</t>
        </is>
      </c>
      <c r="E12290" s="10" t="inlineStr">
        <is>
          <t>9tr-10tr ₫/tháng</t>
        </is>
      </c>
      <c r="F12290" s="10" t="inlineStr">
        <is>
          <t>Bình Dương</t>
        </is>
      </c>
      <c r="G12290" s="10" t="inlineStr">
        <is>
          <t>Nhân viên</t>
        </is>
      </c>
      <c r="H12290" s="10" t="inlineStr">
        <is>
          <t>17/03/2026</t>
        </is>
      </c>
      <c r="I12290" s="10" t="inlineStr">
        <is>
          <t>16/04/2026</t>
        </is>
      </c>
      <c r="J12290" s="10" t="inlineStr">
        <is>
          <t>17/03/2026</t>
        </is>
      </c>
      <c r="K12290" s="10" t="inlineStr">
        <is>
          <t>N/A</t>
        </is>
      </c>
      <c r="L12290" s="10" t="inlineStr">
        <is>
          <t>Quản Lý Sản Xuất, Vận Hành Máy Ép, Kiểm Soát Chất Lượng, Cải Tiến Quy Trình Sản Xuất, Quy Trình Ép Nhựa</t>
        </is>
      </c>
      <c r="M12290" s="10" t="inlineStr">
        <is>
          <t>Bonus, Healthcare Plan, Kindergarten, Others</t>
        </is>
      </c>
      <c r="N12290" s="11">
        <f>HYPERLINK("https://www.vietnamworks.com/to-pho-san-xuat-ep-nhua-injection-molding-shift-leader-2025066-jv","Xem chi tiết")</f>
        <v/>
      </c>
      <c r="O12290" s="10" t="n"/>
    </row>
    <row r="12291">
      <c r="B12291" s="7" t="n">
        <v>12289</v>
      </c>
      <c r="C12291" t="inlineStr">
        <is>
          <t>Kỹ Sư Thiết Kế Xây Dựng Công Trình</t>
        </is>
      </c>
      <c r="D12291" t="inlineStr">
        <is>
          <t>Công ty Cổ phần Đầu tư xây dựng và Thiết kế Thuận Phát</t>
        </is>
      </c>
      <c r="E12291" t="inlineStr">
        <is>
          <t>12tr-25tr ₫/tháng</t>
        </is>
      </c>
      <c r="F12291" t="inlineStr">
        <is>
          <t>Hà Nội</t>
        </is>
      </c>
      <c r="G12291" t="inlineStr">
        <is>
          <t>Nhân viên</t>
        </is>
      </c>
      <c r="H12291" t="inlineStr">
        <is>
          <t>17/03/2026</t>
        </is>
      </c>
      <c r="I12291" t="inlineStr">
        <is>
          <t>16/04/2026</t>
        </is>
      </c>
      <c r="J12291" t="inlineStr">
        <is>
          <t>17/03/2026</t>
        </is>
      </c>
      <c r="K12291" t="inlineStr">
        <is>
          <t>N/A</t>
        </is>
      </c>
      <c r="L12291" t="inlineStr">
        <is>
          <t>Thiết Kế Xây Dựng, AutoCAD, Midas Design+, ADS Civil, Dự Toán Công Trình</t>
        </is>
      </c>
      <c r="M12291" t="inlineStr">
        <is>
          <t>Bonus, Healthcare Plan, Team Activities, Others</t>
        </is>
      </c>
      <c r="N12291" s="8">
        <f>HYPERLINK("https://www.vietnamworks.com/ky-su-thiet-ke-xay-dung-cong-trinh-2025067-jv","Xem chi tiết")</f>
        <v/>
      </c>
    </row>
    <row r="12292">
      <c r="B12292" s="9" t="n">
        <v>12290</v>
      </c>
      <c r="C12292" s="10" t="inlineStr">
        <is>
          <t>Quality Engineer</t>
        </is>
      </c>
      <c r="D12292" s="10" t="inlineStr">
        <is>
          <t>Sharkninja Vietnam</t>
        </is>
      </c>
      <c r="E12292" s="10" t="inlineStr">
        <is>
          <t>Thương lượng</t>
        </is>
      </c>
      <c r="F12292" s="10" t="inlineStr">
        <is>
          <t>Đồng Nai</t>
        </is>
      </c>
      <c r="G12292" s="10" t="inlineStr">
        <is>
          <t>Nhân viên</t>
        </is>
      </c>
      <c r="H12292" s="10" t="inlineStr">
        <is>
          <t>17/03/2026</t>
        </is>
      </c>
      <c r="I12292" s="10" t="inlineStr">
        <is>
          <t>16/04/2026</t>
        </is>
      </c>
      <c r="J12292" s="10" t="inlineStr">
        <is>
          <t>17/03/2026</t>
        </is>
      </c>
      <c r="K12292" s="10" t="inlineStr">
        <is>
          <t>N/A</t>
        </is>
      </c>
      <c r="L12292" s="10" t="inlineStr">
        <is>
          <t>Problem-solving, Quality Auditing, Quality Control Inspection, Quality Internal Audit, Quality Management</t>
        </is>
      </c>
      <c r="M12292" s="10" t="inlineStr">
        <is>
          <t>Bonus, Healthcare Plan, Training</t>
        </is>
      </c>
      <c r="N12292" s="11">
        <f>HYPERLINK("https://www.vietnamworks.com/quality-engineer-2025042-jv","Xem chi tiết")</f>
        <v/>
      </c>
      <c r="O12292" s="10" t="n"/>
    </row>
    <row r="12293">
      <c r="B12293" s="7" t="n">
        <v>12291</v>
      </c>
      <c r="C12293" t="inlineStr">
        <is>
          <t>Chuyên Viên Quản Lý Nhà Thầu Phụ, Tổ Đội</t>
        </is>
      </c>
      <c r="D12293" t="inlineStr">
        <is>
          <t>Công Ty Cổ Phần Đầu Tư Thiên Ân</t>
        </is>
      </c>
      <c r="E12293" t="inlineStr">
        <is>
          <t>Tới 20tr ₫/tháng</t>
        </is>
      </c>
      <c r="F12293" t="inlineStr">
        <is>
          <t>Hà Nội</t>
        </is>
      </c>
      <c r="G12293" t="inlineStr">
        <is>
          <t>Nhân viên</t>
        </is>
      </c>
      <c r="H12293" t="inlineStr">
        <is>
          <t>17/03/2026</t>
        </is>
      </c>
      <c r="I12293" t="inlineStr">
        <is>
          <t>16/04/2026</t>
        </is>
      </c>
      <c r="J12293" t="inlineStr">
        <is>
          <t>17/03/2026</t>
        </is>
      </c>
      <c r="K12293" t="inlineStr">
        <is>
          <t>N/A</t>
        </is>
      </c>
      <c r="L12293" t="inlineStr">
        <is>
          <t>Kinh Tế Xây Dựng, Quản Lý Nhà Thầu, Tìm Kiếm Nhà Cung Cấp, Vật tư</t>
        </is>
      </c>
      <c r="M12293" t="inlineStr">
        <is>
          <t>Bonus, Healthcare Plan, Paid Leave, Training, Awards, Team Activities, Others</t>
        </is>
      </c>
      <c r="N12293" s="8">
        <f>HYPERLINK("https://www.vietnamworks.com/chuyen-vien-quan-ly-nha-thau-phu-to-djoi-2025050-jv","Xem chi tiết")</f>
        <v/>
      </c>
    </row>
    <row r="12294">
      <c r="B12294" s="9" t="n">
        <v>12292</v>
      </c>
      <c r="C12294" s="10" t="inlineStr">
        <is>
          <t>Internal Communication Intern</t>
        </is>
      </c>
      <c r="D12294" s="10" t="inlineStr">
        <is>
          <t>Maersk Vietnam Ltd.</t>
        </is>
      </c>
      <c r="E12294" s="10" t="inlineStr">
        <is>
          <t>Thương lượng</t>
        </is>
      </c>
      <c r="F12294" s="10" t="inlineStr">
        <is>
          <t>Hồ Chí Minh</t>
        </is>
      </c>
      <c r="G12294" s="10" t="inlineStr">
        <is>
          <t>Thực tập sinh/Sinh viên</t>
        </is>
      </c>
      <c r="H12294" s="10" t="inlineStr">
        <is>
          <t>17/03/2026</t>
        </is>
      </c>
      <c r="I12294" s="10" t="inlineStr">
        <is>
          <t>16/04/2026</t>
        </is>
      </c>
      <c r="J12294" s="10" t="inlineStr">
        <is>
          <t>17/03/2026</t>
        </is>
      </c>
      <c r="K12294" s="10" t="inlineStr">
        <is>
          <t>N/A</t>
        </is>
      </c>
      <c r="L12294" s="10" t="inlineStr">
        <is>
          <t>Internal Communication</t>
        </is>
      </c>
      <c r="M12294" s="10" t="inlineStr">
        <is>
          <t>Bonus, Healthcare Plan, Training</t>
        </is>
      </c>
      <c r="N12294" s="11">
        <f>HYPERLINK("https://www.vietnamworks.com/internal-communication-intern--2025068-jv","Xem chi tiết")</f>
        <v/>
      </c>
      <c r="O12294" s="10" t="n"/>
    </row>
    <row r="12295">
      <c r="B12295" s="7" t="n">
        <v>12293</v>
      </c>
      <c r="C12295" t="inlineStr">
        <is>
          <t>Logistics - Tiếng Trung</t>
        </is>
      </c>
      <c r="D12295" t="inlineStr">
        <is>
          <t>Công Ty TNHH ITI Logistics (Việt Nam)</t>
        </is>
      </c>
      <c r="E12295" t="inlineStr">
        <is>
          <t>Thương lượng</t>
        </is>
      </c>
      <c r="F12295" t="inlineStr">
        <is>
          <t>Hồ Chí Minh</t>
        </is>
      </c>
      <c r="G12295" t="inlineStr">
        <is>
          <t>Nhân viên</t>
        </is>
      </c>
      <c r="H12295" t="inlineStr">
        <is>
          <t>17/03/2026</t>
        </is>
      </c>
      <c r="I12295" t="inlineStr">
        <is>
          <t>16/04/2026</t>
        </is>
      </c>
      <c r="J12295" t="inlineStr">
        <is>
          <t>17/03/2026</t>
        </is>
      </c>
      <c r="K12295" t="inlineStr">
        <is>
          <t>N/A</t>
        </is>
      </c>
      <c r="L12295" t="inlineStr">
        <is>
          <t>Kế toán, Tiếng Trung, Tiếng Hoa, HSK 5</t>
        </is>
      </c>
      <c r="M12295" t="inlineStr">
        <is>
          <t>Bonus, Healthcare Plan, Paid Leave, Travel Opportunities, Team Activities, Others</t>
        </is>
      </c>
      <c r="N12295" s="8">
        <f>HYPERLINK("https://www.vietnamworks.com/logistics-tieng-trung-2025048-jv","Xem chi tiết")</f>
        <v/>
      </c>
    </row>
    <row r="12296">
      <c r="B12296" s="9" t="n">
        <v>12294</v>
      </c>
      <c r="C12296" s="10" t="inlineStr">
        <is>
          <t>Nhân Viên Kỹ Thuật Vận Hành Nhà Máy Xử Lý Nước Thải</t>
        </is>
      </c>
      <c r="D12296" s="10" t="inlineStr">
        <is>
          <t>Công Ty CP Quản Lý Công Trình Đô Thị Hải Dương</t>
        </is>
      </c>
      <c r="E12296" s="10" t="inlineStr">
        <is>
          <t>Thương lượng</t>
        </is>
      </c>
      <c r="F12296" s="10" t="inlineStr">
        <is>
          <t>Hải Dương, Hải Phòng</t>
        </is>
      </c>
      <c r="G12296" s="10" t="inlineStr">
        <is>
          <t>Nhân viên</t>
        </is>
      </c>
      <c r="H12296" s="10" t="inlineStr">
        <is>
          <t>17/03/2026</t>
        </is>
      </c>
      <c r="I12296" s="10" t="inlineStr">
        <is>
          <t>16/04/2026</t>
        </is>
      </c>
      <c r="J12296" s="10" t="inlineStr">
        <is>
          <t>17/03/2026</t>
        </is>
      </c>
      <c r="K12296" s="10" t="inlineStr">
        <is>
          <t>N/A</t>
        </is>
      </c>
      <c r="L12296" s="10" t="inlineStr">
        <is>
          <t>Xử Lý Nước Thải, Xử Lý Nước, Môi Trường, Environment, AutoCAD</t>
        </is>
      </c>
      <c r="M12296" s="10" t="inlineStr">
        <is>
          <t>Bonus, Healthcare Plan, Travel Opportunities</t>
        </is>
      </c>
      <c r="N12296" s="11">
        <f>HYPERLINK("https://www.vietnamworks.com/nhan-vien-ky-thuat-van-hanh-nha-may-xu-ly-nuoc-thai-2025059-jv","Xem chi tiết")</f>
        <v/>
      </c>
      <c r="O12296" s="10" t="n"/>
    </row>
    <row r="12297">
      <c r="B12297" s="7" t="n">
        <v>12295</v>
      </c>
      <c r="C12297" t="inlineStr">
        <is>
          <t>Trưởng Phòng QA &amp; Bảo Hành Toàn Quốc (Kinh Nghiệm Sản Phẩm Gia Dụng Hoàn Chỉnh)</t>
        </is>
      </c>
      <c r="D12297" t="inlineStr">
        <is>
          <t>CÔNG TY CỔ PHẦN PHÂN PHỐI QUỐC TẾ GENEX</t>
        </is>
      </c>
      <c r="E12297" t="inlineStr">
        <is>
          <t>35tr-40tr ₫/tháng</t>
        </is>
      </c>
      <c r="F12297" t="inlineStr">
        <is>
          <t>Hà Nội</t>
        </is>
      </c>
      <c r="G12297" t="inlineStr">
        <is>
          <t>Trưởng phòng</t>
        </is>
      </c>
      <c r="H12297" t="inlineStr">
        <is>
          <t>17/03/2026</t>
        </is>
      </c>
      <c r="I12297" t="inlineStr">
        <is>
          <t>16/04/2026</t>
        </is>
      </c>
      <c r="J12297" t="inlineStr">
        <is>
          <t>17/03/2026</t>
        </is>
      </c>
      <c r="K12297" t="inlineStr">
        <is>
          <t>N/A</t>
        </is>
      </c>
      <c r="L12297" t="inlineStr">
        <is>
          <t>Giao Tiếp Tiếng Anh, Excel, Phân Tích Lỗi, QA/ QC, Quản Lý Chất Lượng</t>
        </is>
      </c>
      <c r="M12297" t="inlineStr">
        <is>
          <t>Bonus, Healthcare Plan, Paid Leave, Team Activities, Others</t>
        </is>
      </c>
      <c r="N12297" s="8">
        <f>HYPERLINK("https://www.vietnamworks.com/truong-phong-qa-and-bao-hanh-toan-quoc-kinh-nghiem-san-pham-gia-dung-hoan-chinh-2025058-jv","Xem chi tiết")</f>
        <v/>
      </c>
    </row>
    <row r="12298">
      <c r="B12298" s="9" t="n">
        <v>12296</v>
      </c>
      <c r="C12298" s="10" t="inlineStr">
        <is>
          <t>Kế Toán Tổng Hợp - General Accountant (Ngành Logistics)</t>
        </is>
      </c>
      <c r="D12298" s="10" t="inlineStr">
        <is>
          <t>CÔNG TY CỔ PHẦN SAFO LOGISTICS</t>
        </is>
      </c>
      <c r="E12298" s="10" t="inlineStr">
        <is>
          <t>9tr-12tr ₫/tháng</t>
        </is>
      </c>
      <c r="F12298" s="10" t="inlineStr">
        <is>
          <t>Hà Nội</t>
        </is>
      </c>
      <c r="G12298" s="10" t="inlineStr">
        <is>
          <t>Nhân viên</t>
        </is>
      </c>
      <c r="H12298" s="10" t="inlineStr">
        <is>
          <t>17/03/2026</t>
        </is>
      </c>
      <c r="I12298" s="10" t="inlineStr">
        <is>
          <t>16/04/2026</t>
        </is>
      </c>
      <c r="J12298" s="10" t="inlineStr">
        <is>
          <t>17/03/2026</t>
        </is>
      </c>
      <c r="K12298" s="10" t="inlineStr">
        <is>
          <t>N/A</t>
        </is>
      </c>
      <c r="L12298" s="10" t="inlineStr">
        <is>
          <t>Tài Chính, Excel, Kiểm Soát Dòng Tiền, Quản Lý Công Nợ, Theo Dõi Tồn Kho</t>
        </is>
      </c>
      <c r="M12298" s="10" t="inlineStr">
        <is>
          <t>Healthcare Plan, Paid Leave, Training, Others</t>
        </is>
      </c>
      <c r="N12298" s="11">
        <f>HYPERLINK("https://www.vietnamworks.com/ke-toan-tong-hop-general-accountant-nganh-logistics-2025064-jv","Xem chi tiết")</f>
        <v/>
      </c>
      <c r="O12298" s="10" t="n"/>
    </row>
    <row r="12299">
      <c r="B12299" s="7" t="n">
        <v>12297</v>
      </c>
      <c r="C12299" t="inlineStr">
        <is>
          <t>Materials Quality Manager – MLB Footwear (Vietnam)</t>
        </is>
      </c>
      <c r="D12299" t="inlineStr">
        <is>
          <t>F&amp;F Vietnam co., Ltd</t>
        </is>
      </c>
      <c r="E12299" t="inlineStr">
        <is>
          <t>Từ $ 1,000 /tháng</t>
        </is>
      </c>
      <c r="F12299" t="inlineStr">
        <is>
          <t>Hồ Chí Minh</t>
        </is>
      </c>
      <c r="G12299" t="inlineStr">
        <is>
          <t>Nhân viên</t>
        </is>
      </c>
      <c r="H12299" t="inlineStr">
        <is>
          <t>17/03/2026</t>
        </is>
      </c>
      <c r="I12299" t="inlineStr">
        <is>
          <t>16/04/2026</t>
        </is>
      </c>
      <c r="J12299" t="inlineStr">
        <is>
          <t>17/03/2026</t>
        </is>
      </c>
      <c r="K12299" t="inlineStr">
        <is>
          <t>N/A</t>
        </is>
      </c>
      <c r="L12299" t="inlineStr">
        <is>
          <t>Communication Skills, Footwear Material\t, Manufacturing knowledge, Microsoft Office, Quality Improvement Tools</t>
        </is>
      </c>
      <c r="M12299" t="inlineStr">
        <is>
          <t>Healthcare Plan, Paid Leave, Transportation, Others</t>
        </is>
      </c>
      <c r="N12299" s="8">
        <f>HYPERLINK("https://www.vietnamworks.com/materials-quality-manager-mlb-footwear-vietnam-2025069-jv","Xem chi tiết")</f>
        <v/>
      </c>
    </row>
    <row r="12300">
      <c r="B12300" s="9" t="n">
        <v>12298</v>
      </c>
      <c r="C12300" s="10" t="inlineStr">
        <is>
          <t>Kỹ Sư Bảo Trì Điện Sản Xuất (3 Ca- Salary Up to 20 Triệu)</t>
        </is>
      </c>
      <c r="D12300" s="10" t="inlineStr">
        <is>
          <t>Công Ty TNHH Vật Liệu Nam Châm Shin-Etsu Việt Nam</t>
        </is>
      </c>
      <c r="E12300" s="10" t="inlineStr">
        <is>
          <t>Tới $ 20tr /tháng</t>
        </is>
      </c>
      <c r="F12300" s="10" t="inlineStr">
        <is>
          <t>Hải Phòng, Quảng Ninh</t>
        </is>
      </c>
      <c r="G12300" s="10" t="inlineStr">
        <is>
          <t>Nhân viên</t>
        </is>
      </c>
      <c r="H12300" s="10" t="inlineStr">
        <is>
          <t>17/03/2026</t>
        </is>
      </c>
      <c r="I12300" s="10" t="inlineStr">
        <is>
          <t>16/04/2026</t>
        </is>
      </c>
      <c r="J12300" s="10" t="inlineStr">
        <is>
          <t>17/03/2026</t>
        </is>
      </c>
      <c r="K12300" s="10" t="inlineStr">
        <is>
          <t>N/A</t>
        </is>
      </c>
      <c r="L12300" s="10" t="inlineStr">
        <is>
          <t>Bảo Trì Hệ Thống Điện, Bảo Dưỡng, Tủ Điện, PLC, Điện Công Nghiệp</t>
        </is>
      </c>
      <c r="M12300" s="10" t="inlineStr">
        <is>
          <t>Bonus, Healthcare Plan, Awards</t>
        </is>
      </c>
      <c r="N12300" s="11">
        <f>HYPERLINK("https://www.vietnamworks.com/ky-su-bao-tri-dien-san-xuat-3-ca-salary-up-to-20-trieu-2025053-jv","Xem chi tiết")</f>
        <v/>
      </c>
      <c r="O12300" s="10" t="n"/>
    </row>
    <row r="12301">
      <c r="B12301" s="7" t="n">
        <v>12299</v>
      </c>
      <c r="C12301" t="inlineStr">
        <is>
          <t>Chuyên viên cao cấp Tái thẩm định KHCN/KHDN</t>
        </is>
      </c>
      <c r="D12301" t="inlineStr">
        <is>
          <t>Ngân Hàng TNHH MTV Kỷ Nguyên Thịnh Vượng - GPBank</t>
        </is>
      </c>
      <c r="E12301" t="inlineStr">
        <is>
          <t>Từ $ 1,000 /tháng</t>
        </is>
      </c>
      <c r="F12301" t="inlineStr">
        <is>
          <t>Hà Nội</t>
        </is>
      </c>
      <c r="G12301" t="inlineStr">
        <is>
          <t>Nhân viên</t>
        </is>
      </c>
      <c r="H12301" t="inlineStr">
        <is>
          <t>17/03/2026</t>
        </is>
      </c>
      <c r="I12301" t="inlineStr">
        <is>
          <t>16/04/2026</t>
        </is>
      </c>
      <c r="J12301" t="inlineStr">
        <is>
          <t>17/03/2026</t>
        </is>
      </c>
      <c r="K12301" t="inlineStr">
        <is>
          <t>N/A</t>
        </is>
      </c>
      <c r="L12301" t="inlineStr">
        <is>
          <t>Ngân hàng, Tài Chính, Tái Thẩm Định, Thẩm Định, Tín Dụng Ngân Hàng</t>
        </is>
      </c>
      <c r="M12301" t="inlineStr">
        <is>
          <t>Paid Leave, Training</t>
        </is>
      </c>
      <c r="N12301" s="8">
        <f>HYPERLINK("https://www.vietnamworks.com/chuyen-vien-cao-cap-tai-tham-djinh-khcnkhdn-2025073-jv","Xem chi tiết")</f>
        <v/>
      </c>
    </row>
    <row r="12302">
      <c r="B12302" s="9" t="n">
        <v>12300</v>
      </c>
      <c r="C12302" s="10" t="inlineStr">
        <is>
          <t>Area Manager - Pharmacy (Based In HCM)</t>
        </is>
      </c>
      <c r="D12302" s="10" t="inlineStr">
        <is>
          <t>URGO Việt Nam</t>
        </is>
      </c>
      <c r="E12302" s="10" t="inlineStr">
        <is>
          <t>Thương lượng</t>
        </is>
      </c>
      <c r="F12302" s="10" t="inlineStr">
        <is>
          <t>Hồ Chí Minh</t>
        </is>
      </c>
      <c r="G12302" s="10" t="inlineStr">
        <is>
          <t>Trưởng phòng</t>
        </is>
      </c>
      <c r="H12302" s="10" t="inlineStr">
        <is>
          <t>17/03/2026</t>
        </is>
      </c>
      <c r="I12302" s="10" t="inlineStr">
        <is>
          <t>16/04/2026</t>
        </is>
      </c>
      <c r="J12302" s="10" t="inlineStr">
        <is>
          <t>17/03/2026</t>
        </is>
      </c>
      <c r="K12302" s="10" t="inlineStr">
        <is>
          <t>N/A</t>
        </is>
      </c>
      <c r="L12302" s="10" t="inlineStr">
        <is>
          <t>Coaching, Effective Communication, Event Tracking, Pharmaceutical Research, Team Management</t>
        </is>
      </c>
      <c r="M12302" s="10" t="inlineStr">
        <is>
          <t>Healthcare Plan, Laptop, Others</t>
        </is>
      </c>
      <c r="N12302" s="11">
        <f>HYPERLINK("https://www.vietnamworks.com/area-manager-pharmacy-based-in-hcm-2025046-jv","Xem chi tiết")</f>
        <v/>
      </c>
      <c r="O12302" s="10" t="n"/>
    </row>
    <row r="12303">
      <c r="B12303" s="7" t="n">
        <v>12301</v>
      </c>
      <c r="C12303" t="inlineStr">
        <is>
          <t>Tester</t>
        </is>
      </c>
      <c r="D12303" t="inlineStr">
        <is>
          <t>Công Ty TNHH Thiết Bị Minh Tâm (Mitalab Co., Ltd)</t>
        </is>
      </c>
      <c r="E12303" t="inlineStr">
        <is>
          <t>Thương lượng</t>
        </is>
      </c>
      <c r="F12303" t="inlineStr">
        <is>
          <t>Hồ Chí Minh</t>
        </is>
      </c>
      <c r="G12303" t="inlineStr">
        <is>
          <t>Nhân viên</t>
        </is>
      </c>
      <c r="H12303" t="inlineStr">
        <is>
          <t>17/03/2026</t>
        </is>
      </c>
      <c r="I12303" t="inlineStr">
        <is>
          <t>16/04/2026</t>
        </is>
      </c>
      <c r="J12303" t="inlineStr">
        <is>
          <t>17/03/2026</t>
        </is>
      </c>
      <c r="K12303" t="inlineStr">
        <is>
          <t>N/A</t>
        </is>
      </c>
      <c r="L12303" t="inlineStr">
        <is>
          <t>Software Testing, Postgre SQL, MS SQL, My SQL</t>
        </is>
      </c>
      <c r="M12303" t="inlineStr">
        <is>
          <t>Bonus, Training, Travel Opportunities</t>
        </is>
      </c>
      <c r="N12303" s="8">
        <f>HYPERLINK("https://www.vietnamworks.com/tester--2025120-jv","Xem chi tiết")</f>
        <v/>
      </c>
    </row>
    <row r="12304">
      <c r="B12304" s="9" t="n">
        <v>12302</v>
      </c>
      <c r="C12304" s="10" t="inlineStr">
        <is>
          <t>Nhân Viên Kế Hoạch</t>
        </is>
      </c>
      <c r="D12304" s="10" t="inlineStr">
        <is>
          <t>Công ty TNHH Tư vấn Chất lượng và Phát triển Công nghệ</t>
        </is>
      </c>
      <c r="E12304" s="10" t="inlineStr">
        <is>
          <t>Từ 9tr ₫/tháng</t>
        </is>
      </c>
      <c r="F12304" s="10" t="inlineStr">
        <is>
          <t>Hà Nội</t>
        </is>
      </c>
      <c r="G12304" s="10" t="inlineStr">
        <is>
          <t>Nhân viên</t>
        </is>
      </c>
      <c r="H12304" s="10" t="inlineStr">
        <is>
          <t>17/03/2026</t>
        </is>
      </c>
      <c r="I12304" s="10" t="inlineStr">
        <is>
          <t>16/04/2026</t>
        </is>
      </c>
      <c r="J12304" s="10" t="inlineStr">
        <is>
          <t>17/03/2026</t>
        </is>
      </c>
      <c r="K12304" s="10" t="inlineStr">
        <is>
          <t>N/A</t>
        </is>
      </c>
      <c r="L12304" s="10" t="inlineStr">
        <is>
          <t>Hành Chính, Chăm Sóc Khách Hàng, Hỗ Trợ Khách Hàng, Lập Kế Hoạch, Tiếng Anh</t>
        </is>
      </c>
      <c r="M12304" s="10" t="inlineStr">
        <is>
          <t>Bonus, Healthcare Plan, Awards, Others</t>
        </is>
      </c>
      <c r="N12304" s="11">
        <f>HYPERLINK("https://www.vietnamworks.com/nhan-vien-ke-hoach-2025074-jv","Xem chi tiết")</f>
        <v/>
      </c>
      <c r="O12304" s="10" t="n"/>
    </row>
    <row r="12305">
      <c r="B12305" s="7" t="n">
        <v>12303</v>
      </c>
      <c r="C12305" t="inlineStr">
        <is>
          <t>Apparel Commercialization (Apparel Developer/FOB Merchandiser)</t>
        </is>
      </c>
      <c r="D12305" t="inlineStr">
        <is>
          <t>On (Vietnam)</t>
        </is>
      </c>
      <c r="E12305" t="inlineStr">
        <is>
          <t>$$ 1,000-3,000 /tháng</t>
        </is>
      </c>
      <c r="F12305" t="inlineStr">
        <is>
          <t>Hà Nội</t>
        </is>
      </c>
      <c r="G12305" t="inlineStr">
        <is>
          <t>Nhân viên</t>
        </is>
      </c>
      <c r="H12305" t="inlineStr">
        <is>
          <t>17/03/2026</t>
        </is>
      </c>
      <c r="I12305" t="inlineStr">
        <is>
          <t>16/04/2026</t>
        </is>
      </c>
      <c r="J12305" t="inlineStr">
        <is>
          <t>17/03/2026</t>
        </is>
      </c>
      <c r="K12305" t="inlineStr">
        <is>
          <t>N/A</t>
        </is>
      </c>
      <c r="L12305" t="inlineStr">
        <is>
          <t>Apparel Production, Costing, Manufacturing knowledge, Merchandising, Sample Management</t>
        </is>
      </c>
      <c r="M12305" t="inlineStr">
        <is>
          <t>Others</t>
        </is>
      </c>
      <c r="N12305" s="8">
        <f>HYPERLINK("https://www.vietnamworks.com/apparel-commercialization-apparel-developerfob-merchandiser-2025125-jv","Xem chi tiết")</f>
        <v/>
      </c>
    </row>
    <row r="12306">
      <c r="B12306" s="9" t="n">
        <v>12304</v>
      </c>
      <c r="C12306" s="10" t="inlineStr">
        <is>
          <t>Chuyên Viên Kinh Doanh Quốc Tế (International Sales Executive)</t>
        </is>
      </c>
      <c r="D12306" s="10" t="inlineStr">
        <is>
          <t>Công Ty TNHH Nước Giải Khát Tân Đô</t>
        </is>
      </c>
      <c r="E12306" s="10" t="inlineStr">
        <is>
          <t>$$ 400-4,000 /tháng</t>
        </is>
      </c>
      <c r="F12306" s="10" t="inlineStr">
        <is>
          <t>Hà Nội</t>
        </is>
      </c>
      <c r="G12306" s="10" t="inlineStr">
        <is>
          <t>Nhân viên</t>
        </is>
      </c>
      <c r="H12306" s="10" t="inlineStr">
        <is>
          <t>17/03/2026</t>
        </is>
      </c>
      <c r="I12306" s="10" t="inlineStr">
        <is>
          <t>16/04/2026</t>
        </is>
      </c>
      <c r="J12306" s="10" t="inlineStr">
        <is>
          <t>17/03/2026</t>
        </is>
      </c>
      <c r="K12306" s="10" t="inlineStr">
        <is>
          <t>N/A</t>
        </is>
      </c>
      <c r="L12306" s="10" t="inlineStr">
        <is>
          <t>F&amp;B Business, B2B, International Sales &amp; Marketing, Kinh Doanh, Chăm Sóc Khách Hàng</t>
        </is>
      </c>
      <c r="M12306" s="10" t="inlineStr">
        <is>
          <t>Bonus, Healthcare Plan, Training</t>
        </is>
      </c>
      <c r="N12306" s="11">
        <f>HYPERLINK("https://www.vietnamworks.com/chuyen-vien-kinh-doanh-quoc-te-international-sales-executive--2025081-jv","Xem chi tiết")</f>
        <v/>
      </c>
      <c r="O12306" s="10" t="n"/>
    </row>
    <row r="12307">
      <c r="B12307" s="7" t="n">
        <v>12305</v>
      </c>
      <c r="C12307" t="inlineStr">
        <is>
          <t>Swimming Instructor / Swimming Coach</t>
        </is>
      </c>
      <c r="D12307" t="inlineStr">
        <is>
          <t>International School Ho Chi Minh City (ISHCMC)</t>
        </is>
      </c>
      <c r="E12307" t="inlineStr">
        <is>
          <t>Thương lượng</t>
        </is>
      </c>
      <c r="F12307" t="inlineStr">
        <is>
          <t>Hồ Chí Minh</t>
        </is>
      </c>
      <c r="G12307" t="inlineStr">
        <is>
          <t>Nhân viên</t>
        </is>
      </c>
      <c r="H12307" t="inlineStr">
        <is>
          <t>17/03/2026</t>
        </is>
      </c>
      <c r="I12307" t="inlineStr">
        <is>
          <t>16/04/2026</t>
        </is>
      </c>
      <c r="J12307" t="inlineStr">
        <is>
          <t>17/03/2026</t>
        </is>
      </c>
      <c r="K12307" t="inlineStr">
        <is>
          <t>N/A</t>
        </is>
      </c>
      <c r="L12307" t="inlineStr">
        <is>
          <t>Collaboration, Communication Skills, Lifeguarding, Safety Training, Swim Instruction</t>
        </is>
      </c>
      <c r="M12307" t="inlineStr">
        <is>
          <t>Bonus, Healthcare Plan, Paid Leave, Training</t>
        </is>
      </c>
      <c r="N12307" s="8">
        <f>HYPERLINK("https://www.vietnamworks.com/swimming-instructor-swimming-coach-2025108-jv","Xem chi tiết")</f>
        <v/>
      </c>
    </row>
    <row r="12308">
      <c r="B12308" s="9" t="n">
        <v>12306</v>
      </c>
      <c r="C12308" s="10" t="inlineStr">
        <is>
          <t>Nhân Viên Kinh Doanh</t>
        </is>
      </c>
      <c r="D12308" s="10" t="inlineStr">
        <is>
          <t>CÔNG TY TNHH THƯƠNG MẠI VÀ KỸ THUẬT UTEC</t>
        </is>
      </c>
      <c r="E12308" s="10" t="inlineStr">
        <is>
          <t>Thương lượng</t>
        </is>
      </c>
      <c r="F12308" s="10" t="inlineStr">
        <is>
          <t>Đà Nẵng</t>
        </is>
      </c>
      <c r="G12308" s="10" t="inlineStr">
        <is>
          <t>Nhân viên</t>
        </is>
      </c>
      <c r="H12308" s="10" t="inlineStr">
        <is>
          <t>17/03/2026</t>
        </is>
      </c>
      <c r="I12308" s="10" t="inlineStr">
        <is>
          <t>16/04/2026</t>
        </is>
      </c>
      <c r="J12308" s="10" t="inlineStr">
        <is>
          <t>17/03/2026</t>
        </is>
      </c>
      <c r="K12308" s="10" t="inlineStr">
        <is>
          <t>N/A</t>
        </is>
      </c>
      <c r="L12308" s="10" t="inlineStr">
        <is>
          <t>Bán Hàng, Tư Vấn Công Trình, Quản Lý Dự Án, Giao Tiếp, Kỹ năng bán hàng</t>
        </is>
      </c>
      <c r="M12308" s="10" t="inlineStr">
        <is>
          <t>Healthcare Plan, Training, Others</t>
        </is>
      </c>
      <c r="N12308" s="11">
        <f>HYPERLINK("https://www.vietnamworks.com/nhan-vien-kinh-doanh-2025107-jv","Xem chi tiết")</f>
        <v/>
      </c>
      <c r="O12308" s="10" t="n"/>
    </row>
    <row r="12309">
      <c r="B12309" s="7" t="n">
        <v>12307</v>
      </c>
      <c r="C12309" t="inlineStr">
        <is>
          <t>Chuyên Viên Cao Cấp Mua Hàng</t>
        </is>
      </c>
      <c r="D12309" t="inlineStr">
        <is>
          <t>CÔNG TY CỔ PHẦN MAT GROUP</t>
        </is>
      </c>
      <c r="E12309" t="inlineStr">
        <is>
          <t>Tới $ 1,000 /tháng</t>
        </is>
      </c>
      <c r="F12309" t="inlineStr">
        <is>
          <t>Hà Nội</t>
        </is>
      </c>
      <c r="G12309" t="inlineStr">
        <is>
          <t>Nhân viên</t>
        </is>
      </c>
      <c r="H12309" t="inlineStr">
        <is>
          <t>17/03/2026</t>
        </is>
      </c>
      <c r="I12309" t="inlineStr">
        <is>
          <t>16/04/2026</t>
        </is>
      </c>
      <c r="J12309" t="inlineStr">
        <is>
          <t>17/03/2026</t>
        </is>
      </c>
      <c r="K12309" t="inlineStr">
        <is>
          <t>N/A</t>
        </is>
      </c>
      <c r="L12309" t="inlineStr">
        <is>
          <t>Mua Hàng, Đàm Phán, Quản Lý Dự Án, Marketing Agency, Truyền Thông</t>
        </is>
      </c>
      <c r="M12309" t="inlineStr">
        <is>
          <t>Bonus, Healthcare Plan, Paid Leave, Laptop, Team Activities, Others</t>
        </is>
      </c>
      <c r="N12309" s="8">
        <f>HYPERLINK("https://www.vietnamworks.com/chuyen-vien-cao-cap-mua-hang-2025077-jv","Xem chi tiết")</f>
        <v/>
      </c>
    </row>
    <row r="12310">
      <c r="B12310" s="9" t="n">
        <v>12308</v>
      </c>
      <c r="C12310" s="10" t="inlineStr">
        <is>
          <t>B2B Sales Supervisor - Nippon Paint | High Bonus Scheme</t>
        </is>
      </c>
      <c r="D12310" s="10" t="inlineStr">
        <is>
          <t>Công Ty TNHH Nippon Paint Việt Nam (Hà Nội)</t>
        </is>
      </c>
      <c r="E12310" s="10" t="inlineStr">
        <is>
          <t>Tới 30tr ₫/tháng</t>
        </is>
      </c>
      <c r="F12310" s="10" t="inlineStr">
        <is>
          <t>Hà Nội</t>
        </is>
      </c>
      <c r="G12310" s="10" t="inlineStr">
        <is>
          <t>Nhân viên</t>
        </is>
      </c>
      <c r="H12310" s="10" t="inlineStr">
        <is>
          <t>17/03/2026</t>
        </is>
      </c>
      <c r="I12310" s="10" t="inlineStr">
        <is>
          <t>16/04/2026</t>
        </is>
      </c>
      <c r="J12310" s="10" t="inlineStr">
        <is>
          <t>17/03/2026</t>
        </is>
      </c>
      <c r="K12310" s="10" t="inlineStr">
        <is>
          <t>N/A</t>
        </is>
      </c>
      <c r="L12310" s="10" t="inlineStr">
        <is>
          <t>B2B Sales, English Fluency, Relationship Building, Communication Skills, Negotiation Skills</t>
        </is>
      </c>
      <c r="M12310" s="10" t="inlineStr">
        <is>
          <t>Bonus, Healthcare Plan, Training</t>
        </is>
      </c>
      <c r="N12310" s="11">
        <f>HYPERLINK("https://www.vietnamworks.com/b2b-sales-supervisor-nippon-paint-high-bonus-scheme-2025117-jv","Xem chi tiết")</f>
        <v/>
      </c>
      <c r="O12310" s="10" t="n"/>
    </row>
    <row r="12311">
      <c r="B12311" s="7" t="n">
        <v>12309</v>
      </c>
      <c r="C12311" t="inlineStr">
        <is>
          <t>Phụ Trách Pháp Chế Công Ty</t>
        </is>
      </c>
      <c r="D12311" t="inlineStr">
        <is>
          <t>Công Ty CP Thương Mại Dầu Khí An Dương</t>
        </is>
      </c>
      <c r="E12311" t="inlineStr">
        <is>
          <t>25tr-30tr ₫/tháng</t>
        </is>
      </c>
      <c r="F12311" t="inlineStr">
        <is>
          <t>Hà Nội</t>
        </is>
      </c>
      <c r="G12311" t="inlineStr">
        <is>
          <t>Nhân viên</t>
        </is>
      </c>
      <c r="H12311" t="inlineStr">
        <is>
          <t>17/03/2026</t>
        </is>
      </c>
      <c r="I12311" t="inlineStr">
        <is>
          <t>16/04/2026</t>
        </is>
      </c>
      <c r="J12311" t="inlineStr">
        <is>
          <t>17/03/2026</t>
        </is>
      </c>
      <c r="K12311" t="inlineStr">
        <is>
          <t>N/A</t>
        </is>
      </c>
      <c r="L12311" t="inlineStr">
        <is>
          <t>Quản Lý Rủi Ro, Thẩm Định Hợp Đồng, Đàm Phán, Pháp Chế Doanh Nghiệp, Pháp Lý</t>
        </is>
      </c>
      <c r="M12311" t="inlineStr">
        <is>
          <t>Bonus, Healthcare Plan, Canteen, Others</t>
        </is>
      </c>
      <c r="N12311" s="8">
        <f>HYPERLINK("https://www.vietnamworks.com/phu-trach-phap-che-cong-ty-2025111-jv","Xem chi tiết")</f>
        <v/>
      </c>
    </row>
    <row r="12312">
      <c r="B12312" s="9" t="n">
        <v>12310</v>
      </c>
      <c r="C12312" s="10" t="inlineStr">
        <is>
          <t>Kỹ Sư Giám Sát Công Trường - Urgent [Thu Nhập Upto 50Tr/tháng)</t>
        </is>
      </c>
      <c r="D12312" s="10" t="inlineStr">
        <is>
          <t>Công Ty Cổ Phần Đầu Tư Công Nghệ Hoàng Minh</t>
        </is>
      </c>
      <c r="E12312" s="10" t="inlineStr">
        <is>
          <t>Tới 50 ₫/tháng</t>
        </is>
      </c>
      <c r="F12312" s="10" t="inlineStr">
        <is>
          <t>Hà Nội, Hồ Chí Minh</t>
        </is>
      </c>
      <c r="G12312" s="10" t="inlineStr">
        <is>
          <t>Nhân viên</t>
        </is>
      </c>
      <c r="H12312" s="10" t="inlineStr">
        <is>
          <t>17/03/2026</t>
        </is>
      </c>
      <c r="I12312" s="10" t="inlineStr">
        <is>
          <t>16/04/2026</t>
        </is>
      </c>
      <c r="J12312" s="10" t="inlineStr">
        <is>
          <t>17/03/2026</t>
        </is>
      </c>
      <c r="K12312" s="10" t="inlineStr">
        <is>
          <t>N/A</t>
        </is>
      </c>
      <c r="L12312" s="10" t="inlineStr">
        <is>
          <t>Giám Sát, Giám Sát Công Trường, Construction, Xây Dựng, Auto CAD</t>
        </is>
      </c>
      <c r="M12312" s="10" t="inlineStr">
        <is>
          <t>Bonus, Training, Travel Opportunities</t>
        </is>
      </c>
      <c r="N12312" s="11">
        <f>HYPERLINK("https://www.vietnamworks.com/ky-su-giam-sat-cong-truong-urgent-thu-nhap-upto-50tr-thang--2025110-jv","Xem chi tiết")</f>
        <v/>
      </c>
      <c r="O12312" s="10" t="n"/>
    </row>
    <row r="12313">
      <c r="B12313" s="7" t="n">
        <v>12311</v>
      </c>
      <c r="C12313" t="inlineStr">
        <is>
          <t>General Accountant (Attractive Salary)</t>
        </is>
      </c>
      <c r="D12313" t="inlineStr">
        <is>
          <t>OnePay JSC</t>
        </is>
      </c>
      <c r="E12313" t="inlineStr">
        <is>
          <t>Thương lượng</t>
        </is>
      </c>
      <c r="F12313" t="inlineStr">
        <is>
          <t>Hà Nội</t>
        </is>
      </c>
      <c r="G12313" t="inlineStr">
        <is>
          <t>Nhân viên</t>
        </is>
      </c>
      <c r="H12313" t="inlineStr">
        <is>
          <t>17/03/2026</t>
        </is>
      </c>
      <c r="I12313" t="inlineStr">
        <is>
          <t>16/04/2026</t>
        </is>
      </c>
      <c r="J12313" t="inlineStr">
        <is>
          <t>17/03/2026</t>
        </is>
      </c>
      <c r="K12313" t="inlineStr">
        <is>
          <t>N/A</t>
        </is>
      </c>
      <c r="L12313" t="inlineStr">
        <is>
          <t>Financial Reporting, Tax Compliance, Manage ERP Software, Microsoft Office, Problem-solving</t>
        </is>
      </c>
      <c r="M12313" t="inlineStr">
        <is>
          <t>Bonus, Healthcare Plan, Training, Team Activities</t>
        </is>
      </c>
      <c r="N12313" s="8">
        <f>HYPERLINK("https://www.vietnamworks.com/general-accountant-attractive-salary--2025080-jv","Xem chi tiết")</f>
        <v/>
      </c>
    </row>
    <row r="12314">
      <c r="B12314" s="9" t="n">
        <v>12312</v>
      </c>
      <c r="C12314" s="10" t="inlineStr">
        <is>
          <t>Personal Assistant to Managing Director</t>
        </is>
      </c>
      <c r="D12314" s="10" t="inlineStr">
        <is>
          <t>JTT LOGISTICS (VIETNAM) COMPANY LIMITED</t>
        </is>
      </c>
      <c r="E12314" s="10" t="inlineStr">
        <is>
          <t>$$ 600-1,000 /tháng</t>
        </is>
      </c>
      <c r="F12314" s="10" t="inlineStr">
        <is>
          <t>Hồ Chí Minh</t>
        </is>
      </c>
      <c r="G12314" s="10" t="inlineStr">
        <is>
          <t>Nhân viên</t>
        </is>
      </c>
      <c r="H12314" s="10" t="inlineStr">
        <is>
          <t>17/03/2026</t>
        </is>
      </c>
      <c r="I12314" s="10" t="inlineStr">
        <is>
          <t>16/04/2026</t>
        </is>
      </c>
      <c r="J12314" s="10" t="inlineStr">
        <is>
          <t>17/03/2026</t>
        </is>
      </c>
      <c r="K12314" s="10" t="inlineStr">
        <is>
          <t>N/A</t>
        </is>
      </c>
      <c r="L12314" s="10" t="inlineStr">
        <is>
          <t>Communication Skills, MS Office, Organizational skills, Positive Attitude, Problem-solving</t>
        </is>
      </c>
      <c r="M12314" s="10" t="inlineStr">
        <is>
          <t>Bonus, Paid Leave, Training, Laptop, Travel Opportunities, Team Activities</t>
        </is>
      </c>
      <c r="N12314" s="11">
        <f>HYPERLINK("https://www.vietnamworks.com/personal-assistant-to-managing-director-2025103-jv","Xem chi tiết")</f>
        <v/>
      </c>
      <c r="O12314" s="10" t="n"/>
    </row>
    <row r="12315">
      <c r="B12315" s="7" t="n">
        <v>12313</v>
      </c>
      <c r="C12315" t="inlineStr">
        <is>
          <t>Nhân Viên Kinh Doanh Thiết Bị Y Tế</t>
        </is>
      </c>
      <c r="D12315" t="inlineStr">
        <is>
          <t>Công Ty TNHH Thiết Bị Minh Tâm (Mitalab Co., Ltd)</t>
        </is>
      </c>
      <c r="E12315" t="inlineStr">
        <is>
          <t>Thương lượng</t>
        </is>
      </c>
      <c r="F12315" t="inlineStr">
        <is>
          <t>Hồ Chí Minh</t>
        </is>
      </c>
      <c r="G12315" t="inlineStr">
        <is>
          <t>Nhân viên</t>
        </is>
      </c>
      <c r="H12315" t="inlineStr">
        <is>
          <t>17/03/2026</t>
        </is>
      </c>
      <c r="I12315" t="inlineStr">
        <is>
          <t>16/04/2026</t>
        </is>
      </c>
      <c r="J12315" t="inlineStr">
        <is>
          <t>17/03/2026</t>
        </is>
      </c>
      <c r="K12315" t="inlineStr">
        <is>
          <t>N/A</t>
        </is>
      </c>
      <c r="L12315" t="inlineStr">
        <is>
          <t>Thiết Bị Y Tế, Kỹ Thuật Y Sinh, Hóa Sinh, Công Nghệ Sinh Học, Kinh Doanh</t>
        </is>
      </c>
      <c r="M12315" t="inlineStr">
        <is>
          <t>Bonus, Training, Travel Opportunities</t>
        </is>
      </c>
      <c r="N12315" s="8">
        <f>HYPERLINK("https://www.vietnamworks.com/nhan-vien-kinh-doanh-thiet-bi-y-te--2025076-jv","Xem chi tiết")</f>
        <v/>
      </c>
    </row>
    <row r="12316">
      <c r="B12316" s="9" t="n">
        <v>12314</v>
      </c>
      <c r="C12316" s="10" t="inlineStr">
        <is>
          <t>Sales Supervisor For Can Tho</t>
        </is>
      </c>
      <c r="D12316" s="10" t="inlineStr">
        <is>
          <t>Công Ty TNHH Việt Nam Nisshin Technomic</t>
        </is>
      </c>
      <c r="E12316" s="10" t="inlineStr">
        <is>
          <t>14tr-20tr ₫/tháng</t>
        </is>
      </c>
      <c r="F12316" s="10" t="inlineStr">
        <is>
          <t>Cần Thơ</t>
        </is>
      </c>
      <c r="G12316" s="10" t="inlineStr">
        <is>
          <t>Nhân viên</t>
        </is>
      </c>
      <c r="H12316" s="10" t="inlineStr">
        <is>
          <t>17/03/2026</t>
        </is>
      </c>
      <c r="I12316" s="10" t="inlineStr">
        <is>
          <t>16/04/2026</t>
        </is>
      </c>
      <c r="J12316" s="10" t="inlineStr">
        <is>
          <t>17/03/2026</t>
        </is>
      </c>
      <c r="K12316" s="10" t="inlineStr">
        <is>
          <t>N/A</t>
        </is>
      </c>
      <c r="L12316" s="10" t="inlineStr">
        <is>
          <t>Food Technology, English, Quotation Preparation, Relationship Maintaining, Sales Development</t>
        </is>
      </c>
      <c r="M12316" s="10" t="inlineStr">
        <is>
          <t>Bonus, Healthcare Plan, Paid Leave, Awards</t>
        </is>
      </c>
      <c r="N12316" s="11">
        <f>HYPERLINK("https://www.vietnamworks.com/sales-supervisor-for-can-tho-2025122-jv","Xem chi tiết")</f>
        <v/>
      </c>
      <c r="O12316" s="10" t="n"/>
    </row>
    <row r="12317">
      <c r="B12317" s="7" t="n">
        <v>12315</v>
      </c>
      <c r="C12317" t="inlineStr">
        <is>
          <t>Trợ Lý Chủ Tịch Hội Đồng Quản Trị Upto 40 Triệu</t>
        </is>
      </c>
      <c r="D12317" t="inlineStr">
        <is>
          <t>Công Ty CP Thương Mại Dầu Khí An Dương</t>
        </is>
      </c>
      <c r="E12317" t="inlineStr">
        <is>
          <t>30tr-40tr ₫/tháng</t>
        </is>
      </c>
      <c r="F12317" t="inlineStr">
        <is>
          <t>Hà Nội</t>
        </is>
      </c>
      <c r="G12317" t="inlineStr">
        <is>
          <t>Nhân viên</t>
        </is>
      </c>
      <c r="H12317" t="inlineStr">
        <is>
          <t>17/03/2026</t>
        </is>
      </c>
      <c r="I12317" t="inlineStr">
        <is>
          <t>16/04/2026</t>
        </is>
      </c>
      <c r="J12317" t="inlineStr">
        <is>
          <t>17/03/2026</t>
        </is>
      </c>
      <c r="K12317" t="inlineStr">
        <is>
          <t>N/A</t>
        </is>
      </c>
      <c r="L12317" t="inlineStr">
        <is>
          <t>Quản Trị Kinh Doanh, Tài Chính, Phân Tích Thị Trường, Trợ lý HĐQT, Tư Duy Chiến Lược</t>
        </is>
      </c>
      <c r="M12317" t="inlineStr">
        <is>
          <t>Bonus, Healthcare Plan, Canteen, Others</t>
        </is>
      </c>
      <c r="N12317" s="8">
        <f>HYPERLINK("https://www.vietnamworks.com/tro-ly-chu-tich-hoi-dong-quan-tri-upto-40-trieu-2025109-jv","Xem chi tiết")</f>
        <v/>
      </c>
    </row>
    <row r="12318">
      <c r="B12318" s="9" t="n">
        <v>12316</v>
      </c>
      <c r="C12318" s="10" t="inlineStr">
        <is>
          <t>Chuyên Viên Kinh Doanh Thiết Bị Y Tế (Lĩnh Vực Y Tế, Nghiên Cứu, Sản Xuất)</t>
        </is>
      </c>
      <c r="D12318" s="10" t="inlineStr">
        <is>
          <t>Công Ty TNHH Thiết Bị Khoa Học Việt Anh</t>
        </is>
      </c>
      <c r="E12318" s="10" t="inlineStr">
        <is>
          <t>$$ 500-1,000 /tháng</t>
        </is>
      </c>
      <c r="F12318" s="10" t="inlineStr">
        <is>
          <t>Hà Nội, Hồ Chí Minh</t>
        </is>
      </c>
      <c r="G12318" s="10" t="inlineStr">
        <is>
          <t>Nhân viên</t>
        </is>
      </c>
      <c r="H12318" s="10" t="inlineStr">
        <is>
          <t>17/03/2026</t>
        </is>
      </c>
      <c r="I12318" s="10" t="inlineStr">
        <is>
          <t>16/04/2026</t>
        </is>
      </c>
      <c r="J12318" s="10" t="inlineStr">
        <is>
          <t>17/03/2026</t>
        </is>
      </c>
      <c r="K12318" s="10" t="inlineStr">
        <is>
          <t>N/A</t>
        </is>
      </c>
      <c r="L12318" s="10" t="inlineStr">
        <is>
          <t>Miễn Dịch, Vi sinh, Sinh Học Phân Tử, Life Science, Dược</t>
        </is>
      </c>
      <c r="M12318" s="10" t="inlineStr">
        <is>
          <t>Bonus, Healthcare Plan, Training</t>
        </is>
      </c>
      <c r="N12318" s="11">
        <f>HYPERLINK("https://www.vietnamworks.com/chuyen-vien-kinh-doanh-thiet-bi-y-te-linh-vuc-y-te-nghien-cuu-san-xuat-2025116-jv","Xem chi tiết")</f>
        <v/>
      </c>
      <c r="O12318" s="10" t="n"/>
    </row>
    <row r="12319">
      <c r="B12319" s="7" t="n">
        <v>12317</v>
      </c>
      <c r="C12319" t="inlineStr">
        <is>
          <t>Senior Expert, Brand Strategy</t>
        </is>
      </c>
      <c r="D12319" t="inlineStr">
        <is>
          <t>Công Ty Cổ Phần Tập Đoàn Masterise</t>
        </is>
      </c>
      <c r="E12319" t="inlineStr">
        <is>
          <t>Thương lượng</t>
        </is>
      </c>
      <c r="F12319" t="inlineStr">
        <is>
          <t>Hà Nội</t>
        </is>
      </c>
      <c r="G12319" t="inlineStr">
        <is>
          <t>Nhân viên</t>
        </is>
      </c>
      <c r="H12319" t="inlineStr">
        <is>
          <t>17/03/2026</t>
        </is>
      </c>
      <c r="I12319" t="inlineStr">
        <is>
          <t>16/04/2026</t>
        </is>
      </c>
      <c r="J12319" t="inlineStr">
        <is>
          <t>17/03/2026</t>
        </is>
      </c>
      <c r="K12319" t="inlineStr">
        <is>
          <t>N/A</t>
        </is>
      </c>
      <c r="L12319" t="inlineStr">
        <is>
          <t>Team Management, Brand Management, Advertising Planning, Brand Strategy, FMCG</t>
        </is>
      </c>
      <c r="M12319" t="inlineStr">
        <is>
          <t>Bonus, Healthcare Plan, Laptop</t>
        </is>
      </c>
      <c r="N12319" s="8">
        <f>HYPERLINK("https://www.vietnamworks.com/senior-expert-brand-strategy--2025124-jv","Xem chi tiết")</f>
        <v/>
      </c>
    </row>
    <row r="12320">
      <c r="B12320" s="9" t="n">
        <v>12318</v>
      </c>
      <c r="C12320" s="10" t="inlineStr">
        <is>
          <t>Giám Sát Kinh Doanh Thị Trường Khu Vực (Đà Nẵng, Khánh Hoà, Đắk Lắk, TP. Hồ Chí Minh, Cần Thơ)</t>
        </is>
      </c>
      <c r="D12320" s="10" t="inlineStr">
        <is>
          <t>Công Ty Cổ Phần Nhựa Thiếu Niên Tiền Phong Phía Nam</t>
        </is>
      </c>
      <c r="E12320" s="10" t="inlineStr">
        <is>
          <t>Thương lượng</t>
        </is>
      </c>
      <c r="F12320" s="10" t="inlineStr">
        <is>
          <t>Hồ Chí Minh, Cần Thơ, Đà Nẵng</t>
        </is>
      </c>
      <c r="G12320" s="10" t="inlineStr">
        <is>
          <t>Giám Đốc và Cấp Cao Hơn</t>
        </is>
      </c>
      <c r="H12320" s="10" t="inlineStr">
        <is>
          <t>17/03/2026</t>
        </is>
      </c>
      <c r="I12320" s="10" t="inlineStr">
        <is>
          <t>16/04/2026</t>
        </is>
      </c>
      <c r="J12320" s="10" t="inlineStr">
        <is>
          <t>17/03/2026</t>
        </is>
      </c>
      <c r="K12320" s="10" t="inlineStr">
        <is>
          <t>N/A</t>
        </is>
      </c>
      <c r="L12320" s="10" t="inlineStr">
        <is>
          <t>Kinh Doanh, Tìm Kiếm Khách Hàng, Giám Sát Bán Hàng, Giám Sát Kinh Doanh, Giám Sát Thị Trường</t>
        </is>
      </c>
      <c r="M12320" s="10" t="inlineStr">
        <is>
          <t>Bonus, Healthcare Plan, Paid Leave, Training, Mobile, Travel Opportunities, Kindergarten, Others</t>
        </is>
      </c>
      <c r="N12320" s="11">
        <f>HYPERLINK("https://www.vietnamworks.com/giam-sat-kinh-doanh-thi-truong-khu-vuc-dja-nang-khanh-hoa-djak-lak-tp-ho-chi-minh-can-tho-2025126-jv","Xem chi tiết")</f>
        <v/>
      </c>
      <c r="O12320" s="10" t="n"/>
    </row>
    <row r="12321">
      <c r="B12321" s="7" t="n">
        <v>12319</v>
      </c>
      <c r="C12321" t="inlineStr">
        <is>
          <t>Service Engineer</t>
        </is>
      </c>
      <c r="D12321" t="inlineStr">
        <is>
          <t>DKSH Vietnam Co., Ltd.</t>
        </is>
      </c>
      <c r="E12321" t="inlineStr">
        <is>
          <t>$$ 1,000-1,000 /tháng</t>
        </is>
      </c>
      <c r="F12321" t="inlineStr">
        <is>
          <t>Hà Nội</t>
        </is>
      </c>
      <c r="G12321" t="inlineStr">
        <is>
          <t>Nhân viên</t>
        </is>
      </c>
      <c r="H12321" t="inlineStr">
        <is>
          <t>17/03/2026</t>
        </is>
      </c>
      <c r="I12321" t="inlineStr">
        <is>
          <t>16/04/2026</t>
        </is>
      </c>
      <c r="J12321" t="inlineStr">
        <is>
          <t>17/03/2026</t>
        </is>
      </c>
      <c r="K12321" t="inlineStr">
        <is>
          <t>N/A</t>
        </is>
      </c>
      <c r="L12321" t="inlineStr">
        <is>
          <t>Communication English, Customer Focus, Result Oriented, Teamwork</t>
        </is>
      </c>
      <c r="M12321" t="inlineStr">
        <is>
          <t>Bonus, Healthcare Plan, Training</t>
        </is>
      </c>
      <c r="N12321" s="8">
        <f>HYPERLINK("https://www.vietnamworks.com/service-engineer--2025123-jv","Xem chi tiết")</f>
        <v/>
      </c>
    </row>
    <row r="12322">
      <c r="B12322" s="9" t="n">
        <v>12320</v>
      </c>
      <c r="C12322" s="10" t="inlineStr">
        <is>
          <t>Kỹ Sư Bán Hàng (Ngành Cơ Khí)</t>
        </is>
      </c>
      <c r="D12322" s="10" t="inlineStr">
        <is>
          <t>CÔNG TY TNHH SHINELINK INDUSTRIES (VIỆT NAM)</t>
        </is>
      </c>
      <c r="E12322" s="10" t="inlineStr">
        <is>
          <t>Thương lượng</t>
        </is>
      </c>
      <c r="F12322" s="10" t="inlineStr">
        <is>
          <t>Hồ Chí Minh</t>
        </is>
      </c>
      <c r="G12322" s="10" t="inlineStr">
        <is>
          <t>Trưởng phòng</t>
        </is>
      </c>
      <c r="H12322" s="10" t="inlineStr">
        <is>
          <t>17/03/2026</t>
        </is>
      </c>
      <c r="I12322" s="10" t="inlineStr">
        <is>
          <t>16/04/2026</t>
        </is>
      </c>
      <c r="J12322" s="10" t="inlineStr">
        <is>
          <t>17/03/2026</t>
        </is>
      </c>
      <c r="K12322" s="10" t="inlineStr">
        <is>
          <t>N/A</t>
        </is>
      </c>
      <c r="L12322" s="10" t="inlineStr">
        <is>
          <t>Bán Hàng B2B, Bán Hàng Cơ Khí, Bán Hàng Công Nghiệp, Kinh Doanh Cơ Khí, Phát Triển Kinh Doanh</t>
        </is>
      </c>
      <c r="M12322" s="10" t="inlineStr">
        <is>
          <t>Bonus, Training, Others</t>
        </is>
      </c>
      <c r="N12322" s="11">
        <f>HYPERLINK("https://www.vietnamworks.com/ky-su-ban-hang-nganh-co-khi-2025106-jv","Xem chi tiết")</f>
        <v/>
      </c>
      <c r="O12322" s="10" t="n"/>
    </row>
    <row r="12323">
      <c r="B12323" s="7" t="n">
        <v>12321</v>
      </c>
      <c r="C12323" t="inlineStr">
        <is>
          <t>Infrastructure/Civil Engineer</t>
        </is>
      </c>
      <c r="D12323" t="inlineStr">
        <is>
          <t>Arup Vietnam Limited (Arup)</t>
        </is>
      </c>
      <c r="E12323" t="inlineStr">
        <is>
          <t>Thương lượng</t>
        </is>
      </c>
      <c r="F12323" t="inlineStr">
        <is>
          <t>Hồ Chí Minh</t>
        </is>
      </c>
      <c r="G12323" t="inlineStr">
        <is>
          <t>Nhân viên</t>
        </is>
      </c>
      <c r="H12323" t="inlineStr">
        <is>
          <t>17/03/2026</t>
        </is>
      </c>
      <c r="I12323" t="inlineStr">
        <is>
          <t>16/04/2026</t>
        </is>
      </c>
      <c r="J12323" t="inlineStr">
        <is>
          <t>17/03/2026</t>
        </is>
      </c>
      <c r="K12323" t="inlineStr">
        <is>
          <t>N/A</t>
        </is>
      </c>
      <c r="L12323" t="inlineStr">
        <is>
          <t>Civil Engineering, Structural Design, Geotechnical Design, BIM Coordination, Communication Skills</t>
        </is>
      </c>
      <c r="M12323" t="inlineStr">
        <is>
          <t>Bonus, Healthcare Plan, Paid Leave, Training, Others</t>
        </is>
      </c>
      <c r="N12323" s="8">
        <f>HYPERLINK("https://www.vietnamworks.com/infrastructurecivil-engineer-2025127-jv","Xem chi tiết")</f>
        <v/>
      </c>
    </row>
    <row r="12324">
      <c r="B12324" s="9" t="n">
        <v>12322</v>
      </c>
      <c r="C12324" s="10" t="inlineStr">
        <is>
          <t>出口入境单证员</t>
        </is>
      </c>
      <c r="D12324" s="10" t="inlineStr">
        <is>
          <t>CÔNG TY TNHH SOUTHEAST ASIA DSI VIỆT NAM</t>
        </is>
      </c>
      <c r="E12324" s="10" t="inlineStr">
        <is>
          <t>15tr-20tr ₫/tháng</t>
        </is>
      </c>
      <c r="F12324" s="10" t="inlineStr">
        <is>
          <t>Hồ Chí Minh</t>
        </is>
      </c>
      <c r="G12324" s="10" t="inlineStr">
        <is>
          <t>Nhân viên</t>
        </is>
      </c>
      <c r="H12324" s="10" t="inlineStr">
        <is>
          <t>17/03/2026</t>
        </is>
      </c>
      <c r="I12324" s="10" t="inlineStr">
        <is>
          <t>16/04/2026</t>
        </is>
      </c>
      <c r="J12324" s="10" t="inlineStr">
        <is>
          <t>17/03/2026</t>
        </is>
      </c>
      <c r="K12324" s="10" t="inlineStr">
        <is>
          <t>N/A</t>
        </is>
      </c>
      <c r="L12324" s="10" t="inlineStr">
        <is>
          <t>Chứng Từ Xuất Nhập Khẩu, Dịch Vụ Khách Hàng, Giám Sát Vận Chuyển, Incoterms, Quy Trình Hải Quan</t>
        </is>
      </c>
      <c r="M12324" s="10" t="inlineStr">
        <is>
          <t>Bonus, Healthcare Plan, Training, Team Activities</t>
        </is>
      </c>
      <c r="N12324" s="11">
        <f>HYPERLINK("https://www.vietnamworks.com/-2025138-jv","Xem chi tiết")</f>
        <v/>
      </c>
      <c r="O12324" s="10" t="n"/>
    </row>
    <row r="12325">
      <c r="B12325" s="7" t="n">
        <v>12323</v>
      </c>
      <c r="C12325" t="inlineStr">
        <is>
          <t>Finance Manager</t>
        </is>
      </c>
      <c r="D12325" t="inlineStr">
        <is>
          <t>JTT LOGISTICS (VIETNAM) COMPANY LIMITED</t>
        </is>
      </c>
      <c r="E12325" t="inlineStr">
        <is>
          <t>2,000-3,000 ₫/tháng</t>
        </is>
      </c>
      <c r="F12325" t="inlineStr">
        <is>
          <t>Hồ Chí Minh</t>
        </is>
      </c>
      <c r="G12325" t="inlineStr">
        <is>
          <t>Trưởng phòng</t>
        </is>
      </c>
      <c r="H12325" t="inlineStr">
        <is>
          <t>17/03/2026</t>
        </is>
      </c>
      <c r="I12325" t="inlineStr">
        <is>
          <t>16/04/2026</t>
        </is>
      </c>
      <c r="J12325" t="inlineStr">
        <is>
          <t>17/03/2026</t>
        </is>
      </c>
      <c r="K12325" t="inlineStr">
        <is>
          <t>N/A</t>
        </is>
      </c>
      <c r="L12325" t="inlineStr">
        <is>
          <t>Accounting Software, Analytical Skills, Financial Law, General Accounting Principals, Microsoft Excel</t>
        </is>
      </c>
      <c r="M12325" t="inlineStr">
        <is>
          <t>Bonus, Paid Leave, Training, Travel Opportunities</t>
        </is>
      </c>
      <c r="N12325" s="8">
        <f>HYPERLINK("https://www.vietnamworks.com/finance-manager-2025133-jv","Xem chi tiết")</f>
        <v/>
      </c>
    </row>
    <row r="12326">
      <c r="B12326" s="9" t="n">
        <v>12324</v>
      </c>
      <c r="C12326" s="10" t="inlineStr">
        <is>
          <t>Sales Supervisor for Amata</t>
        </is>
      </c>
      <c r="D12326" s="10" t="inlineStr">
        <is>
          <t>Công Ty TNHH Việt Nam Nisshin Technomic</t>
        </is>
      </c>
      <c r="E12326" s="10" t="inlineStr">
        <is>
          <t>14tr-20tr ₫/tháng</t>
        </is>
      </c>
      <c r="F12326" s="10" t="inlineStr">
        <is>
          <t>Đồng Nai</t>
        </is>
      </c>
      <c r="G12326" s="10" t="inlineStr">
        <is>
          <t>Nhân viên</t>
        </is>
      </c>
      <c r="H12326" s="10" t="inlineStr">
        <is>
          <t>17/03/2026</t>
        </is>
      </c>
      <c r="I12326" s="10" t="inlineStr">
        <is>
          <t>16/04/2026</t>
        </is>
      </c>
      <c r="J12326" s="10" t="inlineStr">
        <is>
          <t>17/03/2026</t>
        </is>
      </c>
      <c r="K12326" s="10" t="inlineStr">
        <is>
          <t>N/A</t>
        </is>
      </c>
      <c r="L12326" s="10" t="inlineStr">
        <is>
          <t>Food Technology, Sales Development, Quotation Preparation, English, Customer Service</t>
        </is>
      </c>
      <c r="M12326" s="10" t="inlineStr">
        <is>
          <t>Bonus, Healthcare Plan, Paid Leave</t>
        </is>
      </c>
      <c r="N12326" s="11">
        <f>HYPERLINK("https://www.vietnamworks.com/sales-supervisor-for-amata-2025130-jv","Xem chi tiết")</f>
        <v/>
      </c>
      <c r="O12326" s="10" t="n"/>
    </row>
    <row r="12327">
      <c r="B12327" s="7" t="n">
        <v>12325</v>
      </c>
      <c r="C12327" t="inlineStr">
        <is>
          <t>Assistant Relationship Manager (ARM) (English and Mandarin)</t>
        </is>
      </c>
      <c r="D12327" t="inlineStr">
        <is>
          <t>Ngân Hàng Thương Mại Taipei Fubon – Chi Nhánh Hồ Chí Minh</t>
        </is>
      </c>
      <c r="E12327" t="inlineStr">
        <is>
          <t>Thương lượng</t>
        </is>
      </c>
      <c r="F12327" t="inlineStr">
        <is>
          <t>Hồ Chí Minh</t>
        </is>
      </c>
      <c r="G12327" t="inlineStr">
        <is>
          <t>Nhân viên</t>
        </is>
      </c>
      <c r="H12327" t="inlineStr">
        <is>
          <t>17/03/2026</t>
        </is>
      </c>
      <c r="I12327" t="inlineStr">
        <is>
          <t>16/04/2026</t>
        </is>
      </c>
      <c r="J12327" t="inlineStr">
        <is>
          <t>17/03/2026</t>
        </is>
      </c>
      <c r="K12327" t="inlineStr">
        <is>
          <t>N/A</t>
        </is>
      </c>
      <c r="L12327" t="inlineStr">
        <is>
          <t>Credit Analysis, Microsoft Office, Financial services experience, Communication Skills</t>
        </is>
      </c>
      <c r="M12327" t="inlineStr">
        <is>
          <t>Bonus, Healthcare Plan, Training, Others</t>
        </is>
      </c>
      <c r="N12327" s="8">
        <f>HYPERLINK("https://www.vietnamworks.com/assistant-relationship-manager-arm-english-and-mandarin-2025136-jv","Xem chi tiết")</f>
        <v/>
      </c>
    </row>
    <row r="12328">
      <c r="B12328" s="9" t="n">
        <v>12326</v>
      </c>
      <c r="C12328" s="10" t="inlineStr">
        <is>
          <t>Senior Analyst- Apparel &amp; Accessories Costing</t>
        </is>
      </c>
      <c r="D12328" s="10" t="inlineStr">
        <is>
          <t>On (Vietnam)</t>
        </is>
      </c>
      <c r="E12328" s="10" t="inlineStr">
        <is>
          <t>$$ 1,000-3,000 /tháng</t>
        </is>
      </c>
      <c r="F12328" s="10" t="inlineStr">
        <is>
          <t>Hồ Chí Minh, Hà Nội</t>
        </is>
      </c>
      <c r="G12328" s="10" t="inlineStr">
        <is>
          <t>Nhân viên</t>
        </is>
      </c>
      <c r="H12328" s="10" t="inlineStr">
        <is>
          <t>17/03/2026</t>
        </is>
      </c>
      <c r="I12328" s="10" t="inlineStr">
        <is>
          <t>16/04/2026</t>
        </is>
      </c>
      <c r="J12328" s="10" t="inlineStr">
        <is>
          <t>17/03/2026</t>
        </is>
      </c>
      <c r="K12328" s="10" t="inlineStr">
        <is>
          <t>N/A</t>
        </is>
      </c>
      <c r="L12328" s="10" t="inlineStr">
        <is>
          <t>Analytical Skills, Communication, Garment Costing, Product Development, Sourcing Management</t>
        </is>
      </c>
      <c r="M12328" s="10" t="inlineStr">
        <is>
          <t>Others</t>
        </is>
      </c>
      <c r="N12328" s="11">
        <f>HYPERLINK("https://www.vietnamworks.com/senior-analyst-apparel-and-accessories-costing-2025128-jv","Xem chi tiết")</f>
        <v/>
      </c>
      <c r="O12328" s="10" t="n"/>
    </row>
    <row r="12329">
      <c r="B12329" s="7" t="n">
        <v>12327</v>
      </c>
      <c r="C12329" t="inlineStr">
        <is>
          <t>Senior Tax Consultant</t>
        </is>
      </c>
      <c r="D12329" t="inlineStr">
        <is>
          <t>Công Ty TNHH Kiểm Toán &amp; Tư Vấn RSM Việt Nam – Chi Nhánh Hà Nội</t>
        </is>
      </c>
      <c r="E12329" t="inlineStr">
        <is>
          <t>Thương lượng</t>
        </is>
      </c>
      <c r="F12329" t="inlineStr">
        <is>
          <t>Hà Nội</t>
        </is>
      </c>
      <c r="G12329" t="inlineStr">
        <is>
          <t>Nhân viên</t>
        </is>
      </c>
      <c r="H12329" t="inlineStr">
        <is>
          <t>17/03/2026</t>
        </is>
      </c>
      <c r="I12329" t="inlineStr">
        <is>
          <t>16/04/2026</t>
        </is>
      </c>
      <c r="J12329" t="inlineStr">
        <is>
          <t>17/03/2026</t>
        </is>
      </c>
      <c r="K12329" t="inlineStr">
        <is>
          <t>N/A</t>
        </is>
      </c>
      <c r="L12329" t="inlineStr">
        <is>
          <t>Tài Chính, Kế Toán, Kiểm toán, Tax Consulting, Quan Hệ Khách Hàng</t>
        </is>
      </c>
      <c r="M12329" t="inlineStr">
        <is>
          <t>Bonus, Healthcare Plan, Training</t>
        </is>
      </c>
      <c r="N12329" s="8">
        <f>HYPERLINK("https://www.vietnamworks.com/senior-tax-consultant--2025132-jv","Xem chi tiết")</f>
        <v/>
      </c>
    </row>
    <row r="12330">
      <c r="B12330" s="9" t="n">
        <v>12328</v>
      </c>
      <c r="C12330" s="10" t="inlineStr">
        <is>
          <t>Mechanical Engineer _ CAD Admin</t>
        </is>
      </c>
      <c r="D12330" s="10" t="inlineStr">
        <is>
          <t>ORGANO (VIETNAM) - Global Engineering Center</t>
        </is>
      </c>
      <c r="E12330" s="10" t="inlineStr">
        <is>
          <t>Tới $ 700 /tháng</t>
        </is>
      </c>
      <c r="F12330" s="10" t="inlineStr">
        <is>
          <t>Hồ Chí Minh</t>
        </is>
      </c>
      <c r="G12330" s="10" t="inlineStr">
        <is>
          <t>Nhân viên</t>
        </is>
      </c>
      <c r="H12330" s="10" t="inlineStr">
        <is>
          <t>17/03/2026</t>
        </is>
      </c>
      <c r="I12330" s="10" t="inlineStr">
        <is>
          <t>16/04/2026</t>
        </is>
      </c>
      <c r="J12330" s="10" t="inlineStr">
        <is>
          <t>17/03/2026</t>
        </is>
      </c>
      <c r="K12330" s="10" t="inlineStr">
        <is>
          <t>N/A</t>
        </is>
      </c>
      <c r="L12330" s="10" t="inlineStr">
        <is>
          <t>Piping Design, Mechanical engineer, Auto CAD, MS Office, SQL Server</t>
        </is>
      </c>
      <c r="M12330" s="10" t="inlineStr">
        <is>
          <t>Paid Leave, Training, Travel Opportunities</t>
        </is>
      </c>
      <c r="N12330" s="11">
        <f>HYPERLINK("https://www.vietnamworks.com/mechanical-engineer-cad-admin-2025156-jv","Xem chi tiết")</f>
        <v/>
      </c>
      <c r="O12330" s="10" t="n"/>
    </row>
    <row r="12331">
      <c r="B12331" s="7" t="n">
        <v>12329</v>
      </c>
      <c r="C12331" t="inlineStr">
        <is>
          <t>Customer Service and Operation Specialist</t>
        </is>
      </c>
      <c r="D12331" t="inlineStr">
        <is>
          <t>Easyspeed Global Forwarding (Vietnam) CO., LTD.</t>
        </is>
      </c>
      <c r="E12331" t="inlineStr">
        <is>
          <t>Thương lượng</t>
        </is>
      </c>
      <c r="F12331" t="inlineStr">
        <is>
          <t>Hồ Chí Minh</t>
        </is>
      </c>
      <c r="G12331" t="inlineStr">
        <is>
          <t>Nhân viên</t>
        </is>
      </c>
      <c r="H12331" t="inlineStr">
        <is>
          <t>17/03/2026</t>
        </is>
      </c>
      <c r="I12331" t="inlineStr">
        <is>
          <t>16/04/2026</t>
        </is>
      </c>
      <c r="J12331" t="inlineStr">
        <is>
          <t>17/03/2026</t>
        </is>
      </c>
      <c r="K12331" t="inlineStr">
        <is>
          <t>N/A</t>
        </is>
      </c>
      <c r="L12331" t="inlineStr">
        <is>
          <t>Customer Service, Cargo Wise, Air Freight Operations, Operations</t>
        </is>
      </c>
      <c r="M12331" t="inlineStr">
        <is>
          <t>Paid Leave, Laptop, Others</t>
        </is>
      </c>
      <c r="N12331" s="8">
        <f>HYPERLINK("https://www.vietnamworks.com/customer-service-and-operation-specialist--2025159-jv","Xem chi tiết")</f>
        <v/>
      </c>
    </row>
    <row r="12332">
      <c r="B12332" s="9" t="n">
        <v>12330</v>
      </c>
      <c r="C12332" s="10" t="inlineStr">
        <is>
          <t>Mechanical Engineer_Junior Level</t>
        </is>
      </c>
      <c r="D12332" s="10" t="inlineStr">
        <is>
          <t>ORGANO (VIETNAM) - Global Engineering Center</t>
        </is>
      </c>
      <c r="E12332" s="10" t="inlineStr">
        <is>
          <t>Tới $ 700 /tháng</t>
        </is>
      </c>
      <c r="F12332" s="10" t="inlineStr">
        <is>
          <t>Hồ Chí Minh</t>
        </is>
      </c>
      <c r="G12332" s="10" t="inlineStr">
        <is>
          <t>Nhân viên</t>
        </is>
      </c>
      <c r="H12332" s="10" t="inlineStr">
        <is>
          <t>17/03/2026</t>
        </is>
      </c>
      <c r="I12332" s="10" t="inlineStr">
        <is>
          <t>16/04/2026</t>
        </is>
      </c>
      <c r="J12332" s="10" t="inlineStr">
        <is>
          <t>17/03/2026</t>
        </is>
      </c>
      <c r="K12332" s="10" t="inlineStr">
        <is>
          <t>N/A</t>
        </is>
      </c>
      <c r="L12332" s="10" t="inlineStr">
        <is>
          <t>Piping Design, Mechanical engineer, Auto CAD, MS Office, 3D CAD Systems</t>
        </is>
      </c>
      <c r="M12332" s="10" t="inlineStr">
        <is>
          <t>Paid Leave, Training, Travel Opportunities</t>
        </is>
      </c>
      <c r="N12332" s="11">
        <f>HYPERLINK("https://www.vietnamworks.com/mechanical-engineer-junior-level-2025139-jv","Xem chi tiết")</f>
        <v/>
      </c>
      <c r="O12332" s="10" t="n"/>
    </row>
    <row r="12333">
      <c r="B12333" s="7" t="n">
        <v>12331</v>
      </c>
      <c r="C12333" t="inlineStr">
        <is>
          <t>Key Account Executive</t>
        </is>
      </c>
      <c r="D12333" t="inlineStr">
        <is>
          <t>CÔNG TY CỔ PHẦN GONSA</t>
        </is>
      </c>
      <c r="E12333" t="inlineStr">
        <is>
          <t>Thương lượng</t>
        </is>
      </c>
      <c r="F12333" t="inlineStr">
        <is>
          <t>Hồ Chí Minh</t>
        </is>
      </c>
      <c r="G12333" t="inlineStr">
        <is>
          <t>Nhân viên</t>
        </is>
      </c>
      <c r="H12333" t="inlineStr">
        <is>
          <t>17/03/2026</t>
        </is>
      </c>
      <c r="I12333" t="inlineStr">
        <is>
          <t>16/04/2026</t>
        </is>
      </c>
      <c r="J12333" t="inlineStr">
        <is>
          <t>17/03/2026</t>
        </is>
      </c>
      <c r="K12333" t="inlineStr">
        <is>
          <t>N/A</t>
        </is>
      </c>
      <c r="L12333" t="inlineStr">
        <is>
          <t>Pharmaceutical Sales, pharmaceutical, Quản Lý Khu Vực ETC, Sales, Trình Dược Viên Kênh ETC</t>
        </is>
      </c>
      <c r="M12333" t="inlineStr">
        <is>
          <t>Bonus, Healthcare Plan, Awards</t>
        </is>
      </c>
      <c r="N12333" s="8">
        <f>HYPERLINK("https://www.vietnamworks.com/key-account-executive--2025144-jv","Xem chi tiết")</f>
        <v/>
      </c>
    </row>
    <row r="12334">
      <c r="B12334" s="9" t="n">
        <v>12332</v>
      </c>
      <c r="C12334" s="10" t="inlineStr">
        <is>
          <t>Sales Representative (Testing Service)</t>
        </is>
      </c>
      <c r="D12334" s="10" t="inlineStr">
        <is>
          <t>Helmsman Quality &amp; Technology Services Co., Ltd.</t>
        </is>
      </c>
      <c r="E12334" s="10" t="inlineStr">
        <is>
          <t>$$ 400-1,000 /tháng</t>
        </is>
      </c>
      <c r="F12334" s="10" t="inlineStr">
        <is>
          <t>Hồ Chí Minh</t>
        </is>
      </c>
      <c r="G12334" s="10" t="inlineStr">
        <is>
          <t>Nhân viên</t>
        </is>
      </c>
      <c r="H12334" s="10" t="inlineStr">
        <is>
          <t>17/03/2026</t>
        </is>
      </c>
      <c r="I12334" s="10" t="inlineStr">
        <is>
          <t>16/04/2026</t>
        </is>
      </c>
      <c r="J12334" s="10" t="inlineStr">
        <is>
          <t>17/03/2026</t>
        </is>
      </c>
      <c r="K12334" s="10" t="inlineStr">
        <is>
          <t>N/A</t>
        </is>
      </c>
      <c r="L12334" s="10" t="inlineStr">
        <is>
          <t>B2B Development, Chemical Testing, Product Testing</t>
        </is>
      </c>
      <c r="M12334" s="10" t="inlineStr">
        <is>
          <t>Bonus, Healthcare Plan, Paid Leave, Training</t>
        </is>
      </c>
      <c r="N12334" s="11">
        <f>HYPERLINK("https://www.vietnamworks.com/sales-representative-testing-service-2025163-jv","Xem chi tiết")</f>
        <v/>
      </c>
      <c r="O12334" s="10" t="n"/>
    </row>
    <row r="12335">
      <c r="B12335" s="7" t="n">
        <v>12333</v>
      </c>
      <c r="C12335" t="inlineStr">
        <is>
          <t>Senior Officer - Compensation Calculation</t>
        </is>
      </c>
      <c r="D12335" t="inlineStr">
        <is>
          <t>Masan High-Tech Materials</t>
        </is>
      </c>
      <c r="E12335" t="inlineStr">
        <is>
          <t>1-1 ₫/tháng</t>
        </is>
      </c>
      <c r="F12335" t="inlineStr">
        <is>
          <t>Thái Nguyên</t>
        </is>
      </c>
      <c r="G12335" t="inlineStr">
        <is>
          <t>Nhân viên</t>
        </is>
      </c>
      <c r="H12335" t="inlineStr">
        <is>
          <t>17/03/2026</t>
        </is>
      </c>
      <c r="I12335" t="inlineStr">
        <is>
          <t>16/04/2026</t>
        </is>
      </c>
      <c r="J12335" t="inlineStr">
        <is>
          <t>17/03/2026</t>
        </is>
      </c>
      <c r="K12335" t="inlineStr">
        <is>
          <t>N/A</t>
        </is>
      </c>
      <c r="L12335" t="inlineStr">
        <is>
          <t>Analytical Thinking, Compensation Process, Effective Communication, Landscape Management, Negotiation Skills</t>
        </is>
      </c>
      <c r="M12335" t="inlineStr">
        <is>
          <t>Bonus</t>
        </is>
      </c>
      <c r="N12335" s="8">
        <f>HYPERLINK("https://www.vietnamworks.com/senior-officer-compensation-calculation-2025134-jv","Xem chi tiết")</f>
        <v/>
      </c>
    </row>
    <row r="12336">
      <c r="B12336" s="9" t="n">
        <v>12334</v>
      </c>
      <c r="C12336" s="10" t="inlineStr">
        <is>
          <t>Nhân Viên R&amp;D Hương Mỹ Phẩm</t>
        </is>
      </c>
      <c r="D12336" s="10" t="inlineStr">
        <is>
          <t>TNHH Thương Mại Hương Liệu Đông Dương</t>
        </is>
      </c>
      <c r="E12336" s="10" t="inlineStr">
        <is>
          <t>Thương lượng</t>
        </is>
      </c>
      <c r="F12336" s="10" t="inlineStr">
        <is>
          <t>Hồ Chí Minh</t>
        </is>
      </c>
      <c r="G12336" s="10" t="inlineStr">
        <is>
          <t>Nhân viên</t>
        </is>
      </c>
      <c r="H12336" s="10" t="inlineStr">
        <is>
          <t>17/03/2026</t>
        </is>
      </c>
      <c r="I12336" s="10" t="inlineStr">
        <is>
          <t>16/04/2026</t>
        </is>
      </c>
      <c r="J12336" s="10" t="inlineStr">
        <is>
          <t>17/03/2026</t>
        </is>
      </c>
      <c r="K12336" s="10" t="inlineStr">
        <is>
          <t>N/A</t>
        </is>
      </c>
      <c r="L12336" s="10" t="inlineStr">
        <is>
          <t>Phân Tích Tài Chính, Mô Tả Mùi Hương, Thử Nghiệm Vắc Xin, Giao Tiếp, Dịch Vụ Khách Hàng</t>
        </is>
      </c>
      <c r="M12336" s="10" t="inlineStr">
        <is>
          <t>Bonus, Healthcare Plan, Travel Opportunities, Others</t>
        </is>
      </c>
      <c r="N12336" s="11">
        <f>HYPERLINK("https://www.vietnamworks.com/nhan-vien-randd-huong-my-pham-2025131-jv","Xem chi tiết")</f>
        <v/>
      </c>
      <c r="O12336" s="10" t="n"/>
    </row>
    <row r="12337">
      <c r="B12337" s="7" t="n">
        <v>12335</v>
      </c>
      <c r="C12337" t="inlineStr">
        <is>
          <t>QA/QC Engineer</t>
        </is>
      </c>
      <c r="D12337" t="inlineStr">
        <is>
          <t>Công Ty TNHH Providence Enterprise (Việt Nam)</t>
        </is>
      </c>
      <c r="E12337" t="inlineStr">
        <is>
          <t>$$ 15tr-20tr /tháng</t>
        </is>
      </c>
      <c r="F12337" t="inlineStr">
        <is>
          <t>Hải Phòng</t>
        </is>
      </c>
      <c r="G12337" t="inlineStr">
        <is>
          <t>Nhân viên</t>
        </is>
      </c>
      <c r="H12337" t="inlineStr">
        <is>
          <t>17/03/2026</t>
        </is>
      </c>
      <c r="I12337" t="inlineStr">
        <is>
          <t>16/04/2026</t>
        </is>
      </c>
      <c r="J12337" t="inlineStr">
        <is>
          <t>17/03/2026</t>
        </is>
      </c>
      <c r="K12337" t="inlineStr">
        <is>
          <t>N/A</t>
        </is>
      </c>
      <c r="L12337" t="inlineStr">
        <is>
          <t>Complaint Handling, Quality Management, Quality Tools, 技术问题解决, 流利英语或中文</t>
        </is>
      </c>
      <c r="M12337" t="inlineStr">
        <is>
          <t>Awards, Team Activities, Canteen, Kindergarten</t>
        </is>
      </c>
      <c r="N12337" s="8">
        <f>HYPERLINK("https://www.vietnamworks.com/qaqc-engineer-2025147-jv","Xem chi tiết")</f>
        <v/>
      </c>
    </row>
    <row r="12338">
      <c r="B12338" s="9" t="n">
        <v>12336</v>
      </c>
      <c r="C12338" s="10" t="inlineStr">
        <is>
          <t>Tuyển Dụng Nhân Viên Vận Hành Amazon (Bình Tân – HCM )</t>
        </is>
      </c>
      <c r="D12338" s="10" t="inlineStr">
        <is>
          <t>CÔNG TY TNHH TMĐT BKK</t>
        </is>
      </c>
      <c r="E12338" s="10" t="inlineStr">
        <is>
          <t>10tr-25tr ₫/tháng</t>
        </is>
      </c>
      <c r="F12338" s="10" t="inlineStr">
        <is>
          <t>Hồ Chí Minh</t>
        </is>
      </c>
      <c r="G12338" s="10" t="inlineStr">
        <is>
          <t>Nhân viên</t>
        </is>
      </c>
      <c r="H12338" s="10" t="inlineStr">
        <is>
          <t>17/03/2026</t>
        </is>
      </c>
      <c r="I12338" s="10" t="inlineStr">
        <is>
          <t>16/04/2026</t>
        </is>
      </c>
      <c r="J12338" s="10" t="inlineStr">
        <is>
          <t>17/03/2026</t>
        </is>
      </c>
      <c r="K12338" s="10" t="inlineStr">
        <is>
          <t>N/A</t>
        </is>
      </c>
      <c r="L12338" s="10" t="inlineStr">
        <is>
          <t>Amazon Web Services, Data Analysis, Photoshop, Ecommerce Background, Customer Mindset</t>
        </is>
      </c>
      <c r="M12338" s="10" t="inlineStr">
        <is>
          <t>Bonus, Healthcare Plan, Training, Others</t>
        </is>
      </c>
      <c r="N12338" s="11">
        <f>HYPERLINK("https://www.vietnamworks.com/tuyen-dung-nhan-vien-van-hanh-amazon-binh-tan-hcm-2025165-jv","Xem chi tiết")</f>
        <v/>
      </c>
      <c r="O12338" s="10" t="n"/>
    </row>
    <row r="12339">
      <c r="B12339" s="7" t="n">
        <v>12337</v>
      </c>
      <c r="C12339" t="inlineStr">
        <is>
          <t>Chuyên Viên Tư Vấn Tâm Lý Học Đường</t>
        </is>
      </c>
      <c r="D12339" t="inlineStr">
        <is>
          <t>Hệ thống Giáo dục Vinschool</t>
        </is>
      </c>
      <c r="E12339" t="inlineStr">
        <is>
          <t>Thương lượng</t>
        </is>
      </c>
      <c r="F12339" t="inlineStr">
        <is>
          <t>Hưng Yên, Hà Nội, Hải Phòng</t>
        </is>
      </c>
      <c r="G12339" t="inlineStr">
        <is>
          <t>Nhân viên</t>
        </is>
      </c>
      <c r="H12339" t="inlineStr">
        <is>
          <t>17/03/2026</t>
        </is>
      </c>
      <c r="I12339" t="inlineStr">
        <is>
          <t>16/04/2026</t>
        </is>
      </c>
      <c r="J12339" t="inlineStr">
        <is>
          <t>17/03/2026</t>
        </is>
      </c>
      <c r="K12339" t="inlineStr">
        <is>
          <t>N/A</t>
        </is>
      </c>
      <c r="L12339" t="inlineStr">
        <is>
          <t>Tâm Lý Học, IELTS, Giải quyết vấn đề</t>
        </is>
      </c>
      <c r="M12339" t="inlineStr">
        <is>
          <t>Bonus, Healthcare Plan, Paid Leave, Training, Others</t>
        </is>
      </c>
      <c r="N12339" s="8">
        <f>HYPERLINK("https://www.vietnamworks.com/chuyen-vien-tu-van-tam-ly-hoc-djuong-2025151-jv","Xem chi tiết")</f>
        <v/>
      </c>
    </row>
    <row r="12340">
      <c r="B12340" s="9" t="n">
        <v>12338</v>
      </c>
      <c r="C12340" s="10" t="inlineStr">
        <is>
          <t>Risk Engineer (Surveyor)</t>
        </is>
      </c>
      <c r="D12340" s="10" t="inlineStr">
        <is>
          <t>United Insurance Company Of Vietnam</t>
        </is>
      </c>
      <c r="E12340" s="10" t="inlineStr">
        <is>
          <t>Thương lượng</t>
        </is>
      </c>
      <c r="F12340" s="10" t="inlineStr">
        <is>
          <t>Hà Nội</t>
        </is>
      </c>
      <c r="G12340" s="10" t="inlineStr">
        <is>
          <t>Nhân viên</t>
        </is>
      </c>
      <c r="H12340" s="10" t="inlineStr">
        <is>
          <t>17/03/2026</t>
        </is>
      </c>
      <c r="I12340" s="10" t="inlineStr">
        <is>
          <t>16/04/2026</t>
        </is>
      </c>
      <c r="J12340" s="10" t="inlineStr">
        <is>
          <t>17/03/2026</t>
        </is>
      </c>
      <c r="K12340" s="10" t="inlineStr">
        <is>
          <t>N/A</t>
        </is>
      </c>
      <c r="L12340" s="10" t="inlineStr">
        <is>
          <t>Risk Analysis, Quantity Surveyor, Construction, HSE, Factory Evaluate</t>
        </is>
      </c>
      <c r="M12340" s="10" t="inlineStr">
        <is>
          <t>Bonus, Healthcare Plan, Paid Leave</t>
        </is>
      </c>
      <c r="N12340" s="11">
        <f>HYPERLINK("https://www.vietnamworks.com/risk-engineer-surveyor--2025164-jv","Xem chi tiết")</f>
        <v/>
      </c>
      <c r="O12340" s="10" t="n"/>
    </row>
    <row r="12341">
      <c r="B12341" s="7" t="n">
        <v>12339</v>
      </c>
      <c r="C12341" t="inlineStr">
        <is>
          <t>Senior Merchandiser (Furniture/ Hardlines)</t>
        </is>
      </c>
      <c r="D12341" t="inlineStr">
        <is>
          <t>William E. Connor &amp; Associates Ltd - Resident Representative Office In Vietnam</t>
        </is>
      </c>
      <c r="E12341" t="inlineStr">
        <is>
          <t>Thương lượng</t>
        </is>
      </c>
      <c r="F12341" t="inlineStr">
        <is>
          <t>Hồ Chí Minh</t>
        </is>
      </c>
      <c r="G12341" t="inlineStr">
        <is>
          <t>Nhân viên</t>
        </is>
      </c>
      <c r="H12341" t="inlineStr">
        <is>
          <t>17/03/2026</t>
        </is>
      </c>
      <c r="I12341" t="inlineStr">
        <is>
          <t>16/04/2026</t>
        </is>
      </c>
      <c r="J12341" t="inlineStr">
        <is>
          <t>17/03/2026</t>
        </is>
      </c>
      <c r="K12341" t="inlineStr">
        <is>
          <t>N/A</t>
        </is>
      </c>
      <c r="L12341" t="inlineStr">
        <is>
          <t>Vendor Relationship Management, Merchandising, Merchandise, Hardlines, Furniture</t>
        </is>
      </c>
      <c r="M12341" t="inlineStr">
        <is>
          <t>Bonus, Healthcare Plan, Training</t>
        </is>
      </c>
      <c r="N12341" s="8">
        <f>HYPERLINK("https://www.vietnamworks.com/senior-merchandiser-furniture-hardlines--2025170-jv","Xem chi tiết")</f>
        <v/>
      </c>
    </row>
    <row r="12342">
      <c r="B12342" s="9" t="n">
        <v>12340</v>
      </c>
      <c r="C12342" s="10" t="inlineStr">
        <is>
          <t>HR Supervisors for International Bilingual Schools</t>
        </is>
      </c>
      <c r="D12342" s="10" t="inlineStr">
        <is>
          <t>Wellspring Saigon International Bilingual School</t>
        </is>
      </c>
      <c r="E12342" s="10" t="inlineStr">
        <is>
          <t>Thương lượng</t>
        </is>
      </c>
      <c r="F12342" s="10" t="inlineStr">
        <is>
          <t>Hồ Chí Minh</t>
        </is>
      </c>
      <c r="G12342" s="10" t="inlineStr">
        <is>
          <t>Nhân viên</t>
        </is>
      </c>
      <c r="H12342" s="10" t="inlineStr">
        <is>
          <t>17/03/2026</t>
        </is>
      </c>
      <c r="I12342" s="10" t="inlineStr">
        <is>
          <t>16/04/2026</t>
        </is>
      </c>
      <c r="J12342" s="10" t="inlineStr">
        <is>
          <t>17/03/2026</t>
        </is>
      </c>
      <c r="K12342" s="10" t="inlineStr">
        <is>
          <t>N/A</t>
        </is>
      </c>
      <c r="L12342" s="10" t="inlineStr">
        <is>
          <t>Nhân Sự, Human Resources, Hr Generalist Experience, Recruitment, Employee Engagement</t>
        </is>
      </c>
      <c r="M12342" s="10" t="inlineStr">
        <is>
          <t>Bonus, Training, Travel Opportunities</t>
        </is>
      </c>
      <c r="N12342" s="11">
        <f>HYPERLINK("https://www.vietnamworks.com/hr-supervisors-for-international-bilingual-schools-2025143-jv","Xem chi tiết")</f>
        <v/>
      </c>
      <c r="O12342" s="10" t="n"/>
    </row>
    <row r="12343">
      <c r="B12343" s="7" t="n">
        <v>12341</v>
      </c>
      <c r="C12343" t="inlineStr">
        <is>
          <t>PE工程师</t>
        </is>
      </c>
      <c r="D12343" t="inlineStr">
        <is>
          <t>Công Ty TNHH Providence Enterprise (Việt Nam)</t>
        </is>
      </c>
      <c r="E12343" t="inlineStr">
        <is>
          <t>15tr-20tr ₫/tháng</t>
        </is>
      </c>
      <c r="F12343" t="inlineStr">
        <is>
          <t>Hải Phòng</t>
        </is>
      </c>
      <c r="G12343" t="inlineStr">
        <is>
          <t>Nhân viên</t>
        </is>
      </c>
      <c r="H12343" t="inlineStr">
        <is>
          <t>17/03/2026</t>
        </is>
      </c>
      <c r="I12343" t="inlineStr">
        <is>
          <t>16/04/2026</t>
        </is>
      </c>
      <c r="J12343" t="inlineStr">
        <is>
          <t>17/03/2026</t>
        </is>
      </c>
      <c r="K12343" t="inlineStr">
        <is>
          <t>N/A</t>
        </is>
      </c>
      <c r="L12343" t="inlineStr">
        <is>
          <t>Quality Management System, 沟通技巧, 生产排程, 制造工程经验, 医疗行业法律法规</t>
        </is>
      </c>
      <c r="M12343" t="inlineStr">
        <is>
          <t>Awards, Team Activities, Canteen, Kindergarten</t>
        </is>
      </c>
      <c r="N12343" s="8">
        <f>HYPERLINK("https://www.vietnamworks.com/pe-2025135-jv","Xem chi tiết")</f>
        <v/>
      </c>
    </row>
    <row r="12344">
      <c r="B12344" s="9" t="n">
        <v>12342</v>
      </c>
      <c r="C12344" s="10" t="inlineStr">
        <is>
          <t>Tender Manager – Power Transmission And Distribution (MV&amp;HV)</t>
        </is>
      </c>
      <c r="D12344" s="10" t="inlineStr">
        <is>
          <t>Chint Viet Nam Holding Co.,ltd</t>
        </is>
      </c>
      <c r="E12344" s="10" t="inlineStr">
        <is>
          <t>Thương lượng</t>
        </is>
      </c>
      <c r="F12344" s="10" t="inlineStr">
        <is>
          <t>Hồ Chí Minh</t>
        </is>
      </c>
      <c r="G12344" s="10" t="inlineStr">
        <is>
          <t>Trưởng phòng</t>
        </is>
      </c>
      <c r="H12344" s="10" t="inlineStr">
        <is>
          <t>17/03/2026</t>
        </is>
      </c>
      <c r="I12344" s="10" t="inlineStr">
        <is>
          <t>16/04/2026</t>
        </is>
      </c>
      <c r="J12344" s="10" t="inlineStr">
        <is>
          <t>17/03/2026</t>
        </is>
      </c>
      <c r="K12344" s="10" t="inlineStr">
        <is>
          <t>N/A</t>
        </is>
      </c>
      <c r="L12344" s="10" t="inlineStr">
        <is>
          <t>Communication, Market Analysis, Product Marketing, Technical Support, Tendering</t>
        </is>
      </c>
      <c r="M12344" s="10" t="inlineStr">
        <is>
          <t>Healthcare Plan</t>
        </is>
      </c>
      <c r="N12344" s="11">
        <f>HYPERLINK("https://www.vietnamworks.com/tender-manager-power-transmission-and-distribution-mvandhv-2025154-jv","Xem chi tiết")</f>
        <v/>
      </c>
      <c r="O12344" s="10" t="n"/>
    </row>
    <row r="12345">
      <c r="B12345" s="7" t="n">
        <v>12343</v>
      </c>
      <c r="C12345" t="inlineStr">
        <is>
          <t>Kỹ Thuật Viên Sửa Chữa, Bảo Dưỡng</t>
        </is>
      </c>
      <c r="D12345" t="inlineStr">
        <is>
          <t>Panasonic Industrial Devices Vietnam CO., LTD (PIDVN)</t>
        </is>
      </c>
      <c r="E12345" t="inlineStr">
        <is>
          <t>Thương lượng</t>
        </is>
      </c>
      <c r="F12345" t="inlineStr">
        <is>
          <t>Hà Nội</t>
        </is>
      </c>
      <c r="G12345" t="inlineStr">
        <is>
          <t>Nhân viên</t>
        </is>
      </c>
      <c r="H12345" t="inlineStr">
        <is>
          <t>17/03/2026</t>
        </is>
      </c>
      <c r="I12345" t="inlineStr">
        <is>
          <t>16/04/2026</t>
        </is>
      </c>
      <c r="J12345" t="inlineStr">
        <is>
          <t>17/03/2026</t>
        </is>
      </c>
      <c r="K12345" t="inlineStr">
        <is>
          <t>N/A</t>
        </is>
      </c>
      <c r="L12345" t="inlineStr">
        <is>
          <t>Sửa Chữa Thiết Bị Máy Móc, Monitor, Korean Language, Electronic, Cơ Khí</t>
        </is>
      </c>
      <c r="M12345" t="inlineStr">
        <is>
          <t>Bonus, Training, Transportation</t>
        </is>
      </c>
      <c r="N12345" s="8">
        <f>HYPERLINK("https://www.vietnamworks.com/ky-thuat-vien-sua-chua-bao-duong--2025152-jv","Xem chi tiết")</f>
        <v/>
      </c>
    </row>
    <row r="12346">
      <c r="B12346" s="9" t="n">
        <v>12344</v>
      </c>
      <c r="C12346" s="10" t="inlineStr">
        <is>
          <t>Chuyên Viên Kế Toán Dự Án (Mảng Xây Dựng &amp; Máy Móc Thiết Bị)</t>
        </is>
      </c>
      <c r="D12346" s="10" t="inlineStr">
        <is>
          <t>Công Ty Cổ Phần Sữa Việt Nam (Vinamilk)</t>
        </is>
      </c>
      <c r="E12346" s="10" t="inlineStr">
        <is>
          <t>Thương lượng</t>
        </is>
      </c>
      <c r="F12346" s="10" t="inlineStr">
        <is>
          <t>Hồ Chí Minh</t>
        </is>
      </c>
      <c r="G12346" s="10" t="inlineStr">
        <is>
          <t>Nhân viên</t>
        </is>
      </c>
      <c r="H12346" s="10" t="inlineStr">
        <is>
          <t>17/03/2026</t>
        </is>
      </c>
      <c r="I12346" s="10" t="inlineStr">
        <is>
          <t>16/04/2026</t>
        </is>
      </c>
      <c r="J12346" s="10" t="inlineStr">
        <is>
          <t>17/03/2026</t>
        </is>
      </c>
      <c r="K12346" s="10" t="inlineStr">
        <is>
          <t>N/A</t>
        </is>
      </c>
      <c r="L12346" s="10" t="inlineStr">
        <is>
          <t>Project Accounting, Kế Toán Dự Án, Accountant, Kế toán</t>
        </is>
      </c>
      <c r="M12346" s="10" t="inlineStr">
        <is>
          <t>Bonus, Healthcare Plan, Training</t>
        </is>
      </c>
      <c r="N12346" s="11">
        <f>HYPERLINK("https://www.vietnamworks.com/chuyen-vien-ke-toan-du-an-mang-xay-dung-may-moc-thiet-bi-2025153-jv","Xem chi tiết")</f>
        <v/>
      </c>
      <c r="O12346" s="10" t="n"/>
    </row>
    <row r="12347">
      <c r="B12347" s="7" t="n">
        <v>12345</v>
      </c>
      <c r="C12347" t="inlineStr">
        <is>
          <t>Junior Amazon Sales Executive</t>
        </is>
      </c>
      <c r="D12347" t="inlineStr">
        <is>
          <t>Helmsman Quality &amp; Technology Services Co., Ltd.</t>
        </is>
      </c>
      <c r="E12347" t="inlineStr">
        <is>
          <t>$$ 400-1,000 /tháng</t>
        </is>
      </c>
      <c r="F12347" t="inlineStr">
        <is>
          <t>Hồ Chí Minh</t>
        </is>
      </c>
      <c r="G12347" t="inlineStr">
        <is>
          <t>Nhân viên</t>
        </is>
      </c>
      <c r="H12347" t="inlineStr">
        <is>
          <t>17/03/2026</t>
        </is>
      </c>
      <c r="I12347" t="inlineStr">
        <is>
          <t>16/04/2026</t>
        </is>
      </c>
      <c r="J12347" t="inlineStr">
        <is>
          <t>17/03/2026</t>
        </is>
      </c>
      <c r="K12347" t="inlineStr">
        <is>
          <t>N/A</t>
        </is>
      </c>
      <c r="L12347" t="inlineStr">
        <is>
          <t>B2B Development, Amazon Web Service, Toy Regulations</t>
        </is>
      </c>
      <c r="M12347" t="inlineStr">
        <is>
          <t>Bonus, Healthcare Plan, Laptop</t>
        </is>
      </c>
      <c r="N12347" s="8">
        <f>HYPERLINK("https://www.vietnamworks.com/junior-amazon-sales-executive-2025145-jv","Xem chi tiết")</f>
        <v/>
      </c>
    </row>
    <row r="12348">
      <c r="B12348" s="9" t="n">
        <v>12346</v>
      </c>
      <c r="C12348" s="10" t="inlineStr">
        <is>
          <t>Chỉ Huy Trưởng - Site Manager</t>
        </is>
      </c>
      <c r="D12348" s="10" t="inlineStr">
        <is>
          <t>Tập Đoàn FECON</t>
        </is>
      </c>
      <c r="E12348" s="10" t="inlineStr">
        <is>
          <t>$$ 1,300-1,800 /tháng</t>
        </is>
      </c>
      <c r="F12348" s="10" t="inlineStr">
        <is>
          <t>Hà Nội, Đồng Nai, Hồ Chí Minh</t>
        </is>
      </c>
      <c r="G12348" s="10" t="inlineStr">
        <is>
          <t>Trưởng phòng</t>
        </is>
      </c>
      <c r="H12348" s="10" t="inlineStr">
        <is>
          <t>17/03/2026</t>
        </is>
      </c>
      <c r="I12348" s="10" t="inlineStr">
        <is>
          <t>16/04/2026</t>
        </is>
      </c>
      <c r="J12348" s="10" t="inlineStr">
        <is>
          <t>17/03/2026</t>
        </is>
      </c>
      <c r="K12348" s="10" t="inlineStr">
        <is>
          <t>N/A</t>
        </is>
      </c>
      <c r="L12348" s="10" t="inlineStr">
        <is>
          <t>Chỉ Huy Công Trình, Chỉ Huy Công Trình Cơ Điện, Quản Lý Dự Án, Quản Lý Dự Án MEP</t>
        </is>
      </c>
      <c r="M12348" s="10" t="inlineStr">
        <is>
          <t>Bonus, Healthcare Plan, Training</t>
        </is>
      </c>
      <c r="N12348" s="11">
        <f>HYPERLINK("https://www.vietnamworks.com/chi-huy-truong-site-manager--2025129-jv","Xem chi tiết")</f>
        <v/>
      </c>
      <c r="O12348" s="10" t="n"/>
    </row>
    <row r="12349">
      <c r="B12349" s="7" t="n">
        <v>12347</v>
      </c>
      <c r="C12349" t="inlineStr">
        <is>
          <t>Nhân Viên Kinh Doanh Nội Thất</t>
        </is>
      </c>
      <c r="D12349" t="inlineStr">
        <is>
          <t>Công Ty TNHH Kiến Trúc Và Nội Thất Life Design Việt Nam</t>
        </is>
      </c>
      <c r="E12349" t="inlineStr">
        <is>
          <t>8tr-12tr ₫/tháng</t>
        </is>
      </c>
      <c r="F12349" t="inlineStr">
        <is>
          <t>Hà Nội</t>
        </is>
      </c>
      <c r="G12349" t="inlineStr">
        <is>
          <t>Nhân viên</t>
        </is>
      </c>
      <c r="H12349" t="inlineStr">
        <is>
          <t>17/03/2026</t>
        </is>
      </c>
      <c r="I12349" t="inlineStr">
        <is>
          <t>16/04/2026</t>
        </is>
      </c>
      <c r="J12349" t="inlineStr">
        <is>
          <t>17/03/2026</t>
        </is>
      </c>
      <c r="K12349" t="inlineStr">
        <is>
          <t>N/A</t>
        </is>
      </c>
      <c r="L12349" t="inlineStr">
        <is>
          <t>Kinh Doanh Nội Thất, Tư Vấn Khách Hàng, Nội Thất, Sales Planning, Tư Vấn Bán Hàng</t>
        </is>
      </c>
      <c r="M12349" t="inlineStr">
        <is>
          <t>Bonus, Healthcare Plan, Paid Leave, Travel Opportunities, Others</t>
        </is>
      </c>
      <c r="N12349" s="8">
        <f>HYPERLINK("https://www.vietnamworks.com/nhan-vien-kinh-doanh-noi-that-2025160-jv","Xem chi tiết")</f>
        <v/>
      </c>
    </row>
    <row r="12350">
      <c r="B12350" s="9" t="n">
        <v>12348</v>
      </c>
      <c r="C12350" s="10" t="inlineStr">
        <is>
          <t>Giám Đốc Ban Quản Lý Dự Án</t>
        </is>
      </c>
      <c r="D12350" s="10" t="inlineStr">
        <is>
          <t>Công Ty Cổ Phần CPT GROUP</t>
        </is>
      </c>
      <c r="E12350" s="10" t="inlineStr">
        <is>
          <t>40tr-50tr ₫/tháng</t>
        </is>
      </c>
      <c r="F12350" s="10" t="inlineStr">
        <is>
          <t>Hà Nội</t>
        </is>
      </c>
      <c r="G12350" s="10" t="inlineStr">
        <is>
          <t>Giám Đốc và Cấp Cao Hơn</t>
        </is>
      </c>
      <c r="H12350" s="10" t="inlineStr">
        <is>
          <t>17/03/2026</t>
        </is>
      </c>
      <c r="I12350" s="10" t="inlineStr">
        <is>
          <t>16/04/2026</t>
        </is>
      </c>
      <c r="J12350" s="10" t="inlineStr">
        <is>
          <t>17/03/2026</t>
        </is>
      </c>
      <c r="K12350" s="10" t="inlineStr">
        <is>
          <t>N/A</t>
        </is>
      </c>
      <c r="L12350" s="10" t="inlineStr">
        <is>
          <t>Xây Dựng, Cơ Khí, Kinh Tế Xây Dựng, Xây Dựng Dân Dụng, Tư Vấn Giám Sát</t>
        </is>
      </c>
      <c r="M12350" s="10" t="inlineStr">
        <is>
          <t>Bonus, Training, Others</t>
        </is>
      </c>
      <c r="N12350" s="11">
        <f>HYPERLINK("https://www.vietnamworks.com/giam-doc-ban-quan-ly-du-an--2025166-jv","Xem chi tiết")</f>
        <v/>
      </c>
      <c r="O12350" s="10" t="n"/>
    </row>
    <row r="12351">
      <c r="B12351" s="7" t="n">
        <v>12349</v>
      </c>
      <c r="C12351" t="inlineStr">
        <is>
          <t>[Hot] Kỹ Sư Xây Dựng, Thu Nhập Từ 20Tr - 40Tr - RA Tết Đi Làm Ngay Tại Hà Nội</t>
        </is>
      </c>
      <c r="D12351" t="inlineStr">
        <is>
          <t>Công Ty Cổ Phần Xây Dựng Vietcontech</t>
        </is>
      </c>
      <c r="E12351" t="inlineStr">
        <is>
          <t>20tr-40tr ₫/tháng</t>
        </is>
      </c>
      <c r="F12351" t="inlineStr">
        <is>
          <t>Hà Nội</t>
        </is>
      </c>
      <c r="G12351" t="inlineStr">
        <is>
          <t>Nhân viên</t>
        </is>
      </c>
      <c r="H12351" t="inlineStr">
        <is>
          <t>17/03/2026</t>
        </is>
      </c>
      <c r="I12351" t="inlineStr">
        <is>
          <t>16/04/2026</t>
        </is>
      </c>
      <c r="J12351" t="inlineStr">
        <is>
          <t>17/03/2026</t>
        </is>
      </c>
      <c r="K12351" t="inlineStr">
        <is>
          <t>N/A</t>
        </is>
      </c>
      <c r="L12351" t="inlineStr">
        <is>
          <t>Giám Sát Công Trình, Công Trình Dân Dụng, Kỹ Thuật Hiện Trường, Thiết Kế Biện Pháp Thi Công, Kiến Trúc</t>
        </is>
      </c>
      <c r="M12351" t="inlineStr">
        <is>
          <t>Bonus, Healthcare Plan, Paid Leave</t>
        </is>
      </c>
      <c r="N12351" s="8">
        <f>HYPERLINK("https://www.vietnamworks.com/hot-ky-su-xay-dung-thu-nhap-tu-20tr-40tr-ra-tet-di-lam-ngay-tai-ha-noi--2025173-jv","Xem chi tiết")</f>
        <v/>
      </c>
    </row>
    <row r="12352">
      <c r="B12352" s="9" t="n">
        <v>12350</v>
      </c>
      <c r="C12352" s="10" t="inlineStr">
        <is>
          <t>Nhân Viên Kinh Doanh (Thiết Bị Y Tế &amp; Thiết Bị Thẩm Mỹ)</t>
        </is>
      </c>
      <c r="D12352" s="10" t="inlineStr">
        <is>
          <t>G&amp;BVINA.,JSC</t>
        </is>
      </c>
      <c r="E12352" s="10" t="inlineStr">
        <is>
          <t>Từ $ 400 /tháng</t>
        </is>
      </c>
      <c r="F12352" s="10" t="inlineStr">
        <is>
          <t>Hà Nội, Hồ Chí Minh</t>
        </is>
      </c>
      <c r="G12352" s="10" t="inlineStr">
        <is>
          <t>Nhân viên</t>
        </is>
      </c>
      <c r="H12352" s="10" t="inlineStr">
        <is>
          <t>17/03/2026</t>
        </is>
      </c>
      <c r="I12352" s="10" t="inlineStr">
        <is>
          <t>16/04/2026</t>
        </is>
      </c>
      <c r="J12352" s="10" t="inlineStr">
        <is>
          <t>17/03/2026</t>
        </is>
      </c>
      <c r="K12352" s="10" t="inlineStr">
        <is>
          <t>N/A</t>
        </is>
      </c>
      <c r="L12352" s="10" t="inlineStr">
        <is>
          <t>Nhân viên kinh doanh, Kinh Doanh Y Tế, Da Liễu Thẩm Mỹ</t>
        </is>
      </c>
      <c r="M12352" s="10" t="inlineStr">
        <is>
          <t>Bonus, Healthcare Plan, Awards</t>
        </is>
      </c>
      <c r="N12352" s="11">
        <f>HYPERLINK("https://www.vietnamworks.com/nhan-vien-kinh-doanh-thiet-bi-y-te-thiet-bi-tham-my--2025161-jv","Xem chi tiết")</f>
        <v/>
      </c>
      <c r="O12352" s="10" t="n"/>
    </row>
    <row r="12353">
      <c r="B12353" s="7" t="n">
        <v>12351</v>
      </c>
      <c r="C12353" t="inlineStr">
        <is>
          <t>QA Manager (In Plastic Injection Moulding Industry)</t>
        </is>
      </c>
      <c r="D12353" t="inlineStr">
        <is>
          <t>D&amp;Y Technology Vietnam Co., Ltd.</t>
        </is>
      </c>
      <c r="E12353" t="inlineStr">
        <is>
          <t>Thương lượng</t>
        </is>
      </c>
      <c r="F12353" t="inlineStr">
        <is>
          <t>Hồ Chí Minh</t>
        </is>
      </c>
      <c r="G12353" t="inlineStr">
        <is>
          <t>Trưởng phòng</t>
        </is>
      </c>
      <c r="H12353" t="inlineStr">
        <is>
          <t>17/03/2026</t>
        </is>
      </c>
      <c r="I12353" t="inlineStr">
        <is>
          <t>16/04/2026</t>
        </is>
      </c>
      <c r="J12353" t="inlineStr">
        <is>
          <t>17/03/2026</t>
        </is>
      </c>
      <c r="K12353" t="inlineStr">
        <is>
          <t>N/A</t>
        </is>
      </c>
      <c r="L12353" t="inlineStr">
        <is>
          <t>ISO 14001, Plastic Injection Moulding, Nhựa, Ngành nhựa, Quality Management</t>
        </is>
      </c>
      <c r="M12353" t="inlineStr">
        <is>
          <t>Bonus, Healthcare Plan, Training, Team Activities, Canteen, Others</t>
        </is>
      </c>
      <c r="N12353" s="8">
        <f>HYPERLINK("https://www.vietnamworks.com/qa-manager-in-plastic-injection-moulding-industry-2025174-jv","Xem chi tiết")</f>
        <v/>
      </c>
    </row>
    <row r="12354">
      <c r="B12354" s="9" t="n">
        <v>12352</v>
      </c>
      <c r="C12354" s="10" t="inlineStr">
        <is>
          <t>Kỹ Sư Thiết Kế Cơ Điện (20 - 30Tr + Thưởng Dự Án) - RA Tết Đi Làm Ngay Tại Hà Nội</t>
        </is>
      </c>
      <c r="D12354" s="10" t="inlineStr">
        <is>
          <t>Công Ty Cổ Phần Xây Dựng Vietcontech</t>
        </is>
      </c>
      <c r="E12354" s="10" t="inlineStr">
        <is>
          <t>20tr-30tr ₫/tháng</t>
        </is>
      </c>
      <c r="F12354" s="10" t="inlineStr">
        <is>
          <t>Hà Nội</t>
        </is>
      </c>
      <c r="G12354" s="10" t="inlineStr">
        <is>
          <t>Nhân viên</t>
        </is>
      </c>
      <c r="H12354" s="10" t="inlineStr">
        <is>
          <t>17/03/2026</t>
        </is>
      </c>
      <c r="I12354" s="10" t="inlineStr">
        <is>
          <t>16/04/2026</t>
        </is>
      </c>
      <c r="J12354" s="10" t="inlineStr">
        <is>
          <t>17/03/2026</t>
        </is>
      </c>
      <c r="K12354" s="10" t="inlineStr">
        <is>
          <t>N/A</t>
        </is>
      </c>
      <c r="L12354" s="10" t="inlineStr">
        <is>
          <t>Cơ Điện, Thiết Kế Cơ Điện, Điện, Bóc Tách Khối Lượng, Khảo Sát Dự Án</t>
        </is>
      </c>
      <c r="M12354" s="10" t="inlineStr">
        <is>
          <t>Bonus, Healthcare Plan, Paid Leave</t>
        </is>
      </c>
      <c r="N12354" s="11">
        <f>HYPERLINK("https://www.vietnamworks.com/ky-su-thiet-ke-co-dien-20-30tr-thuong-du-an-ra-tet-di-lam-ngay-tai-ha-noi--2025175-jv","Xem chi tiết")</f>
        <v/>
      </c>
      <c r="O12354" s="10" t="n"/>
    </row>
    <row r="12355">
      <c r="B12355" s="7" t="n">
        <v>12353</v>
      </c>
      <c r="C12355" t="inlineStr">
        <is>
          <t>Steel Connection Design Engineer</t>
        </is>
      </c>
      <c r="D12355" t="inlineStr">
        <is>
          <t>Thornton Tomasetti Vietnam</t>
        </is>
      </c>
      <c r="E12355" t="inlineStr">
        <is>
          <t>Thương lượng</t>
        </is>
      </c>
      <c r="F12355" t="inlineStr">
        <is>
          <t>Hồ Chí Minh</t>
        </is>
      </c>
      <c r="G12355" t="inlineStr">
        <is>
          <t>Nhân viên</t>
        </is>
      </c>
      <c r="H12355" t="inlineStr">
        <is>
          <t>17/03/2026</t>
        </is>
      </c>
      <c r="I12355" t="inlineStr">
        <is>
          <t>16/04/2026</t>
        </is>
      </c>
      <c r="J12355" t="inlineStr">
        <is>
          <t>17/03/2026</t>
        </is>
      </c>
      <c r="K12355" t="inlineStr">
        <is>
          <t>N/A</t>
        </is>
      </c>
      <c r="L12355" t="inlineStr">
        <is>
          <t>Steel Structure, Structural Analysis, Structural Engineering, Teamwork, Us Design Codes</t>
        </is>
      </c>
      <c r="M12355" t="inlineStr">
        <is>
          <t>Bonus, Training, Team Activities</t>
        </is>
      </c>
      <c r="N12355" s="8">
        <f>HYPERLINK("https://www.vietnamworks.com/steel-connection-design-engineer-2025177-jv","Xem chi tiết")</f>
        <v/>
      </c>
    </row>
    <row r="12356">
      <c r="B12356" s="9" t="n">
        <v>12354</v>
      </c>
      <c r="C12356" s="10" t="inlineStr">
        <is>
          <t>Kỹ Sư Cấp Thoát Nước</t>
        </is>
      </c>
      <c r="D12356" s="10" t="inlineStr">
        <is>
          <t>Công Ty Cổ Phần Tư Vấn Thiết Kế Và Xây Dựng Vinaincon</t>
        </is>
      </c>
      <c r="E12356" s="10" t="inlineStr">
        <is>
          <t>13tr-20tr ₫/tháng</t>
        </is>
      </c>
      <c r="F12356" s="10" t="inlineStr">
        <is>
          <t>Hà Nội</t>
        </is>
      </c>
      <c r="G12356" s="10" t="inlineStr">
        <is>
          <t>Nhân viên</t>
        </is>
      </c>
      <c r="H12356" s="10" t="inlineStr">
        <is>
          <t>17/03/2026</t>
        </is>
      </c>
      <c r="I12356" s="10" t="inlineStr">
        <is>
          <t>16/04/2026</t>
        </is>
      </c>
      <c r="J12356" s="10" t="inlineStr">
        <is>
          <t>17/03/2026</t>
        </is>
      </c>
      <c r="K12356" s="10" t="inlineStr">
        <is>
          <t>N/A</t>
        </is>
      </c>
      <c r="L12356" s="10" t="inlineStr">
        <is>
          <t>3D Max, Autocad, Cấp Thoát Nước, Revit Architecture, Shop Drawing</t>
        </is>
      </c>
      <c r="M12356" s="10" t="inlineStr">
        <is>
          <t>Healthcare Plan, Others</t>
        </is>
      </c>
      <c r="N12356" s="11">
        <f>HYPERLINK("https://www.vietnamworks.com/ky-su-cap-thoat-nuoc-2025178-jv","Xem chi tiết")</f>
        <v/>
      </c>
      <c r="O12356" s="10" t="n"/>
    </row>
    <row r="12357">
      <c r="B12357" s="7" t="n">
        <v>12355</v>
      </c>
      <c r="C12357" t="inlineStr">
        <is>
          <t>Structural Engineer Intern</t>
        </is>
      </c>
      <c r="D12357" t="inlineStr">
        <is>
          <t>Thornton Tomasetti Vietnam</t>
        </is>
      </c>
      <c r="E12357" t="inlineStr">
        <is>
          <t>Thương lượng</t>
        </is>
      </c>
      <c r="F12357" t="inlineStr">
        <is>
          <t>Hồ Chí Minh</t>
        </is>
      </c>
      <c r="G12357" t="inlineStr">
        <is>
          <t>Thực tập sinh/Sinh viên</t>
        </is>
      </c>
      <c r="H12357" t="inlineStr">
        <is>
          <t>17/03/2026</t>
        </is>
      </c>
      <c r="I12357" t="inlineStr">
        <is>
          <t>16/04/2026</t>
        </is>
      </c>
      <c r="J12357" t="inlineStr">
        <is>
          <t>17/03/2026</t>
        </is>
      </c>
      <c r="K12357" t="inlineStr">
        <is>
          <t>N/A</t>
        </is>
      </c>
      <c r="L12357" t="inlineStr">
        <is>
          <t>Etabs, Revit, SAP2000, Structural Analysis, Structural Engineering</t>
        </is>
      </c>
      <c r="M12357" t="inlineStr">
        <is>
          <t>Bonus, Training, Team Activities</t>
        </is>
      </c>
      <c r="N12357" s="8">
        <f>HYPERLINK("https://www.vietnamworks.com/structural-engineer-intern-2025179-jv","Xem chi tiết")</f>
        <v/>
      </c>
    </row>
    <row r="12358">
      <c r="B12358" s="9" t="n">
        <v>12356</v>
      </c>
      <c r="C12358" s="10" t="inlineStr">
        <is>
          <t>Lập Trình Viên - Frontend Developer (ReactJS)</t>
        </is>
      </c>
      <c r="D12358" s="10" t="inlineStr">
        <is>
          <t>Công ty cổ phần công nghệ số VCI</t>
        </is>
      </c>
      <c r="E12358" s="10" t="inlineStr">
        <is>
          <t>Thương lượng</t>
        </is>
      </c>
      <c r="F12358" s="10" t="inlineStr">
        <is>
          <t>Hà Nội</t>
        </is>
      </c>
      <c r="G12358" s="10" t="inlineStr">
        <is>
          <t>Nhân viên</t>
        </is>
      </c>
      <c r="H12358" s="10" t="inlineStr">
        <is>
          <t>17/03/2026</t>
        </is>
      </c>
      <c r="I12358" s="10" t="inlineStr">
        <is>
          <t>16/04/2026</t>
        </is>
      </c>
      <c r="J12358" s="10" t="inlineStr">
        <is>
          <t>17/03/2026</t>
        </is>
      </c>
      <c r="K12358" s="10" t="inlineStr">
        <is>
          <t>N/A</t>
        </is>
      </c>
      <c r="L12358" s="10" t="inlineStr">
        <is>
          <t>HTML5, CSS3, JavaScript ES6, ReactJS, Frontend Technologies</t>
        </is>
      </c>
      <c r="M12358" s="10" t="inlineStr">
        <is>
          <t>Bonus, Healthcare Plan, Training, Team Activities, Others</t>
        </is>
      </c>
      <c r="N12358" s="11">
        <f>HYPERLINK("https://www.vietnamworks.com/lap-trinh-vien-frontend-developer-reactjs-2025168-jv","Xem chi tiết")</f>
        <v/>
      </c>
      <c r="O12358" s="10" t="n"/>
    </row>
    <row r="12359">
      <c r="B12359" s="7" t="n">
        <v>12357</v>
      </c>
      <c r="C12359" t="inlineStr">
        <is>
          <t>Gore-Tex Expert (Chuyên Gia Gore-Tex)</t>
        </is>
      </c>
      <c r="D12359" t="inlineStr">
        <is>
          <t>Spectre GT Vietnam</t>
        </is>
      </c>
      <c r="E12359" t="inlineStr">
        <is>
          <t>Thương lượng</t>
        </is>
      </c>
      <c r="F12359" t="inlineStr">
        <is>
          <t>Nam Định, Ninh Bình, Thái Bình</t>
        </is>
      </c>
      <c r="G12359" t="inlineStr">
        <is>
          <t>Nhân viên</t>
        </is>
      </c>
      <c r="H12359" t="inlineStr">
        <is>
          <t>17/03/2026</t>
        </is>
      </c>
      <c r="I12359" t="inlineStr">
        <is>
          <t>16/04/2026</t>
        </is>
      </c>
      <c r="J12359" t="inlineStr">
        <is>
          <t>17/03/2026</t>
        </is>
      </c>
      <c r="K12359" t="inlineStr">
        <is>
          <t>N/A</t>
        </is>
      </c>
      <c r="L12359" t="inlineStr">
        <is>
          <t>Gore-Tex Product Development, Technical Training, Quality Assurance, Garment Technician, Waterproofing</t>
        </is>
      </c>
      <c r="M12359" t="inlineStr">
        <is>
          <t>Bonus, Healthcare Plan, Others</t>
        </is>
      </c>
      <c r="N12359" s="8">
        <f>HYPERLINK("https://www.vietnamworks.com/gore-tex-expert-chuyen-gia-gore-tex-2025169-jv","Xem chi tiết")</f>
        <v/>
      </c>
    </row>
    <row r="12360">
      <c r="B12360" s="9" t="n">
        <v>12358</v>
      </c>
      <c r="C12360" s="10" t="inlineStr">
        <is>
          <t>Lập Trình Viên - Backend Developer (.NET Core, C#)</t>
        </is>
      </c>
      <c r="D12360" s="10" t="inlineStr">
        <is>
          <t>Công ty cổ phần công nghệ số VCI</t>
        </is>
      </c>
      <c r="E12360" s="10" t="inlineStr">
        <is>
          <t>Thương lượng</t>
        </is>
      </c>
      <c r="F12360" s="10" t="inlineStr">
        <is>
          <t>Hà Nội</t>
        </is>
      </c>
      <c r="G12360" s="10" t="inlineStr">
        <is>
          <t>Nhân viên</t>
        </is>
      </c>
      <c r="H12360" s="10" t="inlineStr">
        <is>
          <t>17/03/2026</t>
        </is>
      </c>
      <c r="I12360" s="10" t="inlineStr">
        <is>
          <t>16/04/2026</t>
        </is>
      </c>
      <c r="J12360" s="10" t="inlineStr">
        <is>
          <t>17/03/2026</t>
        </is>
      </c>
      <c r="K12360" s="10" t="inlineStr">
        <is>
          <t>N/A</t>
        </is>
      </c>
      <c r="L12360" s="10" t="inlineStr">
        <is>
          <t>.NET, .Net Core, RESTful API, Entity Framework, Back-end Programming</t>
        </is>
      </c>
      <c r="M12360" s="10" t="inlineStr">
        <is>
          <t>Bonus, Healthcare Plan, Training, Team Activities, Others</t>
        </is>
      </c>
      <c r="N12360" s="11">
        <f>HYPERLINK("https://www.vietnamworks.com/lap-trinh-vien-backend-developer-net-core-c-2025167-jv","Xem chi tiết")</f>
        <v/>
      </c>
      <c r="O12360" s="10" t="n"/>
    </row>
    <row r="12361">
      <c r="B12361" s="7" t="n">
        <v>12359</v>
      </c>
      <c r="C12361" t="inlineStr">
        <is>
          <t>Nhân Viên Kỹ Thuật</t>
        </is>
      </c>
      <c r="D12361" t="inlineStr">
        <is>
          <t>Công Ty Cổ Phần Giải Pháp Thẩm Mỹ ACG</t>
        </is>
      </c>
      <c r="E12361" t="inlineStr">
        <is>
          <t>8tr-15tr ₫/tháng</t>
        </is>
      </c>
      <c r="F12361" t="inlineStr">
        <is>
          <t>Hồ Chí Minh</t>
        </is>
      </c>
      <c r="G12361" t="inlineStr">
        <is>
          <t>Mới Tốt Nghiệp</t>
        </is>
      </c>
      <c r="H12361" t="inlineStr">
        <is>
          <t>17/03/2026</t>
        </is>
      </c>
      <c r="I12361" t="inlineStr">
        <is>
          <t>16/04/2026</t>
        </is>
      </c>
      <c r="J12361" t="inlineStr">
        <is>
          <t>17/03/2026</t>
        </is>
      </c>
      <c r="K12361" t="inlineStr">
        <is>
          <t>N/A</t>
        </is>
      </c>
      <c r="L12361" t="inlineStr">
        <is>
          <t>Bảo Dưỡng, Kỹ Thuật, Lắp Đặt Thiết Bị, Kỹ Thuật Y Sinh, Điện điện tử</t>
        </is>
      </c>
      <c r="M12361" t="inlineStr">
        <is>
          <t>Bonus, Healthcare Plan, Paid Leave, Training</t>
        </is>
      </c>
      <c r="N12361" s="8">
        <f>HYPERLINK("https://www.vietnamworks.com/nhan-vien-ky-thuat-2025180-jv","Xem chi tiết")</f>
        <v/>
      </c>
    </row>
    <row r="12362">
      <c r="B12362" s="9" t="n">
        <v>12360</v>
      </c>
      <c r="C12362" s="10" t="inlineStr">
        <is>
          <t>Contracts Manager</t>
        </is>
      </c>
      <c r="D12362" s="10" t="inlineStr">
        <is>
          <t>Công Ty TNHH Kiến Trúc DP Việt Nam</t>
        </is>
      </c>
      <c r="E12362" s="10" t="inlineStr">
        <is>
          <t>Thương lượng</t>
        </is>
      </c>
      <c r="F12362" s="10" t="inlineStr">
        <is>
          <t>Hồ Chí Minh</t>
        </is>
      </c>
      <c r="G12362" s="10" t="inlineStr">
        <is>
          <t>Trưởng phòng</t>
        </is>
      </c>
      <c r="H12362" s="10" t="inlineStr">
        <is>
          <t>17/03/2026</t>
        </is>
      </c>
      <c r="I12362" s="10" t="inlineStr">
        <is>
          <t>16/04/2026</t>
        </is>
      </c>
      <c r="J12362" s="10" t="inlineStr">
        <is>
          <t>17/03/2026</t>
        </is>
      </c>
      <c r="K12362" s="10" t="inlineStr">
        <is>
          <t>N/A</t>
        </is>
      </c>
      <c r="L12362" s="10" t="inlineStr">
        <is>
          <t>Construction Management, Review Contract, MS Office, Contracts Management, Quantity Surveyor</t>
        </is>
      </c>
      <c r="M12362" s="10" t="inlineStr">
        <is>
          <t>Bonus, Training, Awards</t>
        </is>
      </c>
      <c r="N12362" s="11">
        <f>HYPERLINK("https://www.vietnamworks.com/contracts-manager-2025184-jv","Xem chi tiết")</f>
        <v/>
      </c>
      <c r="O12362" s="10" t="n"/>
    </row>
    <row r="12363">
      <c r="B12363" s="7" t="n">
        <v>12361</v>
      </c>
      <c r="C12363" t="inlineStr">
        <is>
          <t>Quản Trị Dự Án - Project Manager (PM)</t>
        </is>
      </c>
      <c r="D12363" t="inlineStr">
        <is>
          <t>Công ty cổ phần công nghệ số VCI</t>
        </is>
      </c>
      <c r="E12363" t="inlineStr">
        <is>
          <t>Thương lượng</t>
        </is>
      </c>
      <c r="F12363" t="inlineStr">
        <is>
          <t>Hà Nội</t>
        </is>
      </c>
      <c r="G12363" t="inlineStr">
        <is>
          <t>Nhân viên</t>
        </is>
      </c>
      <c r="H12363" t="inlineStr">
        <is>
          <t>17/03/2026</t>
        </is>
      </c>
      <c r="I12363" t="inlineStr">
        <is>
          <t>16/04/2026</t>
        </is>
      </c>
      <c r="J12363" t="inlineStr">
        <is>
          <t>17/03/2026</t>
        </is>
      </c>
      <c r="K12363" t="inlineStr">
        <is>
          <t>N/A</t>
        </is>
      </c>
      <c r="L12363" t="inlineStr">
        <is>
          <t>Quản Trị Dự Án, Phát Triển Phần Mềm, IT Project Management, Stakeholder Management, Software Project Management</t>
        </is>
      </c>
      <c r="M12363" t="inlineStr">
        <is>
          <t>Bonus, Healthcare Plan, Training, Team Activities, Others</t>
        </is>
      </c>
      <c r="N12363" s="8">
        <f>HYPERLINK("https://www.vietnamworks.com/quan-tri-du-an-project-manager-pm-2025176-jv","Xem chi tiết")</f>
        <v/>
      </c>
    </row>
    <row r="12364">
      <c r="B12364" s="9" t="n">
        <v>12362</v>
      </c>
      <c r="C12364" s="10" t="inlineStr">
        <is>
          <t>BIM Modeler Intern</t>
        </is>
      </c>
      <c r="D12364" s="10" t="inlineStr">
        <is>
          <t>Thornton Tomasetti Vietnam</t>
        </is>
      </c>
      <c r="E12364" s="10" t="inlineStr">
        <is>
          <t>Thương lượng</t>
        </is>
      </c>
      <c r="F12364" s="10" t="inlineStr">
        <is>
          <t>Hồ Chí Minh</t>
        </is>
      </c>
      <c r="G12364" s="10" t="inlineStr">
        <is>
          <t>Thực tập sinh/Sinh viên</t>
        </is>
      </c>
      <c r="H12364" s="10" t="inlineStr">
        <is>
          <t>17/03/2026</t>
        </is>
      </c>
      <c r="I12364" s="10" t="inlineStr">
        <is>
          <t>16/04/2026</t>
        </is>
      </c>
      <c r="J12364" s="10" t="inlineStr">
        <is>
          <t>17/03/2026</t>
        </is>
      </c>
      <c r="K12364" s="10" t="inlineStr">
        <is>
          <t>N/A</t>
        </is>
      </c>
      <c r="L12364" s="10" t="inlineStr">
        <is>
          <t>AutoCAD, BIM 3D, MEP, Revit Structure, Civil Construction</t>
        </is>
      </c>
      <c r="M12364" s="10" t="inlineStr">
        <is>
          <t>Bonus, Training, Team Activities</t>
        </is>
      </c>
      <c r="N12364" s="11">
        <f>HYPERLINK("https://www.vietnamworks.com/bim-modeler-intern-2025181-jv","Xem chi tiết")</f>
        <v/>
      </c>
      <c r="O12364" s="10" t="n"/>
    </row>
    <row r="12365">
      <c r="B12365" s="7" t="n">
        <v>12363</v>
      </c>
      <c r="C12365" t="inlineStr">
        <is>
          <t>Kỹ Sư Cơ Điện Lương Upto 30Tr</t>
        </is>
      </c>
      <c r="D12365" t="inlineStr">
        <is>
          <t>Công Ty CP Đầu Tư Xây Dựng Và Công Nghệ Việt Nhật</t>
        </is>
      </c>
      <c r="E12365" t="inlineStr">
        <is>
          <t>24tr-30tr ₫/tháng</t>
        </is>
      </c>
      <c r="F12365" t="inlineStr">
        <is>
          <t>Hà Nội</t>
        </is>
      </c>
      <c r="G12365" t="inlineStr">
        <is>
          <t>Nhân viên</t>
        </is>
      </c>
      <c r="H12365" t="inlineStr">
        <is>
          <t>17/03/2026</t>
        </is>
      </c>
      <c r="I12365" t="inlineStr">
        <is>
          <t>16/04/2026</t>
        </is>
      </c>
      <c r="J12365" t="inlineStr">
        <is>
          <t>17/03/2026</t>
        </is>
      </c>
      <c r="K12365" t="inlineStr">
        <is>
          <t>N/A</t>
        </is>
      </c>
      <c r="L12365" t="inlineStr">
        <is>
          <t>Cơ Điện, MEP, AutoCAD, Revit MEP, Shop Drawing</t>
        </is>
      </c>
      <c r="M12365" t="inlineStr">
        <is>
          <t>Bonus, Healthcare Plan, Training, Laptop, Team Activities, Others</t>
        </is>
      </c>
      <c r="N12365" s="8">
        <f>HYPERLINK("https://www.vietnamworks.com/ky-su-co-djien-luong-upto-30tr-2025185-jv","Xem chi tiết")</f>
        <v/>
      </c>
    </row>
    <row r="12366">
      <c r="B12366" s="9" t="n">
        <v>12364</v>
      </c>
      <c r="C12366" s="10" t="inlineStr">
        <is>
          <t>Photographer – Studio Fulltime</t>
        </is>
      </c>
      <c r="D12366" s="10" t="inlineStr">
        <is>
          <t>Monstaz</t>
        </is>
      </c>
      <c r="E12366" s="10" t="inlineStr">
        <is>
          <t>Thương lượng</t>
        </is>
      </c>
      <c r="F12366" s="10" t="inlineStr">
        <is>
          <t>Hồ Chí Minh</t>
        </is>
      </c>
      <c r="G12366" s="10" t="inlineStr">
        <is>
          <t>Nhân viên</t>
        </is>
      </c>
      <c r="H12366" s="10" t="inlineStr">
        <is>
          <t>17/03/2026</t>
        </is>
      </c>
      <c r="I12366" s="10" t="inlineStr">
        <is>
          <t>16/04/2026</t>
        </is>
      </c>
      <c r="J12366" s="10" t="inlineStr">
        <is>
          <t>17/03/2026</t>
        </is>
      </c>
      <c r="K12366" s="10" t="inlineStr">
        <is>
          <t>N/A</t>
        </is>
      </c>
      <c r="L12366" s="10" t="inlineStr">
        <is>
          <t>Nhiếp Ảnh, Chụp Ảnh, Retouch, Lightroom, Photoshop</t>
        </is>
      </c>
      <c r="M12366" s="10" t="inlineStr">
        <is>
          <t>Bonus, Healthcare Plan, Paid Leave, Travel Opportunities, Canteen</t>
        </is>
      </c>
      <c r="N12366" s="11">
        <f>HYPERLINK("https://www.vietnamworks.com/photographer-studio-fulltime-2025187-jv","Xem chi tiết")</f>
        <v/>
      </c>
      <c r="O12366" s="10" t="n"/>
    </row>
    <row r="12367">
      <c r="B12367" s="7" t="n">
        <v>12365</v>
      </c>
      <c r="C12367" t="inlineStr">
        <is>
          <t>Chỉ huy trưởng Công Trình Cơ Điện/PCCC</t>
        </is>
      </c>
      <c r="D12367" t="inlineStr">
        <is>
          <t>Công Ty TNHH TM - DV Sơn Hưng ( Sơn Hưng M&amp;E )</t>
        </is>
      </c>
      <c r="E12367" t="inlineStr">
        <is>
          <t>20-40 ₫/tháng</t>
        </is>
      </c>
      <c r="F12367" t="inlineStr">
        <is>
          <t>Hồ Chí Minh, Đồng Nai</t>
        </is>
      </c>
      <c r="G12367" t="inlineStr">
        <is>
          <t>Nhân viên</t>
        </is>
      </c>
      <c r="H12367" t="inlineStr">
        <is>
          <t>17/03/2026</t>
        </is>
      </c>
      <c r="I12367" t="inlineStr">
        <is>
          <t>16/04/2026</t>
        </is>
      </c>
      <c r="J12367" t="inlineStr">
        <is>
          <t>17/03/2026</t>
        </is>
      </c>
      <c r="K12367" t="inlineStr">
        <is>
          <t>N/A</t>
        </is>
      </c>
      <c r="L12367" t="inlineStr">
        <is>
          <t>Giải Quyết Vấn Đề, Quản Lý Dự Án, Quản Lý Tài Chính, Thuyết Trình, Tuyển Dụng Nhân Sự</t>
        </is>
      </c>
      <c r="M12367" t="inlineStr">
        <is>
          <t>Bonus, Healthcare Plan, Paid Leave, Others</t>
        </is>
      </c>
      <c r="N12367" s="8">
        <f>HYPERLINK("https://www.vietnamworks.com/chi-huy-truong-cong-trinh-co-djienpccc-2025186-jv","Xem chi tiết")</f>
        <v/>
      </c>
    </row>
    <row r="12368">
      <c r="B12368" s="9" t="n">
        <v>12366</v>
      </c>
      <c r="C12368" s="10" t="inlineStr">
        <is>
          <t>Sales Representative (QC Service)</t>
        </is>
      </c>
      <c r="D12368" s="10" t="inlineStr">
        <is>
          <t>Helmsman Quality &amp; Technology Services Co., Ltd.</t>
        </is>
      </c>
      <c r="E12368" s="10" t="inlineStr">
        <is>
          <t>$$ 400-1,000 /tháng</t>
        </is>
      </c>
      <c r="F12368" s="10" t="inlineStr">
        <is>
          <t>Hồ Chí Minh</t>
        </is>
      </c>
      <c r="G12368" s="10" t="inlineStr">
        <is>
          <t>Nhân viên</t>
        </is>
      </c>
      <c r="H12368" s="10" t="inlineStr">
        <is>
          <t>17/03/2026</t>
        </is>
      </c>
      <c r="I12368" s="10" t="inlineStr">
        <is>
          <t>16/04/2026</t>
        </is>
      </c>
      <c r="J12368" s="10" t="inlineStr">
        <is>
          <t>17/03/2026</t>
        </is>
      </c>
      <c r="K12368" s="10" t="inlineStr">
        <is>
          <t>N/A</t>
        </is>
      </c>
      <c r="L12368" s="10" t="inlineStr">
        <is>
          <t>Sales representative, Sales Overseas, B2B Development, QA/ QC</t>
        </is>
      </c>
      <c r="M12368" s="10" t="inlineStr">
        <is>
          <t>Bonus, Healthcare Plan, Laptop</t>
        </is>
      </c>
      <c r="N12368" s="11">
        <f>HYPERLINK("https://www.vietnamworks.com/sales-representative-qc-service--2025183-jv","Xem chi tiết")</f>
        <v/>
      </c>
      <c r="O12368" s="10" t="n"/>
    </row>
    <row r="12369">
      <c r="B12369" s="7" t="n">
        <v>12367</v>
      </c>
      <c r="C12369" t="inlineStr">
        <is>
          <t>HR Manager (C&amp;B Focus)</t>
        </is>
      </c>
      <c r="D12369" t="inlineStr">
        <is>
          <t>CÔNG TY TNHH SPECIFIC GRAVITY</t>
        </is>
      </c>
      <c r="E12369" t="inlineStr">
        <is>
          <t>Thương lượng</t>
        </is>
      </c>
      <c r="F12369" t="inlineStr">
        <is>
          <t>Hồ Chí Minh</t>
        </is>
      </c>
      <c r="G12369" t="inlineStr">
        <is>
          <t>Nhân viên</t>
        </is>
      </c>
      <c r="H12369" t="inlineStr">
        <is>
          <t>17/03/2026</t>
        </is>
      </c>
      <c r="I12369" t="inlineStr">
        <is>
          <t>16/04/2026</t>
        </is>
      </c>
      <c r="J12369" t="inlineStr">
        <is>
          <t>17/03/2026</t>
        </is>
      </c>
      <c r="K12369" t="inlineStr">
        <is>
          <t>N/A</t>
        </is>
      </c>
      <c r="L12369" t="inlineStr">
        <is>
          <t>Compensation &amp; Benefits, Labor Law, Social Insurance, Human Resources, C&amp;B</t>
        </is>
      </c>
      <c r="M12369" t="inlineStr">
        <is>
          <t>Bonus, Healthcare Plan, Mobile, Canteen</t>
        </is>
      </c>
      <c r="N12369" s="8">
        <f>HYPERLINK("https://www.vietnamworks.com/hr-manager-candb-focus-2025189-jv","Xem chi tiết")</f>
        <v/>
      </c>
    </row>
    <row r="12370">
      <c r="B12370" s="9" t="n">
        <v>12368</v>
      </c>
      <c r="C12370" s="10" t="inlineStr">
        <is>
          <t>Kỹ Sư Xây Dựng</t>
        </is>
      </c>
      <c r="D12370" s="10" t="inlineStr">
        <is>
          <t>Công Ty Cổ Phần Tư Vấn Thiết Kế Và Xây Dựng Vinaincon</t>
        </is>
      </c>
      <c r="E12370" s="10" t="inlineStr">
        <is>
          <t>9tr-20tr ₫/tháng</t>
        </is>
      </c>
      <c r="F12370" s="10" t="inlineStr">
        <is>
          <t>Hà Nội</t>
        </is>
      </c>
      <c r="G12370" s="10" t="inlineStr">
        <is>
          <t>Nhân viên</t>
        </is>
      </c>
      <c r="H12370" s="10" t="inlineStr">
        <is>
          <t>17/03/2026</t>
        </is>
      </c>
      <c r="I12370" s="10" t="inlineStr">
        <is>
          <t>16/04/2026</t>
        </is>
      </c>
      <c r="J12370" s="10" t="inlineStr">
        <is>
          <t>17/03/2026</t>
        </is>
      </c>
      <c r="K12370" s="10" t="inlineStr">
        <is>
          <t>N/A</t>
        </is>
      </c>
      <c r="L12370" s="10" t="inlineStr">
        <is>
          <t>Collaboration, Construction Management, Cost Estimation, QAC, Shop Drawing</t>
        </is>
      </c>
      <c r="M12370" s="10" t="inlineStr">
        <is>
          <t>Bonus, Healthcare Plan, Team Activities, Others</t>
        </is>
      </c>
      <c r="N12370" s="11">
        <f>HYPERLINK("https://www.vietnamworks.com/ky-su-xay-dung-2025193-jv","Xem chi tiết")</f>
        <v/>
      </c>
      <c r="O12370" s="10" t="n"/>
    </row>
    <row r="12371">
      <c r="B12371" s="7" t="n">
        <v>12369</v>
      </c>
      <c r="C12371" t="inlineStr">
        <is>
          <t>20 Kỹ Sư Giám Sát Cơ Điện Lương 15Tr -20Tr + Thưởng Tiến Độ Dự Án</t>
        </is>
      </c>
      <c r="D12371" t="inlineStr">
        <is>
          <t>Công Ty CP Đầu Tư Xây Dựng Và Công Nghệ Việt Nhật</t>
        </is>
      </c>
      <c r="E12371" t="inlineStr">
        <is>
          <t>15tr-20tr ₫/tháng</t>
        </is>
      </c>
      <c r="F12371" t="inlineStr">
        <is>
          <t>Hà Nội</t>
        </is>
      </c>
      <c r="G12371" t="inlineStr">
        <is>
          <t>Nhân viên</t>
        </is>
      </c>
      <c r="H12371" t="inlineStr">
        <is>
          <t>17/03/2026</t>
        </is>
      </c>
      <c r="I12371" t="inlineStr">
        <is>
          <t>16/04/2026</t>
        </is>
      </c>
      <c r="J12371" t="inlineStr">
        <is>
          <t>17/03/2026</t>
        </is>
      </c>
      <c r="K12371" t="inlineStr">
        <is>
          <t>N/A</t>
        </is>
      </c>
      <c r="L12371" t="inlineStr">
        <is>
          <t>Hệ Thống Điện, Cấp Thoát Nước, HVAC, PCCC, Giao Tiếp</t>
        </is>
      </c>
      <c r="M12371" t="inlineStr">
        <is>
          <t>Bonus, Healthcare Plan, Training, Others</t>
        </is>
      </c>
      <c r="N12371" s="8">
        <f>HYPERLINK("https://www.vietnamworks.com/20-ky-su-giam-sat-co-dien-luong-15tr-20tr-thuong-tien-do-du-an-2025188-jv","Xem chi tiết")</f>
        <v/>
      </c>
    </row>
    <row r="12372">
      <c r="B12372" s="9" t="n">
        <v>12370</v>
      </c>
      <c r="C12372" s="10" t="inlineStr">
        <is>
          <t>Kỹ Thuật Hiện Trường M&amp;E</t>
        </is>
      </c>
      <c r="D12372" s="10" t="inlineStr">
        <is>
          <t>Công Ty Cổ Phần Tư Vấn Thiết Kế Và Xây Dựng Vinaincon</t>
        </is>
      </c>
      <c r="E12372" s="10" t="inlineStr">
        <is>
          <t>13tr-20tr ₫/tháng</t>
        </is>
      </c>
      <c r="F12372" s="10" t="inlineStr">
        <is>
          <t>Hà Nội</t>
        </is>
      </c>
      <c r="G12372" s="10" t="inlineStr">
        <is>
          <t>Mới Tốt Nghiệp</t>
        </is>
      </c>
      <c r="H12372" s="10" t="inlineStr">
        <is>
          <t>17/03/2026</t>
        </is>
      </c>
      <c r="I12372" s="10" t="inlineStr">
        <is>
          <t>16/04/2026</t>
        </is>
      </c>
      <c r="J12372" s="10" t="inlineStr">
        <is>
          <t>17/03/2026</t>
        </is>
      </c>
      <c r="K12372" s="10" t="inlineStr">
        <is>
          <t>N/A</t>
        </is>
      </c>
      <c r="L12372" s="10" t="inlineStr">
        <is>
          <t>Construction Management, Cost Estimation, Shop Drawing, Cơ Điện, M&amp;E</t>
        </is>
      </c>
      <c r="M12372" s="10" t="inlineStr">
        <is>
          <t>Bonus, Healthcare Plan, Team Activities, Others</t>
        </is>
      </c>
      <c r="N12372" s="11">
        <f>HYPERLINK("https://www.vietnamworks.com/ky-thuat-hien-truong-mande-2025194-jv","Xem chi tiết")</f>
        <v/>
      </c>
      <c r="O12372" s="10" t="n"/>
    </row>
    <row r="12373">
      <c r="B12373" s="7" t="n">
        <v>12371</v>
      </c>
      <c r="C12373" t="inlineStr">
        <is>
          <t>Chuyên Viên Kế Toán Tài Sản</t>
        </is>
      </c>
      <c r="D12373" t="inlineStr">
        <is>
          <t>Công Ty Cổ Phần Chuỗi Thực Phẩm TH</t>
        </is>
      </c>
      <c r="E12373" t="inlineStr">
        <is>
          <t>Thương lượng</t>
        </is>
      </c>
      <c r="F12373" t="inlineStr">
        <is>
          <t>Hà Nội</t>
        </is>
      </c>
      <c r="G12373" t="inlineStr">
        <is>
          <t>Nhân viên</t>
        </is>
      </c>
      <c r="H12373" t="inlineStr">
        <is>
          <t>17/03/2026</t>
        </is>
      </c>
      <c r="I12373" t="inlineStr">
        <is>
          <t>16/04/2026</t>
        </is>
      </c>
      <c r="J12373" t="inlineStr">
        <is>
          <t>17/03/2026</t>
        </is>
      </c>
      <c r="K12373" t="inlineStr">
        <is>
          <t>N/A</t>
        </is>
      </c>
      <c r="L12373" t="inlineStr">
        <is>
          <t>Fixed Assets Management, Kế Toán, General Accountant, Payable Accounting, Receivable Accounting</t>
        </is>
      </c>
      <c r="M12373" t="inlineStr">
        <is>
          <t>Training</t>
        </is>
      </c>
      <c r="N12373" s="8">
        <f>HYPERLINK("https://www.vietnamworks.com/chuyen-vien-ke-toan-tai-san--2025200-jv","Xem chi tiết")</f>
        <v/>
      </c>
    </row>
    <row r="12374">
      <c r="B12374" s="9" t="n">
        <v>12372</v>
      </c>
      <c r="C12374" s="10" t="inlineStr">
        <is>
          <t>Giám Đốc BĐH Dự Án</t>
        </is>
      </c>
      <c r="D12374" s="10" t="inlineStr">
        <is>
          <t>Công Ty Cổ Phần Tư Vấn Thiết Kế Và Xây Dựng Vinaincon</t>
        </is>
      </c>
      <c r="E12374" s="10" t="inlineStr">
        <is>
          <t>25tr-50tr ₫/tháng</t>
        </is>
      </c>
      <c r="F12374" s="10" t="inlineStr">
        <is>
          <t>Hà Nội</t>
        </is>
      </c>
      <c r="G12374" s="10" t="inlineStr">
        <is>
          <t>Giám Đốc và Cấp Cao Hơn</t>
        </is>
      </c>
      <c r="H12374" s="10" t="inlineStr">
        <is>
          <t>17/03/2026</t>
        </is>
      </c>
      <c r="I12374" s="10" t="inlineStr">
        <is>
          <t>16/04/2026</t>
        </is>
      </c>
      <c r="J12374" s="10" t="inlineStr">
        <is>
          <t>17/03/2026</t>
        </is>
      </c>
      <c r="K12374" s="10" t="inlineStr">
        <is>
          <t>N/A</t>
        </is>
      </c>
      <c r="L12374" s="10" t="inlineStr">
        <is>
          <t>Kiến Trúc Công Trình, Phần Mềm Quản Lý Xây Dựng, Quản Lý Dự Án, Tư Vấn Giám Sát, Xây Dựng</t>
        </is>
      </c>
      <c r="M12374" s="10" t="inlineStr">
        <is>
          <t>Bonus, Others</t>
        </is>
      </c>
      <c r="N12374" s="11">
        <f>HYPERLINK("https://www.vietnamworks.com/giam-djoc-bdjh-du-an-2025191-jv","Xem chi tiết")</f>
        <v/>
      </c>
      <c r="O12374" s="10" t="n"/>
    </row>
    <row r="12375">
      <c r="B12375" s="7" t="n">
        <v>12373</v>
      </c>
      <c r="C12375" t="inlineStr">
        <is>
          <t>[Hà Nội] Chuyên Viên Sales Admin</t>
        </is>
      </c>
      <c r="D12375" t="inlineStr">
        <is>
          <t>Công Ty Cổ Phần Thép Hòa Phát Dung Quất</t>
        </is>
      </c>
      <c r="E12375" t="inlineStr">
        <is>
          <t>Thương lượng</t>
        </is>
      </c>
      <c r="F12375" t="inlineStr">
        <is>
          <t>Hà Nội</t>
        </is>
      </c>
      <c r="G12375" t="inlineStr">
        <is>
          <t>Nhân viên</t>
        </is>
      </c>
      <c r="H12375" t="inlineStr">
        <is>
          <t>17/03/2026</t>
        </is>
      </c>
      <c r="I12375" t="inlineStr">
        <is>
          <t>16/04/2026</t>
        </is>
      </c>
      <c r="J12375" t="inlineStr">
        <is>
          <t>17/03/2026</t>
        </is>
      </c>
      <c r="K12375" t="inlineStr">
        <is>
          <t>N/A</t>
        </is>
      </c>
      <c r="L12375" t="inlineStr">
        <is>
          <t>Xuất Nhập Khẩu, Kinh Doanh, Tiếng Anh, Chứng từ</t>
        </is>
      </c>
      <c r="M12375" t="inlineStr">
        <is>
          <t>Bonus, Travel Opportunities, Transportation</t>
        </is>
      </c>
      <c r="N12375" s="8">
        <f>HYPERLINK("https://www.vietnamworks.com/ha-noi-chuyen-vien-sales-admin-2025195-jv","Xem chi tiết")</f>
        <v/>
      </c>
    </row>
    <row r="12376">
      <c r="B12376" s="9" t="n">
        <v>12374</v>
      </c>
      <c r="C12376" s="10" t="inlineStr">
        <is>
          <t>Thực Tập Sinh TIẾNG TRUNG Vận Hành Nội Dung Sản Phẩm</t>
        </is>
      </c>
      <c r="D12376" s="10" t="inlineStr">
        <is>
          <t>Xindi</t>
        </is>
      </c>
      <c r="E12376" s="10" t="inlineStr">
        <is>
          <t>5.8tr-9.5tr ₫/tháng</t>
        </is>
      </c>
      <c r="F12376" s="10" t="inlineStr">
        <is>
          <t>Hồ Chí Minh</t>
        </is>
      </c>
      <c r="G12376" s="10" t="inlineStr">
        <is>
          <t>Thực tập sinh/Sinh viên</t>
        </is>
      </c>
      <c r="H12376" s="10" t="inlineStr">
        <is>
          <t>17/03/2026</t>
        </is>
      </c>
      <c r="I12376" s="10" t="inlineStr">
        <is>
          <t>16/04/2026</t>
        </is>
      </c>
      <c r="J12376" s="10" t="inlineStr">
        <is>
          <t>17/03/2026</t>
        </is>
      </c>
      <c r="K12376" s="10" t="inlineStr">
        <is>
          <t>N/A</t>
        </is>
      </c>
      <c r="L12376" s="10" t="inlineStr">
        <is>
          <t>Dựng Video, Giao Tiếp Chủ Động, Quay Dựng Video, Sáng Tạo Nội Dung, Thông Thạo Tiếng Trung</t>
        </is>
      </c>
      <c r="M12376" s="10" t="inlineStr">
        <is>
          <t>Training, Others</t>
        </is>
      </c>
      <c r="N12376" s="11">
        <f>HYPERLINK("https://www.vietnamworks.com/thuc-tap-sinh-tieng-trung-van-hanh-noi-dung-san-pham-2025205-jv","Xem chi tiết")</f>
        <v/>
      </c>
      <c r="O12376" s="10" t="n"/>
    </row>
    <row r="12377">
      <c r="B12377" s="7" t="n">
        <v>12375</v>
      </c>
      <c r="C12377" t="inlineStr">
        <is>
          <t>Senior Account Manager/ Quản Lý Khách Hàng</t>
        </is>
      </c>
      <c r="D12377" t="inlineStr">
        <is>
          <t>Woo Agency</t>
        </is>
      </c>
      <c r="E12377" t="inlineStr">
        <is>
          <t>Tới $ 1,500 /tháng</t>
        </is>
      </c>
      <c r="F12377" t="inlineStr">
        <is>
          <t>Hà Nội</t>
        </is>
      </c>
      <c r="G12377" t="inlineStr">
        <is>
          <t>Nhân viên</t>
        </is>
      </c>
      <c r="H12377" t="inlineStr">
        <is>
          <t>17/03/2026</t>
        </is>
      </c>
      <c r="I12377" t="inlineStr">
        <is>
          <t>16/04/2026</t>
        </is>
      </c>
      <c r="J12377" t="inlineStr">
        <is>
          <t>17/03/2026</t>
        </is>
      </c>
      <c r="K12377" t="inlineStr">
        <is>
          <t>N/A</t>
        </is>
      </c>
      <c r="L12377" t="inlineStr">
        <is>
          <t>Channel Relationship Management, Account Management, B2B, Business Development, Client Relationships</t>
        </is>
      </c>
      <c r="M12377" t="inlineStr">
        <is>
          <t>Healthcare Plan, Paid Leave, Training, Awards, Laptop, Others</t>
        </is>
      </c>
      <c r="N12377" s="8">
        <f>HYPERLINK("https://www.vietnamworks.com/senior-account-manager-quan-ly-khach-hang-2025196-jv","Xem chi tiết")</f>
        <v/>
      </c>
    </row>
    <row r="12378">
      <c r="B12378" s="9" t="n">
        <v>12376</v>
      </c>
      <c r="C12378" s="10" t="inlineStr">
        <is>
          <t>Quản Lý Phòng Cháy Chữa Cháy</t>
        </is>
      </c>
      <c r="D12378" s="10" t="inlineStr">
        <is>
          <t>Công Ty TNHH Lotte Property &amp; Development Việt Nam</t>
        </is>
      </c>
      <c r="E12378" s="10" t="inlineStr">
        <is>
          <t>Thương lượng</t>
        </is>
      </c>
      <c r="F12378" s="10" t="inlineStr">
        <is>
          <t>Hà Nội</t>
        </is>
      </c>
      <c r="G12378" s="10" t="inlineStr">
        <is>
          <t>Trưởng phòng</t>
        </is>
      </c>
      <c r="H12378" s="10" t="inlineStr">
        <is>
          <t>17/03/2026</t>
        </is>
      </c>
      <c r="I12378" s="10" t="inlineStr">
        <is>
          <t>16/04/2026</t>
        </is>
      </c>
      <c r="J12378" s="10" t="inlineStr">
        <is>
          <t>17/03/2026</t>
        </is>
      </c>
      <c r="K12378" s="10" t="inlineStr">
        <is>
          <t>N/A</t>
        </is>
      </c>
      <c r="L12378" s="10" t="inlineStr">
        <is>
          <t>Phòng Cháy Chữa Cháy, Vận Hành Hệ Thống Báo Cháy, Hệ Thống Báo Cháy, Quản Lý Phòng Chống Cháy Nổ, Kiểm Tra Phòng Cháy Chữa Cháy</t>
        </is>
      </c>
      <c r="M12378" s="10" t="inlineStr">
        <is>
          <t>Bonus, Healthcare Plan, Team Activities</t>
        </is>
      </c>
      <c r="N12378" s="11">
        <f>HYPERLINK("https://www.vietnamworks.com/quan-ly-phong-chay-chua-chay--2025213-jv","Xem chi tiết")</f>
        <v/>
      </c>
      <c r="O12378" s="10" t="n"/>
    </row>
    <row r="12379">
      <c r="B12379" s="7" t="n">
        <v>12377</v>
      </c>
      <c r="C12379" t="inlineStr">
        <is>
          <t>Kỹ Sư Thiết Kế Cơ Điện</t>
        </is>
      </c>
      <c r="D12379" t="inlineStr">
        <is>
          <t>CHI NHÁNH CÔNG TY TNHH XÂY DỰNG VÀ ĐẦU TƯ THƯƠNG MẠI HỢP NHẤT VIỆT NAM</t>
        </is>
      </c>
      <c r="E12379" t="inlineStr">
        <is>
          <t>Tới 25tr ₫/tháng</t>
        </is>
      </c>
      <c r="F12379" t="inlineStr">
        <is>
          <t>Hà Nội, Bắc Ninh</t>
        </is>
      </c>
      <c r="G12379" t="inlineStr">
        <is>
          <t>Nhân viên</t>
        </is>
      </c>
      <c r="H12379" t="inlineStr">
        <is>
          <t>17/03/2026</t>
        </is>
      </c>
      <c r="I12379" t="inlineStr">
        <is>
          <t>16/04/2026</t>
        </is>
      </c>
      <c r="J12379" t="inlineStr">
        <is>
          <t>17/03/2026</t>
        </is>
      </c>
      <c r="K12379" t="inlineStr">
        <is>
          <t>N/A</t>
        </is>
      </c>
      <c r="L12379" t="inlineStr">
        <is>
          <t>Autocad, Revit, Điện, Điện Tử, Đọc Hiểu Bản Vẽ</t>
        </is>
      </c>
      <c r="M12379" t="inlineStr">
        <is>
          <t>Bonus, Others</t>
        </is>
      </c>
      <c r="N12379" s="8">
        <f>HYPERLINK("https://www.vietnamworks.com/ky-su-thiet-ke-co-djien-2025216-jv","Xem chi tiết")</f>
        <v/>
      </c>
    </row>
    <row r="12380">
      <c r="B12380" s="9" t="n">
        <v>12378</v>
      </c>
      <c r="C12380" s="10" t="inlineStr">
        <is>
          <t>Nhân Viên Kỹ Thuật Bảo Trì Tòa Nhà (Cơ, Điện, PCCC, Xây Dựng)</t>
        </is>
      </c>
      <c r="D12380" s="10" t="inlineStr">
        <is>
          <t>Công Ty TNHH Lotte Property &amp; Development Việt Nam</t>
        </is>
      </c>
      <c r="E12380" s="10" t="inlineStr">
        <is>
          <t>Tới 17tr ₫/tháng</t>
        </is>
      </c>
      <c r="F12380" s="10" t="inlineStr">
        <is>
          <t>Hà Nội</t>
        </is>
      </c>
      <c r="G12380" s="10" t="inlineStr">
        <is>
          <t>Nhân viên</t>
        </is>
      </c>
      <c r="H12380" s="10" t="inlineStr">
        <is>
          <t>17/03/2026</t>
        </is>
      </c>
      <c r="I12380" s="10" t="inlineStr">
        <is>
          <t>16/04/2026</t>
        </is>
      </c>
      <c r="J12380" s="10" t="inlineStr">
        <is>
          <t>17/03/2026</t>
        </is>
      </c>
      <c r="K12380" s="10" t="inlineStr">
        <is>
          <t>N/A</t>
        </is>
      </c>
      <c r="L12380" s="10" t="inlineStr">
        <is>
          <t>Bảo Trì Hệ Thống, Vận Hành Tòa Nhà, Xử Lý Sự Cố, HVAC Systems Operation</t>
        </is>
      </c>
      <c r="M12380" s="10" t="inlineStr">
        <is>
          <t>Bonus, Healthcare Plan, Paid Leave, Training, Awards, Team Activities, Others</t>
        </is>
      </c>
      <c r="N12380" s="11">
        <f>HYPERLINK("https://www.vietnamworks.com/nhan-vien-ky-thuat-bao-tri-toa-nha-co-djien-pccc-xay-dung-2025210-jv","Xem chi tiết")</f>
        <v/>
      </c>
      <c r="O12380" s="10" t="n"/>
    </row>
    <row r="12381">
      <c r="B12381" s="7" t="n">
        <v>12379</v>
      </c>
      <c r="C12381" t="inlineStr">
        <is>
          <t>Nhân Viên Bảo Trì Kỹ Thuật Điện</t>
        </is>
      </c>
      <c r="D12381" t="inlineStr">
        <is>
          <t>Wellspring Saigon International Bilingual School</t>
        </is>
      </c>
      <c r="E12381" t="inlineStr">
        <is>
          <t>Thương lượng</t>
        </is>
      </c>
      <c r="F12381" t="inlineStr">
        <is>
          <t>Hồ Chí Minh</t>
        </is>
      </c>
      <c r="G12381" t="inlineStr">
        <is>
          <t>Nhân viên</t>
        </is>
      </c>
      <c r="H12381" t="inlineStr">
        <is>
          <t>17/03/2026</t>
        </is>
      </c>
      <c r="I12381" t="inlineStr">
        <is>
          <t>16/04/2026</t>
        </is>
      </c>
      <c r="J12381" t="inlineStr">
        <is>
          <t>17/03/2026</t>
        </is>
      </c>
      <c r="K12381" t="inlineStr">
        <is>
          <t>N/A</t>
        </is>
      </c>
      <c r="L12381" t="inlineStr">
        <is>
          <t>Điện, Bảo Trì Điện, Bảo Trì, Bảo Dưỡng, Điện Nước Dân Dụng</t>
        </is>
      </c>
      <c r="M12381" t="inlineStr">
        <is>
          <t>Bonus, Healthcare Plan, Travel Opportunities</t>
        </is>
      </c>
      <c r="N12381" s="8">
        <f>HYPERLINK("https://www.vietnamworks.com/nhan-vien-bao-tri-ky-thuat-dien--2025204-jv","Xem chi tiết")</f>
        <v/>
      </c>
    </row>
    <row r="12382">
      <c r="B12382" s="9" t="n">
        <v>12380</v>
      </c>
      <c r="C12382" s="10" t="inlineStr">
        <is>
          <t>[Tuyển Gấp] Kỹ Sư Điện (Senior) - Ban Năng Lượng</t>
        </is>
      </c>
      <c r="D12382" s="10" t="inlineStr">
        <is>
          <t>Xuân Cầu Holdings</t>
        </is>
      </c>
      <c r="E12382" s="10" t="inlineStr">
        <is>
          <t>$$ 1,000-2,000 /tháng</t>
        </is>
      </c>
      <c r="F12382" s="10" t="inlineStr">
        <is>
          <t>Hà Nội</t>
        </is>
      </c>
      <c r="G12382" s="10" t="inlineStr">
        <is>
          <t>Nhân viên</t>
        </is>
      </c>
      <c r="H12382" s="10" t="inlineStr">
        <is>
          <t>17/03/2026</t>
        </is>
      </c>
      <c r="I12382" s="10" t="inlineStr">
        <is>
          <t>16/04/2026</t>
        </is>
      </c>
      <c r="J12382" s="10" t="inlineStr">
        <is>
          <t>17/03/2026</t>
        </is>
      </c>
      <c r="K12382" s="10" t="inlineStr">
        <is>
          <t>N/A</t>
        </is>
      </c>
      <c r="L12382" s="10" t="inlineStr">
        <is>
          <t>Điện, Tự Động Hóa, Điện Mặt Trời, Dự án, Quản Lý Năng Lượng</t>
        </is>
      </c>
      <c r="M12382" s="10" t="inlineStr">
        <is>
          <t>Bonus, Healthcare Plan, Training</t>
        </is>
      </c>
      <c r="N12382" s="11">
        <f>HYPERLINK("https://www.vietnamworks.com/tuyen-gap-ky-su-dien-senior-ban-nang-luong--2025197-jv","Xem chi tiết")</f>
        <v/>
      </c>
      <c r="O12382" s="10" t="n"/>
    </row>
    <row r="12383">
      <c r="B12383" s="7" t="n">
        <v>12381</v>
      </c>
      <c r="C12383" t="inlineStr">
        <is>
          <t>Nhân Viên Hàng Không Xuất Làm Việc Tại Hà Nội - Agent, Air Export</t>
        </is>
      </c>
      <c r="D12383" t="inlineStr">
        <is>
          <t>Expeditors Vietnam Company Limited - Hanoi Branch</t>
        </is>
      </c>
      <c r="E12383" t="inlineStr">
        <is>
          <t>Thương lượng</t>
        </is>
      </c>
      <c r="F12383" t="inlineStr">
        <is>
          <t>Hà Nội</t>
        </is>
      </c>
      <c r="G12383" t="inlineStr">
        <is>
          <t>Nhân viên</t>
        </is>
      </c>
      <c r="H12383" t="inlineStr">
        <is>
          <t>17/03/2026</t>
        </is>
      </c>
      <c r="I12383" t="inlineStr">
        <is>
          <t>16/04/2026</t>
        </is>
      </c>
      <c r="J12383" t="inlineStr">
        <is>
          <t>17/03/2026</t>
        </is>
      </c>
      <c r="K12383" t="inlineStr">
        <is>
          <t>N/A</t>
        </is>
      </c>
      <c r="L12383" t="inlineStr">
        <is>
          <t>English Fluency, Interpersonal Skills, Microsoft Office, Proactivity</t>
        </is>
      </c>
      <c r="M12383" t="inlineStr">
        <is>
          <t>Training</t>
        </is>
      </c>
      <c r="N12383" s="8">
        <f>HYPERLINK("https://www.vietnamworks.com/nhan-vien-hang-khong-xuat-lam-viec-tai-ha-noi-agent-air-export-2025215-jv","Xem chi tiết")</f>
        <v/>
      </c>
    </row>
    <row r="12384">
      <c r="B12384" s="9" t="n">
        <v>12382</v>
      </c>
      <c r="C12384" s="10" t="inlineStr">
        <is>
          <t>International Sales Admin</t>
        </is>
      </c>
      <c r="D12384" s="10" t="inlineStr">
        <is>
          <t>Công Ty TNHH Nước Giải Khát Tân Đô</t>
        </is>
      </c>
      <c r="E12384" s="10" t="inlineStr">
        <is>
          <t>Thương lượng</t>
        </is>
      </c>
      <c r="F12384" s="10" t="inlineStr">
        <is>
          <t>Hà Nội</t>
        </is>
      </c>
      <c r="G12384" s="10" t="inlineStr">
        <is>
          <t>Nhân viên</t>
        </is>
      </c>
      <c r="H12384" s="10" t="inlineStr">
        <is>
          <t>17/03/2026</t>
        </is>
      </c>
      <c r="I12384" s="10" t="inlineStr">
        <is>
          <t>16/04/2026</t>
        </is>
      </c>
      <c r="J12384" s="10" t="inlineStr">
        <is>
          <t>17/03/2026</t>
        </is>
      </c>
      <c r="K12384" s="10" t="inlineStr">
        <is>
          <t>N/A</t>
        </is>
      </c>
      <c r="L12384" s="10" t="inlineStr">
        <is>
          <t>Sales Support, Office Software, Logistics Operation, Sales Admin, Sales Assistance</t>
        </is>
      </c>
      <c r="M12384" s="10" t="inlineStr">
        <is>
          <t>Bonus, Healthcare Plan, Training, Travel Opportunities, Others</t>
        </is>
      </c>
      <c r="N12384" s="11">
        <f>HYPERLINK("https://www.vietnamworks.com/international-sales-admin-2025219-jv","Xem chi tiết")</f>
        <v/>
      </c>
      <c r="O12384" s="10" t="n"/>
    </row>
    <row r="12385">
      <c r="B12385" s="7" t="n">
        <v>12383</v>
      </c>
      <c r="C12385" t="inlineStr">
        <is>
          <t>Trưởng Nhóm Xử Lý Tín Dụng Qua Điện Thoại</t>
        </is>
      </c>
      <c r="D12385" t="inlineStr">
        <is>
          <t>FE CREDIT</t>
        </is>
      </c>
      <c r="E12385" t="inlineStr">
        <is>
          <t>$$ 1,000-3,000 /tháng</t>
        </is>
      </c>
      <c r="F12385" t="inlineStr">
        <is>
          <t>Hồ Chí Minh</t>
        </is>
      </c>
      <c r="G12385" t="inlineStr">
        <is>
          <t>Nhân viên</t>
        </is>
      </c>
      <c r="H12385" t="inlineStr">
        <is>
          <t>17/03/2026</t>
        </is>
      </c>
      <c r="I12385" t="inlineStr">
        <is>
          <t>16/04/2026</t>
        </is>
      </c>
      <c r="J12385" t="inlineStr">
        <is>
          <t>17/03/2026</t>
        </is>
      </c>
      <c r="K12385" t="inlineStr">
        <is>
          <t>N/A</t>
        </is>
      </c>
      <c r="L12385" t="inlineStr">
        <is>
          <t>Thu hồi nợ, Quản Lý Thu Hồi Nợ, Tài Chính Tín Dụng, Kiểm Soát Tín Dụng, Thu Hồi Nợ Xấu</t>
        </is>
      </c>
      <c r="M12385" t="inlineStr">
        <is>
          <t>Bonus, Healthcare Plan</t>
        </is>
      </c>
      <c r="N12385" s="8">
        <f>HYPERLINK("https://www.vietnamworks.com/truong-nhom-xu-ly-tin-dung-qua-dien-thoai-2025190-jv","Xem chi tiết")</f>
        <v/>
      </c>
    </row>
    <row r="12386">
      <c r="B12386" s="9" t="n">
        <v>12384</v>
      </c>
      <c r="C12386" s="10" t="inlineStr">
        <is>
          <t xml:space="preserve">Chuyên viên kinh doanh bán lẻ điện </t>
        </is>
      </c>
      <c r="D12386" s="10" t="inlineStr">
        <is>
          <t>Xuân Cầu Holdings</t>
        </is>
      </c>
      <c r="E12386" s="10" t="inlineStr">
        <is>
          <t>Thương lượng</t>
        </is>
      </c>
      <c r="F12386" s="10" t="inlineStr">
        <is>
          <t>Hà Nội</t>
        </is>
      </c>
      <c r="G12386" s="10" t="inlineStr">
        <is>
          <t>Nhân viên</t>
        </is>
      </c>
      <c r="H12386" s="10" t="inlineStr">
        <is>
          <t>17/03/2026</t>
        </is>
      </c>
      <c r="I12386" s="10" t="inlineStr">
        <is>
          <t>16/04/2026</t>
        </is>
      </c>
      <c r="J12386" s="10" t="inlineStr">
        <is>
          <t>17/03/2026</t>
        </is>
      </c>
      <c r="K12386" s="10" t="inlineStr">
        <is>
          <t>N/A</t>
        </is>
      </c>
      <c r="L12386" s="10" t="inlineStr">
        <is>
          <t>Năng lượng điện mặt trời, Điện + Điện tử, Bán Lẻ, Pin Lưu Trữ Công Nghiệp, Điện</t>
        </is>
      </c>
      <c r="M12386" s="10" t="inlineStr">
        <is>
          <t>Bonus, Healthcare Plan, Paid Leave</t>
        </is>
      </c>
      <c r="N12386" s="11">
        <f>HYPERLINK("https://www.vietnamworks.com/chuyen-vien-kinh-doanh-ban-le-djien-2025203-jv","Xem chi tiết")</f>
        <v/>
      </c>
      <c r="O12386" s="10" t="n"/>
    </row>
    <row r="12387">
      <c r="B12387" s="7" t="n">
        <v>12385</v>
      </c>
      <c r="C12387" t="inlineStr">
        <is>
          <t>Qc Xây Dựng (Quality Control) – Lương 15–25Tr | Dự Án Công Trình</t>
        </is>
      </c>
      <c r="D12387" t="inlineStr">
        <is>
          <t>CHI NHÁNH CÔNG TY TNHH XÂY DỰNG VÀ ĐẦU TƯ THƯƠNG MẠI HỢP NHẤT VIỆT NAM</t>
        </is>
      </c>
      <c r="E12387" t="inlineStr">
        <is>
          <t>15tr-25tr ₫/tháng</t>
        </is>
      </c>
      <c r="F12387" t="inlineStr">
        <is>
          <t>Hà Nội</t>
        </is>
      </c>
      <c r="G12387" t="inlineStr">
        <is>
          <t>Nhân viên</t>
        </is>
      </c>
      <c r="H12387" t="inlineStr">
        <is>
          <t>17/03/2026</t>
        </is>
      </c>
      <c r="I12387" t="inlineStr">
        <is>
          <t>16/04/2026</t>
        </is>
      </c>
      <c r="J12387" t="inlineStr">
        <is>
          <t>17/03/2026</t>
        </is>
      </c>
      <c r="K12387" t="inlineStr">
        <is>
          <t>N/A</t>
        </is>
      </c>
      <c r="L12387" t="inlineStr">
        <is>
          <t>Giám Sát Thi Công, Kiểm Soát Chất Lượng, Kiểm Tra Chất Liệu, Qc, Quản Lý Hồ Sơ</t>
        </is>
      </c>
      <c r="M12387" t="inlineStr">
        <is>
          <t>Bonus, Healthcare Plan, Others</t>
        </is>
      </c>
      <c r="N12387" s="8">
        <f>HYPERLINK("https://www.vietnamworks.com/qc-xay-dung-quality-control-luong-15-25tr-or-du-an-cong-trinh-2025217-jv","Xem chi tiết")</f>
        <v/>
      </c>
    </row>
    <row r="12388">
      <c r="B12388" s="9" t="n">
        <v>12386</v>
      </c>
      <c r="C12388" s="10" t="inlineStr">
        <is>
          <t>Kỹ Sư Xây Dựng – Giám Sát Thi Công</t>
        </is>
      </c>
      <c r="D12388" s="10" t="inlineStr">
        <is>
          <t>CHI NHÁNH CÔNG TY TNHH XÂY DỰNG VÀ ĐẦU TƯ THƯƠNG MẠI HỢP NHẤT VIỆT NAM</t>
        </is>
      </c>
      <c r="E12388" s="10" t="inlineStr">
        <is>
          <t>15tr-25tr ₫/tháng</t>
        </is>
      </c>
      <c r="F12388" s="10" t="inlineStr">
        <is>
          <t>Bắc Giang</t>
        </is>
      </c>
      <c r="G12388" s="10" t="inlineStr">
        <is>
          <t>Nhân viên</t>
        </is>
      </c>
      <c r="H12388" s="10" t="inlineStr">
        <is>
          <t>17/03/2026</t>
        </is>
      </c>
      <c r="I12388" s="10" t="inlineStr">
        <is>
          <t>16/04/2026</t>
        </is>
      </c>
      <c r="J12388" s="10" t="inlineStr">
        <is>
          <t>17/03/2026</t>
        </is>
      </c>
      <c r="K12388" s="10" t="inlineStr">
        <is>
          <t>N/A</t>
        </is>
      </c>
      <c r="L12388" s="10" t="inlineStr">
        <is>
          <t>Autocad, Giám Sát, Giám Sát Thi Công, Kiểm Tra Bản Vẽ Thiết Kế, Lập Kế Hoạch</t>
        </is>
      </c>
      <c r="M12388" s="10" t="inlineStr">
        <is>
          <t>Others</t>
        </is>
      </c>
      <c r="N12388" s="11">
        <f>HYPERLINK("https://www.vietnamworks.com/ky-su-xay-dung-giam-sat-thi-cong-2025220-jv","Xem chi tiết")</f>
        <v/>
      </c>
      <c r="O12388" s="10" t="n"/>
    </row>
    <row r="12389">
      <c r="B12389" s="7" t="n">
        <v>12387</v>
      </c>
      <c r="C12389" t="inlineStr">
        <is>
          <t>Kỹ Sư Thiết Kế Cấp Thoát Nước (AutoCAD) – Đi Làm Ngay</t>
        </is>
      </c>
      <c r="D12389" t="inlineStr">
        <is>
          <t>CÔNG TY CỔ PHẦN MÔI TRƯỜNG NAM VIỆT</t>
        </is>
      </c>
      <c r="E12389" t="inlineStr">
        <is>
          <t>10tr-18tr ₫/tháng</t>
        </is>
      </c>
      <c r="F12389" t="inlineStr">
        <is>
          <t>Hà Nội</t>
        </is>
      </c>
      <c r="G12389" t="inlineStr">
        <is>
          <t>Nhân viên</t>
        </is>
      </c>
      <c r="H12389" t="inlineStr">
        <is>
          <t>17/03/2026</t>
        </is>
      </c>
      <c r="I12389" t="inlineStr">
        <is>
          <t>16/04/2026</t>
        </is>
      </c>
      <c r="J12389" t="inlineStr">
        <is>
          <t>17/03/2026</t>
        </is>
      </c>
      <c r="K12389" t="inlineStr">
        <is>
          <t>N/A</t>
        </is>
      </c>
      <c r="L12389" t="inlineStr">
        <is>
          <t>AutoCAD, Technical Drawing, Environmental Technology, Construction Infrastructure, Teamwork</t>
        </is>
      </c>
      <c r="M12389" t="inlineStr">
        <is>
          <t>Bonus, Healthcare Plan, Paid Leave, Training</t>
        </is>
      </c>
      <c r="N12389" s="8">
        <f>HYPERLINK("https://www.vietnamworks.com/ky-su-thiet-ke-cap-thoat-nuoc-autocad-di-lam-ngay-2025231-jv","Xem chi tiết")</f>
        <v/>
      </c>
    </row>
    <row r="12390">
      <c r="B12390" s="9" t="n">
        <v>12388</v>
      </c>
      <c r="C12390" s="10" t="inlineStr">
        <is>
          <t>Head Of Product Development</t>
        </is>
      </c>
      <c r="D12390" s="10" t="inlineStr">
        <is>
          <t>Công ty TNHH Enzo &amp; Leo</t>
        </is>
      </c>
      <c r="E12390" s="10" t="inlineStr">
        <is>
          <t>25tr-35tr ₫/tháng</t>
        </is>
      </c>
      <c r="F12390" s="10" t="inlineStr">
        <is>
          <t>Hồ Chí Minh</t>
        </is>
      </c>
      <c r="G12390" s="10" t="inlineStr">
        <is>
          <t>Trưởng phòng</t>
        </is>
      </c>
      <c r="H12390" s="10" t="inlineStr">
        <is>
          <t>17/03/2026</t>
        </is>
      </c>
      <c r="I12390" s="10" t="inlineStr">
        <is>
          <t>16/04/2026</t>
        </is>
      </c>
      <c r="J12390" s="10" t="inlineStr">
        <is>
          <t>17/03/2026</t>
        </is>
      </c>
      <c r="K12390" s="10" t="inlineStr">
        <is>
          <t>N/A</t>
        </is>
      </c>
      <c r="L12390" s="10" t="inlineStr">
        <is>
          <t>Attention To Detail, Garment Construction, Pattern Making, Problem-solving, Project Management</t>
        </is>
      </c>
      <c r="M12390" s="10" t="inlineStr">
        <is>
          <t>Bonus, Paid Leave, Training, Laptop, Travel Opportunities, Vouchers</t>
        </is>
      </c>
      <c r="N12390" s="11">
        <f>HYPERLINK("https://www.vietnamworks.com/head-of-product-development-2025226-jv","Xem chi tiết")</f>
        <v/>
      </c>
      <c r="O12390" s="10" t="n"/>
    </row>
    <row r="12391">
      <c r="B12391" s="7" t="n">
        <v>12389</v>
      </c>
      <c r="C12391" t="inlineStr">
        <is>
          <t>Chuyên Viên Tư Vấn Tuyển Sinh B2B - Giáo Dục</t>
        </is>
      </c>
      <c r="D12391" t="inlineStr">
        <is>
          <t>Công Ty TNHH Ivy Global School Việt Nam</t>
        </is>
      </c>
      <c r="E12391" t="inlineStr">
        <is>
          <t>10tr-16tr ₫/tháng</t>
        </is>
      </c>
      <c r="F12391" t="inlineStr">
        <is>
          <t>Hồ Chí Minh</t>
        </is>
      </c>
      <c r="G12391" t="inlineStr">
        <is>
          <t>Nhân viên</t>
        </is>
      </c>
      <c r="H12391" t="inlineStr">
        <is>
          <t>17/03/2026</t>
        </is>
      </c>
      <c r="I12391" t="inlineStr">
        <is>
          <t>16/04/2026</t>
        </is>
      </c>
      <c r="J12391" t="inlineStr">
        <is>
          <t>17/03/2026</t>
        </is>
      </c>
      <c r="K12391" t="inlineStr">
        <is>
          <t>N/A</t>
        </is>
      </c>
      <c r="L12391" t="inlineStr">
        <is>
          <t>Khoa Học Giáo Dục, Lập Kế Hoạch, Quản Trị Khách Hàng, Tiếng Anh, Tư Vấn Khách Hàng</t>
        </is>
      </c>
      <c r="M12391" t="inlineStr">
        <is>
          <t>Bonus, Healthcare Plan, Laptop, Others</t>
        </is>
      </c>
      <c r="N12391" s="8">
        <f>HYPERLINK("https://www.vietnamworks.com/chuyen-vien-tu-van-tuyen-sinh-b2b-giao-duc-2025229-jv","Xem chi tiết")</f>
        <v/>
      </c>
    </row>
    <row r="12392">
      <c r="B12392" s="9" t="n">
        <v>12390</v>
      </c>
      <c r="C12392" s="10" t="inlineStr">
        <is>
          <t>Kỹ Sư Xây Dựng</t>
        </is>
      </c>
      <c r="D12392" s="10" t="inlineStr">
        <is>
          <t>Công ty TNHH Xây dựng N.T.S.C</t>
        </is>
      </c>
      <c r="E12392" s="10" t="inlineStr">
        <is>
          <t>10tr-20tr ₫/tháng</t>
        </is>
      </c>
      <c r="F12392" s="10" t="inlineStr">
        <is>
          <t>Hồ Chí Minh</t>
        </is>
      </c>
      <c r="G12392" s="10" t="inlineStr">
        <is>
          <t>Nhân viên</t>
        </is>
      </c>
      <c r="H12392" s="10" t="inlineStr">
        <is>
          <t>17/03/2026</t>
        </is>
      </c>
      <c r="I12392" s="10" t="inlineStr">
        <is>
          <t>16/04/2026</t>
        </is>
      </c>
      <c r="J12392" s="10" t="inlineStr">
        <is>
          <t>17/03/2026</t>
        </is>
      </c>
      <c r="K12392" s="10" t="inlineStr">
        <is>
          <t>N/A</t>
        </is>
      </c>
      <c r="L12392" s="10" t="inlineStr">
        <is>
          <t>Giám Sát Công Trình, Làm Việc Nhóm, Lập Trình Revit, Phần Mềm BIM, Thiết Kế Công Trình</t>
        </is>
      </c>
      <c r="M12392" s="10" t="inlineStr">
        <is>
          <t>Others</t>
        </is>
      </c>
      <c r="N12392" s="11">
        <f>HYPERLINK("https://www.vietnamworks.com/ky-su-xay-dung-2025238-jv","Xem chi tiết")</f>
        <v/>
      </c>
      <c r="O12392" s="10" t="n"/>
    </row>
    <row r="12393">
      <c r="B12393" s="7" t="n">
        <v>12391</v>
      </c>
      <c r="C12393" t="inlineStr">
        <is>
          <t>Nhân Viên Kế Toán Thuế</t>
        </is>
      </c>
      <c r="D12393" t="inlineStr">
        <is>
          <t>Công ty TNHH Xây dựng N.T.S.C</t>
        </is>
      </c>
      <c r="E12393" t="inlineStr">
        <is>
          <t>10tr-15tr ₫/tháng</t>
        </is>
      </c>
      <c r="F12393" t="inlineStr">
        <is>
          <t>Hồ Chí Minh</t>
        </is>
      </c>
      <c r="G12393" t="inlineStr">
        <is>
          <t>Nhân viên</t>
        </is>
      </c>
      <c r="H12393" t="inlineStr">
        <is>
          <t>17/03/2026</t>
        </is>
      </c>
      <c r="I12393" t="inlineStr">
        <is>
          <t>16/04/2026</t>
        </is>
      </c>
      <c r="J12393" t="inlineStr">
        <is>
          <t>17/03/2026</t>
        </is>
      </c>
      <c r="K12393" t="inlineStr">
        <is>
          <t>N/A</t>
        </is>
      </c>
      <c r="L12393" t="inlineStr">
        <is>
          <t>Kế Toán Thuế, Kế Toán Xây Dựng, Kiểm Tra Thuế, Làm Việc Nhóm, Làm việc độc lập</t>
        </is>
      </c>
      <c r="M12393" t="inlineStr">
        <is>
          <t>Others</t>
        </is>
      </c>
      <c r="N12393" s="8">
        <f>HYPERLINK("https://www.vietnamworks.com/nhan-vien-ke-toan-thue-2025237-jv","Xem chi tiết")</f>
        <v/>
      </c>
    </row>
    <row r="12394">
      <c r="B12394" s="9" t="n">
        <v>12392</v>
      </c>
      <c r="C12394" s="10" t="inlineStr">
        <is>
          <t>[HCM] Data Analyst</t>
        </is>
      </c>
      <c r="D12394" s="10" t="inlineStr">
        <is>
          <t>Pizza 4P's</t>
        </is>
      </c>
      <c r="E12394" s="10" t="inlineStr">
        <is>
          <t>Thương lượng</t>
        </is>
      </c>
      <c r="F12394" s="10" t="inlineStr">
        <is>
          <t>Hồ Chí Minh</t>
        </is>
      </c>
      <c r="G12394" s="10" t="inlineStr">
        <is>
          <t>Nhân viên</t>
        </is>
      </c>
      <c r="H12394" s="10" t="inlineStr">
        <is>
          <t>17/03/2026</t>
        </is>
      </c>
      <c r="I12394" s="10" t="inlineStr">
        <is>
          <t>16/04/2026</t>
        </is>
      </c>
      <c r="J12394" s="10" t="inlineStr">
        <is>
          <t>17/03/2026</t>
        </is>
      </c>
      <c r="K12394" s="10" t="inlineStr">
        <is>
          <t>N/A</t>
        </is>
      </c>
      <c r="L12394" s="10" t="inlineStr">
        <is>
          <t>SQL, Python, Data Visualization, Data Modeling, Data Analysis</t>
        </is>
      </c>
      <c r="M12394" s="10" t="inlineStr">
        <is>
          <t>Bonus, Healthcare Plan, Vouchers</t>
        </is>
      </c>
      <c r="N12394" s="11">
        <f>HYPERLINK("https://www.vietnamworks.com/hcm-data-analyst--2025236-jv","Xem chi tiết")</f>
        <v/>
      </c>
      <c r="O12394" s="10" t="n"/>
    </row>
    <row r="12395">
      <c r="B12395" s="7" t="n">
        <v>12393</v>
      </c>
      <c r="C12395" t="inlineStr">
        <is>
          <t>Automation Tester (QA/QC)</t>
        </is>
      </c>
      <c r="D12395" t="inlineStr">
        <is>
          <t>MiTek Việt Nam</t>
        </is>
      </c>
      <c r="E12395" t="inlineStr">
        <is>
          <t>Thương lượng</t>
        </is>
      </c>
      <c r="F12395" t="inlineStr">
        <is>
          <t>Hồ Chí Minh</t>
        </is>
      </c>
      <c r="G12395" t="inlineStr">
        <is>
          <t>Nhân viên</t>
        </is>
      </c>
      <c r="H12395" t="inlineStr">
        <is>
          <t>17/03/2026</t>
        </is>
      </c>
      <c r="I12395" t="inlineStr">
        <is>
          <t>16/04/2026</t>
        </is>
      </c>
      <c r="J12395" t="inlineStr">
        <is>
          <t>17/03/2026</t>
        </is>
      </c>
      <c r="K12395" t="inlineStr">
        <is>
          <t>N/A</t>
        </is>
      </c>
      <c r="L12395" t="inlineStr">
        <is>
          <t>Automation Testing, Python, Java, Selenium, Robot Framework</t>
        </is>
      </c>
      <c r="M12395" t="inlineStr">
        <is>
          <t>Bonus, Team Activities, Others</t>
        </is>
      </c>
      <c r="N12395" s="8">
        <f>HYPERLINK("https://www.vietnamworks.com/automation-tester-qa-qc--2025218-jv","Xem chi tiết")</f>
        <v/>
      </c>
    </row>
    <row r="12396">
      <c r="B12396" s="9" t="n">
        <v>12394</v>
      </c>
      <c r="C12396" s="10" t="inlineStr">
        <is>
          <t>Chuyên Viên Bảo Trì Thiết Bị Tòa Nhà</t>
        </is>
      </c>
      <c r="D12396" s="10" t="inlineStr">
        <is>
          <t>Công Ty TNHH Lotte Property &amp; Development Việt Nam</t>
        </is>
      </c>
      <c r="E12396" s="10" t="inlineStr">
        <is>
          <t>Thương lượng</t>
        </is>
      </c>
      <c r="F12396" s="10" t="inlineStr">
        <is>
          <t>Hà Nội</t>
        </is>
      </c>
      <c r="G12396" s="10" t="inlineStr">
        <is>
          <t>Nhân viên</t>
        </is>
      </c>
      <c r="H12396" s="10" t="inlineStr">
        <is>
          <t>17/03/2026</t>
        </is>
      </c>
      <c r="I12396" s="10" t="inlineStr">
        <is>
          <t>16/04/2026</t>
        </is>
      </c>
      <c r="J12396" s="10" t="inlineStr">
        <is>
          <t>17/03/2026</t>
        </is>
      </c>
      <c r="K12396" s="10" t="inlineStr">
        <is>
          <t>N/A</t>
        </is>
      </c>
      <c r="L12396" s="10" t="inlineStr">
        <is>
          <t>Sửa Chữa Thiết Bị, AHU Operation, Chiller Maintenance, Heat Pumps, HVAC Systems Operation</t>
        </is>
      </c>
      <c r="M12396" s="10" t="inlineStr">
        <is>
          <t>Bonus, Healthcare Plan, Paid Leave, Awards, Team Activities, Transportation, Others</t>
        </is>
      </c>
      <c r="N12396" s="11">
        <f>HYPERLINK("https://www.vietnamworks.com/chuyen-vien-bao-tri-thiet-bi-toa-nha-2025207-jv","Xem chi tiết")</f>
        <v/>
      </c>
      <c r="O12396" s="10" t="n"/>
    </row>
    <row r="12397">
      <c r="B12397" s="7" t="n">
        <v>12395</v>
      </c>
      <c r="C12397" t="inlineStr">
        <is>
          <t>Kiến Trúc Sư</t>
        </is>
      </c>
      <c r="D12397" t="inlineStr">
        <is>
          <t>Công ty TNHH Xây dựng N.T.S.C</t>
        </is>
      </c>
      <c r="E12397" t="inlineStr">
        <is>
          <t>10tr-20tr ₫/tháng</t>
        </is>
      </c>
      <c r="F12397" t="inlineStr">
        <is>
          <t>Hồ Chí Minh</t>
        </is>
      </c>
      <c r="G12397" t="inlineStr">
        <is>
          <t>Nhân viên</t>
        </is>
      </c>
      <c r="H12397" t="inlineStr">
        <is>
          <t>17/03/2026</t>
        </is>
      </c>
      <c r="I12397" t="inlineStr">
        <is>
          <t>16/04/2026</t>
        </is>
      </c>
      <c r="J12397" t="inlineStr">
        <is>
          <t>17/03/2026</t>
        </is>
      </c>
      <c r="K12397" t="inlineStr">
        <is>
          <t>N/A</t>
        </is>
      </c>
      <c r="L12397" t="inlineStr">
        <is>
          <t>Làm Việc Nhóm, Lập Trình Revit, Phần Mềm BIM, Quy Hoạch Dự Án, Thiết Kế Kiến Trúc</t>
        </is>
      </c>
      <c r="M12397" t="inlineStr">
        <is>
          <t>Others</t>
        </is>
      </c>
      <c r="N12397" s="8">
        <f>HYPERLINK("https://www.vietnamworks.com/kien-truc-su-2025244-jv","Xem chi tiết")</f>
        <v/>
      </c>
    </row>
    <row r="12398">
      <c r="B12398" s="9" t="n">
        <v>12396</v>
      </c>
      <c r="C12398" s="10" t="inlineStr">
        <is>
          <t>Nhân Viên IT</t>
        </is>
      </c>
      <c r="D12398" s="10" t="inlineStr">
        <is>
          <t>Công ty TNHH Xây dựng N.T.S.C</t>
        </is>
      </c>
      <c r="E12398" s="10" t="inlineStr">
        <is>
          <t>10tr-12tr ₫/tháng</t>
        </is>
      </c>
      <c r="F12398" s="10" t="inlineStr">
        <is>
          <t>Hồ Chí Minh</t>
        </is>
      </c>
      <c r="G12398" s="10" t="inlineStr">
        <is>
          <t>Mới Tốt Nghiệp</t>
        </is>
      </c>
      <c r="H12398" s="10" t="inlineStr">
        <is>
          <t>17/03/2026</t>
        </is>
      </c>
      <c r="I12398" s="10" t="inlineStr">
        <is>
          <t>16/04/2026</t>
        </is>
      </c>
      <c r="J12398" s="10" t="inlineStr">
        <is>
          <t>17/03/2026</t>
        </is>
      </c>
      <c r="K12398" s="10" t="inlineStr">
        <is>
          <t>N/A</t>
        </is>
      </c>
      <c r="L12398" s="10" t="inlineStr">
        <is>
          <t>Bảo Trì Hệ Thống, Cài Đặt Phần Mềm, Giao Tiếp, Khắc Phục Sự Cố Mạng, Mạng Cục Bộ</t>
        </is>
      </c>
      <c r="M12398" s="10" t="inlineStr">
        <is>
          <t>Others</t>
        </is>
      </c>
      <c r="N12398" s="11">
        <f>HYPERLINK("https://www.vietnamworks.com/nhan-vien-it-2025245-jv","Xem chi tiết")</f>
        <v/>
      </c>
      <c r="O12398" s="10" t="n"/>
    </row>
    <row r="12399">
      <c r="B12399" s="7" t="n">
        <v>12397</v>
      </c>
      <c r="C12399" t="inlineStr">
        <is>
          <t>Kỹ Sư Điện - Cấp Thoát Nước</t>
        </is>
      </c>
      <c r="D12399" t="inlineStr">
        <is>
          <t>Công ty TNHH Xây dựng N.T.S.C</t>
        </is>
      </c>
      <c r="E12399" t="inlineStr">
        <is>
          <t>10tr-20tr ₫/tháng</t>
        </is>
      </c>
      <c r="F12399" t="inlineStr">
        <is>
          <t>Hồ Chí Minh</t>
        </is>
      </c>
      <c r="G12399" t="inlineStr">
        <is>
          <t>Nhân viên</t>
        </is>
      </c>
      <c r="H12399" t="inlineStr">
        <is>
          <t>17/03/2026</t>
        </is>
      </c>
      <c r="I12399" t="inlineStr">
        <is>
          <t>16/04/2026</t>
        </is>
      </c>
      <c r="J12399" t="inlineStr">
        <is>
          <t>17/03/2026</t>
        </is>
      </c>
      <c r="K12399" t="inlineStr">
        <is>
          <t>N/A</t>
        </is>
      </c>
      <c r="L12399" t="inlineStr">
        <is>
          <t>Giám Sát HSE, Làm việc độc lập, Lập Trình Revit, Phần Mềm BIM, Thiết Kế Hệ Thống M&amp;E</t>
        </is>
      </c>
      <c r="M12399" t="inlineStr">
        <is>
          <t>Others</t>
        </is>
      </c>
      <c r="N12399" s="8">
        <f>HYPERLINK("https://www.vietnamworks.com/ky-su-djien-cap-thoat-nuoc-2025239-jv","Xem chi tiết")</f>
        <v/>
      </c>
    </row>
    <row r="12400">
      <c r="B12400" s="9" t="n">
        <v>12398</v>
      </c>
      <c r="C12400" s="10" t="inlineStr">
        <is>
          <t>Customer Service Supervisor - FMCG</t>
        </is>
      </c>
      <c r="D12400" s="10" t="inlineStr">
        <is>
          <t>Masan Consumer Holdings</t>
        </is>
      </c>
      <c r="E12400" s="10" t="inlineStr">
        <is>
          <t>Thương lượng</t>
        </is>
      </c>
      <c r="F12400" s="10" t="inlineStr">
        <is>
          <t>Hồ Chí Minh</t>
        </is>
      </c>
      <c r="G12400" s="10" t="inlineStr">
        <is>
          <t>Nhân viên</t>
        </is>
      </c>
      <c r="H12400" s="10" t="inlineStr">
        <is>
          <t>17/03/2026</t>
        </is>
      </c>
      <c r="I12400" s="10" t="inlineStr">
        <is>
          <t>16/04/2026</t>
        </is>
      </c>
      <c r="J12400" s="10" t="inlineStr">
        <is>
          <t>17/03/2026</t>
        </is>
      </c>
      <c r="K12400" s="10" t="inlineStr">
        <is>
          <t>N/A</t>
        </is>
      </c>
      <c r="L12400" s="10" t="inlineStr">
        <is>
          <t>logistic management, Logistic, Customer Relations, Export, Sales Logistics</t>
        </is>
      </c>
      <c r="M12400" s="10" t="inlineStr">
        <is>
          <t>Bonus, Laptop, Others</t>
        </is>
      </c>
      <c r="N12400" s="11">
        <f>HYPERLINK("https://www.vietnamworks.com/customer-service-supervisor-fmcg-2025247-jv","Xem chi tiết")</f>
        <v/>
      </c>
      <c r="O12400" s="10" t="n"/>
    </row>
    <row r="12401">
      <c r="B12401" s="7" t="n">
        <v>12399</v>
      </c>
      <c r="C12401" t="inlineStr">
        <is>
          <t>Talent Acquisition Executive</t>
        </is>
      </c>
      <c r="D12401" t="inlineStr">
        <is>
          <t>Công Ty Tài Chính TNHH Ngân Hàng TMCP Sài Gòn - Hà Nội (SHBFinance)</t>
        </is>
      </c>
      <c r="E12401" t="inlineStr">
        <is>
          <t>Thương lượng</t>
        </is>
      </c>
      <c r="F12401" t="inlineStr">
        <is>
          <t>Hồ Chí Minh</t>
        </is>
      </c>
      <c r="G12401" t="inlineStr">
        <is>
          <t>Nhân viên</t>
        </is>
      </c>
      <c r="H12401" t="inlineStr">
        <is>
          <t>17/03/2026</t>
        </is>
      </c>
      <c r="I12401" t="inlineStr">
        <is>
          <t>16/04/2026</t>
        </is>
      </c>
      <c r="J12401" t="inlineStr">
        <is>
          <t>17/03/2026</t>
        </is>
      </c>
      <c r="K12401" t="inlineStr">
        <is>
          <t>N/A</t>
        </is>
      </c>
      <c r="L12401" t="inlineStr">
        <is>
          <t>Communications, Negotiation Skills, Recruitment, Sourcing Skills, Stakeholder Mangement</t>
        </is>
      </c>
      <c r="M12401" t="inlineStr">
        <is>
          <t>Training</t>
        </is>
      </c>
      <c r="N12401" s="8">
        <f>HYPERLINK("https://www.vietnamworks.com/talent-acquisition-executive-2025246-jv","Xem chi tiết")</f>
        <v/>
      </c>
    </row>
    <row r="12402">
      <c r="B12402" s="9" t="n">
        <v>12400</v>
      </c>
      <c r="C12402" s="10" t="inlineStr">
        <is>
          <t>SAP Senior Consultant - SAP Integrated Business Planning (Ibp) (AMS Project)</t>
        </is>
      </c>
      <c r="D12402" s="10" t="inlineStr">
        <is>
          <t>Deloitte Consulting SEA</t>
        </is>
      </c>
      <c r="E12402" s="10" t="inlineStr">
        <is>
          <t>Thương lượng</t>
        </is>
      </c>
      <c r="F12402" s="10" t="inlineStr">
        <is>
          <t>Hồ Chí Minh, Hà Nội</t>
        </is>
      </c>
      <c r="G12402" s="10" t="inlineStr">
        <is>
          <t>Nhân viên</t>
        </is>
      </c>
      <c r="H12402" s="10" t="inlineStr">
        <is>
          <t>17/03/2026</t>
        </is>
      </c>
      <c r="I12402" s="10" t="inlineStr">
        <is>
          <t>16/04/2026</t>
        </is>
      </c>
      <c r="J12402" s="10" t="inlineStr">
        <is>
          <t>17/03/2026</t>
        </is>
      </c>
      <c r="K12402" s="10" t="inlineStr">
        <is>
          <t>N/A</t>
        </is>
      </c>
      <c r="L12402" s="10" t="inlineStr">
        <is>
          <t>SAP, Consulting, Information Technology, SAP Consulting, Manufacturing Operations</t>
        </is>
      </c>
      <c r="M12402" s="10" t="inlineStr">
        <is>
          <t>Bonus, Healthcare Plan, Travel Opportunities</t>
        </is>
      </c>
      <c r="N12402" s="11">
        <f>HYPERLINK("https://www.vietnamworks.com/sap-senior-consultant-sap-integrated-business-planning-ibp-ams-project-2025242-jv","Xem chi tiết")</f>
        <v/>
      </c>
      <c r="O12402" s="1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63"/>
  <sheetViews>
    <sheetView showGridLines="0" workbookViewId="0">
      <selection activeCell="A1" sqref="A1"/>
    </sheetView>
  </sheetViews>
  <sheetFormatPr baseColWidth="8" defaultRowHeight="15"/>
  <cols>
    <col width="3" customWidth="1" min="1" max="1"/>
    <col width="40" customWidth="1" min="2" max="2"/>
    <col width="15" customWidth="1" min="3" max="3"/>
  </cols>
  <sheetData>
    <row r="2" ht="30" customHeight="1">
      <c r="B2" s="12" t="inlineStr">
        <is>
          <t>THỐNG KÊ DỮ LIỆU</t>
        </is>
      </c>
    </row>
    <row r="5">
      <c r="B5" s="13" t="inlineStr">
        <is>
          <t>Thống kê theo địa điểm</t>
        </is>
      </c>
    </row>
    <row r="7">
      <c r="B7" s="6" t="inlineStr">
        <is>
          <t>Giá trị</t>
        </is>
      </c>
      <c r="C7" s="6" t="inlineStr">
        <is>
          <t>Số lượng</t>
        </is>
      </c>
    </row>
    <row r="8">
      <c r="B8" t="inlineStr">
        <is>
          <t>Hồ Chí Minh</t>
        </is>
      </c>
      <c r="C8" s="7" t="n">
        <v>4396</v>
      </c>
    </row>
    <row r="9">
      <c r="B9" t="inlineStr">
        <is>
          <t>Hà Nội</t>
        </is>
      </c>
      <c r="C9" s="7" t="n">
        <v>4084</v>
      </c>
    </row>
    <row r="10">
      <c r="B10" t="inlineStr">
        <is>
          <t>Hải Phòng</t>
        </is>
      </c>
      <c r="C10" s="7" t="n">
        <v>300</v>
      </c>
    </row>
    <row r="11">
      <c r="B11" t="inlineStr">
        <is>
          <t>Hà Nội, Hồ Chí Minh</t>
        </is>
      </c>
      <c r="C11" s="7" t="n">
        <v>280</v>
      </c>
    </row>
    <row r="12">
      <c r="B12" t="inlineStr">
        <is>
          <t>Bắc Ninh</t>
        </is>
      </c>
      <c r="C12" s="7" t="n">
        <v>216</v>
      </c>
    </row>
    <row r="13">
      <c r="B13" t="inlineStr">
        <is>
          <t>Hồ Chí Minh, Hà Nội</t>
        </is>
      </c>
      <c r="C13" s="7" t="n">
        <v>208</v>
      </c>
    </row>
    <row r="14">
      <c r="B14" t="inlineStr">
        <is>
          <t>Bình Dương</t>
        </is>
      </c>
      <c r="C14" s="7" t="n">
        <v>201</v>
      </c>
    </row>
    <row r="15">
      <c r="B15" t="inlineStr">
        <is>
          <t>Đồng Nai</t>
        </is>
      </c>
      <c r="C15" s="7" t="n">
        <v>171</v>
      </c>
    </row>
    <row r="16">
      <c r="B16" t="inlineStr">
        <is>
          <t>Hưng Yên</t>
        </is>
      </c>
      <c r="C16" s="7" t="n">
        <v>165</v>
      </c>
    </row>
    <row r="17">
      <c r="B17" t="inlineStr">
        <is>
          <t>Đà Nẵng</t>
        </is>
      </c>
      <c r="C17" s="7" t="n">
        <v>131</v>
      </c>
    </row>
    <row r="18">
      <c r="B18" t="inlineStr">
        <is>
          <t>Long An</t>
        </is>
      </c>
      <c r="C18" s="7" t="n">
        <v>63</v>
      </c>
    </row>
    <row r="19">
      <c r="B19" t="inlineStr">
        <is>
          <t>Quốc tế</t>
        </is>
      </c>
      <c r="C19" s="7" t="n">
        <v>60</v>
      </c>
    </row>
    <row r="20">
      <c r="B20" t="inlineStr">
        <is>
          <t>Bà Rịa - Vũng Tàu</t>
        </is>
      </c>
      <c r="C20" s="7" t="n">
        <v>54</v>
      </c>
    </row>
    <row r="21">
      <c r="B21" t="inlineStr">
        <is>
          <t>Hưng Yên, Hà Nội</t>
        </is>
      </c>
      <c r="C21" s="7" t="n">
        <v>43</v>
      </c>
    </row>
    <row r="22">
      <c r="B22" t="inlineStr">
        <is>
          <t>Hải Dương</t>
        </is>
      </c>
      <c r="C22" s="7" t="n">
        <v>40</v>
      </c>
    </row>
    <row r="23">
      <c r="B23" t="inlineStr">
        <is>
          <t>Tây Ninh</t>
        </is>
      </c>
      <c r="C23" s="7" t="n">
        <v>39</v>
      </c>
    </row>
    <row r="24">
      <c r="B24" t="inlineStr">
        <is>
          <t>Hà Nội, Hưng Yên</t>
        </is>
      </c>
      <c r="C24" s="7" t="n">
        <v>37</v>
      </c>
    </row>
    <row r="25">
      <c r="B25" t="inlineStr">
        <is>
          <t>Bình Dương, Hồ Chí Minh</t>
        </is>
      </c>
      <c r="C25" s="7" t="n">
        <v>37</v>
      </c>
    </row>
    <row r="26">
      <c r="B26" t="inlineStr">
        <is>
          <t>Hà Nam</t>
        </is>
      </c>
      <c r="C26" s="7" t="n">
        <v>35</v>
      </c>
    </row>
    <row r="27">
      <c r="B27" t="inlineStr">
        <is>
          <t>Quảng Ninh</t>
        </is>
      </c>
      <c r="C27" s="7" t="n">
        <v>33</v>
      </c>
    </row>
    <row r="30">
      <c r="B30" s="13" t="inlineStr">
        <is>
          <t>Thống kê theo cấp bậc</t>
        </is>
      </c>
    </row>
    <row r="32">
      <c r="B32" s="6" t="inlineStr">
        <is>
          <t>Giá trị</t>
        </is>
      </c>
      <c r="C32" s="6" t="inlineStr">
        <is>
          <t>Số lượng</t>
        </is>
      </c>
    </row>
    <row r="33">
      <c r="B33" t="inlineStr">
        <is>
          <t>Nhân viên</t>
        </is>
      </c>
      <c r="C33" s="7" t="n">
        <v>8915</v>
      </c>
    </row>
    <row r="34">
      <c r="B34" t="inlineStr">
        <is>
          <t>Trưởng phòng</t>
        </is>
      </c>
      <c r="C34" s="7" t="n">
        <v>2186</v>
      </c>
    </row>
    <row r="35">
      <c r="B35" t="inlineStr">
        <is>
          <t>Mới Tốt Nghiệp</t>
        </is>
      </c>
      <c r="C35" s="7" t="n">
        <v>727</v>
      </c>
    </row>
    <row r="36">
      <c r="B36" t="inlineStr">
        <is>
          <t>Giám Đốc và Cấp Cao Hơn</t>
        </is>
      </c>
      <c r="C36" s="7" t="n">
        <v>491</v>
      </c>
    </row>
    <row r="37">
      <c r="B37" t="inlineStr">
        <is>
          <t>Thực tập sinh/Sinh viên</t>
        </is>
      </c>
      <c r="C37" s="7" t="n">
        <v>80</v>
      </c>
    </row>
    <row r="38">
      <c r="B38" t="inlineStr">
        <is>
          <t>N/A</t>
        </is>
      </c>
      <c r="C38" s="7" t="n">
        <v>1</v>
      </c>
    </row>
    <row r="41">
      <c r="B41" s="13" t="inlineStr">
        <is>
          <t>Thống kê theo mức lương</t>
        </is>
      </c>
    </row>
    <row r="43">
      <c r="B43" s="6" t="inlineStr">
        <is>
          <t>Giá trị</t>
        </is>
      </c>
      <c r="C43" s="6" t="inlineStr">
        <is>
          <t>Số lượng</t>
        </is>
      </c>
    </row>
    <row r="44">
      <c r="B44" t="inlineStr">
        <is>
          <t>Thương lượng</t>
        </is>
      </c>
      <c r="C44" s="7" t="n">
        <v>7670</v>
      </c>
    </row>
    <row r="45">
      <c r="B45" t="inlineStr">
        <is>
          <t>15tr-20tr ₫/tháng</t>
        </is>
      </c>
      <c r="C45" s="7" t="n">
        <v>134</v>
      </c>
    </row>
    <row r="46">
      <c r="B46" t="inlineStr">
        <is>
          <t>$$ 500-1,000 /tháng</t>
        </is>
      </c>
      <c r="C46" s="7" t="n">
        <v>127</v>
      </c>
    </row>
    <row r="47">
      <c r="B47" t="inlineStr">
        <is>
          <t>20tr-30tr ₫/tháng</t>
        </is>
      </c>
      <c r="C47" s="7" t="n">
        <v>114</v>
      </c>
    </row>
    <row r="48">
      <c r="B48" t="inlineStr">
        <is>
          <t>15tr-25tr ₫/tháng</t>
        </is>
      </c>
      <c r="C48" s="7" t="n">
        <v>101</v>
      </c>
    </row>
    <row r="49">
      <c r="B49" t="inlineStr">
        <is>
          <t>10tr-15tr ₫/tháng</t>
        </is>
      </c>
      <c r="C49" s="7" t="n">
        <v>97</v>
      </c>
    </row>
    <row r="50">
      <c r="B50" t="inlineStr">
        <is>
          <t>$$ 1,000-1,500 /tháng</t>
        </is>
      </c>
      <c r="C50" s="7" t="n">
        <v>88</v>
      </c>
    </row>
    <row r="51">
      <c r="B51" t="inlineStr">
        <is>
          <t>20tr-25tr ₫/tháng</t>
        </is>
      </c>
      <c r="C51" s="7" t="n">
        <v>83</v>
      </c>
    </row>
    <row r="52">
      <c r="B52" t="inlineStr">
        <is>
          <t>15tr-30tr ₫/tháng</t>
        </is>
      </c>
      <c r="C52" s="7" t="n">
        <v>64</v>
      </c>
    </row>
    <row r="53">
      <c r="B53" t="inlineStr">
        <is>
          <t>25tr-30tr ₫/tháng</t>
        </is>
      </c>
      <c r="C53" s="7" t="n">
        <v>62</v>
      </c>
    </row>
    <row r="54">
      <c r="B54" t="inlineStr">
        <is>
          <t>$$ 1,000-2,000 /tháng</t>
        </is>
      </c>
      <c r="C54" s="7" t="n">
        <v>61</v>
      </c>
    </row>
    <row r="55">
      <c r="B55" t="inlineStr">
        <is>
          <t>12tr-15tr ₫/tháng</t>
        </is>
      </c>
      <c r="C55" s="7" t="n">
        <v>60</v>
      </c>
    </row>
    <row r="56">
      <c r="B56" t="inlineStr">
        <is>
          <t>18tr-25tr ₫/tháng</t>
        </is>
      </c>
      <c r="C56" s="7" t="n">
        <v>58</v>
      </c>
    </row>
    <row r="57">
      <c r="B57" t="inlineStr">
        <is>
          <t>25tr-35tr ₫/tháng</t>
        </is>
      </c>
      <c r="C57" s="7" t="n">
        <v>54</v>
      </c>
    </row>
    <row r="58">
      <c r="B58" t="inlineStr">
        <is>
          <t>12tr-20tr ₫/tháng</t>
        </is>
      </c>
      <c r="C58" s="7" t="n">
        <v>47</v>
      </c>
    </row>
    <row r="59">
      <c r="B59" t="inlineStr">
        <is>
          <t>Tới 30tr ₫/tháng</t>
        </is>
      </c>
      <c r="C59" s="7" t="n">
        <v>45</v>
      </c>
    </row>
    <row r="60">
      <c r="B60" t="inlineStr">
        <is>
          <t>Từ 15tr ₫/tháng</t>
        </is>
      </c>
      <c r="C60" s="7" t="n">
        <v>44</v>
      </c>
    </row>
    <row r="61">
      <c r="B61" t="inlineStr">
        <is>
          <t>$$ 800-1,000 /tháng</t>
        </is>
      </c>
      <c r="C61" s="7" t="n">
        <v>43</v>
      </c>
    </row>
    <row r="62">
      <c r="B62" t="inlineStr">
        <is>
          <t>10tr-35tr ₫/tháng</t>
        </is>
      </c>
      <c r="C62" s="7" t="n">
        <v>43</v>
      </c>
    </row>
    <row r="63">
      <c r="B63" t="inlineStr">
        <is>
          <t>9tr-35tr ₫/tháng</t>
        </is>
      </c>
      <c r="C63" s="7" t="n">
        <v>42</v>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2026-03-17T12:41:17Z</dcterms:created>
  <dcterms:modified xmlns:dcterms="http://purl.org/dc/terms/" xmlns:xsi="http://www.w3.org/2001/XMLSchema-instance" xsi:type="dcterms:W3CDTF">2026-03-17T12:41:20Z</dcterms:modified>
</cp:coreProperties>
</file>